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vid Thomsen\Dropbox\"/>
    </mc:Choice>
  </mc:AlternateContent>
  <xr:revisionPtr revIDLastSave="0" documentId="13_ncr:1_{11AC5493-603B-4DA3-AB2A-7164A22C8F3F}" xr6:coauthVersionLast="41" xr6:coauthVersionMax="41" xr10:uidLastSave="{00000000-0000-0000-0000-000000000000}"/>
  <bookViews>
    <workbookView xWindow="-108" yWindow="-108" windowWidth="23256" windowHeight="12576" xr2:uid="{00000000-000D-0000-FFFF-FFFF00000000}"/>
  </bookViews>
  <sheets>
    <sheet name="Flora" sheetId="1" r:id="rId1"/>
    <sheet name="Legend" sheetId="2" r:id="rId2"/>
  </sheets>
  <externalReferences>
    <externalReference r:id="rId3"/>
  </externalReferences>
  <definedNames>
    <definedName name="http___biology.burke.washington.edu_herbarium_imagecollection_taxon.php?Taxon_Luzula_multiflora" localSheetId="0">Flora!$M$245</definedName>
    <definedName name="_xlnm.Print_Area" localSheetId="0">Flora!$C$16:$K$305</definedName>
    <definedName name="_xlnm.Print_Area" localSheetId="1">Legend!#REF!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N781" i="1" l="1"/>
  <c r="BN627" i="1"/>
  <c r="BN432" i="1"/>
  <c r="AC781" i="1"/>
  <c r="AC627" i="1"/>
  <c r="AC432" i="1"/>
  <c r="AC263" i="1"/>
  <c r="CF263" i="1" s="1"/>
  <c r="BM263" i="1" s="1"/>
  <c r="CE263" i="1"/>
  <c r="CC263" i="1"/>
  <c r="CB263" i="1"/>
  <c r="CA263" i="1"/>
  <c r="BZ263" i="1"/>
  <c r="BY263" i="1"/>
  <c r="BW263" i="1"/>
  <c r="BV263" i="1"/>
  <c r="BR263" i="1"/>
  <c r="BP263" i="1"/>
  <c r="BN263" i="1"/>
  <c r="BK263" i="1"/>
  <c r="BJ263" i="1"/>
  <c r="BE14" i="1" l="1"/>
  <c r="BG14" i="1" s="1"/>
  <c r="G14" i="1"/>
  <c r="D8" i="1" l="1"/>
  <c r="D7" i="1"/>
  <c r="D6" i="1"/>
  <c r="D9" i="1" s="1"/>
  <c r="E15" i="1"/>
  <c r="D15" i="1"/>
  <c r="CE11" i="1" l="1"/>
  <c r="T627" i="1" l="1"/>
  <c r="U627" i="1"/>
  <c r="V627" i="1"/>
  <c r="CF627" i="1"/>
  <c r="BM627" i="1" s="1"/>
  <c r="AI627" i="1"/>
  <c r="CG627" i="1" s="1"/>
  <c r="BA627" i="1"/>
  <c r="BJ627" i="1"/>
  <c r="BK627" i="1"/>
  <c r="BP627" i="1"/>
  <c r="BR627" i="1"/>
  <c r="BV627" i="1"/>
  <c r="BW627" i="1"/>
  <c r="BY627" i="1"/>
  <c r="CA627" i="1"/>
  <c r="CB627" i="1"/>
  <c r="CC627" i="1"/>
  <c r="CE627" i="1"/>
  <c r="BZ627" i="1" s="1"/>
  <c r="CH627" i="1"/>
  <c r="CH635" i="1" l="1"/>
  <c r="CG635" i="1"/>
  <c r="CE635" i="1"/>
  <c r="BZ635" i="1" s="1"/>
  <c r="CC635" i="1"/>
  <c r="CB635" i="1"/>
  <c r="CA635" i="1"/>
  <c r="BY635" i="1"/>
  <c r="BW635" i="1"/>
  <c r="BV635" i="1"/>
  <c r="BR635" i="1"/>
  <c r="BP635" i="1"/>
  <c r="BN635" i="1"/>
  <c r="BK635" i="1"/>
  <c r="BJ635" i="1"/>
  <c r="AC635" i="1"/>
  <c r="CF635" i="1" s="1"/>
  <c r="BM635" i="1" s="1"/>
  <c r="V635" i="1"/>
  <c r="U635" i="1"/>
  <c r="T635" i="1"/>
  <c r="AC21" i="1" l="1"/>
  <c r="CF21" i="1" s="1"/>
  <c r="BM21" i="1" s="1"/>
  <c r="CH21" i="1"/>
  <c r="CG21" i="1"/>
  <c r="CE21" i="1"/>
  <c r="BZ21" i="1" s="1"/>
  <c r="CC21" i="1"/>
  <c r="CB21" i="1"/>
  <c r="CA21" i="1"/>
  <c r="BY21" i="1"/>
  <c r="BW21" i="1"/>
  <c r="BV21" i="1"/>
  <c r="BR21" i="1"/>
  <c r="BP21" i="1"/>
  <c r="BN21" i="1"/>
  <c r="BK21" i="1"/>
  <c r="BJ21" i="1"/>
  <c r="CH623" i="1"/>
  <c r="CE623" i="1"/>
  <c r="BZ623" i="1" s="1"/>
  <c r="CC623" i="1"/>
  <c r="CB623" i="1"/>
  <c r="CA623" i="1"/>
  <c r="BY623" i="1"/>
  <c r="BW623" i="1"/>
  <c r="BV623" i="1"/>
  <c r="BR623" i="1"/>
  <c r="BP623" i="1"/>
  <c r="BN623" i="1"/>
  <c r="BK623" i="1"/>
  <c r="BJ623" i="1"/>
  <c r="AI623" i="1"/>
  <c r="CG623" i="1" s="1"/>
  <c r="AC623" i="1"/>
  <c r="CF623" i="1" s="1"/>
  <c r="BM623" i="1" s="1"/>
  <c r="V623" i="1"/>
  <c r="U623" i="1"/>
  <c r="T623" i="1"/>
  <c r="CE438" i="1"/>
  <c r="BZ438" i="1" s="1"/>
  <c r="CC438" i="1"/>
  <c r="CB438" i="1"/>
  <c r="CA438" i="1"/>
  <c r="BY438" i="1"/>
  <c r="BW438" i="1"/>
  <c r="BV438" i="1"/>
  <c r="BR438" i="1"/>
  <c r="BP438" i="1"/>
  <c r="BN438" i="1"/>
  <c r="BK438" i="1"/>
  <c r="BJ438" i="1"/>
  <c r="AJ438" i="1"/>
  <c r="CH438" i="1" s="1"/>
  <c r="AC438" i="1"/>
  <c r="CF438" i="1" s="1"/>
  <c r="BM438" i="1" s="1"/>
  <c r="V438" i="1"/>
  <c r="U438" i="1"/>
  <c r="T438" i="1"/>
  <c r="CE364" i="1"/>
  <c r="BZ364" i="1" s="1"/>
  <c r="CC364" i="1"/>
  <c r="CB364" i="1"/>
  <c r="CA364" i="1"/>
  <c r="BY364" i="1"/>
  <c r="BW364" i="1"/>
  <c r="BV364" i="1"/>
  <c r="BR364" i="1"/>
  <c r="BP364" i="1"/>
  <c r="BN364" i="1"/>
  <c r="BK364" i="1"/>
  <c r="BJ364" i="1"/>
  <c r="AJ364" i="1"/>
  <c r="CH364" i="1" s="1"/>
  <c r="AC364" i="1"/>
  <c r="CF364" i="1" s="1"/>
  <c r="BM364" i="1" s="1"/>
  <c r="V364" i="1"/>
  <c r="U364" i="1"/>
  <c r="T364" i="1"/>
  <c r="CE275" i="1"/>
  <c r="BZ275" i="1" s="1"/>
  <c r="CC275" i="1"/>
  <c r="CB275" i="1"/>
  <c r="CA275" i="1"/>
  <c r="BY275" i="1"/>
  <c r="BW275" i="1"/>
  <c r="BV275" i="1"/>
  <c r="BR275" i="1"/>
  <c r="BP275" i="1"/>
  <c r="BN275" i="1"/>
  <c r="BK275" i="1"/>
  <c r="BJ275" i="1"/>
  <c r="AJ275" i="1"/>
  <c r="CH275" i="1" s="1"/>
  <c r="AC275" i="1"/>
  <c r="CF275" i="1" s="1"/>
  <c r="BM275" i="1" s="1"/>
  <c r="V275" i="1"/>
  <c r="U275" i="1"/>
  <c r="T275" i="1"/>
  <c r="CE84" i="1"/>
  <c r="BZ84" i="1" s="1"/>
  <c r="CC84" i="1"/>
  <c r="CB84" i="1"/>
  <c r="CA84" i="1"/>
  <c r="BY84" i="1"/>
  <c r="BW84" i="1"/>
  <c r="BV84" i="1"/>
  <c r="BR84" i="1"/>
  <c r="BP84" i="1"/>
  <c r="BN84" i="1"/>
  <c r="BK84" i="1"/>
  <c r="BJ84" i="1"/>
  <c r="AJ84" i="1"/>
  <c r="AI84" i="1" s="1"/>
  <c r="CG84" i="1" s="1"/>
  <c r="AC84" i="1"/>
  <c r="CF84" i="1" s="1"/>
  <c r="BM84" i="1" s="1"/>
  <c r="V84" i="1"/>
  <c r="U84" i="1"/>
  <c r="T84" i="1"/>
  <c r="CE69" i="1"/>
  <c r="BZ69" i="1" s="1"/>
  <c r="CC69" i="1"/>
  <c r="CB69" i="1"/>
  <c r="CA69" i="1"/>
  <c r="BY69" i="1"/>
  <c r="BW69" i="1"/>
  <c r="BV69" i="1"/>
  <c r="BR69" i="1"/>
  <c r="BP69" i="1"/>
  <c r="BN69" i="1"/>
  <c r="BK69" i="1"/>
  <c r="BJ69" i="1"/>
  <c r="AJ69" i="1"/>
  <c r="CH69" i="1" s="1"/>
  <c r="AC69" i="1"/>
  <c r="CF69" i="1" s="1"/>
  <c r="BM69" i="1" s="1"/>
  <c r="V69" i="1"/>
  <c r="U69" i="1"/>
  <c r="T69" i="1"/>
  <c r="CH296" i="1"/>
  <c r="CE296" i="1"/>
  <c r="BZ296" i="1" s="1"/>
  <c r="CC296" i="1"/>
  <c r="CB296" i="1"/>
  <c r="CA296" i="1"/>
  <c r="BY296" i="1"/>
  <c r="BW296" i="1"/>
  <c r="BV296" i="1"/>
  <c r="BR296" i="1"/>
  <c r="BP296" i="1"/>
  <c r="BN296" i="1"/>
  <c r="BK296" i="1"/>
  <c r="BJ296" i="1"/>
  <c r="AI296" i="1"/>
  <c r="CG296" i="1" s="1"/>
  <c r="AC296" i="1"/>
  <c r="CF296" i="1" s="1"/>
  <c r="BM296" i="1" s="1"/>
  <c r="V296" i="1"/>
  <c r="U296" i="1"/>
  <c r="T296" i="1"/>
  <c r="CH921" i="1"/>
  <c r="CG921" i="1"/>
  <c r="CE921" i="1"/>
  <c r="BZ921" i="1" s="1"/>
  <c r="CC921" i="1"/>
  <c r="CB921" i="1"/>
  <c r="CA921" i="1"/>
  <c r="BY921" i="1"/>
  <c r="BW921" i="1"/>
  <c r="BV921" i="1"/>
  <c r="BR921" i="1"/>
  <c r="BP921" i="1"/>
  <c r="BN921" i="1"/>
  <c r="BK921" i="1"/>
  <c r="BJ921" i="1"/>
  <c r="AC921" i="1"/>
  <c r="CF921" i="1" s="1"/>
  <c r="BM921" i="1" s="1"/>
  <c r="V921" i="1"/>
  <c r="U921" i="1"/>
  <c r="T921" i="1"/>
  <c r="CG915" i="1"/>
  <c r="CE915" i="1"/>
  <c r="BZ915" i="1" s="1"/>
  <c r="CC915" i="1"/>
  <c r="CB915" i="1"/>
  <c r="CA915" i="1"/>
  <c r="BY915" i="1"/>
  <c r="BW915" i="1"/>
  <c r="BV915" i="1"/>
  <c r="BR915" i="1"/>
  <c r="BP915" i="1"/>
  <c r="BN915" i="1"/>
  <c r="BK915" i="1"/>
  <c r="BJ915" i="1"/>
  <c r="AJ915" i="1"/>
  <c r="CH915" i="1" s="1"/>
  <c r="AC915" i="1"/>
  <c r="CF915" i="1" s="1"/>
  <c r="BM915" i="1" s="1"/>
  <c r="V915" i="1"/>
  <c r="U915" i="1"/>
  <c r="T915" i="1"/>
  <c r="CE912" i="1"/>
  <c r="BZ912" i="1" s="1"/>
  <c r="CC912" i="1"/>
  <c r="CB912" i="1"/>
  <c r="CA912" i="1"/>
  <c r="BY912" i="1"/>
  <c r="BW912" i="1"/>
  <c r="BV912" i="1"/>
  <c r="BR912" i="1"/>
  <c r="BP912" i="1"/>
  <c r="BN912" i="1"/>
  <c r="BK912" i="1"/>
  <c r="BJ912" i="1"/>
  <c r="AJ912" i="1"/>
  <c r="CH912" i="1" s="1"/>
  <c r="AC912" i="1"/>
  <c r="CF912" i="1" s="1"/>
  <c r="BM912" i="1" s="1"/>
  <c r="V912" i="1"/>
  <c r="U912" i="1"/>
  <c r="T912" i="1"/>
  <c r="CE911" i="1"/>
  <c r="BZ911" i="1" s="1"/>
  <c r="CC911" i="1"/>
  <c r="CB911" i="1"/>
  <c r="CA911" i="1"/>
  <c r="BY911" i="1"/>
  <c r="BW911" i="1"/>
  <c r="BV911" i="1"/>
  <c r="BR911" i="1"/>
  <c r="BP911" i="1"/>
  <c r="BN911" i="1"/>
  <c r="BK911" i="1"/>
  <c r="BJ911" i="1"/>
  <c r="AJ911" i="1"/>
  <c r="CH911" i="1" s="1"/>
  <c r="AC911" i="1"/>
  <c r="CF911" i="1" s="1"/>
  <c r="BM911" i="1" s="1"/>
  <c r="V911" i="1"/>
  <c r="U911" i="1"/>
  <c r="T911" i="1"/>
  <c r="CE907" i="1"/>
  <c r="BZ907" i="1" s="1"/>
  <c r="CC907" i="1"/>
  <c r="CB907" i="1"/>
  <c r="CA907" i="1"/>
  <c r="BY907" i="1"/>
  <c r="BW907" i="1"/>
  <c r="BV907" i="1"/>
  <c r="BR907" i="1"/>
  <c r="BP907" i="1"/>
  <c r="BN907" i="1"/>
  <c r="BK907" i="1"/>
  <c r="BJ907" i="1"/>
  <c r="AJ907" i="1"/>
  <c r="CH907" i="1" s="1"/>
  <c r="AC907" i="1"/>
  <c r="CF907" i="1" s="1"/>
  <c r="BM907" i="1" s="1"/>
  <c r="V907" i="1"/>
  <c r="U907" i="1"/>
  <c r="T907" i="1"/>
  <c r="CE906" i="1"/>
  <c r="BZ906" i="1" s="1"/>
  <c r="CC906" i="1"/>
  <c r="CB906" i="1"/>
  <c r="CA906" i="1"/>
  <c r="BY906" i="1"/>
  <c r="BW906" i="1"/>
  <c r="BV906" i="1"/>
  <c r="BR906" i="1"/>
  <c r="BP906" i="1"/>
  <c r="BN906" i="1"/>
  <c r="BK906" i="1"/>
  <c r="BJ906" i="1"/>
  <c r="AJ906" i="1"/>
  <c r="AI906" i="1" s="1"/>
  <c r="CG906" i="1" s="1"/>
  <c r="AC906" i="1"/>
  <c r="CF906" i="1" s="1"/>
  <c r="BM906" i="1" s="1"/>
  <c r="V906" i="1"/>
  <c r="U906" i="1"/>
  <c r="T906" i="1"/>
  <c r="CE903" i="1"/>
  <c r="BZ903" i="1" s="1"/>
  <c r="CC903" i="1"/>
  <c r="CB903" i="1"/>
  <c r="CA903" i="1"/>
  <c r="BY903" i="1"/>
  <c r="BW903" i="1"/>
  <c r="BV903" i="1"/>
  <c r="BR903" i="1"/>
  <c r="BP903" i="1"/>
  <c r="BN903" i="1"/>
  <c r="BK903" i="1"/>
  <c r="BJ903" i="1"/>
  <c r="AJ903" i="1"/>
  <c r="CH903" i="1" s="1"/>
  <c r="AC903" i="1"/>
  <c r="CF903" i="1" s="1"/>
  <c r="BM903" i="1" s="1"/>
  <c r="V903" i="1"/>
  <c r="U903" i="1"/>
  <c r="T903" i="1"/>
  <c r="CE892" i="1"/>
  <c r="BZ892" i="1" s="1"/>
  <c r="CC892" i="1"/>
  <c r="CB892" i="1"/>
  <c r="CA892" i="1"/>
  <c r="BY892" i="1"/>
  <c r="BW892" i="1"/>
  <c r="BV892" i="1"/>
  <c r="BR892" i="1"/>
  <c r="BP892" i="1"/>
  <c r="BN892" i="1"/>
  <c r="BK892" i="1"/>
  <c r="BJ892" i="1"/>
  <c r="AJ892" i="1"/>
  <c r="CH892" i="1" s="1"/>
  <c r="AC892" i="1"/>
  <c r="CF892" i="1" s="1"/>
  <c r="BM892" i="1" s="1"/>
  <c r="V892" i="1"/>
  <c r="U892" i="1"/>
  <c r="T892" i="1"/>
  <c r="CE888" i="1"/>
  <c r="BZ888" i="1" s="1"/>
  <c r="CC888" i="1"/>
  <c r="CB888" i="1"/>
  <c r="CA888" i="1"/>
  <c r="BY888" i="1"/>
  <c r="BW888" i="1"/>
  <c r="BV888" i="1"/>
  <c r="BR888" i="1"/>
  <c r="BP888" i="1"/>
  <c r="BN888" i="1"/>
  <c r="BK888" i="1"/>
  <c r="BJ888" i="1"/>
  <c r="AJ888" i="1"/>
  <c r="CH888" i="1" s="1"/>
  <c r="AC888" i="1"/>
  <c r="CF888" i="1" s="1"/>
  <c r="BM888" i="1" s="1"/>
  <c r="V888" i="1"/>
  <c r="U888" i="1"/>
  <c r="T888" i="1"/>
  <c r="CE886" i="1"/>
  <c r="BZ886" i="1" s="1"/>
  <c r="CC886" i="1"/>
  <c r="CB886" i="1"/>
  <c r="CA886" i="1"/>
  <c r="BY886" i="1"/>
  <c r="BW886" i="1"/>
  <c r="BV886" i="1"/>
  <c r="BR886" i="1"/>
  <c r="BP886" i="1"/>
  <c r="BN886" i="1"/>
  <c r="BK886" i="1"/>
  <c r="BJ886" i="1"/>
  <c r="AJ886" i="1"/>
  <c r="AI886" i="1" s="1"/>
  <c r="CG886" i="1" s="1"/>
  <c r="AC886" i="1"/>
  <c r="CF886" i="1" s="1"/>
  <c r="BM886" i="1" s="1"/>
  <c r="V886" i="1"/>
  <c r="U886" i="1"/>
  <c r="T886" i="1"/>
  <c r="CE883" i="1"/>
  <c r="BZ883" i="1" s="1"/>
  <c r="CC883" i="1"/>
  <c r="CB883" i="1"/>
  <c r="CA883" i="1"/>
  <c r="BY883" i="1"/>
  <c r="BW883" i="1"/>
  <c r="BV883" i="1"/>
  <c r="BR883" i="1"/>
  <c r="BP883" i="1"/>
  <c r="BN883" i="1"/>
  <c r="BK883" i="1"/>
  <c r="BJ883" i="1"/>
  <c r="AJ883" i="1"/>
  <c r="CH883" i="1" s="1"/>
  <c r="AC883" i="1"/>
  <c r="CF883" i="1" s="1"/>
  <c r="BM883" i="1" s="1"/>
  <c r="V883" i="1"/>
  <c r="U883" i="1"/>
  <c r="T883" i="1"/>
  <c r="CE873" i="1"/>
  <c r="BZ873" i="1" s="1"/>
  <c r="CC873" i="1"/>
  <c r="CB873" i="1"/>
  <c r="CA873" i="1"/>
  <c r="BY873" i="1"/>
  <c r="BW873" i="1"/>
  <c r="BV873" i="1"/>
  <c r="BR873" i="1"/>
  <c r="BP873" i="1"/>
  <c r="BN873" i="1"/>
  <c r="BK873" i="1"/>
  <c r="BJ873" i="1"/>
  <c r="AJ873" i="1"/>
  <c r="CH873" i="1" s="1"/>
  <c r="AC873" i="1"/>
  <c r="CF873" i="1" s="1"/>
  <c r="BM873" i="1" s="1"/>
  <c r="V873" i="1"/>
  <c r="U873" i="1"/>
  <c r="T873" i="1"/>
  <c r="CE872" i="1"/>
  <c r="BZ872" i="1" s="1"/>
  <c r="CC872" i="1"/>
  <c r="CB872" i="1"/>
  <c r="CA872" i="1"/>
  <c r="BY872" i="1"/>
  <c r="BW872" i="1"/>
  <c r="BV872" i="1"/>
  <c r="BR872" i="1"/>
  <c r="BP872" i="1"/>
  <c r="BN872" i="1"/>
  <c r="BK872" i="1"/>
  <c r="BJ872" i="1"/>
  <c r="AJ872" i="1"/>
  <c r="CH872" i="1" s="1"/>
  <c r="AC872" i="1"/>
  <c r="CF872" i="1" s="1"/>
  <c r="BM872" i="1" s="1"/>
  <c r="V872" i="1"/>
  <c r="U872" i="1"/>
  <c r="T872" i="1"/>
  <c r="CE504" i="1"/>
  <c r="BZ504" i="1" s="1"/>
  <c r="CC504" i="1"/>
  <c r="CB504" i="1"/>
  <c r="CA504" i="1"/>
  <c r="BY504" i="1"/>
  <c r="BW504" i="1"/>
  <c r="BV504" i="1"/>
  <c r="BR504" i="1"/>
  <c r="BP504" i="1"/>
  <c r="BN504" i="1"/>
  <c r="BK504" i="1"/>
  <c r="BJ504" i="1"/>
  <c r="AJ504" i="1"/>
  <c r="AI504" i="1" s="1"/>
  <c r="CG504" i="1" s="1"/>
  <c r="AC504" i="1"/>
  <c r="CF504" i="1" s="1"/>
  <c r="BM504" i="1" s="1"/>
  <c r="V504" i="1"/>
  <c r="U504" i="1"/>
  <c r="T504" i="1"/>
  <c r="CE855" i="1"/>
  <c r="BZ855" i="1" s="1"/>
  <c r="CC855" i="1"/>
  <c r="CB855" i="1"/>
  <c r="CA855" i="1"/>
  <c r="BY855" i="1"/>
  <c r="BW855" i="1"/>
  <c r="BV855" i="1"/>
  <c r="BR855" i="1"/>
  <c r="BP855" i="1"/>
  <c r="BN855" i="1"/>
  <c r="BK855" i="1"/>
  <c r="BJ855" i="1"/>
  <c r="AJ855" i="1"/>
  <c r="CH855" i="1" s="1"/>
  <c r="AC855" i="1"/>
  <c r="CF855" i="1" s="1"/>
  <c r="BM855" i="1" s="1"/>
  <c r="V855" i="1"/>
  <c r="U855" i="1"/>
  <c r="T855" i="1"/>
  <c r="CE853" i="1"/>
  <c r="BZ853" i="1" s="1"/>
  <c r="CC853" i="1"/>
  <c r="CB853" i="1"/>
  <c r="CA853" i="1"/>
  <c r="BY853" i="1"/>
  <c r="BW853" i="1"/>
  <c r="BV853" i="1"/>
  <c r="BR853" i="1"/>
  <c r="BP853" i="1"/>
  <c r="BN853" i="1"/>
  <c r="BK853" i="1"/>
  <c r="BJ853" i="1"/>
  <c r="AJ853" i="1"/>
  <c r="CH853" i="1" s="1"/>
  <c r="AC853" i="1"/>
  <c r="CF853" i="1" s="1"/>
  <c r="BM853" i="1" s="1"/>
  <c r="V853" i="1"/>
  <c r="U853" i="1"/>
  <c r="T853" i="1"/>
  <c r="CE852" i="1"/>
  <c r="BZ852" i="1" s="1"/>
  <c r="CC852" i="1"/>
  <c r="CB852" i="1"/>
  <c r="CA852" i="1"/>
  <c r="BY852" i="1"/>
  <c r="BW852" i="1"/>
  <c r="BV852" i="1"/>
  <c r="BR852" i="1"/>
  <c r="BP852" i="1"/>
  <c r="BN852" i="1"/>
  <c r="BK852" i="1"/>
  <c r="BJ852" i="1"/>
  <c r="AJ852" i="1"/>
  <c r="CH852" i="1" s="1"/>
  <c r="AC852" i="1"/>
  <c r="CF852" i="1" s="1"/>
  <c r="BM852" i="1" s="1"/>
  <c r="V852" i="1"/>
  <c r="U852" i="1"/>
  <c r="T852" i="1"/>
  <c r="CE851" i="1"/>
  <c r="BZ851" i="1" s="1"/>
  <c r="CC851" i="1"/>
  <c r="CB851" i="1"/>
  <c r="CA851" i="1"/>
  <c r="BY851" i="1"/>
  <c r="BW851" i="1"/>
  <c r="BV851" i="1"/>
  <c r="BR851" i="1"/>
  <c r="BP851" i="1"/>
  <c r="BN851" i="1"/>
  <c r="BK851" i="1"/>
  <c r="BJ851" i="1"/>
  <c r="AJ851" i="1"/>
  <c r="AI851" i="1" s="1"/>
  <c r="CG851" i="1" s="1"/>
  <c r="AC851" i="1"/>
  <c r="CF851" i="1" s="1"/>
  <c r="BM851" i="1" s="1"/>
  <c r="V851" i="1"/>
  <c r="U851" i="1"/>
  <c r="T851" i="1"/>
  <c r="CE843" i="1"/>
  <c r="BZ843" i="1" s="1"/>
  <c r="CC843" i="1"/>
  <c r="CB843" i="1"/>
  <c r="CA843" i="1"/>
  <c r="BY843" i="1"/>
  <c r="BW843" i="1"/>
  <c r="BV843" i="1"/>
  <c r="BR843" i="1"/>
  <c r="BP843" i="1"/>
  <c r="BN843" i="1"/>
  <c r="BK843" i="1"/>
  <c r="BJ843" i="1"/>
  <c r="AJ843" i="1"/>
  <c r="CH843" i="1" s="1"/>
  <c r="AC843" i="1"/>
  <c r="CF843" i="1" s="1"/>
  <c r="BM843" i="1" s="1"/>
  <c r="V843" i="1"/>
  <c r="U843" i="1"/>
  <c r="T843" i="1"/>
  <c r="CE840" i="1"/>
  <c r="BZ840" i="1" s="1"/>
  <c r="CC840" i="1"/>
  <c r="CB840" i="1"/>
  <c r="CA840" i="1"/>
  <c r="BY840" i="1"/>
  <c r="BW840" i="1"/>
  <c r="BV840" i="1"/>
  <c r="BR840" i="1"/>
  <c r="BP840" i="1"/>
  <c r="BN840" i="1"/>
  <c r="BK840" i="1"/>
  <c r="BJ840" i="1"/>
  <c r="AJ840" i="1"/>
  <c r="CH840" i="1" s="1"/>
  <c r="AC840" i="1"/>
  <c r="CF840" i="1" s="1"/>
  <c r="BM840" i="1" s="1"/>
  <c r="V840" i="1"/>
  <c r="U840" i="1"/>
  <c r="T840" i="1"/>
  <c r="CE837" i="1"/>
  <c r="BZ837" i="1" s="1"/>
  <c r="CC837" i="1"/>
  <c r="CB837" i="1"/>
  <c r="CA837" i="1"/>
  <c r="BY837" i="1"/>
  <c r="BW837" i="1"/>
  <c r="BV837" i="1"/>
  <c r="BR837" i="1"/>
  <c r="BP837" i="1"/>
  <c r="BN837" i="1"/>
  <c r="BK837" i="1"/>
  <c r="BJ837" i="1"/>
  <c r="AJ837" i="1"/>
  <c r="AC837" i="1"/>
  <c r="CF837" i="1" s="1"/>
  <c r="BM837" i="1" s="1"/>
  <c r="V837" i="1"/>
  <c r="U837" i="1"/>
  <c r="T837" i="1"/>
  <c r="CE824" i="1"/>
  <c r="BZ824" i="1" s="1"/>
  <c r="CC824" i="1"/>
  <c r="CB824" i="1"/>
  <c r="CA824" i="1"/>
  <c r="BY824" i="1"/>
  <c r="BW824" i="1"/>
  <c r="BV824" i="1"/>
  <c r="BR824" i="1"/>
  <c r="BP824" i="1"/>
  <c r="BN824" i="1"/>
  <c r="BK824" i="1"/>
  <c r="BJ824" i="1"/>
  <c r="AJ824" i="1"/>
  <c r="CH824" i="1" s="1"/>
  <c r="AC824" i="1"/>
  <c r="CF824" i="1" s="1"/>
  <c r="BM824" i="1" s="1"/>
  <c r="V824" i="1"/>
  <c r="U824" i="1"/>
  <c r="T824" i="1"/>
  <c r="CE822" i="1"/>
  <c r="BZ822" i="1" s="1"/>
  <c r="CC822" i="1"/>
  <c r="CB822" i="1"/>
  <c r="CA822" i="1"/>
  <c r="BY822" i="1"/>
  <c r="BW822" i="1"/>
  <c r="BV822" i="1"/>
  <c r="BR822" i="1"/>
  <c r="BP822" i="1"/>
  <c r="BN822" i="1"/>
  <c r="BK822" i="1"/>
  <c r="BJ822" i="1"/>
  <c r="AJ822" i="1"/>
  <c r="CH822" i="1" s="1"/>
  <c r="AC822" i="1"/>
  <c r="CF822" i="1" s="1"/>
  <c r="BM822" i="1" s="1"/>
  <c r="V822" i="1"/>
  <c r="U822" i="1"/>
  <c r="T822" i="1"/>
  <c r="CE817" i="1"/>
  <c r="BZ817" i="1" s="1"/>
  <c r="CC817" i="1"/>
  <c r="CB817" i="1"/>
  <c r="CA817" i="1"/>
  <c r="BY817" i="1"/>
  <c r="BW817" i="1"/>
  <c r="BV817" i="1"/>
  <c r="BR817" i="1"/>
  <c r="BP817" i="1"/>
  <c r="BN817" i="1"/>
  <c r="BK817" i="1"/>
  <c r="BJ817" i="1"/>
  <c r="AJ817" i="1"/>
  <c r="CH817" i="1" s="1"/>
  <c r="AC817" i="1"/>
  <c r="CF817" i="1" s="1"/>
  <c r="BM817" i="1" s="1"/>
  <c r="V817" i="1"/>
  <c r="U817" i="1"/>
  <c r="T817" i="1"/>
  <c r="CE807" i="1"/>
  <c r="BZ807" i="1" s="1"/>
  <c r="CC807" i="1"/>
  <c r="CB807" i="1"/>
  <c r="CA807" i="1"/>
  <c r="BY807" i="1"/>
  <c r="BW807" i="1"/>
  <c r="BV807" i="1"/>
  <c r="BR807" i="1"/>
  <c r="BP807" i="1"/>
  <c r="BN807" i="1"/>
  <c r="BK807" i="1"/>
  <c r="BJ807" i="1"/>
  <c r="AJ807" i="1"/>
  <c r="AI807" i="1" s="1"/>
  <c r="CG807" i="1" s="1"/>
  <c r="AC807" i="1"/>
  <c r="CF807" i="1" s="1"/>
  <c r="BM807" i="1" s="1"/>
  <c r="V807" i="1"/>
  <c r="U807" i="1"/>
  <c r="T807" i="1"/>
  <c r="CE802" i="1"/>
  <c r="BZ802" i="1" s="1"/>
  <c r="CC802" i="1"/>
  <c r="CB802" i="1"/>
  <c r="CA802" i="1"/>
  <c r="BY802" i="1"/>
  <c r="BW802" i="1"/>
  <c r="BV802" i="1"/>
  <c r="BR802" i="1"/>
  <c r="BP802" i="1"/>
  <c r="BN802" i="1"/>
  <c r="BK802" i="1"/>
  <c r="BJ802" i="1"/>
  <c r="AJ802" i="1"/>
  <c r="CH802" i="1" s="1"/>
  <c r="AC802" i="1"/>
  <c r="CF802" i="1" s="1"/>
  <c r="BM802" i="1" s="1"/>
  <c r="V802" i="1"/>
  <c r="U802" i="1"/>
  <c r="T802" i="1"/>
  <c r="CE797" i="1"/>
  <c r="BZ797" i="1" s="1"/>
  <c r="CC797" i="1"/>
  <c r="CB797" i="1"/>
  <c r="CA797" i="1"/>
  <c r="BY797" i="1"/>
  <c r="BW797" i="1"/>
  <c r="BV797" i="1"/>
  <c r="BR797" i="1"/>
  <c r="BP797" i="1"/>
  <c r="BN797" i="1"/>
  <c r="BK797" i="1"/>
  <c r="BJ797" i="1"/>
  <c r="AJ797" i="1"/>
  <c r="CH797" i="1" s="1"/>
  <c r="AC797" i="1"/>
  <c r="CF797" i="1" s="1"/>
  <c r="BM797" i="1" s="1"/>
  <c r="V797" i="1"/>
  <c r="U797" i="1"/>
  <c r="T797" i="1"/>
  <c r="CE787" i="1"/>
  <c r="BZ787" i="1" s="1"/>
  <c r="CC787" i="1"/>
  <c r="CB787" i="1"/>
  <c r="CA787" i="1"/>
  <c r="BY787" i="1"/>
  <c r="BW787" i="1"/>
  <c r="BV787" i="1"/>
  <c r="BR787" i="1"/>
  <c r="BP787" i="1"/>
  <c r="BN787" i="1"/>
  <c r="BK787" i="1"/>
  <c r="BJ787" i="1"/>
  <c r="AJ787" i="1"/>
  <c r="CH787" i="1" s="1"/>
  <c r="AC787" i="1"/>
  <c r="CF787" i="1" s="1"/>
  <c r="BM787" i="1" s="1"/>
  <c r="V787" i="1"/>
  <c r="U787" i="1"/>
  <c r="T787" i="1"/>
  <c r="CE786" i="1"/>
  <c r="BZ786" i="1" s="1"/>
  <c r="CC786" i="1"/>
  <c r="CB786" i="1"/>
  <c r="CA786" i="1"/>
  <c r="BY786" i="1"/>
  <c r="BW786" i="1"/>
  <c r="BV786" i="1"/>
  <c r="BR786" i="1"/>
  <c r="BP786" i="1"/>
  <c r="BN786" i="1"/>
  <c r="BK786" i="1"/>
  <c r="BJ786" i="1"/>
  <c r="AJ786" i="1"/>
  <c r="AC786" i="1"/>
  <c r="CF786" i="1" s="1"/>
  <c r="BM786" i="1" s="1"/>
  <c r="V786" i="1"/>
  <c r="U786" i="1"/>
  <c r="T786" i="1"/>
  <c r="CE785" i="1"/>
  <c r="BZ785" i="1" s="1"/>
  <c r="CC785" i="1"/>
  <c r="CB785" i="1"/>
  <c r="CA785" i="1"/>
  <c r="BY785" i="1"/>
  <c r="BW785" i="1"/>
  <c r="BV785" i="1"/>
  <c r="BR785" i="1"/>
  <c r="BP785" i="1"/>
  <c r="BN785" i="1"/>
  <c r="BK785" i="1"/>
  <c r="BJ785" i="1"/>
  <c r="AJ785" i="1"/>
  <c r="CH785" i="1" s="1"/>
  <c r="AC785" i="1"/>
  <c r="CF785" i="1" s="1"/>
  <c r="BM785" i="1" s="1"/>
  <c r="V785" i="1"/>
  <c r="U785" i="1"/>
  <c r="T785" i="1"/>
  <c r="CE783" i="1"/>
  <c r="BZ783" i="1" s="1"/>
  <c r="CC783" i="1"/>
  <c r="CB783" i="1"/>
  <c r="CA783" i="1"/>
  <c r="BY783" i="1"/>
  <c r="BW783" i="1"/>
  <c r="BV783" i="1"/>
  <c r="BR783" i="1"/>
  <c r="BP783" i="1"/>
  <c r="BN783" i="1"/>
  <c r="BK783" i="1"/>
  <c r="BJ783" i="1"/>
  <c r="AJ783" i="1"/>
  <c r="CH783" i="1" s="1"/>
  <c r="AC783" i="1"/>
  <c r="CF783" i="1" s="1"/>
  <c r="BM783" i="1" s="1"/>
  <c r="V783" i="1"/>
  <c r="U783" i="1"/>
  <c r="T783" i="1"/>
  <c r="CE772" i="1"/>
  <c r="BZ772" i="1" s="1"/>
  <c r="CC772" i="1"/>
  <c r="CB772" i="1"/>
  <c r="CA772" i="1"/>
  <c r="BY772" i="1"/>
  <c r="BW772" i="1"/>
  <c r="BV772" i="1"/>
  <c r="BR772" i="1"/>
  <c r="BP772" i="1"/>
  <c r="BN772" i="1"/>
  <c r="BK772" i="1"/>
  <c r="BJ772" i="1"/>
  <c r="AJ772" i="1"/>
  <c r="CH772" i="1" s="1"/>
  <c r="AC772" i="1"/>
  <c r="CF772" i="1" s="1"/>
  <c r="BM772" i="1" s="1"/>
  <c r="V772" i="1"/>
  <c r="U772" i="1"/>
  <c r="T772" i="1"/>
  <c r="CE767" i="1"/>
  <c r="BZ767" i="1" s="1"/>
  <c r="CC767" i="1"/>
  <c r="CB767" i="1"/>
  <c r="CA767" i="1"/>
  <c r="BY767" i="1"/>
  <c r="BW767" i="1"/>
  <c r="BV767" i="1"/>
  <c r="BR767" i="1"/>
  <c r="BP767" i="1"/>
  <c r="BN767" i="1"/>
  <c r="BK767" i="1"/>
  <c r="BJ767" i="1"/>
  <c r="AJ767" i="1"/>
  <c r="AI767" i="1" s="1"/>
  <c r="CG767" i="1" s="1"/>
  <c r="AC767" i="1"/>
  <c r="CF767" i="1" s="1"/>
  <c r="BM767" i="1" s="1"/>
  <c r="V767" i="1"/>
  <c r="U767" i="1"/>
  <c r="T767" i="1"/>
  <c r="CE766" i="1"/>
  <c r="BZ766" i="1" s="1"/>
  <c r="CC766" i="1"/>
  <c r="CB766" i="1"/>
  <c r="CA766" i="1"/>
  <c r="BY766" i="1"/>
  <c r="BW766" i="1"/>
  <c r="BV766" i="1"/>
  <c r="BR766" i="1"/>
  <c r="BP766" i="1"/>
  <c r="BN766" i="1"/>
  <c r="BK766" i="1"/>
  <c r="BJ766" i="1"/>
  <c r="AJ766" i="1"/>
  <c r="CH766" i="1" s="1"/>
  <c r="AC766" i="1"/>
  <c r="CF766" i="1" s="1"/>
  <c r="BM766" i="1" s="1"/>
  <c r="V766" i="1"/>
  <c r="U766" i="1"/>
  <c r="T766" i="1"/>
  <c r="CE759" i="1"/>
  <c r="BZ759" i="1" s="1"/>
  <c r="CC759" i="1"/>
  <c r="CB759" i="1"/>
  <c r="CA759" i="1"/>
  <c r="BY759" i="1"/>
  <c r="BW759" i="1"/>
  <c r="BV759" i="1"/>
  <c r="BR759" i="1"/>
  <c r="BP759" i="1"/>
  <c r="BN759" i="1"/>
  <c r="BK759" i="1"/>
  <c r="BJ759" i="1"/>
  <c r="AJ759" i="1"/>
  <c r="CH759" i="1" s="1"/>
  <c r="AC759" i="1"/>
  <c r="CF759" i="1" s="1"/>
  <c r="BM759" i="1" s="1"/>
  <c r="V759" i="1"/>
  <c r="U759" i="1"/>
  <c r="T759" i="1"/>
  <c r="CG758" i="1"/>
  <c r="CE758" i="1"/>
  <c r="BZ758" i="1" s="1"/>
  <c r="CC758" i="1"/>
  <c r="CB758" i="1"/>
  <c r="CA758" i="1"/>
  <c r="BY758" i="1"/>
  <c r="BW758" i="1"/>
  <c r="BV758" i="1"/>
  <c r="BR758" i="1"/>
  <c r="BP758" i="1"/>
  <c r="BN758" i="1"/>
  <c r="BK758" i="1"/>
  <c r="BJ758" i="1"/>
  <c r="AJ758" i="1"/>
  <c r="CH758" i="1" s="1"/>
  <c r="AC758" i="1"/>
  <c r="CF758" i="1" s="1"/>
  <c r="BM758" i="1" s="1"/>
  <c r="V758" i="1"/>
  <c r="U758" i="1"/>
  <c r="T758" i="1"/>
  <c r="CE751" i="1"/>
  <c r="BZ751" i="1" s="1"/>
  <c r="CC751" i="1"/>
  <c r="CB751" i="1"/>
  <c r="CA751" i="1"/>
  <c r="BY751" i="1"/>
  <c r="BW751" i="1"/>
  <c r="BV751" i="1"/>
  <c r="BR751" i="1"/>
  <c r="BP751" i="1"/>
  <c r="BN751" i="1"/>
  <c r="BK751" i="1"/>
  <c r="BJ751" i="1"/>
  <c r="AJ751" i="1"/>
  <c r="CH751" i="1" s="1"/>
  <c r="AC751" i="1"/>
  <c r="CF751" i="1" s="1"/>
  <c r="BM751" i="1" s="1"/>
  <c r="V751" i="1"/>
  <c r="U751" i="1"/>
  <c r="T751" i="1"/>
  <c r="CE749" i="1"/>
  <c r="BZ749" i="1" s="1"/>
  <c r="CC749" i="1"/>
  <c r="CB749" i="1"/>
  <c r="CA749" i="1"/>
  <c r="BY749" i="1"/>
  <c r="BW749" i="1"/>
  <c r="BV749" i="1"/>
  <c r="BR749" i="1"/>
  <c r="BP749" i="1"/>
  <c r="BN749" i="1"/>
  <c r="BK749" i="1"/>
  <c r="BJ749" i="1"/>
  <c r="AJ749" i="1"/>
  <c r="AC749" i="1"/>
  <c r="CF749" i="1" s="1"/>
  <c r="BM749" i="1" s="1"/>
  <c r="V749" i="1"/>
  <c r="U749" i="1"/>
  <c r="T749" i="1"/>
  <c r="CE730" i="1"/>
  <c r="BZ730" i="1" s="1"/>
  <c r="CC730" i="1"/>
  <c r="CB730" i="1"/>
  <c r="CA730" i="1"/>
  <c r="BY730" i="1"/>
  <c r="BW730" i="1"/>
  <c r="BV730" i="1"/>
  <c r="BR730" i="1"/>
  <c r="BP730" i="1"/>
  <c r="BN730" i="1"/>
  <c r="BK730" i="1"/>
  <c r="BJ730" i="1"/>
  <c r="AJ730" i="1"/>
  <c r="CH730" i="1" s="1"/>
  <c r="AC730" i="1"/>
  <c r="CF730" i="1" s="1"/>
  <c r="BM730" i="1" s="1"/>
  <c r="V730" i="1"/>
  <c r="U730" i="1"/>
  <c r="T730" i="1"/>
  <c r="CE729" i="1"/>
  <c r="BZ729" i="1" s="1"/>
  <c r="CC729" i="1"/>
  <c r="CB729" i="1"/>
  <c r="CA729" i="1"/>
  <c r="BY729" i="1"/>
  <c r="BW729" i="1"/>
  <c r="BV729" i="1"/>
  <c r="BR729" i="1"/>
  <c r="BP729" i="1"/>
  <c r="BN729" i="1"/>
  <c r="BK729" i="1"/>
  <c r="BJ729" i="1"/>
  <c r="AJ729" i="1"/>
  <c r="CH729" i="1" s="1"/>
  <c r="AC729" i="1"/>
  <c r="CF729" i="1" s="1"/>
  <c r="BM729" i="1" s="1"/>
  <c r="V729" i="1"/>
  <c r="U729" i="1"/>
  <c r="T729" i="1"/>
  <c r="CE725" i="1"/>
  <c r="BZ725" i="1" s="1"/>
  <c r="CC725" i="1"/>
  <c r="CB725" i="1"/>
  <c r="CA725" i="1"/>
  <c r="BY725" i="1"/>
  <c r="BW725" i="1"/>
  <c r="BV725" i="1"/>
  <c r="BR725" i="1"/>
  <c r="BP725" i="1"/>
  <c r="BN725" i="1"/>
  <c r="BK725" i="1"/>
  <c r="BJ725" i="1"/>
  <c r="AJ725" i="1"/>
  <c r="AI725" i="1" s="1"/>
  <c r="CG725" i="1" s="1"/>
  <c r="AC725" i="1"/>
  <c r="CF725" i="1" s="1"/>
  <c r="BM725" i="1" s="1"/>
  <c r="V725" i="1"/>
  <c r="U725" i="1"/>
  <c r="T725" i="1"/>
  <c r="CE722" i="1"/>
  <c r="BZ722" i="1" s="1"/>
  <c r="CC722" i="1"/>
  <c r="CB722" i="1"/>
  <c r="CA722" i="1"/>
  <c r="BY722" i="1"/>
  <c r="BW722" i="1"/>
  <c r="BV722" i="1"/>
  <c r="BR722" i="1"/>
  <c r="BP722" i="1"/>
  <c r="BN722" i="1"/>
  <c r="BK722" i="1"/>
  <c r="BJ722" i="1"/>
  <c r="AJ722" i="1"/>
  <c r="CH722" i="1" s="1"/>
  <c r="AC722" i="1"/>
  <c r="CF722" i="1" s="1"/>
  <c r="BM722" i="1" s="1"/>
  <c r="V722" i="1"/>
  <c r="U722" i="1"/>
  <c r="T722" i="1"/>
  <c r="CE720" i="1"/>
  <c r="BZ720" i="1" s="1"/>
  <c r="CC720" i="1"/>
  <c r="CB720" i="1"/>
  <c r="CA720" i="1"/>
  <c r="BY720" i="1"/>
  <c r="BW720" i="1"/>
  <c r="BV720" i="1"/>
  <c r="BR720" i="1"/>
  <c r="BP720" i="1"/>
  <c r="BN720" i="1"/>
  <c r="BK720" i="1"/>
  <c r="BJ720" i="1"/>
  <c r="AJ720" i="1"/>
  <c r="CH720" i="1" s="1"/>
  <c r="AC720" i="1"/>
  <c r="CF720" i="1" s="1"/>
  <c r="BM720" i="1" s="1"/>
  <c r="V720" i="1"/>
  <c r="U720" i="1"/>
  <c r="T720" i="1"/>
  <c r="CE716" i="1"/>
  <c r="BZ716" i="1" s="1"/>
  <c r="CC716" i="1"/>
  <c r="CB716" i="1"/>
  <c r="CA716" i="1"/>
  <c r="BY716" i="1"/>
  <c r="BW716" i="1"/>
  <c r="BV716" i="1"/>
  <c r="BR716" i="1"/>
  <c r="BP716" i="1"/>
  <c r="BN716" i="1"/>
  <c r="BK716" i="1"/>
  <c r="BJ716" i="1"/>
  <c r="AJ716" i="1"/>
  <c r="CH716" i="1" s="1"/>
  <c r="AC716" i="1"/>
  <c r="CF716" i="1" s="1"/>
  <c r="BM716" i="1" s="1"/>
  <c r="V716" i="1"/>
  <c r="U716" i="1"/>
  <c r="T716" i="1"/>
  <c r="CE714" i="1"/>
  <c r="BZ714" i="1" s="1"/>
  <c r="CC714" i="1"/>
  <c r="CB714" i="1"/>
  <c r="CA714" i="1"/>
  <c r="BY714" i="1"/>
  <c r="BW714" i="1"/>
  <c r="BV714" i="1"/>
  <c r="BR714" i="1"/>
  <c r="BP714" i="1"/>
  <c r="BN714" i="1"/>
  <c r="BK714" i="1"/>
  <c r="BJ714" i="1"/>
  <c r="AJ714" i="1"/>
  <c r="AI714" i="1" s="1"/>
  <c r="CG714" i="1" s="1"/>
  <c r="AC714" i="1"/>
  <c r="CF714" i="1" s="1"/>
  <c r="BM714" i="1" s="1"/>
  <c r="V714" i="1"/>
  <c r="U714" i="1"/>
  <c r="T714" i="1"/>
  <c r="CE711" i="1"/>
  <c r="BZ711" i="1" s="1"/>
  <c r="CC711" i="1"/>
  <c r="CB711" i="1"/>
  <c r="CA711" i="1"/>
  <c r="BY711" i="1"/>
  <c r="BW711" i="1"/>
  <c r="BV711" i="1"/>
  <c r="BR711" i="1"/>
  <c r="BP711" i="1"/>
  <c r="BN711" i="1"/>
  <c r="BK711" i="1"/>
  <c r="BJ711" i="1"/>
  <c r="AJ711" i="1"/>
  <c r="CH711" i="1" s="1"/>
  <c r="AC711" i="1"/>
  <c r="CF711" i="1" s="1"/>
  <c r="BM711" i="1" s="1"/>
  <c r="V711" i="1"/>
  <c r="U711" i="1"/>
  <c r="T711" i="1"/>
  <c r="CE709" i="1"/>
  <c r="BZ709" i="1" s="1"/>
  <c r="CC709" i="1"/>
  <c r="CB709" i="1"/>
  <c r="CA709" i="1"/>
  <c r="BY709" i="1"/>
  <c r="BW709" i="1"/>
  <c r="BV709" i="1"/>
  <c r="BR709" i="1"/>
  <c r="BP709" i="1"/>
  <c r="BN709" i="1"/>
  <c r="BK709" i="1"/>
  <c r="BJ709" i="1"/>
  <c r="AJ709" i="1"/>
  <c r="CH709" i="1" s="1"/>
  <c r="AC709" i="1"/>
  <c r="CF709" i="1" s="1"/>
  <c r="BM709" i="1" s="1"/>
  <c r="V709" i="1"/>
  <c r="U709" i="1"/>
  <c r="T709" i="1"/>
  <c r="CE703" i="1"/>
  <c r="BZ703" i="1" s="1"/>
  <c r="CC703" i="1"/>
  <c r="CB703" i="1"/>
  <c r="CA703" i="1"/>
  <c r="BY703" i="1"/>
  <c r="BW703" i="1"/>
  <c r="BV703" i="1"/>
  <c r="BR703" i="1"/>
  <c r="BP703" i="1"/>
  <c r="BN703" i="1"/>
  <c r="BK703" i="1"/>
  <c r="BJ703" i="1"/>
  <c r="AJ703" i="1"/>
  <c r="CH703" i="1" s="1"/>
  <c r="AC703" i="1"/>
  <c r="CF703" i="1" s="1"/>
  <c r="BM703" i="1" s="1"/>
  <c r="V703" i="1"/>
  <c r="U703" i="1"/>
  <c r="T703" i="1"/>
  <c r="CE702" i="1"/>
  <c r="BZ702" i="1" s="1"/>
  <c r="CC702" i="1"/>
  <c r="CB702" i="1"/>
  <c r="CA702" i="1"/>
  <c r="BY702" i="1"/>
  <c r="BW702" i="1"/>
  <c r="BV702" i="1"/>
  <c r="BR702" i="1"/>
  <c r="BP702" i="1"/>
  <c r="BN702" i="1"/>
  <c r="BK702" i="1"/>
  <c r="BJ702" i="1"/>
  <c r="AJ702" i="1"/>
  <c r="AI702" i="1" s="1"/>
  <c r="CG702" i="1" s="1"/>
  <c r="AC702" i="1"/>
  <c r="CF702" i="1" s="1"/>
  <c r="BM702" i="1" s="1"/>
  <c r="V702" i="1"/>
  <c r="U702" i="1"/>
  <c r="T702" i="1"/>
  <c r="CE700" i="1"/>
  <c r="BZ700" i="1" s="1"/>
  <c r="CC700" i="1"/>
  <c r="CB700" i="1"/>
  <c r="CA700" i="1"/>
  <c r="BY700" i="1"/>
  <c r="BW700" i="1"/>
  <c r="BV700" i="1"/>
  <c r="BR700" i="1"/>
  <c r="BP700" i="1"/>
  <c r="BN700" i="1"/>
  <c r="BK700" i="1"/>
  <c r="BJ700" i="1"/>
  <c r="AJ700" i="1"/>
  <c r="CH700" i="1" s="1"/>
  <c r="AC700" i="1"/>
  <c r="CF700" i="1" s="1"/>
  <c r="BM700" i="1" s="1"/>
  <c r="V700" i="1"/>
  <c r="U700" i="1"/>
  <c r="T700" i="1"/>
  <c r="CE699" i="1"/>
  <c r="BZ699" i="1" s="1"/>
  <c r="CC699" i="1"/>
  <c r="CB699" i="1"/>
  <c r="CA699" i="1"/>
  <c r="BY699" i="1"/>
  <c r="BW699" i="1"/>
  <c r="BV699" i="1"/>
  <c r="BR699" i="1"/>
  <c r="BP699" i="1"/>
  <c r="BN699" i="1"/>
  <c r="BK699" i="1"/>
  <c r="BJ699" i="1"/>
  <c r="AJ699" i="1"/>
  <c r="CH699" i="1" s="1"/>
  <c r="AC699" i="1"/>
  <c r="CF699" i="1" s="1"/>
  <c r="BM699" i="1" s="1"/>
  <c r="V699" i="1"/>
  <c r="U699" i="1"/>
  <c r="T699" i="1"/>
  <c r="CE697" i="1"/>
  <c r="BZ697" i="1" s="1"/>
  <c r="CC697" i="1"/>
  <c r="CB697" i="1"/>
  <c r="CA697" i="1"/>
  <c r="BY697" i="1"/>
  <c r="BW697" i="1"/>
  <c r="BV697" i="1"/>
  <c r="BR697" i="1"/>
  <c r="BP697" i="1"/>
  <c r="BN697" i="1"/>
  <c r="BK697" i="1"/>
  <c r="BJ697" i="1"/>
  <c r="AJ697" i="1"/>
  <c r="CH697" i="1" s="1"/>
  <c r="AC697" i="1"/>
  <c r="CF697" i="1" s="1"/>
  <c r="BM697" i="1" s="1"/>
  <c r="V697" i="1"/>
  <c r="U697" i="1"/>
  <c r="T697" i="1"/>
  <c r="CE693" i="1"/>
  <c r="BZ693" i="1" s="1"/>
  <c r="CC693" i="1"/>
  <c r="CB693" i="1"/>
  <c r="CA693" i="1"/>
  <c r="BY693" i="1"/>
  <c r="BW693" i="1"/>
  <c r="BV693" i="1"/>
  <c r="BR693" i="1"/>
  <c r="BP693" i="1"/>
  <c r="BN693" i="1"/>
  <c r="BK693" i="1"/>
  <c r="BJ693" i="1"/>
  <c r="AJ693" i="1"/>
  <c r="AI693" i="1" s="1"/>
  <c r="CG693" i="1" s="1"/>
  <c r="AC693" i="1"/>
  <c r="CF693" i="1" s="1"/>
  <c r="BM693" i="1" s="1"/>
  <c r="V693" i="1"/>
  <c r="U693" i="1"/>
  <c r="T693" i="1"/>
  <c r="CE687" i="1"/>
  <c r="BZ687" i="1" s="1"/>
  <c r="CC687" i="1"/>
  <c r="CB687" i="1"/>
  <c r="CA687" i="1"/>
  <c r="BY687" i="1"/>
  <c r="BW687" i="1"/>
  <c r="BV687" i="1"/>
  <c r="BR687" i="1"/>
  <c r="BP687" i="1"/>
  <c r="BN687" i="1"/>
  <c r="BK687" i="1"/>
  <c r="BJ687" i="1"/>
  <c r="AJ687" i="1"/>
  <c r="CH687" i="1" s="1"/>
  <c r="AC687" i="1"/>
  <c r="CF687" i="1" s="1"/>
  <c r="BM687" i="1" s="1"/>
  <c r="V687" i="1"/>
  <c r="U687" i="1"/>
  <c r="T687" i="1"/>
  <c r="CE674" i="1"/>
  <c r="BZ674" i="1" s="1"/>
  <c r="CC674" i="1"/>
  <c r="CB674" i="1"/>
  <c r="CA674" i="1"/>
  <c r="BY674" i="1"/>
  <c r="BW674" i="1"/>
  <c r="BV674" i="1"/>
  <c r="BR674" i="1"/>
  <c r="BP674" i="1"/>
  <c r="BN674" i="1"/>
  <c r="BK674" i="1"/>
  <c r="BJ674" i="1"/>
  <c r="AJ674" i="1"/>
  <c r="CH674" i="1" s="1"/>
  <c r="AC674" i="1"/>
  <c r="CF674" i="1" s="1"/>
  <c r="BM674" i="1" s="1"/>
  <c r="V674" i="1"/>
  <c r="U674" i="1"/>
  <c r="T674" i="1"/>
  <c r="CE671" i="1"/>
  <c r="BZ671" i="1" s="1"/>
  <c r="CC671" i="1"/>
  <c r="CB671" i="1"/>
  <c r="CA671" i="1"/>
  <c r="BY671" i="1"/>
  <c r="BW671" i="1"/>
  <c r="BV671" i="1"/>
  <c r="BR671" i="1"/>
  <c r="BP671" i="1"/>
  <c r="BN671" i="1"/>
  <c r="BK671" i="1"/>
  <c r="BJ671" i="1"/>
  <c r="AJ671" i="1"/>
  <c r="CH671" i="1" s="1"/>
  <c r="AC671" i="1"/>
  <c r="CF671" i="1" s="1"/>
  <c r="BM671" i="1" s="1"/>
  <c r="V671" i="1"/>
  <c r="U671" i="1"/>
  <c r="T671" i="1"/>
  <c r="CE649" i="1"/>
  <c r="BZ649" i="1" s="1"/>
  <c r="CC649" i="1"/>
  <c r="CB649" i="1"/>
  <c r="CA649" i="1"/>
  <c r="BY649" i="1"/>
  <c r="BW649" i="1"/>
  <c r="BV649" i="1"/>
  <c r="BR649" i="1"/>
  <c r="BP649" i="1"/>
  <c r="BN649" i="1"/>
  <c r="BK649" i="1"/>
  <c r="BJ649" i="1"/>
  <c r="AJ649" i="1"/>
  <c r="AI649" i="1" s="1"/>
  <c r="CG649" i="1" s="1"/>
  <c r="AC649" i="1"/>
  <c r="CF649" i="1" s="1"/>
  <c r="BM649" i="1" s="1"/>
  <c r="V649" i="1"/>
  <c r="U649" i="1"/>
  <c r="T649" i="1"/>
  <c r="CE646" i="1"/>
  <c r="BZ646" i="1" s="1"/>
  <c r="CC646" i="1"/>
  <c r="CB646" i="1"/>
  <c r="CA646" i="1"/>
  <c r="BY646" i="1"/>
  <c r="BW646" i="1"/>
  <c r="BV646" i="1"/>
  <c r="BR646" i="1"/>
  <c r="BP646" i="1"/>
  <c r="BN646" i="1"/>
  <c r="BK646" i="1"/>
  <c r="BJ646" i="1"/>
  <c r="AJ646" i="1"/>
  <c r="CH646" i="1" s="1"/>
  <c r="AC646" i="1"/>
  <c r="CF646" i="1" s="1"/>
  <c r="BM646" i="1" s="1"/>
  <c r="V646" i="1"/>
  <c r="U646" i="1"/>
  <c r="T646" i="1"/>
  <c r="CE644" i="1"/>
  <c r="BZ644" i="1" s="1"/>
  <c r="CC644" i="1"/>
  <c r="CB644" i="1"/>
  <c r="CA644" i="1"/>
  <c r="BY644" i="1"/>
  <c r="BW644" i="1"/>
  <c r="BV644" i="1"/>
  <c r="BR644" i="1"/>
  <c r="BP644" i="1"/>
  <c r="BN644" i="1"/>
  <c r="BK644" i="1"/>
  <c r="BJ644" i="1"/>
  <c r="AJ644" i="1"/>
  <c r="AI644" i="1" s="1"/>
  <c r="CG644" i="1" s="1"/>
  <c r="AC644" i="1"/>
  <c r="CF644" i="1" s="1"/>
  <c r="BM644" i="1" s="1"/>
  <c r="V644" i="1"/>
  <c r="U644" i="1"/>
  <c r="T644" i="1"/>
  <c r="CE642" i="1"/>
  <c r="BZ642" i="1" s="1"/>
  <c r="CC642" i="1"/>
  <c r="CB642" i="1"/>
  <c r="CA642" i="1"/>
  <c r="BY642" i="1"/>
  <c r="BW642" i="1"/>
  <c r="BV642" i="1"/>
  <c r="BR642" i="1"/>
  <c r="BP642" i="1"/>
  <c r="BN642" i="1"/>
  <c r="BK642" i="1"/>
  <c r="BJ642" i="1"/>
  <c r="AJ642" i="1"/>
  <c r="CH642" i="1" s="1"/>
  <c r="AC642" i="1"/>
  <c r="CF642" i="1" s="1"/>
  <c r="BM642" i="1" s="1"/>
  <c r="V642" i="1"/>
  <c r="U642" i="1"/>
  <c r="T642" i="1"/>
  <c r="CE632" i="1"/>
  <c r="BZ632" i="1" s="1"/>
  <c r="CC632" i="1"/>
  <c r="CB632" i="1"/>
  <c r="CA632" i="1"/>
  <c r="BY632" i="1"/>
  <c r="BW632" i="1"/>
  <c r="BV632" i="1"/>
  <c r="BR632" i="1"/>
  <c r="BP632" i="1"/>
  <c r="BN632" i="1"/>
  <c r="BK632" i="1"/>
  <c r="BJ632" i="1"/>
  <c r="AJ632" i="1"/>
  <c r="AI632" i="1" s="1"/>
  <c r="CG632" i="1" s="1"/>
  <c r="AC632" i="1"/>
  <c r="CF632" i="1" s="1"/>
  <c r="BM632" i="1" s="1"/>
  <c r="V632" i="1"/>
  <c r="U632" i="1"/>
  <c r="T632" i="1"/>
  <c r="CE630" i="1"/>
  <c r="BZ630" i="1" s="1"/>
  <c r="CC630" i="1"/>
  <c r="CB630" i="1"/>
  <c r="CA630" i="1"/>
  <c r="BY630" i="1"/>
  <c r="BW630" i="1"/>
  <c r="BV630" i="1"/>
  <c r="BR630" i="1"/>
  <c r="BP630" i="1"/>
  <c r="BN630" i="1"/>
  <c r="BK630" i="1"/>
  <c r="BJ630" i="1"/>
  <c r="AJ630" i="1"/>
  <c r="AI630" i="1" s="1"/>
  <c r="CG630" i="1" s="1"/>
  <c r="AC630" i="1"/>
  <c r="CF630" i="1" s="1"/>
  <c r="BM630" i="1" s="1"/>
  <c r="V630" i="1"/>
  <c r="U630" i="1"/>
  <c r="T630" i="1"/>
  <c r="CE614" i="1"/>
  <c r="BZ614" i="1" s="1"/>
  <c r="CC614" i="1"/>
  <c r="CB614" i="1"/>
  <c r="CA614" i="1"/>
  <c r="BY614" i="1"/>
  <c r="BW614" i="1"/>
  <c r="BV614" i="1"/>
  <c r="BR614" i="1"/>
  <c r="BP614" i="1"/>
  <c r="BN614" i="1"/>
  <c r="BK614" i="1"/>
  <c r="BJ614" i="1"/>
  <c r="AJ614" i="1"/>
  <c r="CH614" i="1" s="1"/>
  <c r="AC614" i="1"/>
  <c r="CF614" i="1" s="1"/>
  <c r="BM614" i="1" s="1"/>
  <c r="V614" i="1"/>
  <c r="U614" i="1"/>
  <c r="T614" i="1"/>
  <c r="CE612" i="1"/>
  <c r="BZ612" i="1" s="1"/>
  <c r="CC612" i="1"/>
  <c r="CB612" i="1"/>
  <c r="CA612" i="1"/>
  <c r="BY612" i="1"/>
  <c r="BW612" i="1"/>
  <c r="BV612" i="1"/>
  <c r="BR612" i="1"/>
  <c r="BP612" i="1"/>
  <c r="BN612" i="1"/>
  <c r="BK612" i="1"/>
  <c r="BJ612" i="1"/>
  <c r="AJ612" i="1"/>
  <c r="CH612" i="1" s="1"/>
  <c r="AC612" i="1"/>
  <c r="CF612" i="1" s="1"/>
  <c r="BM612" i="1" s="1"/>
  <c r="V612" i="1"/>
  <c r="U612" i="1"/>
  <c r="T612" i="1"/>
  <c r="CE610" i="1"/>
  <c r="BZ610" i="1" s="1"/>
  <c r="CC610" i="1"/>
  <c r="CB610" i="1"/>
  <c r="CA610" i="1"/>
  <c r="BY610" i="1"/>
  <c r="BW610" i="1"/>
  <c r="BV610" i="1"/>
  <c r="BR610" i="1"/>
  <c r="BP610" i="1"/>
  <c r="BN610" i="1"/>
  <c r="BK610" i="1"/>
  <c r="BJ610" i="1"/>
  <c r="AJ610" i="1"/>
  <c r="CH610" i="1" s="1"/>
  <c r="AC610" i="1"/>
  <c r="CF610" i="1" s="1"/>
  <c r="BM610" i="1" s="1"/>
  <c r="V610" i="1"/>
  <c r="U610" i="1"/>
  <c r="T610" i="1"/>
  <c r="CE608" i="1"/>
  <c r="BZ608" i="1" s="1"/>
  <c r="CC608" i="1"/>
  <c r="CB608" i="1"/>
  <c r="CA608" i="1"/>
  <c r="BY608" i="1"/>
  <c r="BW608" i="1"/>
  <c r="BV608" i="1"/>
  <c r="BR608" i="1"/>
  <c r="BP608" i="1"/>
  <c r="BN608" i="1"/>
  <c r="BK608" i="1"/>
  <c r="BJ608" i="1"/>
  <c r="AJ608" i="1"/>
  <c r="AI608" i="1" s="1"/>
  <c r="CG608" i="1" s="1"/>
  <c r="AC608" i="1"/>
  <c r="CF608" i="1" s="1"/>
  <c r="BM608" i="1" s="1"/>
  <c r="V608" i="1"/>
  <c r="U608" i="1"/>
  <c r="T608" i="1"/>
  <c r="CE606" i="1"/>
  <c r="BZ606" i="1" s="1"/>
  <c r="CC606" i="1"/>
  <c r="CB606" i="1"/>
  <c r="CA606" i="1"/>
  <c r="BY606" i="1"/>
  <c r="BW606" i="1"/>
  <c r="BV606" i="1"/>
  <c r="BR606" i="1"/>
  <c r="BP606" i="1"/>
  <c r="BN606" i="1"/>
  <c r="BK606" i="1"/>
  <c r="BJ606" i="1"/>
  <c r="AJ606" i="1"/>
  <c r="CH606" i="1" s="1"/>
  <c r="AC606" i="1"/>
  <c r="CF606" i="1" s="1"/>
  <c r="BM606" i="1" s="1"/>
  <c r="V606" i="1"/>
  <c r="U606" i="1"/>
  <c r="T606" i="1"/>
  <c r="CE598" i="1"/>
  <c r="BZ598" i="1" s="1"/>
  <c r="CC598" i="1"/>
  <c r="CB598" i="1"/>
  <c r="CA598" i="1"/>
  <c r="BY598" i="1"/>
  <c r="BW598" i="1"/>
  <c r="BV598" i="1"/>
  <c r="BR598" i="1"/>
  <c r="BP598" i="1"/>
  <c r="BN598" i="1"/>
  <c r="BK598" i="1"/>
  <c r="BJ598" i="1"/>
  <c r="AJ598" i="1"/>
  <c r="CH598" i="1" s="1"/>
  <c r="AC598" i="1"/>
  <c r="CF598" i="1" s="1"/>
  <c r="BM598" i="1" s="1"/>
  <c r="V598" i="1"/>
  <c r="U598" i="1"/>
  <c r="T598" i="1"/>
  <c r="CE597" i="1"/>
  <c r="BZ597" i="1" s="1"/>
  <c r="CC597" i="1"/>
  <c r="CB597" i="1"/>
  <c r="CA597" i="1"/>
  <c r="BY597" i="1"/>
  <c r="BW597" i="1"/>
  <c r="BV597" i="1"/>
  <c r="BR597" i="1"/>
  <c r="BP597" i="1"/>
  <c r="BN597" i="1"/>
  <c r="BK597" i="1"/>
  <c r="BJ597" i="1"/>
  <c r="AJ597" i="1"/>
  <c r="CH597" i="1" s="1"/>
  <c r="AC597" i="1"/>
  <c r="CF597" i="1" s="1"/>
  <c r="BM597" i="1" s="1"/>
  <c r="V597" i="1"/>
  <c r="U597" i="1"/>
  <c r="T597" i="1"/>
  <c r="CE596" i="1"/>
  <c r="BZ596" i="1" s="1"/>
  <c r="CC596" i="1"/>
  <c r="CB596" i="1"/>
  <c r="CA596" i="1"/>
  <c r="BY596" i="1"/>
  <c r="BW596" i="1"/>
  <c r="BV596" i="1"/>
  <c r="BR596" i="1"/>
  <c r="BP596" i="1"/>
  <c r="BN596" i="1"/>
  <c r="BK596" i="1"/>
  <c r="BJ596" i="1"/>
  <c r="AJ596" i="1"/>
  <c r="AI596" i="1" s="1"/>
  <c r="CG596" i="1" s="1"/>
  <c r="AC596" i="1"/>
  <c r="CF596" i="1" s="1"/>
  <c r="BM596" i="1" s="1"/>
  <c r="V596" i="1"/>
  <c r="U596" i="1"/>
  <c r="T596" i="1"/>
  <c r="CE595" i="1"/>
  <c r="BZ595" i="1" s="1"/>
  <c r="CC595" i="1"/>
  <c r="CB595" i="1"/>
  <c r="CA595" i="1"/>
  <c r="BY595" i="1"/>
  <c r="BW595" i="1"/>
  <c r="BV595" i="1"/>
  <c r="BR595" i="1"/>
  <c r="BP595" i="1"/>
  <c r="BN595" i="1"/>
  <c r="BK595" i="1"/>
  <c r="BJ595" i="1"/>
  <c r="AJ595" i="1"/>
  <c r="CH595" i="1" s="1"/>
  <c r="AC595" i="1"/>
  <c r="CF595" i="1" s="1"/>
  <c r="BM595" i="1" s="1"/>
  <c r="V595" i="1"/>
  <c r="U595" i="1"/>
  <c r="T595" i="1"/>
  <c r="CE593" i="1"/>
  <c r="BZ593" i="1" s="1"/>
  <c r="CC593" i="1"/>
  <c r="CB593" i="1"/>
  <c r="CA593" i="1"/>
  <c r="BY593" i="1"/>
  <c r="BW593" i="1"/>
  <c r="BV593" i="1"/>
  <c r="BR593" i="1"/>
  <c r="BP593" i="1"/>
  <c r="BN593" i="1"/>
  <c r="BK593" i="1"/>
  <c r="BJ593" i="1"/>
  <c r="AJ593" i="1"/>
  <c r="CH593" i="1" s="1"/>
  <c r="AC593" i="1"/>
  <c r="CF593" i="1" s="1"/>
  <c r="BM593" i="1" s="1"/>
  <c r="V593" i="1"/>
  <c r="U593" i="1"/>
  <c r="T593" i="1"/>
  <c r="CE589" i="1"/>
  <c r="BZ589" i="1" s="1"/>
  <c r="CC589" i="1"/>
  <c r="CB589" i="1"/>
  <c r="CA589" i="1"/>
  <c r="BY589" i="1"/>
  <c r="BW589" i="1"/>
  <c r="BV589" i="1"/>
  <c r="BR589" i="1"/>
  <c r="BP589" i="1"/>
  <c r="BN589" i="1"/>
  <c r="BK589" i="1"/>
  <c r="BJ589" i="1"/>
  <c r="AJ589" i="1"/>
  <c r="CH589" i="1" s="1"/>
  <c r="AC589" i="1"/>
  <c r="CF589" i="1" s="1"/>
  <c r="BM589" i="1" s="1"/>
  <c r="V589" i="1"/>
  <c r="U589" i="1"/>
  <c r="T589" i="1"/>
  <c r="CE582" i="1"/>
  <c r="BZ582" i="1" s="1"/>
  <c r="CC582" i="1"/>
  <c r="CB582" i="1"/>
  <c r="CA582" i="1"/>
  <c r="BY582" i="1"/>
  <c r="BW582" i="1"/>
  <c r="BV582" i="1"/>
  <c r="BR582" i="1"/>
  <c r="BP582" i="1"/>
  <c r="BN582" i="1"/>
  <c r="BK582" i="1"/>
  <c r="BJ582" i="1"/>
  <c r="AJ582" i="1"/>
  <c r="AI582" i="1" s="1"/>
  <c r="CG582" i="1" s="1"/>
  <c r="AC582" i="1"/>
  <c r="CF582" i="1" s="1"/>
  <c r="BM582" i="1" s="1"/>
  <c r="V582" i="1"/>
  <c r="U582" i="1"/>
  <c r="T582" i="1"/>
  <c r="CE578" i="1"/>
  <c r="BZ578" i="1" s="1"/>
  <c r="CC578" i="1"/>
  <c r="CB578" i="1"/>
  <c r="CA578" i="1"/>
  <c r="BY578" i="1"/>
  <c r="BW578" i="1"/>
  <c r="BV578" i="1"/>
  <c r="BR578" i="1"/>
  <c r="BP578" i="1"/>
  <c r="BN578" i="1"/>
  <c r="BK578" i="1"/>
  <c r="BJ578" i="1"/>
  <c r="AJ578" i="1"/>
  <c r="CH578" i="1" s="1"/>
  <c r="AC578" i="1"/>
  <c r="CF578" i="1" s="1"/>
  <c r="BM578" i="1" s="1"/>
  <c r="V578" i="1"/>
  <c r="U578" i="1"/>
  <c r="T578" i="1"/>
  <c r="CE576" i="1"/>
  <c r="BZ576" i="1" s="1"/>
  <c r="CC576" i="1"/>
  <c r="CB576" i="1"/>
  <c r="CA576" i="1"/>
  <c r="BY576" i="1"/>
  <c r="BW576" i="1"/>
  <c r="BV576" i="1"/>
  <c r="BR576" i="1"/>
  <c r="BP576" i="1"/>
  <c r="BN576" i="1"/>
  <c r="BK576" i="1"/>
  <c r="BJ576" i="1"/>
  <c r="AJ576" i="1"/>
  <c r="CH576" i="1" s="1"/>
  <c r="AC576" i="1"/>
  <c r="CF576" i="1" s="1"/>
  <c r="BM576" i="1" s="1"/>
  <c r="V576" i="1"/>
  <c r="U576" i="1"/>
  <c r="T576" i="1"/>
  <c r="CE568" i="1"/>
  <c r="BZ568" i="1" s="1"/>
  <c r="CC568" i="1"/>
  <c r="CB568" i="1"/>
  <c r="CA568" i="1"/>
  <c r="BY568" i="1"/>
  <c r="BW568" i="1"/>
  <c r="BV568" i="1"/>
  <c r="BR568" i="1"/>
  <c r="BP568" i="1"/>
  <c r="BN568" i="1"/>
  <c r="BK568" i="1"/>
  <c r="BJ568" i="1"/>
  <c r="AJ568" i="1"/>
  <c r="CH568" i="1" s="1"/>
  <c r="AC568" i="1"/>
  <c r="CF568" i="1" s="1"/>
  <c r="BM568" i="1" s="1"/>
  <c r="V568" i="1"/>
  <c r="U568" i="1"/>
  <c r="T568" i="1"/>
  <c r="CE566" i="1"/>
  <c r="BZ566" i="1" s="1"/>
  <c r="CC566" i="1"/>
  <c r="CB566" i="1"/>
  <c r="CA566" i="1"/>
  <c r="BY566" i="1"/>
  <c r="BW566" i="1"/>
  <c r="BV566" i="1"/>
  <c r="BR566" i="1"/>
  <c r="BP566" i="1"/>
  <c r="BN566" i="1"/>
  <c r="BK566" i="1"/>
  <c r="BJ566" i="1"/>
  <c r="AJ566" i="1"/>
  <c r="AI566" i="1" s="1"/>
  <c r="CG566" i="1" s="1"/>
  <c r="AC566" i="1"/>
  <c r="CF566" i="1" s="1"/>
  <c r="BM566" i="1" s="1"/>
  <c r="V566" i="1"/>
  <c r="U566" i="1"/>
  <c r="T566" i="1"/>
  <c r="CE565" i="1"/>
  <c r="BZ565" i="1" s="1"/>
  <c r="CC565" i="1"/>
  <c r="CB565" i="1"/>
  <c r="CA565" i="1"/>
  <c r="BY565" i="1"/>
  <c r="BW565" i="1"/>
  <c r="BV565" i="1"/>
  <c r="BR565" i="1"/>
  <c r="BP565" i="1"/>
  <c r="BN565" i="1"/>
  <c r="BK565" i="1"/>
  <c r="BJ565" i="1"/>
  <c r="AJ565" i="1"/>
  <c r="CH565" i="1" s="1"/>
  <c r="AC565" i="1"/>
  <c r="CF565" i="1" s="1"/>
  <c r="BM565" i="1" s="1"/>
  <c r="V565" i="1"/>
  <c r="U565" i="1"/>
  <c r="T565" i="1"/>
  <c r="CE561" i="1"/>
  <c r="BZ561" i="1" s="1"/>
  <c r="CC561" i="1"/>
  <c r="CB561" i="1"/>
  <c r="CA561" i="1"/>
  <c r="BY561" i="1"/>
  <c r="BW561" i="1"/>
  <c r="BV561" i="1"/>
  <c r="BR561" i="1"/>
  <c r="BP561" i="1"/>
  <c r="BN561" i="1"/>
  <c r="BK561" i="1"/>
  <c r="BJ561" i="1"/>
  <c r="AJ561" i="1"/>
  <c r="CH561" i="1" s="1"/>
  <c r="AC561" i="1"/>
  <c r="CF561" i="1" s="1"/>
  <c r="BM561" i="1" s="1"/>
  <c r="V561" i="1"/>
  <c r="U561" i="1"/>
  <c r="T561" i="1"/>
  <c r="CE547" i="1"/>
  <c r="BZ547" i="1" s="1"/>
  <c r="CC547" i="1"/>
  <c r="CB547" i="1"/>
  <c r="CA547" i="1"/>
  <c r="BY547" i="1"/>
  <c r="BW547" i="1"/>
  <c r="BV547" i="1"/>
  <c r="BR547" i="1"/>
  <c r="BP547" i="1"/>
  <c r="BN547" i="1"/>
  <c r="BK547" i="1"/>
  <c r="BJ547" i="1"/>
  <c r="AJ547" i="1"/>
  <c r="CH547" i="1" s="1"/>
  <c r="AC547" i="1"/>
  <c r="CF547" i="1" s="1"/>
  <c r="BM547" i="1" s="1"/>
  <c r="V547" i="1"/>
  <c r="U547" i="1"/>
  <c r="T547" i="1"/>
  <c r="CE544" i="1"/>
  <c r="BZ544" i="1" s="1"/>
  <c r="CC544" i="1"/>
  <c r="CB544" i="1"/>
  <c r="CA544" i="1"/>
  <c r="BY544" i="1"/>
  <c r="BW544" i="1"/>
  <c r="BV544" i="1"/>
  <c r="BR544" i="1"/>
  <c r="BP544" i="1"/>
  <c r="BN544" i="1"/>
  <c r="BK544" i="1"/>
  <c r="BJ544" i="1"/>
  <c r="AJ544" i="1"/>
  <c r="AI544" i="1" s="1"/>
  <c r="CG544" i="1" s="1"/>
  <c r="AC544" i="1"/>
  <c r="CF544" i="1" s="1"/>
  <c r="BM544" i="1" s="1"/>
  <c r="V544" i="1"/>
  <c r="U544" i="1"/>
  <c r="T544" i="1"/>
  <c r="CE533" i="1"/>
  <c r="BZ533" i="1" s="1"/>
  <c r="CC533" i="1"/>
  <c r="CB533" i="1"/>
  <c r="CA533" i="1"/>
  <c r="BY533" i="1"/>
  <c r="BW533" i="1"/>
  <c r="BV533" i="1"/>
  <c r="BR533" i="1"/>
  <c r="BP533" i="1"/>
  <c r="BN533" i="1"/>
  <c r="BK533" i="1"/>
  <c r="BJ533" i="1"/>
  <c r="AJ533" i="1"/>
  <c r="CH533" i="1" s="1"/>
  <c r="AC533" i="1"/>
  <c r="CF533" i="1" s="1"/>
  <c r="BM533" i="1" s="1"/>
  <c r="V533" i="1"/>
  <c r="U533" i="1"/>
  <c r="T533" i="1"/>
  <c r="CE516" i="1"/>
  <c r="BZ516" i="1" s="1"/>
  <c r="CC516" i="1"/>
  <c r="CB516" i="1"/>
  <c r="CA516" i="1"/>
  <c r="BY516" i="1"/>
  <c r="BW516" i="1"/>
  <c r="BV516" i="1"/>
  <c r="BR516" i="1"/>
  <c r="BP516" i="1"/>
  <c r="BN516" i="1"/>
  <c r="BK516" i="1"/>
  <c r="BJ516" i="1"/>
  <c r="AJ516" i="1"/>
  <c r="CH516" i="1" s="1"/>
  <c r="AC516" i="1"/>
  <c r="CF516" i="1" s="1"/>
  <c r="BM516" i="1" s="1"/>
  <c r="V516" i="1"/>
  <c r="U516" i="1"/>
  <c r="T516" i="1"/>
  <c r="CE515" i="1"/>
  <c r="BZ515" i="1" s="1"/>
  <c r="CC515" i="1"/>
  <c r="CB515" i="1"/>
  <c r="CA515" i="1"/>
  <c r="BY515" i="1"/>
  <c r="BW515" i="1"/>
  <c r="BV515" i="1"/>
  <c r="BR515" i="1"/>
  <c r="BP515" i="1"/>
  <c r="BN515" i="1"/>
  <c r="BK515" i="1"/>
  <c r="BJ515" i="1"/>
  <c r="AJ515" i="1"/>
  <c r="CH515" i="1" s="1"/>
  <c r="AC515" i="1"/>
  <c r="CF515" i="1" s="1"/>
  <c r="BM515" i="1" s="1"/>
  <c r="V515" i="1"/>
  <c r="U515" i="1"/>
  <c r="T515" i="1"/>
  <c r="CE511" i="1"/>
  <c r="BZ511" i="1" s="1"/>
  <c r="CC511" i="1"/>
  <c r="CB511" i="1"/>
  <c r="CA511" i="1"/>
  <c r="BY511" i="1"/>
  <c r="BW511" i="1"/>
  <c r="BV511" i="1"/>
  <c r="BR511" i="1"/>
  <c r="BP511" i="1"/>
  <c r="BN511" i="1"/>
  <c r="BK511" i="1"/>
  <c r="BJ511" i="1"/>
  <c r="AJ511" i="1"/>
  <c r="AI511" i="1" s="1"/>
  <c r="CG511" i="1" s="1"/>
  <c r="AC511" i="1"/>
  <c r="CF511" i="1" s="1"/>
  <c r="BM511" i="1" s="1"/>
  <c r="V511" i="1"/>
  <c r="U511" i="1"/>
  <c r="T511" i="1"/>
  <c r="CE494" i="1"/>
  <c r="BZ494" i="1" s="1"/>
  <c r="CC494" i="1"/>
  <c r="CB494" i="1"/>
  <c r="CA494" i="1"/>
  <c r="BY494" i="1"/>
  <c r="BW494" i="1"/>
  <c r="BV494" i="1"/>
  <c r="BR494" i="1"/>
  <c r="BP494" i="1"/>
  <c r="BN494" i="1"/>
  <c r="BK494" i="1"/>
  <c r="BJ494" i="1"/>
  <c r="AJ494" i="1"/>
  <c r="CH494" i="1" s="1"/>
  <c r="AC494" i="1"/>
  <c r="CF494" i="1" s="1"/>
  <c r="BM494" i="1" s="1"/>
  <c r="V494" i="1"/>
  <c r="U494" i="1"/>
  <c r="T494" i="1"/>
  <c r="CE490" i="1"/>
  <c r="BZ490" i="1" s="1"/>
  <c r="CC490" i="1"/>
  <c r="CB490" i="1"/>
  <c r="CA490" i="1"/>
  <c r="BY490" i="1"/>
  <c r="BW490" i="1"/>
  <c r="BV490" i="1"/>
  <c r="BR490" i="1"/>
  <c r="BP490" i="1"/>
  <c r="BN490" i="1"/>
  <c r="BK490" i="1"/>
  <c r="BJ490" i="1"/>
  <c r="AJ490" i="1"/>
  <c r="CH490" i="1" s="1"/>
  <c r="AC490" i="1"/>
  <c r="CF490" i="1" s="1"/>
  <c r="BM490" i="1" s="1"/>
  <c r="V490" i="1"/>
  <c r="U490" i="1"/>
  <c r="T490" i="1"/>
  <c r="CE488" i="1"/>
  <c r="BZ488" i="1" s="1"/>
  <c r="CC488" i="1"/>
  <c r="CB488" i="1"/>
  <c r="CA488" i="1"/>
  <c r="BY488" i="1"/>
  <c r="BW488" i="1"/>
  <c r="BV488" i="1"/>
  <c r="BR488" i="1"/>
  <c r="BP488" i="1"/>
  <c r="BN488" i="1"/>
  <c r="BK488" i="1"/>
  <c r="BJ488" i="1"/>
  <c r="AJ488" i="1"/>
  <c r="CH488" i="1" s="1"/>
  <c r="AC488" i="1"/>
  <c r="CF488" i="1" s="1"/>
  <c r="BM488" i="1" s="1"/>
  <c r="V488" i="1"/>
  <c r="U488" i="1"/>
  <c r="T488" i="1"/>
  <c r="CE486" i="1"/>
  <c r="BZ486" i="1" s="1"/>
  <c r="CC486" i="1"/>
  <c r="CB486" i="1"/>
  <c r="CA486" i="1"/>
  <c r="BY486" i="1"/>
  <c r="BW486" i="1"/>
  <c r="BV486" i="1"/>
  <c r="BR486" i="1"/>
  <c r="BP486" i="1"/>
  <c r="BN486" i="1"/>
  <c r="BK486" i="1"/>
  <c r="BJ486" i="1"/>
  <c r="AJ486" i="1"/>
  <c r="AI486" i="1" s="1"/>
  <c r="CG486" i="1" s="1"/>
  <c r="AC486" i="1"/>
  <c r="CF486" i="1" s="1"/>
  <c r="BM486" i="1" s="1"/>
  <c r="V486" i="1"/>
  <c r="U486" i="1"/>
  <c r="T486" i="1"/>
  <c r="CE485" i="1"/>
  <c r="BZ485" i="1" s="1"/>
  <c r="CC485" i="1"/>
  <c r="CB485" i="1"/>
  <c r="CA485" i="1"/>
  <c r="BY485" i="1"/>
  <c r="BW485" i="1"/>
  <c r="BV485" i="1"/>
  <c r="BR485" i="1"/>
  <c r="BP485" i="1"/>
  <c r="BN485" i="1"/>
  <c r="BK485" i="1"/>
  <c r="BJ485" i="1"/>
  <c r="AJ485" i="1"/>
  <c r="CH485" i="1" s="1"/>
  <c r="AC485" i="1"/>
  <c r="CF485" i="1" s="1"/>
  <c r="BM485" i="1" s="1"/>
  <c r="V485" i="1"/>
  <c r="U485" i="1"/>
  <c r="T485" i="1"/>
  <c r="CE480" i="1"/>
  <c r="BZ480" i="1" s="1"/>
  <c r="CC480" i="1"/>
  <c r="CB480" i="1"/>
  <c r="CA480" i="1"/>
  <c r="BY480" i="1"/>
  <c r="BW480" i="1"/>
  <c r="BV480" i="1"/>
  <c r="BR480" i="1"/>
  <c r="BP480" i="1"/>
  <c r="BN480" i="1"/>
  <c r="BK480" i="1"/>
  <c r="BJ480" i="1"/>
  <c r="AJ480" i="1"/>
  <c r="CH480" i="1" s="1"/>
  <c r="AC480" i="1"/>
  <c r="CF480" i="1" s="1"/>
  <c r="BM480" i="1" s="1"/>
  <c r="V480" i="1"/>
  <c r="U480" i="1"/>
  <c r="T480" i="1"/>
  <c r="CE479" i="1"/>
  <c r="BZ479" i="1" s="1"/>
  <c r="CC479" i="1"/>
  <c r="CB479" i="1"/>
  <c r="CA479" i="1"/>
  <c r="BY479" i="1"/>
  <c r="BW479" i="1"/>
  <c r="BV479" i="1"/>
  <c r="BR479" i="1"/>
  <c r="BP479" i="1"/>
  <c r="BN479" i="1"/>
  <c r="BK479" i="1"/>
  <c r="BJ479" i="1"/>
  <c r="AJ479" i="1"/>
  <c r="CH479" i="1" s="1"/>
  <c r="AC479" i="1"/>
  <c r="CF479" i="1" s="1"/>
  <c r="BM479" i="1" s="1"/>
  <c r="V479" i="1"/>
  <c r="U479" i="1"/>
  <c r="T479" i="1"/>
  <c r="CE477" i="1"/>
  <c r="BZ477" i="1" s="1"/>
  <c r="CC477" i="1"/>
  <c r="CB477" i="1"/>
  <c r="CA477" i="1"/>
  <c r="BY477" i="1"/>
  <c r="BW477" i="1"/>
  <c r="BV477" i="1"/>
  <c r="BR477" i="1"/>
  <c r="BP477" i="1"/>
  <c r="BN477" i="1"/>
  <c r="BK477" i="1"/>
  <c r="BJ477" i="1"/>
  <c r="AJ477" i="1"/>
  <c r="AI477" i="1" s="1"/>
  <c r="CG477" i="1" s="1"/>
  <c r="AC477" i="1"/>
  <c r="CF477" i="1" s="1"/>
  <c r="BM477" i="1" s="1"/>
  <c r="V477" i="1"/>
  <c r="U477" i="1"/>
  <c r="T477" i="1"/>
  <c r="CE476" i="1"/>
  <c r="BZ476" i="1" s="1"/>
  <c r="CC476" i="1"/>
  <c r="CB476" i="1"/>
  <c r="CA476" i="1"/>
  <c r="BY476" i="1"/>
  <c r="BW476" i="1"/>
  <c r="BV476" i="1"/>
  <c r="BR476" i="1"/>
  <c r="BP476" i="1"/>
  <c r="BN476" i="1"/>
  <c r="BK476" i="1"/>
  <c r="BJ476" i="1"/>
  <c r="AJ476" i="1"/>
  <c r="CH476" i="1" s="1"/>
  <c r="AC476" i="1"/>
  <c r="CF476" i="1" s="1"/>
  <c r="BM476" i="1" s="1"/>
  <c r="V476" i="1"/>
  <c r="U476" i="1"/>
  <c r="T476" i="1"/>
  <c r="CE467" i="1"/>
  <c r="BZ467" i="1" s="1"/>
  <c r="CC467" i="1"/>
  <c r="CB467" i="1"/>
  <c r="CA467" i="1"/>
  <c r="BY467" i="1"/>
  <c r="BW467" i="1"/>
  <c r="BV467" i="1"/>
  <c r="BR467" i="1"/>
  <c r="BP467" i="1"/>
  <c r="BN467" i="1"/>
  <c r="BK467" i="1"/>
  <c r="BJ467" i="1"/>
  <c r="AJ467" i="1"/>
  <c r="CH467" i="1" s="1"/>
  <c r="AC467" i="1"/>
  <c r="CF467" i="1" s="1"/>
  <c r="BM467" i="1" s="1"/>
  <c r="V467" i="1"/>
  <c r="U467" i="1"/>
  <c r="T467" i="1"/>
  <c r="CE465" i="1"/>
  <c r="BZ465" i="1" s="1"/>
  <c r="CC465" i="1"/>
  <c r="CB465" i="1"/>
  <c r="CA465" i="1"/>
  <c r="BY465" i="1"/>
  <c r="BW465" i="1"/>
  <c r="BV465" i="1"/>
  <c r="BR465" i="1"/>
  <c r="BP465" i="1"/>
  <c r="BN465" i="1"/>
  <c r="BK465" i="1"/>
  <c r="BJ465" i="1"/>
  <c r="AJ465" i="1"/>
  <c r="CH465" i="1" s="1"/>
  <c r="AC465" i="1"/>
  <c r="CF465" i="1" s="1"/>
  <c r="BM465" i="1" s="1"/>
  <c r="V465" i="1"/>
  <c r="U465" i="1"/>
  <c r="T465" i="1"/>
  <c r="CE452" i="1"/>
  <c r="BZ452" i="1" s="1"/>
  <c r="CC452" i="1"/>
  <c r="CB452" i="1"/>
  <c r="CA452" i="1"/>
  <c r="BY452" i="1"/>
  <c r="BW452" i="1"/>
  <c r="BV452" i="1"/>
  <c r="BR452" i="1"/>
  <c r="BP452" i="1"/>
  <c r="BN452" i="1"/>
  <c r="BK452" i="1"/>
  <c r="BJ452" i="1"/>
  <c r="AJ452" i="1"/>
  <c r="AI452" i="1" s="1"/>
  <c r="CG452" i="1" s="1"/>
  <c r="AC452" i="1"/>
  <c r="CF452" i="1" s="1"/>
  <c r="BM452" i="1" s="1"/>
  <c r="V452" i="1"/>
  <c r="U452" i="1"/>
  <c r="T452" i="1"/>
  <c r="CE449" i="1"/>
  <c r="BZ449" i="1" s="1"/>
  <c r="CC449" i="1"/>
  <c r="CB449" i="1"/>
  <c r="CA449" i="1"/>
  <c r="BY449" i="1"/>
  <c r="BW449" i="1"/>
  <c r="BV449" i="1"/>
  <c r="BR449" i="1"/>
  <c r="BP449" i="1"/>
  <c r="BN449" i="1"/>
  <c r="BK449" i="1"/>
  <c r="BJ449" i="1"/>
  <c r="AJ449" i="1"/>
  <c r="CH449" i="1" s="1"/>
  <c r="AC449" i="1"/>
  <c r="CF449" i="1" s="1"/>
  <c r="BM449" i="1" s="1"/>
  <c r="V449" i="1"/>
  <c r="U449" i="1"/>
  <c r="T449" i="1"/>
  <c r="CE439" i="1"/>
  <c r="BZ439" i="1" s="1"/>
  <c r="CC439" i="1"/>
  <c r="CB439" i="1"/>
  <c r="CA439" i="1"/>
  <c r="BY439" i="1"/>
  <c r="BW439" i="1"/>
  <c r="BV439" i="1"/>
  <c r="BR439" i="1"/>
  <c r="BP439" i="1"/>
  <c r="BN439" i="1"/>
  <c r="BK439" i="1"/>
  <c r="BJ439" i="1"/>
  <c r="AJ439" i="1"/>
  <c r="AI439" i="1" s="1"/>
  <c r="CG439" i="1" s="1"/>
  <c r="AC439" i="1"/>
  <c r="CF439" i="1" s="1"/>
  <c r="BM439" i="1" s="1"/>
  <c r="V439" i="1"/>
  <c r="U439" i="1"/>
  <c r="T439" i="1"/>
  <c r="CE434" i="1"/>
  <c r="BZ434" i="1" s="1"/>
  <c r="CC434" i="1"/>
  <c r="CB434" i="1"/>
  <c r="CA434" i="1"/>
  <c r="BY434" i="1"/>
  <c r="BW434" i="1"/>
  <c r="BV434" i="1"/>
  <c r="BR434" i="1"/>
  <c r="BP434" i="1"/>
  <c r="BN434" i="1"/>
  <c r="BK434" i="1"/>
  <c r="BJ434" i="1"/>
  <c r="AJ434" i="1"/>
  <c r="CH434" i="1" s="1"/>
  <c r="AC434" i="1"/>
  <c r="CF434" i="1" s="1"/>
  <c r="BM434" i="1" s="1"/>
  <c r="V434" i="1"/>
  <c r="U434" i="1"/>
  <c r="T434" i="1"/>
  <c r="CE424" i="1"/>
  <c r="BZ424" i="1" s="1"/>
  <c r="CC424" i="1"/>
  <c r="CB424" i="1"/>
  <c r="CA424" i="1"/>
  <c r="BY424" i="1"/>
  <c r="BW424" i="1"/>
  <c r="BV424" i="1"/>
  <c r="BR424" i="1"/>
  <c r="BP424" i="1"/>
  <c r="BN424" i="1"/>
  <c r="BK424" i="1"/>
  <c r="BJ424" i="1"/>
  <c r="AJ424" i="1"/>
  <c r="CH424" i="1" s="1"/>
  <c r="AC424" i="1"/>
  <c r="CF424" i="1" s="1"/>
  <c r="BM424" i="1" s="1"/>
  <c r="V424" i="1"/>
  <c r="U424" i="1"/>
  <c r="T424" i="1"/>
  <c r="CE420" i="1"/>
  <c r="BZ420" i="1" s="1"/>
  <c r="CC420" i="1"/>
  <c r="CB420" i="1"/>
  <c r="CA420" i="1"/>
  <c r="BY420" i="1"/>
  <c r="BW420" i="1"/>
  <c r="BV420" i="1"/>
  <c r="BR420" i="1"/>
  <c r="BP420" i="1"/>
  <c r="BN420" i="1"/>
  <c r="BK420" i="1"/>
  <c r="BJ420" i="1"/>
  <c r="AJ420" i="1"/>
  <c r="AI420" i="1" s="1"/>
  <c r="CG420" i="1" s="1"/>
  <c r="AC420" i="1"/>
  <c r="CF420" i="1" s="1"/>
  <c r="BM420" i="1" s="1"/>
  <c r="V420" i="1"/>
  <c r="U420" i="1"/>
  <c r="T420" i="1"/>
  <c r="CE413" i="1"/>
  <c r="BZ413" i="1" s="1"/>
  <c r="CC413" i="1"/>
  <c r="CB413" i="1"/>
  <c r="CA413" i="1"/>
  <c r="BY413" i="1"/>
  <c r="BW413" i="1"/>
  <c r="BV413" i="1"/>
  <c r="BR413" i="1"/>
  <c r="BP413" i="1"/>
  <c r="BN413" i="1"/>
  <c r="BK413" i="1"/>
  <c r="BJ413" i="1"/>
  <c r="AJ413" i="1"/>
  <c r="CH413" i="1" s="1"/>
  <c r="AC413" i="1"/>
  <c r="CF413" i="1" s="1"/>
  <c r="BM413" i="1" s="1"/>
  <c r="V413" i="1"/>
  <c r="U413" i="1"/>
  <c r="T413" i="1"/>
  <c r="CE411" i="1"/>
  <c r="BZ411" i="1" s="1"/>
  <c r="CC411" i="1"/>
  <c r="CB411" i="1"/>
  <c r="CA411" i="1"/>
  <c r="BY411" i="1"/>
  <c r="BW411" i="1"/>
  <c r="BV411" i="1"/>
  <c r="BR411" i="1"/>
  <c r="BP411" i="1"/>
  <c r="BN411" i="1"/>
  <c r="BK411" i="1"/>
  <c r="BJ411" i="1"/>
  <c r="AJ411" i="1"/>
  <c r="CH411" i="1" s="1"/>
  <c r="AC411" i="1"/>
  <c r="CF411" i="1" s="1"/>
  <c r="BM411" i="1" s="1"/>
  <c r="V411" i="1"/>
  <c r="U411" i="1"/>
  <c r="T411" i="1"/>
  <c r="CE410" i="1"/>
  <c r="BZ410" i="1" s="1"/>
  <c r="CC410" i="1"/>
  <c r="CB410" i="1"/>
  <c r="CA410" i="1"/>
  <c r="BY410" i="1"/>
  <c r="BW410" i="1"/>
  <c r="BV410" i="1"/>
  <c r="BR410" i="1"/>
  <c r="BP410" i="1"/>
  <c r="BN410" i="1"/>
  <c r="BK410" i="1"/>
  <c r="BJ410" i="1"/>
  <c r="AJ410" i="1"/>
  <c r="CH410" i="1" s="1"/>
  <c r="AC410" i="1"/>
  <c r="CF410" i="1" s="1"/>
  <c r="BM410" i="1" s="1"/>
  <c r="V410" i="1"/>
  <c r="U410" i="1"/>
  <c r="T410" i="1"/>
  <c r="CE396" i="1"/>
  <c r="BZ396" i="1" s="1"/>
  <c r="CC396" i="1"/>
  <c r="CB396" i="1"/>
  <c r="CA396" i="1"/>
  <c r="BY396" i="1"/>
  <c r="BW396" i="1"/>
  <c r="BV396" i="1"/>
  <c r="BR396" i="1"/>
  <c r="BP396" i="1"/>
  <c r="BN396" i="1"/>
  <c r="BK396" i="1"/>
  <c r="BJ396" i="1"/>
  <c r="AJ396" i="1"/>
  <c r="AI396" i="1" s="1"/>
  <c r="CG396" i="1" s="1"/>
  <c r="AC396" i="1"/>
  <c r="CF396" i="1" s="1"/>
  <c r="BM396" i="1" s="1"/>
  <c r="V396" i="1"/>
  <c r="U396" i="1"/>
  <c r="T396" i="1"/>
  <c r="CE395" i="1"/>
  <c r="BZ395" i="1" s="1"/>
  <c r="CC395" i="1"/>
  <c r="CB395" i="1"/>
  <c r="CA395" i="1"/>
  <c r="BY395" i="1"/>
  <c r="BW395" i="1"/>
  <c r="BV395" i="1"/>
  <c r="BR395" i="1"/>
  <c r="BP395" i="1"/>
  <c r="BN395" i="1"/>
  <c r="BK395" i="1"/>
  <c r="BJ395" i="1"/>
  <c r="AJ395" i="1"/>
  <c r="CH395" i="1" s="1"/>
  <c r="AC395" i="1"/>
  <c r="CF395" i="1" s="1"/>
  <c r="BM395" i="1" s="1"/>
  <c r="V395" i="1"/>
  <c r="U395" i="1"/>
  <c r="T395" i="1"/>
  <c r="CE393" i="1"/>
  <c r="BZ393" i="1" s="1"/>
  <c r="CC393" i="1"/>
  <c r="CB393" i="1"/>
  <c r="CA393" i="1"/>
  <c r="BY393" i="1"/>
  <c r="BW393" i="1"/>
  <c r="BV393" i="1"/>
  <c r="BR393" i="1"/>
  <c r="BP393" i="1"/>
  <c r="BN393" i="1"/>
  <c r="BK393" i="1"/>
  <c r="BJ393" i="1"/>
  <c r="AJ393" i="1"/>
  <c r="CH393" i="1" s="1"/>
  <c r="AC393" i="1"/>
  <c r="CF393" i="1" s="1"/>
  <c r="BM393" i="1" s="1"/>
  <c r="V393" i="1"/>
  <c r="U393" i="1"/>
  <c r="T393" i="1"/>
  <c r="CE382" i="1"/>
  <c r="BZ382" i="1" s="1"/>
  <c r="CC382" i="1"/>
  <c r="CB382" i="1"/>
  <c r="CA382" i="1"/>
  <c r="BY382" i="1"/>
  <c r="BW382" i="1"/>
  <c r="BV382" i="1"/>
  <c r="BR382" i="1"/>
  <c r="BP382" i="1"/>
  <c r="BN382" i="1"/>
  <c r="BK382" i="1"/>
  <c r="BJ382" i="1"/>
  <c r="AJ382" i="1"/>
  <c r="CH382" i="1" s="1"/>
  <c r="AC382" i="1"/>
  <c r="CF382" i="1" s="1"/>
  <c r="BM382" i="1" s="1"/>
  <c r="V382" i="1"/>
  <c r="U382" i="1"/>
  <c r="T382" i="1"/>
  <c r="CH375" i="1"/>
  <c r="CE375" i="1"/>
  <c r="BZ375" i="1" s="1"/>
  <c r="CC375" i="1"/>
  <c r="CB375" i="1"/>
  <c r="CA375" i="1"/>
  <c r="BY375" i="1"/>
  <c r="BW375" i="1"/>
  <c r="BV375" i="1"/>
  <c r="BR375" i="1"/>
  <c r="BP375" i="1"/>
  <c r="BN375" i="1"/>
  <c r="BK375" i="1"/>
  <c r="BJ375" i="1"/>
  <c r="AI375" i="1"/>
  <c r="CG375" i="1" s="1"/>
  <c r="AC375" i="1"/>
  <c r="CF375" i="1" s="1"/>
  <c r="BM375" i="1" s="1"/>
  <c r="V375" i="1"/>
  <c r="U375" i="1"/>
  <c r="T375" i="1"/>
  <c r="CH366" i="1"/>
  <c r="CE366" i="1"/>
  <c r="BZ366" i="1" s="1"/>
  <c r="CC366" i="1"/>
  <c r="CB366" i="1"/>
  <c r="CA366" i="1"/>
  <c r="BY366" i="1"/>
  <c r="BW366" i="1"/>
  <c r="BV366" i="1"/>
  <c r="BR366" i="1"/>
  <c r="BP366" i="1"/>
  <c r="BN366" i="1"/>
  <c r="BK366" i="1"/>
  <c r="BJ366" i="1"/>
  <c r="AI366" i="1"/>
  <c r="CG366" i="1" s="1"/>
  <c r="AC366" i="1"/>
  <c r="CF366" i="1" s="1"/>
  <c r="BM366" i="1" s="1"/>
  <c r="V366" i="1"/>
  <c r="U366" i="1"/>
  <c r="T366" i="1"/>
  <c r="CE353" i="1"/>
  <c r="BZ353" i="1" s="1"/>
  <c r="CC353" i="1"/>
  <c r="CB353" i="1"/>
  <c r="CA353" i="1"/>
  <c r="BY353" i="1"/>
  <c r="BW353" i="1"/>
  <c r="BV353" i="1"/>
  <c r="BR353" i="1"/>
  <c r="BP353" i="1"/>
  <c r="BN353" i="1"/>
  <c r="BK353" i="1"/>
  <c r="BJ353" i="1"/>
  <c r="AJ353" i="1"/>
  <c r="AI353" i="1" s="1"/>
  <c r="CG353" i="1" s="1"/>
  <c r="AC353" i="1"/>
  <c r="CF353" i="1" s="1"/>
  <c r="BM353" i="1" s="1"/>
  <c r="V353" i="1"/>
  <c r="U353" i="1"/>
  <c r="T353" i="1"/>
  <c r="CE352" i="1"/>
  <c r="BZ352" i="1" s="1"/>
  <c r="CC352" i="1"/>
  <c r="CB352" i="1"/>
  <c r="CA352" i="1"/>
  <c r="BY352" i="1"/>
  <c r="BW352" i="1"/>
  <c r="BV352" i="1"/>
  <c r="BR352" i="1"/>
  <c r="BP352" i="1"/>
  <c r="BN352" i="1"/>
  <c r="BK352" i="1"/>
  <c r="BJ352" i="1"/>
  <c r="AJ352" i="1"/>
  <c r="CH352" i="1" s="1"/>
  <c r="AC352" i="1"/>
  <c r="CF352" i="1" s="1"/>
  <c r="BM352" i="1" s="1"/>
  <c r="V352" i="1"/>
  <c r="U352" i="1"/>
  <c r="T352" i="1"/>
  <c r="CE346" i="1"/>
  <c r="BZ346" i="1" s="1"/>
  <c r="CC346" i="1"/>
  <c r="CB346" i="1"/>
  <c r="CA346" i="1"/>
  <c r="BY346" i="1"/>
  <c r="BW346" i="1"/>
  <c r="BV346" i="1"/>
  <c r="BR346" i="1"/>
  <c r="BP346" i="1"/>
  <c r="BN346" i="1"/>
  <c r="BK346" i="1"/>
  <c r="BJ346" i="1"/>
  <c r="AJ346" i="1"/>
  <c r="CH346" i="1" s="1"/>
  <c r="AC346" i="1"/>
  <c r="CF346" i="1" s="1"/>
  <c r="BM346" i="1" s="1"/>
  <c r="V346" i="1"/>
  <c r="U346" i="1"/>
  <c r="T346" i="1"/>
  <c r="CG341" i="1"/>
  <c r="CE341" i="1"/>
  <c r="BZ341" i="1" s="1"/>
  <c r="CC341" i="1"/>
  <c r="CB341" i="1"/>
  <c r="CA341" i="1"/>
  <c r="BY341" i="1"/>
  <c r="BW341" i="1"/>
  <c r="BV341" i="1"/>
  <c r="BR341" i="1"/>
  <c r="BP341" i="1"/>
  <c r="BN341" i="1"/>
  <c r="BK341" i="1"/>
  <c r="BJ341" i="1"/>
  <c r="AJ341" i="1"/>
  <c r="CH341" i="1" s="1"/>
  <c r="AC341" i="1"/>
  <c r="CF341" i="1" s="1"/>
  <c r="BM341" i="1" s="1"/>
  <c r="V341" i="1"/>
  <c r="U341" i="1"/>
  <c r="T341" i="1"/>
  <c r="CE337" i="1"/>
  <c r="BZ337" i="1" s="1"/>
  <c r="CC337" i="1"/>
  <c r="CB337" i="1"/>
  <c r="CA337" i="1"/>
  <c r="BY337" i="1"/>
  <c r="BW337" i="1"/>
  <c r="BV337" i="1"/>
  <c r="BR337" i="1"/>
  <c r="BP337" i="1"/>
  <c r="BN337" i="1"/>
  <c r="BK337" i="1"/>
  <c r="BJ337" i="1"/>
  <c r="AJ337" i="1"/>
  <c r="CH337" i="1" s="1"/>
  <c r="AC337" i="1"/>
  <c r="CF337" i="1" s="1"/>
  <c r="BM337" i="1" s="1"/>
  <c r="V337" i="1"/>
  <c r="U337" i="1"/>
  <c r="T337" i="1"/>
  <c r="CH331" i="1"/>
  <c r="CE331" i="1"/>
  <c r="BZ331" i="1" s="1"/>
  <c r="CC331" i="1"/>
  <c r="CB331" i="1"/>
  <c r="CA331" i="1"/>
  <c r="BY331" i="1"/>
  <c r="BW331" i="1"/>
  <c r="BV331" i="1"/>
  <c r="BR331" i="1"/>
  <c r="BP331" i="1"/>
  <c r="BN331" i="1"/>
  <c r="BK331" i="1"/>
  <c r="BJ331" i="1"/>
  <c r="AI331" i="1"/>
  <c r="CG331" i="1" s="1"/>
  <c r="AC331" i="1"/>
  <c r="CF331" i="1" s="1"/>
  <c r="BM331" i="1" s="1"/>
  <c r="V331" i="1"/>
  <c r="U331" i="1"/>
  <c r="T331" i="1"/>
  <c r="CE318" i="1"/>
  <c r="BZ318" i="1" s="1"/>
  <c r="CC318" i="1"/>
  <c r="CB318" i="1"/>
  <c r="CA318" i="1"/>
  <c r="BY318" i="1"/>
  <c r="BW318" i="1"/>
  <c r="BV318" i="1"/>
  <c r="BR318" i="1"/>
  <c r="BP318" i="1"/>
  <c r="BN318" i="1"/>
  <c r="BK318" i="1"/>
  <c r="BJ318" i="1"/>
  <c r="AJ318" i="1"/>
  <c r="AI318" i="1" s="1"/>
  <c r="CG318" i="1" s="1"/>
  <c r="AC318" i="1"/>
  <c r="CF318" i="1" s="1"/>
  <c r="BM318" i="1" s="1"/>
  <c r="V318" i="1"/>
  <c r="U318" i="1"/>
  <c r="T318" i="1"/>
  <c r="CE291" i="1"/>
  <c r="BZ291" i="1" s="1"/>
  <c r="CC291" i="1"/>
  <c r="CB291" i="1"/>
  <c r="CA291" i="1"/>
  <c r="BY291" i="1"/>
  <c r="BW291" i="1"/>
  <c r="BV291" i="1"/>
  <c r="BR291" i="1"/>
  <c r="BP291" i="1"/>
  <c r="BN291" i="1"/>
  <c r="BK291" i="1"/>
  <c r="BJ291" i="1"/>
  <c r="AJ291" i="1"/>
  <c r="CH291" i="1" s="1"/>
  <c r="AC291" i="1"/>
  <c r="CF291" i="1" s="1"/>
  <c r="BM291" i="1" s="1"/>
  <c r="V291" i="1"/>
  <c r="U291" i="1"/>
  <c r="T291" i="1"/>
  <c r="CE285" i="1"/>
  <c r="BZ285" i="1" s="1"/>
  <c r="CC285" i="1"/>
  <c r="CB285" i="1"/>
  <c r="CA285" i="1"/>
  <c r="BY285" i="1"/>
  <c r="BW285" i="1"/>
  <c r="BV285" i="1"/>
  <c r="BR285" i="1"/>
  <c r="BP285" i="1"/>
  <c r="BN285" i="1"/>
  <c r="BK285" i="1"/>
  <c r="BJ285" i="1"/>
  <c r="AJ285" i="1"/>
  <c r="CH285" i="1" s="1"/>
  <c r="AC285" i="1"/>
  <c r="CF285" i="1" s="1"/>
  <c r="BM285" i="1" s="1"/>
  <c r="V285" i="1"/>
  <c r="U285" i="1"/>
  <c r="T285" i="1"/>
  <c r="CE282" i="1"/>
  <c r="BZ282" i="1" s="1"/>
  <c r="CC282" i="1"/>
  <c r="CB282" i="1"/>
  <c r="CA282" i="1"/>
  <c r="BY282" i="1"/>
  <c r="BW282" i="1"/>
  <c r="BV282" i="1"/>
  <c r="BR282" i="1"/>
  <c r="BP282" i="1"/>
  <c r="BN282" i="1"/>
  <c r="BK282" i="1"/>
  <c r="BJ282" i="1"/>
  <c r="AJ282" i="1"/>
  <c r="CH282" i="1" s="1"/>
  <c r="AC282" i="1"/>
  <c r="CF282" i="1" s="1"/>
  <c r="BM282" i="1" s="1"/>
  <c r="V282" i="1"/>
  <c r="U282" i="1"/>
  <c r="T282" i="1"/>
  <c r="CE280" i="1"/>
  <c r="BZ280" i="1" s="1"/>
  <c r="CC280" i="1"/>
  <c r="CB280" i="1"/>
  <c r="CA280" i="1"/>
  <c r="BY280" i="1"/>
  <c r="BW280" i="1"/>
  <c r="BV280" i="1"/>
  <c r="BR280" i="1"/>
  <c r="BP280" i="1"/>
  <c r="BN280" i="1"/>
  <c r="BK280" i="1"/>
  <c r="BJ280" i="1"/>
  <c r="AJ280" i="1"/>
  <c r="AI280" i="1" s="1"/>
  <c r="CG280" i="1" s="1"/>
  <c r="AC280" i="1"/>
  <c r="CF280" i="1" s="1"/>
  <c r="BM280" i="1" s="1"/>
  <c r="V280" i="1"/>
  <c r="U280" i="1"/>
  <c r="T280" i="1"/>
  <c r="CE268" i="1"/>
  <c r="BZ268" i="1" s="1"/>
  <c r="CC268" i="1"/>
  <c r="CB268" i="1"/>
  <c r="CA268" i="1"/>
  <c r="BY268" i="1"/>
  <c r="BW268" i="1"/>
  <c r="BV268" i="1"/>
  <c r="BR268" i="1"/>
  <c r="BP268" i="1"/>
  <c r="BN268" i="1"/>
  <c r="BK268" i="1"/>
  <c r="BJ268" i="1"/>
  <c r="AJ268" i="1"/>
  <c r="CH268" i="1" s="1"/>
  <c r="AC268" i="1"/>
  <c r="CF268" i="1" s="1"/>
  <c r="BM268" i="1" s="1"/>
  <c r="V268" i="1"/>
  <c r="U268" i="1"/>
  <c r="T268" i="1"/>
  <c r="CE249" i="1"/>
  <c r="BZ249" i="1" s="1"/>
  <c r="CC249" i="1"/>
  <c r="CB249" i="1"/>
  <c r="CA249" i="1"/>
  <c r="BY249" i="1"/>
  <c r="BW249" i="1"/>
  <c r="BV249" i="1"/>
  <c r="BR249" i="1"/>
  <c r="BP249" i="1"/>
  <c r="BN249" i="1"/>
  <c r="BK249" i="1"/>
  <c r="BJ249" i="1"/>
  <c r="AJ249" i="1"/>
  <c r="CH249" i="1" s="1"/>
  <c r="AC249" i="1"/>
  <c r="CF249" i="1" s="1"/>
  <c r="BM249" i="1" s="1"/>
  <c r="V249" i="1"/>
  <c r="U249" i="1"/>
  <c r="T249" i="1"/>
  <c r="CE247" i="1"/>
  <c r="BZ247" i="1" s="1"/>
  <c r="CC247" i="1"/>
  <c r="CB247" i="1"/>
  <c r="CA247" i="1"/>
  <c r="BY247" i="1"/>
  <c r="BW247" i="1"/>
  <c r="BV247" i="1"/>
  <c r="BR247" i="1"/>
  <c r="BP247" i="1"/>
  <c r="BN247" i="1"/>
  <c r="BK247" i="1"/>
  <c r="BJ247" i="1"/>
  <c r="AJ247" i="1"/>
  <c r="CH247" i="1" s="1"/>
  <c r="AC247" i="1"/>
  <c r="CF247" i="1" s="1"/>
  <c r="BM247" i="1" s="1"/>
  <c r="V247" i="1"/>
  <c r="U247" i="1"/>
  <c r="T247" i="1"/>
  <c r="CE235" i="1"/>
  <c r="BZ235" i="1" s="1"/>
  <c r="CC235" i="1"/>
  <c r="CB235" i="1"/>
  <c r="CA235" i="1"/>
  <c r="BY235" i="1"/>
  <c r="BW235" i="1"/>
  <c r="BV235" i="1"/>
  <c r="BR235" i="1"/>
  <c r="BP235" i="1"/>
  <c r="BN235" i="1"/>
  <c r="BK235" i="1"/>
  <c r="BJ235" i="1"/>
  <c r="AJ235" i="1"/>
  <c r="AI235" i="1" s="1"/>
  <c r="CG235" i="1" s="1"/>
  <c r="AC235" i="1"/>
  <c r="CF235" i="1" s="1"/>
  <c r="BM235" i="1" s="1"/>
  <c r="V235" i="1"/>
  <c r="U235" i="1"/>
  <c r="T235" i="1"/>
  <c r="CE230" i="1"/>
  <c r="BZ230" i="1" s="1"/>
  <c r="CC230" i="1"/>
  <c r="CB230" i="1"/>
  <c r="CA230" i="1"/>
  <c r="BY230" i="1"/>
  <c r="BW230" i="1"/>
  <c r="BV230" i="1"/>
  <c r="BR230" i="1"/>
  <c r="BP230" i="1"/>
  <c r="BN230" i="1"/>
  <c r="BK230" i="1"/>
  <c r="BJ230" i="1"/>
  <c r="AJ230" i="1"/>
  <c r="CH230" i="1" s="1"/>
  <c r="AC230" i="1"/>
  <c r="CF230" i="1" s="1"/>
  <c r="BM230" i="1" s="1"/>
  <c r="V230" i="1"/>
  <c r="U230" i="1"/>
  <c r="T230" i="1"/>
  <c r="CE202" i="1"/>
  <c r="BZ202" i="1" s="1"/>
  <c r="CC202" i="1"/>
  <c r="CB202" i="1"/>
  <c r="CA202" i="1"/>
  <c r="BY202" i="1"/>
  <c r="BW202" i="1"/>
  <c r="BV202" i="1"/>
  <c r="BR202" i="1"/>
  <c r="BP202" i="1"/>
  <c r="BN202" i="1"/>
  <c r="BK202" i="1"/>
  <c r="BJ202" i="1"/>
  <c r="AJ202" i="1"/>
  <c r="CH202" i="1" s="1"/>
  <c r="AC202" i="1"/>
  <c r="CF202" i="1" s="1"/>
  <c r="BM202" i="1" s="1"/>
  <c r="V202" i="1"/>
  <c r="U202" i="1"/>
  <c r="T202" i="1"/>
  <c r="CE201" i="1"/>
  <c r="BZ201" i="1" s="1"/>
  <c r="CC201" i="1"/>
  <c r="CB201" i="1"/>
  <c r="CA201" i="1"/>
  <c r="BY201" i="1"/>
  <c r="BW201" i="1"/>
  <c r="BV201" i="1"/>
  <c r="BR201" i="1"/>
  <c r="BP201" i="1"/>
  <c r="BN201" i="1"/>
  <c r="BK201" i="1"/>
  <c r="BJ201" i="1"/>
  <c r="AJ201" i="1"/>
  <c r="CH201" i="1" s="1"/>
  <c r="AC201" i="1"/>
  <c r="CF201" i="1" s="1"/>
  <c r="BM201" i="1" s="1"/>
  <c r="V201" i="1"/>
  <c r="U201" i="1"/>
  <c r="T201" i="1"/>
  <c r="CE189" i="1"/>
  <c r="BZ189" i="1" s="1"/>
  <c r="CC189" i="1"/>
  <c r="CB189" i="1"/>
  <c r="CA189" i="1"/>
  <c r="BY189" i="1"/>
  <c r="BW189" i="1"/>
  <c r="BV189" i="1"/>
  <c r="BR189" i="1"/>
  <c r="BP189" i="1"/>
  <c r="BN189" i="1"/>
  <c r="BK189" i="1"/>
  <c r="BJ189" i="1"/>
  <c r="AJ189" i="1"/>
  <c r="AI189" i="1" s="1"/>
  <c r="CG189" i="1" s="1"/>
  <c r="AC189" i="1"/>
  <c r="CF189" i="1" s="1"/>
  <c r="BM189" i="1" s="1"/>
  <c r="V189" i="1"/>
  <c r="U189" i="1"/>
  <c r="T189" i="1"/>
  <c r="CE188" i="1"/>
  <c r="BZ188" i="1" s="1"/>
  <c r="CC188" i="1"/>
  <c r="CB188" i="1"/>
  <c r="CA188" i="1"/>
  <c r="BY188" i="1"/>
  <c r="BW188" i="1"/>
  <c r="BV188" i="1"/>
  <c r="BR188" i="1"/>
  <c r="BP188" i="1"/>
  <c r="BN188" i="1"/>
  <c r="BK188" i="1"/>
  <c r="BJ188" i="1"/>
  <c r="AJ188" i="1"/>
  <c r="CH188" i="1" s="1"/>
  <c r="AC188" i="1"/>
  <c r="CF188" i="1" s="1"/>
  <c r="BM188" i="1" s="1"/>
  <c r="V188" i="1"/>
  <c r="U188" i="1"/>
  <c r="T188" i="1"/>
  <c r="CE179" i="1"/>
  <c r="BZ179" i="1" s="1"/>
  <c r="CC179" i="1"/>
  <c r="CB179" i="1"/>
  <c r="CA179" i="1"/>
  <c r="BY179" i="1"/>
  <c r="BW179" i="1"/>
  <c r="BV179" i="1"/>
  <c r="BR179" i="1"/>
  <c r="BP179" i="1"/>
  <c r="BN179" i="1"/>
  <c r="BK179" i="1"/>
  <c r="BJ179" i="1"/>
  <c r="AJ179" i="1"/>
  <c r="AI179" i="1" s="1"/>
  <c r="CG179" i="1" s="1"/>
  <c r="AC179" i="1"/>
  <c r="CF179" i="1" s="1"/>
  <c r="BM179" i="1" s="1"/>
  <c r="V179" i="1"/>
  <c r="U179" i="1"/>
  <c r="T179" i="1"/>
  <c r="CE177" i="1"/>
  <c r="BZ177" i="1" s="1"/>
  <c r="CC177" i="1"/>
  <c r="CB177" i="1"/>
  <c r="CA177" i="1"/>
  <c r="BY177" i="1"/>
  <c r="BW177" i="1"/>
  <c r="BV177" i="1"/>
  <c r="BR177" i="1"/>
  <c r="BP177" i="1"/>
  <c r="BN177" i="1"/>
  <c r="BK177" i="1"/>
  <c r="BJ177" i="1"/>
  <c r="AJ177" i="1"/>
  <c r="CH177" i="1" s="1"/>
  <c r="AC177" i="1"/>
  <c r="CF177" i="1" s="1"/>
  <c r="BM177" i="1" s="1"/>
  <c r="V177" i="1"/>
  <c r="U177" i="1"/>
  <c r="T177" i="1"/>
  <c r="CE176" i="1"/>
  <c r="BZ176" i="1" s="1"/>
  <c r="CC176" i="1"/>
  <c r="CB176" i="1"/>
  <c r="CA176" i="1"/>
  <c r="BY176" i="1"/>
  <c r="BW176" i="1"/>
  <c r="BV176" i="1"/>
  <c r="BR176" i="1"/>
  <c r="BP176" i="1"/>
  <c r="BN176" i="1"/>
  <c r="BK176" i="1"/>
  <c r="BJ176" i="1"/>
  <c r="AJ176" i="1"/>
  <c r="AI176" i="1" s="1"/>
  <c r="CG176" i="1" s="1"/>
  <c r="AC176" i="1"/>
  <c r="CF176" i="1" s="1"/>
  <c r="BM176" i="1" s="1"/>
  <c r="V176" i="1"/>
  <c r="U176" i="1"/>
  <c r="T176" i="1"/>
  <c r="CE175" i="1"/>
  <c r="BZ175" i="1" s="1"/>
  <c r="CC175" i="1"/>
  <c r="CB175" i="1"/>
  <c r="CA175" i="1"/>
  <c r="BY175" i="1"/>
  <c r="BW175" i="1"/>
  <c r="BV175" i="1"/>
  <c r="BR175" i="1"/>
  <c r="BP175" i="1"/>
  <c r="BN175" i="1"/>
  <c r="BK175" i="1"/>
  <c r="BJ175" i="1"/>
  <c r="AJ175" i="1"/>
  <c r="CH175" i="1" s="1"/>
  <c r="AC175" i="1"/>
  <c r="CF175" i="1" s="1"/>
  <c r="BM175" i="1" s="1"/>
  <c r="V175" i="1"/>
  <c r="U175" i="1"/>
  <c r="T175" i="1"/>
  <c r="CE173" i="1"/>
  <c r="BZ173" i="1" s="1"/>
  <c r="CC173" i="1"/>
  <c r="CB173" i="1"/>
  <c r="CA173" i="1"/>
  <c r="BY173" i="1"/>
  <c r="BW173" i="1"/>
  <c r="BV173" i="1"/>
  <c r="BR173" i="1"/>
  <c r="BP173" i="1"/>
  <c r="BN173" i="1"/>
  <c r="BK173" i="1"/>
  <c r="BJ173" i="1"/>
  <c r="AJ173" i="1"/>
  <c r="AI173" i="1" s="1"/>
  <c r="CG173" i="1" s="1"/>
  <c r="AC173" i="1"/>
  <c r="CF173" i="1" s="1"/>
  <c r="BM173" i="1" s="1"/>
  <c r="V173" i="1"/>
  <c r="U173" i="1"/>
  <c r="T173" i="1"/>
  <c r="CE166" i="1"/>
  <c r="BZ166" i="1" s="1"/>
  <c r="CC166" i="1"/>
  <c r="CB166" i="1"/>
  <c r="CA166" i="1"/>
  <c r="BY166" i="1"/>
  <c r="BW166" i="1"/>
  <c r="BV166" i="1"/>
  <c r="BR166" i="1"/>
  <c r="BP166" i="1"/>
  <c r="BN166" i="1"/>
  <c r="BK166" i="1"/>
  <c r="BJ166" i="1"/>
  <c r="AJ166" i="1"/>
  <c r="CH166" i="1" s="1"/>
  <c r="AC166" i="1"/>
  <c r="CF166" i="1" s="1"/>
  <c r="BM166" i="1" s="1"/>
  <c r="V166" i="1"/>
  <c r="U166" i="1"/>
  <c r="T166" i="1"/>
  <c r="CE143" i="1"/>
  <c r="BZ143" i="1" s="1"/>
  <c r="CC143" i="1"/>
  <c r="CB143" i="1"/>
  <c r="CA143" i="1"/>
  <c r="BY143" i="1"/>
  <c r="BW143" i="1"/>
  <c r="BV143" i="1"/>
  <c r="BR143" i="1"/>
  <c r="BP143" i="1"/>
  <c r="BN143" i="1"/>
  <c r="BK143" i="1"/>
  <c r="BJ143" i="1"/>
  <c r="AJ143" i="1"/>
  <c r="AI143" i="1" s="1"/>
  <c r="CG143" i="1" s="1"/>
  <c r="AC143" i="1"/>
  <c r="CF143" i="1" s="1"/>
  <c r="BM143" i="1" s="1"/>
  <c r="V143" i="1"/>
  <c r="U143" i="1"/>
  <c r="T143" i="1"/>
  <c r="CE138" i="1"/>
  <c r="BZ138" i="1" s="1"/>
  <c r="CC138" i="1"/>
  <c r="CB138" i="1"/>
  <c r="CA138" i="1"/>
  <c r="BY138" i="1"/>
  <c r="BW138" i="1"/>
  <c r="BV138" i="1"/>
  <c r="BR138" i="1"/>
  <c r="BP138" i="1"/>
  <c r="BN138" i="1"/>
  <c r="BK138" i="1"/>
  <c r="BJ138" i="1"/>
  <c r="AJ138" i="1"/>
  <c r="AI138" i="1" s="1"/>
  <c r="CG138" i="1" s="1"/>
  <c r="AC138" i="1"/>
  <c r="CF138" i="1" s="1"/>
  <c r="BM138" i="1" s="1"/>
  <c r="V138" i="1"/>
  <c r="U138" i="1"/>
  <c r="T138" i="1"/>
  <c r="CH133" i="1"/>
  <c r="CE133" i="1"/>
  <c r="BZ133" i="1" s="1"/>
  <c r="CC133" i="1"/>
  <c r="CB133" i="1"/>
  <c r="CA133" i="1"/>
  <c r="BY133" i="1"/>
  <c r="BW133" i="1"/>
  <c r="BV133" i="1"/>
  <c r="BR133" i="1"/>
  <c r="BP133" i="1"/>
  <c r="BN133" i="1"/>
  <c r="BK133" i="1"/>
  <c r="BJ133" i="1"/>
  <c r="AI133" i="1"/>
  <c r="CG133" i="1" s="1"/>
  <c r="AC133" i="1"/>
  <c r="CF133" i="1" s="1"/>
  <c r="BM133" i="1" s="1"/>
  <c r="V133" i="1"/>
  <c r="U133" i="1"/>
  <c r="T133" i="1"/>
  <c r="CE129" i="1"/>
  <c r="BZ129" i="1" s="1"/>
  <c r="CC129" i="1"/>
  <c r="CB129" i="1"/>
  <c r="CA129" i="1"/>
  <c r="BY129" i="1"/>
  <c r="BW129" i="1"/>
  <c r="BV129" i="1"/>
  <c r="BR129" i="1"/>
  <c r="BP129" i="1"/>
  <c r="BN129" i="1"/>
  <c r="BK129" i="1"/>
  <c r="BJ129" i="1"/>
  <c r="AJ129" i="1"/>
  <c r="CH129" i="1" s="1"/>
  <c r="AC129" i="1"/>
  <c r="CF129" i="1" s="1"/>
  <c r="BM129" i="1" s="1"/>
  <c r="V129" i="1"/>
  <c r="U129" i="1"/>
  <c r="T129" i="1"/>
  <c r="CE126" i="1"/>
  <c r="BZ126" i="1" s="1"/>
  <c r="CC126" i="1"/>
  <c r="CB126" i="1"/>
  <c r="CA126" i="1"/>
  <c r="BY126" i="1"/>
  <c r="BW126" i="1"/>
  <c r="BV126" i="1"/>
  <c r="BR126" i="1"/>
  <c r="BP126" i="1"/>
  <c r="BN126" i="1"/>
  <c r="BK126" i="1"/>
  <c r="BJ126" i="1"/>
  <c r="AJ126" i="1"/>
  <c r="AI126" i="1" s="1"/>
  <c r="CG126" i="1" s="1"/>
  <c r="AC126" i="1"/>
  <c r="CF126" i="1" s="1"/>
  <c r="BM126" i="1" s="1"/>
  <c r="V126" i="1"/>
  <c r="U126" i="1"/>
  <c r="T126" i="1"/>
  <c r="CE114" i="1"/>
  <c r="BZ114" i="1" s="1"/>
  <c r="CC114" i="1"/>
  <c r="CB114" i="1"/>
  <c r="CA114" i="1"/>
  <c r="BY114" i="1"/>
  <c r="BW114" i="1"/>
  <c r="BV114" i="1"/>
  <c r="BR114" i="1"/>
  <c r="BP114" i="1"/>
  <c r="BN114" i="1"/>
  <c r="BK114" i="1"/>
  <c r="BJ114" i="1"/>
  <c r="AJ114" i="1"/>
  <c r="CH114" i="1" s="1"/>
  <c r="AC114" i="1"/>
  <c r="CF114" i="1" s="1"/>
  <c r="BM114" i="1" s="1"/>
  <c r="V114" i="1"/>
  <c r="U114" i="1"/>
  <c r="T114" i="1"/>
  <c r="CE112" i="1"/>
  <c r="BZ112" i="1" s="1"/>
  <c r="CC112" i="1"/>
  <c r="CB112" i="1"/>
  <c r="CA112" i="1"/>
  <c r="BY112" i="1"/>
  <c r="BW112" i="1"/>
  <c r="BV112" i="1"/>
  <c r="BR112" i="1"/>
  <c r="BP112" i="1"/>
  <c r="BN112" i="1"/>
  <c r="BK112" i="1"/>
  <c r="BJ112" i="1"/>
  <c r="AJ112" i="1"/>
  <c r="CH112" i="1" s="1"/>
  <c r="AC112" i="1"/>
  <c r="CF112" i="1" s="1"/>
  <c r="BM112" i="1" s="1"/>
  <c r="V112" i="1"/>
  <c r="U112" i="1"/>
  <c r="T112" i="1"/>
  <c r="CE110" i="1"/>
  <c r="BZ110" i="1" s="1"/>
  <c r="CC110" i="1"/>
  <c r="CB110" i="1"/>
  <c r="CA110" i="1"/>
  <c r="BY110" i="1"/>
  <c r="BW110" i="1"/>
  <c r="BV110" i="1"/>
  <c r="BR110" i="1"/>
  <c r="BP110" i="1"/>
  <c r="BN110" i="1"/>
  <c r="BK110" i="1"/>
  <c r="BJ110" i="1"/>
  <c r="AJ110" i="1"/>
  <c r="CH110" i="1" s="1"/>
  <c r="AC110" i="1"/>
  <c r="CF110" i="1" s="1"/>
  <c r="BM110" i="1" s="1"/>
  <c r="V110" i="1"/>
  <c r="U110" i="1"/>
  <c r="T110" i="1"/>
  <c r="CE98" i="1"/>
  <c r="BZ98" i="1" s="1"/>
  <c r="CC98" i="1"/>
  <c r="CB98" i="1"/>
  <c r="CA98" i="1"/>
  <c r="BY98" i="1"/>
  <c r="BW98" i="1"/>
  <c r="BV98" i="1"/>
  <c r="BR98" i="1"/>
  <c r="BP98" i="1"/>
  <c r="BN98" i="1"/>
  <c r="BK98" i="1"/>
  <c r="BJ98" i="1"/>
  <c r="AJ98" i="1"/>
  <c r="AI98" i="1" s="1"/>
  <c r="CG98" i="1" s="1"/>
  <c r="AC98" i="1"/>
  <c r="CF98" i="1" s="1"/>
  <c r="BM98" i="1" s="1"/>
  <c r="V98" i="1"/>
  <c r="U98" i="1"/>
  <c r="T98" i="1"/>
  <c r="CE97" i="1"/>
  <c r="BZ97" i="1" s="1"/>
  <c r="CC97" i="1"/>
  <c r="CB97" i="1"/>
  <c r="CA97" i="1"/>
  <c r="BY97" i="1"/>
  <c r="BW97" i="1"/>
  <c r="BV97" i="1"/>
  <c r="BR97" i="1"/>
  <c r="BP97" i="1"/>
  <c r="BN97" i="1"/>
  <c r="BK97" i="1"/>
  <c r="BJ97" i="1"/>
  <c r="AJ97" i="1"/>
  <c r="CH97" i="1" s="1"/>
  <c r="AC97" i="1"/>
  <c r="CF97" i="1" s="1"/>
  <c r="BM97" i="1" s="1"/>
  <c r="V97" i="1"/>
  <c r="U97" i="1"/>
  <c r="T97" i="1"/>
  <c r="CE80" i="1"/>
  <c r="BZ80" i="1" s="1"/>
  <c r="CC80" i="1"/>
  <c r="CB80" i="1"/>
  <c r="CA80" i="1"/>
  <c r="BY80" i="1"/>
  <c r="BW80" i="1"/>
  <c r="BV80" i="1"/>
  <c r="BR80" i="1"/>
  <c r="BP80" i="1"/>
  <c r="BN80" i="1"/>
  <c r="BK80" i="1"/>
  <c r="BJ80" i="1"/>
  <c r="AJ80" i="1"/>
  <c r="CH80" i="1" s="1"/>
  <c r="AC80" i="1"/>
  <c r="CF80" i="1" s="1"/>
  <c r="BM80" i="1" s="1"/>
  <c r="V80" i="1"/>
  <c r="U80" i="1"/>
  <c r="T80" i="1"/>
  <c r="CH54" i="1"/>
  <c r="CE54" i="1"/>
  <c r="BZ54" i="1" s="1"/>
  <c r="CC54" i="1"/>
  <c r="CB54" i="1"/>
  <c r="CA54" i="1"/>
  <c r="BY54" i="1"/>
  <c r="BW54" i="1"/>
  <c r="BV54" i="1"/>
  <c r="BR54" i="1"/>
  <c r="BP54" i="1"/>
  <c r="BN54" i="1"/>
  <c r="BK54" i="1"/>
  <c r="BJ54" i="1"/>
  <c r="AI54" i="1"/>
  <c r="CG54" i="1" s="1"/>
  <c r="AC54" i="1"/>
  <c r="CF54" i="1" s="1"/>
  <c r="BM54" i="1" s="1"/>
  <c r="V54" i="1"/>
  <c r="U54" i="1"/>
  <c r="T54" i="1"/>
  <c r="CE52" i="1"/>
  <c r="BZ52" i="1" s="1"/>
  <c r="CC52" i="1"/>
  <c r="CB52" i="1"/>
  <c r="CA52" i="1"/>
  <c r="BY52" i="1"/>
  <c r="BW52" i="1"/>
  <c r="BV52" i="1"/>
  <c r="BR52" i="1"/>
  <c r="BP52" i="1"/>
  <c r="BN52" i="1"/>
  <c r="BK52" i="1"/>
  <c r="BJ52" i="1"/>
  <c r="AJ52" i="1"/>
  <c r="CH52" i="1" s="1"/>
  <c r="AC52" i="1"/>
  <c r="CF52" i="1" s="1"/>
  <c r="BM52" i="1" s="1"/>
  <c r="V52" i="1"/>
  <c r="U52" i="1"/>
  <c r="T52" i="1"/>
  <c r="CE51" i="1"/>
  <c r="BZ51" i="1" s="1"/>
  <c r="CC51" i="1"/>
  <c r="CB51" i="1"/>
  <c r="CA51" i="1"/>
  <c r="BY51" i="1"/>
  <c r="BW51" i="1"/>
  <c r="BV51" i="1"/>
  <c r="BR51" i="1"/>
  <c r="BP51" i="1"/>
  <c r="BN51" i="1"/>
  <c r="BK51" i="1"/>
  <c r="BJ51" i="1"/>
  <c r="AJ51" i="1"/>
  <c r="CH51" i="1" s="1"/>
  <c r="AC51" i="1"/>
  <c r="CF51" i="1" s="1"/>
  <c r="BM51" i="1" s="1"/>
  <c r="V51" i="1"/>
  <c r="U51" i="1"/>
  <c r="T51" i="1"/>
  <c r="CE47" i="1"/>
  <c r="BZ47" i="1" s="1"/>
  <c r="CC47" i="1"/>
  <c r="CB47" i="1"/>
  <c r="CA47" i="1"/>
  <c r="BY47" i="1"/>
  <c r="BW47" i="1"/>
  <c r="BV47" i="1"/>
  <c r="BR47" i="1"/>
  <c r="BP47" i="1"/>
  <c r="BN47" i="1"/>
  <c r="BK47" i="1"/>
  <c r="BJ47" i="1"/>
  <c r="AJ47" i="1"/>
  <c r="CH47" i="1" s="1"/>
  <c r="AC47" i="1"/>
  <c r="CF47" i="1" s="1"/>
  <c r="BM47" i="1" s="1"/>
  <c r="V47" i="1"/>
  <c r="U47" i="1"/>
  <c r="T47" i="1"/>
  <c r="CE45" i="1"/>
  <c r="BZ45" i="1" s="1"/>
  <c r="CC45" i="1"/>
  <c r="CB45" i="1"/>
  <c r="CA45" i="1"/>
  <c r="BY45" i="1"/>
  <c r="BW45" i="1"/>
  <c r="BV45" i="1"/>
  <c r="BR45" i="1"/>
  <c r="BP45" i="1"/>
  <c r="BN45" i="1"/>
  <c r="BK45" i="1"/>
  <c r="BJ45" i="1"/>
  <c r="AJ45" i="1"/>
  <c r="CH45" i="1" s="1"/>
  <c r="AC45" i="1"/>
  <c r="CF45" i="1" s="1"/>
  <c r="BM45" i="1" s="1"/>
  <c r="V45" i="1"/>
  <c r="U45" i="1"/>
  <c r="T45" i="1"/>
  <c r="CE27" i="1"/>
  <c r="BZ27" i="1" s="1"/>
  <c r="CC27" i="1"/>
  <c r="CB27" i="1"/>
  <c r="CA27" i="1"/>
  <c r="BY27" i="1"/>
  <c r="BW27" i="1"/>
  <c r="BV27" i="1"/>
  <c r="BR27" i="1"/>
  <c r="BP27" i="1"/>
  <c r="BN27" i="1"/>
  <c r="BK27" i="1"/>
  <c r="BJ27" i="1"/>
  <c r="AJ27" i="1"/>
  <c r="AI27" i="1" s="1"/>
  <c r="CG27" i="1" s="1"/>
  <c r="AC27" i="1"/>
  <c r="CF27" i="1" s="1"/>
  <c r="BM27" i="1" s="1"/>
  <c r="V27" i="1"/>
  <c r="U27" i="1"/>
  <c r="T27" i="1"/>
  <c r="CE23" i="1"/>
  <c r="BZ23" i="1" s="1"/>
  <c r="CC23" i="1"/>
  <c r="CB23" i="1"/>
  <c r="CA23" i="1"/>
  <c r="BY23" i="1"/>
  <c r="BW23" i="1"/>
  <c r="BV23" i="1"/>
  <c r="BR23" i="1"/>
  <c r="BP23" i="1"/>
  <c r="BN23" i="1"/>
  <c r="BK23" i="1"/>
  <c r="BJ23" i="1"/>
  <c r="AJ23" i="1"/>
  <c r="CH23" i="1" s="1"/>
  <c r="AC23" i="1"/>
  <c r="CF23" i="1" s="1"/>
  <c r="BM23" i="1" s="1"/>
  <c r="V23" i="1"/>
  <c r="U23" i="1"/>
  <c r="T23" i="1"/>
  <c r="CE20" i="1"/>
  <c r="BZ20" i="1" s="1"/>
  <c r="CC20" i="1"/>
  <c r="CB20" i="1"/>
  <c r="CA20" i="1"/>
  <c r="BY20" i="1"/>
  <c r="BW20" i="1"/>
  <c r="BV20" i="1"/>
  <c r="BR20" i="1"/>
  <c r="BP20" i="1"/>
  <c r="BN20" i="1"/>
  <c r="BK20" i="1"/>
  <c r="BJ20" i="1"/>
  <c r="AJ20" i="1"/>
  <c r="CH20" i="1" s="1"/>
  <c r="AC20" i="1"/>
  <c r="CF20" i="1" s="1"/>
  <c r="BM20" i="1" s="1"/>
  <c r="V20" i="1"/>
  <c r="U20" i="1"/>
  <c r="T20" i="1"/>
  <c r="CE18" i="1"/>
  <c r="BZ18" i="1" s="1"/>
  <c r="CC18" i="1"/>
  <c r="CB18" i="1"/>
  <c r="CA18" i="1"/>
  <c r="BY18" i="1"/>
  <c r="BW18" i="1"/>
  <c r="BV18" i="1"/>
  <c r="BR18" i="1"/>
  <c r="BP18" i="1"/>
  <c r="BN18" i="1"/>
  <c r="BK18" i="1"/>
  <c r="BJ18" i="1"/>
  <c r="AJ18" i="1"/>
  <c r="CH18" i="1" s="1"/>
  <c r="AC18" i="1"/>
  <c r="CF18" i="1" s="1"/>
  <c r="BM18" i="1" s="1"/>
  <c r="V18" i="1"/>
  <c r="U18" i="1"/>
  <c r="T18" i="1"/>
  <c r="CH17" i="1"/>
  <c r="CG17" i="1"/>
  <c r="CE17" i="1"/>
  <c r="BZ17" i="1" s="1"/>
  <c r="CC17" i="1"/>
  <c r="CB17" i="1"/>
  <c r="CA17" i="1"/>
  <c r="BY17" i="1"/>
  <c r="BW17" i="1"/>
  <c r="BV17" i="1"/>
  <c r="BR17" i="1"/>
  <c r="BP17" i="1"/>
  <c r="BN17" i="1"/>
  <c r="BK17" i="1"/>
  <c r="BJ17" i="1"/>
  <c r="AC17" i="1"/>
  <c r="CF17" i="1" s="1"/>
  <c r="BM17" i="1" s="1"/>
  <c r="V17" i="1"/>
  <c r="U17" i="1"/>
  <c r="T17" i="1"/>
  <c r="AI589" i="1" l="1"/>
  <c r="CG589" i="1" s="1"/>
  <c r="CH544" i="1"/>
  <c r="AI802" i="1"/>
  <c r="CG802" i="1" s="1"/>
  <c r="AI434" i="1"/>
  <c r="CG434" i="1" s="1"/>
  <c r="AI45" i="1"/>
  <c r="CG45" i="1" s="1"/>
  <c r="AI175" i="1"/>
  <c r="CG175" i="1" s="1"/>
  <c r="AI382" i="1"/>
  <c r="CG382" i="1" s="1"/>
  <c r="AI413" i="1"/>
  <c r="CG413" i="1" s="1"/>
  <c r="AI687" i="1"/>
  <c r="CG687" i="1" s="1"/>
  <c r="AI703" i="1"/>
  <c r="CG703" i="1" s="1"/>
  <c r="AI476" i="1"/>
  <c r="CG476" i="1" s="1"/>
  <c r="AI568" i="1"/>
  <c r="CG568" i="1" s="1"/>
  <c r="AI759" i="1"/>
  <c r="CG759" i="1" s="1"/>
  <c r="AI729" i="1"/>
  <c r="CG729" i="1" s="1"/>
  <c r="AI395" i="1"/>
  <c r="CG395" i="1" s="1"/>
  <c r="AI449" i="1"/>
  <c r="CG449" i="1" s="1"/>
  <c r="AI547" i="1"/>
  <c r="CG547" i="1" s="1"/>
  <c r="AI595" i="1"/>
  <c r="CG595" i="1" s="1"/>
  <c r="AI610" i="1"/>
  <c r="CG610" i="1" s="1"/>
  <c r="AI700" i="1"/>
  <c r="CG700" i="1" s="1"/>
  <c r="AI716" i="1"/>
  <c r="CG716" i="1" s="1"/>
  <c r="AI766" i="1"/>
  <c r="CG766" i="1" s="1"/>
  <c r="CH486" i="1"/>
  <c r="CH851" i="1"/>
  <c r="AI888" i="1"/>
  <c r="CG888" i="1" s="1"/>
  <c r="CH189" i="1"/>
  <c r="AI247" i="1"/>
  <c r="CG247" i="1" s="1"/>
  <c r="AI268" i="1"/>
  <c r="CG268" i="1" s="1"/>
  <c r="AI337" i="1"/>
  <c r="CG337" i="1" s="1"/>
  <c r="AI352" i="1"/>
  <c r="CG352" i="1" s="1"/>
  <c r="AI515" i="1"/>
  <c r="CG515" i="1" s="1"/>
  <c r="AI578" i="1"/>
  <c r="CG578" i="1" s="1"/>
  <c r="AI785" i="1"/>
  <c r="CG785" i="1" s="1"/>
  <c r="AI852" i="1"/>
  <c r="CG852" i="1" s="1"/>
  <c r="AI907" i="1"/>
  <c r="CG907" i="1" s="1"/>
  <c r="AI18" i="1"/>
  <c r="CG18" i="1" s="1"/>
  <c r="AI51" i="1"/>
  <c r="CG51" i="1" s="1"/>
  <c r="AI129" i="1"/>
  <c r="CG129" i="1" s="1"/>
  <c r="CH176" i="1"/>
  <c r="CH179" i="1"/>
  <c r="AI201" i="1"/>
  <c r="CG201" i="1" s="1"/>
  <c r="CH644" i="1"/>
  <c r="AI817" i="1"/>
  <c r="CG817" i="1" s="1"/>
  <c r="AI872" i="1"/>
  <c r="CG872" i="1" s="1"/>
  <c r="AI912" i="1"/>
  <c r="CG912" i="1" s="1"/>
  <c r="AI275" i="1"/>
  <c r="CG275" i="1" s="1"/>
  <c r="AI23" i="1"/>
  <c r="CG23" i="1" s="1"/>
  <c r="AI110" i="1"/>
  <c r="CG110" i="1" s="1"/>
  <c r="CH143" i="1"/>
  <c r="AI177" i="1"/>
  <c r="CG177" i="1" s="1"/>
  <c r="AI188" i="1"/>
  <c r="CG188" i="1" s="1"/>
  <c r="AI230" i="1"/>
  <c r="CG230" i="1" s="1"/>
  <c r="AI282" i="1"/>
  <c r="CG282" i="1" s="1"/>
  <c r="AI424" i="1"/>
  <c r="CG424" i="1" s="1"/>
  <c r="CH452" i="1"/>
  <c r="AI479" i="1"/>
  <c r="CG479" i="1" s="1"/>
  <c r="AI488" i="1"/>
  <c r="CG488" i="1" s="1"/>
  <c r="AI533" i="1"/>
  <c r="CG533" i="1" s="1"/>
  <c r="AI565" i="1"/>
  <c r="CG565" i="1" s="1"/>
  <c r="AI597" i="1"/>
  <c r="CG597" i="1" s="1"/>
  <c r="AI614" i="1"/>
  <c r="CG614" i="1" s="1"/>
  <c r="AI642" i="1"/>
  <c r="CG642" i="1" s="1"/>
  <c r="AI646" i="1"/>
  <c r="CG646" i="1" s="1"/>
  <c r="AI697" i="1"/>
  <c r="CG697" i="1" s="1"/>
  <c r="AI783" i="1"/>
  <c r="CG783" i="1" s="1"/>
  <c r="AI824" i="1"/>
  <c r="CG824" i="1" s="1"/>
  <c r="AI843" i="1"/>
  <c r="CG843" i="1" s="1"/>
  <c r="AI855" i="1"/>
  <c r="CG855" i="1" s="1"/>
  <c r="AI883" i="1"/>
  <c r="CG883" i="1" s="1"/>
  <c r="AI903" i="1"/>
  <c r="CG903" i="1" s="1"/>
  <c r="AI438" i="1"/>
  <c r="CG438" i="1" s="1"/>
  <c r="AI80" i="1"/>
  <c r="CG80" i="1" s="1"/>
  <c r="AI114" i="1"/>
  <c r="CG114" i="1" s="1"/>
  <c r="AI166" i="1"/>
  <c r="CG166" i="1" s="1"/>
  <c r="AI291" i="1"/>
  <c r="CG291" i="1" s="1"/>
  <c r="AI410" i="1"/>
  <c r="CG410" i="1" s="1"/>
  <c r="CH439" i="1"/>
  <c r="AI465" i="1"/>
  <c r="CG465" i="1" s="1"/>
  <c r="AI485" i="1"/>
  <c r="CG485" i="1" s="1"/>
  <c r="AI494" i="1"/>
  <c r="CG494" i="1" s="1"/>
  <c r="CH582" i="1"/>
  <c r="AI606" i="1"/>
  <c r="CG606" i="1" s="1"/>
  <c r="AI671" i="1"/>
  <c r="CG671" i="1" s="1"/>
  <c r="AI711" i="1"/>
  <c r="CG711" i="1" s="1"/>
  <c r="AI722" i="1"/>
  <c r="CG722" i="1" s="1"/>
  <c r="AI772" i="1"/>
  <c r="CG772" i="1" s="1"/>
  <c r="AI787" i="1"/>
  <c r="CG787" i="1" s="1"/>
  <c r="AI69" i="1"/>
  <c r="CG69" i="1" s="1"/>
  <c r="CH126" i="1"/>
  <c r="CH98" i="1"/>
  <c r="CH27" i="1"/>
  <c r="AI20" i="1"/>
  <c r="CG20" i="1" s="1"/>
  <c r="AI47" i="1"/>
  <c r="CG47" i="1" s="1"/>
  <c r="AI52" i="1"/>
  <c r="CG52" i="1" s="1"/>
  <c r="AI97" i="1"/>
  <c r="CG97" i="1" s="1"/>
  <c r="AI112" i="1"/>
  <c r="CG112" i="1" s="1"/>
  <c r="CH608" i="1"/>
  <c r="CH138" i="1"/>
  <c r="CH173" i="1"/>
  <c r="CH235" i="1"/>
  <c r="CH318" i="1"/>
  <c r="CH420" i="1"/>
  <c r="CH280" i="1"/>
  <c r="CH396" i="1"/>
  <c r="CH353" i="1"/>
  <c r="AI202" i="1"/>
  <c r="CG202" i="1" s="1"/>
  <c r="AI249" i="1"/>
  <c r="CG249" i="1" s="1"/>
  <c r="AI285" i="1"/>
  <c r="CG285" i="1" s="1"/>
  <c r="AI346" i="1"/>
  <c r="CG346" i="1" s="1"/>
  <c r="AI393" i="1"/>
  <c r="CG393" i="1" s="1"/>
  <c r="AI411" i="1"/>
  <c r="CG411" i="1" s="1"/>
  <c r="CH477" i="1"/>
  <c r="CH511" i="1"/>
  <c r="CH566" i="1"/>
  <c r="CH596" i="1"/>
  <c r="CH630" i="1"/>
  <c r="AI786" i="1"/>
  <c r="CG786" i="1" s="1"/>
  <c r="CH786" i="1"/>
  <c r="AI467" i="1"/>
  <c r="CG467" i="1" s="1"/>
  <c r="AI480" i="1"/>
  <c r="CG480" i="1" s="1"/>
  <c r="AI490" i="1"/>
  <c r="CG490" i="1" s="1"/>
  <c r="AI516" i="1"/>
  <c r="CG516" i="1" s="1"/>
  <c r="AI561" i="1"/>
  <c r="CG561" i="1" s="1"/>
  <c r="AI576" i="1"/>
  <c r="CG576" i="1" s="1"/>
  <c r="AI593" i="1"/>
  <c r="CG593" i="1" s="1"/>
  <c r="AI598" i="1"/>
  <c r="CG598" i="1" s="1"/>
  <c r="AI612" i="1"/>
  <c r="CG612" i="1" s="1"/>
  <c r="CH693" i="1"/>
  <c r="CH714" i="1"/>
  <c r="CH837" i="1"/>
  <c r="AI837" i="1"/>
  <c r="CG837" i="1" s="1"/>
  <c r="CH632" i="1"/>
  <c r="CH649" i="1"/>
  <c r="CH702" i="1"/>
  <c r="CH725" i="1"/>
  <c r="CH749" i="1"/>
  <c r="AI749" i="1"/>
  <c r="CG749" i="1" s="1"/>
  <c r="AI674" i="1"/>
  <c r="CG674" i="1" s="1"/>
  <c r="AI699" i="1"/>
  <c r="CG699" i="1" s="1"/>
  <c r="AI709" i="1"/>
  <c r="CG709" i="1" s="1"/>
  <c r="AI720" i="1"/>
  <c r="CG720" i="1" s="1"/>
  <c r="AI730" i="1"/>
  <c r="CG730" i="1" s="1"/>
  <c r="AI751" i="1"/>
  <c r="CG751" i="1" s="1"/>
  <c r="CH767" i="1"/>
  <c r="CH807" i="1"/>
  <c r="CH84" i="1"/>
  <c r="AI797" i="1"/>
  <c r="CG797" i="1" s="1"/>
  <c r="AI822" i="1"/>
  <c r="CG822" i="1" s="1"/>
  <c r="AI840" i="1"/>
  <c r="CG840" i="1" s="1"/>
  <c r="CH886" i="1"/>
  <c r="CH504" i="1"/>
  <c r="CH906" i="1"/>
  <c r="AI853" i="1"/>
  <c r="CG853" i="1" s="1"/>
  <c r="AI873" i="1"/>
  <c r="CG873" i="1" s="1"/>
  <c r="AI892" i="1"/>
  <c r="CG892" i="1" s="1"/>
  <c r="AI911" i="1"/>
  <c r="CG911" i="1" s="1"/>
  <c r="AI364" i="1"/>
  <c r="CG364" i="1" s="1"/>
  <c r="CH891" i="1" l="1"/>
  <c r="CE891" i="1"/>
  <c r="BZ891" i="1" s="1"/>
  <c r="CC891" i="1"/>
  <c r="CB891" i="1"/>
  <c r="CA891" i="1"/>
  <c r="BY891" i="1"/>
  <c r="BW891" i="1"/>
  <c r="BV891" i="1"/>
  <c r="BR891" i="1"/>
  <c r="BP891" i="1"/>
  <c r="BN891" i="1"/>
  <c r="BK891" i="1"/>
  <c r="BJ891" i="1"/>
  <c r="BG11" i="1"/>
  <c r="BE8" i="1"/>
  <c r="BE7" i="1"/>
  <c r="BE6" i="1"/>
  <c r="BE5" i="1"/>
  <c r="CH483" i="1" l="1"/>
  <c r="BW483" i="1"/>
  <c r="BV483" i="1"/>
  <c r="BR483" i="1"/>
  <c r="BP483" i="1"/>
  <c r="BN483" i="1"/>
  <c r="BK483" i="1"/>
  <c r="BJ483" i="1"/>
  <c r="CE483" i="1"/>
  <c r="BZ483" i="1" s="1"/>
  <c r="CC483" i="1"/>
  <c r="CB483" i="1"/>
  <c r="CA483" i="1"/>
  <c r="BY483" i="1"/>
  <c r="AI483" i="1"/>
  <c r="CG483" i="1" s="1"/>
  <c r="AC483" i="1"/>
  <c r="CF483" i="1" s="1"/>
  <c r="BM483" i="1" s="1"/>
  <c r="V483" i="1"/>
  <c r="U483" i="1"/>
  <c r="T483" i="1"/>
  <c r="AC839" i="1" l="1"/>
  <c r="AC90" i="1"/>
  <c r="AC891" i="1"/>
  <c r="CF891" i="1" s="1"/>
  <c r="BM891" i="1" s="1"/>
  <c r="G41" i="2" l="1"/>
  <c r="G40" i="2"/>
  <c r="F3" i="2"/>
  <c r="E3" i="2"/>
  <c r="G132" i="2" l="1"/>
  <c r="G131" i="2"/>
  <c r="G130" i="2"/>
  <c r="G129" i="2"/>
  <c r="G128" i="2"/>
  <c r="G125" i="2"/>
  <c r="G124" i="2"/>
  <c r="G123" i="2"/>
  <c r="G122" i="2"/>
  <c r="G121" i="2"/>
  <c r="G120" i="2"/>
  <c r="G119" i="2"/>
  <c r="L103" i="2"/>
  <c r="G103" i="2"/>
  <c r="L102" i="2"/>
  <c r="G102" i="2"/>
  <c r="L101" i="2"/>
  <c r="G101" i="2"/>
  <c r="L100" i="2"/>
  <c r="G100" i="2"/>
  <c r="L99" i="2"/>
  <c r="G99" i="2"/>
  <c r="L98" i="2"/>
  <c r="G98" i="2"/>
  <c r="L97" i="2"/>
  <c r="G97" i="2"/>
  <c r="G94" i="2"/>
  <c r="G92" i="2"/>
  <c r="G89" i="2"/>
  <c r="G88" i="2"/>
  <c r="G87" i="2"/>
  <c r="G86" i="2"/>
  <c r="G83" i="2"/>
  <c r="G82" i="2"/>
  <c r="G81" i="2"/>
  <c r="G80" i="2"/>
  <c r="G79" i="2"/>
  <c r="G78" i="2"/>
  <c r="G75" i="2"/>
  <c r="C75" i="2"/>
  <c r="D75" i="2" s="1"/>
  <c r="G74" i="2"/>
  <c r="C74" i="2"/>
  <c r="D74" i="2" s="1"/>
  <c r="G73" i="2"/>
  <c r="C73" i="2"/>
  <c r="D73" i="2" s="1"/>
  <c r="G72" i="2"/>
  <c r="C72" i="2"/>
  <c r="D72" i="2" s="1"/>
  <c r="G71" i="2"/>
  <c r="C71" i="2"/>
  <c r="D71" i="2" s="1"/>
  <c r="G70" i="2"/>
  <c r="C70" i="2"/>
  <c r="D70" i="2" s="1"/>
  <c r="G69" i="2"/>
  <c r="C69" i="2"/>
  <c r="D69" i="2" s="1"/>
  <c r="G66" i="2"/>
  <c r="G65" i="2"/>
  <c r="G64" i="2"/>
  <c r="G63" i="2"/>
  <c r="G62" i="2"/>
  <c r="G59" i="2"/>
  <c r="G58" i="2"/>
  <c r="G57" i="2"/>
  <c r="G56" i="2"/>
  <c r="G55" i="2"/>
  <c r="G54" i="2"/>
  <c r="G49" i="2"/>
  <c r="G48" i="2"/>
  <c r="G47" i="2"/>
  <c r="G46" i="2"/>
  <c r="G36" i="2"/>
  <c r="G35" i="2"/>
  <c r="G34" i="2"/>
  <c r="G26" i="2"/>
  <c r="L30" i="2" s="1"/>
  <c r="G23" i="2"/>
  <c r="G22" i="2"/>
  <c r="G19" i="2"/>
  <c r="G16" i="2"/>
  <c r="N1" i="2"/>
  <c r="L31" i="2" s="1"/>
  <c r="G31" i="2" s="1"/>
  <c r="L8" i="2" l="1"/>
  <c r="L42" i="2"/>
  <c r="G42" i="2" s="1"/>
  <c r="G30" i="2"/>
  <c r="G29" i="2"/>
  <c r="BY922" i="1"/>
  <c r="BY920" i="1"/>
  <c r="BY919" i="1"/>
  <c r="BY918" i="1"/>
  <c r="BY917" i="1"/>
  <c r="BY916" i="1"/>
  <c r="BY914" i="1"/>
  <c r="BY913" i="1"/>
  <c r="BY910" i="1"/>
  <c r="BY909" i="1"/>
  <c r="BY908" i="1"/>
  <c r="BY905" i="1"/>
  <c r="BY904" i="1"/>
  <c r="BY902" i="1"/>
  <c r="BY901" i="1"/>
  <c r="BY900" i="1"/>
  <c r="BY899" i="1"/>
  <c r="BY898" i="1"/>
  <c r="BY897" i="1"/>
  <c r="BY896" i="1"/>
  <c r="BY895" i="1"/>
  <c r="BY894" i="1"/>
  <c r="BY893" i="1"/>
  <c r="BY890" i="1"/>
  <c r="BY889" i="1"/>
  <c r="BY887" i="1"/>
  <c r="BY885" i="1"/>
  <c r="BY884" i="1"/>
  <c r="BY882" i="1"/>
  <c r="BY881" i="1"/>
  <c r="BY880" i="1"/>
  <c r="BY879" i="1"/>
  <c r="BY878" i="1"/>
  <c r="BY877" i="1"/>
  <c r="BY876" i="1"/>
  <c r="BY875" i="1"/>
  <c r="BY874" i="1"/>
  <c r="BY871" i="1"/>
  <c r="BY870" i="1"/>
  <c r="BY869" i="1"/>
  <c r="BY868" i="1"/>
  <c r="BY867" i="1"/>
  <c r="BY866" i="1"/>
  <c r="BY865" i="1"/>
  <c r="BY864" i="1"/>
  <c r="BY863" i="1"/>
  <c r="BY862" i="1"/>
  <c r="BY861" i="1"/>
  <c r="BY860" i="1"/>
  <c r="BY859" i="1"/>
  <c r="BY503" i="1"/>
  <c r="BY858" i="1"/>
  <c r="BY857" i="1"/>
  <c r="BY856" i="1"/>
  <c r="BY854" i="1"/>
  <c r="BY850" i="1"/>
  <c r="BY849" i="1"/>
  <c r="BY848" i="1"/>
  <c r="BY847" i="1"/>
  <c r="BY846" i="1"/>
  <c r="BY845" i="1"/>
  <c r="BY844" i="1"/>
  <c r="BY842" i="1"/>
  <c r="BY841" i="1"/>
  <c r="BY839" i="1"/>
  <c r="BY838" i="1"/>
  <c r="BY836" i="1"/>
  <c r="BY835" i="1"/>
  <c r="BY834" i="1"/>
  <c r="BY833" i="1"/>
  <c r="BY832" i="1"/>
  <c r="BY831" i="1"/>
  <c r="BY830" i="1"/>
  <c r="BY829" i="1"/>
  <c r="BY828" i="1"/>
  <c r="BY827" i="1"/>
  <c r="BY826" i="1"/>
  <c r="BY825" i="1"/>
  <c r="BY823" i="1"/>
  <c r="BY821" i="1"/>
  <c r="BY820" i="1"/>
  <c r="BY819" i="1"/>
  <c r="BY818" i="1"/>
  <c r="BY816" i="1"/>
  <c r="BY815" i="1"/>
  <c r="BY814" i="1"/>
  <c r="BY813" i="1"/>
  <c r="BY812" i="1"/>
  <c r="BY811" i="1"/>
  <c r="BY810" i="1"/>
  <c r="BY809" i="1"/>
  <c r="BY808" i="1"/>
  <c r="BY806" i="1"/>
  <c r="BY805" i="1"/>
  <c r="BY804" i="1"/>
  <c r="BY803" i="1"/>
  <c r="BY801" i="1"/>
  <c r="BY800" i="1"/>
  <c r="BY799" i="1"/>
  <c r="BY798" i="1"/>
  <c r="BY796" i="1"/>
  <c r="BY795" i="1"/>
  <c r="BY794" i="1"/>
  <c r="BY793" i="1"/>
  <c r="BY792" i="1"/>
  <c r="BY791" i="1"/>
  <c r="BY790" i="1"/>
  <c r="BY789" i="1"/>
  <c r="BY788" i="1"/>
  <c r="BY784" i="1"/>
  <c r="BY782" i="1"/>
  <c r="BY781" i="1"/>
  <c r="BY780" i="1"/>
  <c r="BY779" i="1"/>
  <c r="BY778" i="1"/>
  <c r="BY777" i="1"/>
  <c r="BY776" i="1"/>
  <c r="BY775" i="1"/>
  <c r="BY774" i="1"/>
  <c r="BY773" i="1"/>
  <c r="BY771" i="1"/>
  <c r="BY770" i="1"/>
  <c r="BY769" i="1"/>
  <c r="BY768" i="1"/>
  <c r="BY765" i="1"/>
  <c r="BY764" i="1"/>
  <c r="BY763" i="1"/>
  <c r="BY762" i="1"/>
  <c r="BY761" i="1"/>
  <c r="BY760" i="1"/>
  <c r="BY757" i="1"/>
  <c r="BY756" i="1"/>
  <c r="BY755" i="1"/>
  <c r="BY754" i="1"/>
  <c r="BY753" i="1"/>
  <c r="BY752" i="1"/>
  <c r="BY750" i="1"/>
  <c r="BY748" i="1"/>
  <c r="BY747" i="1"/>
  <c r="BY746" i="1"/>
  <c r="BY745" i="1"/>
  <c r="BY744" i="1"/>
  <c r="BY743" i="1"/>
  <c r="BY742" i="1"/>
  <c r="BY741" i="1"/>
  <c r="BY740" i="1"/>
  <c r="BY739" i="1"/>
  <c r="BY738" i="1"/>
  <c r="BY737" i="1"/>
  <c r="BY736" i="1"/>
  <c r="BY735" i="1"/>
  <c r="BY734" i="1"/>
  <c r="BY733" i="1"/>
  <c r="BY732" i="1"/>
  <c r="BY731" i="1"/>
  <c r="BY728" i="1"/>
  <c r="BY727" i="1"/>
  <c r="BY726" i="1"/>
  <c r="BY724" i="1"/>
  <c r="BY723" i="1"/>
  <c r="BY721" i="1"/>
  <c r="BY719" i="1"/>
  <c r="BY718" i="1"/>
  <c r="BY717" i="1"/>
  <c r="BY715" i="1"/>
  <c r="BY713" i="1"/>
  <c r="BY712" i="1"/>
  <c r="BY710" i="1"/>
  <c r="BY708" i="1"/>
  <c r="BY707" i="1"/>
  <c r="BY706" i="1"/>
  <c r="BY705" i="1"/>
  <c r="BY704" i="1"/>
  <c r="BY701" i="1"/>
  <c r="BY698" i="1"/>
  <c r="BY696" i="1"/>
  <c r="BY695" i="1"/>
  <c r="BY694" i="1"/>
  <c r="BY692" i="1"/>
  <c r="BY691" i="1"/>
  <c r="BY690" i="1"/>
  <c r="BY689" i="1"/>
  <c r="BY688" i="1"/>
  <c r="BY686" i="1"/>
  <c r="BY685" i="1"/>
  <c r="BY684" i="1"/>
  <c r="BY683" i="1"/>
  <c r="BY682" i="1"/>
  <c r="BY681" i="1"/>
  <c r="BY680" i="1"/>
  <c r="BY679" i="1"/>
  <c r="BY678" i="1"/>
  <c r="BY677" i="1"/>
  <c r="BY676" i="1"/>
  <c r="BY675" i="1"/>
  <c r="BY673" i="1"/>
  <c r="BY672" i="1"/>
  <c r="BY670" i="1"/>
  <c r="BY669" i="1"/>
  <c r="BY668" i="1"/>
  <c r="BY667" i="1"/>
  <c r="BY666" i="1"/>
  <c r="BY665" i="1"/>
  <c r="BY664" i="1"/>
  <c r="BY663" i="1"/>
  <c r="BY662" i="1"/>
  <c r="BY661" i="1"/>
  <c r="BY660" i="1"/>
  <c r="BY659" i="1"/>
  <c r="BY658" i="1"/>
  <c r="BY657" i="1"/>
  <c r="BY656" i="1"/>
  <c r="BY655" i="1"/>
  <c r="BY654" i="1"/>
  <c r="BY653" i="1"/>
  <c r="BY652" i="1"/>
  <c r="BY651" i="1"/>
  <c r="BY650" i="1"/>
  <c r="BY648" i="1"/>
  <c r="BY647" i="1"/>
  <c r="BY645" i="1"/>
  <c r="BY643" i="1"/>
  <c r="BY641" i="1"/>
  <c r="BY640" i="1"/>
  <c r="BY639" i="1"/>
  <c r="BY638" i="1"/>
  <c r="BY637" i="1"/>
  <c r="BY636" i="1"/>
  <c r="BY634" i="1"/>
  <c r="BY633" i="1"/>
  <c r="BY631" i="1"/>
  <c r="BY629" i="1"/>
  <c r="BY628" i="1"/>
  <c r="BY626" i="1"/>
  <c r="BY625" i="1"/>
  <c r="BY624" i="1"/>
  <c r="BY622" i="1"/>
  <c r="BY621" i="1"/>
  <c r="BY620" i="1"/>
  <c r="BY619" i="1"/>
  <c r="BY618" i="1"/>
  <c r="BY617" i="1"/>
  <c r="BY616" i="1"/>
  <c r="BY615" i="1"/>
  <c r="BY613" i="1"/>
  <c r="BY611" i="1"/>
  <c r="BY609" i="1"/>
  <c r="BY607" i="1"/>
  <c r="BY605" i="1"/>
  <c r="BY604" i="1"/>
  <c r="BY603" i="1"/>
  <c r="BY602" i="1"/>
  <c r="BY601" i="1"/>
  <c r="BY600" i="1"/>
  <c r="BY599" i="1"/>
  <c r="BY594" i="1"/>
  <c r="BY592" i="1"/>
  <c r="BY591" i="1"/>
  <c r="BY590" i="1"/>
  <c r="BY588" i="1"/>
  <c r="BY587" i="1"/>
  <c r="BY586" i="1"/>
  <c r="BY585" i="1"/>
  <c r="BY584" i="1"/>
  <c r="BY583" i="1"/>
  <c r="BY581" i="1"/>
  <c r="BY580" i="1"/>
  <c r="BY579" i="1"/>
  <c r="BY577" i="1"/>
  <c r="BY575" i="1"/>
  <c r="BY574" i="1"/>
  <c r="BY573" i="1"/>
  <c r="BY572" i="1"/>
  <c r="BY571" i="1"/>
  <c r="BY570" i="1"/>
  <c r="BY569" i="1"/>
  <c r="BY567" i="1"/>
  <c r="BY564" i="1"/>
  <c r="BY563" i="1"/>
  <c r="BY562" i="1"/>
  <c r="BY559" i="1"/>
  <c r="BY558" i="1"/>
  <c r="BY557" i="1"/>
  <c r="BY556" i="1"/>
  <c r="BY555" i="1"/>
  <c r="BY554" i="1"/>
  <c r="BY553" i="1"/>
  <c r="BY552" i="1"/>
  <c r="BY551" i="1"/>
  <c r="BY550" i="1"/>
  <c r="BY549" i="1"/>
  <c r="BY548" i="1"/>
  <c r="BY546" i="1"/>
  <c r="BY545" i="1"/>
  <c r="BY543" i="1"/>
  <c r="BY542" i="1"/>
  <c r="BY541" i="1"/>
  <c r="BY540" i="1"/>
  <c r="BY539" i="1"/>
  <c r="BY538" i="1"/>
  <c r="BY537" i="1"/>
  <c r="BY536" i="1"/>
  <c r="BY535" i="1"/>
  <c r="BY534" i="1"/>
  <c r="BY532" i="1"/>
  <c r="BY531" i="1"/>
  <c r="BY530" i="1"/>
  <c r="BY529" i="1"/>
  <c r="BY528" i="1"/>
  <c r="BY527" i="1"/>
  <c r="BY526" i="1"/>
  <c r="BY525" i="1"/>
  <c r="BY524" i="1"/>
  <c r="BY523" i="1"/>
  <c r="BY522" i="1"/>
  <c r="BY521" i="1"/>
  <c r="BY520" i="1"/>
  <c r="BY519" i="1"/>
  <c r="BY518" i="1"/>
  <c r="BY517" i="1"/>
  <c r="BY514" i="1"/>
  <c r="BY513" i="1"/>
  <c r="BY512" i="1"/>
  <c r="BY510" i="1"/>
  <c r="BY509" i="1"/>
  <c r="BY508" i="1"/>
  <c r="BY507" i="1"/>
  <c r="BY506" i="1"/>
  <c r="BY505" i="1"/>
  <c r="BY502" i="1"/>
  <c r="BY501" i="1"/>
  <c r="BY500" i="1"/>
  <c r="BY499" i="1"/>
  <c r="BY498" i="1"/>
  <c r="BY497" i="1"/>
  <c r="BY496" i="1"/>
  <c r="BY495" i="1"/>
  <c r="BY493" i="1"/>
  <c r="BY492" i="1"/>
  <c r="BY491" i="1"/>
  <c r="BY489" i="1"/>
  <c r="BY487" i="1"/>
  <c r="BY484" i="1"/>
  <c r="BY407" i="1"/>
  <c r="BY406" i="1"/>
  <c r="BY408" i="1"/>
  <c r="BY482" i="1"/>
  <c r="BY481" i="1"/>
  <c r="BY478" i="1"/>
  <c r="BY475" i="1"/>
  <c r="BY474" i="1"/>
  <c r="BY473" i="1"/>
  <c r="BY472" i="1"/>
  <c r="BY560" i="1"/>
  <c r="BY471" i="1"/>
  <c r="BY470" i="1"/>
  <c r="BY469" i="1"/>
  <c r="BY468" i="1"/>
  <c r="BY466" i="1"/>
  <c r="BY464" i="1"/>
  <c r="BY463" i="1"/>
  <c r="BY462" i="1"/>
  <c r="BY461" i="1"/>
  <c r="BY460" i="1"/>
  <c r="BY459" i="1"/>
  <c r="BY458" i="1"/>
  <c r="BY457" i="1"/>
  <c r="BY456" i="1"/>
  <c r="BY455" i="1"/>
  <c r="BY454" i="1"/>
  <c r="BY453" i="1"/>
  <c r="BY451" i="1"/>
  <c r="BY450" i="1"/>
  <c r="BY448" i="1"/>
  <c r="BY447" i="1"/>
  <c r="BY446" i="1"/>
  <c r="BY445" i="1"/>
  <c r="BY444" i="1"/>
  <c r="BY443" i="1"/>
  <c r="BY441" i="1"/>
  <c r="BY440" i="1"/>
  <c r="BY437" i="1"/>
  <c r="BY436" i="1"/>
  <c r="BY435" i="1"/>
  <c r="BY433" i="1"/>
  <c r="BY432" i="1"/>
  <c r="BY431" i="1"/>
  <c r="BY430" i="1"/>
  <c r="BY429" i="1"/>
  <c r="BY428" i="1"/>
  <c r="BY427" i="1"/>
  <c r="BY426" i="1"/>
  <c r="BY425" i="1"/>
  <c r="BY423" i="1"/>
  <c r="BY422" i="1"/>
  <c r="BY421" i="1"/>
  <c r="BY419" i="1"/>
  <c r="BY418" i="1"/>
  <c r="BY417" i="1"/>
  <c r="BY416" i="1"/>
  <c r="BY415" i="1"/>
  <c r="BY414" i="1"/>
  <c r="BY412" i="1"/>
  <c r="BY409" i="1"/>
  <c r="BY405" i="1"/>
  <c r="BY404" i="1"/>
  <c r="BY403" i="1"/>
  <c r="BY402" i="1"/>
  <c r="BY401" i="1"/>
  <c r="BY400" i="1"/>
  <c r="BY399" i="1"/>
  <c r="BY398" i="1"/>
  <c r="BY397" i="1"/>
  <c r="BY394" i="1"/>
  <c r="BY392" i="1"/>
  <c r="BY391" i="1"/>
  <c r="BY390" i="1"/>
  <c r="BY389" i="1"/>
  <c r="BY388" i="1"/>
  <c r="BY387" i="1"/>
  <c r="BY386" i="1"/>
  <c r="BY385" i="1"/>
  <c r="BY384" i="1"/>
  <c r="BY383" i="1"/>
  <c r="BY381" i="1"/>
  <c r="BY380" i="1"/>
  <c r="BY379" i="1"/>
  <c r="BY378" i="1"/>
  <c r="BY377" i="1"/>
  <c r="BY376" i="1"/>
  <c r="BY374" i="1"/>
  <c r="BY373" i="1"/>
  <c r="BY372" i="1"/>
  <c r="BY371" i="1"/>
  <c r="BY370" i="1"/>
  <c r="BY369" i="1"/>
  <c r="BY368" i="1"/>
  <c r="BY367" i="1"/>
  <c r="BY365" i="1"/>
  <c r="BY363" i="1"/>
  <c r="BY362" i="1"/>
  <c r="BY361" i="1"/>
  <c r="BY360" i="1"/>
  <c r="BY359" i="1"/>
  <c r="BY358" i="1"/>
  <c r="BY357" i="1"/>
  <c r="BY356" i="1"/>
  <c r="BY355" i="1"/>
  <c r="BY354" i="1"/>
  <c r="BY351" i="1"/>
  <c r="BY350" i="1"/>
  <c r="BY349" i="1"/>
  <c r="BY348" i="1"/>
  <c r="BY347" i="1"/>
  <c r="BY345" i="1"/>
  <c r="BY344" i="1"/>
  <c r="BY343" i="1"/>
  <c r="BY342" i="1"/>
  <c r="BY340" i="1"/>
  <c r="BY339" i="1"/>
  <c r="BY338" i="1"/>
  <c r="BY336" i="1"/>
  <c r="BY335" i="1"/>
  <c r="BY334" i="1"/>
  <c r="BY333" i="1"/>
  <c r="BY332" i="1"/>
  <c r="BY330" i="1"/>
  <c r="BY329" i="1"/>
  <c r="BY328" i="1"/>
  <c r="BY327" i="1"/>
  <c r="BY326" i="1"/>
  <c r="BY325" i="1"/>
  <c r="BY324" i="1"/>
  <c r="BY323" i="1"/>
  <c r="BY322" i="1"/>
  <c r="BY321" i="1"/>
  <c r="BY320" i="1"/>
  <c r="BY319" i="1"/>
  <c r="BY317" i="1"/>
  <c r="BY316" i="1"/>
  <c r="BY315" i="1"/>
  <c r="BY314" i="1"/>
  <c r="BY313" i="1"/>
  <c r="BY312" i="1"/>
  <c r="BY311" i="1"/>
  <c r="BY310" i="1"/>
  <c r="BY309" i="1"/>
  <c r="BY308" i="1"/>
  <c r="BY307" i="1"/>
  <c r="BY306" i="1"/>
  <c r="BY305" i="1"/>
  <c r="BY304" i="1"/>
  <c r="BY303" i="1"/>
  <c r="BY302" i="1"/>
  <c r="BY301" i="1"/>
  <c r="BY300" i="1"/>
  <c r="BY299" i="1"/>
  <c r="BY298" i="1"/>
  <c r="BY297" i="1"/>
  <c r="BY295" i="1"/>
  <c r="BY294" i="1"/>
  <c r="BY293" i="1"/>
  <c r="BY292" i="1"/>
  <c r="BY290" i="1"/>
  <c r="BY289" i="1"/>
  <c r="BY288" i="1"/>
  <c r="BY287" i="1"/>
  <c r="BY286" i="1"/>
  <c r="BY284" i="1"/>
  <c r="BY283" i="1"/>
  <c r="BY281" i="1"/>
  <c r="BY279" i="1"/>
  <c r="BY278" i="1"/>
  <c r="BY277" i="1"/>
  <c r="BY276" i="1"/>
  <c r="BY274" i="1"/>
  <c r="BY273" i="1"/>
  <c r="BY272" i="1"/>
  <c r="BY271" i="1"/>
  <c r="BY270" i="1"/>
  <c r="BY269" i="1"/>
  <c r="BY267" i="1"/>
  <c r="BY266" i="1"/>
  <c r="BY265" i="1"/>
  <c r="BY264" i="1"/>
  <c r="BY262" i="1"/>
  <c r="BY261" i="1"/>
  <c r="BY260" i="1"/>
  <c r="BY259" i="1"/>
  <c r="BY258" i="1"/>
  <c r="BY257" i="1"/>
  <c r="BY256" i="1"/>
  <c r="BY255" i="1"/>
  <c r="BY254" i="1"/>
  <c r="BY253" i="1"/>
  <c r="BY252" i="1"/>
  <c r="BY251" i="1"/>
  <c r="BY250" i="1"/>
  <c r="BY248" i="1"/>
  <c r="BY246" i="1"/>
  <c r="BY245" i="1"/>
  <c r="BY244" i="1"/>
  <c r="BY243" i="1"/>
  <c r="BY242" i="1"/>
  <c r="BY241" i="1"/>
  <c r="BY142" i="1"/>
  <c r="BY240" i="1"/>
  <c r="BY239" i="1"/>
  <c r="BY238" i="1"/>
  <c r="BY237" i="1"/>
  <c r="BY236" i="1"/>
  <c r="BY234" i="1"/>
  <c r="BY233" i="1"/>
  <c r="BY232" i="1"/>
  <c r="BY231" i="1"/>
  <c r="BY229" i="1"/>
  <c r="BY228" i="1"/>
  <c r="BY227" i="1"/>
  <c r="BY226" i="1"/>
  <c r="BY225" i="1"/>
  <c r="BY224" i="1"/>
  <c r="BY223" i="1"/>
  <c r="BY222" i="1"/>
  <c r="BY221" i="1"/>
  <c r="BY220" i="1"/>
  <c r="BY219" i="1"/>
  <c r="BY218" i="1"/>
  <c r="BY217" i="1"/>
  <c r="BY216" i="1"/>
  <c r="BY215" i="1"/>
  <c r="BY214" i="1"/>
  <c r="BY213" i="1"/>
  <c r="BY212" i="1"/>
  <c r="BY211" i="1"/>
  <c r="BY210" i="1"/>
  <c r="BY209" i="1"/>
  <c r="BY208" i="1"/>
  <c r="BY207" i="1"/>
  <c r="BY206" i="1"/>
  <c r="BY205" i="1"/>
  <c r="BY204" i="1"/>
  <c r="BY203" i="1"/>
  <c r="BY200" i="1"/>
  <c r="BY199" i="1"/>
  <c r="BY198" i="1"/>
  <c r="BY197" i="1"/>
  <c r="BY196" i="1"/>
  <c r="BY195" i="1"/>
  <c r="BY194" i="1"/>
  <c r="BY193" i="1"/>
  <c r="BY192" i="1"/>
  <c r="BY191" i="1"/>
  <c r="BY190" i="1"/>
  <c r="BY187" i="1"/>
  <c r="BY186" i="1"/>
  <c r="BY185" i="1"/>
  <c r="BY184" i="1"/>
  <c r="BY183" i="1"/>
  <c r="BY182" i="1"/>
  <c r="BY181" i="1"/>
  <c r="BY180" i="1"/>
  <c r="BY178" i="1"/>
  <c r="BY174" i="1"/>
  <c r="BY172" i="1"/>
  <c r="BY171" i="1"/>
  <c r="BY170" i="1"/>
  <c r="BY169" i="1"/>
  <c r="BY168" i="1"/>
  <c r="BY167" i="1"/>
  <c r="BY165" i="1"/>
  <c r="BY164" i="1"/>
  <c r="BY163" i="1"/>
  <c r="BY162" i="1"/>
  <c r="BY161" i="1"/>
  <c r="BY160" i="1"/>
  <c r="BY159" i="1"/>
  <c r="BY158" i="1"/>
  <c r="BY157" i="1"/>
  <c r="BY156" i="1"/>
  <c r="BY155" i="1"/>
  <c r="BY154" i="1"/>
  <c r="BY153" i="1"/>
  <c r="BY152" i="1"/>
  <c r="BY151" i="1"/>
  <c r="BY150" i="1"/>
  <c r="BY149" i="1"/>
  <c r="BY148" i="1"/>
  <c r="BY147" i="1"/>
  <c r="BY146" i="1"/>
  <c r="BY145" i="1"/>
  <c r="BY144" i="1"/>
  <c r="BY141" i="1"/>
  <c r="BY140" i="1"/>
  <c r="BY139" i="1"/>
  <c r="BY137" i="1"/>
  <c r="BY136" i="1"/>
  <c r="BY135" i="1"/>
  <c r="BY134" i="1"/>
  <c r="BY132" i="1"/>
  <c r="BY131" i="1"/>
  <c r="BY130" i="1"/>
  <c r="BY128" i="1"/>
  <c r="BY127" i="1"/>
  <c r="BY125" i="1"/>
  <c r="BY124" i="1"/>
  <c r="BY123" i="1"/>
  <c r="BY122" i="1"/>
  <c r="BY442" i="1"/>
  <c r="BY121" i="1"/>
  <c r="BY120" i="1"/>
  <c r="BY119" i="1"/>
  <c r="BY118" i="1"/>
  <c r="BY117" i="1"/>
  <c r="BY116" i="1"/>
  <c r="BY115" i="1"/>
  <c r="BY113" i="1"/>
  <c r="BY111" i="1"/>
  <c r="BY109" i="1"/>
  <c r="BY108" i="1"/>
  <c r="BY107" i="1"/>
  <c r="BY106" i="1"/>
  <c r="BY105" i="1"/>
  <c r="BY104" i="1"/>
  <c r="BY103" i="1"/>
  <c r="BY102" i="1"/>
  <c r="BY101" i="1"/>
  <c r="BY100" i="1"/>
  <c r="BY99" i="1"/>
  <c r="BY96" i="1"/>
  <c r="BY95" i="1"/>
  <c r="BY94" i="1"/>
  <c r="BY93" i="1"/>
  <c r="BY92" i="1"/>
  <c r="BY91" i="1"/>
  <c r="BY90" i="1"/>
  <c r="BY89" i="1"/>
  <c r="BY87" i="1"/>
  <c r="BY88" i="1"/>
  <c r="BY86" i="1"/>
  <c r="BY85" i="1"/>
  <c r="BY83" i="1"/>
  <c r="BY82" i="1"/>
  <c r="BY81" i="1"/>
  <c r="BY79" i="1"/>
  <c r="BY78" i="1"/>
  <c r="BY77" i="1"/>
  <c r="BY76" i="1"/>
  <c r="BY75" i="1"/>
  <c r="BY74" i="1"/>
  <c r="BY73" i="1"/>
  <c r="BY72" i="1"/>
  <c r="BY71" i="1"/>
  <c r="BY70" i="1"/>
  <c r="BY68" i="1"/>
  <c r="BY67" i="1"/>
  <c r="BY66" i="1"/>
  <c r="BY65" i="1"/>
  <c r="BY64" i="1"/>
  <c r="BY63" i="1"/>
  <c r="BY62" i="1"/>
  <c r="BY61" i="1"/>
  <c r="BY60" i="1"/>
  <c r="BY59" i="1"/>
  <c r="BY58" i="1"/>
  <c r="BY57" i="1"/>
  <c r="BY56" i="1"/>
  <c r="BY55" i="1"/>
  <c r="BY53" i="1"/>
  <c r="BY50" i="1"/>
  <c r="BY49" i="1"/>
  <c r="BY48" i="1"/>
  <c r="BY46" i="1"/>
  <c r="BY44" i="1"/>
  <c r="BY43" i="1"/>
  <c r="BY42" i="1"/>
  <c r="BY41" i="1"/>
  <c r="BY40" i="1"/>
  <c r="BY39" i="1"/>
  <c r="BY38" i="1"/>
  <c r="BY37" i="1"/>
  <c r="BY36" i="1"/>
  <c r="BY35" i="1"/>
  <c r="BY34" i="1"/>
  <c r="BY33" i="1"/>
  <c r="BY32" i="1"/>
  <c r="BY31" i="1"/>
  <c r="BY30" i="1"/>
  <c r="BY29" i="1"/>
  <c r="BY28" i="1"/>
  <c r="BY26" i="1"/>
  <c r="BY25" i="1"/>
  <c r="BY24" i="1"/>
  <c r="BY22" i="1"/>
  <c r="BY19" i="1"/>
  <c r="BA171" i="1" l="1"/>
  <c r="BA42" i="1"/>
  <c r="BA152" i="1"/>
  <c r="BA801" i="1"/>
  <c r="BA259" i="1"/>
  <c r="BA655" i="1"/>
  <c r="BA501" i="1"/>
  <c r="BA183" i="1"/>
  <c r="BA854" i="1"/>
  <c r="BA295" i="1"/>
  <c r="BA898" i="1"/>
  <c r="BA184" i="1"/>
  <c r="BA307" i="1"/>
  <c r="BA272" i="1"/>
  <c r="BA545" i="1"/>
  <c r="BA560" i="1"/>
  <c r="BA459" i="1"/>
  <c r="BA520" i="1"/>
  <c r="BA917" i="1"/>
  <c r="BA150" i="1"/>
  <c r="BA586" i="1"/>
  <c r="BA281" i="1"/>
  <c r="BA715" i="1"/>
  <c r="BA79" i="1"/>
  <c r="BA317" i="1"/>
  <c r="BA68" i="1"/>
  <c r="BA345" i="1"/>
  <c r="BA153" i="1"/>
  <c r="BA253" i="1"/>
  <c r="BA165" i="1"/>
  <c r="BA657" i="1"/>
  <c r="BA733" i="1"/>
  <c r="BA691" i="1"/>
  <c r="BA799" i="1"/>
  <c r="BA706" i="1"/>
  <c r="BA136" i="1"/>
  <c r="BA862" i="1"/>
  <c r="BA121" i="1"/>
  <c r="BA555" i="1"/>
  <c r="BA543" i="1"/>
  <c r="BA897" i="1"/>
  <c r="BA770" i="1"/>
  <c r="BA162" i="1"/>
  <c r="BA218" i="1"/>
  <c r="BA575" i="1"/>
  <c r="BA241" i="1"/>
  <c r="BA815" i="1"/>
  <c r="BA90" i="1"/>
  <c r="BA641" i="1"/>
  <c r="BA718" i="1"/>
  <c r="BA509" i="1"/>
  <c r="BA619" i="1"/>
  <c r="BA535" i="1"/>
  <c r="BA208" i="1"/>
  <c r="BA629" i="1"/>
  <c r="BA875" i="1"/>
  <c r="BA400" i="1"/>
  <c r="BA310" i="1"/>
  <c r="BA37" i="1"/>
  <c r="BA663" i="1"/>
  <c r="BA664" i="1"/>
  <c r="BA775" i="1"/>
  <c r="BA871" i="1"/>
  <c r="BA694" i="1"/>
  <c r="BA402" i="1"/>
  <c r="BA603" i="1"/>
  <c r="BA737" i="1"/>
  <c r="BA881" i="1"/>
  <c r="BA675" i="1"/>
  <c r="BA457" i="1"/>
  <c r="BA800" i="1"/>
  <c r="BA288" i="1"/>
  <c r="BA713" i="1"/>
  <c r="BA813" i="1"/>
  <c r="BA262" i="1"/>
  <c r="BA858" i="1"/>
  <c r="BA833" i="1"/>
  <c r="BA829" i="1"/>
  <c r="BA369" i="1"/>
  <c r="BA70" i="1"/>
  <c r="BA73" i="1"/>
  <c r="BA552" i="1"/>
  <c r="BA546" i="1"/>
  <c r="BA869" i="1"/>
  <c r="BA913" i="1"/>
  <c r="BA845" i="1"/>
  <c r="BA620" i="1"/>
  <c r="BA398" i="1"/>
  <c r="BA303" i="1"/>
  <c r="BA158" i="1"/>
  <c r="BA277" i="1"/>
  <c r="BA563" i="1"/>
  <c r="BA682" i="1"/>
  <c r="BA688" i="1"/>
  <c r="BA140" i="1"/>
  <c r="BA240" i="1"/>
  <c r="BA405" i="1"/>
  <c r="BA500" i="1"/>
  <c r="BA193" i="1"/>
  <c r="BA660" i="1"/>
  <c r="BA510" i="1"/>
  <c r="BA519" i="1"/>
  <c r="BA776" i="1"/>
  <c r="BA360" i="1"/>
  <c r="BA211" i="1"/>
  <c r="BA839" i="1"/>
  <c r="BA381" i="1"/>
  <c r="BA134" i="1"/>
  <c r="BA834" i="1"/>
  <c r="BA658" i="1"/>
  <c r="BA505" i="1"/>
  <c r="BA468" i="1"/>
  <c r="BA326" i="1"/>
  <c r="BA74" i="1"/>
  <c r="BA556" i="1"/>
  <c r="BA827" i="1"/>
  <c r="BA260" i="1"/>
  <c r="BA724" i="1"/>
  <c r="BA368" i="1"/>
  <c r="BA773" i="1"/>
  <c r="BA830" i="1"/>
  <c r="BA389" i="1"/>
  <c r="BA880" i="1"/>
  <c r="BA676" i="1"/>
  <c r="BA692" i="1"/>
  <c r="BA309" i="1"/>
  <c r="BA579" i="1"/>
  <c r="BA192" i="1"/>
  <c r="BA825" i="1"/>
  <c r="BA427" i="1"/>
  <c r="BA298" i="1"/>
  <c r="BA895" i="1"/>
  <c r="BA399" i="1"/>
  <c r="BA534" i="1"/>
  <c r="BA409" i="1"/>
  <c r="BA429" i="1"/>
  <c r="BA734" i="1"/>
  <c r="BA77" i="1"/>
  <c r="BA723" i="1"/>
  <c r="BA580" i="1"/>
  <c r="BA762" i="1"/>
  <c r="BA594" i="1"/>
  <c r="BA838" i="1"/>
  <c r="BA812" i="1"/>
  <c r="BA567" i="1"/>
  <c r="BA474" i="1"/>
  <c r="BA684" i="1"/>
  <c r="BA180" i="1"/>
  <c r="BA415" i="1"/>
  <c r="BA473" i="1"/>
  <c r="BA263" i="1"/>
  <c r="BA681" i="1"/>
  <c r="BA432" i="1"/>
  <c r="BA585" i="1"/>
  <c r="BA210" i="1"/>
  <c r="BA426" i="1"/>
  <c r="BA536" i="1"/>
  <c r="BA538" i="1"/>
  <c r="BA286" i="1"/>
  <c r="BA521" i="1"/>
  <c r="BA781" i="1"/>
  <c r="BA233" i="1"/>
  <c r="BA300" i="1"/>
  <c r="BA365" i="1"/>
  <c r="BA267" i="1"/>
  <c r="BA469" i="1"/>
  <c r="BA362" i="1"/>
  <c r="BA234" i="1"/>
  <c r="BA308" i="1"/>
  <c r="BA315" i="1"/>
  <c r="BA436" i="1"/>
  <c r="BA656" i="1"/>
  <c r="BA40" i="1"/>
  <c r="BA127" i="1"/>
  <c r="BA94" i="1"/>
  <c r="BA361" i="1"/>
  <c r="BA219" i="1"/>
  <c r="BA525" i="1"/>
  <c r="BA696" i="1"/>
  <c r="BA522" i="1"/>
  <c r="BA484" i="1"/>
  <c r="BA168" i="1"/>
  <c r="BA622" i="1"/>
  <c r="BA414" i="1"/>
  <c r="BA302" i="1"/>
  <c r="BA882" i="1"/>
  <c r="BA190" i="1"/>
  <c r="BA826" i="1"/>
  <c r="BA537" i="1"/>
  <c r="BA689" i="1"/>
  <c r="BA458" i="1"/>
  <c r="BA456" i="1"/>
  <c r="BA771" i="1"/>
  <c r="BA159" i="1"/>
  <c r="BA828" i="1"/>
  <c r="BA472" i="1"/>
  <c r="BA132" i="1"/>
  <c r="BA451" i="1"/>
  <c r="BA141" i="1"/>
  <c r="BA357" i="1"/>
  <c r="BA227" i="1"/>
  <c r="BA244" i="1"/>
  <c r="BA665" i="1"/>
  <c r="BA624" i="1"/>
  <c r="BA821" i="1"/>
  <c r="BA602" i="1"/>
  <c r="BA43" i="1"/>
  <c r="BA49" i="1"/>
  <c r="BA212" i="1"/>
  <c r="BA864" i="1"/>
  <c r="BA581" i="1"/>
  <c r="BA385" i="1"/>
  <c r="BA609" i="1"/>
  <c r="BA297" i="1"/>
  <c r="BA116" i="1"/>
  <c r="BA541" i="1"/>
  <c r="BA107" i="1"/>
  <c r="BA551" i="1"/>
  <c r="BA229" i="1"/>
  <c r="BA811" i="1"/>
  <c r="BA117" i="1"/>
  <c r="BA527" i="1"/>
  <c r="BA443" i="1"/>
  <c r="BA695" i="1"/>
  <c r="BA572" i="1"/>
  <c r="BA56" i="1"/>
  <c r="BA170" i="1"/>
  <c r="BA835" i="1"/>
  <c r="BA72" i="1"/>
  <c r="BA343" i="1"/>
  <c r="BA367" i="1"/>
  <c r="BA137" i="1"/>
  <c r="BA76" i="1"/>
  <c r="BA416" i="1"/>
  <c r="BA719" i="1"/>
  <c r="BA920" i="1"/>
  <c r="BA455" i="1"/>
  <c r="BA377" i="1"/>
  <c r="BA102" i="1"/>
  <c r="BA245" i="1"/>
  <c r="BA161" i="1"/>
  <c r="BA905" i="1"/>
  <c r="BA508" i="1"/>
  <c r="BA661" i="1"/>
  <c r="BA768" i="1"/>
  <c r="BA340" i="1"/>
  <c r="BA187" i="1"/>
  <c r="BA387" i="1"/>
  <c r="BA626" i="1"/>
  <c r="BA172" i="1"/>
  <c r="BA246" i="1"/>
  <c r="BA778" i="1"/>
  <c r="BA319" i="1"/>
  <c r="BA392" i="1"/>
  <c r="BA38" i="1"/>
  <c r="BA878" i="1"/>
  <c r="BA847" i="1"/>
  <c r="BA836" i="1"/>
  <c r="BA761" i="1"/>
  <c r="BA731" i="1"/>
  <c r="BA727" i="1"/>
  <c r="BA680" i="1"/>
  <c r="BA677" i="1"/>
  <c r="BA653" i="1"/>
  <c r="BA652" i="1"/>
  <c r="BA651" i="1"/>
  <c r="BA650" i="1"/>
  <c r="BA615" i="1"/>
  <c r="BA613" i="1"/>
  <c r="BA502" i="1"/>
  <c r="BA119" i="1"/>
  <c r="BA109" i="1"/>
  <c r="BA108" i="1"/>
  <c r="BA101" i="1"/>
  <c r="BA85" i="1"/>
  <c r="BA78" i="1"/>
  <c r="BA59" i="1"/>
  <c r="BA33" i="1"/>
  <c r="BA32" i="1"/>
  <c r="BA26" i="1"/>
  <c r="BA24" i="1"/>
  <c r="BA19" i="1"/>
  <c r="BA289" i="1"/>
  <c r="BA792" i="1"/>
  <c r="BA199" i="1"/>
  <c r="BA784" i="1"/>
  <c r="BA146" i="1"/>
  <c r="BA721" i="1"/>
  <c r="BA333" i="1"/>
  <c r="BA431" i="1"/>
  <c r="BA673" i="1"/>
  <c r="BA495" i="1"/>
  <c r="BA238" i="1"/>
  <c r="BA874" i="1"/>
  <c r="BA918" i="1"/>
  <c r="BA430" i="1"/>
  <c r="BA672" i="1"/>
  <c r="BA347" i="1"/>
  <c r="BA350" i="1"/>
  <c r="BA517" i="1"/>
  <c r="BA397" i="1"/>
  <c r="BA351" i="1"/>
  <c r="BA805" i="1"/>
  <c r="BA669" i="1"/>
  <c r="BA60" i="1"/>
  <c r="BA499" i="1"/>
  <c r="BA86" i="1"/>
  <c r="BA524" i="1"/>
  <c r="BA590" i="1"/>
  <c r="BA273" i="1"/>
  <c r="BA293" i="1"/>
  <c r="BA803" i="1"/>
  <c r="BA139" i="1"/>
  <c r="BA739" i="1"/>
  <c r="BA512" i="1"/>
  <c r="BA278" i="1"/>
  <c r="BA497" i="1"/>
  <c r="BA481" i="1"/>
  <c r="BA305" i="1"/>
  <c r="BA750" i="1"/>
  <c r="BA53" i="1"/>
  <c r="BA478" i="1"/>
  <c r="BA144" i="1"/>
  <c r="BA316" i="1"/>
  <c r="BA779" i="1"/>
  <c r="BA666" i="1"/>
  <c r="BA496" i="1"/>
  <c r="BA437" i="1"/>
  <c r="BA334" i="1"/>
  <c r="BA604" i="1"/>
  <c r="BA816" i="1"/>
  <c r="BA670" i="1"/>
  <c r="BA30" i="1"/>
  <c r="BA252" i="1"/>
  <c r="BA207" i="1"/>
  <c r="BA83" i="1"/>
  <c r="BA902" i="1"/>
  <c r="BA279" i="1"/>
  <c r="BA910" i="1"/>
  <c r="BA846" i="1"/>
  <c r="BA774" i="1"/>
  <c r="BA470" i="1"/>
  <c r="BA327" i="1"/>
  <c r="BA601" i="1"/>
  <c r="BA258" i="1"/>
  <c r="BA548" i="1"/>
  <c r="BA493" i="1"/>
  <c r="BA712" i="1"/>
  <c r="BA659" i="1"/>
  <c r="BA605" i="1"/>
  <c r="BA329" i="1"/>
  <c r="BA287" i="1"/>
  <c r="BA123" i="1"/>
  <c r="BA904" i="1"/>
  <c r="BA896" i="1"/>
  <c r="BA884" i="1"/>
  <c r="BA532" i="1"/>
  <c r="BA441" i="1"/>
  <c r="BA283" i="1"/>
  <c r="BA401" i="1"/>
  <c r="BA403" i="1"/>
  <c r="BA335" i="1"/>
  <c r="BA186" i="1"/>
  <c r="BA513" i="1"/>
  <c r="BA440" i="1"/>
  <c r="BA203" i="1"/>
  <c r="BA355" i="1"/>
  <c r="BA44" i="1"/>
  <c r="BA290" i="1"/>
  <c r="BA574" i="1"/>
  <c r="BA662" i="1"/>
  <c r="BA266" i="1"/>
  <c r="BA31" i="1"/>
  <c r="BA726" i="1"/>
  <c r="BA782" i="1"/>
  <c r="BA464" i="1"/>
  <c r="BA887" i="1"/>
  <c r="BA877" i="1"/>
  <c r="BA248" i="1"/>
  <c r="BA228" i="1"/>
  <c r="BA324" i="1"/>
  <c r="BA236" i="1"/>
  <c r="BA213" i="1"/>
  <c r="BA645" i="1"/>
  <c r="BA100" i="1"/>
  <c r="BA562" i="1"/>
  <c r="BA41" i="1"/>
  <c r="BA178" i="1"/>
  <c r="BA893" i="1"/>
  <c r="BA314" i="1"/>
  <c r="BA217" i="1"/>
  <c r="BA788" i="1"/>
  <c r="BA371" i="1"/>
  <c r="BA99" i="1"/>
  <c r="BA422" i="1"/>
  <c r="BA686" i="1"/>
  <c r="BA616" i="1"/>
  <c r="BA197" i="1"/>
  <c r="BA306" i="1"/>
  <c r="BA379" i="1"/>
  <c r="BA96" i="1"/>
  <c r="BA113" i="1"/>
  <c r="BA294" i="1"/>
  <c r="BA850" i="1"/>
  <c r="BA760" i="1"/>
  <c r="BA571" i="1"/>
  <c r="BA373" i="1"/>
  <c r="BA204" i="1"/>
  <c r="BA423" i="1"/>
  <c r="BA806" i="1"/>
  <c r="BA528" i="1"/>
  <c r="BA322" i="1"/>
  <c r="BA384" i="1"/>
  <c r="BA255" i="1"/>
  <c r="BA342" i="1"/>
  <c r="BA804" i="1"/>
  <c r="BA39" i="1"/>
  <c r="BA220" i="1"/>
  <c r="BA390" i="1"/>
  <c r="BA753" i="1"/>
  <c r="BA448" i="1"/>
  <c r="BA264" i="1"/>
  <c r="BA124" i="1"/>
  <c r="BA321" i="1"/>
  <c r="BA122" i="1"/>
  <c r="BA756" i="1"/>
  <c r="BA640" i="1"/>
  <c r="BA87" i="1"/>
  <c r="BA757" i="1"/>
  <c r="BA164" i="1"/>
  <c r="BA899" i="1"/>
  <c r="BA607" i="1"/>
  <c r="BA320" i="1"/>
  <c r="BA889" i="1"/>
  <c r="BA894" i="1"/>
  <c r="BA323" i="1"/>
  <c r="BA50" i="1"/>
  <c r="BA611" i="1"/>
  <c r="BA747" i="1"/>
  <c r="BA901" i="1"/>
  <c r="BA34" i="1"/>
  <c r="BA270" i="1"/>
  <c r="BA900" i="1"/>
  <c r="BA181" i="1"/>
  <c r="BA292" i="1"/>
  <c r="BA444" i="1"/>
  <c r="BA710" i="1"/>
  <c r="BA356" i="1"/>
  <c r="BA848" i="1"/>
  <c r="BA223" i="1"/>
  <c r="BA261" i="1"/>
  <c r="BA358" i="1"/>
  <c r="BA71" i="1"/>
  <c r="BA780" i="1"/>
  <c r="BA231" i="1"/>
  <c r="BA482" i="1"/>
  <c r="BA755" i="1"/>
  <c r="BA265" i="1"/>
  <c r="BA304" i="1"/>
  <c r="BA717" i="1"/>
  <c r="BA419" i="1"/>
  <c r="BA155" i="1"/>
  <c r="BA57" i="1"/>
  <c r="BA708" i="1"/>
  <c r="BA28" i="1"/>
  <c r="BA752" i="1"/>
  <c r="BA754" i="1"/>
  <c r="BA668" i="1"/>
  <c r="BA344" i="1"/>
  <c r="BA148" i="1"/>
  <c r="BA471" i="1"/>
  <c r="BA412" i="1"/>
  <c r="BA701" i="1"/>
  <c r="BA378" i="1"/>
  <c r="BA63" i="1"/>
  <c r="BA205" i="1"/>
  <c r="BA743" i="1"/>
  <c r="BA705" i="1"/>
  <c r="BA386" i="1"/>
  <c r="BA741" i="1"/>
  <c r="BA654" i="1"/>
  <c r="BA587" i="1"/>
  <c r="BA463" i="1"/>
  <c r="BA866" i="1"/>
  <c r="BA856" i="1"/>
  <c r="BA48" i="1"/>
  <c r="BA922" i="1"/>
  <c r="BA599" i="1"/>
  <c r="BA372" i="1"/>
  <c r="BA732" i="1"/>
  <c r="BA271" i="1"/>
  <c r="BA746" i="1"/>
  <c r="BA685" i="1"/>
  <c r="BA301" i="1"/>
  <c r="BA475" i="1"/>
  <c r="BA65" i="1"/>
  <c r="BA914" i="1"/>
  <c r="BA216" i="1"/>
  <c r="BA313" i="1"/>
  <c r="BA667" i="1"/>
  <c r="BA111" i="1"/>
  <c r="BA569" i="1"/>
  <c r="BA498" i="1"/>
  <c r="BA185" i="1"/>
  <c r="BA809" i="1"/>
  <c r="BA157" i="1"/>
  <c r="BA865" i="1"/>
  <c r="BA103" i="1"/>
  <c r="BA810" i="1"/>
  <c r="BA325" i="1"/>
  <c r="BA299" i="1"/>
  <c r="BA831" i="1"/>
  <c r="BA376" i="1"/>
  <c r="BA553" i="1"/>
  <c r="BA104" i="1"/>
  <c r="BA46" i="1"/>
  <c r="BA698" i="1"/>
  <c r="BA191" i="1"/>
  <c r="BA777" i="1"/>
  <c r="BA106" i="1"/>
  <c r="BE10" i="1"/>
  <c r="BE9" i="1"/>
  <c r="BN916" i="1"/>
  <c r="BN913" i="1"/>
  <c r="BN895" i="1"/>
  <c r="BN881" i="1"/>
  <c r="BN880" i="1"/>
  <c r="BN875" i="1"/>
  <c r="BN871" i="1"/>
  <c r="BN869" i="1"/>
  <c r="BN867" i="1"/>
  <c r="BN859" i="1"/>
  <c r="BN858" i="1"/>
  <c r="BN845" i="1"/>
  <c r="BN839" i="1"/>
  <c r="BN838" i="1"/>
  <c r="BN834" i="1"/>
  <c r="BN833" i="1"/>
  <c r="BN830" i="1"/>
  <c r="BN829" i="1"/>
  <c r="BN827" i="1"/>
  <c r="BN825" i="1"/>
  <c r="BN823" i="1"/>
  <c r="BN820" i="1"/>
  <c r="BN815" i="1"/>
  <c r="BN813" i="1"/>
  <c r="BN812" i="1"/>
  <c r="BN800" i="1"/>
  <c r="BN798" i="1"/>
  <c r="BN796" i="1"/>
  <c r="BN795" i="1"/>
  <c r="BN791" i="1"/>
  <c r="BN776" i="1"/>
  <c r="BN775" i="1"/>
  <c r="BN773" i="1"/>
  <c r="BN770" i="1"/>
  <c r="BN765" i="1"/>
  <c r="BN762" i="1"/>
  <c r="BN740" i="1"/>
  <c r="BN737" i="1"/>
  <c r="BN736" i="1"/>
  <c r="BN734" i="1"/>
  <c r="BN724" i="1"/>
  <c r="BN723" i="1"/>
  <c r="BN718" i="1"/>
  <c r="BN713" i="1"/>
  <c r="BN694" i="1"/>
  <c r="BN692" i="1"/>
  <c r="BN690" i="1"/>
  <c r="BN688" i="1"/>
  <c r="BN682" i="1"/>
  <c r="BN678" i="1"/>
  <c r="BN676" i="1"/>
  <c r="BN675" i="1"/>
  <c r="BN664" i="1"/>
  <c r="BN663" i="1"/>
  <c r="BN660" i="1"/>
  <c r="BN658" i="1"/>
  <c r="BN641" i="1"/>
  <c r="BN638" i="1"/>
  <c r="BN634" i="1"/>
  <c r="BN633" i="1"/>
  <c r="BN631" i="1"/>
  <c r="BN629" i="1"/>
  <c r="BN628" i="1"/>
  <c r="BN625" i="1"/>
  <c r="BN621" i="1"/>
  <c r="BN620" i="1"/>
  <c r="BN619" i="1"/>
  <c r="BN618" i="1"/>
  <c r="BN617" i="1"/>
  <c r="BN603" i="1"/>
  <c r="BN600" i="1"/>
  <c r="BN594" i="1"/>
  <c r="BN584" i="1"/>
  <c r="BN580" i="1"/>
  <c r="BN579" i="1"/>
  <c r="BN577" i="1"/>
  <c r="BN575" i="1"/>
  <c r="BN567" i="1"/>
  <c r="BN563" i="1"/>
  <c r="BN559" i="1"/>
  <c r="BN556" i="1"/>
  <c r="BN554" i="1"/>
  <c r="BN552" i="1"/>
  <c r="BN550" i="1"/>
  <c r="BN549" i="1"/>
  <c r="BN546" i="1"/>
  <c r="BN542" i="1"/>
  <c r="BN540" i="1"/>
  <c r="BN539" i="1"/>
  <c r="BN535" i="1"/>
  <c r="BN534" i="1"/>
  <c r="BN531" i="1"/>
  <c r="BN529" i="1"/>
  <c r="BN523" i="1"/>
  <c r="BN519" i="1"/>
  <c r="BN514" i="1"/>
  <c r="BN510" i="1"/>
  <c r="BN509" i="1"/>
  <c r="BN505" i="1"/>
  <c r="BN500" i="1"/>
  <c r="BN492" i="1"/>
  <c r="BN491" i="1"/>
  <c r="BN407" i="1"/>
  <c r="BN406" i="1"/>
  <c r="BN408" i="1"/>
  <c r="BN474" i="1"/>
  <c r="BN468" i="1"/>
  <c r="BN461" i="1"/>
  <c r="BN457" i="1"/>
  <c r="BN453" i="1"/>
  <c r="BN446" i="1"/>
  <c r="BN445" i="1"/>
  <c r="BN433" i="1"/>
  <c r="BN429" i="1"/>
  <c r="BN428" i="1"/>
  <c r="BN427" i="1"/>
  <c r="BN425" i="1"/>
  <c r="BN421" i="1"/>
  <c r="BN417" i="1"/>
  <c r="BN409" i="1"/>
  <c r="BN405" i="1"/>
  <c r="BN404" i="1"/>
  <c r="BN402" i="1"/>
  <c r="BN400" i="1"/>
  <c r="BN399" i="1"/>
  <c r="BN398" i="1"/>
  <c r="BN394" i="1"/>
  <c r="BN389" i="1"/>
  <c r="BN381" i="1"/>
  <c r="BN380" i="1"/>
  <c r="BN374" i="1"/>
  <c r="BN369" i="1"/>
  <c r="BN368" i="1"/>
  <c r="BN363" i="1"/>
  <c r="BN360" i="1"/>
  <c r="BN332" i="1"/>
  <c r="BN328" i="1"/>
  <c r="BN326" i="1"/>
  <c r="BN310" i="1"/>
  <c r="BN309" i="1"/>
  <c r="BN303" i="1"/>
  <c r="BN298" i="1"/>
  <c r="BN288" i="1"/>
  <c r="BN277" i="1"/>
  <c r="BN262" i="1"/>
  <c r="BN260" i="1"/>
  <c r="BN257" i="1"/>
  <c r="BN250" i="1"/>
  <c r="BN242" i="1"/>
  <c r="BN241" i="1"/>
  <c r="BN142" i="1"/>
  <c r="BN240" i="1"/>
  <c r="BN237" i="1"/>
  <c r="BN218" i="1"/>
  <c r="BN211" i="1"/>
  <c r="BN208" i="1"/>
  <c r="BN206" i="1"/>
  <c r="BN200" i="1"/>
  <c r="BN193" i="1"/>
  <c r="BN192" i="1"/>
  <c r="BN169" i="1"/>
  <c r="BN162" i="1"/>
  <c r="BN158" i="1"/>
  <c r="BN154" i="1"/>
  <c r="BN140" i="1"/>
  <c r="BN134" i="1"/>
  <c r="BN442" i="1"/>
  <c r="BN120" i="1"/>
  <c r="BN118" i="1"/>
  <c r="BN105" i="1"/>
  <c r="BN93" i="1"/>
  <c r="BN90" i="1"/>
  <c r="BN88" i="1"/>
  <c r="BN81" i="1"/>
  <c r="BN77" i="1"/>
  <c r="BN75" i="1"/>
  <c r="BN74" i="1"/>
  <c r="BN73" i="1"/>
  <c r="BN70" i="1"/>
  <c r="BN67" i="1"/>
  <c r="BN37" i="1"/>
  <c r="BN22" i="1"/>
  <c r="BN171" i="1"/>
  <c r="BN42" i="1"/>
  <c r="BN152" i="1"/>
  <c r="BN801" i="1"/>
  <c r="BN259" i="1"/>
  <c r="BN82" i="1"/>
  <c r="BN655" i="1"/>
  <c r="BN501" i="1"/>
  <c r="BN503" i="1"/>
  <c r="BN183" i="1"/>
  <c r="BN215" i="1"/>
  <c r="BN857" i="1"/>
  <c r="BN854" i="1"/>
  <c r="BN151" i="1"/>
  <c r="BN295" i="1"/>
  <c r="BN128" i="1"/>
  <c r="BN898" i="1"/>
  <c r="BN35" i="1"/>
  <c r="BN184" i="1"/>
  <c r="BN307" i="1"/>
  <c r="BN196" i="1"/>
  <c r="BN272" i="1"/>
  <c r="BN870" i="1"/>
  <c r="BN919" i="1"/>
  <c r="BN239" i="1"/>
  <c r="BN545" i="1"/>
  <c r="BN560" i="1"/>
  <c r="BN459" i="1"/>
  <c r="BN487" i="1"/>
  <c r="BN520" i="1"/>
  <c r="BN917" i="1"/>
  <c r="BN348" i="1"/>
  <c r="BN150" i="1"/>
  <c r="BN586" i="1"/>
  <c r="BN281" i="1"/>
  <c r="BN715" i="1"/>
  <c r="BN61" i="1"/>
  <c r="BN160" i="1"/>
  <c r="BN243" i="1"/>
  <c r="BN79" i="1"/>
  <c r="BN317" i="1"/>
  <c r="BN156" i="1"/>
  <c r="BN232" i="1"/>
  <c r="BN68" i="1"/>
  <c r="BN345" i="1"/>
  <c r="BN149" i="1"/>
  <c r="BN153" i="1"/>
  <c r="BN435" i="1"/>
  <c r="BN253" i="1"/>
  <c r="BN254" i="1"/>
  <c r="BN165" i="1"/>
  <c r="BN657" i="1"/>
  <c r="BN564" i="1"/>
  <c r="BN733" i="1"/>
  <c r="BN691" i="1"/>
  <c r="BN338" i="1"/>
  <c r="BN799" i="1"/>
  <c r="BN706" i="1"/>
  <c r="BN643" i="1"/>
  <c r="BN359" i="1"/>
  <c r="BN683" i="1"/>
  <c r="BN530" i="1"/>
  <c r="BN145" i="1"/>
  <c r="BN844" i="1"/>
  <c r="BN136" i="1"/>
  <c r="BN862" i="1"/>
  <c r="BN121" i="1"/>
  <c r="BN555" i="1"/>
  <c r="BN543" i="1"/>
  <c r="BN860" i="1"/>
  <c r="BN861" i="1"/>
  <c r="BN863" i="1"/>
  <c r="BN195" i="1"/>
  <c r="BN194" i="1"/>
  <c r="BN897" i="1"/>
  <c r="BN905" i="1"/>
  <c r="BN778" i="1"/>
  <c r="BN768" i="1"/>
  <c r="BN661" i="1"/>
  <c r="BN626" i="1"/>
  <c r="BN518" i="1"/>
  <c r="BN508" i="1"/>
  <c r="BN455" i="1"/>
  <c r="BN418" i="1"/>
  <c r="BN392" i="1"/>
  <c r="BN387" i="1"/>
  <c r="BN377" i="1"/>
  <c r="BN340" i="1"/>
  <c r="BN319" i="1"/>
  <c r="BN256" i="1"/>
  <c r="BN246" i="1"/>
  <c r="BN245" i="1"/>
  <c r="BN198" i="1"/>
  <c r="BN187" i="1"/>
  <c r="BN172" i="1"/>
  <c r="BN161" i="1"/>
  <c r="BN135" i="1"/>
  <c r="BN115" i="1"/>
  <c r="BN102" i="1"/>
  <c r="BN62" i="1"/>
  <c r="BN38" i="1"/>
  <c r="BN684" i="1"/>
  <c r="BN180" i="1"/>
  <c r="BN738" i="1"/>
  <c r="BN391" i="1"/>
  <c r="BN222" i="1"/>
  <c r="BN415" i="1"/>
  <c r="BN473" i="1"/>
  <c r="BN454" i="1"/>
  <c r="BN763" i="1"/>
  <c r="BN583" i="1"/>
  <c r="BN588" i="1"/>
  <c r="BN681" i="1"/>
  <c r="BN585" i="1"/>
  <c r="BN130" i="1"/>
  <c r="BN879" i="1"/>
  <c r="BN225" i="1"/>
  <c r="BN210" i="1"/>
  <c r="BN426" i="1"/>
  <c r="BN536" i="1"/>
  <c r="BN131" i="1"/>
  <c r="BN538" i="1"/>
  <c r="BN286" i="1"/>
  <c r="BN769" i="1"/>
  <c r="BN521" i="1"/>
  <c r="BN764" i="1"/>
  <c r="BN233" i="1"/>
  <c r="BN300" i="1"/>
  <c r="BN679" i="1"/>
  <c r="BN365" i="1"/>
  <c r="BN36" i="1"/>
  <c r="BN573" i="1"/>
  <c r="BN267" i="1"/>
  <c r="BN447" i="1"/>
  <c r="BN469" i="1"/>
  <c r="BN362" i="1"/>
  <c r="BN58" i="1"/>
  <c r="BN234" i="1"/>
  <c r="BN147" i="1"/>
  <c r="BN308" i="1"/>
  <c r="BN315" i="1"/>
  <c r="BN436" i="1"/>
  <c r="BN656" i="1"/>
  <c r="BN40" i="1"/>
  <c r="BN127" i="1"/>
  <c r="BN94" i="1"/>
  <c r="BN361" i="1"/>
  <c r="BN219" i="1"/>
  <c r="BN525" i="1"/>
  <c r="BN696" i="1"/>
  <c r="BN522" i="1"/>
  <c r="BN484" i="1"/>
  <c r="BN168" i="1"/>
  <c r="BN622" i="1"/>
  <c r="BN414" i="1"/>
  <c r="BN330" i="1"/>
  <c r="BN302" i="1"/>
  <c r="BN882" i="1"/>
  <c r="BN190" i="1"/>
  <c r="BN826" i="1"/>
  <c r="BN537" i="1"/>
  <c r="BN689" i="1"/>
  <c r="BN458" i="1"/>
  <c r="BN66" i="1"/>
  <c r="BN456" i="1"/>
  <c r="BN771" i="1"/>
  <c r="BN159" i="1"/>
  <c r="BN828" i="1"/>
  <c r="BN472" i="1"/>
  <c r="BN890" i="1"/>
  <c r="BN558" i="1"/>
  <c r="BN132" i="1"/>
  <c r="BN451" i="1"/>
  <c r="BN141" i="1"/>
  <c r="BN357" i="1"/>
  <c r="BN450" i="1"/>
  <c r="BN311" i="1"/>
  <c r="BN227" i="1"/>
  <c r="BN244" i="1"/>
  <c r="BN665" i="1"/>
  <c r="BN624" i="1"/>
  <c r="BN821" i="1"/>
  <c r="BN602" i="1"/>
  <c r="BN466" i="1"/>
  <c r="BN43" i="1"/>
  <c r="BN49" i="1"/>
  <c r="BN212" i="1"/>
  <c r="BN864" i="1"/>
  <c r="BN557" i="1"/>
  <c r="BN92" i="1"/>
  <c r="BN581" i="1"/>
  <c r="BN385" i="1"/>
  <c r="BN64" i="1"/>
  <c r="BN609" i="1"/>
  <c r="BN297" i="1"/>
  <c r="BN526" i="1"/>
  <c r="BN116" i="1"/>
  <c r="BN541" i="1"/>
  <c r="BN107" i="1"/>
  <c r="BN221" i="1"/>
  <c r="BN551" i="1"/>
  <c r="BN224" i="1"/>
  <c r="BN229" i="1"/>
  <c r="BN462" i="1"/>
  <c r="BN811" i="1"/>
  <c r="BN117" i="1"/>
  <c r="BN460" i="1"/>
  <c r="BN527" i="1"/>
  <c r="BN443" i="1"/>
  <c r="BN388" i="1"/>
  <c r="BN908" i="1"/>
  <c r="BN695" i="1"/>
  <c r="BN735" i="1"/>
  <c r="BN226" i="1"/>
  <c r="BN876" i="1"/>
  <c r="BN572" i="1"/>
  <c r="BN56" i="1"/>
  <c r="BN636" i="1"/>
  <c r="BN170" i="1"/>
  <c r="BN167" i="1"/>
  <c r="BN835" i="1"/>
  <c r="BN72" i="1"/>
  <c r="BN343" i="1"/>
  <c r="BN182" i="1"/>
  <c r="BN312" i="1"/>
  <c r="BN89" i="1"/>
  <c r="BN367" i="1"/>
  <c r="BN832" i="1"/>
  <c r="BN137" i="1"/>
  <c r="BN76" i="1"/>
  <c r="BN416" i="1"/>
  <c r="BN719" i="1"/>
  <c r="BN920" i="1"/>
  <c r="BN885" i="1"/>
  <c r="BN878" i="1"/>
  <c r="BN847" i="1"/>
  <c r="BN836" i="1"/>
  <c r="BN790" i="1"/>
  <c r="BN789" i="1"/>
  <c r="BN761" i="1"/>
  <c r="BN731" i="1"/>
  <c r="BN727" i="1"/>
  <c r="BN680" i="1"/>
  <c r="BN677" i="1"/>
  <c r="BN653" i="1"/>
  <c r="BN652" i="1"/>
  <c r="BN651" i="1"/>
  <c r="BN650" i="1"/>
  <c r="BN615" i="1"/>
  <c r="BN613" i="1"/>
  <c r="BN570" i="1"/>
  <c r="BN502" i="1"/>
  <c r="BN119" i="1"/>
  <c r="BN109" i="1"/>
  <c r="BN108" i="1"/>
  <c r="BN101" i="1"/>
  <c r="BN85" i="1"/>
  <c r="BN78" i="1"/>
  <c r="BN59" i="1"/>
  <c r="BN55" i="1"/>
  <c r="BN33" i="1"/>
  <c r="BN32" i="1"/>
  <c r="BN26" i="1"/>
  <c r="BN25" i="1"/>
  <c r="BN24" i="1"/>
  <c r="BN19" i="1"/>
  <c r="BN289" i="1"/>
  <c r="BN792" i="1"/>
  <c r="BN199" i="1"/>
  <c r="BN784" i="1"/>
  <c r="BN146" i="1"/>
  <c r="BN721" i="1"/>
  <c r="BN333" i="1"/>
  <c r="BN431" i="1"/>
  <c r="BN673" i="1"/>
  <c r="BN495" i="1"/>
  <c r="BN238" i="1"/>
  <c r="BN874" i="1"/>
  <c r="BN274" i="1"/>
  <c r="BN918" i="1"/>
  <c r="BN430" i="1"/>
  <c r="BN672" i="1"/>
  <c r="BN347" i="1"/>
  <c r="BN350" i="1"/>
  <c r="BN517" i="1"/>
  <c r="BN397" i="1"/>
  <c r="BN351" i="1"/>
  <c r="BN805" i="1"/>
  <c r="BN669" i="1"/>
  <c r="BN60" i="1"/>
  <c r="BN489" i="1"/>
  <c r="BN808" i="1"/>
  <c r="BN499" i="1"/>
  <c r="BN86" i="1"/>
  <c r="BN524" i="1"/>
  <c r="BN269" i="1"/>
  <c r="BN590" i="1"/>
  <c r="BN704" i="1"/>
  <c r="BN842" i="1"/>
  <c r="BN868" i="1"/>
  <c r="BN273" i="1"/>
  <c r="BN293" i="1"/>
  <c r="BN803" i="1"/>
  <c r="BN139" i="1"/>
  <c r="BN739" i="1"/>
  <c r="BN512" i="1"/>
  <c r="BN278" i="1"/>
  <c r="BN497" i="1"/>
  <c r="BN481" i="1"/>
  <c r="BN305" i="1"/>
  <c r="BN750" i="1"/>
  <c r="BN53" i="1"/>
  <c r="BN478" i="1"/>
  <c r="BN144" i="1"/>
  <c r="BN316" i="1"/>
  <c r="BN779" i="1"/>
  <c r="BN666" i="1"/>
  <c r="BN496" i="1"/>
  <c r="BN437" i="1"/>
  <c r="BN334" i="1"/>
  <c r="BN604" i="1"/>
  <c r="BN816" i="1"/>
  <c r="BN670" i="1"/>
  <c r="BN728" i="1"/>
  <c r="BN30" i="1"/>
  <c r="BN252" i="1"/>
  <c r="BN207" i="1"/>
  <c r="BN83" i="1"/>
  <c r="BN748" i="1"/>
  <c r="BN174" i="1"/>
  <c r="BN814" i="1"/>
  <c r="BN902" i="1"/>
  <c r="BN279" i="1"/>
  <c r="BN910" i="1"/>
  <c r="BN846" i="1"/>
  <c r="BN774" i="1"/>
  <c r="BN470" i="1"/>
  <c r="BN327" i="1"/>
  <c r="BN601" i="1"/>
  <c r="BN258" i="1"/>
  <c r="BN548" i="1"/>
  <c r="BN493" i="1"/>
  <c r="BN712" i="1"/>
  <c r="BN659" i="1"/>
  <c r="BN605" i="1"/>
  <c r="BN329" i="1"/>
  <c r="BN287" i="1"/>
  <c r="BN123" i="1"/>
  <c r="BN904" i="1"/>
  <c r="BN896" i="1"/>
  <c r="BN884" i="1"/>
  <c r="BN532" i="1"/>
  <c r="BN441" i="1"/>
  <c r="BN283" i="1"/>
  <c r="BN401" i="1"/>
  <c r="BN403" i="1"/>
  <c r="BN335" i="1"/>
  <c r="BN186" i="1"/>
  <c r="BN513" i="1"/>
  <c r="BN440" i="1"/>
  <c r="BN203" i="1"/>
  <c r="BN355" i="1"/>
  <c r="BN44" i="1"/>
  <c r="BN290" i="1"/>
  <c r="BN574" i="1"/>
  <c r="BN662" i="1"/>
  <c r="BN266" i="1"/>
  <c r="BN31" i="1"/>
  <c r="BN726" i="1"/>
  <c r="BN782" i="1"/>
  <c r="BN464" i="1"/>
  <c r="BN647" i="1"/>
  <c r="BN349" i="1"/>
  <c r="BN887" i="1"/>
  <c r="BN877" i="1"/>
  <c r="BN248" i="1"/>
  <c r="BN228" i="1"/>
  <c r="BN324" i="1"/>
  <c r="BN236" i="1"/>
  <c r="BN213" i="1"/>
  <c r="BN645" i="1"/>
  <c r="BN100" i="1"/>
  <c r="BN562" i="1"/>
  <c r="BN41" i="1"/>
  <c r="BN178" i="1"/>
  <c r="BN893" i="1"/>
  <c r="BN314" i="1"/>
  <c r="BN217" i="1"/>
  <c r="BN336" i="1"/>
  <c r="BN788" i="1"/>
  <c r="BN371" i="1"/>
  <c r="BN99" i="1"/>
  <c r="BN422" i="1"/>
  <c r="BN686" i="1"/>
  <c r="BN616" i="1"/>
  <c r="BN197" i="1"/>
  <c r="BN306" i="1"/>
  <c r="BN379" i="1"/>
  <c r="BN96" i="1"/>
  <c r="BN113" i="1"/>
  <c r="BN294" i="1"/>
  <c r="BN850" i="1"/>
  <c r="BN818" i="1"/>
  <c r="BN760" i="1"/>
  <c r="BN571" i="1"/>
  <c r="BN373" i="1"/>
  <c r="BN204" i="1"/>
  <c r="BN423" i="1"/>
  <c r="BN806" i="1"/>
  <c r="BN528" i="1"/>
  <c r="BN794" i="1"/>
  <c r="BN125" i="1"/>
  <c r="BN322" i="1"/>
  <c r="BN384" i="1"/>
  <c r="BN742" i="1"/>
  <c r="BN255" i="1"/>
  <c r="BN707" i="1"/>
  <c r="BN342" i="1"/>
  <c r="BN383" i="1"/>
  <c r="BN804" i="1"/>
  <c r="BN909" i="1"/>
  <c r="BN39" i="1"/>
  <c r="BN220" i="1"/>
  <c r="BN390" i="1"/>
  <c r="BN753" i="1"/>
  <c r="BN448" i="1"/>
  <c r="BN264" i="1"/>
  <c r="BN124" i="1"/>
  <c r="BN321" i="1"/>
  <c r="BN209" i="1"/>
  <c r="BN95" i="1"/>
  <c r="BN122" i="1"/>
  <c r="BN756" i="1"/>
  <c r="BN640" i="1"/>
  <c r="BN87" i="1"/>
  <c r="BN757" i="1"/>
  <c r="BN164" i="1"/>
  <c r="BN899" i="1"/>
  <c r="BN607" i="1"/>
  <c r="BN320" i="1"/>
  <c r="BN889" i="1"/>
  <c r="BN894" i="1"/>
  <c r="BN323" i="1"/>
  <c r="BN50" i="1"/>
  <c r="BN611" i="1"/>
  <c r="BN819" i="1"/>
  <c r="BN747" i="1"/>
  <c r="BN901" i="1"/>
  <c r="BN745" i="1"/>
  <c r="BN34" i="1"/>
  <c r="BN270" i="1"/>
  <c r="BN276" i="1"/>
  <c r="BN900" i="1"/>
  <c r="BN181" i="1"/>
  <c r="BN292" i="1"/>
  <c r="BN444" i="1"/>
  <c r="BN710" i="1"/>
  <c r="BN356" i="1"/>
  <c r="BN848" i="1"/>
  <c r="BN849" i="1"/>
  <c r="BN223" i="1"/>
  <c r="BN261" i="1"/>
  <c r="BN358" i="1"/>
  <c r="BN71" i="1"/>
  <c r="BN780" i="1"/>
  <c r="BN91" i="1"/>
  <c r="BN637" i="1"/>
  <c r="BN231" i="1"/>
  <c r="BN482" i="1"/>
  <c r="BN755" i="1"/>
  <c r="BN265" i="1"/>
  <c r="BN304" i="1"/>
  <c r="BN717" i="1"/>
  <c r="BN419" i="1"/>
  <c r="BN155" i="1"/>
  <c r="BN57" i="1"/>
  <c r="BN708" i="1"/>
  <c r="BN28" i="1"/>
  <c r="BN752" i="1"/>
  <c r="BN754" i="1"/>
  <c r="BN668" i="1"/>
  <c r="BN344" i="1"/>
  <c r="BN744" i="1"/>
  <c r="BN793" i="1"/>
  <c r="BN148" i="1"/>
  <c r="BN471" i="1"/>
  <c r="BN412" i="1"/>
  <c r="BN701" i="1"/>
  <c r="BN378" i="1"/>
  <c r="BN592" i="1"/>
  <c r="BN63" i="1"/>
  <c r="BN205" i="1"/>
  <c r="BN743" i="1"/>
  <c r="BN705" i="1"/>
  <c r="BN386" i="1"/>
  <c r="BN591" i="1"/>
  <c r="BN741" i="1"/>
  <c r="BN654" i="1"/>
  <c r="BN587" i="1"/>
  <c r="BN463" i="1"/>
  <c r="BN866" i="1"/>
  <c r="BN856" i="1"/>
  <c r="BN48" i="1"/>
  <c r="BN922" i="1"/>
  <c r="BN599" i="1"/>
  <c r="BN251" i="1"/>
  <c r="BN372" i="1"/>
  <c r="BN732" i="1"/>
  <c r="BN271" i="1"/>
  <c r="BN163" i="1"/>
  <c r="BN746" i="1"/>
  <c r="BN685" i="1"/>
  <c r="BN507" i="1"/>
  <c r="BN301" i="1"/>
  <c r="BN214" i="1"/>
  <c r="BN475" i="1"/>
  <c r="BN65" i="1"/>
  <c r="BN914" i="1"/>
  <c r="BN29" i="1"/>
  <c r="BN354" i="1"/>
  <c r="BN216" i="1"/>
  <c r="BN313" i="1"/>
  <c r="BN339" i="1"/>
  <c r="BN667" i="1"/>
  <c r="BN111" i="1"/>
  <c r="BN639" i="1"/>
  <c r="BN841" i="1"/>
  <c r="BN569" i="1"/>
  <c r="BN648" i="1"/>
  <c r="BN284" i="1"/>
  <c r="BN498" i="1"/>
  <c r="BN185" i="1"/>
  <c r="BN809" i="1"/>
  <c r="BN157" i="1"/>
  <c r="BN865" i="1"/>
  <c r="BN103" i="1"/>
  <c r="BN810" i="1"/>
  <c r="BN325" i="1"/>
  <c r="BN299" i="1"/>
  <c r="BN831" i="1"/>
  <c r="BN376" i="1"/>
  <c r="BN553" i="1"/>
  <c r="BN104" i="1"/>
  <c r="BN46" i="1"/>
  <c r="BN698" i="1"/>
  <c r="BN191" i="1"/>
  <c r="BN777" i="1"/>
  <c r="BN106" i="1"/>
  <c r="BN506" i="1"/>
  <c r="BN370" i="1"/>
  <c r="BE11" i="1" l="1"/>
  <c r="BH14" i="1"/>
  <c r="CH919" i="1" l="1"/>
  <c r="CH917" i="1"/>
  <c r="CH916" i="1"/>
  <c r="CH913" i="1"/>
  <c r="CH898" i="1"/>
  <c r="CH897" i="1"/>
  <c r="CH895" i="1"/>
  <c r="CH881" i="1"/>
  <c r="CH875" i="1"/>
  <c r="CH871" i="1"/>
  <c r="CH870" i="1"/>
  <c r="CH869" i="1"/>
  <c r="CH863" i="1"/>
  <c r="CH862" i="1"/>
  <c r="CH861" i="1"/>
  <c r="CH860" i="1"/>
  <c r="CH859" i="1"/>
  <c r="CH503" i="1"/>
  <c r="CH858" i="1"/>
  <c r="CH857" i="1"/>
  <c r="CH854" i="1"/>
  <c r="CH845" i="1"/>
  <c r="CH844" i="1"/>
  <c r="CH839" i="1"/>
  <c r="CH834" i="1"/>
  <c r="CH833" i="1"/>
  <c r="CH830" i="1"/>
  <c r="CH829" i="1"/>
  <c r="CH827" i="1"/>
  <c r="CH825" i="1"/>
  <c r="CH823" i="1"/>
  <c r="CH815" i="1"/>
  <c r="CH813" i="1"/>
  <c r="CH800" i="1"/>
  <c r="CH799" i="1"/>
  <c r="CH776" i="1"/>
  <c r="CH775" i="1"/>
  <c r="CH773" i="1"/>
  <c r="CH770" i="1"/>
  <c r="CH740" i="1"/>
  <c r="CH737" i="1"/>
  <c r="CH736" i="1"/>
  <c r="CH734" i="1"/>
  <c r="CH733" i="1"/>
  <c r="CH724" i="1"/>
  <c r="CH718" i="1"/>
  <c r="CH713" i="1"/>
  <c r="CH706" i="1"/>
  <c r="CH694" i="1"/>
  <c r="CH692" i="1"/>
  <c r="CH691" i="1"/>
  <c r="CH688" i="1"/>
  <c r="CH683" i="1"/>
  <c r="CH682" i="1"/>
  <c r="CH678" i="1"/>
  <c r="CH676" i="1"/>
  <c r="CH675" i="1"/>
  <c r="CH664" i="1"/>
  <c r="CH663" i="1"/>
  <c r="CH660" i="1"/>
  <c r="CH658" i="1"/>
  <c r="CH657" i="1"/>
  <c r="CH655" i="1"/>
  <c r="CH643" i="1"/>
  <c r="CH641" i="1"/>
  <c r="CH633" i="1"/>
  <c r="CH631" i="1"/>
  <c r="CH629" i="1"/>
  <c r="CH628" i="1"/>
  <c r="CH625" i="1"/>
  <c r="CH620" i="1"/>
  <c r="CH619" i="1"/>
  <c r="CH618" i="1"/>
  <c r="CH603" i="1"/>
  <c r="CH579" i="1"/>
  <c r="CH575" i="1"/>
  <c r="CH559" i="1"/>
  <c r="CH556" i="1"/>
  <c r="CH555" i="1"/>
  <c r="CH554" i="1"/>
  <c r="CH552" i="1"/>
  <c r="CH550" i="1"/>
  <c r="CH549" i="1"/>
  <c r="CH546" i="1"/>
  <c r="CH545" i="1"/>
  <c r="CH543" i="1"/>
  <c r="CH542" i="1"/>
  <c r="CH539" i="1"/>
  <c r="CH535" i="1"/>
  <c r="CH534" i="1"/>
  <c r="CH531" i="1"/>
  <c r="CH523" i="1"/>
  <c r="CH520" i="1"/>
  <c r="CH519" i="1"/>
  <c r="CH510" i="1"/>
  <c r="CH509" i="1"/>
  <c r="CH505" i="1"/>
  <c r="CH501" i="1"/>
  <c r="CH500" i="1"/>
  <c r="CH491" i="1"/>
  <c r="CH487" i="1"/>
  <c r="CH407" i="1"/>
  <c r="CH406" i="1"/>
  <c r="CH408" i="1"/>
  <c r="CH560" i="1"/>
  <c r="CH468" i="1"/>
  <c r="CH461" i="1"/>
  <c r="CH459" i="1"/>
  <c r="CH457" i="1"/>
  <c r="CH446" i="1"/>
  <c r="CH435" i="1"/>
  <c r="CH433" i="1"/>
  <c r="CH429" i="1"/>
  <c r="CH428" i="1"/>
  <c r="CH427" i="1"/>
  <c r="CH425" i="1"/>
  <c r="CH417" i="1"/>
  <c r="CH405" i="1"/>
  <c r="CH404" i="1"/>
  <c r="CH402" i="1"/>
  <c r="CH400" i="1"/>
  <c r="CH399" i="1"/>
  <c r="CH398" i="1"/>
  <c r="CH394" i="1"/>
  <c r="CH389" i="1"/>
  <c r="CH381" i="1"/>
  <c r="CH380" i="1"/>
  <c r="CH369" i="1"/>
  <c r="CH368" i="1"/>
  <c r="CH363" i="1"/>
  <c r="CH360" i="1"/>
  <c r="CH359" i="1"/>
  <c r="CH345" i="1"/>
  <c r="CH332" i="1"/>
  <c r="CH326" i="1"/>
  <c r="CH317" i="1"/>
  <c r="CH310" i="1"/>
  <c r="CH309" i="1"/>
  <c r="CH307" i="1"/>
  <c r="CH303" i="1"/>
  <c r="CH298" i="1"/>
  <c r="CH295" i="1"/>
  <c r="CH281" i="1"/>
  <c r="CH272" i="1"/>
  <c r="CH262" i="1"/>
  <c r="CH260" i="1"/>
  <c r="CH259" i="1"/>
  <c r="CH257" i="1"/>
  <c r="CH253" i="1"/>
  <c r="CH243" i="1"/>
  <c r="CH241" i="1"/>
  <c r="CH142" i="1"/>
  <c r="CH240" i="1"/>
  <c r="CH239" i="1"/>
  <c r="CH232" i="1"/>
  <c r="CH218" i="1"/>
  <c r="CH215" i="1"/>
  <c r="CH211" i="1"/>
  <c r="CH208" i="1"/>
  <c r="CH206" i="1"/>
  <c r="CH195" i="1"/>
  <c r="CH194" i="1"/>
  <c r="CH193" i="1"/>
  <c r="CH192" i="1"/>
  <c r="CH184" i="1"/>
  <c r="CH183" i="1"/>
  <c r="CH171" i="1"/>
  <c r="CH169" i="1"/>
  <c r="CH165" i="1"/>
  <c r="CH162" i="1"/>
  <c r="CH158" i="1"/>
  <c r="CH154" i="1"/>
  <c r="CH153" i="1"/>
  <c r="CH152" i="1"/>
  <c r="CH151" i="1"/>
  <c r="CH150" i="1"/>
  <c r="CH149" i="1"/>
  <c r="CH145" i="1"/>
  <c r="CH140" i="1"/>
  <c r="CH136" i="1"/>
  <c r="CH134" i="1"/>
  <c r="CH442" i="1"/>
  <c r="CH121" i="1"/>
  <c r="CH118" i="1"/>
  <c r="CH93" i="1"/>
  <c r="CH90" i="1"/>
  <c r="CH88" i="1"/>
  <c r="CH82" i="1"/>
  <c r="CH81" i="1"/>
  <c r="CH79" i="1"/>
  <c r="CH77" i="1"/>
  <c r="CH75" i="1"/>
  <c r="CH74" i="1"/>
  <c r="CH70" i="1"/>
  <c r="CH68" i="1"/>
  <c r="CH67" i="1"/>
  <c r="CH61" i="1"/>
  <c r="CH42" i="1"/>
  <c r="CH37" i="1"/>
  <c r="CH35" i="1"/>
  <c r="CH880" i="1"/>
  <c r="CG880" i="1"/>
  <c r="CH867" i="1"/>
  <c r="CG867" i="1"/>
  <c r="CH820" i="1"/>
  <c r="CG820" i="1"/>
  <c r="CH801" i="1"/>
  <c r="CG801" i="1"/>
  <c r="CH791" i="1"/>
  <c r="CG791" i="1"/>
  <c r="CH723" i="1"/>
  <c r="CG723" i="1"/>
  <c r="CH634" i="1"/>
  <c r="CG634" i="1"/>
  <c r="CH621" i="1"/>
  <c r="CG621" i="1"/>
  <c r="CH586" i="1"/>
  <c r="CG586" i="1"/>
  <c r="CH580" i="1"/>
  <c r="CG580" i="1"/>
  <c r="CH540" i="1"/>
  <c r="CG540" i="1"/>
  <c r="CH530" i="1"/>
  <c r="CG530" i="1"/>
  <c r="CH529" i="1"/>
  <c r="CG529" i="1"/>
  <c r="CH514" i="1"/>
  <c r="CG514" i="1"/>
  <c r="CH421" i="1"/>
  <c r="CG421" i="1"/>
  <c r="CH374" i="1"/>
  <c r="CG374" i="1"/>
  <c r="CH348" i="1"/>
  <c r="CG348" i="1"/>
  <c r="CH288" i="1"/>
  <c r="CG288" i="1"/>
  <c r="CH277" i="1"/>
  <c r="CG277" i="1"/>
  <c r="CH196" i="1"/>
  <c r="CG196" i="1"/>
  <c r="CH838" i="1"/>
  <c r="CG838" i="1"/>
  <c r="CH812" i="1"/>
  <c r="CG812" i="1"/>
  <c r="CH798" i="1"/>
  <c r="CG798" i="1"/>
  <c r="CH795" i="1"/>
  <c r="CG795" i="1"/>
  <c r="CH762" i="1"/>
  <c r="CG762" i="1"/>
  <c r="CH715" i="1"/>
  <c r="CG715" i="1"/>
  <c r="CH690" i="1"/>
  <c r="CG690" i="1"/>
  <c r="CH638" i="1"/>
  <c r="CG638" i="1"/>
  <c r="CH617" i="1"/>
  <c r="CG617" i="1"/>
  <c r="CH600" i="1"/>
  <c r="CG600" i="1"/>
  <c r="CH584" i="1"/>
  <c r="CG584" i="1"/>
  <c r="CH577" i="1"/>
  <c r="CG577" i="1"/>
  <c r="CH564" i="1"/>
  <c r="CG564" i="1"/>
  <c r="CH563" i="1"/>
  <c r="CH453" i="1"/>
  <c r="CG453" i="1"/>
  <c r="CH445" i="1"/>
  <c r="CG445" i="1"/>
  <c r="CH409" i="1"/>
  <c r="CG409" i="1"/>
  <c r="CH338" i="1"/>
  <c r="CG338" i="1"/>
  <c r="CH328" i="1"/>
  <c r="CG328" i="1"/>
  <c r="CH250" i="1"/>
  <c r="CG250" i="1"/>
  <c r="CH242" i="1"/>
  <c r="CH237" i="1"/>
  <c r="CG237" i="1"/>
  <c r="CH160" i="1"/>
  <c r="CG160" i="1"/>
  <c r="CH156" i="1"/>
  <c r="CG156" i="1"/>
  <c r="CH120" i="1"/>
  <c r="CG120" i="1"/>
  <c r="CH105" i="1"/>
  <c r="CG105" i="1"/>
  <c r="CH796" i="1"/>
  <c r="CG796" i="1"/>
  <c r="CH765" i="1"/>
  <c r="CG765" i="1"/>
  <c r="CH594" i="1"/>
  <c r="CG594" i="1"/>
  <c r="CH567" i="1"/>
  <c r="CG567" i="1"/>
  <c r="CH492" i="1"/>
  <c r="CG492" i="1"/>
  <c r="CH474" i="1"/>
  <c r="CH254" i="1"/>
  <c r="CH200" i="1"/>
  <c r="CG200" i="1"/>
  <c r="CH128" i="1"/>
  <c r="CG128" i="1"/>
  <c r="CH73" i="1"/>
  <c r="CG73" i="1"/>
  <c r="CH22" i="1"/>
  <c r="CG22" i="1"/>
  <c r="CH920" i="1"/>
  <c r="CH908" i="1"/>
  <c r="CH905" i="1"/>
  <c r="CH890" i="1"/>
  <c r="CH882" i="1"/>
  <c r="CH879" i="1"/>
  <c r="CH876" i="1"/>
  <c r="CH864" i="1"/>
  <c r="CH835" i="1"/>
  <c r="CH828" i="1"/>
  <c r="CH826" i="1"/>
  <c r="CH821" i="1"/>
  <c r="CH811" i="1"/>
  <c r="CH781" i="1"/>
  <c r="CH778" i="1"/>
  <c r="CH771" i="1"/>
  <c r="CH769" i="1"/>
  <c r="CH768" i="1"/>
  <c r="CH764" i="1"/>
  <c r="CH738" i="1"/>
  <c r="CH735" i="1"/>
  <c r="CH719" i="1"/>
  <c r="CH696" i="1"/>
  <c r="CH695" i="1"/>
  <c r="CH689" i="1"/>
  <c r="CH684" i="1"/>
  <c r="CH681" i="1"/>
  <c r="CH679" i="1"/>
  <c r="CH665" i="1"/>
  <c r="CH656" i="1"/>
  <c r="CH636" i="1"/>
  <c r="CH626" i="1"/>
  <c r="CH624" i="1"/>
  <c r="CH622" i="1"/>
  <c r="CH609" i="1"/>
  <c r="CH602" i="1"/>
  <c r="CH588" i="1"/>
  <c r="CH585" i="1"/>
  <c r="CH572" i="1"/>
  <c r="CH558" i="1"/>
  <c r="CH557" i="1"/>
  <c r="CH551" i="1"/>
  <c r="CH541" i="1"/>
  <c r="CH538" i="1"/>
  <c r="CH537" i="1"/>
  <c r="CH536" i="1"/>
  <c r="CH527" i="1"/>
  <c r="CH526" i="1"/>
  <c r="CH525" i="1"/>
  <c r="CH522" i="1"/>
  <c r="CH521" i="1"/>
  <c r="CH508" i="1"/>
  <c r="CH484" i="1"/>
  <c r="CH472" i="1"/>
  <c r="CH469" i="1"/>
  <c r="CH466" i="1"/>
  <c r="CH462" i="1"/>
  <c r="CH460" i="1"/>
  <c r="CH458" i="1"/>
  <c r="CH456" i="1"/>
  <c r="CH455" i="1"/>
  <c r="CH454" i="1"/>
  <c r="CH451" i="1"/>
  <c r="CH450" i="1"/>
  <c r="CH447" i="1"/>
  <c r="CH443" i="1"/>
  <c r="CH436" i="1"/>
  <c r="CH432" i="1"/>
  <c r="CH426" i="1"/>
  <c r="CH416" i="1"/>
  <c r="CH414" i="1"/>
  <c r="CH392" i="1"/>
  <c r="CH388" i="1"/>
  <c r="CH387" i="1"/>
  <c r="CH385" i="1"/>
  <c r="CH377" i="1"/>
  <c r="CH367" i="1"/>
  <c r="CH365" i="1"/>
  <c r="CH362" i="1"/>
  <c r="CH361" i="1"/>
  <c r="CH357" i="1"/>
  <c r="CH343" i="1"/>
  <c r="CH340" i="1"/>
  <c r="CH330" i="1"/>
  <c r="CH319" i="1"/>
  <c r="CH315" i="1"/>
  <c r="CH312" i="1"/>
  <c r="CH311" i="1"/>
  <c r="CH308" i="1"/>
  <c r="CH302" i="1"/>
  <c r="CH300" i="1"/>
  <c r="CH297" i="1"/>
  <c r="CH286" i="1"/>
  <c r="CH267" i="1"/>
  <c r="CH263" i="1"/>
  <c r="CH256" i="1"/>
  <c r="CH246" i="1"/>
  <c r="CH245" i="1"/>
  <c r="CH244" i="1"/>
  <c r="CH233" i="1"/>
  <c r="CH229" i="1"/>
  <c r="CH227" i="1"/>
  <c r="CH226" i="1"/>
  <c r="CH225" i="1"/>
  <c r="CH224" i="1"/>
  <c r="CH221" i="1"/>
  <c r="CH219" i="1"/>
  <c r="CH212" i="1"/>
  <c r="CH210" i="1"/>
  <c r="CH190" i="1"/>
  <c r="CH172" i="1"/>
  <c r="CH170" i="1"/>
  <c r="CH168" i="1"/>
  <c r="CH167" i="1"/>
  <c r="CH161" i="1"/>
  <c r="CH159" i="1"/>
  <c r="CH147" i="1"/>
  <c r="CH141" i="1"/>
  <c r="CH137" i="1"/>
  <c r="CH135" i="1"/>
  <c r="CH132" i="1"/>
  <c r="CH131" i="1"/>
  <c r="CH130" i="1"/>
  <c r="CH127" i="1"/>
  <c r="CH117" i="1"/>
  <c r="CH116" i="1"/>
  <c r="CH115" i="1"/>
  <c r="CH107" i="1"/>
  <c r="CH102" i="1"/>
  <c r="CH94" i="1"/>
  <c r="CH92" i="1"/>
  <c r="CH89" i="1"/>
  <c r="CH76" i="1"/>
  <c r="CH72" i="1"/>
  <c r="CH66" i="1"/>
  <c r="CH64" i="1"/>
  <c r="CH62" i="1"/>
  <c r="CH58" i="1"/>
  <c r="CH56" i="1"/>
  <c r="CH49" i="1"/>
  <c r="CH43" i="1"/>
  <c r="CH40" i="1"/>
  <c r="CH38" i="1"/>
  <c r="CH661" i="1"/>
  <c r="CG661" i="1"/>
  <c r="CH583" i="1"/>
  <c r="CG583" i="1"/>
  <c r="CH581" i="1"/>
  <c r="CG581" i="1"/>
  <c r="CH518" i="1"/>
  <c r="CH473" i="1"/>
  <c r="CG473" i="1"/>
  <c r="CH415" i="1"/>
  <c r="CG415" i="1"/>
  <c r="CH222" i="1"/>
  <c r="CG222" i="1"/>
  <c r="CH187" i="1"/>
  <c r="CG187" i="1"/>
  <c r="CH182" i="1"/>
  <c r="CG182" i="1"/>
  <c r="CH180" i="1"/>
  <c r="CG180" i="1"/>
  <c r="CH36" i="1"/>
  <c r="CG36" i="1"/>
  <c r="CH763" i="1"/>
  <c r="CG763" i="1"/>
  <c r="CH573" i="1"/>
  <c r="CG573" i="1"/>
  <c r="CH418" i="1"/>
  <c r="CH234" i="1"/>
  <c r="CG234" i="1"/>
  <c r="CH198" i="1"/>
  <c r="CG198" i="1"/>
  <c r="CH391" i="1"/>
  <c r="CH865" i="1"/>
  <c r="CH831" i="1"/>
  <c r="CH810" i="1"/>
  <c r="CH809" i="1"/>
  <c r="CH777" i="1"/>
  <c r="CH698" i="1"/>
  <c r="CH553" i="1"/>
  <c r="CH506" i="1"/>
  <c r="CH489" i="1"/>
  <c r="CH376" i="1"/>
  <c r="CH325" i="1"/>
  <c r="CH299" i="1"/>
  <c r="CH273" i="1"/>
  <c r="CH265" i="1"/>
  <c r="CH191" i="1"/>
  <c r="CH157" i="1"/>
  <c r="CH106" i="1"/>
  <c r="CH104" i="1"/>
  <c r="CH103" i="1"/>
  <c r="CH46" i="1"/>
  <c r="CG498" i="1"/>
  <c r="CG339" i="1"/>
  <c r="CG216" i="1"/>
  <c r="CG214" i="1"/>
  <c r="CG163" i="1"/>
  <c r="CG29" i="1"/>
  <c r="CG841" i="1"/>
  <c r="CG667" i="1"/>
  <c r="CG648" i="1"/>
  <c r="CG639" i="1"/>
  <c r="CG354" i="1"/>
  <c r="CG174" i="1"/>
  <c r="CH370" i="1"/>
  <c r="CG370" i="1"/>
  <c r="CG284" i="1"/>
  <c r="CH185" i="1"/>
  <c r="CH832" i="1"/>
  <c r="CE922" i="1"/>
  <c r="BZ922" i="1" s="1"/>
  <c r="CE920" i="1"/>
  <c r="BZ920" i="1" s="1"/>
  <c r="CE919" i="1"/>
  <c r="BZ919" i="1" s="1"/>
  <c r="CE918" i="1"/>
  <c r="BZ918" i="1" s="1"/>
  <c r="CE917" i="1"/>
  <c r="BZ917" i="1" s="1"/>
  <c r="CE916" i="1"/>
  <c r="BZ916" i="1" s="1"/>
  <c r="CE914" i="1"/>
  <c r="BZ914" i="1" s="1"/>
  <c r="CE913" i="1"/>
  <c r="BZ913" i="1" s="1"/>
  <c r="CE910" i="1"/>
  <c r="BZ910" i="1" s="1"/>
  <c r="CE909" i="1"/>
  <c r="BZ909" i="1" s="1"/>
  <c r="CE908" i="1"/>
  <c r="BZ908" i="1" s="1"/>
  <c r="CE905" i="1"/>
  <c r="BZ905" i="1" s="1"/>
  <c r="CE904" i="1"/>
  <c r="BZ904" i="1" s="1"/>
  <c r="CE902" i="1"/>
  <c r="BZ902" i="1" s="1"/>
  <c r="CE901" i="1"/>
  <c r="BZ901" i="1" s="1"/>
  <c r="CE900" i="1"/>
  <c r="BZ900" i="1" s="1"/>
  <c r="CE899" i="1"/>
  <c r="BZ899" i="1" s="1"/>
  <c r="CE898" i="1"/>
  <c r="BZ898" i="1" s="1"/>
  <c r="CE897" i="1"/>
  <c r="BZ897" i="1" s="1"/>
  <c r="CE896" i="1"/>
  <c r="BZ896" i="1" s="1"/>
  <c r="CE895" i="1"/>
  <c r="BZ895" i="1" s="1"/>
  <c r="CE894" i="1"/>
  <c r="BZ894" i="1" s="1"/>
  <c r="CE893" i="1"/>
  <c r="BZ893" i="1" s="1"/>
  <c r="CE890" i="1"/>
  <c r="BZ890" i="1" s="1"/>
  <c r="CE889" i="1"/>
  <c r="BZ889" i="1" s="1"/>
  <c r="CE887" i="1"/>
  <c r="BZ887" i="1" s="1"/>
  <c r="CE885" i="1"/>
  <c r="BZ885" i="1" s="1"/>
  <c r="CE884" i="1"/>
  <c r="BZ884" i="1" s="1"/>
  <c r="CE882" i="1"/>
  <c r="BZ882" i="1" s="1"/>
  <c r="CE881" i="1"/>
  <c r="BZ881" i="1" s="1"/>
  <c r="CE880" i="1"/>
  <c r="BZ880" i="1" s="1"/>
  <c r="CE879" i="1"/>
  <c r="BZ879" i="1" s="1"/>
  <c r="CE878" i="1"/>
  <c r="BZ878" i="1" s="1"/>
  <c r="CE877" i="1"/>
  <c r="BZ877" i="1" s="1"/>
  <c r="CE876" i="1"/>
  <c r="BZ876" i="1" s="1"/>
  <c r="CE875" i="1"/>
  <c r="BZ875" i="1" s="1"/>
  <c r="CE874" i="1"/>
  <c r="BZ874" i="1" s="1"/>
  <c r="CE871" i="1"/>
  <c r="BZ871" i="1" s="1"/>
  <c r="CE870" i="1"/>
  <c r="BZ870" i="1" s="1"/>
  <c r="CE869" i="1"/>
  <c r="BZ869" i="1" s="1"/>
  <c r="CE868" i="1"/>
  <c r="BZ868" i="1" s="1"/>
  <c r="CE867" i="1"/>
  <c r="BZ867" i="1" s="1"/>
  <c r="CE866" i="1"/>
  <c r="BZ866" i="1" s="1"/>
  <c r="CE865" i="1"/>
  <c r="BZ865" i="1" s="1"/>
  <c r="CE864" i="1"/>
  <c r="BZ864" i="1" s="1"/>
  <c r="CE863" i="1"/>
  <c r="BZ863" i="1" s="1"/>
  <c r="CE862" i="1"/>
  <c r="BZ862" i="1" s="1"/>
  <c r="CE861" i="1"/>
  <c r="BZ861" i="1" s="1"/>
  <c r="CE860" i="1"/>
  <c r="BZ860" i="1" s="1"/>
  <c r="CE859" i="1"/>
  <c r="BZ859" i="1" s="1"/>
  <c r="CE503" i="1"/>
  <c r="BZ503" i="1" s="1"/>
  <c r="CE858" i="1"/>
  <c r="BZ858" i="1" s="1"/>
  <c r="CE857" i="1"/>
  <c r="BZ857" i="1" s="1"/>
  <c r="CE856" i="1"/>
  <c r="BZ856" i="1" s="1"/>
  <c r="CE854" i="1"/>
  <c r="BZ854" i="1" s="1"/>
  <c r="CE850" i="1"/>
  <c r="BZ850" i="1" s="1"/>
  <c r="CE849" i="1"/>
  <c r="BZ849" i="1" s="1"/>
  <c r="CE848" i="1"/>
  <c r="BZ848" i="1" s="1"/>
  <c r="CE847" i="1"/>
  <c r="BZ847" i="1" s="1"/>
  <c r="CE846" i="1"/>
  <c r="BZ846" i="1" s="1"/>
  <c r="CE845" i="1"/>
  <c r="BZ845" i="1" s="1"/>
  <c r="CE844" i="1"/>
  <c r="BZ844" i="1" s="1"/>
  <c r="CE842" i="1"/>
  <c r="BZ842" i="1" s="1"/>
  <c r="CE841" i="1"/>
  <c r="BZ841" i="1" s="1"/>
  <c r="CE839" i="1"/>
  <c r="BZ839" i="1" s="1"/>
  <c r="CE838" i="1"/>
  <c r="BZ838" i="1" s="1"/>
  <c r="CE836" i="1"/>
  <c r="BZ836" i="1" s="1"/>
  <c r="CE835" i="1"/>
  <c r="BZ835" i="1" s="1"/>
  <c r="CE834" i="1"/>
  <c r="BZ834" i="1" s="1"/>
  <c r="CE833" i="1"/>
  <c r="BZ833" i="1" s="1"/>
  <c r="CE832" i="1"/>
  <c r="BZ832" i="1" s="1"/>
  <c r="CE831" i="1"/>
  <c r="BZ831" i="1" s="1"/>
  <c r="CE830" i="1"/>
  <c r="BZ830" i="1" s="1"/>
  <c r="CE829" i="1"/>
  <c r="BZ829" i="1" s="1"/>
  <c r="CE828" i="1"/>
  <c r="BZ828" i="1" s="1"/>
  <c r="CE827" i="1"/>
  <c r="BZ827" i="1" s="1"/>
  <c r="CE826" i="1"/>
  <c r="BZ826" i="1" s="1"/>
  <c r="CE825" i="1"/>
  <c r="BZ825" i="1" s="1"/>
  <c r="CE823" i="1"/>
  <c r="BZ823" i="1" s="1"/>
  <c r="CE821" i="1"/>
  <c r="BZ821" i="1" s="1"/>
  <c r="CE820" i="1"/>
  <c r="BZ820" i="1" s="1"/>
  <c r="CE819" i="1"/>
  <c r="BZ819" i="1" s="1"/>
  <c r="CE818" i="1"/>
  <c r="BZ818" i="1" s="1"/>
  <c r="CE816" i="1"/>
  <c r="BZ816" i="1" s="1"/>
  <c r="CE815" i="1"/>
  <c r="BZ815" i="1" s="1"/>
  <c r="CE814" i="1"/>
  <c r="BZ814" i="1" s="1"/>
  <c r="CE813" i="1"/>
  <c r="BZ813" i="1" s="1"/>
  <c r="CE812" i="1"/>
  <c r="BZ812" i="1" s="1"/>
  <c r="CE811" i="1"/>
  <c r="BZ811" i="1" s="1"/>
  <c r="CE810" i="1"/>
  <c r="BZ810" i="1" s="1"/>
  <c r="CE809" i="1"/>
  <c r="BZ809" i="1" s="1"/>
  <c r="CE808" i="1"/>
  <c r="BZ808" i="1" s="1"/>
  <c r="CE806" i="1"/>
  <c r="BZ806" i="1" s="1"/>
  <c r="CE805" i="1"/>
  <c r="BZ805" i="1" s="1"/>
  <c r="CE804" i="1"/>
  <c r="BZ804" i="1" s="1"/>
  <c r="CE803" i="1"/>
  <c r="BZ803" i="1" s="1"/>
  <c r="CE801" i="1"/>
  <c r="BZ801" i="1" s="1"/>
  <c r="CE800" i="1"/>
  <c r="BZ800" i="1" s="1"/>
  <c r="CE799" i="1"/>
  <c r="BZ799" i="1" s="1"/>
  <c r="CE798" i="1"/>
  <c r="BZ798" i="1" s="1"/>
  <c r="CE796" i="1"/>
  <c r="BZ796" i="1" s="1"/>
  <c r="CE795" i="1"/>
  <c r="BZ795" i="1" s="1"/>
  <c r="CE794" i="1"/>
  <c r="BZ794" i="1" s="1"/>
  <c r="CE793" i="1"/>
  <c r="BZ793" i="1" s="1"/>
  <c r="CE792" i="1"/>
  <c r="BZ792" i="1" s="1"/>
  <c r="CE791" i="1"/>
  <c r="BZ791" i="1" s="1"/>
  <c r="CE790" i="1"/>
  <c r="BZ790" i="1" s="1"/>
  <c r="CE789" i="1"/>
  <c r="BZ789" i="1" s="1"/>
  <c r="CE788" i="1"/>
  <c r="BZ788" i="1" s="1"/>
  <c r="CE784" i="1"/>
  <c r="BZ784" i="1" s="1"/>
  <c r="CE782" i="1"/>
  <c r="BZ782" i="1" s="1"/>
  <c r="CE781" i="1"/>
  <c r="BZ781" i="1" s="1"/>
  <c r="CE780" i="1"/>
  <c r="BZ780" i="1" s="1"/>
  <c r="CE779" i="1"/>
  <c r="BZ779" i="1" s="1"/>
  <c r="CE778" i="1"/>
  <c r="BZ778" i="1" s="1"/>
  <c r="CE777" i="1"/>
  <c r="BZ777" i="1" s="1"/>
  <c r="CE776" i="1"/>
  <c r="BZ776" i="1" s="1"/>
  <c r="CE775" i="1"/>
  <c r="BZ775" i="1" s="1"/>
  <c r="CE774" i="1"/>
  <c r="BZ774" i="1" s="1"/>
  <c r="CE773" i="1"/>
  <c r="BZ773" i="1" s="1"/>
  <c r="CE771" i="1"/>
  <c r="BZ771" i="1" s="1"/>
  <c r="CE770" i="1"/>
  <c r="BZ770" i="1" s="1"/>
  <c r="CE769" i="1"/>
  <c r="BZ769" i="1" s="1"/>
  <c r="CE768" i="1"/>
  <c r="BZ768" i="1" s="1"/>
  <c r="CE765" i="1"/>
  <c r="BZ765" i="1" s="1"/>
  <c r="CE764" i="1"/>
  <c r="BZ764" i="1" s="1"/>
  <c r="CE763" i="1"/>
  <c r="BZ763" i="1" s="1"/>
  <c r="CE762" i="1"/>
  <c r="BZ762" i="1" s="1"/>
  <c r="CE761" i="1"/>
  <c r="BZ761" i="1" s="1"/>
  <c r="CE760" i="1"/>
  <c r="BZ760" i="1" s="1"/>
  <c r="CE757" i="1"/>
  <c r="BZ757" i="1" s="1"/>
  <c r="CE756" i="1"/>
  <c r="BZ756" i="1" s="1"/>
  <c r="CE755" i="1"/>
  <c r="BZ755" i="1" s="1"/>
  <c r="CE754" i="1"/>
  <c r="BZ754" i="1" s="1"/>
  <c r="CE753" i="1"/>
  <c r="BZ753" i="1" s="1"/>
  <c r="CE752" i="1"/>
  <c r="BZ752" i="1" s="1"/>
  <c r="CE750" i="1"/>
  <c r="BZ750" i="1" s="1"/>
  <c r="CE748" i="1"/>
  <c r="BZ748" i="1" s="1"/>
  <c r="CE747" i="1"/>
  <c r="BZ747" i="1" s="1"/>
  <c r="CE746" i="1"/>
  <c r="BZ746" i="1" s="1"/>
  <c r="CE745" i="1"/>
  <c r="BZ745" i="1" s="1"/>
  <c r="CE744" i="1"/>
  <c r="BZ744" i="1" s="1"/>
  <c r="CE743" i="1"/>
  <c r="BZ743" i="1" s="1"/>
  <c r="CE742" i="1"/>
  <c r="BZ742" i="1" s="1"/>
  <c r="CE741" i="1"/>
  <c r="BZ741" i="1" s="1"/>
  <c r="CE740" i="1"/>
  <c r="BZ740" i="1" s="1"/>
  <c r="CE739" i="1"/>
  <c r="BZ739" i="1" s="1"/>
  <c r="CE738" i="1"/>
  <c r="BZ738" i="1" s="1"/>
  <c r="CE737" i="1"/>
  <c r="BZ737" i="1" s="1"/>
  <c r="CE736" i="1"/>
  <c r="BZ736" i="1" s="1"/>
  <c r="CE735" i="1"/>
  <c r="BZ735" i="1" s="1"/>
  <c r="CE734" i="1"/>
  <c r="BZ734" i="1" s="1"/>
  <c r="CE733" i="1"/>
  <c r="BZ733" i="1" s="1"/>
  <c r="CE732" i="1"/>
  <c r="BZ732" i="1" s="1"/>
  <c r="CE731" i="1"/>
  <c r="BZ731" i="1" s="1"/>
  <c r="CE728" i="1"/>
  <c r="BZ728" i="1" s="1"/>
  <c r="CE727" i="1"/>
  <c r="BZ727" i="1" s="1"/>
  <c r="CE726" i="1"/>
  <c r="BZ726" i="1" s="1"/>
  <c r="CE724" i="1"/>
  <c r="BZ724" i="1" s="1"/>
  <c r="CE723" i="1"/>
  <c r="BZ723" i="1" s="1"/>
  <c r="CE721" i="1"/>
  <c r="BZ721" i="1" s="1"/>
  <c r="CE719" i="1"/>
  <c r="BZ719" i="1" s="1"/>
  <c r="CE718" i="1"/>
  <c r="BZ718" i="1" s="1"/>
  <c r="CE717" i="1"/>
  <c r="BZ717" i="1" s="1"/>
  <c r="CE715" i="1"/>
  <c r="BZ715" i="1" s="1"/>
  <c r="CE713" i="1"/>
  <c r="BZ713" i="1" s="1"/>
  <c r="CE712" i="1"/>
  <c r="BZ712" i="1" s="1"/>
  <c r="CE710" i="1"/>
  <c r="BZ710" i="1" s="1"/>
  <c r="CE708" i="1"/>
  <c r="BZ708" i="1" s="1"/>
  <c r="CE707" i="1"/>
  <c r="BZ707" i="1" s="1"/>
  <c r="CE706" i="1"/>
  <c r="BZ706" i="1" s="1"/>
  <c r="CE705" i="1"/>
  <c r="BZ705" i="1" s="1"/>
  <c r="CE704" i="1"/>
  <c r="BZ704" i="1" s="1"/>
  <c r="CE701" i="1"/>
  <c r="BZ701" i="1" s="1"/>
  <c r="CE698" i="1"/>
  <c r="BZ698" i="1" s="1"/>
  <c r="CE696" i="1"/>
  <c r="BZ696" i="1" s="1"/>
  <c r="CE695" i="1"/>
  <c r="BZ695" i="1" s="1"/>
  <c r="CE694" i="1"/>
  <c r="BZ694" i="1" s="1"/>
  <c r="CE692" i="1"/>
  <c r="BZ692" i="1" s="1"/>
  <c r="CE691" i="1"/>
  <c r="BZ691" i="1" s="1"/>
  <c r="CE690" i="1"/>
  <c r="BZ690" i="1" s="1"/>
  <c r="CE689" i="1"/>
  <c r="BZ689" i="1" s="1"/>
  <c r="CE688" i="1"/>
  <c r="BZ688" i="1" s="1"/>
  <c r="CE686" i="1"/>
  <c r="BZ686" i="1" s="1"/>
  <c r="CE685" i="1"/>
  <c r="BZ685" i="1" s="1"/>
  <c r="CE684" i="1"/>
  <c r="BZ684" i="1" s="1"/>
  <c r="CE683" i="1"/>
  <c r="BZ683" i="1" s="1"/>
  <c r="CE682" i="1"/>
  <c r="BZ682" i="1" s="1"/>
  <c r="CE681" i="1"/>
  <c r="BZ681" i="1" s="1"/>
  <c r="CE680" i="1"/>
  <c r="BZ680" i="1" s="1"/>
  <c r="CE679" i="1"/>
  <c r="BZ679" i="1" s="1"/>
  <c r="CE678" i="1"/>
  <c r="BZ678" i="1" s="1"/>
  <c r="CE677" i="1"/>
  <c r="BZ677" i="1" s="1"/>
  <c r="CE676" i="1"/>
  <c r="BZ676" i="1" s="1"/>
  <c r="CE675" i="1"/>
  <c r="BZ675" i="1" s="1"/>
  <c r="CE673" i="1"/>
  <c r="BZ673" i="1" s="1"/>
  <c r="CE672" i="1"/>
  <c r="BZ672" i="1" s="1"/>
  <c r="CE670" i="1"/>
  <c r="BZ670" i="1" s="1"/>
  <c r="CE669" i="1"/>
  <c r="BZ669" i="1" s="1"/>
  <c r="CE668" i="1"/>
  <c r="BZ668" i="1" s="1"/>
  <c r="CE667" i="1"/>
  <c r="BZ667" i="1" s="1"/>
  <c r="CE666" i="1"/>
  <c r="BZ666" i="1" s="1"/>
  <c r="CE665" i="1"/>
  <c r="BZ665" i="1" s="1"/>
  <c r="CE664" i="1"/>
  <c r="BZ664" i="1" s="1"/>
  <c r="CE663" i="1"/>
  <c r="BZ663" i="1" s="1"/>
  <c r="CE662" i="1"/>
  <c r="BZ662" i="1" s="1"/>
  <c r="CE661" i="1"/>
  <c r="BZ661" i="1" s="1"/>
  <c r="CE660" i="1"/>
  <c r="BZ660" i="1" s="1"/>
  <c r="CE659" i="1"/>
  <c r="BZ659" i="1" s="1"/>
  <c r="CE658" i="1"/>
  <c r="BZ658" i="1" s="1"/>
  <c r="CE657" i="1"/>
  <c r="BZ657" i="1" s="1"/>
  <c r="CE656" i="1"/>
  <c r="BZ656" i="1" s="1"/>
  <c r="CE655" i="1"/>
  <c r="BZ655" i="1" s="1"/>
  <c r="CE654" i="1"/>
  <c r="BZ654" i="1" s="1"/>
  <c r="CE653" i="1"/>
  <c r="BZ653" i="1" s="1"/>
  <c r="CE652" i="1"/>
  <c r="BZ652" i="1" s="1"/>
  <c r="CE651" i="1"/>
  <c r="BZ651" i="1" s="1"/>
  <c r="CE650" i="1"/>
  <c r="BZ650" i="1" s="1"/>
  <c r="CE648" i="1"/>
  <c r="BZ648" i="1" s="1"/>
  <c r="CE647" i="1"/>
  <c r="BZ647" i="1" s="1"/>
  <c r="CE645" i="1"/>
  <c r="BZ645" i="1" s="1"/>
  <c r="CE643" i="1"/>
  <c r="BZ643" i="1" s="1"/>
  <c r="CE641" i="1"/>
  <c r="BZ641" i="1" s="1"/>
  <c r="CE640" i="1"/>
  <c r="BZ640" i="1" s="1"/>
  <c r="CE639" i="1"/>
  <c r="BZ639" i="1" s="1"/>
  <c r="CE638" i="1"/>
  <c r="BZ638" i="1" s="1"/>
  <c r="CE637" i="1"/>
  <c r="BZ637" i="1" s="1"/>
  <c r="CE636" i="1"/>
  <c r="BZ636" i="1" s="1"/>
  <c r="CE634" i="1"/>
  <c r="BZ634" i="1" s="1"/>
  <c r="CE633" i="1"/>
  <c r="BZ633" i="1" s="1"/>
  <c r="CE631" i="1"/>
  <c r="BZ631" i="1" s="1"/>
  <c r="CE629" i="1"/>
  <c r="BZ629" i="1" s="1"/>
  <c r="CE628" i="1"/>
  <c r="BZ628" i="1" s="1"/>
  <c r="CE626" i="1"/>
  <c r="BZ626" i="1" s="1"/>
  <c r="CE625" i="1"/>
  <c r="BZ625" i="1" s="1"/>
  <c r="CE624" i="1"/>
  <c r="BZ624" i="1" s="1"/>
  <c r="CE622" i="1"/>
  <c r="BZ622" i="1" s="1"/>
  <c r="CE621" i="1"/>
  <c r="BZ621" i="1" s="1"/>
  <c r="CE620" i="1"/>
  <c r="BZ620" i="1" s="1"/>
  <c r="CE619" i="1"/>
  <c r="BZ619" i="1" s="1"/>
  <c r="CE618" i="1"/>
  <c r="BZ618" i="1" s="1"/>
  <c r="CE617" i="1"/>
  <c r="BZ617" i="1" s="1"/>
  <c r="CE616" i="1"/>
  <c r="BZ616" i="1" s="1"/>
  <c r="CE615" i="1"/>
  <c r="BZ615" i="1" s="1"/>
  <c r="CE613" i="1"/>
  <c r="BZ613" i="1" s="1"/>
  <c r="CE611" i="1"/>
  <c r="BZ611" i="1" s="1"/>
  <c r="CE609" i="1"/>
  <c r="BZ609" i="1" s="1"/>
  <c r="CE607" i="1"/>
  <c r="BZ607" i="1" s="1"/>
  <c r="CE605" i="1"/>
  <c r="BZ605" i="1" s="1"/>
  <c r="CE604" i="1"/>
  <c r="BZ604" i="1" s="1"/>
  <c r="CE603" i="1"/>
  <c r="BZ603" i="1" s="1"/>
  <c r="CE602" i="1"/>
  <c r="BZ602" i="1" s="1"/>
  <c r="CE601" i="1"/>
  <c r="BZ601" i="1" s="1"/>
  <c r="CE600" i="1"/>
  <c r="BZ600" i="1" s="1"/>
  <c r="CE599" i="1"/>
  <c r="BZ599" i="1" s="1"/>
  <c r="CE594" i="1"/>
  <c r="BZ594" i="1" s="1"/>
  <c r="CE592" i="1"/>
  <c r="BZ592" i="1" s="1"/>
  <c r="CE591" i="1"/>
  <c r="BZ591" i="1" s="1"/>
  <c r="CE590" i="1"/>
  <c r="BZ590" i="1" s="1"/>
  <c r="CE588" i="1"/>
  <c r="BZ588" i="1" s="1"/>
  <c r="CE587" i="1"/>
  <c r="BZ587" i="1" s="1"/>
  <c r="CE586" i="1"/>
  <c r="BZ586" i="1" s="1"/>
  <c r="CE585" i="1"/>
  <c r="BZ585" i="1" s="1"/>
  <c r="CE584" i="1"/>
  <c r="BZ584" i="1" s="1"/>
  <c r="CE583" i="1"/>
  <c r="BZ583" i="1" s="1"/>
  <c r="CE581" i="1"/>
  <c r="BZ581" i="1" s="1"/>
  <c r="CE580" i="1"/>
  <c r="BZ580" i="1" s="1"/>
  <c r="CE579" i="1"/>
  <c r="BZ579" i="1" s="1"/>
  <c r="CE577" i="1"/>
  <c r="BZ577" i="1" s="1"/>
  <c r="CE575" i="1"/>
  <c r="BZ575" i="1" s="1"/>
  <c r="CE574" i="1"/>
  <c r="BZ574" i="1" s="1"/>
  <c r="CE573" i="1"/>
  <c r="BZ573" i="1" s="1"/>
  <c r="CE572" i="1"/>
  <c r="BZ572" i="1" s="1"/>
  <c r="CE571" i="1"/>
  <c r="BZ571" i="1" s="1"/>
  <c r="CE570" i="1"/>
  <c r="BZ570" i="1" s="1"/>
  <c r="CE569" i="1"/>
  <c r="BZ569" i="1" s="1"/>
  <c r="CE567" i="1"/>
  <c r="BZ567" i="1" s="1"/>
  <c r="CE564" i="1"/>
  <c r="BZ564" i="1" s="1"/>
  <c r="CE563" i="1"/>
  <c r="BZ563" i="1" s="1"/>
  <c r="CE562" i="1"/>
  <c r="BZ562" i="1" s="1"/>
  <c r="CE559" i="1"/>
  <c r="BZ559" i="1" s="1"/>
  <c r="CE558" i="1"/>
  <c r="BZ558" i="1" s="1"/>
  <c r="CE557" i="1"/>
  <c r="BZ557" i="1" s="1"/>
  <c r="CE556" i="1"/>
  <c r="BZ556" i="1" s="1"/>
  <c r="CE555" i="1"/>
  <c r="BZ555" i="1" s="1"/>
  <c r="CE554" i="1"/>
  <c r="BZ554" i="1" s="1"/>
  <c r="CE553" i="1"/>
  <c r="BZ553" i="1" s="1"/>
  <c r="CE552" i="1"/>
  <c r="BZ552" i="1" s="1"/>
  <c r="CE551" i="1"/>
  <c r="BZ551" i="1" s="1"/>
  <c r="CE550" i="1"/>
  <c r="BZ550" i="1" s="1"/>
  <c r="CE549" i="1"/>
  <c r="BZ549" i="1" s="1"/>
  <c r="CE548" i="1"/>
  <c r="BZ548" i="1" s="1"/>
  <c r="CE546" i="1"/>
  <c r="BZ546" i="1" s="1"/>
  <c r="CE545" i="1"/>
  <c r="BZ545" i="1" s="1"/>
  <c r="CE543" i="1"/>
  <c r="BZ543" i="1" s="1"/>
  <c r="CE542" i="1"/>
  <c r="BZ542" i="1" s="1"/>
  <c r="CE541" i="1"/>
  <c r="BZ541" i="1" s="1"/>
  <c r="CE540" i="1"/>
  <c r="BZ540" i="1" s="1"/>
  <c r="CE539" i="1"/>
  <c r="BZ539" i="1" s="1"/>
  <c r="CE538" i="1"/>
  <c r="BZ538" i="1" s="1"/>
  <c r="CE537" i="1"/>
  <c r="BZ537" i="1" s="1"/>
  <c r="CE536" i="1"/>
  <c r="BZ536" i="1" s="1"/>
  <c r="CE535" i="1"/>
  <c r="BZ535" i="1" s="1"/>
  <c r="CE534" i="1"/>
  <c r="BZ534" i="1" s="1"/>
  <c r="CE532" i="1"/>
  <c r="BZ532" i="1" s="1"/>
  <c r="CE531" i="1"/>
  <c r="BZ531" i="1" s="1"/>
  <c r="CE530" i="1"/>
  <c r="BZ530" i="1" s="1"/>
  <c r="CE529" i="1"/>
  <c r="BZ529" i="1" s="1"/>
  <c r="CE528" i="1"/>
  <c r="BZ528" i="1" s="1"/>
  <c r="CE527" i="1"/>
  <c r="BZ527" i="1" s="1"/>
  <c r="CE526" i="1"/>
  <c r="BZ526" i="1" s="1"/>
  <c r="CE525" i="1"/>
  <c r="BZ525" i="1" s="1"/>
  <c r="CE524" i="1"/>
  <c r="BZ524" i="1" s="1"/>
  <c r="CE523" i="1"/>
  <c r="BZ523" i="1" s="1"/>
  <c r="CE522" i="1"/>
  <c r="BZ522" i="1" s="1"/>
  <c r="CE521" i="1"/>
  <c r="BZ521" i="1" s="1"/>
  <c r="CE520" i="1"/>
  <c r="BZ520" i="1" s="1"/>
  <c r="CE519" i="1"/>
  <c r="BZ519" i="1" s="1"/>
  <c r="CE518" i="1"/>
  <c r="BZ518" i="1" s="1"/>
  <c r="CE517" i="1"/>
  <c r="BZ517" i="1" s="1"/>
  <c r="CE514" i="1"/>
  <c r="BZ514" i="1" s="1"/>
  <c r="CE513" i="1"/>
  <c r="BZ513" i="1" s="1"/>
  <c r="CE512" i="1"/>
  <c r="BZ512" i="1" s="1"/>
  <c r="CE510" i="1"/>
  <c r="BZ510" i="1" s="1"/>
  <c r="CE509" i="1"/>
  <c r="BZ509" i="1" s="1"/>
  <c r="CE508" i="1"/>
  <c r="BZ508" i="1" s="1"/>
  <c r="CE507" i="1"/>
  <c r="BZ507" i="1" s="1"/>
  <c r="CE506" i="1"/>
  <c r="BZ506" i="1" s="1"/>
  <c r="CE505" i="1"/>
  <c r="BZ505" i="1" s="1"/>
  <c r="CE502" i="1"/>
  <c r="BZ502" i="1" s="1"/>
  <c r="CE501" i="1"/>
  <c r="BZ501" i="1" s="1"/>
  <c r="CE500" i="1"/>
  <c r="BZ500" i="1" s="1"/>
  <c r="CE499" i="1"/>
  <c r="BZ499" i="1" s="1"/>
  <c r="CE498" i="1"/>
  <c r="BZ498" i="1" s="1"/>
  <c r="CE497" i="1"/>
  <c r="BZ497" i="1" s="1"/>
  <c r="CE496" i="1"/>
  <c r="BZ496" i="1" s="1"/>
  <c r="CE495" i="1"/>
  <c r="BZ495" i="1" s="1"/>
  <c r="CE493" i="1"/>
  <c r="BZ493" i="1" s="1"/>
  <c r="CE492" i="1"/>
  <c r="BZ492" i="1" s="1"/>
  <c r="CE491" i="1"/>
  <c r="BZ491" i="1" s="1"/>
  <c r="CE489" i="1"/>
  <c r="BZ489" i="1" s="1"/>
  <c r="CE487" i="1"/>
  <c r="BZ487" i="1" s="1"/>
  <c r="CE484" i="1"/>
  <c r="BZ484" i="1" s="1"/>
  <c r="CE407" i="1"/>
  <c r="BZ407" i="1" s="1"/>
  <c r="CE406" i="1"/>
  <c r="BZ406" i="1" s="1"/>
  <c r="CE408" i="1"/>
  <c r="BZ408" i="1" s="1"/>
  <c r="CE482" i="1"/>
  <c r="BZ482" i="1" s="1"/>
  <c r="CE481" i="1"/>
  <c r="BZ481" i="1" s="1"/>
  <c r="CE478" i="1"/>
  <c r="BZ478" i="1" s="1"/>
  <c r="CE475" i="1"/>
  <c r="BZ475" i="1" s="1"/>
  <c r="CE474" i="1"/>
  <c r="BZ474" i="1" s="1"/>
  <c r="CE473" i="1"/>
  <c r="BZ473" i="1" s="1"/>
  <c r="CE472" i="1"/>
  <c r="BZ472" i="1" s="1"/>
  <c r="CE560" i="1"/>
  <c r="BZ560" i="1" s="1"/>
  <c r="CE471" i="1"/>
  <c r="BZ471" i="1" s="1"/>
  <c r="CE470" i="1"/>
  <c r="BZ470" i="1" s="1"/>
  <c r="CE469" i="1"/>
  <c r="BZ469" i="1" s="1"/>
  <c r="CE468" i="1"/>
  <c r="BZ468" i="1" s="1"/>
  <c r="CE466" i="1"/>
  <c r="BZ466" i="1" s="1"/>
  <c r="CE464" i="1"/>
  <c r="BZ464" i="1" s="1"/>
  <c r="CE463" i="1"/>
  <c r="BZ463" i="1" s="1"/>
  <c r="CE462" i="1"/>
  <c r="BZ462" i="1" s="1"/>
  <c r="CE461" i="1"/>
  <c r="BZ461" i="1" s="1"/>
  <c r="CE460" i="1"/>
  <c r="BZ460" i="1" s="1"/>
  <c r="CE459" i="1"/>
  <c r="BZ459" i="1" s="1"/>
  <c r="CE458" i="1"/>
  <c r="BZ458" i="1" s="1"/>
  <c r="CE457" i="1"/>
  <c r="BZ457" i="1" s="1"/>
  <c r="CE456" i="1"/>
  <c r="BZ456" i="1" s="1"/>
  <c r="CE455" i="1"/>
  <c r="BZ455" i="1" s="1"/>
  <c r="CE454" i="1"/>
  <c r="BZ454" i="1" s="1"/>
  <c r="CE453" i="1"/>
  <c r="BZ453" i="1" s="1"/>
  <c r="CE451" i="1"/>
  <c r="BZ451" i="1" s="1"/>
  <c r="CE450" i="1"/>
  <c r="BZ450" i="1" s="1"/>
  <c r="CE448" i="1"/>
  <c r="BZ448" i="1" s="1"/>
  <c r="CE447" i="1"/>
  <c r="BZ447" i="1" s="1"/>
  <c r="CE446" i="1"/>
  <c r="BZ446" i="1" s="1"/>
  <c r="CE445" i="1"/>
  <c r="BZ445" i="1" s="1"/>
  <c r="CE444" i="1"/>
  <c r="BZ444" i="1" s="1"/>
  <c r="CE443" i="1"/>
  <c r="BZ443" i="1" s="1"/>
  <c r="CE441" i="1"/>
  <c r="BZ441" i="1" s="1"/>
  <c r="CE440" i="1"/>
  <c r="BZ440" i="1" s="1"/>
  <c r="CE437" i="1"/>
  <c r="BZ437" i="1" s="1"/>
  <c r="CE436" i="1"/>
  <c r="BZ436" i="1" s="1"/>
  <c r="CE435" i="1"/>
  <c r="BZ435" i="1" s="1"/>
  <c r="CE433" i="1"/>
  <c r="BZ433" i="1" s="1"/>
  <c r="CE432" i="1"/>
  <c r="BZ432" i="1" s="1"/>
  <c r="CE431" i="1"/>
  <c r="BZ431" i="1" s="1"/>
  <c r="CE430" i="1"/>
  <c r="BZ430" i="1" s="1"/>
  <c r="CE429" i="1"/>
  <c r="BZ429" i="1" s="1"/>
  <c r="CE428" i="1"/>
  <c r="BZ428" i="1" s="1"/>
  <c r="CE427" i="1"/>
  <c r="BZ427" i="1" s="1"/>
  <c r="CE426" i="1"/>
  <c r="BZ426" i="1" s="1"/>
  <c r="CE425" i="1"/>
  <c r="BZ425" i="1" s="1"/>
  <c r="CE423" i="1"/>
  <c r="BZ423" i="1" s="1"/>
  <c r="CE422" i="1"/>
  <c r="BZ422" i="1" s="1"/>
  <c r="CE421" i="1"/>
  <c r="BZ421" i="1" s="1"/>
  <c r="CE419" i="1"/>
  <c r="BZ419" i="1" s="1"/>
  <c r="CE418" i="1"/>
  <c r="BZ418" i="1" s="1"/>
  <c r="CE417" i="1"/>
  <c r="BZ417" i="1" s="1"/>
  <c r="CE416" i="1"/>
  <c r="BZ416" i="1" s="1"/>
  <c r="CE415" i="1"/>
  <c r="BZ415" i="1" s="1"/>
  <c r="CE414" i="1"/>
  <c r="BZ414" i="1" s="1"/>
  <c r="CE412" i="1"/>
  <c r="BZ412" i="1" s="1"/>
  <c r="CE409" i="1"/>
  <c r="BZ409" i="1" s="1"/>
  <c r="CE405" i="1"/>
  <c r="BZ405" i="1" s="1"/>
  <c r="CE404" i="1"/>
  <c r="BZ404" i="1" s="1"/>
  <c r="CE403" i="1"/>
  <c r="BZ403" i="1" s="1"/>
  <c r="CE402" i="1"/>
  <c r="BZ402" i="1" s="1"/>
  <c r="CE401" i="1"/>
  <c r="BZ401" i="1" s="1"/>
  <c r="CE400" i="1"/>
  <c r="BZ400" i="1" s="1"/>
  <c r="CE399" i="1"/>
  <c r="BZ399" i="1" s="1"/>
  <c r="CE398" i="1"/>
  <c r="BZ398" i="1" s="1"/>
  <c r="CE397" i="1"/>
  <c r="BZ397" i="1" s="1"/>
  <c r="CE394" i="1"/>
  <c r="BZ394" i="1" s="1"/>
  <c r="CE392" i="1"/>
  <c r="BZ392" i="1" s="1"/>
  <c r="CE391" i="1"/>
  <c r="BZ391" i="1" s="1"/>
  <c r="CE390" i="1"/>
  <c r="BZ390" i="1" s="1"/>
  <c r="CE389" i="1"/>
  <c r="BZ389" i="1" s="1"/>
  <c r="CE388" i="1"/>
  <c r="BZ388" i="1" s="1"/>
  <c r="CE387" i="1"/>
  <c r="BZ387" i="1" s="1"/>
  <c r="CE386" i="1"/>
  <c r="BZ386" i="1" s="1"/>
  <c r="CE385" i="1"/>
  <c r="BZ385" i="1" s="1"/>
  <c r="CE384" i="1"/>
  <c r="BZ384" i="1" s="1"/>
  <c r="CE383" i="1"/>
  <c r="BZ383" i="1" s="1"/>
  <c r="CE381" i="1"/>
  <c r="BZ381" i="1" s="1"/>
  <c r="CE380" i="1"/>
  <c r="BZ380" i="1" s="1"/>
  <c r="CE379" i="1"/>
  <c r="BZ379" i="1" s="1"/>
  <c r="CE378" i="1"/>
  <c r="BZ378" i="1" s="1"/>
  <c r="CE377" i="1"/>
  <c r="BZ377" i="1" s="1"/>
  <c r="CE376" i="1"/>
  <c r="BZ376" i="1" s="1"/>
  <c r="CE374" i="1"/>
  <c r="BZ374" i="1" s="1"/>
  <c r="CE373" i="1"/>
  <c r="BZ373" i="1" s="1"/>
  <c r="CE372" i="1"/>
  <c r="BZ372" i="1" s="1"/>
  <c r="CE371" i="1"/>
  <c r="BZ371" i="1" s="1"/>
  <c r="CE370" i="1"/>
  <c r="BZ370" i="1" s="1"/>
  <c r="CE369" i="1"/>
  <c r="BZ369" i="1" s="1"/>
  <c r="CE368" i="1"/>
  <c r="BZ368" i="1" s="1"/>
  <c r="CE367" i="1"/>
  <c r="BZ367" i="1" s="1"/>
  <c r="CE365" i="1"/>
  <c r="BZ365" i="1" s="1"/>
  <c r="CE363" i="1"/>
  <c r="BZ363" i="1" s="1"/>
  <c r="CE362" i="1"/>
  <c r="BZ362" i="1" s="1"/>
  <c r="CE361" i="1"/>
  <c r="BZ361" i="1" s="1"/>
  <c r="CE360" i="1"/>
  <c r="BZ360" i="1" s="1"/>
  <c r="CE359" i="1"/>
  <c r="BZ359" i="1" s="1"/>
  <c r="CE358" i="1"/>
  <c r="BZ358" i="1" s="1"/>
  <c r="CE357" i="1"/>
  <c r="BZ357" i="1" s="1"/>
  <c r="CE356" i="1"/>
  <c r="BZ356" i="1" s="1"/>
  <c r="CE355" i="1"/>
  <c r="BZ355" i="1" s="1"/>
  <c r="CE354" i="1"/>
  <c r="BZ354" i="1" s="1"/>
  <c r="CE351" i="1"/>
  <c r="BZ351" i="1" s="1"/>
  <c r="CE350" i="1"/>
  <c r="BZ350" i="1" s="1"/>
  <c r="CE349" i="1"/>
  <c r="BZ349" i="1" s="1"/>
  <c r="CE348" i="1"/>
  <c r="BZ348" i="1" s="1"/>
  <c r="CE347" i="1"/>
  <c r="BZ347" i="1" s="1"/>
  <c r="CE345" i="1"/>
  <c r="BZ345" i="1" s="1"/>
  <c r="CE344" i="1"/>
  <c r="BZ344" i="1" s="1"/>
  <c r="CE343" i="1"/>
  <c r="BZ343" i="1" s="1"/>
  <c r="CE342" i="1"/>
  <c r="BZ342" i="1" s="1"/>
  <c r="CE340" i="1"/>
  <c r="BZ340" i="1" s="1"/>
  <c r="CE339" i="1"/>
  <c r="BZ339" i="1" s="1"/>
  <c r="CE338" i="1"/>
  <c r="BZ338" i="1" s="1"/>
  <c r="CE336" i="1"/>
  <c r="BZ336" i="1" s="1"/>
  <c r="CE335" i="1"/>
  <c r="BZ335" i="1" s="1"/>
  <c r="CE334" i="1"/>
  <c r="BZ334" i="1" s="1"/>
  <c r="CE333" i="1"/>
  <c r="BZ333" i="1" s="1"/>
  <c r="CE332" i="1"/>
  <c r="BZ332" i="1" s="1"/>
  <c r="CE330" i="1"/>
  <c r="BZ330" i="1" s="1"/>
  <c r="CE329" i="1"/>
  <c r="BZ329" i="1" s="1"/>
  <c r="CE328" i="1"/>
  <c r="BZ328" i="1" s="1"/>
  <c r="CE327" i="1"/>
  <c r="BZ327" i="1" s="1"/>
  <c r="CE326" i="1"/>
  <c r="BZ326" i="1" s="1"/>
  <c r="CE325" i="1"/>
  <c r="BZ325" i="1" s="1"/>
  <c r="CE324" i="1"/>
  <c r="BZ324" i="1" s="1"/>
  <c r="CE323" i="1"/>
  <c r="BZ323" i="1" s="1"/>
  <c r="CE322" i="1"/>
  <c r="BZ322" i="1" s="1"/>
  <c r="CE321" i="1"/>
  <c r="BZ321" i="1" s="1"/>
  <c r="CE320" i="1"/>
  <c r="BZ320" i="1" s="1"/>
  <c r="CE319" i="1"/>
  <c r="BZ319" i="1" s="1"/>
  <c r="CE317" i="1"/>
  <c r="BZ317" i="1" s="1"/>
  <c r="CE316" i="1"/>
  <c r="BZ316" i="1" s="1"/>
  <c r="CE315" i="1"/>
  <c r="BZ315" i="1" s="1"/>
  <c r="CE314" i="1"/>
  <c r="BZ314" i="1" s="1"/>
  <c r="CE313" i="1"/>
  <c r="BZ313" i="1" s="1"/>
  <c r="CE312" i="1"/>
  <c r="BZ312" i="1" s="1"/>
  <c r="CE311" i="1"/>
  <c r="BZ311" i="1" s="1"/>
  <c r="CE310" i="1"/>
  <c r="BZ310" i="1" s="1"/>
  <c r="CE309" i="1"/>
  <c r="BZ309" i="1" s="1"/>
  <c r="CE308" i="1"/>
  <c r="BZ308" i="1" s="1"/>
  <c r="CE307" i="1"/>
  <c r="BZ307" i="1" s="1"/>
  <c r="CE306" i="1"/>
  <c r="BZ306" i="1" s="1"/>
  <c r="CE305" i="1"/>
  <c r="BZ305" i="1" s="1"/>
  <c r="CE304" i="1"/>
  <c r="BZ304" i="1" s="1"/>
  <c r="CE303" i="1"/>
  <c r="BZ303" i="1" s="1"/>
  <c r="CE302" i="1"/>
  <c r="BZ302" i="1" s="1"/>
  <c r="CE301" i="1"/>
  <c r="BZ301" i="1" s="1"/>
  <c r="CE300" i="1"/>
  <c r="BZ300" i="1" s="1"/>
  <c r="CE299" i="1"/>
  <c r="BZ299" i="1" s="1"/>
  <c r="CE298" i="1"/>
  <c r="BZ298" i="1" s="1"/>
  <c r="CE297" i="1"/>
  <c r="BZ297" i="1" s="1"/>
  <c r="CE295" i="1"/>
  <c r="BZ295" i="1" s="1"/>
  <c r="CE294" i="1"/>
  <c r="BZ294" i="1" s="1"/>
  <c r="CE293" i="1"/>
  <c r="BZ293" i="1" s="1"/>
  <c r="CE292" i="1"/>
  <c r="BZ292" i="1" s="1"/>
  <c r="CE290" i="1"/>
  <c r="BZ290" i="1" s="1"/>
  <c r="CE289" i="1"/>
  <c r="BZ289" i="1" s="1"/>
  <c r="CE288" i="1"/>
  <c r="BZ288" i="1" s="1"/>
  <c r="CE287" i="1"/>
  <c r="BZ287" i="1" s="1"/>
  <c r="CE286" i="1"/>
  <c r="BZ286" i="1" s="1"/>
  <c r="CE284" i="1"/>
  <c r="BZ284" i="1" s="1"/>
  <c r="CE283" i="1"/>
  <c r="BZ283" i="1" s="1"/>
  <c r="CE281" i="1"/>
  <c r="BZ281" i="1" s="1"/>
  <c r="CE279" i="1"/>
  <c r="BZ279" i="1" s="1"/>
  <c r="CE278" i="1"/>
  <c r="BZ278" i="1" s="1"/>
  <c r="CE277" i="1"/>
  <c r="BZ277" i="1" s="1"/>
  <c r="CE276" i="1"/>
  <c r="BZ276" i="1" s="1"/>
  <c r="CE274" i="1"/>
  <c r="BZ274" i="1" s="1"/>
  <c r="CE273" i="1"/>
  <c r="BZ273" i="1" s="1"/>
  <c r="CE272" i="1"/>
  <c r="BZ272" i="1" s="1"/>
  <c r="CE271" i="1"/>
  <c r="BZ271" i="1" s="1"/>
  <c r="CE270" i="1"/>
  <c r="BZ270" i="1" s="1"/>
  <c r="CE269" i="1"/>
  <c r="BZ269" i="1" s="1"/>
  <c r="CE267" i="1"/>
  <c r="BZ267" i="1" s="1"/>
  <c r="CE266" i="1"/>
  <c r="BZ266" i="1" s="1"/>
  <c r="CE265" i="1"/>
  <c r="BZ265" i="1" s="1"/>
  <c r="CE264" i="1"/>
  <c r="BZ264" i="1" s="1"/>
  <c r="CE262" i="1"/>
  <c r="BZ262" i="1" s="1"/>
  <c r="CE261" i="1"/>
  <c r="BZ261" i="1" s="1"/>
  <c r="CE260" i="1"/>
  <c r="BZ260" i="1" s="1"/>
  <c r="CE259" i="1"/>
  <c r="BZ259" i="1" s="1"/>
  <c r="CE258" i="1"/>
  <c r="BZ258" i="1" s="1"/>
  <c r="CE257" i="1"/>
  <c r="BZ257" i="1" s="1"/>
  <c r="CE256" i="1"/>
  <c r="BZ256" i="1" s="1"/>
  <c r="CE255" i="1"/>
  <c r="BZ255" i="1" s="1"/>
  <c r="CE254" i="1"/>
  <c r="BZ254" i="1" s="1"/>
  <c r="CE253" i="1"/>
  <c r="BZ253" i="1" s="1"/>
  <c r="CE252" i="1"/>
  <c r="BZ252" i="1" s="1"/>
  <c r="CE251" i="1"/>
  <c r="BZ251" i="1" s="1"/>
  <c r="CE250" i="1"/>
  <c r="BZ250" i="1" s="1"/>
  <c r="CE248" i="1"/>
  <c r="BZ248" i="1" s="1"/>
  <c r="CE246" i="1"/>
  <c r="BZ246" i="1" s="1"/>
  <c r="CE245" i="1"/>
  <c r="BZ245" i="1" s="1"/>
  <c r="CE244" i="1"/>
  <c r="BZ244" i="1" s="1"/>
  <c r="CE243" i="1"/>
  <c r="BZ243" i="1" s="1"/>
  <c r="CE242" i="1"/>
  <c r="BZ242" i="1" s="1"/>
  <c r="CE241" i="1"/>
  <c r="BZ241" i="1" s="1"/>
  <c r="CE142" i="1"/>
  <c r="BZ142" i="1" s="1"/>
  <c r="CE240" i="1"/>
  <c r="BZ240" i="1" s="1"/>
  <c r="CE239" i="1"/>
  <c r="BZ239" i="1" s="1"/>
  <c r="CE238" i="1"/>
  <c r="BZ238" i="1" s="1"/>
  <c r="CE237" i="1"/>
  <c r="BZ237" i="1" s="1"/>
  <c r="CE236" i="1"/>
  <c r="BZ236" i="1" s="1"/>
  <c r="CE234" i="1"/>
  <c r="BZ234" i="1" s="1"/>
  <c r="CE233" i="1"/>
  <c r="BZ233" i="1" s="1"/>
  <c r="CE232" i="1"/>
  <c r="BZ232" i="1" s="1"/>
  <c r="CE231" i="1"/>
  <c r="BZ231" i="1" s="1"/>
  <c r="CE229" i="1"/>
  <c r="BZ229" i="1" s="1"/>
  <c r="CE228" i="1"/>
  <c r="BZ228" i="1" s="1"/>
  <c r="CE227" i="1"/>
  <c r="BZ227" i="1" s="1"/>
  <c r="CE226" i="1"/>
  <c r="BZ226" i="1" s="1"/>
  <c r="CE225" i="1"/>
  <c r="BZ225" i="1" s="1"/>
  <c r="CE224" i="1"/>
  <c r="BZ224" i="1" s="1"/>
  <c r="CE223" i="1"/>
  <c r="BZ223" i="1" s="1"/>
  <c r="CE222" i="1"/>
  <c r="BZ222" i="1" s="1"/>
  <c r="CE221" i="1"/>
  <c r="BZ221" i="1" s="1"/>
  <c r="CE220" i="1"/>
  <c r="BZ220" i="1" s="1"/>
  <c r="CE219" i="1"/>
  <c r="BZ219" i="1" s="1"/>
  <c r="CE218" i="1"/>
  <c r="BZ218" i="1" s="1"/>
  <c r="CE217" i="1"/>
  <c r="BZ217" i="1" s="1"/>
  <c r="CE216" i="1"/>
  <c r="BZ216" i="1" s="1"/>
  <c r="CE215" i="1"/>
  <c r="BZ215" i="1" s="1"/>
  <c r="CE214" i="1"/>
  <c r="BZ214" i="1" s="1"/>
  <c r="CE213" i="1"/>
  <c r="BZ213" i="1" s="1"/>
  <c r="CE212" i="1"/>
  <c r="BZ212" i="1" s="1"/>
  <c r="CE211" i="1"/>
  <c r="BZ211" i="1" s="1"/>
  <c r="CE210" i="1"/>
  <c r="BZ210" i="1" s="1"/>
  <c r="CE209" i="1"/>
  <c r="BZ209" i="1" s="1"/>
  <c r="CE208" i="1"/>
  <c r="BZ208" i="1" s="1"/>
  <c r="CE207" i="1"/>
  <c r="BZ207" i="1" s="1"/>
  <c r="CE206" i="1"/>
  <c r="BZ206" i="1" s="1"/>
  <c r="CE205" i="1"/>
  <c r="BZ205" i="1" s="1"/>
  <c r="CE204" i="1"/>
  <c r="BZ204" i="1" s="1"/>
  <c r="CE203" i="1"/>
  <c r="BZ203" i="1" s="1"/>
  <c r="CE200" i="1"/>
  <c r="BZ200" i="1" s="1"/>
  <c r="CE199" i="1"/>
  <c r="BZ199" i="1" s="1"/>
  <c r="CE198" i="1"/>
  <c r="BZ198" i="1" s="1"/>
  <c r="CE197" i="1"/>
  <c r="BZ197" i="1" s="1"/>
  <c r="CE196" i="1"/>
  <c r="BZ196" i="1" s="1"/>
  <c r="CE195" i="1"/>
  <c r="BZ195" i="1" s="1"/>
  <c r="CE194" i="1"/>
  <c r="BZ194" i="1" s="1"/>
  <c r="CE193" i="1"/>
  <c r="BZ193" i="1" s="1"/>
  <c r="CE192" i="1"/>
  <c r="BZ192" i="1" s="1"/>
  <c r="CE191" i="1"/>
  <c r="BZ191" i="1" s="1"/>
  <c r="CE190" i="1"/>
  <c r="BZ190" i="1" s="1"/>
  <c r="CE187" i="1"/>
  <c r="BZ187" i="1" s="1"/>
  <c r="CE186" i="1"/>
  <c r="BZ186" i="1" s="1"/>
  <c r="CE185" i="1"/>
  <c r="BZ185" i="1" s="1"/>
  <c r="CE184" i="1"/>
  <c r="BZ184" i="1" s="1"/>
  <c r="CE183" i="1"/>
  <c r="BZ183" i="1" s="1"/>
  <c r="CE182" i="1"/>
  <c r="BZ182" i="1" s="1"/>
  <c r="CE181" i="1"/>
  <c r="BZ181" i="1" s="1"/>
  <c r="CE180" i="1"/>
  <c r="BZ180" i="1" s="1"/>
  <c r="CE178" i="1"/>
  <c r="BZ178" i="1" s="1"/>
  <c r="CE174" i="1"/>
  <c r="BZ174" i="1" s="1"/>
  <c r="CE172" i="1"/>
  <c r="BZ172" i="1" s="1"/>
  <c r="CE171" i="1"/>
  <c r="BZ171" i="1" s="1"/>
  <c r="CE170" i="1"/>
  <c r="BZ170" i="1" s="1"/>
  <c r="CE169" i="1"/>
  <c r="BZ169" i="1" s="1"/>
  <c r="CE168" i="1"/>
  <c r="BZ168" i="1" s="1"/>
  <c r="CE167" i="1"/>
  <c r="BZ167" i="1" s="1"/>
  <c r="CE165" i="1"/>
  <c r="BZ165" i="1" s="1"/>
  <c r="CE164" i="1"/>
  <c r="BZ164" i="1" s="1"/>
  <c r="CE163" i="1"/>
  <c r="BZ163" i="1" s="1"/>
  <c r="CE162" i="1"/>
  <c r="BZ162" i="1" s="1"/>
  <c r="CE161" i="1"/>
  <c r="BZ161" i="1" s="1"/>
  <c r="CE160" i="1"/>
  <c r="BZ160" i="1" s="1"/>
  <c r="CE159" i="1"/>
  <c r="BZ159" i="1" s="1"/>
  <c r="CE158" i="1"/>
  <c r="BZ158" i="1" s="1"/>
  <c r="CE157" i="1"/>
  <c r="BZ157" i="1" s="1"/>
  <c r="CE156" i="1"/>
  <c r="BZ156" i="1" s="1"/>
  <c r="CE155" i="1"/>
  <c r="BZ155" i="1" s="1"/>
  <c r="CE154" i="1"/>
  <c r="BZ154" i="1" s="1"/>
  <c r="CE153" i="1"/>
  <c r="BZ153" i="1" s="1"/>
  <c r="CE152" i="1"/>
  <c r="BZ152" i="1" s="1"/>
  <c r="CE151" i="1"/>
  <c r="BZ151" i="1" s="1"/>
  <c r="CE150" i="1"/>
  <c r="BZ150" i="1" s="1"/>
  <c r="CE149" i="1"/>
  <c r="BZ149" i="1" s="1"/>
  <c r="CE148" i="1"/>
  <c r="BZ148" i="1" s="1"/>
  <c r="CE147" i="1"/>
  <c r="BZ147" i="1" s="1"/>
  <c r="CE146" i="1"/>
  <c r="BZ146" i="1" s="1"/>
  <c r="CE145" i="1"/>
  <c r="BZ145" i="1" s="1"/>
  <c r="CE144" i="1"/>
  <c r="BZ144" i="1" s="1"/>
  <c r="CE141" i="1"/>
  <c r="BZ141" i="1" s="1"/>
  <c r="CE140" i="1"/>
  <c r="BZ140" i="1" s="1"/>
  <c r="CE139" i="1"/>
  <c r="BZ139" i="1" s="1"/>
  <c r="CE137" i="1"/>
  <c r="BZ137" i="1" s="1"/>
  <c r="CE136" i="1"/>
  <c r="BZ136" i="1" s="1"/>
  <c r="CE135" i="1"/>
  <c r="BZ135" i="1" s="1"/>
  <c r="CE134" i="1"/>
  <c r="BZ134" i="1" s="1"/>
  <c r="CE132" i="1"/>
  <c r="BZ132" i="1" s="1"/>
  <c r="CE131" i="1"/>
  <c r="BZ131" i="1" s="1"/>
  <c r="CE130" i="1"/>
  <c r="BZ130" i="1" s="1"/>
  <c r="CE128" i="1"/>
  <c r="BZ128" i="1" s="1"/>
  <c r="CE127" i="1"/>
  <c r="BZ127" i="1" s="1"/>
  <c r="CE125" i="1"/>
  <c r="BZ125" i="1" s="1"/>
  <c r="CE124" i="1"/>
  <c r="BZ124" i="1" s="1"/>
  <c r="CE123" i="1"/>
  <c r="BZ123" i="1" s="1"/>
  <c r="CE122" i="1"/>
  <c r="BZ122" i="1" s="1"/>
  <c r="CE442" i="1"/>
  <c r="BZ442" i="1" s="1"/>
  <c r="CE121" i="1"/>
  <c r="BZ121" i="1" s="1"/>
  <c r="CE120" i="1"/>
  <c r="BZ120" i="1" s="1"/>
  <c r="CE119" i="1"/>
  <c r="BZ119" i="1" s="1"/>
  <c r="CE118" i="1"/>
  <c r="BZ118" i="1" s="1"/>
  <c r="CE117" i="1"/>
  <c r="BZ117" i="1" s="1"/>
  <c r="CE116" i="1"/>
  <c r="BZ116" i="1" s="1"/>
  <c r="CE115" i="1"/>
  <c r="BZ115" i="1" s="1"/>
  <c r="CE113" i="1"/>
  <c r="BZ113" i="1" s="1"/>
  <c r="CE111" i="1"/>
  <c r="BZ111" i="1" s="1"/>
  <c r="CE109" i="1"/>
  <c r="BZ109" i="1" s="1"/>
  <c r="CE108" i="1"/>
  <c r="BZ108" i="1" s="1"/>
  <c r="CE107" i="1"/>
  <c r="BZ107" i="1" s="1"/>
  <c r="CE106" i="1"/>
  <c r="BZ106" i="1" s="1"/>
  <c r="CE105" i="1"/>
  <c r="BZ105" i="1" s="1"/>
  <c r="CE104" i="1"/>
  <c r="BZ104" i="1" s="1"/>
  <c r="CE103" i="1"/>
  <c r="BZ103" i="1" s="1"/>
  <c r="CE102" i="1"/>
  <c r="BZ102" i="1" s="1"/>
  <c r="CE101" i="1"/>
  <c r="BZ101" i="1" s="1"/>
  <c r="CE100" i="1"/>
  <c r="BZ100" i="1" s="1"/>
  <c r="CE99" i="1"/>
  <c r="BZ99" i="1" s="1"/>
  <c r="CE96" i="1"/>
  <c r="BZ96" i="1" s="1"/>
  <c r="CE95" i="1"/>
  <c r="BZ95" i="1" s="1"/>
  <c r="CE94" i="1"/>
  <c r="BZ94" i="1" s="1"/>
  <c r="CE93" i="1"/>
  <c r="BZ93" i="1" s="1"/>
  <c r="CE92" i="1"/>
  <c r="BZ92" i="1" s="1"/>
  <c r="CE91" i="1"/>
  <c r="BZ91" i="1" s="1"/>
  <c r="CE90" i="1"/>
  <c r="BZ90" i="1" s="1"/>
  <c r="CE89" i="1"/>
  <c r="BZ89" i="1" s="1"/>
  <c r="CE87" i="1"/>
  <c r="BZ87" i="1" s="1"/>
  <c r="CE88" i="1"/>
  <c r="BZ88" i="1" s="1"/>
  <c r="CE86" i="1"/>
  <c r="BZ86" i="1" s="1"/>
  <c r="CE85" i="1"/>
  <c r="BZ85" i="1" s="1"/>
  <c r="CE83" i="1"/>
  <c r="BZ83" i="1" s="1"/>
  <c r="CE82" i="1"/>
  <c r="BZ82" i="1" s="1"/>
  <c r="CE81" i="1"/>
  <c r="BZ81" i="1" s="1"/>
  <c r="CE79" i="1"/>
  <c r="BZ79" i="1" s="1"/>
  <c r="CE78" i="1"/>
  <c r="BZ78" i="1" s="1"/>
  <c r="CE77" i="1"/>
  <c r="BZ77" i="1" s="1"/>
  <c r="CE76" i="1"/>
  <c r="BZ76" i="1" s="1"/>
  <c r="CE75" i="1"/>
  <c r="BZ75" i="1" s="1"/>
  <c r="CE74" i="1"/>
  <c r="BZ74" i="1" s="1"/>
  <c r="CE73" i="1"/>
  <c r="BZ73" i="1" s="1"/>
  <c r="CE72" i="1"/>
  <c r="BZ72" i="1" s="1"/>
  <c r="CE71" i="1"/>
  <c r="BZ71" i="1" s="1"/>
  <c r="CE70" i="1"/>
  <c r="BZ70" i="1" s="1"/>
  <c r="CE68" i="1"/>
  <c r="BZ68" i="1" s="1"/>
  <c r="CE67" i="1"/>
  <c r="BZ67" i="1" s="1"/>
  <c r="CE66" i="1"/>
  <c r="BZ66" i="1" s="1"/>
  <c r="CE65" i="1"/>
  <c r="BZ65" i="1" s="1"/>
  <c r="CE64" i="1"/>
  <c r="BZ64" i="1" s="1"/>
  <c r="CE63" i="1"/>
  <c r="BZ63" i="1" s="1"/>
  <c r="CE62" i="1"/>
  <c r="BZ62" i="1" s="1"/>
  <c r="CE61" i="1"/>
  <c r="BZ61" i="1" s="1"/>
  <c r="CE60" i="1"/>
  <c r="BZ60" i="1" s="1"/>
  <c r="CE59" i="1"/>
  <c r="BZ59" i="1" s="1"/>
  <c r="CE58" i="1"/>
  <c r="BZ58" i="1" s="1"/>
  <c r="CE57" i="1"/>
  <c r="BZ57" i="1" s="1"/>
  <c r="CE56" i="1"/>
  <c r="BZ56" i="1" s="1"/>
  <c r="CE55" i="1"/>
  <c r="BZ55" i="1" s="1"/>
  <c r="CE53" i="1"/>
  <c r="BZ53" i="1" s="1"/>
  <c r="CE50" i="1"/>
  <c r="BZ50" i="1" s="1"/>
  <c r="CE49" i="1"/>
  <c r="BZ49" i="1" s="1"/>
  <c r="CE48" i="1"/>
  <c r="BZ48" i="1" s="1"/>
  <c r="CE46" i="1"/>
  <c r="BZ46" i="1" s="1"/>
  <c r="CE44" i="1"/>
  <c r="BZ44" i="1" s="1"/>
  <c r="CE43" i="1"/>
  <c r="BZ43" i="1" s="1"/>
  <c r="CE42" i="1"/>
  <c r="BZ42" i="1" s="1"/>
  <c r="CE41" i="1"/>
  <c r="BZ41" i="1" s="1"/>
  <c r="CE40" i="1"/>
  <c r="BZ40" i="1" s="1"/>
  <c r="CE39" i="1"/>
  <c r="BZ39" i="1" s="1"/>
  <c r="CE38" i="1"/>
  <c r="BZ38" i="1" s="1"/>
  <c r="CE37" i="1"/>
  <c r="BZ37" i="1" s="1"/>
  <c r="CE36" i="1"/>
  <c r="BZ36" i="1" s="1"/>
  <c r="CE35" i="1"/>
  <c r="BZ35" i="1" s="1"/>
  <c r="CE34" i="1"/>
  <c r="BZ34" i="1" s="1"/>
  <c r="CE33" i="1"/>
  <c r="BZ33" i="1" s="1"/>
  <c r="CE32" i="1"/>
  <c r="BZ32" i="1" s="1"/>
  <c r="CE31" i="1"/>
  <c r="BZ31" i="1" s="1"/>
  <c r="CE30" i="1"/>
  <c r="BZ30" i="1" s="1"/>
  <c r="CE29" i="1"/>
  <c r="BZ29" i="1" s="1"/>
  <c r="CE28" i="1"/>
  <c r="BZ28" i="1" s="1"/>
  <c r="CE26" i="1"/>
  <c r="BZ26" i="1" s="1"/>
  <c r="CE25" i="1"/>
  <c r="BZ25" i="1" s="1"/>
  <c r="CE24" i="1"/>
  <c r="BZ24" i="1" s="1"/>
  <c r="CE22" i="1"/>
  <c r="BZ22" i="1" s="1"/>
  <c r="CE19" i="1"/>
  <c r="BZ19" i="1" s="1"/>
  <c r="BW922" i="1"/>
  <c r="BV922" i="1"/>
  <c r="BW920" i="1"/>
  <c r="BV920" i="1"/>
  <c r="BW919" i="1"/>
  <c r="BV919" i="1"/>
  <c r="BW918" i="1"/>
  <c r="BV918" i="1"/>
  <c r="BW917" i="1"/>
  <c r="BV917" i="1"/>
  <c r="BW916" i="1"/>
  <c r="BV916" i="1"/>
  <c r="BW914" i="1"/>
  <c r="BV914" i="1"/>
  <c r="BW913" i="1"/>
  <c r="BV913" i="1"/>
  <c r="BW910" i="1"/>
  <c r="BV910" i="1"/>
  <c r="BW909" i="1"/>
  <c r="BV909" i="1"/>
  <c r="BW908" i="1"/>
  <c r="BV908" i="1"/>
  <c r="BW905" i="1"/>
  <c r="BV905" i="1"/>
  <c r="BW904" i="1"/>
  <c r="BV904" i="1"/>
  <c r="BW902" i="1"/>
  <c r="BV902" i="1"/>
  <c r="BW901" i="1"/>
  <c r="BV901" i="1"/>
  <c r="BW900" i="1"/>
  <c r="BV900" i="1"/>
  <c r="BW899" i="1"/>
  <c r="BV899" i="1"/>
  <c r="BW898" i="1"/>
  <c r="BV898" i="1"/>
  <c r="BW897" i="1"/>
  <c r="BV897" i="1"/>
  <c r="BW896" i="1"/>
  <c r="BV896" i="1"/>
  <c r="BW895" i="1"/>
  <c r="BV895" i="1"/>
  <c r="BW894" i="1"/>
  <c r="BV894" i="1"/>
  <c r="BW893" i="1"/>
  <c r="BV893" i="1"/>
  <c r="BW890" i="1"/>
  <c r="BV890" i="1"/>
  <c r="BW889" i="1"/>
  <c r="BV889" i="1"/>
  <c r="BW887" i="1"/>
  <c r="BV887" i="1"/>
  <c r="BW885" i="1"/>
  <c r="BV885" i="1"/>
  <c r="BW884" i="1"/>
  <c r="BV884" i="1"/>
  <c r="BW882" i="1"/>
  <c r="BV882" i="1"/>
  <c r="BW881" i="1"/>
  <c r="BV881" i="1"/>
  <c r="BW880" i="1"/>
  <c r="BV880" i="1"/>
  <c r="BW879" i="1"/>
  <c r="BV879" i="1"/>
  <c r="BW878" i="1"/>
  <c r="BV878" i="1"/>
  <c r="BW877" i="1"/>
  <c r="BV877" i="1"/>
  <c r="BW876" i="1"/>
  <c r="BV876" i="1"/>
  <c r="BW875" i="1"/>
  <c r="BV875" i="1"/>
  <c r="BW874" i="1"/>
  <c r="BV874" i="1"/>
  <c r="BW871" i="1"/>
  <c r="BV871" i="1"/>
  <c r="BW870" i="1"/>
  <c r="BV870" i="1"/>
  <c r="BW869" i="1"/>
  <c r="BV869" i="1"/>
  <c r="BW868" i="1"/>
  <c r="BV868" i="1"/>
  <c r="BW867" i="1"/>
  <c r="BV867" i="1"/>
  <c r="BW866" i="1"/>
  <c r="BV866" i="1"/>
  <c r="BW865" i="1"/>
  <c r="BV865" i="1"/>
  <c r="BW864" i="1"/>
  <c r="BV864" i="1"/>
  <c r="BW863" i="1"/>
  <c r="BV863" i="1"/>
  <c r="BW862" i="1"/>
  <c r="BV862" i="1"/>
  <c r="BW861" i="1"/>
  <c r="BV861" i="1"/>
  <c r="BW860" i="1"/>
  <c r="BV860" i="1"/>
  <c r="BW859" i="1"/>
  <c r="BV859" i="1"/>
  <c r="BW503" i="1"/>
  <c r="BV503" i="1"/>
  <c r="BW858" i="1"/>
  <c r="BV858" i="1"/>
  <c r="BW857" i="1"/>
  <c r="BV857" i="1"/>
  <c r="BW856" i="1"/>
  <c r="BV856" i="1"/>
  <c r="BW854" i="1"/>
  <c r="BV854" i="1"/>
  <c r="BW850" i="1"/>
  <c r="BV850" i="1"/>
  <c r="BW849" i="1"/>
  <c r="BV849" i="1"/>
  <c r="BW848" i="1"/>
  <c r="BV848" i="1"/>
  <c r="BW847" i="1"/>
  <c r="BV847" i="1"/>
  <c r="BW846" i="1"/>
  <c r="BV846" i="1"/>
  <c r="BW845" i="1"/>
  <c r="BV845" i="1"/>
  <c r="BW844" i="1"/>
  <c r="BV844" i="1"/>
  <c r="BW842" i="1"/>
  <c r="BV842" i="1"/>
  <c r="BW841" i="1"/>
  <c r="BV841" i="1"/>
  <c r="BW839" i="1"/>
  <c r="BV839" i="1"/>
  <c r="BW838" i="1"/>
  <c r="BV838" i="1"/>
  <c r="BW836" i="1"/>
  <c r="BV836" i="1"/>
  <c r="BW835" i="1"/>
  <c r="BV835" i="1"/>
  <c r="BW834" i="1"/>
  <c r="BV834" i="1"/>
  <c r="BW833" i="1"/>
  <c r="BV833" i="1"/>
  <c r="BW832" i="1"/>
  <c r="BV832" i="1"/>
  <c r="BW831" i="1"/>
  <c r="BV831" i="1"/>
  <c r="BW830" i="1"/>
  <c r="BV830" i="1"/>
  <c r="BW829" i="1"/>
  <c r="BV829" i="1"/>
  <c r="BW828" i="1"/>
  <c r="BV828" i="1"/>
  <c r="BW827" i="1"/>
  <c r="BV827" i="1"/>
  <c r="BW826" i="1"/>
  <c r="BV826" i="1"/>
  <c r="BW825" i="1"/>
  <c r="BV825" i="1"/>
  <c r="BW823" i="1"/>
  <c r="BV823" i="1"/>
  <c r="BW821" i="1"/>
  <c r="BV821" i="1"/>
  <c r="BW820" i="1"/>
  <c r="BV820" i="1"/>
  <c r="BW819" i="1"/>
  <c r="BV819" i="1"/>
  <c r="BW818" i="1"/>
  <c r="BV818" i="1"/>
  <c r="BW816" i="1"/>
  <c r="BV816" i="1"/>
  <c r="BW815" i="1"/>
  <c r="BV815" i="1"/>
  <c r="BW814" i="1"/>
  <c r="BV814" i="1"/>
  <c r="BW813" i="1"/>
  <c r="BV813" i="1"/>
  <c r="BW812" i="1"/>
  <c r="BV812" i="1"/>
  <c r="BW811" i="1"/>
  <c r="BV811" i="1"/>
  <c r="BW810" i="1"/>
  <c r="BV810" i="1"/>
  <c r="BW809" i="1"/>
  <c r="BV809" i="1"/>
  <c r="BW808" i="1"/>
  <c r="BV808" i="1"/>
  <c r="BW806" i="1"/>
  <c r="BV806" i="1"/>
  <c r="BW805" i="1"/>
  <c r="BV805" i="1"/>
  <c r="BW804" i="1"/>
  <c r="BV804" i="1"/>
  <c r="BW803" i="1"/>
  <c r="BV803" i="1"/>
  <c r="BW801" i="1"/>
  <c r="BV801" i="1"/>
  <c r="BW800" i="1"/>
  <c r="BV800" i="1"/>
  <c r="BW799" i="1"/>
  <c r="BV799" i="1"/>
  <c r="BW798" i="1"/>
  <c r="BV798" i="1"/>
  <c r="BW796" i="1"/>
  <c r="BV796" i="1"/>
  <c r="BW795" i="1"/>
  <c r="BV795" i="1"/>
  <c r="BW794" i="1"/>
  <c r="BV794" i="1"/>
  <c r="BW793" i="1"/>
  <c r="BV793" i="1"/>
  <c r="BW792" i="1"/>
  <c r="BV792" i="1"/>
  <c r="BW791" i="1"/>
  <c r="BV791" i="1"/>
  <c r="BW790" i="1"/>
  <c r="BV790" i="1"/>
  <c r="BW789" i="1"/>
  <c r="BV789" i="1"/>
  <c r="BW788" i="1"/>
  <c r="BV788" i="1"/>
  <c r="BW784" i="1"/>
  <c r="BV784" i="1"/>
  <c r="BW782" i="1"/>
  <c r="BV782" i="1"/>
  <c r="BW781" i="1"/>
  <c r="BV781" i="1"/>
  <c r="BW780" i="1"/>
  <c r="BV780" i="1"/>
  <c r="BW779" i="1"/>
  <c r="BV779" i="1"/>
  <c r="BW778" i="1"/>
  <c r="BV778" i="1"/>
  <c r="BW777" i="1"/>
  <c r="BV777" i="1"/>
  <c r="BW776" i="1"/>
  <c r="BV776" i="1"/>
  <c r="BW775" i="1"/>
  <c r="BV775" i="1"/>
  <c r="BW774" i="1"/>
  <c r="BV774" i="1"/>
  <c r="BW773" i="1"/>
  <c r="BV773" i="1"/>
  <c r="BW771" i="1"/>
  <c r="BV771" i="1"/>
  <c r="BW770" i="1"/>
  <c r="BV770" i="1"/>
  <c r="BW769" i="1"/>
  <c r="BV769" i="1"/>
  <c r="BW768" i="1"/>
  <c r="BV768" i="1"/>
  <c r="BW765" i="1"/>
  <c r="BV765" i="1"/>
  <c r="BW764" i="1"/>
  <c r="BV764" i="1"/>
  <c r="BW763" i="1"/>
  <c r="BV763" i="1"/>
  <c r="BW762" i="1"/>
  <c r="BV762" i="1"/>
  <c r="BW761" i="1"/>
  <c r="BV761" i="1"/>
  <c r="BW760" i="1"/>
  <c r="BV760" i="1"/>
  <c r="BW757" i="1"/>
  <c r="BV757" i="1"/>
  <c r="BW756" i="1"/>
  <c r="BV756" i="1"/>
  <c r="BW755" i="1"/>
  <c r="BV755" i="1"/>
  <c r="BW754" i="1"/>
  <c r="BV754" i="1"/>
  <c r="BW753" i="1"/>
  <c r="BV753" i="1"/>
  <c r="BW752" i="1"/>
  <c r="BV752" i="1"/>
  <c r="BW750" i="1"/>
  <c r="BV750" i="1"/>
  <c r="BW748" i="1"/>
  <c r="BV748" i="1"/>
  <c r="BW747" i="1"/>
  <c r="BV747" i="1"/>
  <c r="BW746" i="1"/>
  <c r="BV746" i="1"/>
  <c r="BW745" i="1"/>
  <c r="BV745" i="1"/>
  <c r="BW744" i="1"/>
  <c r="BV744" i="1"/>
  <c r="BW743" i="1"/>
  <c r="BV743" i="1"/>
  <c r="BW742" i="1"/>
  <c r="BV742" i="1"/>
  <c r="BW741" i="1"/>
  <c r="BV741" i="1"/>
  <c r="BW740" i="1"/>
  <c r="BV740" i="1"/>
  <c r="BW739" i="1"/>
  <c r="BV739" i="1"/>
  <c r="BW738" i="1"/>
  <c r="BV738" i="1"/>
  <c r="BW737" i="1"/>
  <c r="BV737" i="1"/>
  <c r="BW736" i="1"/>
  <c r="BV736" i="1"/>
  <c r="BW735" i="1"/>
  <c r="BV735" i="1"/>
  <c r="BW734" i="1"/>
  <c r="BV734" i="1"/>
  <c r="BW733" i="1"/>
  <c r="BV733" i="1"/>
  <c r="BW732" i="1"/>
  <c r="BV732" i="1"/>
  <c r="BW731" i="1"/>
  <c r="BV731" i="1"/>
  <c r="BW728" i="1"/>
  <c r="BV728" i="1"/>
  <c r="BW727" i="1"/>
  <c r="BV727" i="1"/>
  <c r="BW726" i="1"/>
  <c r="BV726" i="1"/>
  <c r="BW724" i="1"/>
  <c r="BV724" i="1"/>
  <c r="BW723" i="1"/>
  <c r="BV723" i="1"/>
  <c r="BW721" i="1"/>
  <c r="BV721" i="1"/>
  <c r="BW719" i="1"/>
  <c r="BV719" i="1"/>
  <c r="BW718" i="1"/>
  <c r="BV718" i="1"/>
  <c r="BW717" i="1"/>
  <c r="BV717" i="1"/>
  <c r="BW715" i="1"/>
  <c r="BV715" i="1"/>
  <c r="BW713" i="1"/>
  <c r="BV713" i="1"/>
  <c r="BW712" i="1"/>
  <c r="BV712" i="1"/>
  <c r="BW710" i="1"/>
  <c r="BV710" i="1"/>
  <c r="BW708" i="1"/>
  <c r="BV708" i="1"/>
  <c r="BW707" i="1"/>
  <c r="BV707" i="1"/>
  <c r="BW706" i="1"/>
  <c r="BV706" i="1"/>
  <c r="BW705" i="1"/>
  <c r="BV705" i="1"/>
  <c r="BW704" i="1"/>
  <c r="BV704" i="1"/>
  <c r="BW701" i="1"/>
  <c r="BV701" i="1"/>
  <c r="BW698" i="1"/>
  <c r="BV698" i="1"/>
  <c r="BW696" i="1"/>
  <c r="BV696" i="1"/>
  <c r="BW695" i="1"/>
  <c r="BV695" i="1"/>
  <c r="BW694" i="1"/>
  <c r="BV694" i="1"/>
  <c r="BW692" i="1"/>
  <c r="BV692" i="1"/>
  <c r="BW691" i="1"/>
  <c r="BV691" i="1"/>
  <c r="BW690" i="1"/>
  <c r="BV690" i="1"/>
  <c r="BW689" i="1"/>
  <c r="BV689" i="1"/>
  <c r="BW688" i="1"/>
  <c r="BV688" i="1"/>
  <c r="BW686" i="1"/>
  <c r="BV686" i="1"/>
  <c r="BW685" i="1"/>
  <c r="BV685" i="1"/>
  <c r="BW684" i="1"/>
  <c r="BV684" i="1"/>
  <c r="BW683" i="1"/>
  <c r="BV683" i="1"/>
  <c r="BW682" i="1"/>
  <c r="BV682" i="1"/>
  <c r="BW681" i="1"/>
  <c r="BV681" i="1"/>
  <c r="BW680" i="1"/>
  <c r="BV680" i="1"/>
  <c r="BW679" i="1"/>
  <c r="BV679" i="1"/>
  <c r="BW678" i="1"/>
  <c r="BV678" i="1"/>
  <c r="BW677" i="1"/>
  <c r="BV677" i="1"/>
  <c r="BW676" i="1"/>
  <c r="BV676" i="1"/>
  <c r="BW675" i="1"/>
  <c r="BV675" i="1"/>
  <c r="BW673" i="1"/>
  <c r="BV673" i="1"/>
  <c r="BW672" i="1"/>
  <c r="BV672" i="1"/>
  <c r="BW670" i="1"/>
  <c r="BV670" i="1"/>
  <c r="BW669" i="1"/>
  <c r="BV669" i="1"/>
  <c r="BW668" i="1"/>
  <c r="BV668" i="1"/>
  <c r="BW667" i="1"/>
  <c r="BV667" i="1"/>
  <c r="BW666" i="1"/>
  <c r="BV666" i="1"/>
  <c r="BW665" i="1"/>
  <c r="BV665" i="1"/>
  <c r="BW664" i="1"/>
  <c r="BV664" i="1"/>
  <c r="BW663" i="1"/>
  <c r="BV663" i="1"/>
  <c r="BW662" i="1"/>
  <c r="BV662" i="1"/>
  <c r="BW661" i="1"/>
  <c r="BV661" i="1"/>
  <c r="BW660" i="1"/>
  <c r="BV660" i="1"/>
  <c r="BW659" i="1"/>
  <c r="BV659" i="1"/>
  <c r="BW658" i="1"/>
  <c r="BV658" i="1"/>
  <c r="BW657" i="1"/>
  <c r="BV657" i="1"/>
  <c r="BW656" i="1"/>
  <c r="BV656" i="1"/>
  <c r="BW655" i="1"/>
  <c r="BV655" i="1"/>
  <c r="BW654" i="1"/>
  <c r="BV654" i="1"/>
  <c r="BW653" i="1"/>
  <c r="BV653" i="1"/>
  <c r="BW652" i="1"/>
  <c r="BV652" i="1"/>
  <c r="BW651" i="1"/>
  <c r="BV651" i="1"/>
  <c r="BW650" i="1"/>
  <c r="BV650" i="1"/>
  <c r="BW648" i="1"/>
  <c r="BV648" i="1"/>
  <c r="BW647" i="1"/>
  <c r="BV647" i="1"/>
  <c r="BW645" i="1"/>
  <c r="BV645" i="1"/>
  <c r="BW643" i="1"/>
  <c r="BV643" i="1"/>
  <c r="BW641" i="1"/>
  <c r="BV641" i="1"/>
  <c r="BW640" i="1"/>
  <c r="BV640" i="1"/>
  <c r="BW639" i="1"/>
  <c r="BV639" i="1"/>
  <c r="BW638" i="1"/>
  <c r="BV638" i="1"/>
  <c r="BW637" i="1"/>
  <c r="BV637" i="1"/>
  <c r="BW636" i="1"/>
  <c r="BV636" i="1"/>
  <c r="BW634" i="1"/>
  <c r="BV634" i="1"/>
  <c r="BW633" i="1"/>
  <c r="BV633" i="1"/>
  <c r="BW631" i="1"/>
  <c r="BV631" i="1"/>
  <c r="BW629" i="1"/>
  <c r="BV629" i="1"/>
  <c r="BW628" i="1"/>
  <c r="BV628" i="1"/>
  <c r="BW626" i="1"/>
  <c r="BV626" i="1"/>
  <c r="BW625" i="1"/>
  <c r="BV625" i="1"/>
  <c r="BW624" i="1"/>
  <c r="BV624" i="1"/>
  <c r="BW622" i="1"/>
  <c r="BV622" i="1"/>
  <c r="BW621" i="1"/>
  <c r="BV621" i="1"/>
  <c r="BW620" i="1"/>
  <c r="BV620" i="1"/>
  <c r="BW619" i="1"/>
  <c r="BV619" i="1"/>
  <c r="BW618" i="1"/>
  <c r="BV618" i="1"/>
  <c r="BW617" i="1"/>
  <c r="BV617" i="1"/>
  <c r="BW616" i="1"/>
  <c r="BV616" i="1"/>
  <c r="BW615" i="1"/>
  <c r="BV615" i="1"/>
  <c r="BW613" i="1"/>
  <c r="BV613" i="1"/>
  <c r="BW611" i="1"/>
  <c r="BV611" i="1"/>
  <c r="BW609" i="1"/>
  <c r="BV609" i="1"/>
  <c r="BW607" i="1"/>
  <c r="BV607" i="1"/>
  <c r="BW605" i="1"/>
  <c r="BV605" i="1"/>
  <c r="BW604" i="1"/>
  <c r="BV604" i="1"/>
  <c r="BW603" i="1"/>
  <c r="BV603" i="1"/>
  <c r="BW602" i="1"/>
  <c r="BV602" i="1"/>
  <c r="BW601" i="1"/>
  <c r="BV601" i="1"/>
  <c r="BW600" i="1"/>
  <c r="BV600" i="1"/>
  <c r="BW599" i="1"/>
  <c r="BV599" i="1"/>
  <c r="BW594" i="1"/>
  <c r="BV594" i="1"/>
  <c r="BW592" i="1"/>
  <c r="BV592" i="1"/>
  <c r="BW591" i="1"/>
  <c r="BV591" i="1"/>
  <c r="BW590" i="1"/>
  <c r="BV590" i="1"/>
  <c r="BW588" i="1"/>
  <c r="BV588" i="1"/>
  <c r="BW587" i="1"/>
  <c r="BV587" i="1"/>
  <c r="BW586" i="1"/>
  <c r="BV586" i="1"/>
  <c r="BW585" i="1"/>
  <c r="BV585" i="1"/>
  <c r="BW584" i="1"/>
  <c r="BV584" i="1"/>
  <c r="BW583" i="1"/>
  <c r="BV583" i="1"/>
  <c r="BW581" i="1"/>
  <c r="BV581" i="1"/>
  <c r="BW580" i="1"/>
  <c r="BV580" i="1"/>
  <c r="BW579" i="1"/>
  <c r="BV579" i="1"/>
  <c r="BW577" i="1"/>
  <c r="BV577" i="1"/>
  <c r="BW575" i="1"/>
  <c r="BV575" i="1"/>
  <c r="BW574" i="1"/>
  <c r="BV574" i="1"/>
  <c r="BW573" i="1"/>
  <c r="BV573" i="1"/>
  <c r="BW572" i="1"/>
  <c r="BV572" i="1"/>
  <c r="BW571" i="1"/>
  <c r="BV571" i="1"/>
  <c r="BW570" i="1"/>
  <c r="BV570" i="1"/>
  <c r="BW569" i="1"/>
  <c r="BV569" i="1"/>
  <c r="BW567" i="1"/>
  <c r="BV567" i="1"/>
  <c r="BW564" i="1"/>
  <c r="BV564" i="1"/>
  <c r="BW563" i="1"/>
  <c r="BV563" i="1"/>
  <c r="BW562" i="1"/>
  <c r="BV562" i="1"/>
  <c r="BW559" i="1"/>
  <c r="BV559" i="1"/>
  <c r="BW558" i="1"/>
  <c r="BV558" i="1"/>
  <c r="BW557" i="1"/>
  <c r="BV557" i="1"/>
  <c r="BW556" i="1"/>
  <c r="BV556" i="1"/>
  <c r="BW555" i="1"/>
  <c r="BV555" i="1"/>
  <c r="BW554" i="1"/>
  <c r="BV554" i="1"/>
  <c r="BW553" i="1"/>
  <c r="BV553" i="1"/>
  <c r="BW552" i="1"/>
  <c r="BV552" i="1"/>
  <c r="BW551" i="1"/>
  <c r="BV551" i="1"/>
  <c r="BW550" i="1"/>
  <c r="BV550" i="1"/>
  <c r="BW549" i="1"/>
  <c r="BV549" i="1"/>
  <c r="BW548" i="1"/>
  <c r="BV548" i="1"/>
  <c r="BW546" i="1"/>
  <c r="BV546" i="1"/>
  <c r="BW545" i="1"/>
  <c r="BV545" i="1"/>
  <c r="BW543" i="1"/>
  <c r="BV543" i="1"/>
  <c r="BW542" i="1"/>
  <c r="BV542" i="1"/>
  <c r="BW541" i="1"/>
  <c r="BV541" i="1"/>
  <c r="BW540" i="1"/>
  <c r="BV540" i="1"/>
  <c r="BW539" i="1"/>
  <c r="BV539" i="1"/>
  <c r="BW538" i="1"/>
  <c r="BV538" i="1"/>
  <c r="BW537" i="1"/>
  <c r="BV537" i="1"/>
  <c r="BW536" i="1"/>
  <c r="BV536" i="1"/>
  <c r="BW535" i="1"/>
  <c r="BV535" i="1"/>
  <c r="BW534" i="1"/>
  <c r="BV534" i="1"/>
  <c r="BW532" i="1"/>
  <c r="BV532" i="1"/>
  <c r="BW531" i="1"/>
  <c r="BV531" i="1"/>
  <c r="BW530" i="1"/>
  <c r="BV530" i="1"/>
  <c r="BW529" i="1"/>
  <c r="BV529" i="1"/>
  <c r="BW528" i="1"/>
  <c r="BV528" i="1"/>
  <c r="BW527" i="1"/>
  <c r="BV527" i="1"/>
  <c r="BW526" i="1"/>
  <c r="BV526" i="1"/>
  <c r="BW525" i="1"/>
  <c r="BV525" i="1"/>
  <c r="BW524" i="1"/>
  <c r="BV524" i="1"/>
  <c r="BW523" i="1"/>
  <c r="BV523" i="1"/>
  <c r="BW522" i="1"/>
  <c r="BV522" i="1"/>
  <c r="BW521" i="1"/>
  <c r="BV521" i="1"/>
  <c r="BW520" i="1"/>
  <c r="BV520" i="1"/>
  <c r="BW519" i="1"/>
  <c r="BV519" i="1"/>
  <c r="BW518" i="1"/>
  <c r="BV518" i="1"/>
  <c r="BW517" i="1"/>
  <c r="BV517" i="1"/>
  <c r="BW514" i="1"/>
  <c r="BV514" i="1"/>
  <c r="BW513" i="1"/>
  <c r="BV513" i="1"/>
  <c r="BW512" i="1"/>
  <c r="BV512" i="1"/>
  <c r="BW510" i="1"/>
  <c r="BV510" i="1"/>
  <c r="BW509" i="1"/>
  <c r="BV509" i="1"/>
  <c r="BW508" i="1"/>
  <c r="BV508" i="1"/>
  <c r="BW507" i="1"/>
  <c r="BV507" i="1"/>
  <c r="BW506" i="1"/>
  <c r="BV506" i="1"/>
  <c r="BW505" i="1"/>
  <c r="BV505" i="1"/>
  <c r="BW502" i="1"/>
  <c r="BV502" i="1"/>
  <c r="BW501" i="1"/>
  <c r="BV501" i="1"/>
  <c r="BW500" i="1"/>
  <c r="BV500" i="1"/>
  <c r="BW499" i="1"/>
  <c r="BV499" i="1"/>
  <c r="BW498" i="1"/>
  <c r="BV498" i="1"/>
  <c r="BW497" i="1"/>
  <c r="BV497" i="1"/>
  <c r="BW496" i="1"/>
  <c r="BV496" i="1"/>
  <c r="BW495" i="1"/>
  <c r="BV495" i="1"/>
  <c r="BW493" i="1"/>
  <c r="BV493" i="1"/>
  <c r="BW492" i="1"/>
  <c r="BV492" i="1"/>
  <c r="BW491" i="1"/>
  <c r="BV491" i="1"/>
  <c r="BW489" i="1"/>
  <c r="BV489" i="1"/>
  <c r="BW487" i="1"/>
  <c r="BV487" i="1"/>
  <c r="BW484" i="1"/>
  <c r="BV484" i="1"/>
  <c r="BW407" i="1"/>
  <c r="BV407" i="1"/>
  <c r="BW406" i="1"/>
  <c r="BV406" i="1"/>
  <c r="BW408" i="1"/>
  <c r="BV408" i="1"/>
  <c r="BW482" i="1"/>
  <c r="BV482" i="1"/>
  <c r="BW481" i="1"/>
  <c r="BV481" i="1"/>
  <c r="BW478" i="1"/>
  <c r="BV478" i="1"/>
  <c r="BW475" i="1"/>
  <c r="BV475" i="1"/>
  <c r="BW474" i="1"/>
  <c r="BV474" i="1"/>
  <c r="BW473" i="1"/>
  <c r="BV473" i="1"/>
  <c r="BW472" i="1"/>
  <c r="BV472" i="1"/>
  <c r="BW560" i="1"/>
  <c r="BV560" i="1"/>
  <c r="BW471" i="1"/>
  <c r="BV471" i="1"/>
  <c r="BW470" i="1"/>
  <c r="BV470" i="1"/>
  <c r="BW469" i="1"/>
  <c r="BV469" i="1"/>
  <c r="BW468" i="1"/>
  <c r="BV468" i="1"/>
  <c r="BW466" i="1"/>
  <c r="BV466" i="1"/>
  <c r="BW464" i="1"/>
  <c r="BV464" i="1"/>
  <c r="BW463" i="1"/>
  <c r="BV463" i="1"/>
  <c r="BW462" i="1"/>
  <c r="BV462" i="1"/>
  <c r="BW461" i="1"/>
  <c r="BV461" i="1"/>
  <c r="BW460" i="1"/>
  <c r="BV460" i="1"/>
  <c r="BW459" i="1"/>
  <c r="BV459" i="1"/>
  <c r="BW458" i="1"/>
  <c r="BV458" i="1"/>
  <c r="BW457" i="1"/>
  <c r="BV457" i="1"/>
  <c r="BW456" i="1"/>
  <c r="BV456" i="1"/>
  <c r="BW455" i="1"/>
  <c r="BV455" i="1"/>
  <c r="BW454" i="1"/>
  <c r="BV454" i="1"/>
  <c r="BW453" i="1"/>
  <c r="BV453" i="1"/>
  <c r="BW451" i="1"/>
  <c r="BV451" i="1"/>
  <c r="BW450" i="1"/>
  <c r="BV450" i="1"/>
  <c r="BW448" i="1"/>
  <c r="BV448" i="1"/>
  <c r="BW447" i="1"/>
  <c r="BV447" i="1"/>
  <c r="BW446" i="1"/>
  <c r="BV446" i="1"/>
  <c r="BW445" i="1"/>
  <c r="BV445" i="1"/>
  <c r="BW444" i="1"/>
  <c r="BV444" i="1"/>
  <c r="BW443" i="1"/>
  <c r="BV443" i="1"/>
  <c r="BW441" i="1"/>
  <c r="BV441" i="1"/>
  <c r="BW440" i="1"/>
  <c r="BV440" i="1"/>
  <c r="BW437" i="1"/>
  <c r="BV437" i="1"/>
  <c r="BW436" i="1"/>
  <c r="BV436" i="1"/>
  <c r="BW435" i="1"/>
  <c r="BV435" i="1"/>
  <c r="BW433" i="1"/>
  <c r="BV433" i="1"/>
  <c r="BW432" i="1"/>
  <c r="BV432" i="1"/>
  <c r="BW431" i="1"/>
  <c r="BV431" i="1"/>
  <c r="BW430" i="1"/>
  <c r="BV430" i="1"/>
  <c r="BW429" i="1"/>
  <c r="BV429" i="1"/>
  <c r="BW428" i="1"/>
  <c r="BV428" i="1"/>
  <c r="BW427" i="1"/>
  <c r="BV427" i="1"/>
  <c r="BW426" i="1"/>
  <c r="BV426" i="1"/>
  <c r="BW425" i="1"/>
  <c r="BV425" i="1"/>
  <c r="BW423" i="1"/>
  <c r="BV423" i="1"/>
  <c r="BW422" i="1"/>
  <c r="BV422" i="1"/>
  <c r="BW421" i="1"/>
  <c r="BV421" i="1"/>
  <c r="BW419" i="1"/>
  <c r="BV419" i="1"/>
  <c r="BW418" i="1"/>
  <c r="BV418" i="1"/>
  <c r="BW417" i="1"/>
  <c r="BV417" i="1"/>
  <c r="BW416" i="1"/>
  <c r="BV416" i="1"/>
  <c r="BW415" i="1"/>
  <c r="BV415" i="1"/>
  <c r="BW414" i="1"/>
  <c r="BV414" i="1"/>
  <c r="BW412" i="1"/>
  <c r="BV412" i="1"/>
  <c r="BW409" i="1"/>
  <c r="BV409" i="1"/>
  <c r="BW405" i="1"/>
  <c r="BV405" i="1"/>
  <c r="BW404" i="1"/>
  <c r="BV404" i="1"/>
  <c r="BW403" i="1"/>
  <c r="BV403" i="1"/>
  <c r="BW402" i="1"/>
  <c r="BV402" i="1"/>
  <c r="BW401" i="1"/>
  <c r="BV401" i="1"/>
  <c r="BW400" i="1"/>
  <c r="BV400" i="1"/>
  <c r="BW399" i="1"/>
  <c r="BV399" i="1"/>
  <c r="BW398" i="1"/>
  <c r="BV398" i="1"/>
  <c r="BW397" i="1"/>
  <c r="BV397" i="1"/>
  <c r="BW394" i="1"/>
  <c r="BV394" i="1"/>
  <c r="BW392" i="1"/>
  <c r="BV392" i="1"/>
  <c r="BW391" i="1"/>
  <c r="BV391" i="1"/>
  <c r="BW390" i="1"/>
  <c r="BV390" i="1"/>
  <c r="BW389" i="1"/>
  <c r="BV389" i="1"/>
  <c r="BW388" i="1"/>
  <c r="BV388" i="1"/>
  <c r="BW387" i="1"/>
  <c r="BV387" i="1"/>
  <c r="BW386" i="1"/>
  <c r="BV386" i="1"/>
  <c r="BW385" i="1"/>
  <c r="BV385" i="1"/>
  <c r="BW384" i="1"/>
  <c r="BV384" i="1"/>
  <c r="BW383" i="1"/>
  <c r="BV383" i="1"/>
  <c r="BW381" i="1"/>
  <c r="BV381" i="1"/>
  <c r="BW380" i="1"/>
  <c r="BV380" i="1"/>
  <c r="BW379" i="1"/>
  <c r="BV379" i="1"/>
  <c r="BW378" i="1"/>
  <c r="BV378" i="1"/>
  <c r="BW377" i="1"/>
  <c r="BV377" i="1"/>
  <c r="BW376" i="1"/>
  <c r="BV376" i="1"/>
  <c r="BW374" i="1"/>
  <c r="BV374" i="1"/>
  <c r="BW373" i="1"/>
  <c r="BV373" i="1"/>
  <c r="BW372" i="1"/>
  <c r="BV372" i="1"/>
  <c r="BW371" i="1"/>
  <c r="BV371" i="1"/>
  <c r="BW370" i="1"/>
  <c r="BV370" i="1"/>
  <c r="BW369" i="1"/>
  <c r="BV369" i="1"/>
  <c r="BW368" i="1"/>
  <c r="BV368" i="1"/>
  <c r="BW367" i="1"/>
  <c r="BV367" i="1"/>
  <c r="BW365" i="1"/>
  <c r="BV365" i="1"/>
  <c r="BW363" i="1"/>
  <c r="BV363" i="1"/>
  <c r="BW362" i="1"/>
  <c r="BV362" i="1"/>
  <c r="BW361" i="1"/>
  <c r="BV361" i="1"/>
  <c r="BW360" i="1"/>
  <c r="BV360" i="1"/>
  <c r="BW359" i="1"/>
  <c r="BV359" i="1"/>
  <c r="BW358" i="1"/>
  <c r="BV358" i="1"/>
  <c r="BW357" i="1"/>
  <c r="BV357" i="1"/>
  <c r="BW356" i="1"/>
  <c r="BV356" i="1"/>
  <c r="BW355" i="1"/>
  <c r="BV355" i="1"/>
  <c r="BW354" i="1"/>
  <c r="BV354" i="1"/>
  <c r="BW351" i="1"/>
  <c r="BV351" i="1"/>
  <c r="BW350" i="1"/>
  <c r="BV350" i="1"/>
  <c r="BW349" i="1"/>
  <c r="BV349" i="1"/>
  <c r="BW348" i="1"/>
  <c r="BV348" i="1"/>
  <c r="BW347" i="1"/>
  <c r="BV347" i="1"/>
  <c r="BW345" i="1"/>
  <c r="BV345" i="1"/>
  <c r="BW344" i="1"/>
  <c r="BV344" i="1"/>
  <c r="BW343" i="1"/>
  <c r="BV343" i="1"/>
  <c r="BW342" i="1"/>
  <c r="BV342" i="1"/>
  <c r="BW340" i="1"/>
  <c r="BV340" i="1"/>
  <c r="BW339" i="1"/>
  <c r="BV339" i="1"/>
  <c r="BW338" i="1"/>
  <c r="BV338" i="1"/>
  <c r="BW336" i="1"/>
  <c r="BV336" i="1"/>
  <c r="BW335" i="1"/>
  <c r="BV335" i="1"/>
  <c r="BW334" i="1"/>
  <c r="BV334" i="1"/>
  <c r="BW333" i="1"/>
  <c r="BV333" i="1"/>
  <c r="BW332" i="1"/>
  <c r="BV332" i="1"/>
  <c r="BW330" i="1"/>
  <c r="BV330" i="1"/>
  <c r="BW329" i="1"/>
  <c r="BV329" i="1"/>
  <c r="BW328" i="1"/>
  <c r="BV328" i="1"/>
  <c r="BW327" i="1"/>
  <c r="BV327" i="1"/>
  <c r="BW326" i="1"/>
  <c r="BV326" i="1"/>
  <c r="BW325" i="1"/>
  <c r="BV325" i="1"/>
  <c r="BW324" i="1"/>
  <c r="BV324" i="1"/>
  <c r="BW323" i="1"/>
  <c r="BV323" i="1"/>
  <c r="BW322" i="1"/>
  <c r="BV322" i="1"/>
  <c r="BW321" i="1"/>
  <c r="BV321" i="1"/>
  <c r="BW320" i="1"/>
  <c r="BV320" i="1"/>
  <c r="BW319" i="1"/>
  <c r="BV319" i="1"/>
  <c r="BW317" i="1"/>
  <c r="BV317" i="1"/>
  <c r="BW316" i="1"/>
  <c r="BV316" i="1"/>
  <c r="BW315" i="1"/>
  <c r="BV315" i="1"/>
  <c r="BW314" i="1"/>
  <c r="BV314" i="1"/>
  <c r="BW313" i="1"/>
  <c r="BV313" i="1"/>
  <c r="BW312" i="1"/>
  <c r="BV312" i="1"/>
  <c r="BW311" i="1"/>
  <c r="BV311" i="1"/>
  <c r="BW310" i="1"/>
  <c r="BV310" i="1"/>
  <c r="BW309" i="1"/>
  <c r="BV309" i="1"/>
  <c r="BW308" i="1"/>
  <c r="BV308" i="1"/>
  <c r="BW307" i="1"/>
  <c r="BV307" i="1"/>
  <c r="BW306" i="1"/>
  <c r="BV306" i="1"/>
  <c r="BW305" i="1"/>
  <c r="BV305" i="1"/>
  <c r="BW304" i="1"/>
  <c r="BV304" i="1"/>
  <c r="BW303" i="1"/>
  <c r="BV303" i="1"/>
  <c r="BW302" i="1"/>
  <c r="BV302" i="1"/>
  <c r="BW301" i="1"/>
  <c r="BV301" i="1"/>
  <c r="BW300" i="1"/>
  <c r="BV300" i="1"/>
  <c r="BW299" i="1"/>
  <c r="BV299" i="1"/>
  <c r="BW298" i="1"/>
  <c r="BV298" i="1"/>
  <c r="BW297" i="1"/>
  <c r="BV297" i="1"/>
  <c r="BW295" i="1"/>
  <c r="BV295" i="1"/>
  <c r="BW294" i="1"/>
  <c r="BV294" i="1"/>
  <c r="BW293" i="1"/>
  <c r="BV293" i="1"/>
  <c r="BW292" i="1"/>
  <c r="BV292" i="1"/>
  <c r="BW290" i="1"/>
  <c r="BV290" i="1"/>
  <c r="BW289" i="1"/>
  <c r="BV289" i="1"/>
  <c r="BW288" i="1"/>
  <c r="BV288" i="1"/>
  <c r="BW287" i="1"/>
  <c r="BV287" i="1"/>
  <c r="BW286" i="1"/>
  <c r="BV286" i="1"/>
  <c r="BW284" i="1"/>
  <c r="BV284" i="1"/>
  <c r="BW283" i="1"/>
  <c r="BV283" i="1"/>
  <c r="BW281" i="1"/>
  <c r="BV281" i="1"/>
  <c r="BW279" i="1"/>
  <c r="BV279" i="1"/>
  <c r="BW278" i="1"/>
  <c r="BV278" i="1"/>
  <c r="BW277" i="1"/>
  <c r="BV277" i="1"/>
  <c r="BW276" i="1"/>
  <c r="BV276" i="1"/>
  <c r="BW274" i="1"/>
  <c r="BV274" i="1"/>
  <c r="BW273" i="1"/>
  <c r="BV273" i="1"/>
  <c r="BW272" i="1"/>
  <c r="BV272" i="1"/>
  <c r="BW271" i="1"/>
  <c r="BV271" i="1"/>
  <c r="BW270" i="1"/>
  <c r="BV270" i="1"/>
  <c r="BW269" i="1"/>
  <c r="BV269" i="1"/>
  <c r="BW267" i="1"/>
  <c r="BV267" i="1"/>
  <c r="BW266" i="1"/>
  <c r="BV266" i="1"/>
  <c r="BW265" i="1"/>
  <c r="BV265" i="1"/>
  <c r="BW264" i="1"/>
  <c r="BV264" i="1"/>
  <c r="BW262" i="1"/>
  <c r="BV262" i="1"/>
  <c r="BW261" i="1"/>
  <c r="BV261" i="1"/>
  <c r="BW260" i="1"/>
  <c r="BV260" i="1"/>
  <c r="BW259" i="1"/>
  <c r="BV259" i="1"/>
  <c r="BW258" i="1"/>
  <c r="BV258" i="1"/>
  <c r="BW257" i="1"/>
  <c r="BV257" i="1"/>
  <c r="BW256" i="1"/>
  <c r="BV256" i="1"/>
  <c r="BW255" i="1"/>
  <c r="BV255" i="1"/>
  <c r="BW254" i="1"/>
  <c r="BV254" i="1"/>
  <c r="BW253" i="1"/>
  <c r="BV253" i="1"/>
  <c r="BW252" i="1"/>
  <c r="BV252" i="1"/>
  <c r="BW251" i="1"/>
  <c r="BV251" i="1"/>
  <c r="BW250" i="1"/>
  <c r="BV250" i="1"/>
  <c r="BW248" i="1"/>
  <c r="BV248" i="1"/>
  <c r="BW246" i="1"/>
  <c r="BV246" i="1"/>
  <c r="BW245" i="1"/>
  <c r="BV245" i="1"/>
  <c r="BW244" i="1"/>
  <c r="BV244" i="1"/>
  <c r="BW243" i="1"/>
  <c r="BV243" i="1"/>
  <c r="BW242" i="1"/>
  <c r="BV242" i="1"/>
  <c r="BW241" i="1"/>
  <c r="BV241" i="1"/>
  <c r="BW142" i="1"/>
  <c r="BV142" i="1"/>
  <c r="BW240" i="1"/>
  <c r="BV240" i="1"/>
  <c r="BW239" i="1"/>
  <c r="BV239" i="1"/>
  <c r="BW238" i="1"/>
  <c r="BV238" i="1"/>
  <c r="BW237" i="1"/>
  <c r="BV237" i="1"/>
  <c r="BW236" i="1"/>
  <c r="BV236" i="1"/>
  <c r="BW234" i="1"/>
  <c r="BV234" i="1"/>
  <c r="BW233" i="1"/>
  <c r="BV233" i="1"/>
  <c r="BW232" i="1"/>
  <c r="BV232" i="1"/>
  <c r="BW231" i="1"/>
  <c r="BV231" i="1"/>
  <c r="BW229" i="1"/>
  <c r="BV229" i="1"/>
  <c r="BW228" i="1"/>
  <c r="BV228" i="1"/>
  <c r="BW227" i="1"/>
  <c r="BV227" i="1"/>
  <c r="BW226" i="1"/>
  <c r="BV226" i="1"/>
  <c r="BW225" i="1"/>
  <c r="BV225" i="1"/>
  <c r="BW224" i="1"/>
  <c r="BV224" i="1"/>
  <c r="BW223" i="1"/>
  <c r="BV223" i="1"/>
  <c r="BW222" i="1"/>
  <c r="BV222" i="1"/>
  <c r="BW221" i="1"/>
  <c r="BV221" i="1"/>
  <c r="BW220" i="1"/>
  <c r="BV220" i="1"/>
  <c r="BW219" i="1"/>
  <c r="BV219" i="1"/>
  <c r="BW218" i="1"/>
  <c r="BV218" i="1"/>
  <c r="BW217" i="1"/>
  <c r="BV217" i="1"/>
  <c r="BW216" i="1"/>
  <c r="BV216" i="1"/>
  <c r="BW215" i="1"/>
  <c r="BV215" i="1"/>
  <c r="BW214" i="1"/>
  <c r="BV214" i="1"/>
  <c r="BW213" i="1"/>
  <c r="BV213" i="1"/>
  <c r="BW212" i="1"/>
  <c r="BV212" i="1"/>
  <c r="BW211" i="1"/>
  <c r="BV211" i="1"/>
  <c r="BW210" i="1"/>
  <c r="BV210" i="1"/>
  <c r="BW209" i="1"/>
  <c r="BV209" i="1"/>
  <c r="BW208" i="1"/>
  <c r="BV208" i="1"/>
  <c r="BW207" i="1"/>
  <c r="BV207" i="1"/>
  <c r="BW206" i="1"/>
  <c r="BV206" i="1"/>
  <c r="BW205" i="1"/>
  <c r="BV205" i="1"/>
  <c r="BW204" i="1"/>
  <c r="BV204" i="1"/>
  <c r="BW203" i="1"/>
  <c r="BV203" i="1"/>
  <c r="BW200" i="1"/>
  <c r="BV200" i="1"/>
  <c r="BW199" i="1"/>
  <c r="BV199" i="1"/>
  <c r="BW198" i="1"/>
  <c r="BV198" i="1"/>
  <c r="BW197" i="1"/>
  <c r="BV197" i="1"/>
  <c r="BW196" i="1"/>
  <c r="BV196" i="1"/>
  <c r="BW195" i="1"/>
  <c r="BV195" i="1"/>
  <c r="BW194" i="1"/>
  <c r="BV194" i="1"/>
  <c r="BW193" i="1"/>
  <c r="BV193" i="1"/>
  <c r="BW192" i="1"/>
  <c r="BV192" i="1"/>
  <c r="BW191" i="1"/>
  <c r="BV191" i="1"/>
  <c r="BW190" i="1"/>
  <c r="BV190" i="1"/>
  <c r="BW187" i="1"/>
  <c r="BV187" i="1"/>
  <c r="BW186" i="1"/>
  <c r="BV186" i="1"/>
  <c r="BW185" i="1"/>
  <c r="BV185" i="1"/>
  <c r="BW184" i="1"/>
  <c r="BV184" i="1"/>
  <c r="BW183" i="1"/>
  <c r="BV183" i="1"/>
  <c r="BW182" i="1"/>
  <c r="BV182" i="1"/>
  <c r="BW181" i="1"/>
  <c r="BV181" i="1"/>
  <c r="BW180" i="1"/>
  <c r="BV180" i="1"/>
  <c r="BW178" i="1"/>
  <c r="BV178" i="1"/>
  <c r="BW174" i="1"/>
  <c r="BV174" i="1"/>
  <c r="BW172" i="1"/>
  <c r="BV172" i="1"/>
  <c r="BW171" i="1"/>
  <c r="BV171" i="1"/>
  <c r="BW170" i="1"/>
  <c r="BV170" i="1"/>
  <c r="BW169" i="1"/>
  <c r="BV169" i="1"/>
  <c r="BW168" i="1"/>
  <c r="BV168" i="1"/>
  <c r="BW167" i="1"/>
  <c r="BV167" i="1"/>
  <c r="BW165" i="1"/>
  <c r="BV165" i="1"/>
  <c r="BW164" i="1"/>
  <c r="BV164" i="1"/>
  <c r="BW163" i="1"/>
  <c r="BV163" i="1"/>
  <c r="BW162" i="1"/>
  <c r="BV162" i="1"/>
  <c r="BW161" i="1"/>
  <c r="BV161" i="1"/>
  <c r="BW160" i="1"/>
  <c r="BV160" i="1"/>
  <c r="BW159" i="1"/>
  <c r="BV159" i="1"/>
  <c r="BW158" i="1"/>
  <c r="BV158" i="1"/>
  <c r="BW157" i="1"/>
  <c r="BV157" i="1"/>
  <c r="BW156" i="1"/>
  <c r="BV156" i="1"/>
  <c r="BW155" i="1"/>
  <c r="BV155" i="1"/>
  <c r="BW154" i="1"/>
  <c r="BV154" i="1"/>
  <c r="BW153" i="1"/>
  <c r="BV153" i="1"/>
  <c r="BW152" i="1"/>
  <c r="BV152" i="1"/>
  <c r="BW151" i="1"/>
  <c r="BV151" i="1"/>
  <c r="BW150" i="1"/>
  <c r="BV150" i="1"/>
  <c r="BW149" i="1"/>
  <c r="BV149" i="1"/>
  <c r="BW148" i="1"/>
  <c r="BV148" i="1"/>
  <c r="BW147" i="1"/>
  <c r="BV147" i="1"/>
  <c r="BW146" i="1"/>
  <c r="BV146" i="1"/>
  <c r="BW145" i="1"/>
  <c r="BV145" i="1"/>
  <c r="BW144" i="1"/>
  <c r="BV144" i="1"/>
  <c r="BW141" i="1"/>
  <c r="BV141" i="1"/>
  <c r="BW140" i="1"/>
  <c r="BV140" i="1"/>
  <c r="BW139" i="1"/>
  <c r="BV139" i="1"/>
  <c r="BW137" i="1"/>
  <c r="BV137" i="1"/>
  <c r="BW136" i="1"/>
  <c r="BV136" i="1"/>
  <c r="BW135" i="1"/>
  <c r="BV135" i="1"/>
  <c r="BW134" i="1"/>
  <c r="BV134" i="1"/>
  <c r="BW132" i="1"/>
  <c r="BV132" i="1"/>
  <c r="BW131" i="1"/>
  <c r="BV131" i="1"/>
  <c r="BW130" i="1"/>
  <c r="BV130" i="1"/>
  <c r="BW128" i="1"/>
  <c r="BV128" i="1"/>
  <c r="BW127" i="1"/>
  <c r="BV127" i="1"/>
  <c r="BW125" i="1"/>
  <c r="BV125" i="1"/>
  <c r="BW124" i="1"/>
  <c r="BV124" i="1"/>
  <c r="BW123" i="1"/>
  <c r="BV123" i="1"/>
  <c r="BW122" i="1"/>
  <c r="BV122" i="1"/>
  <c r="BW442" i="1"/>
  <c r="BV442" i="1"/>
  <c r="BW121" i="1"/>
  <c r="BV121" i="1"/>
  <c r="BW120" i="1"/>
  <c r="BV120" i="1"/>
  <c r="BW119" i="1"/>
  <c r="BV119" i="1"/>
  <c r="BW118" i="1"/>
  <c r="BV118" i="1"/>
  <c r="BW117" i="1"/>
  <c r="BV117" i="1"/>
  <c r="BW116" i="1"/>
  <c r="BV116" i="1"/>
  <c r="BW115" i="1"/>
  <c r="BV115" i="1"/>
  <c r="BW113" i="1"/>
  <c r="BV113" i="1"/>
  <c r="BW111" i="1"/>
  <c r="BV111" i="1"/>
  <c r="BW109" i="1"/>
  <c r="BV109" i="1"/>
  <c r="BW108" i="1"/>
  <c r="BV108" i="1"/>
  <c r="BW107" i="1"/>
  <c r="BV107" i="1"/>
  <c r="BW106" i="1"/>
  <c r="BV106" i="1"/>
  <c r="BW105" i="1"/>
  <c r="BV105" i="1"/>
  <c r="BW104" i="1"/>
  <c r="BV104" i="1"/>
  <c r="BW103" i="1"/>
  <c r="BV103" i="1"/>
  <c r="BW102" i="1"/>
  <c r="BV102" i="1"/>
  <c r="BW101" i="1"/>
  <c r="BV101" i="1"/>
  <c r="BW100" i="1"/>
  <c r="BV100" i="1"/>
  <c r="BW99" i="1"/>
  <c r="BV99" i="1"/>
  <c r="BW96" i="1"/>
  <c r="BV96" i="1"/>
  <c r="BW95" i="1"/>
  <c r="BV95" i="1"/>
  <c r="BW94" i="1"/>
  <c r="BV94" i="1"/>
  <c r="BW93" i="1"/>
  <c r="BV93" i="1"/>
  <c r="BW92" i="1"/>
  <c r="BV92" i="1"/>
  <c r="BW91" i="1"/>
  <c r="BV91" i="1"/>
  <c r="BW90" i="1"/>
  <c r="BV90" i="1"/>
  <c r="BW89" i="1"/>
  <c r="BV89" i="1"/>
  <c r="BW87" i="1"/>
  <c r="BV87" i="1"/>
  <c r="BW88" i="1"/>
  <c r="BV88" i="1"/>
  <c r="BW86" i="1"/>
  <c r="BV86" i="1"/>
  <c r="BW85" i="1"/>
  <c r="BV85" i="1"/>
  <c r="BW83" i="1"/>
  <c r="BV83" i="1"/>
  <c r="BW82" i="1"/>
  <c r="BV82" i="1"/>
  <c r="BW81" i="1"/>
  <c r="BV81" i="1"/>
  <c r="BW79" i="1"/>
  <c r="BV79" i="1"/>
  <c r="BW78" i="1"/>
  <c r="BV78" i="1"/>
  <c r="BW77" i="1"/>
  <c r="BV77" i="1"/>
  <c r="BW76" i="1"/>
  <c r="BV76" i="1"/>
  <c r="BW75" i="1"/>
  <c r="BV75" i="1"/>
  <c r="BW74" i="1"/>
  <c r="BV74" i="1"/>
  <c r="BW73" i="1"/>
  <c r="BV73" i="1"/>
  <c r="BW72" i="1"/>
  <c r="BV72" i="1"/>
  <c r="BW71" i="1"/>
  <c r="BV71" i="1"/>
  <c r="BW70" i="1"/>
  <c r="BV70" i="1"/>
  <c r="BW68" i="1"/>
  <c r="BV68" i="1"/>
  <c r="BW67" i="1"/>
  <c r="BV67" i="1"/>
  <c r="BW66" i="1"/>
  <c r="BV66" i="1"/>
  <c r="BW65" i="1"/>
  <c r="BV65" i="1"/>
  <c r="BW64" i="1"/>
  <c r="BV64" i="1"/>
  <c r="BW63" i="1"/>
  <c r="BV63" i="1"/>
  <c r="BW62" i="1"/>
  <c r="BV62" i="1"/>
  <c r="BW61" i="1"/>
  <c r="BV61" i="1"/>
  <c r="BW60" i="1"/>
  <c r="BV60" i="1"/>
  <c r="BW59" i="1"/>
  <c r="BV59" i="1"/>
  <c r="BW58" i="1"/>
  <c r="BV58" i="1"/>
  <c r="BW57" i="1"/>
  <c r="BV57" i="1"/>
  <c r="BW56" i="1"/>
  <c r="BV56" i="1"/>
  <c r="BW55" i="1"/>
  <c r="BV55" i="1"/>
  <c r="BW53" i="1"/>
  <c r="BV53" i="1"/>
  <c r="BW50" i="1"/>
  <c r="BV50" i="1"/>
  <c r="BW49" i="1"/>
  <c r="BV49" i="1"/>
  <c r="BW48" i="1"/>
  <c r="BV48" i="1"/>
  <c r="BW46" i="1"/>
  <c r="BV46" i="1"/>
  <c r="BW44" i="1"/>
  <c r="BV44" i="1"/>
  <c r="BW43" i="1"/>
  <c r="BV43" i="1"/>
  <c r="BW42" i="1"/>
  <c r="BV42" i="1"/>
  <c r="BW41" i="1"/>
  <c r="BV41" i="1"/>
  <c r="BW40" i="1"/>
  <c r="BV40" i="1"/>
  <c r="BW39" i="1"/>
  <c r="BV39" i="1"/>
  <c r="BW38" i="1"/>
  <c r="BV38" i="1"/>
  <c r="BW37" i="1"/>
  <c r="BV37" i="1"/>
  <c r="BW36" i="1"/>
  <c r="BV36" i="1"/>
  <c r="BW35" i="1"/>
  <c r="BV35" i="1"/>
  <c r="BW34" i="1"/>
  <c r="BV34" i="1"/>
  <c r="BW33" i="1"/>
  <c r="BV33" i="1"/>
  <c r="BW32" i="1"/>
  <c r="BV32" i="1"/>
  <c r="BW31" i="1"/>
  <c r="BV31" i="1"/>
  <c r="BW30" i="1"/>
  <c r="BV30" i="1"/>
  <c r="BW29" i="1"/>
  <c r="BV29" i="1"/>
  <c r="BW28" i="1"/>
  <c r="BV28" i="1"/>
  <c r="BW26" i="1"/>
  <c r="BV26" i="1"/>
  <c r="BW25" i="1"/>
  <c r="BV25" i="1"/>
  <c r="BW24" i="1"/>
  <c r="BV24" i="1"/>
  <c r="BW22" i="1"/>
  <c r="BV22" i="1"/>
  <c r="BW19" i="1"/>
  <c r="BV19" i="1"/>
  <c r="AC922" i="1"/>
  <c r="AC920" i="1"/>
  <c r="CF920" i="1" s="1"/>
  <c r="AC919" i="1"/>
  <c r="AC918" i="1"/>
  <c r="AC917" i="1"/>
  <c r="AC916" i="1"/>
  <c r="AC914" i="1"/>
  <c r="AC913" i="1"/>
  <c r="AC910" i="1"/>
  <c r="AC909" i="1"/>
  <c r="AC908" i="1"/>
  <c r="AC905" i="1"/>
  <c r="AC904" i="1"/>
  <c r="AC902" i="1"/>
  <c r="AC901" i="1"/>
  <c r="AC900" i="1"/>
  <c r="AC899" i="1"/>
  <c r="AC898" i="1"/>
  <c r="CF898" i="1" s="1"/>
  <c r="AC897" i="1"/>
  <c r="AC896" i="1"/>
  <c r="AC895" i="1"/>
  <c r="AC894" i="1"/>
  <c r="AC893" i="1"/>
  <c r="AC890" i="1"/>
  <c r="CF890" i="1" s="1"/>
  <c r="AC889" i="1"/>
  <c r="AC887" i="1"/>
  <c r="AC885" i="1"/>
  <c r="AC884" i="1"/>
  <c r="AC882" i="1"/>
  <c r="AC881" i="1"/>
  <c r="AC880" i="1"/>
  <c r="AC879" i="1"/>
  <c r="AC878" i="1"/>
  <c r="AC877" i="1"/>
  <c r="AC876" i="1"/>
  <c r="AC875" i="1"/>
  <c r="CF875" i="1" s="1"/>
  <c r="AC874" i="1"/>
  <c r="AC871" i="1"/>
  <c r="AC870" i="1"/>
  <c r="AC869" i="1"/>
  <c r="AC868" i="1"/>
  <c r="AC867" i="1"/>
  <c r="AC866" i="1"/>
  <c r="AC865" i="1"/>
  <c r="AC864" i="1"/>
  <c r="AC863" i="1"/>
  <c r="AC862" i="1"/>
  <c r="AC861" i="1"/>
  <c r="AC860" i="1"/>
  <c r="AC859" i="1"/>
  <c r="AC503" i="1"/>
  <c r="AC858" i="1"/>
  <c r="CF858" i="1" s="1"/>
  <c r="AC857" i="1"/>
  <c r="AC856" i="1"/>
  <c r="AC854" i="1"/>
  <c r="CF854" i="1" s="1"/>
  <c r="AC850" i="1"/>
  <c r="CF850" i="1" s="1"/>
  <c r="AC849" i="1"/>
  <c r="AC848" i="1"/>
  <c r="AC847" i="1"/>
  <c r="AC846" i="1"/>
  <c r="AC845" i="1"/>
  <c r="AC844" i="1"/>
  <c r="AC842" i="1"/>
  <c r="AC841" i="1"/>
  <c r="AC838" i="1"/>
  <c r="AC836" i="1"/>
  <c r="AC835" i="1"/>
  <c r="AC834" i="1"/>
  <c r="AC833" i="1"/>
  <c r="AC832" i="1"/>
  <c r="AC831" i="1"/>
  <c r="AC830" i="1"/>
  <c r="AC829" i="1"/>
  <c r="AC828" i="1"/>
  <c r="AC827" i="1"/>
  <c r="AC826" i="1"/>
  <c r="AC825" i="1"/>
  <c r="AC823" i="1"/>
  <c r="AC821" i="1"/>
  <c r="AC820" i="1"/>
  <c r="CF820" i="1" s="1"/>
  <c r="AC819" i="1"/>
  <c r="AC818" i="1"/>
  <c r="AC816" i="1"/>
  <c r="AC815" i="1"/>
  <c r="AC814" i="1"/>
  <c r="AC813" i="1"/>
  <c r="AC812" i="1"/>
  <c r="CF812" i="1" s="1"/>
  <c r="AC811" i="1"/>
  <c r="AC810" i="1"/>
  <c r="AC809" i="1"/>
  <c r="CF809" i="1" s="1"/>
  <c r="AC808" i="1"/>
  <c r="CF808" i="1" s="1"/>
  <c r="AC806" i="1"/>
  <c r="AC805" i="1"/>
  <c r="AC804" i="1"/>
  <c r="CF804" i="1" s="1"/>
  <c r="AC803" i="1"/>
  <c r="AC801" i="1"/>
  <c r="AC800" i="1"/>
  <c r="AC799" i="1"/>
  <c r="AC798" i="1"/>
  <c r="AC796" i="1"/>
  <c r="AC795" i="1"/>
  <c r="AC794" i="1"/>
  <c r="AC793" i="1"/>
  <c r="CF793" i="1" s="1"/>
  <c r="AC792" i="1"/>
  <c r="AC791" i="1"/>
  <c r="AC790" i="1"/>
  <c r="AC789" i="1"/>
  <c r="AC788" i="1"/>
  <c r="AC784" i="1"/>
  <c r="AC782" i="1"/>
  <c r="AC780" i="1"/>
  <c r="AC779" i="1"/>
  <c r="AC778" i="1"/>
  <c r="CF778" i="1" s="1"/>
  <c r="AC777" i="1"/>
  <c r="CF777" i="1" s="1"/>
  <c r="AC776" i="1"/>
  <c r="AC775" i="1"/>
  <c r="AC774" i="1"/>
  <c r="CF774" i="1" s="1"/>
  <c r="AC773" i="1"/>
  <c r="AC771" i="1"/>
  <c r="AC770" i="1"/>
  <c r="AC769" i="1"/>
  <c r="CF769" i="1" s="1"/>
  <c r="AC768" i="1"/>
  <c r="AC765" i="1"/>
  <c r="AC764" i="1"/>
  <c r="AC763" i="1"/>
  <c r="AC762" i="1"/>
  <c r="AC761" i="1"/>
  <c r="AC760" i="1"/>
  <c r="AC757" i="1"/>
  <c r="AC756" i="1"/>
  <c r="AC755" i="1"/>
  <c r="AC754" i="1"/>
  <c r="AC753" i="1"/>
  <c r="AC752" i="1"/>
  <c r="AC750" i="1"/>
  <c r="AC748" i="1"/>
  <c r="AC747" i="1"/>
  <c r="AC746" i="1"/>
  <c r="CF746" i="1" s="1"/>
  <c r="AC745" i="1"/>
  <c r="AC744" i="1"/>
  <c r="AC743" i="1"/>
  <c r="CF743" i="1" s="1"/>
  <c r="AC742" i="1"/>
  <c r="AC741" i="1"/>
  <c r="AC740" i="1"/>
  <c r="AC739" i="1"/>
  <c r="AC738" i="1"/>
  <c r="AC737" i="1"/>
  <c r="AC736" i="1"/>
  <c r="AC735" i="1"/>
  <c r="AC734" i="1"/>
  <c r="AC733" i="1"/>
  <c r="AC732" i="1"/>
  <c r="AC731" i="1"/>
  <c r="CF731" i="1" s="1"/>
  <c r="AC728" i="1"/>
  <c r="AC727" i="1"/>
  <c r="AC726" i="1"/>
  <c r="AC724" i="1"/>
  <c r="AC723" i="1"/>
  <c r="CF723" i="1" s="1"/>
  <c r="AC721" i="1"/>
  <c r="AC719" i="1"/>
  <c r="AC718" i="1"/>
  <c r="AC717" i="1"/>
  <c r="AC715" i="1"/>
  <c r="AC713" i="1"/>
  <c r="AC712" i="1"/>
  <c r="AC710" i="1"/>
  <c r="AC708" i="1"/>
  <c r="CF708" i="1" s="1"/>
  <c r="AC707" i="1"/>
  <c r="AC706" i="1"/>
  <c r="AC705" i="1"/>
  <c r="AC704" i="1"/>
  <c r="AC701" i="1"/>
  <c r="AC698" i="1"/>
  <c r="AC696" i="1"/>
  <c r="AC695" i="1"/>
  <c r="AC694" i="1"/>
  <c r="AC692" i="1"/>
  <c r="AC691" i="1"/>
  <c r="AC690" i="1"/>
  <c r="AC689" i="1"/>
  <c r="AC688" i="1"/>
  <c r="AC686" i="1"/>
  <c r="AC685" i="1"/>
  <c r="AC684" i="1"/>
  <c r="AC683" i="1"/>
  <c r="AC682" i="1"/>
  <c r="AC681" i="1"/>
  <c r="AC680" i="1"/>
  <c r="AC679" i="1"/>
  <c r="AC678" i="1"/>
  <c r="AC677" i="1"/>
  <c r="AC676" i="1"/>
  <c r="AC675" i="1"/>
  <c r="CF675" i="1" s="1"/>
  <c r="AC673" i="1"/>
  <c r="AC672" i="1"/>
  <c r="AC670" i="1"/>
  <c r="AC669" i="1"/>
  <c r="AC668" i="1"/>
  <c r="AC667" i="1"/>
  <c r="AC666" i="1"/>
  <c r="AC665" i="1"/>
  <c r="AC664" i="1"/>
  <c r="AC663" i="1"/>
  <c r="AC662" i="1"/>
  <c r="AC661" i="1"/>
  <c r="AC660" i="1"/>
  <c r="AC659" i="1"/>
  <c r="AC658" i="1"/>
  <c r="AC657" i="1"/>
  <c r="AC656" i="1"/>
  <c r="AC655" i="1"/>
  <c r="AC654" i="1"/>
  <c r="AC653" i="1"/>
  <c r="AC652" i="1"/>
  <c r="AC651" i="1"/>
  <c r="AC650" i="1"/>
  <c r="AC648" i="1"/>
  <c r="AC647" i="1"/>
  <c r="AC645" i="1"/>
  <c r="AC643" i="1"/>
  <c r="AC641" i="1"/>
  <c r="AC640" i="1"/>
  <c r="CF640" i="1" s="1"/>
  <c r="AC639" i="1"/>
  <c r="AC638" i="1"/>
  <c r="AC637" i="1"/>
  <c r="AC636" i="1"/>
  <c r="AC634" i="1"/>
  <c r="AC633" i="1"/>
  <c r="AC631" i="1"/>
  <c r="AC629" i="1"/>
  <c r="AC628" i="1"/>
  <c r="AC626" i="1"/>
  <c r="CF626" i="1" s="1"/>
  <c r="AC625" i="1"/>
  <c r="AC624" i="1"/>
  <c r="AC622" i="1"/>
  <c r="AC621" i="1"/>
  <c r="AC620" i="1"/>
  <c r="AC619" i="1"/>
  <c r="AC618" i="1"/>
  <c r="AC617" i="1"/>
  <c r="AC616" i="1"/>
  <c r="AC615" i="1"/>
  <c r="CF615" i="1" s="1"/>
  <c r="AC613" i="1"/>
  <c r="AC611" i="1"/>
  <c r="AC609" i="1"/>
  <c r="AC607" i="1"/>
  <c r="AC605" i="1"/>
  <c r="AC604" i="1"/>
  <c r="AC603" i="1"/>
  <c r="AC602" i="1"/>
  <c r="AC601" i="1"/>
  <c r="AC600" i="1"/>
  <c r="AC599" i="1"/>
  <c r="AC594" i="1"/>
  <c r="AC592" i="1"/>
  <c r="AC591" i="1"/>
  <c r="AC590" i="1"/>
  <c r="CF590" i="1" s="1"/>
  <c r="AC588" i="1"/>
  <c r="AC587" i="1"/>
  <c r="AC586" i="1"/>
  <c r="AC585" i="1"/>
  <c r="AC584" i="1"/>
  <c r="AC583" i="1"/>
  <c r="AC581" i="1"/>
  <c r="AC580" i="1"/>
  <c r="AC579" i="1"/>
  <c r="AC577" i="1"/>
  <c r="AC575" i="1"/>
  <c r="AC574" i="1"/>
  <c r="AC573" i="1"/>
  <c r="AC572" i="1"/>
  <c r="AC571" i="1"/>
  <c r="AC570" i="1"/>
  <c r="AC569" i="1"/>
  <c r="CF569" i="1" s="1"/>
  <c r="AC567" i="1"/>
  <c r="AC564" i="1"/>
  <c r="AC563" i="1"/>
  <c r="AC562" i="1"/>
  <c r="AC559" i="1"/>
  <c r="AC558" i="1"/>
  <c r="AC557" i="1"/>
  <c r="AC556" i="1"/>
  <c r="CF556" i="1" s="1"/>
  <c r="AC555" i="1"/>
  <c r="AC554" i="1"/>
  <c r="AC553" i="1"/>
  <c r="AC552" i="1"/>
  <c r="CF552" i="1" s="1"/>
  <c r="AC551" i="1"/>
  <c r="AC550" i="1"/>
  <c r="AC549" i="1"/>
  <c r="AC548" i="1"/>
  <c r="AC546" i="1"/>
  <c r="AC545" i="1"/>
  <c r="AC543" i="1"/>
  <c r="AC542" i="1"/>
  <c r="AC541" i="1"/>
  <c r="AC540" i="1"/>
  <c r="AC539" i="1"/>
  <c r="AC538" i="1"/>
  <c r="AC537" i="1"/>
  <c r="AC536" i="1"/>
  <c r="CF536" i="1" s="1"/>
  <c r="AC535" i="1"/>
  <c r="AC534" i="1"/>
  <c r="AC532" i="1"/>
  <c r="AC531" i="1"/>
  <c r="AC530" i="1"/>
  <c r="AC529" i="1"/>
  <c r="AC528" i="1"/>
  <c r="AC527" i="1"/>
  <c r="AC526" i="1"/>
  <c r="AC525" i="1"/>
  <c r="AC524" i="1"/>
  <c r="AC523" i="1"/>
  <c r="AC522" i="1"/>
  <c r="AC521" i="1"/>
  <c r="AC520" i="1"/>
  <c r="AC519" i="1"/>
  <c r="AC518" i="1"/>
  <c r="AC517" i="1"/>
  <c r="AC514" i="1"/>
  <c r="AC513" i="1"/>
  <c r="AC512" i="1"/>
  <c r="AC510" i="1"/>
  <c r="AC509" i="1"/>
  <c r="AC508" i="1"/>
  <c r="CF508" i="1" s="1"/>
  <c r="AC507" i="1"/>
  <c r="AC506" i="1"/>
  <c r="AC505" i="1"/>
  <c r="AC502" i="1"/>
  <c r="AC501" i="1"/>
  <c r="AC500" i="1"/>
  <c r="AC499" i="1"/>
  <c r="AC498" i="1"/>
  <c r="AC497" i="1"/>
  <c r="AC496" i="1"/>
  <c r="AC495" i="1"/>
  <c r="AC493" i="1"/>
  <c r="AC492" i="1"/>
  <c r="AC491" i="1"/>
  <c r="AC489" i="1"/>
  <c r="AC487" i="1"/>
  <c r="AC484" i="1"/>
  <c r="AC407" i="1"/>
  <c r="AC406" i="1"/>
  <c r="AC408" i="1"/>
  <c r="AC482" i="1"/>
  <c r="AC481" i="1"/>
  <c r="CF481" i="1" s="1"/>
  <c r="AC478" i="1"/>
  <c r="AC475" i="1"/>
  <c r="CF475" i="1" s="1"/>
  <c r="AC474" i="1"/>
  <c r="AC473" i="1"/>
  <c r="AC472" i="1"/>
  <c r="CF472" i="1" s="1"/>
  <c r="BM472" i="1" s="1"/>
  <c r="AC560" i="1"/>
  <c r="AC471" i="1"/>
  <c r="AC470" i="1"/>
  <c r="AC469" i="1"/>
  <c r="AC468" i="1"/>
  <c r="AC466" i="1"/>
  <c r="AC464" i="1"/>
  <c r="AC463" i="1"/>
  <c r="AC462" i="1"/>
  <c r="AC461" i="1"/>
  <c r="AC460" i="1"/>
  <c r="AC459" i="1"/>
  <c r="AC458" i="1"/>
  <c r="AC457" i="1"/>
  <c r="AC456" i="1"/>
  <c r="AC455" i="1"/>
  <c r="CF455" i="1" s="1"/>
  <c r="AC454" i="1"/>
  <c r="AC453" i="1"/>
  <c r="AC451" i="1"/>
  <c r="AC450" i="1"/>
  <c r="AC448" i="1"/>
  <c r="AC447" i="1"/>
  <c r="AC446" i="1"/>
  <c r="AC445" i="1"/>
  <c r="AC444" i="1"/>
  <c r="AC443" i="1"/>
  <c r="AC441" i="1"/>
  <c r="AC440" i="1"/>
  <c r="AC437" i="1"/>
  <c r="AC436" i="1"/>
  <c r="AC435" i="1"/>
  <c r="AC433" i="1"/>
  <c r="AC431" i="1"/>
  <c r="AC430" i="1"/>
  <c r="CF430" i="1" s="1"/>
  <c r="AC429" i="1"/>
  <c r="AC428" i="1"/>
  <c r="AC427" i="1"/>
  <c r="AC426" i="1"/>
  <c r="CF426" i="1" s="1"/>
  <c r="AC425" i="1"/>
  <c r="AC423" i="1"/>
  <c r="AC422" i="1"/>
  <c r="AC421" i="1"/>
  <c r="AC419" i="1"/>
  <c r="AC418" i="1"/>
  <c r="AC417" i="1"/>
  <c r="AC416" i="1"/>
  <c r="AC415" i="1"/>
  <c r="CF415" i="1" s="1"/>
  <c r="AC414" i="1"/>
  <c r="AC412" i="1"/>
  <c r="AC409" i="1"/>
  <c r="AC405" i="1"/>
  <c r="AC404" i="1"/>
  <c r="AC403" i="1"/>
  <c r="AC402" i="1"/>
  <c r="AC401" i="1"/>
  <c r="AC400" i="1"/>
  <c r="AC399" i="1"/>
  <c r="AC398" i="1"/>
  <c r="AC397" i="1"/>
  <c r="AC394" i="1"/>
  <c r="AC392" i="1"/>
  <c r="AC391" i="1"/>
  <c r="AC390" i="1"/>
  <c r="AC389" i="1"/>
  <c r="CF389" i="1" s="1"/>
  <c r="AC388" i="1"/>
  <c r="AC387" i="1"/>
  <c r="AC386" i="1"/>
  <c r="AC385" i="1"/>
  <c r="AC384" i="1"/>
  <c r="AC383" i="1"/>
  <c r="AC381" i="1"/>
  <c r="AC380" i="1"/>
  <c r="CF380" i="1" s="1"/>
  <c r="AC379" i="1"/>
  <c r="AC378" i="1"/>
  <c r="AC377" i="1"/>
  <c r="AC376" i="1"/>
  <c r="AC374" i="1"/>
  <c r="AC373" i="1"/>
  <c r="AC372" i="1"/>
  <c r="AC371" i="1"/>
  <c r="AC370" i="1"/>
  <c r="AC369" i="1"/>
  <c r="AC368" i="1"/>
  <c r="AC367" i="1"/>
  <c r="AC365" i="1"/>
  <c r="AC363" i="1"/>
  <c r="AC362" i="1"/>
  <c r="AC361" i="1"/>
  <c r="AC360" i="1"/>
  <c r="AC359" i="1"/>
  <c r="AC358" i="1"/>
  <c r="AC357" i="1"/>
  <c r="AC356" i="1"/>
  <c r="AC355" i="1"/>
  <c r="CF355" i="1" s="1"/>
  <c r="AC354" i="1"/>
  <c r="AC351" i="1"/>
  <c r="AC350" i="1"/>
  <c r="AC349" i="1"/>
  <c r="CF349" i="1" s="1"/>
  <c r="AC348" i="1"/>
  <c r="AC347" i="1"/>
  <c r="AC345" i="1"/>
  <c r="AC344" i="1"/>
  <c r="AC343" i="1"/>
  <c r="AC342" i="1"/>
  <c r="AC340" i="1"/>
  <c r="AC339" i="1"/>
  <c r="AC338" i="1"/>
  <c r="AC336" i="1"/>
  <c r="CF336" i="1" s="1"/>
  <c r="AC335" i="1"/>
  <c r="AC334" i="1"/>
  <c r="AC333" i="1"/>
  <c r="AC332" i="1"/>
  <c r="CF332" i="1" s="1"/>
  <c r="AC330" i="1"/>
  <c r="AC329" i="1"/>
  <c r="AC328" i="1"/>
  <c r="CF328" i="1" s="1"/>
  <c r="AC327" i="1"/>
  <c r="AC326" i="1"/>
  <c r="CF326" i="1" s="1"/>
  <c r="AC325" i="1"/>
  <c r="AC324" i="1"/>
  <c r="CF324" i="1" s="1"/>
  <c r="AC323" i="1"/>
  <c r="AC322" i="1"/>
  <c r="AC321" i="1"/>
  <c r="AC320" i="1"/>
  <c r="AC319" i="1"/>
  <c r="AC317" i="1"/>
  <c r="AC316" i="1"/>
  <c r="AC315" i="1"/>
  <c r="AC314" i="1"/>
  <c r="CF314" i="1" s="1"/>
  <c r="AC313" i="1"/>
  <c r="AC312" i="1"/>
  <c r="AC311" i="1"/>
  <c r="AC310" i="1"/>
  <c r="AC309" i="1"/>
  <c r="AC308" i="1"/>
  <c r="AC307" i="1"/>
  <c r="AC306" i="1"/>
  <c r="AC305" i="1"/>
  <c r="CF305" i="1" s="1"/>
  <c r="AC304" i="1"/>
  <c r="AC303" i="1"/>
  <c r="AC302" i="1"/>
  <c r="AC301" i="1"/>
  <c r="CF301" i="1" s="1"/>
  <c r="AC300" i="1"/>
  <c r="AC299" i="1"/>
  <c r="AC298" i="1"/>
  <c r="AC297" i="1"/>
  <c r="CF297" i="1" s="1"/>
  <c r="AC295" i="1"/>
  <c r="AC294" i="1"/>
  <c r="AC293" i="1"/>
  <c r="AC292" i="1"/>
  <c r="AC290" i="1"/>
  <c r="AC289" i="1"/>
  <c r="AC288" i="1"/>
  <c r="CF288" i="1" s="1"/>
  <c r="AC287" i="1"/>
  <c r="AC286" i="1"/>
  <c r="AC284" i="1"/>
  <c r="AC283" i="1"/>
  <c r="AC281" i="1"/>
  <c r="AC279" i="1"/>
  <c r="AC278" i="1"/>
  <c r="AC277" i="1"/>
  <c r="AC276" i="1"/>
  <c r="AC274" i="1"/>
  <c r="AC273" i="1"/>
  <c r="AC272" i="1"/>
  <c r="AC271" i="1"/>
  <c r="AC270" i="1"/>
  <c r="AC269" i="1"/>
  <c r="AC267" i="1"/>
  <c r="AC266" i="1"/>
  <c r="AC265" i="1"/>
  <c r="CF265" i="1" s="1"/>
  <c r="AC264" i="1"/>
  <c r="AC262" i="1"/>
  <c r="AC261" i="1"/>
  <c r="AC260" i="1"/>
  <c r="CF260" i="1" s="1"/>
  <c r="AC259" i="1"/>
  <c r="AC258" i="1"/>
  <c r="AC257" i="1"/>
  <c r="AC256" i="1"/>
  <c r="AC255" i="1"/>
  <c r="AC254" i="1"/>
  <c r="AC253" i="1"/>
  <c r="AC252" i="1"/>
  <c r="AC251" i="1"/>
  <c r="AC250" i="1"/>
  <c r="AC248" i="1"/>
  <c r="AC246" i="1"/>
  <c r="CF246" i="1" s="1"/>
  <c r="AC245" i="1"/>
  <c r="AC244" i="1"/>
  <c r="AC243" i="1"/>
  <c r="CF243" i="1" s="1"/>
  <c r="AC242" i="1"/>
  <c r="AC241" i="1"/>
  <c r="CF241" i="1" s="1"/>
  <c r="AC142" i="1"/>
  <c r="AC240" i="1"/>
  <c r="CF240" i="1" s="1"/>
  <c r="AC239" i="1"/>
  <c r="AC238" i="1"/>
  <c r="AC237" i="1"/>
  <c r="AC236" i="1"/>
  <c r="AC234" i="1"/>
  <c r="AC233" i="1"/>
  <c r="AC232" i="1"/>
  <c r="AC231" i="1"/>
  <c r="CF231" i="1" s="1"/>
  <c r="AC229" i="1"/>
  <c r="AC228" i="1"/>
  <c r="CF228" i="1" s="1"/>
  <c r="BM228" i="1" s="1"/>
  <c r="AC227" i="1"/>
  <c r="AC226" i="1"/>
  <c r="AC225" i="1"/>
  <c r="AC224" i="1"/>
  <c r="AC223" i="1"/>
  <c r="AC222" i="1"/>
  <c r="CF222" i="1" s="1"/>
  <c r="AC221" i="1"/>
  <c r="AC220" i="1"/>
  <c r="CF220" i="1" s="1"/>
  <c r="AC219" i="1"/>
  <c r="AC218" i="1"/>
  <c r="AC217" i="1"/>
  <c r="CF217" i="1" s="1"/>
  <c r="AC216" i="1"/>
  <c r="AC215" i="1"/>
  <c r="AC214" i="1"/>
  <c r="AC213" i="1"/>
  <c r="CF213" i="1" s="1"/>
  <c r="AC212" i="1"/>
  <c r="AC211" i="1"/>
  <c r="AC210" i="1"/>
  <c r="CF210" i="1" s="1"/>
  <c r="AC209" i="1"/>
  <c r="AC208" i="1"/>
  <c r="CF208" i="1" s="1"/>
  <c r="AC207" i="1"/>
  <c r="AC206" i="1"/>
  <c r="CF206" i="1" s="1"/>
  <c r="AC205" i="1"/>
  <c r="AC204" i="1"/>
  <c r="AC203" i="1"/>
  <c r="AC200" i="1"/>
  <c r="AC199" i="1"/>
  <c r="AC198" i="1"/>
  <c r="AC197" i="1"/>
  <c r="AC196" i="1"/>
  <c r="AC195" i="1"/>
  <c r="AC194" i="1"/>
  <c r="CF194" i="1" s="1"/>
  <c r="AC193" i="1"/>
  <c r="AC192" i="1"/>
  <c r="AC191" i="1"/>
  <c r="AC190" i="1"/>
  <c r="AC187" i="1"/>
  <c r="CF187" i="1" s="1"/>
  <c r="AC186" i="1"/>
  <c r="AC185" i="1"/>
  <c r="AC184" i="1"/>
  <c r="AC183" i="1"/>
  <c r="AC182" i="1"/>
  <c r="AC181" i="1"/>
  <c r="AC180" i="1"/>
  <c r="AC178" i="1"/>
  <c r="AC174" i="1"/>
  <c r="CF174" i="1" s="1"/>
  <c r="BM174" i="1" s="1"/>
  <c r="AC172" i="1"/>
  <c r="AC171" i="1"/>
  <c r="AC170" i="1"/>
  <c r="AC169" i="1"/>
  <c r="AC168" i="1"/>
  <c r="AC167" i="1"/>
  <c r="AC165" i="1"/>
  <c r="AC164" i="1"/>
  <c r="CF164" i="1" s="1"/>
  <c r="AC163" i="1"/>
  <c r="AC162" i="1"/>
  <c r="AC161" i="1"/>
  <c r="AC160" i="1"/>
  <c r="CF160" i="1" s="1"/>
  <c r="AC159" i="1"/>
  <c r="AC158" i="1"/>
  <c r="CF158" i="1" s="1"/>
  <c r="AC157" i="1"/>
  <c r="AC156" i="1"/>
  <c r="CF156" i="1" s="1"/>
  <c r="AC155" i="1"/>
  <c r="AC154" i="1"/>
  <c r="AC153" i="1"/>
  <c r="CF153" i="1" s="1"/>
  <c r="AC152" i="1"/>
  <c r="CF152" i="1" s="1"/>
  <c r="AC151" i="1"/>
  <c r="CF151" i="1" s="1"/>
  <c r="AC150" i="1"/>
  <c r="AC149" i="1"/>
  <c r="CF149" i="1" s="1"/>
  <c r="AC148" i="1"/>
  <c r="CF148" i="1" s="1"/>
  <c r="AC147" i="1"/>
  <c r="AC146" i="1"/>
  <c r="AC145" i="1"/>
  <c r="AC144" i="1"/>
  <c r="AC141" i="1"/>
  <c r="AC140" i="1"/>
  <c r="CF140" i="1" s="1"/>
  <c r="AC139" i="1"/>
  <c r="AC137" i="1"/>
  <c r="CF137" i="1" s="1"/>
  <c r="AC136" i="1"/>
  <c r="AC135" i="1"/>
  <c r="CF135" i="1" s="1"/>
  <c r="AC134" i="1"/>
  <c r="CF134" i="1" s="1"/>
  <c r="AC132" i="1"/>
  <c r="CF132" i="1" s="1"/>
  <c r="AC131" i="1"/>
  <c r="CF131" i="1" s="1"/>
  <c r="AC130" i="1"/>
  <c r="AC128" i="1"/>
  <c r="CF128" i="1" s="1"/>
  <c r="AC127" i="1"/>
  <c r="CF127" i="1" s="1"/>
  <c r="AC125" i="1"/>
  <c r="AC124" i="1"/>
  <c r="CF124" i="1" s="1"/>
  <c r="AC123" i="1"/>
  <c r="CF123" i="1" s="1"/>
  <c r="AC122" i="1"/>
  <c r="AC442" i="1"/>
  <c r="CF442" i="1" s="1"/>
  <c r="BM442" i="1" s="1"/>
  <c r="AC121" i="1"/>
  <c r="AC120" i="1"/>
  <c r="AC119" i="1"/>
  <c r="AC118" i="1"/>
  <c r="AC117" i="1"/>
  <c r="AC116" i="1"/>
  <c r="AC115" i="1"/>
  <c r="AC113" i="1"/>
  <c r="AC111" i="1"/>
  <c r="AC109" i="1"/>
  <c r="AC108" i="1"/>
  <c r="AC107" i="1"/>
  <c r="CF107" i="1" s="1"/>
  <c r="AC106" i="1"/>
  <c r="AC105" i="1"/>
  <c r="AC104" i="1"/>
  <c r="AC103" i="1"/>
  <c r="CF103" i="1" s="1"/>
  <c r="AC102" i="1"/>
  <c r="AC101" i="1"/>
  <c r="AC100" i="1"/>
  <c r="AC99" i="1"/>
  <c r="CF99" i="1" s="1"/>
  <c r="AC96" i="1"/>
  <c r="AC95" i="1"/>
  <c r="AC94" i="1"/>
  <c r="CF94" i="1" s="1"/>
  <c r="AC93" i="1"/>
  <c r="AC92" i="1"/>
  <c r="AC91" i="1"/>
  <c r="CF91" i="1" s="1"/>
  <c r="CF90" i="1"/>
  <c r="AC89" i="1"/>
  <c r="CF89" i="1" s="1"/>
  <c r="AC87" i="1"/>
  <c r="AC88" i="1"/>
  <c r="CF88" i="1" s="1"/>
  <c r="AC86" i="1"/>
  <c r="AC85" i="1"/>
  <c r="AC83" i="1"/>
  <c r="AC82" i="1"/>
  <c r="CF82" i="1" s="1"/>
  <c r="AC81" i="1"/>
  <c r="AC79" i="1"/>
  <c r="CF79" i="1" s="1"/>
  <c r="AC78" i="1"/>
  <c r="AC77" i="1"/>
  <c r="AC76" i="1"/>
  <c r="CF76" i="1" s="1"/>
  <c r="AC75" i="1"/>
  <c r="CF75" i="1" s="1"/>
  <c r="AC74" i="1"/>
  <c r="AC73" i="1"/>
  <c r="AC72" i="1"/>
  <c r="CF72" i="1" s="1"/>
  <c r="AC71" i="1"/>
  <c r="AC70" i="1"/>
  <c r="AC68" i="1"/>
  <c r="CF68" i="1" s="1"/>
  <c r="AC67" i="1"/>
  <c r="AC66" i="1"/>
  <c r="AC65" i="1"/>
  <c r="AC64" i="1"/>
  <c r="CF64" i="1" s="1"/>
  <c r="AC63" i="1"/>
  <c r="AC62" i="1"/>
  <c r="AC61" i="1"/>
  <c r="CF61" i="1" s="1"/>
  <c r="AC60" i="1"/>
  <c r="AC59" i="1"/>
  <c r="AC58" i="1"/>
  <c r="AC57" i="1"/>
  <c r="AC56" i="1"/>
  <c r="AC55" i="1"/>
  <c r="AC53" i="1"/>
  <c r="AC50" i="1"/>
  <c r="CF50" i="1" s="1"/>
  <c r="AC49" i="1"/>
  <c r="CF49" i="1" s="1"/>
  <c r="AC48" i="1"/>
  <c r="CF48" i="1" s="1"/>
  <c r="AC46" i="1"/>
  <c r="AC44" i="1"/>
  <c r="AC43" i="1"/>
  <c r="CF43" i="1" s="1"/>
  <c r="AC42" i="1"/>
  <c r="AC41" i="1"/>
  <c r="CF41" i="1" s="1"/>
  <c r="AC40" i="1"/>
  <c r="AC39" i="1"/>
  <c r="CF39" i="1" s="1"/>
  <c r="AC38" i="1"/>
  <c r="AC37" i="1"/>
  <c r="CF37" i="1" s="1"/>
  <c r="AC36" i="1"/>
  <c r="CF36" i="1" s="1"/>
  <c r="AC35" i="1"/>
  <c r="CF35" i="1" s="1"/>
  <c r="AC34" i="1"/>
  <c r="CF34" i="1" s="1"/>
  <c r="AC33" i="1"/>
  <c r="AC32" i="1"/>
  <c r="CF32" i="1" s="1"/>
  <c r="AC31" i="1"/>
  <c r="AC30" i="1"/>
  <c r="CF30" i="1" s="1"/>
  <c r="AC29" i="1"/>
  <c r="CF29" i="1" s="1"/>
  <c r="AC28" i="1"/>
  <c r="CF28" i="1" s="1"/>
  <c r="AC26" i="1"/>
  <c r="AC25" i="1"/>
  <c r="CF25" i="1" s="1"/>
  <c r="AC24" i="1"/>
  <c r="CF24" i="1" s="1"/>
  <c r="AC22" i="1"/>
  <c r="CF22" i="1" s="1"/>
  <c r="AC19" i="1"/>
  <c r="CB704" i="1"/>
  <c r="CA922" i="1"/>
  <c r="CA920" i="1"/>
  <c r="CA919" i="1"/>
  <c r="CA918" i="1"/>
  <c r="CA917" i="1"/>
  <c r="CA916" i="1"/>
  <c r="CA914" i="1"/>
  <c r="CA913" i="1"/>
  <c r="CA910" i="1"/>
  <c r="CA909" i="1"/>
  <c r="CA908" i="1"/>
  <c r="CA905" i="1"/>
  <c r="CA904" i="1"/>
  <c r="CA902" i="1"/>
  <c r="CA901" i="1"/>
  <c r="CA900" i="1"/>
  <c r="CA899" i="1"/>
  <c r="CA898" i="1"/>
  <c r="CA897" i="1"/>
  <c r="CA896" i="1"/>
  <c r="CA895" i="1"/>
  <c r="CA894" i="1"/>
  <c r="CA893" i="1"/>
  <c r="CA890" i="1"/>
  <c r="CA889" i="1"/>
  <c r="CA887" i="1"/>
  <c r="CA885" i="1"/>
  <c r="CA884" i="1"/>
  <c r="CA882" i="1"/>
  <c r="CA881" i="1"/>
  <c r="CA880" i="1"/>
  <c r="CA879" i="1"/>
  <c r="CA878" i="1"/>
  <c r="CA877" i="1"/>
  <c r="CA876" i="1"/>
  <c r="CA875" i="1"/>
  <c r="CA874" i="1"/>
  <c r="CA871" i="1"/>
  <c r="CA870" i="1"/>
  <c r="CA869" i="1"/>
  <c r="CA868" i="1"/>
  <c r="CA867" i="1"/>
  <c r="CA866" i="1"/>
  <c r="CA865" i="1"/>
  <c r="CA864" i="1"/>
  <c r="CA863" i="1"/>
  <c r="CA862" i="1"/>
  <c r="CA861" i="1"/>
  <c r="CA860" i="1"/>
  <c r="CA859" i="1"/>
  <c r="CA503" i="1"/>
  <c r="CA858" i="1"/>
  <c r="CA857" i="1"/>
  <c r="CA856" i="1"/>
  <c r="CA854" i="1"/>
  <c r="CA850" i="1"/>
  <c r="CA849" i="1"/>
  <c r="CA848" i="1"/>
  <c r="CA847" i="1"/>
  <c r="CA846" i="1"/>
  <c r="CA845" i="1"/>
  <c r="CA844" i="1"/>
  <c r="CA842" i="1"/>
  <c r="CA841" i="1"/>
  <c r="CA839" i="1"/>
  <c r="CA838" i="1"/>
  <c r="CA836" i="1"/>
  <c r="CA835" i="1"/>
  <c r="CA834" i="1"/>
  <c r="CA833" i="1"/>
  <c r="CA832" i="1"/>
  <c r="CA831" i="1"/>
  <c r="CA830" i="1"/>
  <c r="CA829" i="1"/>
  <c r="CA828" i="1"/>
  <c r="CA827" i="1"/>
  <c r="CA826" i="1"/>
  <c r="CA825" i="1"/>
  <c r="CA823" i="1"/>
  <c r="CA821" i="1"/>
  <c r="CA820" i="1"/>
  <c r="CA819" i="1"/>
  <c r="CA818" i="1"/>
  <c r="CA816" i="1"/>
  <c r="CA815" i="1"/>
  <c r="CA814" i="1"/>
  <c r="CA813" i="1"/>
  <c r="CA812" i="1"/>
  <c r="CA811" i="1"/>
  <c r="CA810" i="1"/>
  <c r="CA809" i="1"/>
  <c r="CA808" i="1"/>
  <c r="CA806" i="1"/>
  <c r="CA805" i="1"/>
  <c r="CA804" i="1"/>
  <c r="CA803" i="1"/>
  <c r="CA801" i="1"/>
  <c r="CA800" i="1"/>
  <c r="CA799" i="1"/>
  <c r="CA798" i="1"/>
  <c r="CA796" i="1"/>
  <c r="CA795" i="1"/>
  <c r="CA794" i="1"/>
  <c r="CA793" i="1"/>
  <c r="CA792" i="1"/>
  <c r="CA791" i="1"/>
  <c r="CA790" i="1"/>
  <c r="CA789" i="1"/>
  <c r="CA788" i="1"/>
  <c r="CA784" i="1"/>
  <c r="CA782" i="1"/>
  <c r="CA781" i="1"/>
  <c r="CA780" i="1"/>
  <c r="CA779" i="1"/>
  <c r="CA778" i="1"/>
  <c r="CA777" i="1"/>
  <c r="CA776" i="1"/>
  <c r="CA775" i="1"/>
  <c r="CA774" i="1"/>
  <c r="CA773" i="1"/>
  <c r="CA771" i="1"/>
  <c r="CA770" i="1"/>
  <c r="CA769" i="1"/>
  <c r="CA768" i="1"/>
  <c r="CA765" i="1"/>
  <c r="CA764" i="1"/>
  <c r="CA763" i="1"/>
  <c r="CA762" i="1"/>
  <c r="CA761" i="1"/>
  <c r="CA760" i="1"/>
  <c r="CA757" i="1"/>
  <c r="CA756" i="1"/>
  <c r="CA755" i="1"/>
  <c r="CA754" i="1"/>
  <c r="CA753" i="1"/>
  <c r="CA752" i="1"/>
  <c r="CA750" i="1"/>
  <c r="CA748" i="1"/>
  <c r="CA747" i="1"/>
  <c r="CA746" i="1"/>
  <c r="CA745" i="1"/>
  <c r="CA744" i="1"/>
  <c r="CA743" i="1"/>
  <c r="CA742" i="1"/>
  <c r="CA741" i="1"/>
  <c r="CA740" i="1"/>
  <c r="CA739" i="1"/>
  <c r="CA738" i="1"/>
  <c r="CA737" i="1"/>
  <c r="CA736" i="1"/>
  <c r="CA735" i="1"/>
  <c r="CA734" i="1"/>
  <c r="CA733" i="1"/>
  <c r="CA732" i="1"/>
  <c r="CA731" i="1"/>
  <c r="CA728" i="1"/>
  <c r="CA727" i="1"/>
  <c r="CA726" i="1"/>
  <c r="CA724" i="1"/>
  <c r="CA723" i="1"/>
  <c r="CA721" i="1"/>
  <c r="CA719" i="1"/>
  <c r="CA718" i="1"/>
  <c r="CA717" i="1"/>
  <c r="CA715" i="1"/>
  <c r="CA713" i="1"/>
  <c r="CA712" i="1"/>
  <c r="CA710" i="1"/>
  <c r="CA708" i="1"/>
  <c r="CA707" i="1"/>
  <c r="CA706" i="1"/>
  <c r="CA705" i="1"/>
  <c r="CA704" i="1"/>
  <c r="CA701" i="1"/>
  <c r="CA698" i="1"/>
  <c r="CA696" i="1"/>
  <c r="CA695" i="1"/>
  <c r="CA694" i="1"/>
  <c r="CA692" i="1"/>
  <c r="CA691" i="1"/>
  <c r="CA690" i="1"/>
  <c r="CA689" i="1"/>
  <c r="CA688" i="1"/>
  <c r="CA686" i="1"/>
  <c r="CA685" i="1"/>
  <c r="CA684" i="1"/>
  <c r="CA683" i="1"/>
  <c r="CA682" i="1"/>
  <c r="CA681" i="1"/>
  <c r="CA680" i="1"/>
  <c r="CA679" i="1"/>
  <c r="CA678" i="1"/>
  <c r="CA677" i="1"/>
  <c r="CA676" i="1"/>
  <c r="CA675" i="1"/>
  <c r="CA673" i="1"/>
  <c r="CA672" i="1"/>
  <c r="CA670" i="1"/>
  <c r="CA669" i="1"/>
  <c r="CA668" i="1"/>
  <c r="CA667" i="1"/>
  <c r="CA666" i="1"/>
  <c r="CA665" i="1"/>
  <c r="CA664" i="1"/>
  <c r="CA663" i="1"/>
  <c r="CA662" i="1"/>
  <c r="CA661" i="1"/>
  <c r="CA660" i="1"/>
  <c r="CA659" i="1"/>
  <c r="CA658" i="1"/>
  <c r="CA657" i="1"/>
  <c r="CA656" i="1"/>
  <c r="CA655" i="1"/>
  <c r="CA654" i="1"/>
  <c r="CA653" i="1"/>
  <c r="CA652" i="1"/>
  <c r="CA651" i="1"/>
  <c r="CA650" i="1"/>
  <c r="CA648" i="1"/>
  <c r="CA647" i="1"/>
  <c r="CA645" i="1"/>
  <c r="CA643" i="1"/>
  <c r="CA641" i="1"/>
  <c r="CA640" i="1"/>
  <c r="CA639" i="1"/>
  <c r="CA638" i="1"/>
  <c r="CA637" i="1"/>
  <c r="CA636" i="1"/>
  <c r="CA634" i="1"/>
  <c r="CA633" i="1"/>
  <c r="CA631" i="1"/>
  <c r="CA629" i="1"/>
  <c r="CA628" i="1"/>
  <c r="CA626" i="1"/>
  <c r="CA625" i="1"/>
  <c r="CA624" i="1"/>
  <c r="CA622" i="1"/>
  <c r="CA621" i="1"/>
  <c r="CA620" i="1"/>
  <c r="CA619" i="1"/>
  <c r="CA618" i="1"/>
  <c r="CA617" i="1"/>
  <c r="CA616" i="1"/>
  <c r="CA615" i="1"/>
  <c r="CA613" i="1"/>
  <c r="CA611" i="1"/>
  <c r="CA609" i="1"/>
  <c r="CA607" i="1"/>
  <c r="CA605" i="1"/>
  <c r="CA604" i="1"/>
  <c r="CA603" i="1"/>
  <c r="CA602" i="1"/>
  <c r="CA601" i="1"/>
  <c r="CA600" i="1"/>
  <c r="CA599" i="1"/>
  <c r="CA594" i="1"/>
  <c r="CA592" i="1"/>
  <c r="CA591" i="1"/>
  <c r="CA590" i="1"/>
  <c r="CA588" i="1"/>
  <c r="CA587" i="1"/>
  <c r="CA586" i="1"/>
  <c r="CA585" i="1"/>
  <c r="CA584" i="1"/>
  <c r="CA583" i="1"/>
  <c r="CA581" i="1"/>
  <c r="CA580" i="1"/>
  <c r="CA579" i="1"/>
  <c r="CA577" i="1"/>
  <c r="CA575" i="1"/>
  <c r="CA574" i="1"/>
  <c r="CA573" i="1"/>
  <c r="CA572" i="1"/>
  <c r="CA571" i="1"/>
  <c r="CA570" i="1"/>
  <c r="CA569" i="1"/>
  <c r="CA567" i="1"/>
  <c r="CA564" i="1"/>
  <c r="CA563" i="1"/>
  <c r="CA562" i="1"/>
  <c r="CA559" i="1"/>
  <c r="CA558" i="1"/>
  <c r="CA557" i="1"/>
  <c r="CA556" i="1"/>
  <c r="CA555" i="1"/>
  <c r="CA554" i="1"/>
  <c r="CA553" i="1"/>
  <c r="CA552" i="1"/>
  <c r="CA551" i="1"/>
  <c r="CA550" i="1"/>
  <c r="CA549" i="1"/>
  <c r="CA548" i="1"/>
  <c r="CA546" i="1"/>
  <c r="CA545" i="1"/>
  <c r="CA543" i="1"/>
  <c r="CA542" i="1"/>
  <c r="CA541" i="1"/>
  <c r="CA540" i="1"/>
  <c r="CA539" i="1"/>
  <c r="CA538" i="1"/>
  <c r="CA537" i="1"/>
  <c r="CA536" i="1"/>
  <c r="CA535" i="1"/>
  <c r="CA534" i="1"/>
  <c r="CA532" i="1"/>
  <c r="CA531" i="1"/>
  <c r="CA530" i="1"/>
  <c r="CA529" i="1"/>
  <c r="CA528" i="1"/>
  <c r="CA527" i="1"/>
  <c r="CA526" i="1"/>
  <c r="CA525" i="1"/>
  <c r="CA524" i="1"/>
  <c r="CA523" i="1"/>
  <c r="CA522" i="1"/>
  <c r="CA521" i="1"/>
  <c r="CA520" i="1"/>
  <c r="CA519" i="1"/>
  <c r="CA518" i="1"/>
  <c r="CA517" i="1"/>
  <c r="CA514" i="1"/>
  <c r="CA513" i="1"/>
  <c r="CA512" i="1"/>
  <c r="CA510" i="1"/>
  <c r="CA509" i="1"/>
  <c r="CA508" i="1"/>
  <c r="CA507" i="1"/>
  <c r="CA506" i="1"/>
  <c r="CA505" i="1"/>
  <c r="CA502" i="1"/>
  <c r="CA501" i="1"/>
  <c r="CA500" i="1"/>
  <c r="CA499" i="1"/>
  <c r="CA498" i="1"/>
  <c r="CA497" i="1"/>
  <c r="CA496" i="1"/>
  <c r="CA495" i="1"/>
  <c r="CA493" i="1"/>
  <c r="CA492" i="1"/>
  <c r="CA491" i="1"/>
  <c r="CA489" i="1"/>
  <c r="CA487" i="1"/>
  <c r="CA484" i="1"/>
  <c r="CA407" i="1"/>
  <c r="CA406" i="1"/>
  <c r="CA408" i="1"/>
  <c r="CA482" i="1"/>
  <c r="CA481" i="1"/>
  <c r="CA478" i="1"/>
  <c r="CA475" i="1"/>
  <c r="CA474" i="1"/>
  <c r="CA473" i="1"/>
  <c r="CA472" i="1"/>
  <c r="CA560" i="1"/>
  <c r="CA471" i="1"/>
  <c r="CA470" i="1"/>
  <c r="CA469" i="1"/>
  <c r="CA468" i="1"/>
  <c r="CA466" i="1"/>
  <c r="CA464" i="1"/>
  <c r="CA463" i="1"/>
  <c r="CA462" i="1"/>
  <c r="CA461" i="1"/>
  <c r="CA460" i="1"/>
  <c r="CA459" i="1"/>
  <c r="CA458" i="1"/>
  <c r="CA457" i="1"/>
  <c r="CA456" i="1"/>
  <c r="CA455" i="1"/>
  <c r="CA454" i="1"/>
  <c r="CA453" i="1"/>
  <c r="CA451" i="1"/>
  <c r="CA450" i="1"/>
  <c r="CA448" i="1"/>
  <c r="CA447" i="1"/>
  <c r="CA446" i="1"/>
  <c r="CA445" i="1"/>
  <c r="CA444" i="1"/>
  <c r="CA443" i="1"/>
  <c r="CA441" i="1"/>
  <c r="CA440" i="1"/>
  <c r="CA437" i="1"/>
  <c r="CA436" i="1"/>
  <c r="CA435" i="1"/>
  <c r="CA433" i="1"/>
  <c r="CA432" i="1"/>
  <c r="CA431" i="1"/>
  <c r="CA430" i="1"/>
  <c r="CA429" i="1"/>
  <c r="CA428" i="1"/>
  <c r="CA427" i="1"/>
  <c r="CA426" i="1"/>
  <c r="CA425" i="1"/>
  <c r="CA423" i="1"/>
  <c r="CA422" i="1"/>
  <c r="CA421" i="1"/>
  <c r="CA419" i="1"/>
  <c r="CA418" i="1"/>
  <c r="CA417" i="1"/>
  <c r="CA416" i="1"/>
  <c r="CA415" i="1"/>
  <c r="CA414" i="1"/>
  <c r="CA412" i="1"/>
  <c r="CA409" i="1"/>
  <c r="CA405" i="1"/>
  <c r="CA404" i="1"/>
  <c r="CA403" i="1"/>
  <c r="CA402" i="1"/>
  <c r="CA401" i="1"/>
  <c r="CA400" i="1"/>
  <c r="CA399" i="1"/>
  <c r="CA398" i="1"/>
  <c r="CA397" i="1"/>
  <c r="CA394" i="1"/>
  <c r="CA392" i="1"/>
  <c r="CA391" i="1"/>
  <c r="CA390" i="1"/>
  <c r="CA389" i="1"/>
  <c r="CA388" i="1"/>
  <c r="CA387" i="1"/>
  <c r="CA386" i="1"/>
  <c r="CA385" i="1"/>
  <c r="CA384" i="1"/>
  <c r="CA383" i="1"/>
  <c r="CA381" i="1"/>
  <c r="CA380" i="1"/>
  <c r="CA379" i="1"/>
  <c r="CA378" i="1"/>
  <c r="CA377" i="1"/>
  <c r="CA376" i="1"/>
  <c r="CA374" i="1"/>
  <c r="CA373" i="1"/>
  <c r="CA372" i="1"/>
  <c r="CA371" i="1"/>
  <c r="CA370" i="1"/>
  <c r="CA369" i="1"/>
  <c r="CA368" i="1"/>
  <c r="CA367" i="1"/>
  <c r="CA365" i="1"/>
  <c r="CA363" i="1"/>
  <c r="CA362" i="1"/>
  <c r="CA361" i="1"/>
  <c r="CA360" i="1"/>
  <c r="CA359" i="1"/>
  <c r="CA358" i="1"/>
  <c r="CA357" i="1"/>
  <c r="CA356" i="1"/>
  <c r="CA355" i="1"/>
  <c r="CA354" i="1"/>
  <c r="CA351" i="1"/>
  <c r="CA350" i="1"/>
  <c r="CA349" i="1"/>
  <c r="CA348" i="1"/>
  <c r="CA347" i="1"/>
  <c r="CA345" i="1"/>
  <c r="CA344" i="1"/>
  <c r="CA343" i="1"/>
  <c r="CA342" i="1"/>
  <c r="CA340" i="1"/>
  <c r="CA339" i="1"/>
  <c r="CA338" i="1"/>
  <c r="CA336" i="1"/>
  <c r="CA335" i="1"/>
  <c r="CA334" i="1"/>
  <c r="CA333" i="1"/>
  <c r="CA332" i="1"/>
  <c r="CA330" i="1"/>
  <c r="CA329" i="1"/>
  <c r="CA328" i="1"/>
  <c r="CA327" i="1"/>
  <c r="CA326" i="1"/>
  <c r="CA325" i="1"/>
  <c r="CA324" i="1"/>
  <c r="CA323" i="1"/>
  <c r="CA322" i="1"/>
  <c r="CA321" i="1"/>
  <c r="CA320" i="1"/>
  <c r="CA319" i="1"/>
  <c r="CA317" i="1"/>
  <c r="CA316" i="1"/>
  <c r="CA315" i="1"/>
  <c r="CA314" i="1"/>
  <c r="CA313" i="1"/>
  <c r="CA312" i="1"/>
  <c r="CA311" i="1"/>
  <c r="CA310" i="1"/>
  <c r="CA309" i="1"/>
  <c r="CA308" i="1"/>
  <c r="CA307" i="1"/>
  <c r="CA306" i="1"/>
  <c r="CA305" i="1"/>
  <c r="CA304" i="1"/>
  <c r="CA303" i="1"/>
  <c r="CA302" i="1"/>
  <c r="CA301" i="1"/>
  <c r="CA300" i="1"/>
  <c r="CA299" i="1"/>
  <c r="CA298" i="1"/>
  <c r="CA297" i="1"/>
  <c r="CA295" i="1"/>
  <c r="CA294" i="1"/>
  <c r="CA293" i="1"/>
  <c r="CA292" i="1"/>
  <c r="CA290" i="1"/>
  <c r="CA289" i="1"/>
  <c r="CA288" i="1"/>
  <c r="CA287" i="1"/>
  <c r="CA286" i="1"/>
  <c r="CA284" i="1"/>
  <c r="CA283" i="1"/>
  <c r="CA281" i="1"/>
  <c r="CA279" i="1"/>
  <c r="CA278" i="1"/>
  <c r="CA277" i="1"/>
  <c r="CA276" i="1"/>
  <c r="CA274" i="1"/>
  <c r="CA273" i="1"/>
  <c r="CA272" i="1"/>
  <c r="CA271" i="1"/>
  <c r="CA270" i="1"/>
  <c r="CA269" i="1"/>
  <c r="CA267" i="1"/>
  <c r="CA266" i="1"/>
  <c r="CA265" i="1"/>
  <c r="CA264" i="1"/>
  <c r="CA262" i="1"/>
  <c r="CA261" i="1"/>
  <c r="CA260" i="1"/>
  <c r="CA259" i="1"/>
  <c r="CA258" i="1"/>
  <c r="CA257" i="1"/>
  <c r="CA256" i="1"/>
  <c r="CA255" i="1"/>
  <c r="CA254" i="1"/>
  <c r="CA253" i="1"/>
  <c r="CA252" i="1"/>
  <c r="CA251" i="1"/>
  <c r="CA250" i="1"/>
  <c r="CA248" i="1"/>
  <c r="CA246" i="1"/>
  <c r="CA245" i="1"/>
  <c r="CA244" i="1"/>
  <c r="CA243" i="1"/>
  <c r="CA242" i="1"/>
  <c r="CA241" i="1"/>
  <c r="CA142" i="1"/>
  <c r="CA240" i="1"/>
  <c r="CA239" i="1"/>
  <c r="CA238" i="1"/>
  <c r="CA237" i="1"/>
  <c r="CA236" i="1"/>
  <c r="CA234" i="1"/>
  <c r="CA233" i="1"/>
  <c r="CA232" i="1"/>
  <c r="CA231" i="1"/>
  <c r="CA229" i="1"/>
  <c r="CA228" i="1"/>
  <c r="CA227" i="1"/>
  <c r="CA226" i="1"/>
  <c r="CA225" i="1"/>
  <c r="CA224" i="1"/>
  <c r="CA223" i="1"/>
  <c r="CA222" i="1"/>
  <c r="CA221" i="1"/>
  <c r="CA220" i="1"/>
  <c r="CA219" i="1"/>
  <c r="CA218" i="1"/>
  <c r="CA217" i="1"/>
  <c r="CA216" i="1"/>
  <c r="CA215" i="1"/>
  <c r="CA214" i="1"/>
  <c r="CA213" i="1"/>
  <c r="CA212" i="1"/>
  <c r="CA211" i="1"/>
  <c r="CA210" i="1"/>
  <c r="CA209" i="1"/>
  <c r="CA208" i="1"/>
  <c r="CA207" i="1"/>
  <c r="CA206" i="1"/>
  <c r="CA205" i="1"/>
  <c r="CA204" i="1"/>
  <c r="CA203" i="1"/>
  <c r="CA200" i="1"/>
  <c r="CA199" i="1"/>
  <c r="CA198" i="1"/>
  <c r="CA197" i="1"/>
  <c r="CA196" i="1"/>
  <c r="CA195" i="1"/>
  <c r="CA194" i="1"/>
  <c r="CA193" i="1"/>
  <c r="CA192" i="1"/>
  <c r="CA191" i="1"/>
  <c r="CA190" i="1"/>
  <c r="CA187" i="1"/>
  <c r="CA186" i="1"/>
  <c r="CA185" i="1"/>
  <c r="CA184" i="1"/>
  <c r="CA183" i="1"/>
  <c r="CA182" i="1"/>
  <c r="CA181" i="1"/>
  <c r="CA180" i="1"/>
  <c r="CA178" i="1"/>
  <c r="CA174" i="1"/>
  <c r="CA172" i="1"/>
  <c r="CA171" i="1"/>
  <c r="CA170" i="1"/>
  <c r="CA169" i="1"/>
  <c r="CA168" i="1"/>
  <c r="CA167" i="1"/>
  <c r="CA165" i="1"/>
  <c r="CA164" i="1"/>
  <c r="CA163" i="1"/>
  <c r="CA162" i="1"/>
  <c r="CA161" i="1"/>
  <c r="CA160" i="1"/>
  <c r="CA159" i="1"/>
  <c r="CA158" i="1"/>
  <c r="CA157" i="1"/>
  <c r="CA156" i="1"/>
  <c r="CA155" i="1"/>
  <c r="CA154" i="1"/>
  <c r="CA153" i="1"/>
  <c r="CA152" i="1"/>
  <c r="CA151" i="1"/>
  <c r="CA150" i="1"/>
  <c r="CA149" i="1"/>
  <c r="CA148" i="1"/>
  <c r="CA147" i="1"/>
  <c r="CA146" i="1"/>
  <c r="CA145" i="1"/>
  <c r="CA144" i="1"/>
  <c r="CA141" i="1"/>
  <c r="CA140" i="1"/>
  <c r="CA139" i="1"/>
  <c r="CA137" i="1"/>
  <c r="CA136" i="1"/>
  <c r="CA135" i="1"/>
  <c r="CA134" i="1"/>
  <c r="CA132" i="1"/>
  <c r="CA131" i="1"/>
  <c r="CA130" i="1"/>
  <c r="CA128" i="1"/>
  <c r="CA127" i="1"/>
  <c r="CA125" i="1"/>
  <c r="CA124" i="1"/>
  <c r="CA123" i="1"/>
  <c r="CA122" i="1"/>
  <c r="CA442" i="1"/>
  <c r="CA121" i="1"/>
  <c r="CA120" i="1"/>
  <c r="CA119" i="1"/>
  <c r="CA118" i="1"/>
  <c r="CA117" i="1"/>
  <c r="CA116" i="1"/>
  <c r="CA115" i="1"/>
  <c r="CA113" i="1"/>
  <c r="CA111" i="1"/>
  <c r="CA109" i="1"/>
  <c r="CA108" i="1"/>
  <c r="CA107" i="1"/>
  <c r="CA106" i="1"/>
  <c r="CA105" i="1"/>
  <c r="CA104" i="1"/>
  <c r="CA103" i="1"/>
  <c r="CA102" i="1"/>
  <c r="CA101" i="1"/>
  <c r="CA100" i="1"/>
  <c r="CA99" i="1"/>
  <c r="CA96" i="1"/>
  <c r="CA95" i="1"/>
  <c r="CA94" i="1"/>
  <c r="CA93" i="1"/>
  <c r="CA92" i="1"/>
  <c r="CA91" i="1"/>
  <c r="CA90" i="1"/>
  <c r="CA89" i="1"/>
  <c r="CA87" i="1"/>
  <c r="CA88" i="1"/>
  <c r="CA86" i="1"/>
  <c r="CA85" i="1"/>
  <c r="CA83" i="1"/>
  <c r="CA82" i="1"/>
  <c r="CA81" i="1"/>
  <c r="CA79" i="1"/>
  <c r="CA78" i="1"/>
  <c r="CA77" i="1"/>
  <c r="CA76" i="1"/>
  <c r="CA75" i="1"/>
  <c r="CA74" i="1"/>
  <c r="CA73" i="1"/>
  <c r="CA72" i="1"/>
  <c r="CA71" i="1"/>
  <c r="CA70" i="1"/>
  <c r="CA68" i="1"/>
  <c r="CA67" i="1"/>
  <c r="CA66" i="1"/>
  <c r="CA65" i="1"/>
  <c r="CA64" i="1"/>
  <c r="CA63" i="1"/>
  <c r="CA62" i="1"/>
  <c r="CA61" i="1"/>
  <c r="CA60" i="1"/>
  <c r="CA59" i="1"/>
  <c r="CA58" i="1"/>
  <c r="CA57" i="1"/>
  <c r="CA56" i="1"/>
  <c r="CA55" i="1"/>
  <c r="CA53" i="1"/>
  <c r="CA50" i="1"/>
  <c r="CA49" i="1"/>
  <c r="CA48" i="1"/>
  <c r="CA46" i="1"/>
  <c r="CA44" i="1"/>
  <c r="CA43" i="1"/>
  <c r="CA42" i="1"/>
  <c r="CA41" i="1"/>
  <c r="CA40" i="1"/>
  <c r="CA39" i="1"/>
  <c r="CA38" i="1"/>
  <c r="CA37" i="1"/>
  <c r="CA36" i="1"/>
  <c r="CA35" i="1"/>
  <c r="CA34" i="1"/>
  <c r="CA33" i="1"/>
  <c r="CA32" i="1"/>
  <c r="CA31" i="1"/>
  <c r="CA30" i="1"/>
  <c r="CA29" i="1"/>
  <c r="CA28" i="1"/>
  <c r="CA26" i="1"/>
  <c r="CA25" i="1"/>
  <c r="CA24" i="1"/>
  <c r="CA22" i="1"/>
  <c r="CA19" i="1"/>
  <c r="CB922" i="1"/>
  <c r="CB920" i="1"/>
  <c r="CB919" i="1"/>
  <c r="CB918" i="1"/>
  <c r="CB917" i="1"/>
  <c r="CB916" i="1"/>
  <c r="CB914" i="1"/>
  <c r="CB913" i="1"/>
  <c r="CB910" i="1"/>
  <c r="CB909" i="1"/>
  <c r="CB908" i="1"/>
  <c r="CB905" i="1"/>
  <c r="CB904" i="1"/>
  <c r="CB902" i="1"/>
  <c r="CB901" i="1"/>
  <c r="CB900" i="1"/>
  <c r="CB899" i="1"/>
  <c r="CB898" i="1"/>
  <c r="CB897" i="1"/>
  <c r="CB896" i="1"/>
  <c r="CB895" i="1"/>
  <c r="CB894" i="1"/>
  <c r="CB893" i="1"/>
  <c r="CB890" i="1"/>
  <c r="CB889" i="1"/>
  <c r="CB887" i="1"/>
  <c r="CB885" i="1"/>
  <c r="CB884" i="1"/>
  <c r="CB882" i="1"/>
  <c r="CB881" i="1"/>
  <c r="CB880" i="1"/>
  <c r="CB879" i="1"/>
  <c r="CB878" i="1"/>
  <c r="CB877" i="1"/>
  <c r="CB876" i="1"/>
  <c r="CB875" i="1"/>
  <c r="CB874" i="1"/>
  <c r="CB871" i="1"/>
  <c r="CB870" i="1"/>
  <c r="CB869" i="1"/>
  <c r="CB868" i="1"/>
  <c r="CB867" i="1"/>
  <c r="CB866" i="1"/>
  <c r="CB865" i="1"/>
  <c r="CB864" i="1"/>
  <c r="CB863" i="1"/>
  <c r="CB862" i="1"/>
  <c r="CB861" i="1"/>
  <c r="CB860" i="1"/>
  <c r="CB859" i="1"/>
  <c r="CB503" i="1"/>
  <c r="CB858" i="1"/>
  <c r="CB857" i="1"/>
  <c r="CB856" i="1"/>
  <c r="CB854" i="1"/>
  <c r="CB850" i="1"/>
  <c r="CB849" i="1"/>
  <c r="CB848" i="1"/>
  <c r="CB847" i="1"/>
  <c r="CB846" i="1"/>
  <c r="CB845" i="1"/>
  <c r="CB844" i="1"/>
  <c r="CB842" i="1"/>
  <c r="CB841" i="1"/>
  <c r="CB839" i="1"/>
  <c r="CB838" i="1"/>
  <c r="CB836" i="1"/>
  <c r="CB835" i="1"/>
  <c r="CB834" i="1"/>
  <c r="CB833" i="1"/>
  <c r="CB832" i="1"/>
  <c r="CB831" i="1"/>
  <c r="CB830" i="1"/>
  <c r="CB829" i="1"/>
  <c r="CB828" i="1"/>
  <c r="CB827" i="1"/>
  <c r="CB826" i="1"/>
  <c r="CB825" i="1"/>
  <c r="CB823" i="1"/>
  <c r="CB821" i="1"/>
  <c r="CB820" i="1"/>
  <c r="CB819" i="1"/>
  <c r="CB818" i="1"/>
  <c r="CB816" i="1"/>
  <c r="CB815" i="1"/>
  <c r="CB814" i="1"/>
  <c r="CB813" i="1"/>
  <c r="CB812" i="1"/>
  <c r="CB811" i="1"/>
  <c r="CB810" i="1"/>
  <c r="CB809" i="1"/>
  <c r="CB808" i="1"/>
  <c r="CB806" i="1"/>
  <c r="CB805" i="1"/>
  <c r="CB804" i="1"/>
  <c r="CB803" i="1"/>
  <c r="CB801" i="1"/>
  <c r="CB800" i="1"/>
  <c r="CB799" i="1"/>
  <c r="CB798" i="1"/>
  <c r="CB796" i="1"/>
  <c r="CB795" i="1"/>
  <c r="CB794" i="1"/>
  <c r="CB793" i="1"/>
  <c r="CB792" i="1"/>
  <c r="CB791" i="1"/>
  <c r="CB790" i="1"/>
  <c r="CB789" i="1"/>
  <c r="CB788" i="1"/>
  <c r="CB784" i="1"/>
  <c r="CB782" i="1"/>
  <c r="CB781" i="1"/>
  <c r="CB780" i="1"/>
  <c r="CB779" i="1"/>
  <c r="CB778" i="1"/>
  <c r="CB777" i="1"/>
  <c r="CB776" i="1"/>
  <c r="CB775" i="1"/>
  <c r="CB774" i="1"/>
  <c r="CB773" i="1"/>
  <c r="CB771" i="1"/>
  <c r="CB770" i="1"/>
  <c r="CB769" i="1"/>
  <c r="CB768" i="1"/>
  <c r="CB765" i="1"/>
  <c r="CB764" i="1"/>
  <c r="CB763" i="1"/>
  <c r="CB762" i="1"/>
  <c r="CB761" i="1"/>
  <c r="CB760" i="1"/>
  <c r="CB757" i="1"/>
  <c r="CB756" i="1"/>
  <c r="CB755" i="1"/>
  <c r="CB754" i="1"/>
  <c r="CB753" i="1"/>
  <c r="CB752" i="1"/>
  <c r="CB750" i="1"/>
  <c r="CB748" i="1"/>
  <c r="CB747" i="1"/>
  <c r="CB746" i="1"/>
  <c r="CB745" i="1"/>
  <c r="CB744" i="1"/>
  <c r="CB743" i="1"/>
  <c r="CB742" i="1"/>
  <c r="CB741" i="1"/>
  <c r="CB740" i="1"/>
  <c r="CB739" i="1"/>
  <c r="CB738" i="1"/>
  <c r="CB737" i="1"/>
  <c r="CB736" i="1"/>
  <c r="CB735" i="1"/>
  <c r="CB734" i="1"/>
  <c r="CB733" i="1"/>
  <c r="CB732" i="1"/>
  <c r="CB731" i="1"/>
  <c r="CB728" i="1"/>
  <c r="CB727" i="1"/>
  <c r="CB726" i="1"/>
  <c r="CB724" i="1"/>
  <c r="CB723" i="1"/>
  <c r="CB721" i="1"/>
  <c r="CB719" i="1"/>
  <c r="CB718" i="1"/>
  <c r="CB717" i="1"/>
  <c r="CB715" i="1"/>
  <c r="CB713" i="1"/>
  <c r="CB712" i="1"/>
  <c r="CB710" i="1"/>
  <c r="CB708" i="1"/>
  <c r="CB707" i="1"/>
  <c r="CB706" i="1"/>
  <c r="CB705" i="1"/>
  <c r="CB701" i="1"/>
  <c r="CB698" i="1"/>
  <c r="CB696" i="1"/>
  <c r="CB695" i="1"/>
  <c r="CB694" i="1"/>
  <c r="CB692" i="1"/>
  <c r="CB691" i="1"/>
  <c r="CB690" i="1"/>
  <c r="CB689" i="1"/>
  <c r="CB688" i="1"/>
  <c r="CB686" i="1"/>
  <c r="CB685" i="1"/>
  <c r="CB684" i="1"/>
  <c r="CB683" i="1"/>
  <c r="CB682" i="1"/>
  <c r="CB681" i="1"/>
  <c r="CB680" i="1"/>
  <c r="CB679" i="1"/>
  <c r="CB678" i="1"/>
  <c r="CB677" i="1"/>
  <c r="CB676" i="1"/>
  <c r="CB675" i="1"/>
  <c r="CB673" i="1"/>
  <c r="CB672" i="1"/>
  <c r="CB670" i="1"/>
  <c r="CB669" i="1"/>
  <c r="CB668" i="1"/>
  <c r="CB667" i="1"/>
  <c r="CB666" i="1"/>
  <c r="CB665" i="1"/>
  <c r="CB664" i="1"/>
  <c r="CB663" i="1"/>
  <c r="CB662" i="1"/>
  <c r="CB661" i="1"/>
  <c r="CB660" i="1"/>
  <c r="CB659" i="1"/>
  <c r="CB658" i="1"/>
  <c r="CB657" i="1"/>
  <c r="CB656" i="1"/>
  <c r="CB655" i="1"/>
  <c r="CB654" i="1"/>
  <c r="CB653" i="1"/>
  <c r="CB652" i="1"/>
  <c r="CB651" i="1"/>
  <c r="CB650" i="1"/>
  <c r="CB648" i="1"/>
  <c r="CB647" i="1"/>
  <c r="CB645" i="1"/>
  <c r="CB643" i="1"/>
  <c r="CB641" i="1"/>
  <c r="CB640" i="1"/>
  <c r="CB639" i="1"/>
  <c r="CB638" i="1"/>
  <c r="CB637" i="1"/>
  <c r="CB636" i="1"/>
  <c r="CB634" i="1"/>
  <c r="CB633" i="1"/>
  <c r="CB631" i="1"/>
  <c r="CB629" i="1"/>
  <c r="CB628" i="1"/>
  <c r="CB626" i="1"/>
  <c r="CB625" i="1"/>
  <c r="CB624" i="1"/>
  <c r="CB622" i="1"/>
  <c r="CB621" i="1"/>
  <c r="CB620" i="1"/>
  <c r="CB619" i="1"/>
  <c r="CB618" i="1"/>
  <c r="CB617" i="1"/>
  <c r="CB616" i="1"/>
  <c r="CB615" i="1"/>
  <c r="CB613" i="1"/>
  <c r="CB611" i="1"/>
  <c r="CB609" i="1"/>
  <c r="CB607" i="1"/>
  <c r="CB605" i="1"/>
  <c r="CB604" i="1"/>
  <c r="CB603" i="1"/>
  <c r="CB602" i="1"/>
  <c r="CB601" i="1"/>
  <c r="CB600" i="1"/>
  <c r="CB599" i="1"/>
  <c r="CB594" i="1"/>
  <c r="CB592" i="1"/>
  <c r="CB591" i="1"/>
  <c r="CB590" i="1"/>
  <c r="CB588" i="1"/>
  <c r="CB587" i="1"/>
  <c r="CB586" i="1"/>
  <c r="CB585" i="1"/>
  <c r="CB584" i="1"/>
  <c r="CB583" i="1"/>
  <c r="CB581" i="1"/>
  <c r="CB580" i="1"/>
  <c r="CB579" i="1"/>
  <c r="CB577" i="1"/>
  <c r="CB575" i="1"/>
  <c r="CB574" i="1"/>
  <c r="CB573" i="1"/>
  <c r="CB572" i="1"/>
  <c r="CB571" i="1"/>
  <c r="CB570" i="1"/>
  <c r="CB569" i="1"/>
  <c r="CB567" i="1"/>
  <c r="CB564" i="1"/>
  <c r="CB563" i="1"/>
  <c r="CB562" i="1"/>
  <c r="CB559" i="1"/>
  <c r="CB558" i="1"/>
  <c r="CB557" i="1"/>
  <c r="CB556" i="1"/>
  <c r="CB555" i="1"/>
  <c r="CB554" i="1"/>
  <c r="CB553" i="1"/>
  <c r="CB552" i="1"/>
  <c r="CB551" i="1"/>
  <c r="CB550" i="1"/>
  <c r="CB549" i="1"/>
  <c r="CB548" i="1"/>
  <c r="CB546" i="1"/>
  <c r="CB545" i="1"/>
  <c r="CB543" i="1"/>
  <c r="CB542" i="1"/>
  <c r="CB541" i="1"/>
  <c r="CB540" i="1"/>
  <c r="CB539" i="1"/>
  <c r="CB538" i="1"/>
  <c r="CB537" i="1"/>
  <c r="CB536" i="1"/>
  <c r="CB535" i="1"/>
  <c r="CB534" i="1"/>
  <c r="CB532" i="1"/>
  <c r="CB531" i="1"/>
  <c r="CB530" i="1"/>
  <c r="CB529" i="1"/>
  <c r="CB528" i="1"/>
  <c r="CB527" i="1"/>
  <c r="CB526" i="1"/>
  <c r="CB525" i="1"/>
  <c r="CB524" i="1"/>
  <c r="CB523" i="1"/>
  <c r="CB522" i="1"/>
  <c r="CB521" i="1"/>
  <c r="CB520" i="1"/>
  <c r="CB519" i="1"/>
  <c r="CB518" i="1"/>
  <c r="CB517" i="1"/>
  <c r="CB514" i="1"/>
  <c r="CB513" i="1"/>
  <c r="CB512" i="1"/>
  <c r="CB510" i="1"/>
  <c r="CB509" i="1"/>
  <c r="CB508" i="1"/>
  <c r="CB507" i="1"/>
  <c r="CB506" i="1"/>
  <c r="CB505" i="1"/>
  <c r="CB502" i="1"/>
  <c r="CB501" i="1"/>
  <c r="CB500" i="1"/>
  <c r="CB499" i="1"/>
  <c r="CB498" i="1"/>
  <c r="CB497" i="1"/>
  <c r="CB496" i="1"/>
  <c r="CB495" i="1"/>
  <c r="CB493" i="1"/>
  <c r="CB492" i="1"/>
  <c r="CB491" i="1"/>
  <c r="CB489" i="1"/>
  <c r="CB487" i="1"/>
  <c r="CB484" i="1"/>
  <c r="CB407" i="1"/>
  <c r="CB406" i="1"/>
  <c r="CB408" i="1"/>
  <c r="CB482" i="1"/>
  <c r="CB481" i="1"/>
  <c r="CB478" i="1"/>
  <c r="CB475" i="1"/>
  <c r="CB474" i="1"/>
  <c r="CB473" i="1"/>
  <c r="CB472" i="1"/>
  <c r="CB560" i="1"/>
  <c r="CB471" i="1"/>
  <c r="CB470" i="1"/>
  <c r="CB469" i="1"/>
  <c r="CB468" i="1"/>
  <c r="CB466" i="1"/>
  <c r="CB464" i="1"/>
  <c r="CB463" i="1"/>
  <c r="CB462" i="1"/>
  <c r="CB461" i="1"/>
  <c r="CB460" i="1"/>
  <c r="CB459" i="1"/>
  <c r="CB458" i="1"/>
  <c r="CB457" i="1"/>
  <c r="CB456" i="1"/>
  <c r="CB455" i="1"/>
  <c r="CB454" i="1"/>
  <c r="CB453" i="1"/>
  <c r="CB451" i="1"/>
  <c r="CB450" i="1"/>
  <c r="CB448" i="1"/>
  <c r="CB447" i="1"/>
  <c r="CB446" i="1"/>
  <c r="CB445" i="1"/>
  <c r="CB444" i="1"/>
  <c r="CB443" i="1"/>
  <c r="CB441" i="1"/>
  <c r="CB440" i="1"/>
  <c r="CB437" i="1"/>
  <c r="CB436" i="1"/>
  <c r="CB435" i="1"/>
  <c r="CB433" i="1"/>
  <c r="CB432" i="1"/>
  <c r="CB431" i="1"/>
  <c r="CB430" i="1"/>
  <c r="CB429" i="1"/>
  <c r="CB428" i="1"/>
  <c r="CB427" i="1"/>
  <c r="CB426" i="1"/>
  <c r="CB425" i="1"/>
  <c r="CB423" i="1"/>
  <c r="CB422" i="1"/>
  <c r="CB421" i="1"/>
  <c r="CB419" i="1"/>
  <c r="CB418" i="1"/>
  <c r="CB417" i="1"/>
  <c r="CB416" i="1"/>
  <c r="CB415" i="1"/>
  <c r="CB414" i="1"/>
  <c r="CB412" i="1"/>
  <c r="CB409" i="1"/>
  <c r="CB405" i="1"/>
  <c r="CB404" i="1"/>
  <c r="CB403" i="1"/>
  <c r="CB402" i="1"/>
  <c r="CB401" i="1"/>
  <c r="CB400" i="1"/>
  <c r="CB399" i="1"/>
  <c r="CB398" i="1"/>
  <c r="CB397" i="1"/>
  <c r="CB394" i="1"/>
  <c r="CB392" i="1"/>
  <c r="CB391" i="1"/>
  <c r="CB390" i="1"/>
  <c r="CB389" i="1"/>
  <c r="CB388" i="1"/>
  <c r="CB387" i="1"/>
  <c r="CB386" i="1"/>
  <c r="CB385" i="1"/>
  <c r="CB384" i="1"/>
  <c r="CB383" i="1"/>
  <c r="CB381" i="1"/>
  <c r="CB380" i="1"/>
  <c r="CB379" i="1"/>
  <c r="CB378" i="1"/>
  <c r="CB377" i="1"/>
  <c r="CB376" i="1"/>
  <c r="CB374" i="1"/>
  <c r="CB373" i="1"/>
  <c r="CB372" i="1"/>
  <c r="CB371" i="1"/>
  <c r="CB370" i="1"/>
  <c r="CB369" i="1"/>
  <c r="CB368" i="1"/>
  <c r="CB367" i="1"/>
  <c r="CB365" i="1"/>
  <c r="CB363" i="1"/>
  <c r="CB362" i="1"/>
  <c r="CB361" i="1"/>
  <c r="CB360" i="1"/>
  <c r="CB359" i="1"/>
  <c r="CB358" i="1"/>
  <c r="CB357" i="1"/>
  <c r="CB356" i="1"/>
  <c r="CB355" i="1"/>
  <c r="CB354" i="1"/>
  <c r="CB351" i="1"/>
  <c r="CB350" i="1"/>
  <c r="CB349" i="1"/>
  <c r="CB348" i="1"/>
  <c r="CB347" i="1"/>
  <c r="CB345" i="1"/>
  <c r="CB344" i="1"/>
  <c r="CB343" i="1"/>
  <c r="CB342" i="1"/>
  <c r="CB340" i="1"/>
  <c r="CB339" i="1"/>
  <c r="CB338" i="1"/>
  <c r="CB336" i="1"/>
  <c r="CB335" i="1"/>
  <c r="CB334" i="1"/>
  <c r="CB333" i="1"/>
  <c r="CB332" i="1"/>
  <c r="CB330" i="1"/>
  <c r="CB329" i="1"/>
  <c r="CB328" i="1"/>
  <c r="CB327" i="1"/>
  <c r="CB326" i="1"/>
  <c r="CB325" i="1"/>
  <c r="CB324" i="1"/>
  <c r="CB323" i="1"/>
  <c r="CB322" i="1"/>
  <c r="CB321" i="1"/>
  <c r="CB320" i="1"/>
  <c r="CB319" i="1"/>
  <c r="CB317" i="1"/>
  <c r="CB316" i="1"/>
  <c r="CB315" i="1"/>
  <c r="CB314" i="1"/>
  <c r="CB313" i="1"/>
  <c r="CB312" i="1"/>
  <c r="CB311" i="1"/>
  <c r="CB310" i="1"/>
  <c r="CB309" i="1"/>
  <c r="CB308" i="1"/>
  <c r="CB307" i="1"/>
  <c r="CB306" i="1"/>
  <c r="CB305" i="1"/>
  <c r="CB304" i="1"/>
  <c r="CB303" i="1"/>
  <c r="CB302" i="1"/>
  <c r="CB301" i="1"/>
  <c r="CB300" i="1"/>
  <c r="CB299" i="1"/>
  <c r="CB298" i="1"/>
  <c r="CB297" i="1"/>
  <c r="CB295" i="1"/>
  <c r="CB294" i="1"/>
  <c r="CB293" i="1"/>
  <c r="CB292" i="1"/>
  <c r="CB290" i="1"/>
  <c r="CB289" i="1"/>
  <c r="CB288" i="1"/>
  <c r="CB287" i="1"/>
  <c r="CB286" i="1"/>
  <c r="CB284" i="1"/>
  <c r="CB283" i="1"/>
  <c r="CB281" i="1"/>
  <c r="CB279" i="1"/>
  <c r="CB278" i="1"/>
  <c r="CB277" i="1"/>
  <c r="CB276" i="1"/>
  <c r="CB274" i="1"/>
  <c r="CB273" i="1"/>
  <c r="CB272" i="1"/>
  <c r="CB271" i="1"/>
  <c r="CB270" i="1"/>
  <c r="CB269" i="1"/>
  <c r="CB267" i="1"/>
  <c r="CB266" i="1"/>
  <c r="CB265" i="1"/>
  <c r="CB264" i="1"/>
  <c r="CB262" i="1"/>
  <c r="CB261" i="1"/>
  <c r="CB260" i="1"/>
  <c r="CB259" i="1"/>
  <c r="CB258" i="1"/>
  <c r="CB257" i="1"/>
  <c r="CB256" i="1"/>
  <c r="CB255" i="1"/>
  <c r="CB254" i="1"/>
  <c r="CB253" i="1"/>
  <c r="CB252" i="1"/>
  <c r="CB251" i="1"/>
  <c r="CB250" i="1"/>
  <c r="CB248" i="1"/>
  <c r="CB246" i="1"/>
  <c r="CB245" i="1"/>
  <c r="CB244" i="1"/>
  <c r="CB243" i="1"/>
  <c r="CB242" i="1"/>
  <c r="CB241" i="1"/>
  <c r="CB142" i="1"/>
  <c r="CB240" i="1"/>
  <c r="CB239" i="1"/>
  <c r="CB238" i="1"/>
  <c r="CB237" i="1"/>
  <c r="CB236" i="1"/>
  <c r="CB234" i="1"/>
  <c r="CB233" i="1"/>
  <c r="CB232" i="1"/>
  <c r="CB231" i="1"/>
  <c r="CB229" i="1"/>
  <c r="CB228" i="1"/>
  <c r="CB227" i="1"/>
  <c r="CB226" i="1"/>
  <c r="CB225" i="1"/>
  <c r="CB224" i="1"/>
  <c r="CB223" i="1"/>
  <c r="CB222" i="1"/>
  <c r="CB221" i="1"/>
  <c r="CB220" i="1"/>
  <c r="CB219" i="1"/>
  <c r="CB218" i="1"/>
  <c r="CB217" i="1"/>
  <c r="CB216" i="1"/>
  <c r="CB215" i="1"/>
  <c r="CB214" i="1"/>
  <c r="CB213" i="1"/>
  <c r="CB212" i="1"/>
  <c r="CB211" i="1"/>
  <c r="CB210" i="1"/>
  <c r="CB209" i="1"/>
  <c r="CB208" i="1"/>
  <c r="CB207" i="1"/>
  <c r="CB206" i="1"/>
  <c r="CB205" i="1"/>
  <c r="CB204" i="1"/>
  <c r="CB203" i="1"/>
  <c r="CB200" i="1"/>
  <c r="CB199" i="1"/>
  <c r="CB198" i="1"/>
  <c r="CB197" i="1"/>
  <c r="CB196" i="1"/>
  <c r="CB195" i="1"/>
  <c r="CB194" i="1"/>
  <c r="CB193" i="1"/>
  <c r="CB192" i="1"/>
  <c r="CB191" i="1"/>
  <c r="CB190" i="1"/>
  <c r="CB187" i="1"/>
  <c r="CB186" i="1"/>
  <c r="CB185" i="1"/>
  <c r="CB184" i="1"/>
  <c r="CB183" i="1"/>
  <c r="CB182" i="1"/>
  <c r="CB181" i="1"/>
  <c r="CB180" i="1"/>
  <c r="CB178" i="1"/>
  <c r="CB174" i="1"/>
  <c r="CB172" i="1"/>
  <c r="CB171" i="1"/>
  <c r="CB170" i="1"/>
  <c r="CB169" i="1"/>
  <c r="CB168" i="1"/>
  <c r="CB167" i="1"/>
  <c r="CB165" i="1"/>
  <c r="CB164" i="1"/>
  <c r="CB163" i="1"/>
  <c r="CB162" i="1"/>
  <c r="CB161" i="1"/>
  <c r="CB160" i="1"/>
  <c r="CB159" i="1"/>
  <c r="CB158" i="1"/>
  <c r="CB157" i="1"/>
  <c r="CB156" i="1"/>
  <c r="CB155" i="1"/>
  <c r="CB154" i="1"/>
  <c r="CB153" i="1"/>
  <c r="CB152" i="1"/>
  <c r="CB151" i="1"/>
  <c r="CB150" i="1"/>
  <c r="CB149" i="1"/>
  <c r="CB148" i="1"/>
  <c r="CB147" i="1"/>
  <c r="CB146" i="1"/>
  <c r="CB145" i="1"/>
  <c r="CB144" i="1"/>
  <c r="CB141" i="1"/>
  <c r="CB140" i="1"/>
  <c r="CB139" i="1"/>
  <c r="CB137" i="1"/>
  <c r="CB136" i="1"/>
  <c r="CB135" i="1"/>
  <c r="CB134" i="1"/>
  <c r="CB132" i="1"/>
  <c r="CB131" i="1"/>
  <c r="CB130" i="1"/>
  <c r="CB128" i="1"/>
  <c r="CB127" i="1"/>
  <c r="CB125" i="1"/>
  <c r="CB124" i="1"/>
  <c r="CB123" i="1"/>
  <c r="CB122" i="1"/>
  <c r="CB442" i="1"/>
  <c r="CB121" i="1"/>
  <c r="CB120" i="1"/>
  <c r="CB119" i="1"/>
  <c r="CB118" i="1"/>
  <c r="CB117" i="1"/>
  <c r="CB116" i="1"/>
  <c r="CB115" i="1"/>
  <c r="CB113" i="1"/>
  <c r="CB111" i="1"/>
  <c r="CB109" i="1"/>
  <c r="CB108" i="1"/>
  <c r="CB107" i="1"/>
  <c r="CB106" i="1"/>
  <c r="CB105" i="1"/>
  <c r="CB103" i="1"/>
  <c r="CB102" i="1"/>
  <c r="CB101" i="1"/>
  <c r="CB100" i="1"/>
  <c r="CB99" i="1"/>
  <c r="CB96" i="1"/>
  <c r="CB95" i="1"/>
  <c r="CB94" i="1"/>
  <c r="CB93" i="1"/>
  <c r="CB92" i="1"/>
  <c r="CB91" i="1"/>
  <c r="CB90" i="1"/>
  <c r="CB89" i="1"/>
  <c r="CB87" i="1"/>
  <c r="CB88" i="1"/>
  <c r="CB86" i="1"/>
  <c r="CB85" i="1"/>
  <c r="CB83" i="1"/>
  <c r="CB82" i="1"/>
  <c r="CB81" i="1"/>
  <c r="CB79" i="1"/>
  <c r="CB78" i="1"/>
  <c r="CB77" i="1"/>
  <c r="CB76" i="1"/>
  <c r="CB75" i="1"/>
  <c r="CB74" i="1"/>
  <c r="CB73" i="1"/>
  <c r="CB72" i="1"/>
  <c r="CB71" i="1"/>
  <c r="CB70" i="1"/>
  <c r="CB68" i="1"/>
  <c r="CB67" i="1"/>
  <c r="CB66" i="1"/>
  <c r="CB65" i="1"/>
  <c r="CB64" i="1"/>
  <c r="CB63" i="1"/>
  <c r="CB62" i="1"/>
  <c r="CB61" i="1"/>
  <c r="CB60" i="1"/>
  <c r="CB59" i="1"/>
  <c r="CB58" i="1"/>
  <c r="CB57" i="1"/>
  <c r="CB56" i="1"/>
  <c r="CB55" i="1"/>
  <c r="CB53" i="1"/>
  <c r="CB50" i="1"/>
  <c r="CB49" i="1"/>
  <c r="CB48" i="1"/>
  <c r="CB46" i="1"/>
  <c r="CB44" i="1"/>
  <c r="CB43" i="1"/>
  <c r="CB42" i="1"/>
  <c r="CB41" i="1"/>
  <c r="CB40" i="1"/>
  <c r="CB39" i="1"/>
  <c r="CB38" i="1"/>
  <c r="CB37" i="1"/>
  <c r="CB36" i="1"/>
  <c r="CB35" i="1"/>
  <c r="CB34" i="1"/>
  <c r="CB33" i="1"/>
  <c r="CB32" i="1"/>
  <c r="CB31" i="1"/>
  <c r="CB30" i="1"/>
  <c r="CB29" i="1"/>
  <c r="CB28" i="1"/>
  <c r="CB26" i="1"/>
  <c r="CB25" i="1"/>
  <c r="CB24" i="1"/>
  <c r="CB22" i="1"/>
  <c r="CB19" i="1"/>
  <c r="CB104" i="1"/>
  <c r="CC922" i="1"/>
  <c r="CC920" i="1"/>
  <c r="CC919" i="1"/>
  <c r="CC918" i="1"/>
  <c r="CC917" i="1"/>
  <c r="CC916" i="1"/>
  <c r="CC914" i="1"/>
  <c r="CC913" i="1"/>
  <c r="CC910" i="1"/>
  <c r="CC909" i="1"/>
  <c r="CC908" i="1"/>
  <c r="CC905" i="1"/>
  <c r="CC904" i="1"/>
  <c r="CC902" i="1"/>
  <c r="CC901" i="1"/>
  <c r="CC900" i="1"/>
  <c r="CC899" i="1"/>
  <c r="CC898" i="1"/>
  <c r="CC897" i="1"/>
  <c r="CC896" i="1"/>
  <c r="CC895" i="1"/>
  <c r="CC894" i="1"/>
  <c r="CC893" i="1"/>
  <c r="CC890" i="1"/>
  <c r="CC889" i="1"/>
  <c r="CC887" i="1"/>
  <c r="CC885" i="1"/>
  <c r="CC884" i="1"/>
  <c r="CC882" i="1"/>
  <c r="CC881" i="1"/>
  <c r="CC880" i="1"/>
  <c r="CC879" i="1"/>
  <c r="CC878" i="1"/>
  <c r="CC877" i="1"/>
  <c r="CC876" i="1"/>
  <c r="CC875" i="1"/>
  <c r="CC874" i="1"/>
  <c r="CC871" i="1"/>
  <c r="CC870" i="1"/>
  <c r="CC869" i="1"/>
  <c r="CC868" i="1"/>
  <c r="CC867" i="1"/>
  <c r="CC866" i="1"/>
  <c r="CC865" i="1"/>
  <c r="CC864" i="1"/>
  <c r="CC863" i="1"/>
  <c r="CC862" i="1"/>
  <c r="CC861" i="1"/>
  <c r="CC860" i="1"/>
  <c r="CC859" i="1"/>
  <c r="CC503" i="1"/>
  <c r="CC858" i="1"/>
  <c r="CC857" i="1"/>
  <c r="CC856" i="1"/>
  <c r="CC854" i="1"/>
  <c r="CC850" i="1"/>
  <c r="CC849" i="1"/>
  <c r="CC848" i="1"/>
  <c r="CC847" i="1"/>
  <c r="CC846" i="1"/>
  <c r="CC845" i="1"/>
  <c r="CC844" i="1"/>
  <c r="CC842" i="1"/>
  <c r="CC841" i="1"/>
  <c r="CC839" i="1"/>
  <c r="CC838" i="1"/>
  <c r="CC836" i="1"/>
  <c r="CC835" i="1"/>
  <c r="CC834" i="1"/>
  <c r="CC833" i="1"/>
  <c r="CC832" i="1"/>
  <c r="CC831" i="1"/>
  <c r="CC830" i="1"/>
  <c r="CC829" i="1"/>
  <c r="CC828" i="1"/>
  <c r="CC827" i="1"/>
  <c r="CC826" i="1"/>
  <c r="CC825" i="1"/>
  <c r="CC823" i="1"/>
  <c r="CC821" i="1"/>
  <c r="CC820" i="1"/>
  <c r="CC819" i="1"/>
  <c r="CC818" i="1"/>
  <c r="CC816" i="1"/>
  <c r="CC815" i="1"/>
  <c r="CC814" i="1"/>
  <c r="CC813" i="1"/>
  <c r="CC812" i="1"/>
  <c r="CC811" i="1"/>
  <c r="CC810" i="1"/>
  <c r="CC809" i="1"/>
  <c r="CC808" i="1"/>
  <c r="CC806" i="1"/>
  <c r="CC805" i="1"/>
  <c r="CC804" i="1"/>
  <c r="CC803" i="1"/>
  <c r="CC801" i="1"/>
  <c r="CC800" i="1"/>
  <c r="CC799" i="1"/>
  <c r="CC798" i="1"/>
  <c r="CC796" i="1"/>
  <c r="CC795" i="1"/>
  <c r="CC794" i="1"/>
  <c r="CC793" i="1"/>
  <c r="CC792" i="1"/>
  <c r="CC791" i="1"/>
  <c r="CC790" i="1"/>
  <c r="CC789" i="1"/>
  <c r="CC788" i="1"/>
  <c r="CC784" i="1"/>
  <c r="CC782" i="1"/>
  <c r="CC781" i="1"/>
  <c r="CC780" i="1"/>
  <c r="CC779" i="1"/>
  <c r="CC778" i="1"/>
  <c r="CC777" i="1"/>
  <c r="CC776" i="1"/>
  <c r="CC775" i="1"/>
  <c r="CC774" i="1"/>
  <c r="CC773" i="1"/>
  <c r="CC771" i="1"/>
  <c r="CC770" i="1"/>
  <c r="CC769" i="1"/>
  <c r="CC768" i="1"/>
  <c r="CC765" i="1"/>
  <c r="CC764" i="1"/>
  <c r="CC763" i="1"/>
  <c r="CC762" i="1"/>
  <c r="CC761" i="1"/>
  <c r="CC760" i="1"/>
  <c r="CC757" i="1"/>
  <c r="CC756" i="1"/>
  <c r="CC755" i="1"/>
  <c r="CC754" i="1"/>
  <c r="CC753" i="1"/>
  <c r="CC752" i="1"/>
  <c r="CC750" i="1"/>
  <c r="CC748" i="1"/>
  <c r="CC747" i="1"/>
  <c r="CC746" i="1"/>
  <c r="CC745" i="1"/>
  <c r="CC744" i="1"/>
  <c r="CC743" i="1"/>
  <c r="CC742" i="1"/>
  <c r="CC741" i="1"/>
  <c r="CC740" i="1"/>
  <c r="CC739" i="1"/>
  <c r="CC738" i="1"/>
  <c r="CC737" i="1"/>
  <c r="CC736" i="1"/>
  <c r="CC735" i="1"/>
  <c r="CC734" i="1"/>
  <c r="CC733" i="1"/>
  <c r="CC732" i="1"/>
  <c r="CC731" i="1"/>
  <c r="CC728" i="1"/>
  <c r="CC727" i="1"/>
  <c r="CC726" i="1"/>
  <c r="CC724" i="1"/>
  <c r="CC723" i="1"/>
  <c r="CC721" i="1"/>
  <c r="CC719" i="1"/>
  <c r="CC718" i="1"/>
  <c r="CC717" i="1"/>
  <c r="CC715" i="1"/>
  <c r="CC713" i="1"/>
  <c r="CC712" i="1"/>
  <c r="CC710" i="1"/>
  <c r="CC708" i="1"/>
  <c r="CC707" i="1"/>
  <c r="CC706" i="1"/>
  <c r="CC705" i="1"/>
  <c r="CC704" i="1"/>
  <c r="CC701" i="1"/>
  <c r="CC698" i="1"/>
  <c r="CC696" i="1"/>
  <c r="CC695" i="1"/>
  <c r="CC694" i="1"/>
  <c r="CC692" i="1"/>
  <c r="CC691" i="1"/>
  <c r="CC690" i="1"/>
  <c r="CC689" i="1"/>
  <c r="CC688" i="1"/>
  <c r="CC686" i="1"/>
  <c r="CC685" i="1"/>
  <c r="CC684" i="1"/>
  <c r="CC683" i="1"/>
  <c r="CC682" i="1"/>
  <c r="CC681" i="1"/>
  <c r="CC680" i="1"/>
  <c r="CC679" i="1"/>
  <c r="CC678" i="1"/>
  <c r="CC677" i="1"/>
  <c r="CC676" i="1"/>
  <c r="CC675" i="1"/>
  <c r="CC673" i="1"/>
  <c r="CC672" i="1"/>
  <c r="CC670" i="1"/>
  <c r="CC669" i="1"/>
  <c r="CC668" i="1"/>
  <c r="CC667" i="1"/>
  <c r="CC666" i="1"/>
  <c r="CC665" i="1"/>
  <c r="CC664" i="1"/>
  <c r="CC663" i="1"/>
  <c r="CC662" i="1"/>
  <c r="CC661" i="1"/>
  <c r="CC660" i="1"/>
  <c r="CC659" i="1"/>
  <c r="CC658" i="1"/>
  <c r="CC657" i="1"/>
  <c r="CC656" i="1"/>
  <c r="CC655" i="1"/>
  <c r="CC654" i="1"/>
  <c r="CC653" i="1"/>
  <c r="CC652" i="1"/>
  <c r="CC651" i="1"/>
  <c r="CC650" i="1"/>
  <c r="CC648" i="1"/>
  <c r="CC647" i="1"/>
  <c r="CC645" i="1"/>
  <c r="CC643" i="1"/>
  <c r="CC641" i="1"/>
  <c r="CC640" i="1"/>
  <c r="CC639" i="1"/>
  <c r="CC638" i="1"/>
  <c r="CC637" i="1"/>
  <c r="CC636" i="1"/>
  <c r="CC634" i="1"/>
  <c r="CC633" i="1"/>
  <c r="CC631" i="1"/>
  <c r="CC629" i="1"/>
  <c r="CC628" i="1"/>
  <c r="CC626" i="1"/>
  <c r="CC625" i="1"/>
  <c r="CC624" i="1"/>
  <c r="CC622" i="1"/>
  <c r="CC621" i="1"/>
  <c r="CC620" i="1"/>
  <c r="CC619" i="1"/>
  <c r="CC618" i="1"/>
  <c r="CC617" i="1"/>
  <c r="CC616" i="1"/>
  <c r="CC615" i="1"/>
  <c r="CC613" i="1"/>
  <c r="CC611" i="1"/>
  <c r="CC609" i="1"/>
  <c r="CC607" i="1"/>
  <c r="CC605" i="1"/>
  <c r="CC604" i="1"/>
  <c r="CC603" i="1"/>
  <c r="CC602" i="1"/>
  <c r="CC601" i="1"/>
  <c r="CC600" i="1"/>
  <c r="CC599" i="1"/>
  <c r="CC594" i="1"/>
  <c r="CC592" i="1"/>
  <c r="CC591" i="1"/>
  <c r="CC590" i="1"/>
  <c r="CC588" i="1"/>
  <c r="CC587" i="1"/>
  <c r="CC586" i="1"/>
  <c r="CC585" i="1"/>
  <c r="CC584" i="1"/>
  <c r="CC583" i="1"/>
  <c r="CC581" i="1"/>
  <c r="CC580" i="1"/>
  <c r="CC579" i="1"/>
  <c r="CC577" i="1"/>
  <c r="CC575" i="1"/>
  <c r="CC574" i="1"/>
  <c r="CC573" i="1"/>
  <c r="CC572" i="1"/>
  <c r="CC571" i="1"/>
  <c r="CC570" i="1"/>
  <c r="CC569" i="1"/>
  <c r="CC567" i="1"/>
  <c r="CC564" i="1"/>
  <c r="CC563" i="1"/>
  <c r="CC562" i="1"/>
  <c r="CC559" i="1"/>
  <c r="CC558" i="1"/>
  <c r="CC557" i="1"/>
  <c r="CC556" i="1"/>
  <c r="CC555" i="1"/>
  <c r="CC554" i="1"/>
  <c r="CC553" i="1"/>
  <c r="CC552" i="1"/>
  <c r="CC551" i="1"/>
  <c r="CC550" i="1"/>
  <c r="CC549" i="1"/>
  <c r="CC548" i="1"/>
  <c r="CC546" i="1"/>
  <c r="CC545" i="1"/>
  <c r="CC543" i="1"/>
  <c r="CC542" i="1"/>
  <c r="CC541" i="1"/>
  <c r="CC540" i="1"/>
  <c r="CC539" i="1"/>
  <c r="CC538" i="1"/>
  <c r="CC537" i="1"/>
  <c r="CC536" i="1"/>
  <c r="CC535" i="1"/>
  <c r="CC534" i="1"/>
  <c r="CC532" i="1"/>
  <c r="CC531" i="1"/>
  <c r="CC530" i="1"/>
  <c r="CC529" i="1"/>
  <c r="CC528" i="1"/>
  <c r="CC527" i="1"/>
  <c r="CC526" i="1"/>
  <c r="CC525" i="1"/>
  <c r="CC524" i="1"/>
  <c r="CC523" i="1"/>
  <c r="CC522" i="1"/>
  <c r="CC521" i="1"/>
  <c r="CC520" i="1"/>
  <c r="CC519" i="1"/>
  <c r="CC518" i="1"/>
  <c r="CC517" i="1"/>
  <c r="CC514" i="1"/>
  <c r="CC513" i="1"/>
  <c r="CC512" i="1"/>
  <c r="CC510" i="1"/>
  <c r="CC509" i="1"/>
  <c r="CC508" i="1"/>
  <c r="CC507" i="1"/>
  <c r="CC506" i="1"/>
  <c r="CC505" i="1"/>
  <c r="CC502" i="1"/>
  <c r="CC501" i="1"/>
  <c r="CC500" i="1"/>
  <c r="CC499" i="1"/>
  <c r="CC498" i="1"/>
  <c r="CC497" i="1"/>
  <c r="CC496" i="1"/>
  <c r="CC495" i="1"/>
  <c r="CC493" i="1"/>
  <c r="CC492" i="1"/>
  <c r="CC491" i="1"/>
  <c r="CC489" i="1"/>
  <c r="CC487" i="1"/>
  <c r="CC484" i="1"/>
  <c r="CC407" i="1"/>
  <c r="CC406" i="1"/>
  <c r="CC408" i="1"/>
  <c r="CC482" i="1"/>
  <c r="CC481" i="1"/>
  <c r="CC478" i="1"/>
  <c r="CC475" i="1"/>
  <c r="CC474" i="1"/>
  <c r="CC473" i="1"/>
  <c r="CC472" i="1"/>
  <c r="CC560" i="1"/>
  <c r="CC471" i="1"/>
  <c r="CC470" i="1"/>
  <c r="CC469" i="1"/>
  <c r="CC468" i="1"/>
  <c r="CC466" i="1"/>
  <c r="CC464" i="1"/>
  <c r="CC463" i="1"/>
  <c r="CC462" i="1"/>
  <c r="CC461" i="1"/>
  <c r="CC460" i="1"/>
  <c r="CC459" i="1"/>
  <c r="CC458" i="1"/>
  <c r="CC457" i="1"/>
  <c r="CC456" i="1"/>
  <c r="CC455" i="1"/>
  <c r="CC454" i="1"/>
  <c r="CC453" i="1"/>
  <c r="CC451" i="1"/>
  <c r="CC450" i="1"/>
  <c r="CC448" i="1"/>
  <c r="CC447" i="1"/>
  <c r="CC446" i="1"/>
  <c r="CC445" i="1"/>
  <c r="CC444" i="1"/>
  <c r="CC443" i="1"/>
  <c r="CC441" i="1"/>
  <c r="CC440" i="1"/>
  <c r="CC437" i="1"/>
  <c r="CC436" i="1"/>
  <c r="CC435" i="1"/>
  <c r="CC433" i="1"/>
  <c r="CC432" i="1"/>
  <c r="CC431" i="1"/>
  <c r="CC430" i="1"/>
  <c r="CC429" i="1"/>
  <c r="CC428" i="1"/>
  <c r="CC427" i="1"/>
  <c r="CC426" i="1"/>
  <c r="CC425" i="1"/>
  <c r="CC423" i="1"/>
  <c r="CC422" i="1"/>
  <c r="CC421" i="1"/>
  <c r="CC419" i="1"/>
  <c r="CC418" i="1"/>
  <c r="CC417" i="1"/>
  <c r="CC416" i="1"/>
  <c r="CC415" i="1"/>
  <c r="CC414" i="1"/>
  <c r="CC412" i="1"/>
  <c r="CC409" i="1"/>
  <c r="CC405" i="1"/>
  <c r="CC404" i="1"/>
  <c r="CC403" i="1"/>
  <c r="CC402" i="1"/>
  <c r="CC401" i="1"/>
  <c r="CC400" i="1"/>
  <c r="CC399" i="1"/>
  <c r="CC398" i="1"/>
  <c r="CC397" i="1"/>
  <c r="CC394" i="1"/>
  <c r="CC392" i="1"/>
  <c r="CC391" i="1"/>
  <c r="CC390" i="1"/>
  <c r="CC389" i="1"/>
  <c r="CC388" i="1"/>
  <c r="CC387" i="1"/>
  <c r="CC386" i="1"/>
  <c r="CC385" i="1"/>
  <c r="CC384" i="1"/>
  <c r="CC383" i="1"/>
  <c r="CC381" i="1"/>
  <c r="CC380" i="1"/>
  <c r="CC379" i="1"/>
  <c r="CC378" i="1"/>
  <c r="CC377" i="1"/>
  <c r="CC376" i="1"/>
  <c r="CC374" i="1"/>
  <c r="CC373" i="1"/>
  <c r="CC372" i="1"/>
  <c r="CC371" i="1"/>
  <c r="CC370" i="1"/>
  <c r="CC369" i="1"/>
  <c r="CC368" i="1"/>
  <c r="CC367" i="1"/>
  <c r="CC365" i="1"/>
  <c r="CC363" i="1"/>
  <c r="CC362" i="1"/>
  <c r="CC361" i="1"/>
  <c r="CC360" i="1"/>
  <c r="CC359" i="1"/>
  <c r="CC358" i="1"/>
  <c r="CC357" i="1"/>
  <c r="CC356" i="1"/>
  <c r="CC355" i="1"/>
  <c r="CC354" i="1"/>
  <c r="CC351" i="1"/>
  <c r="CC350" i="1"/>
  <c r="CC349" i="1"/>
  <c r="CC348" i="1"/>
  <c r="CC347" i="1"/>
  <c r="CC345" i="1"/>
  <c r="CC344" i="1"/>
  <c r="CC343" i="1"/>
  <c r="CC342" i="1"/>
  <c r="CC340" i="1"/>
  <c r="CC339" i="1"/>
  <c r="CC338" i="1"/>
  <c r="CC336" i="1"/>
  <c r="CC335" i="1"/>
  <c r="CC334" i="1"/>
  <c r="CC333" i="1"/>
  <c r="CC332" i="1"/>
  <c r="CC330" i="1"/>
  <c r="CC329" i="1"/>
  <c r="CC328" i="1"/>
  <c r="CC327" i="1"/>
  <c r="CC326" i="1"/>
  <c r="CC325" i="1"/>
  <c r="CC324" i="1"/>
  <c r="CC323" i="1"/>
  <c r="CC322" i="1"/>
  <c r="CC321" i="1"/>
  <c r="CC320" i="1"/>
  <c r="CC319" i="1"/>
  <c r="CC317" i="1"/>
  <c r="CC316" i="1"/>
  <c r="CC315" i="1"/>
  <c r="CC314" i="1"/>
  <c r="CC313" i="1"/>
  <c r="CC312" i="1"/>
  <c r="CC311" i="1"/>
  <c r="CC310" i="1"/>
  <c r="CC309" i="1"/>
  <c r="CC308" i="1"/>
  <c r="CC307" i="1"/>
  <c r="CC306" i="1"/>
  <c r="CC305" i="1"/>
  <c r="CC304" i="1"/>
  <c r="CC303" i="1"/>
  <c r="CC302" i="1"/>
  <c r="CC301" i="1"/>
  <c r="CC300" i="1"/>
  <c r="CC299" i="1"/>
  <c r="CC298" i="1"/>
  <c r="CC297" i="1"/>
  <c r="CC295" i="1"/>
  <c r="CC294" i="1"/>
  <c r="CC293" i="1"/>
  <c r="CC292" i="1"/>
  <c r="CC290" i="1"/>
  <c r="CC289" i="1"/>
  <c r="CC288" i="1"/>
  <c r="CC287" i="1"/>
  <c r="CC286" i="1"/>
  <c r="CC284" i="1"/>
  <c r="CC283" i="1"/>
  <c r="CC281" i="1"/>
  <c r="CC279" i="1"/>
  <c r="CC278" i="1"/>
  <c r="CC277" i="1"/>
  <c r="CC276" i="1"/>
  <c r="CC274" i="1"/>
  <c r="CC273" i="1"/>
  <c r="CC272" i="1"/>
  <c r="CC271" i="1"/>
  <c r="CC270" i="1"/>
  <c r="CC269" i="1"/>
  <c r="CC267" i="1"/>
  <c r="CC266" i="1"/>
  <c r="CC265" i="1"/>
  <c r="CC264" i="1"/>
  <c r="CC262" i="1"/>
  <c r="CC261" i="1"/>
  <c r="CC260" i="1"/>
  <c r="CC259" i="1"/>
  <c r="CC258" i="1"/>
  <c r="CC257" i="1"/>
  <c r="CC256" i="1"/>
  <c r="CC255" i="1"/>
  <c r="CC254" i="1"/>
  <c r="CC253" i="1"/>
  <c r="CC252" i="1"/>
  <c r="CC251" i="1"/>
  <c r="CC250" i="1"/>
  <c r="CC248" i="1"/>
  <c r="CC246" i="1"/>
  <c r="CC245" i="1"/>
  <c r="CC244" i="1"/>
  <c r="CC243" i="1"/>
  <c r="CC242" i="1"/>
  <c r="CC241" i="1"/>
  <c r="CC142" i="1"/>
  <c r="CC240" i="1"/>
  <c r="CC239" i="1"/>
  <c r="CC238" i="1"/>
  <c r="CC237" i="1"/>
  <c r="CC236" i="1"/>
  <c r="CC234" i="1"/>
  <c r="CC233" i="1"/>
  <c r="CC232" i="1"/>
  <c r="CC231" i="1"/>
  <c r="CC229" i="1"/>
  <c r="CC228" i="1"/>
  <c r="CC227" i="1"/>
  <c r="CC226" i="1"/>
  <c r="CC225" i="1"/>
  <c r="CC224" i="1"/>
  <c r="CC223" i="1"/>
  <c r="CC222" i="1"/>
  <c r="CC221" i="1"/>
  <c r="CC220" i="1"/>
  <c r="CC219" i="1"/>
  <c r="CC218" i="1"/>
  <c r="CC217" i="1"/>
  <c r="CC216" i="1"/>
  <c r="CC215" i="1"/>
  <c r="CC214" i="1"/>
  <c r="CC213" i="1"/>
  <c r="CC212" i="1"/>
  <c r="CC211" i="1"/>
  <c r="CC210" i="1"/>
  <c r="CC209" i="1"/>
  <c r="CC208" i="1"/>
  <c r="CC207" i="1"/>
  <c r="CC206" i="1"/>
  <c r="CC205" i="1"/>
  <c r="CC204" i="1"/>
  <c r="CC203" i="1"/>
  <c r="CC200" i="1"/>
  <c r="CC199" i="1"/>
  <c r="CC198" i="1"/>
  <c r="CC197" i="1"/>
  <c r="CC196" i="1"/>
  <c r="CC195" i="1"/>
  <c r="CC194" i="1"/>
  <c r="CC193" i="1"/>
  <c r="CC192" i="1"/>
  <c r="CC191" i="1"/>
  <c r="CC190" i="1"/>
  <c r="CC187" i="1"/>
  <c r="CC186" i="1"/>
  <c r="CC185" i="1"/>
  <c r="CC184" i="1"/>
  <c r="CC183" i="1"/>
  <c r="CC182" i="1"/>
  <c r="CC181" i="1"/>
  <c r="CC180" i="1"/>
  <c r="CC178" i="1"/>
  <c r="CC174" i="1"/>
  <c r="CC172" i="1"/>
  <c r="CC171" i="1"/>
  <c r="CC170" i="1"/>
  <c r="CC169" i="1"/>
  <c r="CC168" i="1"/>
  <c r="CC167" i="1"/>
  <c r="CC165" i="1"/>
  <c r="CC164" i="1"/>
  <c r="CC163" i="1"/>
  <c r="CC162" i="1"/>
  <c r="CC161" i="1"/>
  <c r="CC160" i="1"/>
  <c r="CC159" i="1"/>
  <c r="CC158" i="1"/>
  <c r="CC157" i="1"/>
  <c r="CC156" i="1"/>
  <c r="CC155" i="1"/>
  <c r="CC154" i="1"/>
  <c r="CC153" i="1"/>
  <c r="CC152" i="1"/>
  <c r="CC151" i="1"/>
  <c r="CC150" i="1"/>
  <c r="CC149" i="1"/>
  <c r="CC148" i="1"/>
  <c r="CC147" i="1"/>
  <c r="CC146" i="1"/>
  <c r="CC145" i="1"/>
  <c r="CC144" i="1"/>
  <c r="CC141" i="1"/>
  <c r="CC140" i="1"/>
  <c r="CC139" i="1"/>
  <c r="CC137" i="1"/>
  <c r="CC136" i="1"/>
  <c r="CC135" i="1"/>
  <c r="CC134" i="1"/>
  <c r="CC132" i="1"/>
  <c r="CC131" i="1"/>
  <c r="CC130" i="1"/>
  <c r="CC128" i="1"/>
  <c r="CC127" i="1"/>
  <c r="CC125" i="1"/>
  <c r="CC124" i="1"/>
  <c r="CC123" i="1"/>
  <c r="CC122" i="1"/>
  <c r="CC442" i="1"/>
  <c r="CC121" i="1"/>
  <c r="CC120" i="1"/>
  <c r="CC119" i="1"/>
  <c r="CC118" i="1"/>
  <c r="CC117" i="1"/>
  <c r="CC116" i="1"/>
  <c r="CC115" i="1"/>
  <c r="CC113" i="1"/>
  <c r="CC111" i="1"/>
  <c r="CC109" i="1"/>
  <c r="CC108" i="1"/>
  <c r="CC107" i="1"/>
  <c r="CC106" i="1"/>
  <c r="CC105" i="1"/>
  <c r="CC104" i="1"/>
  <c r="CC103" i="1"/>
  <c r="CC102" i="1"/>
  <c r="CC101" i="1"/>
  <c r="CC100" i="1"/>
  <c r="CC99" i="1"/>
  <c r="CC96" i="1"/>
  <c r="CC95" i="1"/>
  <c r="CC94" i="1"/>
  <c r="CC93" i="1"/>
  <c r="CC92" i="1"/>
  <c r="CC91" i="1"/>
  <c r="CC90" i="1"/>
  <c r="CC89" i="1"/>
  <c r="CC87" i="1"/>
  <c r="CC88" i="1"/>
  <c r="CC86" i="1"/>
  <c r="CC85" i="1"/>
  <c r="CC83" i="1"/>
  <c r="CC82" i="1"/>
  <c r="CC81" i="1"/>
  <c r="CC79" i="1"/>
  <c r="CC78" i="1"/>
  <c r="CC77" i="1"/>
  <c r="CC76" i="1"/>
  <c r="CC75" i="1"/>
  <c r="CC74" i="1"/>
  <c r="CC73" i="1"/>
  <c r="CC72" i="1"/>
  <c r="CC71" i="1"/>
  <c r="CC70" i="1"/>
  <c r="CC68" i="1"/>
  <c r="CC67" i="1"/>
  <c r="CC66" i="1"/>
  <c r="CC65" i="1"/>
  <c r="CC64" i="1"/>
  <c r="CC63" i="1"/>
  <c r="CC62" i="1"/>
  <c r="CC61" i="1"/>
  <c r="CC60" i="1"/>
  <c r="CC59" i="1"/>
  <c r="CC58" i="1"/>
  <c r="CC57" i="1"/>
  <c r="CC56" i="1"/>
  <c r="CC55" i="1"/>
  <c r="CC53" i="1"/>
  <c r="CC50" i="1"/>
  <c r="CC49" i="1"/>
  <c r="CC48" i="1"/>
  <c r="CC46" i="1"/>
  <c r="CC44" i="1"/>
  <c r="CC43" i="1"/>
  <c r="CC42" i="1"/>
  <c r="CC41" i="1"/>
  <c r="CC40" i="1"/>
  <c r="CC39" i="1"/>
  <c r="CC38" i="1"/>
  <c r="CC37" i="1"/>
  <c r="CC36" i="1"/>
  <c r="CC35" i="1"/>
  <c r="CC34" i="1"/>
  <c r="CC33" i="1"/>
  <c r="CC32" i="1"/>
  <c r="CC31" i="1"/>
  <c r="CC30" i="1"/>
  <c r="CC29" i="1"/>
  <c r="CC28" i="1"/>
  <c r="CC26" i="1"/>
  <c r="CC25" i="1"/>
  <c r="CC24" i="1"/>
  <c r="CC22" i="1"/>
  <c r="CC19" i="1"/>
  <c r="CF19" i="1" l="1"/>
  <c r="BM19" i="1" s="1"/>
  <c r="CF31" i="1"/>
  <c r="BM31" i="1" s="1"/>
  <c r="CF40" i="1"/>
  <c r="BM40" i="1" s="1"/>
  <c r="CF44" i="1"/>
  <c r="BM44" i="1" s="1"/>
  <c r="CF58" i="1"/>
  <c r="BM58" i="1" s="1"/>
  <c r="CF83" i="1"/>
  <c r="BM83" i="1" s="1"/>
  <c r="CF104" i="1"/>
  <c r="BM104" i="1" s="1"/>
  <c r="CF108" i="1"/>
  <c r="BM108" i="1" s="1"/>
  <c r="CF119" i="1"/>
  <c r="BM119" i="1" s="1"/>
  <c r="CF141" i="1"/>
  <c r="BM141" i="1" s="1"/>
  <c r="CF157" i="1"/>
  <c r="BM157" i="1" s="1"/>
  <c r="CF161" i="1"/>
  <c r="BM161" i="1" s="1"/>
  <c r="CF171" i="1"/>
  <c r="BM171" i="1" s="1"/>
  <c r="CF181" i="1"/>
  <c r="BM181" i="1" s="1"/>
  <c r="CF184" i="1"/>
  <c r="BM184" i="1" s="1"/>
  <c r="CF190" i="1"/>
  <c r="BM190" i="1" s="1"/>
  <c r="CF197" i="1"/>
  <c r="BM197" i="1" s="1"/>
  <c r="CF200" i="1"/>
  <c r="BM200" i="1" s="1"/>
  <c r="CF204" i="1"/>
  <c r="BM204" i="1" s="1"/>
  <c r="CF214" i="1"/>
  <c r="BM214" i="1" s="1"/>
  <c r="CF218" i="1"/>
  <c r="BM218" i="1" s="1"/>
  <c r="CF232" i="1"/>
  <c r="BM232" i="1" s="1"/>
  <c r="CF250" i="1"/>
  <c r="BM250" i="1" s="1"/>
  <c r="CF254" i="1"/>
  <c r="BM254" i="1" s="1"/>
  <c r="CF257" i="1"/>
  <c r="BM257" i="1" s="1"/>
  <c r="CF261" i="1"/>
  <c r="BM261" i="1" s="1"/>
  <c r="CF269" i="1"/>
  <c r="BM269" i="1" s="1"/>
  <c r="CF273" i="1"/>
  <c r="BM273" i="1" s="1"/>
  <c r="CF277" i="1"/>
  <c r="BM277" i="1" s="1"/>
  <c r="CF281" i="1"/>
  <c r="BM281" i="1" s="1"/>
  <c r="CF292" i="1"/>
  <c r="BM292" i="1" s="1"/>
  <c r="CF300" i="1"/>
  <c r="BM300" i="1" s="1"/>
  <c r="CF303" i="1"/>
  <c r="BM303" i="1" s="1"/>
  <c r="CF307" i="1"/>
  <c r="BM307" i="1" s="1"/>
  <c r="CF311" i="1"/>
  <c r="BM311" i="1" s="1"/>
  <c r="CF315" i="1"/>
  <c r="BM315" i="1" s="1"/>
  <c r="CF319" i="1"/>
  <c r="BM319" i="1" s="1"/>
  <c r="CF323" i="1"/>
  <c r="BM323" i="1" s="1"/>
  <c r="CF327" i="1"/>
  <c r="BM327" i="1" s="1"/>
  <c r="CF335" i="1"/>
  <c r="BM335" i="1" s="1"/>
  <c r="CF338" i="1"/>
  <c r="BM338" i="1" s="1"/>
  <c r="CF342" i="1"/>
  <c r="BM342" i="1" s="1"/>
  <c r="CF350" i="1"/>
  <c r="BM350" i="1" s="1"/>
  <c r="CF354" i="1"/>
  <c r="BM354" i="1" s="1"/>
  <c r="CF358" i="1"/>
  <c r="BM358" i="1" s="1"/>
  <c r="CF362" i="1"/>
  <c r="BM362" i="1" s="1"/>
  <c r="CF369" i="1"/>
  <c r="BM369" i="1" s="1"/>
  <c r="CF373" i="1"/>
  <c r="BM373" i="1" s="1"/>
  <c r="CF377" i="1"/>
  <c r="BM377" i="1" s="1"/>
  <c r="CF381" i="1"/>
  <c r="BM381" i="1" s="1"/>
  <c r="CF385" i="1"/>
  <c r="BM385" i="1" s="1"/>
  <c r="CF388" i="1"/>
  <c r="BM388" i="1" s="1"/>
  <c r="CF392" i="1"/>
  <c r="BM392" i="1" s="1"/>
  <c r="CF400" i="1"/>
  <c r="BM400" i="1" s="1"/>
  <c r="CF404" i="1"/>
  <c r="BM404" i="1" s="1"/>
  <c r="CF414" i="1"/>
  <c r="BM414" i="1" s="1"/>
  <c r="CF418" i="1"/>
  <c r="BM418" i="1" s="1"/>
  <c r="CF421" i="1"/>
  <c r="BM421" i="1" s="1"/>
  <c r="CF425" i="1"/>
  <c r="BM425" i="1" s="1"/>
  <c r="CF429" i="1"/>
  <c r="BM429" i="1" s="1"/>
  <c r="CF433" i="1"/>
  <c r="BM433" i="1" s="1"/>
  <c r="CF437" i="1"/>
  <c r="BM437" i="1" s="1"/>
  <c r="CF441" i="1"/>
  <c r="BM441" i="1" s="1"/>
  <c r="CF446" i="1"/>
  <c r="BM446" i="1" s="1"/>
  <c r="CF450" i="1"/>
  <c r="BM450" i="1" s="1"/>
  <c r="CF454" i="1"/>
  <c r="BM454" i="1" s="1"/>
  <c r="CF458" i="1"/>
  <c r="BM458" i="1" s="1"/>
  <c r="CF462" i="1"/>
  <c r="BM462" i="1" s="1"/>
  <c r="CF466" i="1"/>
  <c r="BM466" i="1" s="1"/>
  <c r="CF470" i="1"/>
  <c r="BM470" i="1" s="1"/>
  <c r="CF406" i="1"/>
  <c r="BM406" i="1" s="1"/>
  <c r="CF489" i="1"/>
  <c r="BM489" i="1" s="1"/>
  <c r="CF493" i="1"/>
  <c r="BM493" i="1" s="1"/>
  <c r="CF497" i="1"/>
  <c r="BM497" i="1" s="1"/>
  <c r="CF501" i="1"/>
  <c r="BM501" i="1" s="1"/>
  <c r="CF507" i="1"/>
  <c r="BM507" i="1" s="1"/>
  <c r="CF519" i="1"/>
  <c r="BM519" i="1" s="1"/>
  <c r="CF526" i="1"/>
  <c r="BM526" i="1" s="1"/>
  <c r="CF531" i="1"/>
  <c r="BM531" i="1" s="1"/>
  <c r="CF535" i="1"/>
  <c r="BM535" i="1" s="1"/>
  <c r="CF539" i="1"/>
  <c r="BM539" i="1" s="1"/>
  <c r="CF543" i="1"/>
  <c r="BM543" i="1" s="1"/>
  <c r="CF551" i="1"/>
  <c r="BM551" i="1" s="1"/>
  <c r="CF555" i="1"/>
  <c r="BM555" i="1" s="1"/>
  <c r="CF559" i="1"/>
  <c r="BM559" i="1" s="1"/>
  <c r="CF564" i="1"/>
  <c r="BM564" i="1" s="1"/>
  <c r="CF572" i="1"/>
  <c r="BM572" i="1" s="1"/>
  <c r="CF580" i="1"/>
  <c r="BM580" i="1" s="1"/>
  <c r="CF584" i="1"/>
  <c r="BM584" i="1" s="1"/>
  <c r="CF588" i="1"/>
  <c r="BM588" i="1" s="1"/>
  <c r="CF592" i="1"/>
  <c r="BM592" i="1" s="1"/>
  <c r="CF599" i="1"/>
  <c r="BM599" i="1" s="1"/>
  <c r="CF602" i="1"/>
  <c r="BM602" i="1" s="1"/>
  <c r="CF618" i="1"/>
  <c r="BM618" i="1" s="1"/>
  <c r="CF622" i="1"/>
  <c r="BM622" i="1" s="1"/>
  <c r="CF625" i="1"/>
  <c r="BM625" i="1" s="1"/>
  <c r="CF628" i="1"/>
  <c r="BM628" i="1" s="1"/>
  <c r="CF636" i="1"/>
  <c r="BM636" i="1" s="1"/>
  <c r="CF639" i="1"/>
  <c r="BM639" i="1" s="1"/>
  <c r="CF643" i="1"/>
  <c r="BM643" i="1" s="1"/>
  <c r="CF647" i="1"/>
  <c r="BM647" i="1" s="1"/>
  <c r="CF651" i="1"/>
  <c r="BM651" i="1" s="1"/>
  <c r="CF655" i="1"/>
  <c r="BM655" i="1" s="1"/>
  <c r="CF659" i="1"/>
  <c r="BM659" i="1" s="1"/>
  <c r="CF663" i="1"/>
  <c r="BM663" i="1" s="1"/>
  <c r="CF667" i="1"/>
  <c r="BM667" i="1" s="1"/>
  <c r="CF670" i="1"/>
  <c r="BM670" i="1" s="1"/>
  <c r="CF678" i="1"/>
  <c r="BM678" i="1" s="1"/>
  <c r="CF682" i="1"/>
  <c r="BM682" i="1" s="1"/>
  <c r="CF686" i="1"/>
  <c r="BM686" i="1" s="1"/>
  <c r="CF690" i="1"/>
  <c r="BM690" i="1" s="1"/>
  <c r="CF692" i="1"/>
  <c r="BM692" i="1" s="1"/>
  <c r="CF695" i="1"/>
  <c r="BM695" i="1" s="1"/>
  <c r="CF707" i="1"/>
  <c r="BM707" i="1" s="1"/>
  <c r="CF715" i="1"/>
  <c r="BM715" i="1" s="1"/>
  <c r="CF718" i="1"/>
  <c r="BM718" i="1" s="1"/>
  <c r="CF726" i="1"/>
  <c r="BM726" i="1" s="1"/>
  <c r="CF734" i="1"/>
  <c r="BM734" i="1" s="1"/>
  <c r="CF738" i="1"/>
  <c r="BM738" i="1" s="1"/>
  <c r="CF742" i="1"/>
  <c r="BM742" i="1" s="1"/>
  <c r="CF753" i="1"/>
  <c r="BM753" i="1" s="1"/>
  <c r="CF757" i="1"/>
  <c r="BM757" i="1" s="1"/>
  <c r="CF760" i="1"/>
  <c r="BM760" i="1" s="1"/>
  <c r="CF764" i="1"/>
  <c r="BM764" i="1" s="1"/>
  <c r="CF768" i="1"/>
  <c r="BM768" i="1" s="1"/>
  <c r="CF771" i="1"/>
  <c r="BM771" i="1" s="1"/>
  <c r="CF773" i="1"/>
  <c r="BM773" i="1" s="1"/>
  <c r="BM777" i="1"/>
  <c r="CF781" i="1"/>
  <c r="BM781" i="1" s="1"/>
  <c r="CF788" i="1"/>
  <c r="BM788" i="1" s="1"/>
  <c r="CF792" i="1"/>
  <c r="BM792" i="1" s="1"/>
  <c r="CF796" i="1"/>
  <c r="BM796" i="1" s="1"/>
  <c r="CF800" i="1"/>
  <c r="BM800" i="1" s="1"/>
  <c r="CF803" i="1"/>
  <c r="BM803" i="1" s="1"/>
  <c r="CF811" i="1"/>
  <c r="BM811" i="1" s="1"/>
  <c r="CF815" i="1"/>
  <c r="BM815" i="1" s="1"/>
  <c r="CF819" i="1"/>
  <c r="BM819" i="1" s="1"/>
  <c r="CF823" i="1"/>
  <c r="BM823" i="1" s="1"/>
  <c r="CF826" i="1"/>
  <c r="BM826" i="1" s="1"/>
  <c r="CF830" i="1"/>
  <c r="BM830" i="1" s="1"/>
  <c r="CF832" i="1"/>
  <c r="BM832" i="1" s="1"/>
  <c r="CF839" i="1"/>
  <c r="BM839" i="1" s="1"/>
  <c r="CF842" i="1"/>
  <c r="BM842" i="1" s="1"/>
  <c r="CF845" i="1"/>
  <c r="BM845" i="1" s="1"/>
  <c r="CF849" i="1"/>
  <c r="BM849" i="1" s="1"/>
  <c r="CF857" i="1"/>
  <c r="BM857" i="1" s="1"/>
  <c r="CF859" i="1"/>
  <c r="BM859" i="1" s="1"/>
  <c r="CF863" i="1"/>
  <c r="BM863" i="1" s="1"/>
  <c r="CF866" i="1"/>
  <c r="BM866" i="1" s="1"/>
  <c r="CF870" i="1"/>
  <c r="BM870" i="1" s="1"/>
  <c r="CF874" i="1"/>
  <c r="BM874" i="1" s="1"/>
  <c r="CF878" i="1"/>
  <c r="BM878" i="1" s="1"/>
  <c r="CF882" i="1"/>
  <c r="BM882" i="1" s="1"/>
  <c r="CF893" i="1"/>
  <c r="BM893" i="1" s="1"/>
  <c r="CF897" i="1"/>
  <c r="BM897" i="1" s="1"/>
  <c r="CF900" i="1"/>
  <c r="BM900" i="1" s="1"/>
  <c r="CF904" i="1"/>
  <c r="BM904" i="1" s="1"/>
  <c r="CF908" i="1"/>
  <c r="BM908" i="1" s="1"/>
  <c r="CF919" i="1"/>
  <c r="BM919" i="1" s="1"/>
  <c r="CF236" i="1"/>
  <c r="BM236" i="1" s="1"/>
  <c r="CF165" i="1"/>
  <c r="BM165" i="1" s="1"/>
  <c r="CF116" i="1"/>
  <c r="BM116" i="1" s="1"/>
  <c r="BM41" i="1"/>
  <c r="CF55" i="1"/>
  <c r="BM55" i="1" s="1"/>
  <c r="CF62" i="1"/>
  <c r="BM62" i="1" s="1"/>
  <c r="CF65" i="1"/>
  <c r="BM65" i="1" s="1"/>
  <c r="CF73" i="1"/>
  <c r="BM73" i="1" s="1"/>
  <c r="CF77" i="1"/>
  <c r="BM77" i="1" s="1"/>
  <c r="CF92" i="1"/>
  <c r="BM92" i="1" s="1"/>
  <c r="CF95" i="1"/>
  <c r="BM95" i="1" s="1"/>
  <c r="CF101" i="1"/>
  <c r="BM101" i="1" s="1"/>
  <c r="CF105" i="1"/>
  <c r="BM105" i="1" s="1"/>
  <c r="CF109" i="1"/>
  <c r="BM109" i="1" s="1"/>
  <c r="CF113" i="1"/>
  <c r="BM113" i="1" s="1"/>
  <c r="CF117" i="1"/>
  <c r="BM117" i="1" s="1"/>
  <c r="CF125" i="1"/>
  <c r="BM125" i="1" s="1"/>
  <c r="CF146" i="1"/>
  <c r="BM146" i="1" s="1"/>
  <c r="CF150" i="1"/>
  <c r="BM150" i="1" s="1"/>
  <c r="CF154" i="1"/>
  <c r="BM154" i="1" s="1"/>
  <c r="BM158" i="1"/>
  <c r="CF168" i="1"/>
  <c r="BM168" i="1" s="1"/>
  <c r="CF172" i="1"/>
  <c r="BM172" i="1" s="1"/>
  <c r="CF178" i="1"/>
  <c r="BM178" i="1" s="1"/>
  <c r="CF182" i="1"/>
  <c r="BM182" i="1" s="1"/>
  <c r="CF185" i="1"/>
  <c r="BM185" i="1" s="1"/>
  <c r="BM194" i="1"/>
  <c r="CF198" i="1"/>
  <c r="BM198" i="1" s="1"/>
  <c r="CF205" i="1"/>
  <c r="BM205" i="1" s="1"/>
  <c r="CF211" i="1"/>
  <c r="BM211" i="1" s="1"/>
  <c r="CF215" i="1"/>
  <c r="BM215" i="1" s="1"/>
  <c r="CF219" i="1"/>
  <c r="BM219" i="1" s="1"/>
  <c r="CF226" i="1"/>
  <c r="BM226" i="1" s="1"/>
  <c r="CF229" i="1"/>
  <c r="BM229" i="1" s="1"/>
  <c r="CF237" i="1"/>
  <c r="BM237" i="1" s="1"/>
  <c r="CF142" i="1"/>
  <c r="BM142" i="1" s="1"/>
  <c r="CF244" i="1"/>
  <c r="BM244" i="1" s="1"/>
  <c r="CF251" i="1"/>
  <c r="BM251" i="1" s="1"/>
  <c r="CF258" i="1"/>
  <c r="BM258" i="1" s="1"/>
  <c r="CF262" i="1"/>
  <c r="BM262" i="1" s="1"/>
  <c r="CF270" i="1"/>
  <c r="BM270" i="1" s="1"/>
  <c r="CF274" i="1"/>
  <c r="BM274" i="1" s="1"/>
  <c r="CF286" i="1"/>
  <c r="BM286" i="1" s="1"/>
  <c r="CF289" i="1"/>
  <c r="BM289" i="1" s="1"/>
  <c r="CF293" i="1"/>
  <c r="BM293" i="1" s="1"/>
  <c r="CF304" i="1"/>
  <c r="BM304" i="1" s="1"/>
  <c r="CF308" i="1"/>
  <c r="BM308" i="1" s="1"/>
  <c r="CF312" i="1"/>
  <c r="BM312" i="1" s="1"/>
  <c r="CF316" i="1"/>
  <c r="BM316" i="1" s="1"/>
  <c r="CF321" i="1"/>
  <c r="BM321" i="1" s="1"/>
  <c r="CF339" i="1"/>
  <c r="BM339" i="1" s="1"/>
  <c r="CF343" i="1"/>
  <c r="BM343" i="1" s="1"/>
  <c r="CF351" i="1"/>
  <c r="BM351" i="1" s="1"/>
  <c r="CF359" i="1"/>
  <c r="BM359" i="1" s="1"/>
  <c r="CF363" i="1"/>
  <c r="BM363" i="1" s="1"/>
  <c r="CF370" i="1"/>
  <c r="BM370" i="1" s="1"/>
  <c r="CF374" i="1"/>
  <c r="BM374" i="1" s="1"/>
  <c r="CF401" i="1"/>
  <c r="BM401" i="1" s="1"/>
  <c r="CF405" i="1"/>
  <c r="BM405" i="1" s="1"/>
  <c r="CF412" i="1"/>
  <c r="BM412" i="1" s="1"/>
  <c r="CF422" i="1"/>
  <c r="BM422" i="1" s="1"/>
  <c r="CF443" i="1"/>
  <c r="BM443" i="1" s="1"/>
  <c r="CF447" i="1"/>
  <c r="BM447" i="1" s="1"/>
  <c r="CF451" i="1"/>
  <c r="BM451" i="1" s="1"/>
  <c r="BM455" i="1"/>
  <c r="CF459" i="1"/>
  <c r="BM459" i="1" s="1"/>
  <c r="CF471" i="1"/>
  <c r="BM471" i="1" s="1"/>
  <c r="CF473" i="1"/>
  <c r="BM473" i="1" s="1"/>
  <c r="CF498" i="1"/>
  <c r="BM498" i="1" s="1"/>
  <c r="CF502" i="1"/>
  <c r="BM502" i="1" s="1"/>
  <c r="CF512" i="1"/>
  <c r="BM512" i="1" s="1"/>
  <c r="CF520" i="1"/>
  <c r="BM520" i="1" s="1"/>
  <c r="CF523" i="1"/>
  <c r="BM523" i="1" s="1"/>
  <c r="CF528" i="1"/>
  <c r="BM528" i="1" s="1"/>
  <c r="CF532" i="1"/>
  <c r="BM532" i="1" s="1"/>
  <c r="BM536" i="1"/>
  <c r="CF540" i="1"/>
  <c r="BM540" i="1" s="1"/>
  <c r="CF548" i="1"/>
  <c r="BM548" i="1" s="1"/>
  <c r="CF573" i="1"/>
  <c r="BM573" i="1" s="1"/>
  <c r="CF577" i="1"/>
  <c r="BM577" i="1" s="1"/>
  <c r="CF581" i="1"/>
  <c r="BM581" i="1" s="1"/>
  <c r="CF585" i="1"/>
  <c r="BM585" i="1" s="1"/>
  <c r="CF600" i="1"/>
  <c r="BM600" i="1" s="1"/>
  <c r="CF603" i="1"/>
  <c r="BM603" i="1" s="1"/>
  <c r="CF607" i="1"/>
  <c r="BM607" i="1" s="1"/>
  <c r="CF611" i="1"/>
  <c r="BM611" i="1" s="1"/>
  <c r="CF619" i="1"/>
  <c r="BM619" i="1" s="1"/>
  <c r="CF629" i="1"/>
  <c r="BM629" i="1" s="1"/>
  <c r="CF633" i="1"/>
  <c r="BM633" i="1" s="1"/>
  <c r="CF637" i="1"/>
  <c r="BM637" i="1" s="1"/>
  <c r="CF648" i="1"/>
  <c r="BM648" i="1" s="1"/>
  <c r="CF652" i="1"/>
  <c r="BM652" i="1" s="1"/>
  <c r="CF656" i="1"/>
  <c r="BM656" i="1" s="1"/>
  <c r="CF660" i="1"/>
  <c r="BM660" i="1" s="1"/>
  <c r="CF664" i="1"/>
  <c r="BM664" i="1" s="1"/>
  <c r="CF679" i="1"/>
  <c r="BM679" i="1" s="1"/>
  <c r="CF683" i="1"/>
  <c r="BM683" i="1" s="1"/>
  <c r="CF696" i="1"/>
  <c r="BM696" i="1" s="1"/>
  <c r="CF704" i="1"/>
  <c r="BM704" i="1" s="1"/>
  <c r="CF712" i="1"/>
  <c r="BM712" i="1" s="1"/>
  <c r="CF719" i="1"/>
  <c r="BM719" i="1" s="1"/>
  <c r="CF727" i="1"/>
  <c r="BM727" i="1" s="1"/>
  <c r="CF735" i="1"/>
  <c r="BM735" i="1" s="1"/>
  <c r="CF739" i="1"/>
  <c r="BM739" i="1" s="1"/>
  <c r="CF750" i="1"/>
  <c r="BM750" i="1" s="1"/>
  <c r="CF754" i="1"/>
  <c r="BM754" i="1" s="1"/>
  <c r="CF761" i="1"/>
  <c r="BM761" i="1" s="1"/>
  <c r="CF765" i="1"/>
  <c r="BM765" i="1" s="1"/>
  <c r="CF782" i="1"/>
  <c r="BM782" i="1" s="1"/>
  <c r="CF789" i="1"/>
  <c r="BM789" i="1" s="1"/>
  <c r="CF816" i="1"/>
  <c r="BM816" i="1" s="1"/>
  <c r="CF827" i="1"/>
  <c r="BM827" i="1" s="1"/>
  <c r="CF831" i="1"/>
  <c r="BM831" i="1" s="1"/>
  <c r="CF833" i="1"/>
  <c r="BM833" i="1" s="1"/>
  <c r="CF836" i="1"/>
  <c r="BM836" i="1" s="1"/>
  <c r="CF846" i="1"/>
  <c r="BM846" i="1" s="1"/>
  <c r="CF860" i="1"/>
  <c r="BM860" i="1" s="1"/>
  <c r="CF864" i="1"/>
  <c r="BM864" i="1" s="1"/>
  <c r="CF867" i="1"/>
  <c r="BM867" i="1" s="1"/>
  <c r="CF871" i="1"/>
  <c r="BM871" i="1" s="1"/>
  <c r="CF879" i="1"/>
  <c r="BM879" i="1" s="1"/>
  <c r="CF887" i="1"/>
  <c r="BM887" i="1" s="1"/>
  <c r="CF894" i="1"/>
  <c r="BM894" i="1" s="1"/>
  <c r="CF901" i="1"/>
  <c r="BM901" i="1" s="1"/>
  <c r="CF905" i="1"/>
  <c r="BM905" i="1" s="1"/>
  <c r="CF909" i="1"/>
  <c r="BM909" i="1" s="1"/>
  <c r="CF913" i="1"/>
  <c r="BM913" i="1" s="1"/>
  <c r="CF916" i="1"/>
  <c r="BM916" i="1" s="1"/>
  <c r="CF38" i="1"/>
  <c r="BM38" i="1" s="1"/>
  <c r="CF278" i="1"/>
  <c r="BM278" i="1" s="1"/>
  <c r="BM25" i="1"/>
  <c r="BM29" i="1"/>
  <c r="BM36" i="1"/>
  <c r="BM39" i="1"/>
  <c r="CF46" i="1"/>
  <c r="BM46" i="1" s="1"/>
  <c r="CF60" i="1"/>
  <c r="BM60" i="1" s="1"/>
  <c r="CF63" i="1"/>
  <c r="BM63" i="1" s="1"/>
  <c r="CF66" i="1"/>
  <c r="BM66" i="1" s="1"/>
  <c r="CF70" i="1"/>
  <c r="BM70" i="1" s="1"/>
  <c r="CF74" i="1"/>
  <c r="BM74" i="1" s="1"/>
  <c r="CF78" i="1"/>
  <c r="BM78" i="1" s="1"/>
  <c r="CF81" i="1"/>
  <c r="BM81" i="1" s="1"/>
  <c r="CF85" i="1"/>
  <c r="BM85" i="1" s="1"/>
  <c r="CF93" i="1"/>
  <c r="BM93" i="1" s="1"/>
  <c r="BM99" i="1"/>
  <c r="CF102" i="1"/>
  <c r="BM102" i="1" s="1"/>
  <c r="CF106" i="1"/>
  <c r="BM106" i="1" s="1"/>
  <c r="CF118" i="1"/>
  <c r="BM118" i="1" s="1"/>
  <c r="CF120" i="1"/>
  <c r="BM120" i="1" s="1"/>
  <c r="CF130" i="1"/>
  <c r="BM130" i="1" s="1"/>
  <c r="CF136" i="1"/>
  <c r="BM136" i="1" s="1"/>
  <c r="CF139" i="1"/>
  <c r="BM139" i="1" s="1"/>
  <c r="CF144" i="1"/>
  <c r="BM144" i="1" s="1"/>
  <c r="CF147" i="1"/>
  <c r="BM147" i="1" s="1"/>
  <c r="BM151" i="1"/>
  <c r="CF159" i="1"/>
  <c r="BM159" i="1" s="1"/>
  <c r="CF163" i="1"/>
  <c r="BM163" i="1" s="1"/>
  <c r="CF167" i="1"/>
  <c r="BM167" i="1" s="1"/>
  <c r="CF169" i="1"/>
  <c r="BM169" i="1" s="1"/>
  <c r="CF183" i="1"/>
  <c r="BM183" i="1" s="1"/>
  <c r="CF192" i="1"/>
  <c r="BM192" i="1" s="1"/>
  <c r="CF195" i="1"/>
  <c r="BM195" i="1" s="1"/>
  <c r="CF199" i="1"/>
  <c r="BM199" i="1" s="1"/>
  <c r="BM206" i="1"/>
  <c r="CF209" i="1"/>
  <c r="BM209" i="1" s="1"/>
  <c r="CF212" i="1"/>
  <c r="BM212" i="1" s="1"/>
  <c r="CF216" i="1"/>
  <c r="BM216" i="1" s="1"/>
  <c r="BM220" i="1"/>
  <c r="CF224" i="1"/>
  <c r="BM224" i="1" s="1"/>
  <c r="CF234" i="1"/>
  <c r="BM234" i="1" s="1"/>
  <c r="CF238" i="1"/>
  <c r="BM238" i="1" s="1"/>
  <c r="BM241" i="1"/>
  <c r="CF248" i="1"/>
  <c r="BM248" i="1" s="1"/>
  <c r="CF259" i="1"/>
  <c r="BM259" i="1" s="1"/>
  <c r="CF267" i="1"/>
  <c r="BM267" i="1" s="1"/>
  <c r="CF271" i="1"/>
  <c r="BM271" i="1" s="1"/>
  <c r="CF279" i="1"/>
  <c r="BM279" i="1" s="1"/>
  <c r="CF283" i="1"/>
  <c r="BM283" i="1" s="1"/>
  <c r="CF287" i="1"/>
  <c r="BM287" i="1" s="1"/>
  <c r="CF290" i="1"/>
  <c r="BM290" i="1" s="1"/>
  <c r="CF294" i="1"/>
  <c r="BM294" i="1" s="1"/>
  <c r="CF298" i="1"/>
  <c r="BM298" i="1" s="1"/>
  <c r="BM305" i="1"/>
  <c r="CF309" i="1"/>
  <c r="BM309" i="1" s="1"/>
  <c r="CF313" i="1"/>
  <c r="BM313" i="1" s="1"/>
  <c r="CF317" i="1"/>
  <c r="BM317" i="1" s="1"/>
  <c r="CF320" i="1"/>
  <c r="BM320" i="1" s="1"/>
  <c r="CF325" i="1"/>
  <c r="BM325" i="1" s="1"/>
  <c r="CF333" i="1"/>
  <c r="BM333" i="1" s="1"/>
  <c r="CF340" i="1"/>
  <c r="BM340" i="1" s="1"/>
  <c r="CF344" i="1"/>
  <c r="BM344" i="1" s="1"/>
  <c r="CF348" i="1"/>
  <c r="BM348" i="1" s="1"/>
  <c r="CF360" i="1"/>
  <c r="BM360" i="1" s="1"/>
  <c r="CF367" i="1"/>
  <c r="BM367" i="1" s="1"/>
  <c r="CF371" i="1"/>
  <c r="BM371" i="1" s="1"/>
  <c r="CF379" i="1"/>
  <c r="BM379" i="1" s="1"/>
  <c r="CF383" i="1"/>
  <c r="BM383" i="1" s="1"/>
  <c r="CF386" i="1"/>
  <c r="BM386" i="1" s="1"/>
  <c r="CF390" i="1"/>
  <c r="BM390" i="1" s="1"/>
  <c r="CF394" i="1"/>
  <c r="BM394" i="1" s="1"/>
  <c r="CF398" i="1"/>
  <c r="BM398" i="1" s="1"/>
  <c r="CF402" i="1"/>
  <c r="BM402" i="1" s="1"/>
  <c r="CF419" i="1"/>
  <c r="BM419" i="1" s="1"/>
  <c r="CF423" i="1"/>
  <c r="BM423" i="1" s="1"/>
  <c r="CF427" i="1"/>
  <c r="BM427" i="1" s="1"/>
  <c r="CF431" i="1"/>
  <c r="BM431" i="1" s="1"/>
  <c r="CF435" i="1"/>
  <c r="BM435" i="1" s="1"/>
  <c r="CF444" i="1"/>
  <c r="BM444" i="1" s="1"/>
  <c r="CF448" i="1"/>
  <c r="BM448" i="1" s="1"/>
  <c r="CF456" i="1"/>
  <c r="BM456" i="1" s="1"/>
  <c r="CF460" i="1"/>
  <c r="BM460" i="1" s="1"/>
  <c r="CF464" i="1"/>
  <c r="BM464" i="1" s="1"/>
  <c r="CF468" i="1"/>
  <c r="BM468" i="1" s="1"/>
  <c r="CF474" i="1"/>
  <c r="BM474" i="1" s="1"/>
  <c r="CF478" i="1"/>
  <c r="BM478" i="1" s="1"/>
  <c r="CF482" i="1"/>
  <c r="BM482" i="1" s="1"/>
  <c r="CF407" i="1"/>
  <c r="BM407" i="1" s="1"/>
  <c r="CF487" i="1"/>
  <c r="BM487" i="1" s="1"/>
  <c r="CF491" i="1"/>
  <c r="BM491" i="1" s="1"/>
  <c r="CF495" i="1"/>
  <c r="BM495" i="1" s="1"/>
  <c r="CF499" i="1"/>
  <c r="BM499" i="1" s="1"/>
  <c r="CF505" i="1"/>
  <c r="BM505" i="1" s="1"/>
  <c r="CF509" i="1"/>
  <c r="BM509" i="1" s="1"/>
  <c r="CF513" i="1"/>
  <c r="BM513" i="1" s="1"/>
  <c r="CF517" i="1"/>
  <c r="BM517" i="1" s="1"/>
  <c r="CF521" i="1"/>
  <c r="BM521" i="1" s="1"/>
  <c r="CF524" i="1"/>
  <c r="BM524" i="1" s="1"/>
  <c r="CF529" i="1"/>
  <c r="BM529" i="1" s="1"/>
  <c r="CF537" i="1"/>
  <c r="BM537" i="1" s="1"/>
  <c r="CF541" i="1"/>
  <c r="BM541" i="1" s="1"/>
  <c r="CF545" i="1"/>
  <c r="BM545" i="1" s="1"/>
  <c r="CF549" i="1"/>
  <c r="BM549" i="1" s="1"/>
  <c r="CF553" i="1"/>
  <c r="BM553" i="1" s="1"/>
  <c r="CF557" i="1"/>
  <c r="BM557" i="1" s="1"/>
  <c r="CF562" i="1"/>
  <c r="BM562" i="1" s="1"/>
  <c r="CF570" i="1"/>
  <c r="BM570" i="1" s="1"/>
  <c r="CF574" i="1"/>
  <c r="BM574" i="1" s="1"/>
  <c r="CF586" i="1"/>
  <c r="BM586" i="1" s="1"/>
  <c r="CF594" i="1"/>
  <c r="BM594" i="1" s="1"/>
  <c r="CF601" i="1"/>
  <c r="BM601" i="1" s="1"/>
  <c r="CF604" i="1"/>
  <c r="BM604" i="1" s="1"/>
  <c r="CF616" i="1"/>
  <c r="BM616" i="1" s="1"/>
  <c r="CF620" i="1"/>
  <c r="BM620" i="1" s="1"/>
  <c r="BM626" i="1"/>
  <c r="CF634" i="1"/>
  <c r="BM634" i="1" s="1"/>
  <c r="CF641" i="1"/>
  <c r="BM641" i="1" s="1"/>
  <c r="CF645" i="1"/>
  <c r="BM645" i="1" s="1"/>
  <c r="CF653" i="1"/>
  <c r="BM653" i="1" s="1"/>
  <c r="CF657" i="1"/>
  <c r="BM657" i="1" s="1"/>
  <c r="CF665" i="1"/>
  <c r="BM665" i="1" s="1"/>
  <c r="CF668" i="1"/>
  <c r="BM668" i="1" s="1"/>
  <c r="CF672" i="1"/>
  <c r="BM672" i="1" s="1"/>
  <c r="CF676" i="1"/>
  <c r="BM676" i="1" s="1"/>
  <c r="CF680" i="1"/>
  <c r="BM680" i="1" s="1"/>
  <c r="CF684" i="1"/>
  <c r="BM684" i="1" s="1"/>
  <c r="CF688" i="1"/>
  <c r="BM688" i="1" s="1"/>
  <c r="CF694" i="1"/>
  <c r="BM694" i="1" s="1"/>
  <c r="CF701" i="1"/>
  <c r="BM701" i="1" s="1"/>
  <c r="CF705" i="1"/>
  <c r="BM705" i="1" s="1"/>
  <c r="CF713" i="1"/>
  <c r="BM713" i="1" s="1"/>
  <c r="CF717" i="1"/>
  <c r="BM717" i="1" s="1"/>
  <c r="CF724" i="1"/>
  <c r="BM724" i="1" s="1"/>
  <c r="CF728" i="1"/>
  <c r="BM728" i="1" s="1"/>
  <c r="CF732" i="1"/>
  <c r="BM732" i="1" s="1"/>
  <c r="CF736" i="1"/>
  <c r="BM736" i="1" s="1"/>
  <c r="CF740" i="1"/>
  <c r="BM740" i="1" s="1"/>
  <c r="CF744" i="1"/>
  <c r="BM744" i="1" s="1"/>
  <c r="CF747" i="1"/>
  <c r="BM747" i="1" s="1"/>
  <c r="CF755" i="1"/>
  <c r="BM755" i="1" s="1"/>
  <c r="CF762" i="1"/>
  <c r="BM762" i="1" s="1"/>
  <c r="CF775" i="1"/>
  <c r="BM775" i="1" s="1"/>
  <c r="CF779" i="1"/>
  <c r="BM779" i="1" s="1"/>
  <c r="CF790" i="1"/>
  <c r="BM790" i="1" s="1"/>
  <c r="CF794" i="1"/>
  <c r="BM794" i="1" s="1"/>
  <c r="CF798" i="1"/>
  <c r="BM798" i="1" s="1"/>
  <c r="CF801" i="1"/>
  <c r="BM801" i="1" s="1"/>
  <c r="CF805" i="1"/>
  <c r="BM805" i="1" s="1"/>
  <c r="BM809" i="1"/>
  <c r="CF813" i="1"/>
  <c r="BM813" i="1" s="1"/>
  <c r="CF821" i="1"/>
  <c r="BM821" i="1" s="1"/>
  <c r="CF825" i="1"/>
  <c r="BM825" i="1" s="1"/>
  <c r="CF828" i="1"/>
  <c r="BM828" i="1" s="1"/>
  <c r="CF834" i="1"/>
  <c r="BM834" i="1" s="1"/>
  <c r="CF844" i="1"/>
  <c r="BM844" i="1" s="1"/>
  <c r="CF847" i="1"/>
  <c r="BM847" i="1" s="1"/>
  <c r="CF503" i="1"/>
  <c r="BM503" i="1" s="1"/>
  <c r="CF861" i="1"/>
  <c r="BM861" i="1" s="1"/>
  <c r="CF865" i="1"/>
  <c r="BM865" i="1" s="1"/>
  <c r="CF868" i="1"/>
  <c r="BM868" i="1" s="1"/>
  <c r="CF876" i="1"/>
  <c r="BM876" i="1" s="1"/>
  <c r="CF880" i="1"/>
  <c r="BM880" i="1" s="1"/>
  <c r="CF884" i="1"/>
  <c r="BM884" i="1" s="1"/>
  <c r="CF895" i="1"/>
  <c r="BM895" i="1" s="1"/>
  <c r="CF902" i="1"/>
  <c r="BM902" i="1" s="1"/>
  <c r="CF910" i="1"/>
  <c r="BM910" i="1" s="1"/>
  <c r="CF917" i="1"/>
  <c r="BM917" i="1" s="1"/>
  <c r="CF33" i="1"/>
  <c r="BM33" i="1" s="1"/>
  <c r="CF42" i="1"/>
  <c r="BM42" i="1" s="1"/>
  <c r="CF56" i="1"/>
  <c r="BM56" i="1" s="1"/>
  <c r="CF59" i="1"/>
  <c r="BM59" i="1" s="1"/>
  <c r="CF96" i="1"/>
  <c r="BM96" i="1" s="1"/>
  <c r="CF191" i="1"/>
  <c r="BM191" i="1" s="1"/>
  <c r="CF223" i="1"/>
  <c r="BM223" i="1" s="1"/>
  <c r="CF252" i="1"/>
  <c r="BM252" i="1" s="1"/>
  <c r="CF255" i="1"/>
  <c r="BM255" i="1" s="1"/>
  <c r="CF266" i="1"/>
  <c r="BM266" i="1" s="1"/>
  <c r="CF329" i="1"/>
  <c r="BM329" i="1" s="1"/>
  <c r="CF347" i="1"/>
  <c r="BM347" i="1" s="1"/>
  <c r="CF356" i="1"/>
  <c r="BM356" i="1" s="1"/>
  <c r="CF378" i="1"/>
  <c r="BM378" i="1" s="1"/>
  <c r="CF416" i="1"/>
  <c r="BM416" i="1" s="1"/>
  <c r="CF463" i="1"/>
  <c r="BM463" i="1" s="1"/>
  <c r="BM22" i="1"/>
  <c r="BM30" i="1"/>
  <c r="BM34" i="1"/>
  <c r="BM49" i="1"/>
  <c r="CF53" i="1"/>
  <c r="BM53" i="1" s="1"/>
  <c r="CF57" i="1"/>
  <c r="BM57" i="1" s="1"/>
  <c r="BM61" i="1"/>
  <c r="CF67" i="1"/>
  <c r="BM67" i="1" s="1"/>
  <c r="CF71" i="1"/>
  <c r="BM71" i="1" s="1"/>
  <c r="CF86" i="1"/>
  <c r="BM86" i="1" s="1"/>
  <c r="CF100" i="1"/>
  <c r="BM100" i="1" s="1"/>
  <c r="CF111" i="1"/>
  <c r="BM111" i="1" s="1"/>
  <c r="CF115" i="1"/>
  <c r="BM115" i="1" s="1"/>
  <c r="CF145" i="1"/>
  <c r="BM145" i="1" s="1"/>
  <c r="BM148" i="1"/>
  <c r="CF180" i="1"/>
  <c r="BM180" i="1" s="1"/>
  <c r="CF186" i="1"/>
  <c r="BM186" i="1" s="1"/>
  <c r="CF193" i="1"/>
  <c r="BM193" i="1" s="1"/>
  <c r="CF196" i="1"/>
  <c r="BM196" i="1" s="1"/>
  <c r="CF203" i="1"/>
  <c r="BM203" i="1" s="1"/>
  <c r="CF207" i="1"/>
  <c r="BM207" i="1" s="1"/>
  <c r="BM217" i="1"/>
  <c r="CF221" i="1"/>
  <c r="BM221" i="1" s="1"/>
  <c r="CF225" i="1"/>
  <c r="BM225" i="1" s="1"/>
  <c r="CF227" i="1"/>
  <c r="BM227" i="1" s="1"/>
  <c r="CF239" i="1"/>
  <c r="BM239" i="1" s="1"/>
  <c r="CF242" i="1"/>
  <c r="BM242" i="1" s="1"/>
  <c r="CF245" i="1"/>
  <c r="BM245" i="1" s="1"/>
  <c r="CF253" i="1"/>
  <c r="BM253" i="1" s="1"/>
  <c r="CF256" i="1"/>
  <c r="BM256" i="1" s="1"/>
  <c r="BM260" i="1"/>
  <c r="CF264" i="1"/>
  <c r="BM264" i="1" s="1"/>
  <c r="CF272" i="1"/>
  <c r="BM272" i="1" s="1"/>
  <c r="CF276" i="1"/>
  <c r="BM276" i="1" s="1"/>
  <c r="CF284" i="1"/>
  <c r="BM284" i="1" s="1"/>
  <c r="CF295" i="1"/>
  <c r="BM295" i="1" s="1"/>
  <c r="CF299" i="1"/>
  <c r="BM299" i="1" s="1"/>
  <c r="CF306" i="1"/>
  <c r="BM306" i="1" s="1"/>
  <c r="CF310" i="1"/>
  <c r="BM310" i="1" s="1"/>
  <c r="CF322" i="1"/>
  <c r="BM322" i="1" s="1"/>
  <c r="BM326" i="1"/>
  <c r="CF330" i="1"/>
  <c r="BM330" i="1" s="1"/>
  <c r="CF334" i="1"/>
  <c r="BM334" i="1" s="1"/>
  <c r="CF345" i="1"/>
  <c r="BM345" i="1" s="1"/>
  <c r="CF357" i="1"/>
  <c r="BM357" i="1" s="1"/>
  <c r="CF361" i="1"/>
  <c r="BM361" i="1" s="1"/>
  <c r="CF368" i="1"/>
  <c r="BM368" i="1" s="1"/>
  <c r="CF372" i="1"/>
  <c r="BM372" i="1" s="1"/>
  <c r="BM380" i="1"/>
  <c r="CF387" i="1"/>
  <c r="BM387" i="1" s="1"/>
  <c r="CF391" i="1"/>
  <c r="BM391" i="1" s="1"/>
  <c r="CF399" i="1"/>
  <c r="BM399" i="1" s="1"/>
  <c r="CF417" i="1"/>
  <c r="BM417" i="1" s="1"/>
  <c r="CF428" i="1"/>
  <c r="BM428" i="1" s="1"/>
  <c r="CF432" i="1"/>
  <c r="BM432" i="1" s="1"/>
  <c r="CF436" i="1"/>
  <c r="BM436" i="1" s="1"/>
  <c r="CF440" i="1"/>
  <c r="BM440" i="1" s="1"/>
  <c r="CF445" i="1"/>
  <c r="BM445" i="1" s="1"/>
  <c r="CF453" i="1"/>
  <c r="BM453" i="1" s="1"/>
  <c r="CF457" i="1"/>
  <c r="BM457" i="1" s="1"/>
  <c r="CF461" i="1"/>
  <c r="BM461" i="1" s="1"/>
  <c r="CF469" i="1"/>
  <c r="BM469" i="1" s="1"/>
  <c r="CF560" i="1"/>
  <c r="BM560" i="1" s="1"/>
  <c r="BM475" i="1"/>
  <c r="CF484" i="1"/>
  <c r="BM484" i="1" s="1"/>
  <c r="CF492" i="1"/>
  <c r="BM492" i="1" s="1"/>
  <c r="CF496" i="1"/>
  <c r="BM496" i="1" s="1"/>
  <c r="CF500" i="1"/>
  <c r="BM500" i="1" s="1"/>
  <c r="CF506" i="1"/>
  <c r="BM506" i="1" s="1"/>
  <c r="CF510" i="1"/>
  <c r="BM510" i="1" s="1"/>
  <c r="CF514" i="1"/>
  <c r="BM514" i="1" s="1"/>
  <c r="CF518" i="1"/>
  <c r="BM518" i="1" s="1"/>
  <c r="CF522" i="1"/>
  <c r="BM522" i="1" s="1"/>
  <c r="CF525" i="1"/>
  <c r="BM525" i="1" s="1"/>
  <c r="CF527" i="1"/>
  <c r="BM527" i="1" s="1"/>
  <c r="CF530" i="1"/>
  <c r="BM530" i="1" s="1"/>
  <c r="CF534" i="1"/>
  <c r="BM534" i="1" s="1"/>
  <c r="CF538" i="1"/>
  <c r="BM538" i="1" s="1"/>
  <c r="CF542" i="1"/>
  <c r="BM542" i="1" s="1"/>
  <c r="CF546" i="1"/>
  <c r="BM546" i="1" s="1"/>
  <c r="CF550" i="1"/>
  <c r="BM550" i="1" s="1"/>
  <c r="CF554" i="1"/>
  <c r="BM554" i="1" s="1"/>
  <c r="CF558" i="1"/>
  <c r="BM558" i="1" s="1"/>
  <c r="CF563" i="1"/>
  <c r="BM563" i="1" s="1"/>
  <c r="CF567" i="1"/>
  <c r="BM567" i="1" s="1"/>
  <c r="CF571" i="1"/>
  <c r="BM571" i="1" s="1"/>
  <c r="CF575" i="1"/>
  <c r="BM575" i="1" s="1"/>
  <c r="CF579" i="1"/>
  <c r="BM579" i="1" s="1"/>
  <c r="CF583" i="1"/>
  <c r="BM583" i="1" s="1"/>
  <c r="CF587" i="1"/>
  <c r="BM587" i="1" s="1"/>
  <c r="CF591" i="1"/>
  <c r="BM591" i="1" s="1"/>
  <c r="CF605" i="1"/>
  <c r="BM605" i="1" s="1"/>
  <c r="CF609" i="1"/>
  <c r="BM609" i="1" s="1"/>
  <c r="CF613" i="1"/>
  <c r="BM613" i="1" s="1"/>
  <c r="CF617" i="1"/>
  <c r="BM617" i="1" s="1"/>
  <c r="CF621" i="1"/>
  <c r="BM621" i="1" s="1"/>
  <c r="CF624" i="1"/>
  <c r="BM624" i="1" s="1"/>
  <c r="CF631" i="1"/>
  <c r="BM631" i="1" s="1"/>
  <c r="CF638" i="1"/>
  <c r="BM638" i="1" s="1"/>
  <c r="CF650" i="1"/>
  <c r="BM650" i="1" s="1"/>
  <c r="CF654" i="1"/>
  <c r="BM654" i="1" s="1"/>
  <c r="CF662" i="1"/>
  <c r="BM662" i="1" s="1"/>
  <c r="CF666" i="1"/>
  <c r="BM666" i="1" s="1"/>
  <c r="CF673" i="1"/>
  <c r="BM673" i="1" s="1"/>
  <c r="CF677" i="1"/>
  <c r="BM677" i="1" s="1"/>
  <c r="CF681" i="1"/>
  <c r="BM681" i="1" s="1"/>
  <c r="CF685" i="1"/>
  <c r="BM685" i="1" s="1"/>
  <c r="CF689" i="1"/>
  <c r="BM689" i="1" s="1"/>
  <c r="CF691" i="1"/>
  <c r="BM691" i="1" s="1"/>
  <c r="CF698" i="1"/>
  <c r="BM698" i="1" s="1"/>
  <c r="CF706" i="1"/>
  <c r="BM706" i="1" s="1"/>
  <c r="CF710" i="1"/>
  <c r="BM710" i="1" s="1"/>
  <c r="CF721" i="1"/>
  <c r="BM721" i="1" s="1"/>
  <c r="CF733" i="1"/>
  <c r="BM733" i="1" s="1"/>
  <c r="CF737" i="1"/>
  <c r="BM737" i="1" s="1"/>
  <c r="CF741" i="1"/>
  <c r="BM741" i="1" s="1"/>
  <c r="CF745" i="1"/>
  <c r="BM745" i="1" s="1"/>
  <c r="CF748" i="1"/>
  <c r="BM748" i="1" s="1"/>
  <c r="CF752" i="1"/>
  <c r="BM752" i="1" s="1"/>
  <c r="CF756" i="1"/>
  <c r="BM756" i="1" s="1"/>
  <c r="CF763" i="1"/>
  <c r="BM763" i="1" s="1"/>
  <c r="CF770" i="1"/>
  <c r="BM770" i="1" s="1"/>
  <c r="CF776" i="1"/>
  <c r="BM776" i="1" s="1"/>
  <c r="CF780" i="1"/>
  <c r="BM780" i="1" s="1"/>
  <c r="CF784" i="1"/>
  <c r="BM784" i="1" s="1"/>
  <c r="CF791" i="1"/>
  <c r="BM791" i="1" s="1"/>
  <c r="CF795" i="1"/>
  <c r="BM795" i="1" s="1"/>
  <c r="CF799" i="1"/>
  <c r="BM799" i="1" s="1"/>
  <c r="CF806" i="1"/>
  <c r="BM806" i="1" s="1"/>
  <c r="CF810" i="1"/>
  <c r="BM810" i="1" s="1"/>
  <c r="CF814" i="1"/>
  <c r="BM814" i="1" s="1"/>
  <c r="CF818" i="1"/>
  <c r="BM818" i="1" s="1"/>
  <c r="CF829" i="1"/>
  <c r="BM829" i="1" s="1"/>
  <c r="CF835" i="1"/>
  <c r="BM835" i="1" s="1"/>
  <c r="CF838" i="1"/>
  <c r="BM838" i="1" s="1"/>
  <c r="CF841" i="1"/>
  <c r="BM841" i="1" s="1"/>
  <c r="CF848" i="1"/>
  <c r="BM848" i="1" s="1"/>
  <c r="CF856" i="1"/>
  <c r="BM856" i="1" s="1"/>
  <c r="CF862" i="1"/>
  <c r="BM862" i="1" s="1"/>
  <c r="CF869" i="1"/>
  <c r="BM869" i="1" s="1"/>
  <c r="CF877" i="1"/>
  <c r="BM877" i="1" s="1"/>
  <c r="CF881" i="1"/>
  <c r="BM881" i="1" s="1"/>
  <c r="CF885" i="1"/>
  <c r="BM885" i="1" s="1"/>
  <c r="CF889" i="1"/>
  <c r="BM889" i="1" s="1"/>
  <c r="CF896" i="1"/>
  <c r="BM896" i="1" s="1"/>
  <c r="CF899" i="1"/>
  <c r="BM899" i="1" s="1"/>
  <c r="CF914" i="1"/>
  <c r="BM914" i="1" s="1"/>
  <c r="CF918" i="1"/>
  <c r="BM918" i="1" s="1"/>
  <c r="CF922" i="1"/>
  <c r="BM922" i="1" s="1"/>
  <c r="CF26" i="1"/>
  <c r="BM26" i="1" s="1"/>
  <c r="CF87" i="1"/>
  <c r="BM87" i="1" s="1"/>
  <c r="CF121" i="1"/>
  <c r="BM121" i="1" s="1"/>
  <c r="CF122" i="1"/>
  <c r="BM122" i="1" s="1"/>
  <c r="CF155" i="1"/>
  <c r="BM155" i="1" s="1"/>
  <c r="CF162" i="1"/>
  <c r="BM162" i="1" s="1"/>
  <c r="CF170" i="1"/>
  <c r="BM170" i="1" s="1"/>
  <c r="CF233" i="1"/>
  <c r="BM233" i="1" s="1"/>
  <c r="CF302" i="1"/>
  <c r="BM302" i="1" s="1"/>
  <c r="CF365" i="1"/>
  <c r="BM365" i="1" s="1"/>
  <c r="CF376" i="1"/>
  <c r="BM376" i="1" s="1"/>
  <c r="CF384" i="1"/>
  <c r="BM384" i="1" s="1"/>
  <c r="CF397" i="1"/>
  <c r="BM397" i="1" s="1"/>
  <c r="CF403" i="1"/>
  <c r="BM403" i="1" s="1"/>
  <c r="CF409" i="1"/>
  <c r="BM409" i="1" s="1"/>
  <c r="CF408" i="1"/>
  <c r="BM408" i="1" s="1"/>
  <c r="CF658" i="1"/>
  <c r="BM658" i="1" s="1"/>
  <c r="CF661" i="1"/>
  <c r="BM661" i="1" s="1"/>
  <c r="CF669" i="1"/>
  <c r="BM669" i="1" s="1"/>
  <c r="BM43" i="1"/>
  <c r="BM75" i="1"/>
  <c r="BM79" i="1"/>
  <c r="BM82" i="1"/>
  <c r="BM89" i="1"/>
  <c r="BM90" i="1"/>
  <c r="BM94" i="1"/>
  <c r="BM103" i="1"/>
  <c r="BM107" i="1"/>
  <c r="BM127" i="1"/>
  <c r="BM131" i="1"/>
  <c r="BM134" i="1"/>
  <c r="BM137" i="1"/>
  <c r="BM140" i="1"/>
  <c r="BM152" i="1"/>
  <c r="BM156" i="1"/>
  <c r="BM160" i="1"/>
  <c r="BM164" i="1"/>
  <c r="BM210" i="1"/>
  <c r="BM213" i="1"/>
  <c r="BM231" i="1"/>
  <c r="BM288" i="1"/>
  <c r="BM314" i="1"/>
  <c r="BM349" i="1"/>
  <c r="BM35" i="1"/>
  <c r="BM37" i="1"/>
  <c r="BM48" i="1"/>
  <c r="BM50" i="1"/>
  <c r="BM64" i="1"/>
  <c r="BM68" i="1"/>
  <c r="BM72" i="1"/>
  <c r="BM76" i="1"/>
  <c r="BM88" i="1"/>
  <c r="BM91" i="1"/>
  <c r="BM123" i="1"/>
  <c r="BM124" i="1"/>
  <c r="BM128" i="1"/>
  <c r="BM132" i="1"/>
  <c r="BM135" i="1"/>
  <c r="BM149" i="1"/>
  <c r="BM153" i="1"/>
  <c r="BM187" i="1"/>
  <c r="BM208" i="1"/>
  <c r="BM222" i="1"/>
  <c r="BM240" i="1"/>
  <c r="BM243" i="1"/>
  <c r="BM246" i="1"/>
  <c r="BM265" i="1"/>
  <c r="BM24" i="1"/>
  <c r="BM28" i="1"/>
  <c r="BM32" i="1"/>
  <c r="BM297" i="1"/>
  <c r="BM301" i="1"/>
  <c r="BM324" i="1"/>
  <c r="BM328" i="1"/>
  <c r="BM332" i="1"/>
  <c r="BM336" i="1"/>
  <c r="BM355" i="1"/>
  <c r="BM389" i="1"/>
  <c r="BM415" i="1"/>
  <c r="BM426" i="1"/>
  <c r="BM430" i="1"/>
  <c r="BM481" i="1"/>
  <c r="BM508" i="1"/>
  <c r="BM552" i="1"/>
  <c r="BM556" i="1"/>
  <c r="BM569" i="1"/>
  <c r="BM590" i="1"/>
  <c r="BM615" i="1"/>
  <c r="BM640" i="1"/>
  <c r="BM675" i="1"/>
  <c r="BM708" i="1"/>
  <c r="BM723" i="1"/>
  <c r="BM731" i="1"/>
  <c r="BM743" i="1"/>
  <c r="BM746" i="1"/>
  <c r="BM769" i="1"/>
  <c r="BM774" i="1"/>
  <c r="BM778" i="1"/>
  <c r="BM793" i="1"/>
  <c r="BM804" i="1"/>
  <c r="BM808" i="1"/>
  <c r="BM812" i="1"/>
  <c r="BM820" i="1"/>
  <c r="BM850" i="1"/>
  <c r="BM854" i="1"/>
  <c r="BM858" i="1"/>
  <c r="BM875" i="1"/>
  <c r="BM890" i="1"/>
  <c r="BM898" i="1"/>
  <c r="BM920" i="1"/>
  <c r="V517" i="1" l="1"/>
  <c r="U517" i="1"/>
  <c r="T517" i="1"/>
  <c r="V19" i="1"/>
  <c r="U19" i="1"/>
  <c r="T19" i="1"/>
  <c r="V651" i="1"/>
  <c r="U651" i="1"/>
  <c r="T651" i="1"/>
  <c r="V905" i="1"/>
  <c r="U905" i="1"/>
  <c r="T905" i="1"/>
  <c r="V613" i="1"/>
  <c r="U613" i="1"/>
  <c r="T613" i="1"/>
  <c r="V270" i="1"/>
  <c r="U270" i="1"/>
  <c r="T270" i="1"/>
  <c r="V246" i="1"/>
  <c r="U246" i="1"/>
  <c r="T246" i="1"/>
  <c r="V50" i="1"/>
  <c r="U50" i="1"/>
  <c r="T50" i="1"/>
  <c r="V333" i="1"/>
  <c r="U333" i="1"/>
  <c r="T333" i="1"/>
  <c r="V715" i="1"/>
  <c r="U715" i="1"/>
  <c r="T715" i="1"/>
  <c r="V710" i="1"/>
  <c r="U710" i="1"/>
  <c r="T710" i="1"/>
  <c r="V708" i="1"/>
  <c r="U708" i="1"/>
  <c r="T708" i="1"/>
  <c r="V909" i="1"/>
  <c r="U909" i="1"/>
  <c r="T909" i="1"/>
  <c r="V908" i="1"/>
  <c r="U908" i="1"/>
  <c r="T908" i="1"/>
  <c r="V901" i="1"/>
  <c r="U901" i="1"/>
  <c r="T901" i="1"/>
  <c r="V899" i="1"/>
  <c r="U899" i="1"/>
  <c r="T899" i="1"/>
  <c r="V898" i="1"/>
  <c r="U898" i="1"/>
  <c r="T898" i="1"/>
  <c r="V896" i="1"/>
  <c r="U896" i="1"/>
  <c r="T896" i="1"/>
  <c r="V894" i="1"/>
  <c r="U894" i="1"/>
  <c r="T894" i="1"/>
  <c r="V893" i="1"/>
  <c r="U893" i="1"/>
  <c r="T893" i="1"/>
  <c r="V890" i="1"/>
  <c r="U890" i="1"/>
  <c r="T890" i="1"/>
  <c r="V889" i="1"/>
  <c r="U889" i="1"/>
  <c r="T889" i="1"/>
  <c r="V887" i="1"/>
  <c r="U887" i="1"/>
  <c r="T887" i="1"/>
  <c r="V878" i="1"/>
  <c r="U878" i="1"/>
  <c r="T878" i="1"/>
  <c r="V875" i="1"/>
  <c r="U875" i="1"/>
  <c r="T875" i="1"/>
  <c r="V870" i="1"/>
  <c r="U870" i="1"/>
  <c r="T870" i="1"/>
  <c r="V868" i="1"/>
  <c r="U868" i="1"/>
  <c r="T868" i="1"/>
  <c r="V857" i="1"/>
  <c r="U857" i="1"/>
  <c r="T857" i="1"/>
  <c r="V854" i="1"/>
  <c r="U854" i="1"/>
  <c r="T854" i="1"/>
  <c r="V849" i="1"/>
  <c r="U849" i="1"/>
  <c r="T849" i="1"/>
  <c r="V847" i="1"/>
  <c r="U847" i="1"/>
  <c r="T847" i="1"/>
  <c r="V830" i="1"/>
  <c r="U830" i="1"/>
  <c r="T830" i="1"/>
  <c r="V828" i="1"/>
  <c r="U828" i="1"/>
  <c r="T828" i="1"/>
  <c r="V827" i="1"/>
  <c r="U827" i="1"/>
  <c r="T827" i="1"/>
  <c r="V826" i="1"/>
  <c r="U826" i="1"/>
  <c r="T826" i="1"/>
  <c r="V825" i="1"/>
  <c r="U825" i="1"/>
  <c r="T825" i="1"/>
  <c r="V821" i="1"/>
  <c r="U821" i="1"/>
  <c r="T821" i="1"/>
  <c r="V816" i="1"/>
  <c r="U816" i="1"/>
  <c r="T816" i="1"/>
  <c r="V811" i="1"/>
  <c r="U811" i="1"/>
  <c r="T811" i="1"/>
  <c r="V803" i="1"/>
  <c r="U803" i="1"/>
  <c r="T803" i="1"/>
  <c r="V794" i="1"/>
  <c r="U794" i="1"/>
  <c r="T794" i="1"/>
  <c r="V782" i="1"/>
  <c r="U782" i="1"/>
  <c r="T782" i="1"/>
  <c r="V781" i="1"/>
  <c r="U781" i="1"/>
  <c r="T781" i="1"/>
  <c r="V780" i="1"/>
  <c r="U780" i="1"/>
  <c r="T780" i="1"/>
  <c r="V779" i="1"/>
  <c r="U779" i="1"/>
  <c r="T779" i="1"/>
  <c r="V778" i="1"/>
  <c r="U778" i="1"/>
  <c r="T778" i="1"/>
  <c r="V776" i="1"/>
  <c r="U776" i="1"/>
  <c r="T776" i="1"/>
  <c r="V760" i="1"/>
  <c r="U760" i="1"/>
  <c r="T760" i="1"/>
  <c r="V738" i="1"/>
  <c r="U738" i="1"/>
  <c r="T738" i="1"/>
  <c r="V737" i="1"/>
  <c r="U737" i="1"/>
  <c r="T737" i="1"/>
  <c r="V733" i="1"/>
  <c r="U733" i="1"/>
  <c r="T733" i="1"/>
  <c r="V728" i="1"/>
  <c r="U728" i="1"/>
  <c r="T728" i="1"/>
  <c r="V724" i="1"/>
  <c r="U724" i="1"/>
  <c r="T724" i="1"/>
  <c r="V721" i="1"/>
  <c r="U721" i="1"/>
  <c r="T721" i="1"/>
  <c r="V717" i="1"/>
  <c r="U717" i="1"/>
  <c r="T717" i="1"/>
  <c r="V713" i="1"/>
  <c r="U713" i="1"/>
  <c r="T713" i="1"/>
  <c r="V712" i="1"/>
  <c r="U712" i="1"/>
  <c r="T712" i="1"/>
  <c r="V698" i="1"/>
  <c r="U698" i="1"/>
  <c r="T698" i="1"/>
  <c r="V696" i="1"/>
  <c r="U696" i="1"/>
  <c r="T696" i="1"/>
  <c r="V695" i="1"/>
  <c r="U695" i="1"/>
  <c r="T695" i="1"/>
  <c r="V692" i="1"/>
  <c r="U692" i="1"/>
  <c r="T692" i="1"/>
  <c r="V691" i="1"/>
  <c r="U691" i="1"/>
  <c r="T691" i="1"/>
  <c r="V684" i="1"/>
  <c r="U684" i="1"/>
  <c r="T684" i="1"/>
  <c r="V677" i="1"/>
  <c r="U677" i="1"/>
  <c r="T677" i="1"/>
  <c r="V673" i="1"/>
  <c r="U673" i="1"/>
  <c r="T673" i="1"/>
  <c r="V670" i="1"/>
  <c r="U670" i="1"/>
  <c r="T670" i="1"/>
  <c r="V668" i="1"/>
  <c r="U668" i="1"/>
  <c r="T668" i="1"/>
  <c r="V664" i="1"/>
  <c r="U664" i="1"/>
  <c r="T664" i="1"/>
  <c r="V650" i="1"/>
  <c r="U650" i="1"/>
  <c r="T650" i="1"/>
  <c r="V648" i="1"/>
  <c r="U648" i="1"/>
  <c r="T648" i="1"/>
  <c r="V645" i="1"/>
  <c r="U645" i="1"/>
  <c r="T645" i="1"/>
  <c r="V626" i="1"/>
  <c r="U626" i="1"/>
  <c r="T626" i="1"/>
  <c r="V624" i="1"/>
  <c r="U624" i="1"/>
  <c r="T624" i="1"/>
  <c r="V620" i="1"/>
  <c r="U620" i="1"/>
  <c r="T620" i="1"/>
  <c r="V619" i="1"/>
  <c r="U619" i="1"/>
  <c r="T619" i="1"/>
  <c r="V618" i="1"/>
  <c r="U618" i="1"/>
  <c r="T618" i="1"/>
  <c r="V615" i="1"/>
  <c r="U615" i="1"/>
  <c r="T615" i="1"/>
  <c r="V604" i="1"/>
  <c r="U604" i="1"/>
  <c r="T604" i="1"/>
  <c r="V602" i="1"/>
  <c r="U602" i="1"/>
  <c r="T602" i="1"/>
  <c r="V601" i="1"/>
  <c r="U601" i="1"/>
  <c r="T601" i="1"/>
  <c r="V600" i="1"/>
  <c r="U600" i="1"/>
  <c r="T600" i="1"/>
  <c r="V599" i="1"/>
  <c r="U599" i="1"/>
  <c r="T599" i="1"/>
  <c r="V590" i="1"/>
  <c r="U590" i="1"/>
  <c r="T590" i="1"/>
  <c r="V588" i="1"/>
  <c r="U588" i="1"/>
  <c r="T588" i="1"/>
  <c r="V583" i="1"/>
  <c r="U583" i="1"/>
  <c r="T583" i="1"/>
  <c r="V575" i="1"/>
  <c r="U575" i="1"/>
  <c r="T575" i="1"/>
  <c r="V570" i="1"/>
  <c r="U570" i="1"/>
  <c r="T570" i="1"/>
  <c r="V559" i="1"/>
  <c r="U559" i="1"/>
  <c r="T559" i="1"/>
  <c r="V554" i="1"/>
  <c r="U554" i="1"/>
  <c r="T554" i="1"/>
  <c r="V546" i="1"/>
  <c r="U546" i="1"/>
  <c r="T546" i="1"/>
  <c r="V545" i="1"/>
  <c r="U545" i="1"/>
  <c r="T545" i="1"/>
  <c r="V543" i="1"/>
  <c r="U543" i="1"/>
  <c r="T543" i="1"/>
  <c r="V542" i="1"/>
  <c r="U542" i="1"/>
  <c r="T542" i="1"/>
  <c r="V541" i="1"/>
  <c r="U541" i="1"/>
  <c r="T541" i="1"/>
  <c r="V540" i="1"/>
  <c r="U540" i="1"/>
  <c r="T540" i="1"/>
  <c r="V539" i="1"/>
  <c r="U539" i="1"/>
  <c r="T539" i="1"/>
  <c r="V536" i="1"/>
  <c r="U536" i="1"/>
  <c r="T536" i="1"/>
  <c r="V535" i="1"/>
  <c r="U535" i="1"/>
  <c r="T535" i="1"/>
  <c r="V532" i="1"/>
  <c r="U532" i="1"/>
  <c r="T532" i="1"/>
  <c r="V531" i="1"/>
  <c r="U531" i="1"/>
  <c r="T531" i="1"/>
  <c r="V521" i="1"/>
  <c r="U521" i="1"/>
  <c r="T521" i="1"/>
  <c r="V519" i="1"/>
  <c r="U519" i="1"/>
  <c r="T519" i="1"/>
  <c r="V513" i="1"/>
  <c r="U513" i="1"/>
  <c r="T513" i="1"/>
  <c r="V512" i="1"/>
  <c r="U512" i="1"/>
  <c r="T512" i="1"/>
  <c r="V500" i="1"/>
  <c r="U500" i="1"/>
  <c r="T500" i="1"/>
  <c r="V499" i="1"/>
  <c r="U499" i="1"/>
  <c r="T499" i="1"/>
  <c r="V498" i="1"/>
  <c r="U498" i="1"/>
  <c r="T498" i="1"/>
  <c r="V497" i="1"/>
  <c r="U497" i="1"/>
  <c r="T497" i="1"/>
  <c r="V407" i="1"/>
  <c r="U407" i="1"/>
  <c r="T407" i="1"/>
  <c r="V406" i="1"/>
  <c r="U406" i="1"/>
  <c r="T406" i="1"/>
  <c r="V408" i="1"/>
  <c r="U408" i="1"/>
  <c r="T408" i="1"/>
  <c r="V474" i="1"/>
  <c r="U474" i="1"/>
  <c r="T474" i="1"/>
  <c r="V560" i="1"/>
  <c r="U560" i="1"/>
  <c r="T560" i="1"/>
  <c r="V469" i="1"/>
  <c r="U469" i="1"/>
  <c r="T469" i="1"/>
  <c r="V455" i="1"/>
  <c r="U455" i="1"/>
  <c r="T455" i="1"/>
  <c r="V436" i="1"/>
  <c r="U436" i="1"/>
  <c r="T436" i="1"/>
  <c r="V433" i="1"/>
  <c r="U433" i="1"/>
  <c r="T433" i="1"/>
  <c r="V432" i="1"/>
  <c r="U432" i="1"/>
  <c r="T432" i="1"/>
  <c r="V430" i="1"/>
  <c r="U430" i="1"/>
  <c r="T430" i="1"/>
  <c r="V427" i="1"/>
  <c r="U427" i="1"/>
  <c r="T427" i="1"/>
  <c r="V426" i="1"/>
  <c r="U426" i="1"/>
  <c r="T426" i="1"/>
  <c r="V418" i="1"/>
  <c r="U418" i="1"/>
  <c r="T418" i="1"/>
  <c r="V417" i="1"/>
  <c r="U417" i="1"/>
  <c r="T417" i="1"/>
  <c r="V416" i="1"/>
  <c r="U416" i="1"/>
  <c r="T416" i="1"/>
  <c r="V415" i="1"/>
  <c r="U415" i="1"/>
  <c r="T415" i="1"/>
  <c r="V414" i="1"/>
  <c r="U414" i="1"/>
  <c r="T414" i="1"/>
  <c r="V385" i="1"/>
  <c r="U385" i="1"/>
  <c r="T385" i="1"/>
  <c r="V378" i="1"/>
  <c r="U378" i="1"/>
  <c r="T378" i="1"/>
  <c r="V372" i="1"/>
  <c r="U372" i="1"/>
  <c r="T372" i="1"/>
  <c r="V370" i="1"/>
  <c r="U370" i="1"/>
  <c r="T370" i="1"/>
  <c r="V367" i="1"/>
  <c r="U367" i="1"/>
  <c r="T367" i="1"/>
  <c r="V361" i="1"/>
  <c r="U361" i="1"/>
  <c r="T361" i="1"/>
  <c r="V360" i="1"/>
  <c r="U360" i="1"/>
  <c r="T360" i="1"/>
  <c r="V359" i="1"/>
  <c r="U359" i="1"/>
  <c r="T359" i="1"/>
  <c r="V354" i="1"/>
  <c r="U354" i="1"/>
  <c r="T354" i="1"/>
  <c r="V350" i="1"/>
  <c r="U350" i="1"/>
  <c r="T350" i="1"/>
  <c r="V348" i="1"/>
  <c r="U348" i="1"/>
  <c r="T348" i="1"/>
  <c r="V326" i="1"/>
  <c r="U326" i="1"/>
  <c r="T326" i="1"/>
  <c r="V324" i="1"/>
  <c r="U324" i="1"/>
  <c r="T324" i="1"/>
  <c r="V321" i="1"/>
  <c r="U321" i="1"/>
  <c r="T321" i="1"/>
  <c r="V319" i="1"/>
  <c r="U319" i="1"/>
  <c r="T319" i="1"/>
  <c r="V316" i="1"/>
  <c r="U316" i="1"/>
  <c r="T316" i="1"/>
  <c r="V314" i="1"/>
  <c r="U314" i="1"/>
  <c r="T314" i="1"/>
  <c r="V310" i="1"/>
  <c r="U310" i="1"/>
  <c r="T310" i="1"/>
  <c r="V308" i="1"/>
  <c r="U308" i="1"/>
  <c r="T308" i="1"/>
  <c r="V302" i="1"/>
  <c r="U302" i="1"/>
  <c r="T302" i="1"/>
  <c r="V301" i="1"/>
  <c r="U301" i="1"/>
  <c r="T301" i="1"/>
  <c r="V300" i="1"/>
  <c r="U300" i="1"/>
  <c r="T300" i="1"/>
  <c r="V295" i="1"/>
  <c r="U295" i="1"/>
  <c r="T295" i="1"/>
  <c r="V293" i="1"/>
  <c r="U293" i="1"/>
  <c r="T293" i="1"/>
  <c r="V292" i="1"/>
  <c r="U292" i="1"/>
  <c r="T292" i="1"/>
  <c r="V288" i="1"/>
  <c r="U288" i="1"/>
  <c r="T288" i="1"/>
  <c r="V286" i="1"/>
  <c r="U286" i="1"/>
  <c r="T286" i="1"/>
  <c r="V284" i="1"/>
  <c r="U284" i="1"/>
  <c r="T284" i="1"/>
  <c r="V279" i="1"/>
  <c r="U279" i="1"/>
  <c r="T279" i="1"/>
  <c r="V278" i="1"/>
  <c r="U278" i="1"/>
  <c r="T278" i="1"/>
  <c r="V276" i="1"/>
  <c r="U276" i="1"/>
  <c r="T276" i="1"/>
  <c r="V273" i="1"/>
  <c r="U273" i="1"/>
  <c r="T273" i="1"/>
  <c r="V264" i="1"/>
  <c r="U264" i="1"/>
  <c r="T264" i="1"/>
  <c r="V262" i="1"/>
  <c r="U262" i="1"/>
  <c r="T262" i="1"/>
  <c r="V255" i="1"/>
  <c r="U255" i="1"/>
  <c r="T255" i="1"/>
  <c r="V253" i="1"/>
  <c r="U253" i="1"/>
  <c r="T253" i="1"/>
  <c r="V251" i="1"/>
  <c r="U251" i="1"/>
  <c r="T251" i="1"/>
  <c r="V248" i="1"/>
  <c r="U248" i="1"/>
  <c r="T248" i="1"/>
  <c r="V245" i="1"/>
  <c r="U245" i="1"/>
  <c r="T245" i="1"/>
  <c r="V244" i="1"/>
  <c r="U244" i="1"/>
  <c r="T244" i="1"/>
  <c r="V243" i="1"/>
  <c r="U243" i="1"/>
  <c r="T243" i="1"/>
  <c r="V242" i="1"/>
  <c r="U242" i="1"/>
  <c r="T242" i="1"/>
  <c r="V241" i="1"/>
  <c r="U241" i="1"/>
  <c r="T241" i="1"/>
  <c r="V236" i="1"/>
  <c r="U236" i="1"/>
  <c r="T236" i="1"/>
  <c r="V234" i="1"/>
  <c r="U234" i="1"/>
  <c r="T234" i="1"/>
  <c r="V233" i="1"/>
  <c r="U233" i="1"/>
  <c r="T233" i="1"/>
  <c r="V220" i="1"/>
  <c r="U220" i="1"/>
  <c r="T220" i="1"/>
  <c r="V218" i="1"/>
  <c r="U218" i="1"/>
  <c r="T218" i="1"/>
  <c r="V216" i="1"/>
  <c r="U216" i="1"/>
  <c r="T216" i="1"/>
  <c r="V211" i="1"/>
  <c r="U211" i="1"/>
  <c r="T211" i="1"/>
  <c r="V204" i="1"/>
  <c r="U204" i="1"/>
  <c r="T204" i="1"/>
  <c r="V203" i="1"/>
  <c r="U203" i="1"/>
  <c r="T203" i="1"/>
  <c r="V181" i="1"/>
  <c r="U181" i="1"/>
  <c r="T181" i="1"/>
  <c r="V170" i="1"/>
  <c r="U170" i="1"/>
  <c r="T170" i="1"/>
  <c r="V169" i="1"/>
  <c r="U169" i="1"/>
  <c r="T169" i="1"/>
  <c r="V162" i="1"/>
  <c r="U162" i="1"/>
  <c r="T162" i="1"/>
  <c r="V159" i="1"/>
  <c r="U159" i="1"/>
  <c r="T159" i="1"/>
  <c r="V153" i="1"/>
  <c r="U153" i="1"/>
  <c r="T153" i="1"/>
  <c r="V152" i="1"/>
  <c r="U152" i="1"/>
  <c r="T152" i="1"/>
  <c r="V151" i="1"/>
  <c r="U151" i="1"/>
  <c r="T151" i="1"/>
  <c r="V149" i="1"/>
  <c r="U149" i="1"/>
  <c r="T149" i="1"/>
  <c r="V139" i="1"/>
  <c r="U139" i="1"/>
  <c r="T139" i="1"/>
  <c r="V132" i="1"/>
  <c r="U132" i="1"/>
  <c r="T132" i="1"/>
  <c r="V124" i="1"/>
  <c r="U124" i="1"/>
  <c r="T124" i="1"/>
  <c r="V119" i="1"/>
  <c r="U119" i="1"/>
  <c r="T119" i="1"/>
  <c r="V118" i="1"/>
  <c r="U118" i="1"/>
  <c r="T118" i="1"/>
  <c r="V117" i="1"/>
  <c r="U117" i="1"/>
  <c r="T117" i="1"/>
  <c r="V96" i="1"/>
  <c r="U96" i="1"/>
  <c r="T96" i="1"/>
  <c r="V95" i="1"/>
  <c r="U95" i="1"/>
  <c r="T95" i="1"/>
  <c r="V89" i="1"/>
  <c r="U89" i="1"/>
  <c r="T89" i="1"/>
  <c r="V83" i="1"/>
  <c r="U83" i="1"/>
  <c r="T83" i="1"/>
  <c r="V64" i="1"/>
  <c r="U64" i="1"/>
  <c r="T64" i="1"/>
  <c r="V56" i="1"/>
  <c r="U56" i="1"/>
  <c r="T56" i="1"/>
  <c r="V53" i="1"/>
  <c r="U53" i="1"/>
  <c r="T53" i="1"/>
  <c r="V39" i="1"/>
  <c r="U39" i="1"/>
  <c r="T39" i="1"/>
  <c r="V35" i="1"/>
  <c r="U35" i="1"/>
  <c r="T35" i="1"/>
  <c r="V32" i="1"/>
  <c r="U32" i="1"/>
  <c r="T32" i="1"/>
  <c r="V31" i="1"/>
  <c r="U31" i="1"/>
  <c r="T31" i="1"/>
  <c r="V920" i="1"/>
  <c r="U920" i="1"/>
  <c r="T920" i="1"/>
  <c r="V919" i="1"/>
  <c r="U919" i="1"/>
  <c r="T919" i="1"/>
  <c r="V902" i="1"/>
  <c r="U902" i="1"/>
  <c r="T902" i="1"/>
  <c r="V882" i="1"/>
  <c r="U882" i="1"/>
  <c r="T882" i="1"/>
  <c r="V880" i="1"/>
  <c r="U880" i="1"/>
  <c r="T880" i="1"/>
  <c r="V879" i="1"/>
  <c r="U879" i="1"/>
  <c r="T879" i="1"/>
  <c r="V877" i="1"/>
  <c r="U877" i="1"/>
  <c r="T877" i="1"/>
  <c r="V876" i="1"/>
  <c r="U876" i="1"/>
  <c r="T876" i="1"/>
  <c r="V856" i="1"/>
  <c r="U856" i="1"/>
  <c r="T856" i="1"/>
  <c r="V834" i="1"/>
  <c r="U834" i="1"/>
  <c r="T834" i="1"/>
  <c r="V818" i="1"/>
  <c r="U818" i="1"/>
  <c r="T818" i="1"/>
  <c r="V812" i="1"/>
  <c r="U812" i="1"/>
  <c r="T812" i="1"/>
  <c r="V808" i="1"/>
  <c r="U808" i="1"/>
  <c r="T808" i="1"/>
  <c r="V804" i="1"/>
  <c r="U804" i="1"/>
  <c r="T804" i="1"/>
  <c r="V757" i="1"/>
  <c r="U757" i="1"/>
  <c r="T757" i="1"/>
  <c r="V756" i="1"/>
  <c r="U756" i="1"/>
  <c r="T756" i="1"/>
  <c r="V755" i="1"/>
  <c r="U755" i="1"/>
  <c r="T755" i="1"/>
  <c r="V754" i="1"/>
  <c r="U754" i="1"/>
  <c r="T754" i="1"/>
  <c r="V753" i="1"/>
  <c r="U753" i="1"/>
  <c r="T753" i="1"/>
  <c r="V752" i="1"/>
  <c r="U752" i="1"/>
  <c r="T752" i="1"/>
  <c r="V750" i="1"/>
  <c r="U750" i="1"/>
  <c r="T750" i="1"/>
  <c r="V748" i="1"/>
  <c r="U748" i="1"/>
  <c r="T748" i="1"/>
  <c r="V747" i="1"/>
  <c r="U747" i="1"/>
  <c r="T747" i="1"/>
  <c r="V746" i="1"/>
  <c r="U746" i="1"/>
  <c r="T746" i="1"/>
  <c r="V745" i="1"/>
  <c r="U745" i="1"/>
  <c r="T745" i="1"/>
  <c r="V744" i="1"/>
  <c r="U744" i="1"/>
  <c r="T744" i="1"/>
  <c r="V743" i="1"/>
  <c r="U743" i="1"/>
  <c r="T743" i="1"/>
  <c r="V742" i="1"/>
  <c r="U742" i="1"/>
  <c r="T742" i="1"/>
  <c r="V741" i="1"/>
  <c r="U741" i="1"/>
  <c r="T741" i="1"/>
  <c r="V740" i="1"/>
  <c r="U740" i="1"/>
  <c r="T740" i="1"/>
  <c r="V739" i="1"/>
  <c r="U739" i="1"/>
  <c r="T739" i="1"/>
  <c r="V735" i="1"/>
  <c r="U735" i="1"/>
  <c r="T735" i="1"/>
  <c r="V723" i="1"/>
  <c r="U723" i="1"/>
  <c r="T723" i="1"/>
  <c r="V719" i="1"/>
  <c r="U719" i="1"/>
  <c r="T719" i="1"/>
  <c r="V718" i="1"/>
  <c r="U718" i="1"/>
  <c r="T718" i="1"/>
  <c r="V707" i="1"/>
  <c r="U707" i="1"/>
  <c r="T707" i="1"/>
  <c r="V705" i="1"/>
  <c r="U705" i="1"/>
  <c r="T705" i="1"/>
  <c r="V694" i="1"/>
  <c r="U694" i="1"/>
  <c r="T694" i="1"/>
  <c r="V667" i="1"/>
  <c r="U667" i="1"/>
  <c r="T667" i="1"/>
  <c r="V666" i="1"/>
  <c r="U666" i="1"/>
  <c r="T666" i="1"/>
  <c r="V653" i="1"/>
  <c r="U653" i="1"/>
  <c r="T653" i="1"/>
  <c r="V652" i="1"/>
  <c r="U652" i="1"/>
  <c r="T652" i="1"/>
  <c r="V603" i="1"/>
  <c r="U603" i="1"/>
  <c r="T603" i="1"/>
  <c r="V586" i="1"/>
  <c r="U586" i="1"/>
  <c r="T586" i="1"/>
  <c r="V579" i="1"/>
  <c r="U579" i="1"/>
  <c r="T579" i="1"/>
  <c r="V573" i="1"/>
  <c r="U573" i="1"/>
  <c r="T573" i="1"/>
  <c r="V569" i="1"/>
  <c r="U569" i="1"/>
  <c r="T569" i="1"/>
  <c r="V552" i="1"/>
  <c r="U552" i="1"/>
  <c r="T552" i="1"/>
  <c r="V524" i="1"/>
  <c r="U524" i="1"/>
  <c r="T524" i="1"/>
  <c r="V523" i="1"/>
  <c r="U523" i="1"/>
  <c r="T523" i="1"/>
  <c r="V501" i="1"/>
  <c r="U501" i="1"/>
  <c r="T501" i="1"/>
  <c r="V460" i="1"/>
  <c r="U460" i="1"/>
  <c r="T460" i="1"/>
  <c r="V400" i="1"/>
  <c r="U400" i="1"/>
  <c r="T400" i="1"/>
  <c r="V387" i="1"/>
  <c r="U387" i="1"/>
  <c r="T387" i="1"/>
  <c r="V386" i="1"/>
  <c r="U386" i="1"/>
  <c r="T386" i="1"/>
  <c r="V339" i="1"/>
  <c r="U339" i="1"/>
  <c r="T339" i="1"/>
  <c r="V335" i="1"/>
  <c r="U335" i="1"/>
  <c r="T335" i="1"/>
  <c r="V329" i="1"/>
  <c r="U329" i="1"/>
  <c r="T329" i="1"/>
  <c r="V320" i="1"/>
  <c r="U320" i="1"/>
  <c r="T320" i="1"/>
  <c r="V317" i="1"/>
  <c r="U317" i="1"/>
  <c r="T317" i="1"/>
  <c r="V313" i="1"/>
  <c r="U313" i="1"/>
  <c r="T313" i="1"/>
  <c r="V290" i="1"/>
  <c r="U290" i="1"/>
  <c r="T290" i="1"/>
  <c r="V281" i="1"/>
  <c r="U281" i="1"/>
  <c r="T281" i="1"/>
  <c r="V261" i="1"/>
  <c r="U261" i="1"/>
  <c r="T261" i="1"/>
  <c r="V260" i="1"/>
  <c r="U260" i="1"/>
  <c r="T260" i="1"/>
  <c r="V252" i="1"/>
  <c r="U252" i="1"/>
  <c r="T252" i="1"/>
  <c r="V231" i="1"/>
  <c r="U231" i="1"/>
  <c r="T231" i="1"/>
  <c r="V228" i="1"/>
  <c r="U228" i="1"/>
  <c r="T228" i="1"/>
  <c r="V222" i="1"/>
  <c r="U222" i="1"/>
  <c r="T222" i="1"/>
  <c r="V221" i="1"/>
  <c r="U221" i="1"/>
  <c r="T221" i="1"/>
  <c r="V192" i="1"/>
  <c r="U192" i="1"/>
  <c r="T192" i="1"/>
  <c r="V191" i="1"/>
  <c r="U191" i="1"/>
  <c r="T191" i="1"/>
  <c r="V190" i="1"/>
  <c r="U190" i="1"/>
  <c r="T190" i="1"/>
  <c r="V184" i="1"/>
  <c r="U184" i="1"/>
  <c r="T184" i="1"/>
  <c r="V183" i="1"/>
  <c r="U183" i="1"/>
  <c r="T183" i="1"/>
  <c r="V182" i="1"/>
  <c r="U182" i="1"/>
  <c r="T182" i="1"/>
  <c r="V180" i="1"/>
  <c r="U180" i="1"/>
  <c r="T180" i="1"/>
  <c r="V178" i="1"/>
  <c r="U178" i="1"/>
  <c r="T178" i="1"/>
  <c r="V172" i="1"/>
  <c r="U172" i="1"/>
  <c r="T172" i="1"/>
  <c r="V171" i="1"/>
  <c r="U171" i="1"/>
  <c r="T171" i="1"/>
  <c r="V168" i="1"/>
  <c r="U168" i="1"/>
  <c r="T168" i="1"/>
  <c r="V164" i="1"/>
  <c r="U164" i="1"/>
  <c r="T164" i="1"/>
  <c r="V163" i="1"/>
  <c r="U163" i="1"/>
  <c r="T163" i="1"/>
  <c r="V160" i="1"/>
  <c r="U160" i="1"/>
  <c r="T160" i="1"/>
  <c r="V150" i="1"/>
  <c r="U150" i="1"/>
  <c r="T150" i="1"/>
  <c r="V148" i="1"/>
  <c r="U148" i="1"/>
  <c r="T148" i="1"/>
  <c r="V145" i="1"/>
  <c r="U145" i="1"/>
  <c r="T145" i="1"/>
  <c r="V116" i="1"/>
  <c r="U116" i="1"/>
  <c r="T116" i="1"/>
  <c r="V113" i="1"/>
  <c r="U113" i="1"/>
  <c r="T113" i="1"/>
  <c r="V111" i="1"/>
  <c r="U111" i="1"/>
  <c r="T111" i="1"/>
  <c r="V107" i="1"/>
  <c r="U107" i="1"/>
  <c r="T107" i="1"/>
  <c r="V93" i="1"/>
  <c r="U93" i="1"/>
  <c r="T93" i="1"/>
  <c r="V92" i="1"/>
  <c r="U92" i="1"/>
  <c r="T92" i="1"/>
  <c r="V91" i="1"/>
  <c r="U91" i="1"/>
  <c r="T91" i="1"/>
  <c r="V77" i="1"/>
  <c r="U77" i="1"/>
  <c r="T77" i="1"/>
  <c r="V66" i="1"/>
  <c r="U66" i="1"/>
  <c r="T66" i="1"/>
  <c r="V65" i="1"/>
  <c r="U65" i="1"/>
  <c r="T65" i="1"/>
  <c r="V48" i="1"/>
  <c r="U48" i="1"/>
  <c r="T48" i="1"/>
  <c r="V43" i="1"/>
  <c r="U43" i="1"/>
  <c r="T43" i="1"/>
  <c r="V36" i="1"/>
  <c r="U36" i="1"/>
  <c r="T36" i="1"/>
  <c r="V25" i="1"/>
  <c r="U25" i="1"/>
  <c r="T25" i="1"/>
  <c r="V24" i="1"/>
  <c r="U24" i="1"/>
  <c r="T24" i="1"/>
  <c r="V913" i="1"/>
  <c r="U913" i="1"/>
  <c r="T913" i="1"/>
  <c r="V871" i="1"/>
  <c r="U871" i="1"/>
  <c r="T871" i="1"/>
  <c r="V682" i="1"/>
  <c r="U682" i="1"/>
  <c r="T682" i="1"/>
  <c r="V638" i="1"/>
  <c r="U638" i="1"/>
  <c r="T638" i="1"/>
  <c r="V637" i="1"/>
  <c r="U637" i="1"/>
  <c r="T637" i="1"/>
  <c r="V634" i="1"/>
  <c r="U634" i="1"/>
  <c r="T634" i="1"/>
  <c r="V405" i="1"/>
  <c r="U405" i="1"/>
  <c r="T405" i="1"/>
  <c r="V399" i="1"/>
  <c r="U399" i="1"/>
  <c r="T399" i="1"/>
  <c r="V347" i="1"/>
  <c r="U347" i="1"/>
  <c r="T347" i="1"/>
  <c r="V345" i="1"/>
  <c r="U345" i="1"/>
  <c r="T345" i="1"/>
  <c r="V266" i="1"/>
  <c r="U266" i="1"/>
  <c r="T266" i="1"/>
  <c r="V134" i="1"/>
  <c r="U134" i="1"/>
  <c r="T134" i="1"/>
  <c r="V131" i="1"/>
  <c r="U131" i="1"/>
  <c r="T131" i="1"/>
  <c r="V130" i="1"/>
  <c r="U130" i="1"/>
  <c r="T130" i="1"/>
  <c r="V42" i="1"/>
  <c r="U42" i="1"/>
  <c r="T42" i="1"/>
  <c r="V40" i="1"/>
  <c r="U40" i="1"/>
  <c r="T40" i="1"/>
  <c r="V294" i="1"/>
  <c r="U294" i="1"/>
  <c r="T294" i="1"/>
  <c r="V914" i="1"/>
  <c r="U914" i="1"/>
  <c r="T914" i="1"/>
  <c r="V123" i="1"/>
  <c r="U123" i="1"/>
  <c r="T123" i="1"/>
  <c r="V122" i="1"/>
  <c r="U122" i="1"/>
  <c r="T122" i="1"/>
  <c r="V553" i="1"/>
  <c r="U553" i="1"/>
  <c r="T553" i="1"/>
  <c r="V258" i="1"/>
  <c r="U258" i="1"/>
  <c r="T258" i="1"/>
  <c r="V277" i="1"/>
  <c r="U277" i="1"/>
  <c r="T277" i="1"/>
  <c r="V616" i="1"/>
  <c r="U616" i="1"/>
  <c r="T616" i="1"/>
  <c r="V611" i="1"/>
  <c r="U611" i="1"/>
  <c r="T611" i="1"/>
  <c r="V444" i="1"/>
  <c r="U444" i="1"/>
  <c r="T444" i="1"/>
  <c r="V850" i="1"/>
  <c r="U850" i="1"/>
  <c r="T850" i="1"/>
  <c r="V661" i="1"/>
  <c r="U661" i="1"/>
  <c r="T661" i="1"/>
  <c r="V334" i="1"/>
  <c r="U334" i="1"/>
  <c r="T334" i="1"/>
  <c r="V332" i="1"/>
  <c r="U332" i="1"/>
  <c r="T332" i="1"/>
  <c r="V330" i="1"/>
  <c r="U330" i="1"/>
  <c r="T330" i="1"/>
  <c r="V423" i="1"/>
  <c r="U423" i="1"/>
  <c r="T423" i="1"/>
  <c r="V422" i="1"/>
  <c r="U422" i="1"/>
  <c r="T422" i="1"/>
  <c r="V421" i="1"/>
  <c r="U421" i="1"/>
  <c r="T421" i="1"/>
  <c r="V442" i="1"/>
  <c r="U442" i="1"/>
  <c r="T442" i="1"/>
  <c r="V75" i="1"/>
  <c r="U75" i="1"/>
  <c r="T75" i="1"/>
  <c r="V74" i="1"/>
  <c r="U74" i="1"/>
  <c r="T74" i="1"/>
  <c r="V28" i="1"/>
  <c r="U28" i="1"/>
  <c r="T28" i="1"/>
  <c r="V463" i="1"/>
  <c r="U463" i="1"/>
  <c r="T463" i="1"/>
  <c r="V226" i="1"/>
  <c r="U226" i="1"/>
  <c r="T226" i="1"/>
  <c r="V470" i="1"/>
  <c r="U470" i="1"/>
  <c r="T470" i="1"/>
  <c r="V496" i="1"/>
  <c r="U496" i="1"/>
  <c r="T496" i="1"/>
  <c r="V429" i="1"/>
  <c r="U429" i="1"/>
  <c r="T429" i="1"/>
  <c r="V471" i="1"/>
  <c r="U471" i="1"/>
  <c r="T471" i="1"/>
  <c r="V564" i="1"/>
  <c r="U564" i="1"/>
  <c r="T564" i="1"/>
  <c r="V562" i="1"/>
  <c r="U562" i="1"/>
  <c r="T562" i="1"/>
  <c r="V457" i="1"/>
  <c r="U457" i="1"/>
  <c r="T457" i="1"/>
  <c r="V456" i="1"/>
  <c r="U456" i="1"/>
  <c r="T456" i="1"/>
  <c r="V672" i="1"/>
  <c r="U672" i="1"/>
  <c r="T672" i="1"/>
  <c r="V34" i="1"/>
  <c r="U34" i="1"/>
  <c r="T34" i="1"/>
  <c r="V250" i="1"/>
  <c r="U250" i="1"/>
  <c r="T250" i="1"/>
  <c r="V734" i="1"/>
  <c r="U734" i="1"/>
  <c r="T734" i="1"/>
  <c r="V798" i="1"/>
  <c r="U798" i="1"/>
  <c r="T798" i="1"/>
  <c r="V796" i="1"/>
  <c r="U796" i="1"/>
  <c r="T796" i="1"/>
  <c r="V795" i="1"/>
  <c r="U795" i="1"/>
  <c r="T795" i="1"/>
  <c r="V793" i="1"/>
  <c r="U793" i="1"/>
  <c r="T793" i="1"/>
  <c r="V355" i="1"/>
  <c r="U355" i="1"/>
  <c r="T355" i="1"/>
  <c r="V640" i="1"/>
  <c r="U640" i="1"/>
  <c r="T640" i="1"/>
  <c r="V639" i="1"/>
  <c r="U639" i="1"/>
  <c r="T639" i="1"/>
  <c r="V390" i="1"/>
  <c r="U390" i="1"/>
  <c r="T390" i="1"/>
  <c r="V922" i="1"/>
  <c r="U922" i="1"/>
  <c r="T922" i="1"/>
  <c r="V338" i="1"/>
  <c r="U338" i="1"/>
  <c r="T338" i="1"/>
  <c r="V762" i="1"/>
  <c r="U762" i="1"/>
  <c r="T762" i="1"/>
  <c r="V419" i="1"/>
  <c r="U419" i="1"/>
  <c r="T419" i="1"/>
  <c r="V617" i="1"/>
  <c r="U617" i="1"/>
  <c r="T617" i="1"/>
  <c r="V306" i="1"/>
  <c r="U306" i="1"/>
  <c r="T306" i="1"/>
  <c r="V303" i="1"/>
  <c r="U303" i="1"/>
  <c r="T303" i="1"/>
  <c r="V21" i="1"/>
  <c r="U21" i="1"/>
  <c r="T21" i="1"/>
  <c r="V820" i="1"/>
  <c r="U820" i="1"/>
  <c r="T820" i="1"/>
  <c r="V629" i="1"/>
  <c r="U629" i="1"/>
  <c r="T629" i="1"/>
  <c r="V628" i="1"/>
  <c r="U628" i="1"/>
  <c r="T628" i="1"/>
  <c r="V625" i="1"/>
  <c r="U625" i="1"/>
  <c r="T625" i="1"/>
  <c r="V514" i="1"/>
  <c r="U514" i="1"/>
  <c r="T514" i="1"/>
  <c r="V263" i="1"/>
  <c r="U263" i="1"/>
  <c r="T263" i="1"/>
  <c r="V859" i="1"/>
  <c r="U859" i="1"/>
  <c r="T859" i="1"/>
  <c r="V581" i="1"/>
  <c r="U581" i="1"/>
  <c r="T581" i="1"/>
  <c r="V580" i="1"/>
  <c r="U580" i="1"/>
  <c r="T580" i="1"/>
  <c r="V493" i="1"/>
  <c r="U493" i="1"/>
  <c r="T493" i="1"/>
  <c r="V492" i="1"/>
  <c r="U492" i="1"/>
  <c r="T492" i="1"/>
  <c r="V454" i="1"/>
  <c r="U454" i="1"/>
  <c r="T454" i="1"/>
  <c r="V447" i="1"/>
  <c r="U447" i="1"/>
  <c r="T447" i="1"/>
  <c r="V594" i="1"/>
  <c r="U594" i="1"/>
  <c r="T594" i="1"/>
  <c r="V592" i="1"/>
  <c r="U592" i="1"/>
  <c r="T592" i="1"/>
  <c r="V591" i="1"/>
  <c r="U591" i="1"/>
  <c r="T591" i="1"/>
  <c r="V237" i="1"/>
  <c r="U237" i="1"/>
  <c r="T237" i="1"/>
  <c r="V577" i="1"/>
  <c r="U577" i="1"/>
  <c r="T577" i="1"/>
  <c r="V567" i="1"/>
  <c r="U567" i="1"/>
  <c r="T567" i="1"/>
  <c r="V312" i="1"/>
  <c r="U312" i="1"/>
  <c r="T312" i="1"/>
  <c r="V225" i="1"/>
  <c r="U225" i="1"/>
  <c r="T225" i="1"/>
  <c r="V210" i="1"/>
  <c r="U210" i="1"/>
  <c r="T210" i="1"/>
  <c r="V342" i="1"/>
  <c r="U342" i="1"/>
  <c r="T342" i="1"/>
  <c r="V918" i="1"/>
  <c r="U918" i="1"/>
  <c r="T918" i="1"/>
  <c r="V917" i="1"/>
  <c r="U917" i="1"/>
  <c r="T917" i="1"/>
  <c r="V916" i="1"/>
  <c r="U916" i="1"/>
  <c r="T916" i="1"/>
  <c r="V910" i="1"/>
  <c r="U910" i="1"/>
  <c r="T910" i="1"/>
  <c r="V904" i="1"/>
  <c r="U904" i="1"/>
  <c r="T904" i="1"/>
  <c r="V900" i="1"/>
  <c r="U900" i="1"/>
  <c r="T900" i="1"/>
  <c r="V897" i="1"/>
  <c r="U897" i="1"/>
  <c r="T897" i="1"/>
  <c r="V891" i="1"/>
  <c r="U891" i="1"/>
  <c r="T891" i="1"/>
  <c r="V885" i="1"/>
  <c r="U885" i="1"/>
  <c r="T885" i="1"/>
  <c r="V884" i="1"/>
  <c r="U884" i="1"/>
  <c r="T884" i="1"/>
  <c r="V874" i="1"/>
  <c r="U874" i="1"/>
  <c r="T874" i="1"/>
  <c r="V869" i="1"/>
  <c r="U869" i="1"/>
  <c r="T869" i="1"/>
  <c r="V867" i="1"/>
  <c r="U867" i="1"/>
  <c r="T867" i="1"/>
  <c r="V866" i="1"/>
  <c r="U866" i="1"/>
  <c r="T866" i="1"/>
  <c r="V863" i="1"/>
  <c r="U863" i="1"/>
  <c r="T863" i="1"/>
  <c r="V862" i="1"/>
  <c r="U862" i="1"/>
  <c r="T862" i="1"/>
  <c r="V861" i="1"/>
  <c r="U861" i="1"/>
  <c r="T861" i="1"/>
  <c r="V860" i="1"/>
  <c r="U860" i="1"/>
  <c r="T860" i="1"/>
  <c r="V846" i="1"/>
  <c r="U846" i="1"/>
  <c r="T846" i="1"/>
  <c r="V842" i="1"/>
  <c r="U842" i="1"/>
  <c r="T842" i="1"/>
  <c r="V841" i="1"/>
  <c r="U841" i="1"/>
  <c r="T841" i="1"/>
  <c r="V831" i="1"/>
  <c r="U831" i="1"/>
  <c r="T831" i="1"/>
  <c r="V829" i="1"/>
  <c r="U829" i="1"/>
  <c r="T829" i="1"/>
  <c r="V819" i="1"/>
  <c r="U819" i="1"/>
  <c r="T819" i="1"/>
  <c r="V806" i="1"/>
  <c r="U806" i="1"/>
  <c r="T806" i="1"/>
  <c r="V805" i="1"/>
  <c r="U805" i="1"/>
  <c r="T805" i="1"/>
  <c r="V801" i="1"/>
  <c r="U801" i="1"/>
  <c r="T801" i="1"/>
  <c r="V799" i="1"/>
  <c r="U799" i="1"/>
  <c r="T799" i="1"/>
  <c r="V792" i="1"/>
  <c r="U792" i="1"/>
  <c r="T792" i="1"/>
  <c r="V791" i="1"/>
  <c r="U791" i="1"/>
  <c r="T791" i="1"/>
  <c r="V790" i="1"/>
  <c r="U790" i="1"/>
  <c r="T790" i="1"/>
  <c r="V788" i="1"/>
  <c r="U788" i="1"/>
  <c r="T788" i="1"/>
  <c r="V784" i="1"/>
  <c r="U784" i="1"/>
  <c r="T784" i="1"/>
  <c r="V771" i="1"/>
  <c r="U771" i="1"/>
  <c r="T771" i="1"/>
  <c r="V770" i="1"/>
  <c r="U770" i="1"/>
  <c r="T770" i="1"/>
  <c r="V765" i="1"/>
  <c r="U765" i="1"/>
  <c r="T765" i="1"/>
  <c r="V764" i="1"/>
  <c r="U764" i="1"/>
  <c r="T764" i="1"/>
  <c r="V763" i="1"/>
  <c r="U763" i="1"/>
  <c r="T763" i="1"/>
  <c r="V761" i="1"/>
  <c r="U761" i="1"/>
  <c r="T761" i="1"/>
  <c r="V736" i="1"/>
  <c r="U736" i="1"/>
  <c r="T736" i="1"/>
  <c r="V732" i="1"/>
  <c r="U732" i="1"/>
  <c r="T732" i="1"/>
  <c r="V731" i="1"/>
  <c r="U731" i="1"/>
  <c r="T731" i="1"/>
  <c r="V727" i="1"/>
  <c r="U727" i="1"/>
  <c r="T727" i="1"/>
  <c r="V726" i="1"/>
  <c r="U726" i="1"/>
  <c r="T726" i="1"/>
  <c r="V690" i="1"/>
  <c r="U690" i="1"/>
  <c r="T690" i="1"/>
  <c r="V683" i="1"/>
  <c r="U683" i="1"/>
  <c r="T683" i="1"/>
  <c r="V680" i="1"/>
  <c r="U680" i="1"/>
  <c r="T680" i="1"/>
  <c r="V679" i="1"/>
  <c r="U679" i="1"/>
  <c r="T679" i="1"/>
  <c r="V678" i="1"/>
  <c r="U678" i="1"/>
  <c r="T678" i="1"/>
  <c r="V676" i="1"/>
  <c r="U676" i="1"/>
  <c r="T676" i="1"/>
  <c r="V675" i="1"/>
  <c r="U675" i="1"/>
  <c r="T675" i="1"/>
  <c r="V643" i="1"/>
  <c r="U643" i="1"/>
  <c r="T643" i="1"/>
  <c r="V641" i="1"/>
  <c r="U641" i="1"/>
  <c r="T641" i="1"/>
  <c r="V609" i="1"/>
  <c r="U609" i="1"/>
  <c r="T609" i="1"/>
  <c r="V607" i="1"/>
  <c r="U607" i="1"/>
  <c r="T607" i="1"/>
  <c r="V605" i="1"/>
  <c r="U605" i="1"/>
  <c r="T605" i="1"/>
  <c r="V587" i="1"/>
  <c r="U587" i="1"/>
  <c r="T587" i="1"/>
  <c r="V584" i="1"/>
  <c r="U584" i="1"/>
  <c r="T584" i="1"/>
  <c r="V571" i="1"/>
  <c r="U571" i="1"/>
  <c r="T571" i="1"/>
  <c r="V563" i="1"/>
  <c r="U563" i="1"/>
  <c r="T563" i="1"/>
  <c r="V557" i="1"/>
  <c r="U557" i="1"/>
  <c r="T557" i="1"/>
  <c r="V556" i="1"/>
  <c r="U556" i="1"/>
  <c r="T556" i="1"/>
  <c r="V537" i="1"/>
  <c r="U537" i="1"/>
  <c r="T537" i="1"/>
  <c r="V530" i="1"/>
  <c r="U530" i="1"/>
  <c r="T530" i="1"/>
  <c r="V527" i="1"/>
  <c r="U527" i="1"/>
  <c r="T527" i="1"/>
  <c r="V526" i="1"/>
  <c r="U526" i="1"/>
  <c r="T526" i="1"/>
  <c r="V525" i="1"/>
  <c r="U525" i="1"/>
  <c r="T525" i="1"/>
  <c r="V520" i="1"/>
  <c r="U520" i="1"/>
  <c r="T520" i="1"/>
  <c r="V518" i="1"/>
  <c r="U518" i="1"/>
  <c r="T518" i="1"/>
  <c r="V510" i="1"/>
  <c r="U510" i="1"/>
  <c r="T510" i="1"/>
  <c r="V509" i="1"/>
  <c r="U509" i="1"/>
  <c r="T509" i="1"/>
  <c r="V508" i="1"/>
  <c r="U508" i="1"/>
  <c r="T508" i="1"/>
  <c r="V507" i="1"/>
  <c r="U507" i="1"/>
  <c r="T507" i="1"/>
  <c r="V506" i="1"/>
  <c r="U506" i="1"/>
  <c r="T506" i="1"/>
  <c r="V495" i="1"/>
  <c r="U495" i="1"/>
  <c r="T495" i="1"/>
  <c r="V491" i="1"/>
  <c r="U491" i="1"/>
  <c r="T491" i="1"/>
  <c r="V489" i="1"/>
  <c r="U489" i="1"/>
  <c r="T489" i="1"/>
  <c r="V487" i="1"/>
  <c r="U487" i="1"/>
  <c r="T487" i="1"/>
  <c r="V482" i="1"/>
  <c r="U482" i="1"/>
  <c r="T482" i="1"/>
  <c r="V478" i="1"/>
  <c r="U478" i="1"/>
  <c r="T478" i="1"/>
  <c r="V472" i="1"/>
  <c r="U472" i="1"/>
  <c r="T472" i="1"/>
  <c r="V462" i="1"/>
  <c r="U462" i="1"/>
  <c r="T462" i="1"/>
  <c r="V461" i="1"/>
  <c r="U461" i="1"/>
  <c r="T461" i="1"/>
  <c r="V459" i="1"/>
  <c r="U459" i="1"/>
  <c r="T459" i="1"/>
  <c r="V453" i="1"/>
  <c r="U453" i="1"/>
  <c r="T453" i="1"/>
  <c r="V450" i="1"/>
  <c r="U450" i="1"/>
  <c r="T450" i="1"/>
  <c r="V446" i="1"/>
  <c r="U446" i="1"/>
  <c r="T446" i="1"/>
  <c r="V445" i="1"/>
  <c r="U445" i="1"/>
  <c r="T445" i="1"/>
  <c r="V443" i="1"/>
  <c r="U443" i="1"/>
  <c r="T443" i="1"/>
  <c r="V441" i="1"/>
  <c r="U441" i="1"/>
  <c r="T441" i="1"/>
  <c r="V437" i="1"/>
  <c r="U437" i="1"/>
  <c r="T437" i="1"/>
  <c r="V425" i="1"/>
  <c r="U425" i="1"/>
  <c r="T425" i="1"/>
  <c r="V404" i="1"/>
  <c r="U404" i="1"/>
  <c r="T404" i="1"/>
  <c r="V401" i="1"/>
  <c r="U401" i="1"/>
  <c r="T401" i="1"/>
  <c r="V398" i="1"/>
  <c r="U398" i="1"/>
  <c r="T398" i="1"/>
  <c r="V397" i="1"/>
  <c r="U397" i="1"/>
  <c r="T397" i="1"/>
  <c r="V394" i="1"/>
  <c r="U394" i="1"/>
  <c r="T394" i="1"/>
  <c r="V392" i="1"/>
  <c r="U392" i="1"/>
  <c r="T392" i="1"/>
  <c r="V391" i="1"/>
  <c r="U391" i="1"/>
  <c r="T391" i="1"/>
  <c r="V389" i="1"/>
  <c r="U389" i="1"/>
  <c r="T389" i="1"/>
  <c r="V379" i="1"/>
  <c r="U379" i="1"/>
  <c r="T379" i="1"/>
  <c r="V374" i="1"/>
  <c r="U374" i="1"/>
  <c r="T374" i="1"/>
  <c r="V373" i="1"/>
  <c r="U373" i="1"/>
  <c r="T373" i="1"/>
  <c r="V371" i="1"/>
  <c r="U371" i="1"/>
  <c r="T371" i="1"/>
  <c r="V368" i="1"/>
  <c r="U368" i="1"/>
  <c r="T368" i="1"/>
  <c r="V365" i="1"/>
  <c r="U365" i="1"/>
  <c r="T365" i="1"/>
  <c r="V363" i="1"/>
  <c r="U363" i="1"/>
  <c r="T363" i="1"/>
  <c r="V362" i="1"/>
  <c r="U362" i="1"/>
  <c r="T362" i="1"/>
  <c r="V358" i="1"/>
  <c r="U358" i="1"/>
  <c r="T358" i="1"/>
  <c r="V357" i="1"/>
  <c r="U357" i="1"/>
  <c r="T357" i="1"/>
  <c r="V356" i="1"/>
  <c r="U356" i="1"/>
  <c r="T356" i="1"/>
  <c r="V351" i="1"/>
  <c r="U351" i="1"/>
  <c r="T351" i="1"/>
  <c r="V344" i="1"/>
  <c r="U344" i="1"/>
  <c r="T344" i="1"/>
  <c r="V340" i="1"/>
  <c r="U340" i="1"/>
  <c r="T340" i="1"/>
  <c r="V336" i="1"/>
  <c r="U336" i="1"/>
  <c r="T336" i="1"/>
  <c r="V328" i="1"/>
  <c r="U328" i="1"/>
  <c r="T328" i="1"/>
  <c r="V327" i="1"/>
  <c r="U327" i="1"/>
  <c r="T327" i="1"/>
  <c r="V323" i="1"/>
  <c r="U323" i="1"/>
  <c r="T323" i="1"/>
  <c r="V322" i="1"/>
  <c r="U322" i="1"/>
  <c r="T322" i="1"/>
  <c r="V311" i="1"/>
  <c r="U311" i="1"/>
  <c r="T311" i="1"/>
  <c r="V307" i="1"/>
  <c r="U307" i="1"/>
  <c r="T307" i="1"/>
  <c r="V305" i="1"/>
  <c r="U305" i="1"/>
  <c r="T305" i="1"/>
  <c r="V304" i="1"/>
  <c r="U304" i="1"/>
  <c r="T304" i="1"/>
  <c r="V274" i="1"/>
  <c r="U274" i="1"/>
  <c r="T274" i="1"/>
  <c r="V272" i="1"/>
  <c r="U272" i="1"/>
  <c r="T272" i="1"/>
  <c r="V271" i="1"/>
  <c r="U271" i="1"/>
  <c r="T271" i="1"/>
  <c r="V269" i="1"/>
  <c r="U269" i="1"/>
  <c r="T269" i="1"/>
  <c r="V267" i="1"/>
  <c r="U267" i="1"/>
  <c r="T267" i="1"/>
  <c r="V265" i="1"/>
  <c r="U265" i="1"/>
  <c r="T265" i="1"/>
  <c r="V259" i="1"/>
  <c r="U259" i="1"/>
  <c r="T259" i="1"/>
  <c r="V257" i="1"/>
  <c r="U257" i="1"/>
  <c r="T257" i="1"/>
  <c r="V256" i="1"/>
  <c r="U256" i="1"/>
  <c r="T256" i="1"/>
  <c r="V240" i="1"/>
  <c r="U240" i="1"/>
  <c r="T240" i="1"/>
  <c r="V238" i="1"/>
  <c r="U238" i="1"/>
  <c r="T238" i="1"/>
  <c r="V227" i="1"/>
  <c r="U227" i="1"/>
  <c r="T227" i="1"/>
  <c r="V224" i="1"/>
  <c r="U224" i="1"/>
  <c r="T224" i="1"/>
  <c r="V223" i="1"/>
  <c r="U223" i="1"/>
  <c r="T223" i="1"/>
  <c r="V219" i="1"/>
  <c r="U219" i="1"/>
  <c r="T219" i="1"/>
  <c r="V215" i="1"/>
  <c r="U215" i="1"/>
  <c r="T215" i="1"/>
  <c r="V214" i="1"/>
  <c r="U214" i="1"/>
  <c r="T214" i="1"/>
  <c r="V207" i="1"/>
  <c r="U207" i="1"/>
  <c r="T207" i="1"/>
  <c r="V205" i="1"/>
  <c r="U205" i="1"/>
  <c r="T205" i="1"/>
  <c r="V200" i="1"/>
  <c r="U200" i="1"/>
  <c r="T200" i="1"/>
  <c r="V199" i="1"/>
  <c r="U199" i="1"/>
  <c r="T199" i="1"/>
  <c r="V198" i="1"/>
  <c r="U198" i="1"/>
  <c r="T198" i="1"/>
  <c r="V197" i="1"/>
  <c r="U197" i="1"/>
  <c r="T197" i="1"/>
  <c r="V196" i="1"/>
  <c r="U196" i="1"/>
  <c r="T196" i="1"/>
  <c r="V195" i="1"/>
  <c r="U195" i="1"/>
  <c r="T195" i="1"/>
  <c r="V187" i="1"/>
  <c r="U187" i="1"/>
  <c r="T187" i="1"/>
  <c r="V165" i="1"/>
  <c r="U165" i="1"/>
  <c r="T165" i="1"/>
  <c r="V156" i="1"/>
  <c r="U156" i="1"/>
  <c r="T156" i="1"/>
  <c r="V147" i="1"/>
  <c r="U147" i="1"/>
  <c r="T147" i="1"/>
  <c r="V146" i="1"/>
  <c r="U146" i="1"/>
  <c r="T146" i="1"/>
  <c r="V144" i="1"/>
  <c r="U144" i="1"/>
  <c r="T144" i="1"/>
  <c r="V135" i="1"/>
  <c r="U135" i="1"/>
  <c r="T135" i="1"/>
  <c r="V125" i="1"/>
  <c r="U125" i="1"/>
  <c r="T125" i="1"/>
  <c r="V120" i="1"/>
  <c r="U120" i="1"/>
  <c r="T120" i="1"/>
  <c r="V115" i="1"/>
  <c r="U115" i="1"/>
  <c r="T115" i="1"/>
  <c r="V109" i="1"/>
  <c r="U109" i="1"/>
  <c r="T109" i="1"/>
  <c r="V108" i="1"/>
  <c r="U108" i="1"/>
  <c r="T108" i="1"/>
  <c r="V106" i="1"/>
  <c r="U106" i="1"/>
  <c r="T106" i="1"/>
  <c r="V105" i="1"/>
  <c r="U105" i="1"/>
  <c r="T105" i="1"/>
  <c r="V102" i="1"/>
  <c r="U102" i="1"/>
  <c r="T102" i="1"/>
  <c r="V101" i="1"/>
  <c r="U101" i="1"/>
  <c r="T101" i="1"/>
  <c r="V100" i="1"/>
  <c r="U100" i="1"/>
  <c r="T100" i="1"/>
  <c r="V99" i="1"/>
  <c r="U99" i="1"/>
  <c r="T99" i="1"/>
  <c r="V90" i="1"/>
  <c r="U90" i="1"/>
  <c r="T90" i="1"/>
  <c r="V87" i="1"/>
  <c r="U87" i="1"/>
  <c r="T87" i="1"/>
  <c r="V88" i="1"/>
  <c r="U88" i="1"/>
  <c r="T88" i="1"/>
  <c r="V85" i="1"/>
  <c r="U85" i="1"/>
  <c r="T85" i="1"/>
  <c r="V79" i="1"/>
  <c r="U79" i="1"/>
  <c r="T79" i="1"/>
  <c r="V78" i="1"/>
  <c r="U78" i="1"/>
  <c r="T78" i="1"/>
  <c r="V76" i="1"/>
  <c r="U76" i="1"/>
  <c r="T76" i="1"/>
  <c r="V72" i="1"/>
  <c r="U72" i="1"/>
  <c r="T72" i="1"/>
  <c r="V71" i="1"/>
  <c r="U71" i="1"/>
  <c r="T71" i="1"/>
  <c r="V70" i="1"/>
  <c r="U70" i="1"/>
  <c r="T70" i="1"/>
  <c r="V68" i="1"/>
  <c r="U68" i="1"/>
  <c r="T68" i="1"/>
  <c r="V67" i="1"/>
  <c r="U67" i="1"/>
  <c r="T67" i="1"/>
  <c r="V63" i="1"/>
  <c r="U63" i="1"/>
  <c r="T63" i="1"/>
  <c r="V62" i="1"/>
  <c r="U62" i="1"/>
  <c r="T62" i="1"/>
  <c r="V61" i="1"/>
  <c r="U61" i="1"/>
  <c r="T61" i="1"/>
  <c r="V59" i="1"/>
  <c r="U59" i="1"/>
  <c r="T59" i="1"/>
  <c r="V57" i="1"/>
  <c r="U57" i="1"/>
  <c r="T57" i="1"/>
  <c r="V55" i="1"/>
  <c r="U55" i="1"/>
  <c r="T55" i="1"/>
  <c r="V46" i="1"/>
  <c r="U46" i="1"/>
  <c r="T46" i="1"/>
  <c r="V44" i="1"/>
  <c r="U44" i="1"/>
  <c r="T44" i="1"/>
  <c r="V38" i="1"/>
  <c r="U38" i="1"/>
  <c r="T38" i="1"/>
  <c r="V37" i="1"/>
  <c r="U37" i="1"/>
  <c r="T37" i="1"/>
  <c r="V30" i="1"/>
  <c r="U30" i="1"/>
  <c r="T30" i="1"/>
  <c r="V29" i="1"/>
  <c r="U29" i="1"/>
  <c r="T29" i="1"/>
  <c r="V26" i="1"/>
  <c r="U26" i="1"/>
  <c r="T26" i="1"/>
  <c r="V186" i="1"/>
  <c r="U186" i="1"/>
  <c r="T186" i="1"/>
  <c r="V848" i="1"/>
  <c r="U848" i="1"/>
  <c r="T848" i="1"/>
  <c r="V844" i="1"/>
  <c r="U844" i="1"/>
  <c r="T844" i="1"/>
  <c r="V839" i="1"/>
  <c r="U839" i="1"/>
  <c r="T839" i="1"/>
  <c r="V838" i="1"/>
  <c r="U838" i="1"/>
  <c r="T838" i="1"/>
  <c r="V836" i="1"/>
  <c r="U836" i="1"/>
  <c r="T836" i="1"/>
  <c r="V823" i="1"/>
  <c r="U823" i="1"/>
  <c r="T823" i="1"/>
  <c r="V800" i="1"/>
  <c r="U800" i="1"/>
  <c r="T800" i="1"/>
  <c r="V789" i="1"/>
  <c r="U789" i="1"/>
  <c r="T789" i="1"/>
  <c r="V768" i="1"/>
  <c r="U768" i="1"/>
  <c r="T768" i="1"/>
  <c r="V686" i="1"/>
  <c r="U686" i="1"/>
  <c r="T686" i="1"/>
  <c r="V685" i="1"/>
  <c r="U685" i="1"/>
  <c r="T685" i="1"/>
  <c r="V681" i="1"/>
  <c r="U681" i="1"/>
  <c r="T681" i="1"/>
  <c r="V647" i="1"/>
  <c r="U647" i="1"/>
  <c r="T647" i="1"/>
  <c r="V631" i="1"/>
  <c r="U631" i="1"/>
  <c r="T631" i="1"/>
  <c r="V574" i="1"/>
  <c r="U574" i="1"/>
  <c r="T574" i="1"/>
  <c r="V572" i="1"/>
  <c r="U572" i="1"/>
  <c r="T572" i="1"/>
  <c r="V558" i="1"/>
  <c r="U558" i="1"/>
  <c r="T558" i="1"/>
  <c r="V538" i="1"/>
  <c r="U538" i="1"/>
  <c r="T538" i="1"/>
  <c r="V534" i="1"/>
  <c r="U534" i="1"/>
  <c r="T534" i="1"/>
  <c r="V529" i="1"/>
  <c r="U529" i="1"/>
  <c r="T529" i="1"/>
  <c r="V481" i="1"/>
  <c r="U481" i="1"/>
  <c r="T481" i="1"/>
  <c r="V475" i="1"/>
  <c r="U475" i="1"/>
  <c r="T475" i="1"/>
  <c r="V388" i="1"/>
  <c r="U388" i="1"/>
  <c r="T388" i="1"/>
  <c r="V384" i="1"/>
  <c r="U384" i="1"/>
  <c r="T384" i="1"/>
  <c r="V369" i="1"/>
  <c r="U369" i="1"/>
  <c r="T369" i="1"/>
  <c r="V239" i="1"/>
  <c r="U239" i="1"/>
  <c r="T239" i="1"/>
  <c r="V232" i="1"/>
  <c r="U232" i="1"/>
  <c r="T232" i="1"/>
  <c r="V213" i="1"/>
  <c r="U213" i="1"/>
  <c r="T213" i="1"/>
  <c r="V212" i="1"/>
  <c r="U212" i="1"/>
  <c r="T212" i="1"/>
  <c r="V209" i="1"/>
  <c r="U209" i="1"/>
  <c r="T209" i="1"/>
  <c r="V206" i="1"/>
  <c r="U206" i="1"/>
  <c r="T206" i="1"/>
  <c r="V141" i="1"/>
  <c r="U141" i="1"/>
  <c r="T141" i="1"/>
  <c r="V82" i="1"/>
  <c r="U82" i="1"/>
  <c r="T82" i="1"/>
  <c r="V81" i="1"/>
  <c r="U81" i="1"/>
  <c r="T81" i="1"/>
  <c r="V49" i="1"/>
  <c r="U49" i="1"/>
  <c r="T49" i="1"/>
  <c r="V864" i="1"/>
  <c r="U864" i="1"/>
  <c r="T864" i="1"/>
  <c r="V845" i="1"/>
  <c r="U845" i="1"/>
  <c r="T845" i="1"/>
  <c r="V815" i="1"/>
  <c r="U815" i="1"/>
  <c r="T815" i="1"/>
  <c r="V814" i="1"/>
  <c r="U814" i="1"/>
  <c r="T814" i="1"/>
  <c r="V769" i="1"/>
  <c r="U769" i="1"/>
  <c r="T769" i="1"/>
  <c r="V636" i="1"/>
  <c r="U636" i="1"/>
  <c r="T636" i="1"/>
  <c r="V633" i="1"/>
  <c r="U633" i="1"/>
  <c r="T633" i="1"/>
  <c r="V622" i="1"/>
  <c r="U622" i="1"/>
  <c r="T622" i="1"/>
  <c r="V621" i="1"/>
  <c r="U621" i="1"/>
  <c r="T621" i="1"/>
  <c r="V555" i="1"/>
  <c r="U555" i="1"/>
  <c r="T555" i="1"/>
  <c r="V464" i="1"/>
  <c r="U464" i="1"/>
  <c r="T464" i="1"/>
  <c r="V451" i="1"/>
  <c r="U451" i="1"/>
  <c r="T451" i="1"/>
  <c r="V448" i="1"/>
  <c r="U448" i="1"/>
  <c r="T448" i="1"/>
  <c r="V440" i="1"/>
  <c r="U440" i="1"/>
  <c r="T440" i="1"/>
  <c r="V403" i="1"/>
  <c r="U403" i="1"/>
  <c r="T403" i="1"/>
  <c r="V402" i="1"/>
  <c r="U402" i="1"/>
  <c r="T402" i="1"/>
  <c r="V383" i="1"/>
  <c r="U383" i="1"/>
  <c r="T383" i="1"/>
  <c r="V349" i="1"/>
  <c r="U349" i="1"/>
  <c r="T349" i="1"/>
  <c r="V287" i="1"/>
  <c r="U287" i="1"/>
  <c r="T287" i="1"/>
  <c r="V283" i="1"/>
  <c r="U283" i="1"/>
  <c r="T283" i="1"/>
  <c r="V254" i="1"/>
  <c r="U254" i="1"/>
  <c r="T254" i="1"/>
  <c r="V142" i="1"/>
  <c r="U142" i="1"/>
  <c r="T142" i="1"/>
  <c r="V229" i="1"/>
  <c r="U229" i="1"/>
  <c r="T229" i="1"/>
  <c r="V194" i="1"/>
  <c r="U194" i="1"/>
  <c r="T194" i="1"/>
  <c r="V174" i="1"/>
  <c r="U174" i="1"/>
  <c r="T174" i="1"/>
  <c r="V154" i="1"/>
  <c r="U154" i="1"/>
  <c r="T154" i="1"/>
  <c r="V86" i="1"/>
  <c r="U86" i="1"/>
  <c r="T86" i="1"/>
  <c r="V73" i="1"/>
  <c r="U73" i="1"/>
  <c r="T73" i="1"/>
  <c r="V58" i="1"/>
  <c r="U58" i="1"/>
  <c r="T58" i="1"/>
  <c r="V41" i="1"/>
  <c r="U41" i="1"/>
  <c r="T41" i="1"/>
  <c r="V22" i="1"/>
  <c r="U22" i="1"/>
  <c r="T22" i="1"/>
  <c r="V704" i="1"/>
  <c r="U704" i="1"/>
  <c r="T704" i="1"/>
  <c r="V895" i="1"/>
  <c r="U895" i="1"/>
  <c r="T895" i="1"/>
  <c r="V881" i="1"/>
  <c r="U881" i="1"/>
  <c r="T881" i="1"/>
  <c r="V865" i="1"/>
  <c r="U865" i="1"/>
  <c r="T865" i="1"/>
  <c r="V503" i="1"/>
  <c r="U503" i="1"/>
  <c r="T503" i="1"/>
  <c r="V858" i="1"/>
  <c r="U858" i="1"/>
  <c r="T858" i="1"/>
  <c r="V835" i="1"/>
  <c r="U835" i="1"/>
  <c r="T835" i="1"/>
  <c r="V833" i="1"/>
  <c r="U833" i="1"/>
  <c r="T833" i="1"/>
  <c r="V832" i="1"/>
  <c r="U832" i="1"/>
  <c r="T832" i="1"/>
  <c r="V813" i="1"/>
  <c r="U813" i="1"/>
  <c r="T813" i="1"/>
  <c r="V810" i="1"/>
  <c r="U810" i="1"/>
  <c r="T810" i="1"/>
  <c r="V809" i="1"/>
  <c r="U809" i="1"/>
  <c r="T809" i="1"/>
  <c r="V777" i="1"/>
  <c r="U777" i="1"/>
  <c r="T777" i="1"/>
  <c r="V775" i="1"/>
  <c r="U775" i="1"/>
  <c r="T775" i="1"/>
  <c r="V774" i="1"/>
  <c r="U774" i="1"/>
  <c r="T774" i="1"/>
  <c r="V773" i="1"/>
  <c r="U773" i="1"/>
  <c r="T773" i="1"/>
  <c r="V706" i="1"/>
  <c r="U706" i="1"/>
  <c r="T706" i="1"/>
  <c r="V701" i="1"/>
  <c r="U701" i="1"/>
  <c r="T701" i="1"/>
  <c r="V689" i="1"/>
  <c r="U689" i="1"/>
  <c r="T689" i="1"/>
  <c r="V688" i="1"/>
  <c r="U688" i="1"/>
  <c r="T688" i="1"/>
  <c r="V669" i="1"/>
  <c r="U669" i="1"/>
  <c r="T669" i="1"/>
  <c r="V665" i="1"/>
  <c r="U665" i="1"/>
  <c r="T665" i="1"/>
  <c r="V663" i="1"/>
  <c r="U663" i="1"/>
  <c r="T663" i="1"/>
  <c r="V662" i="1"/>
  <c r="U662" i="1"/>
  <c r="T662" i="1"/>
  <c r="V660" i="1"/>
  <c r="U660" i="1"/>
  <c r="T660" i="1"/>
  <c r="V659" i="1"/>
  <c r="U659" i="1"/>
  <c r="T659" i="1"/>
  <c r="V658" i="1"/>
  <c r="U658" i="1"/>
  <c r="T658" i="1"/>
  <c r="V657" i="1"/>
  <c r="U657" i="1"/>
  <c r="T657" i="1"/>
  <c r="V656" i="1"/>
  <c r="U656" i="1"/>
  <c r="T656" i="1"/>
  <c r="V655" i="1"/>
  <c r="U655" i="1"/>
  <c r="T655" i="1"/>
  <c r="V654" i="1"/>
  <c r="U654" i="1"/>
  <c r="T654" i="1"/>
  <c r="V585" i="1"/>
  <c r="U585" i="1"/>
  <c r="T585" i="1"/>
  <c r="V551" i="1"/>
  <c r="U551" i="1"/>
  <c r="T551" i="1"/>
  <c r="V550" i="1"/>
  <c r="U550" i="1"/>
  <c r="T550" i="1"/>
  <c r="V549" i="1"/>
  <c r="U549" i="1"/>
  <c r="T549" i="1"/>
  <c r="V548" i="1"/>
  <c r="U548" i="1"/>
  <c r="T548" i="1"/>
  <c r="V528" i="1"/>
  <c r="U528" i="1"/>
  <c r="T528" i="1"/>
  <c r="V522" i="1"/>
  <c r="U522" i="1"/>
  <c r="T522" i="1"/>
  <c r="V505" i="1"/>
  <c r="U505" i="1"/>
  <c r="T505" i="1"/>
  <c r="V502" i="1"/>
  <c r="U502" i="1"/>
  <c r="T502" i="1"/>
  <c r="V484" i="1"/>
  <c r="U484" i="1"/>
  <c r="T484" i="1"/>
  <c r="V473" i="1"/>
  <c r="U473" i="1"/>
  <c r="T473" i="1"/>
  <c r="V468" i="1"/>
  <c r="U468" i="1"/>
  <c r="T468" i="1"/>
  <c r="V466" i="1"/>
  <c r="U466" i="1"/>
  <c r="T466" i="1"/>
  <c r="V458" i="1"/>
  <c r="U458" i="1"/>
  <c r="T458" i="1"/>
  <c r="V435" i="1"/>
  <c r="U435" i="1"/>
  <c r="T435" i="1"/>
  <c r="V431" i="1"/>
  <c r="U431" i="1"/>
  <c r="T431" i="1"/>
  <c r="V428" i="1"/>
  <c r="U428" i="1"/>
  <c r="T428" i="1"/>
  <c r="V412" i="1"/>
  <c r="U412" i="1"/>
  <c r="T412" i="1"/>
  <c r="V409" i="1"/>
  <c r="U409" i="1"/>
  <c r="T409" i="1"/>
  <c r="V381" i="1"/>
  <c r="U381" i="1"/>
  <c r="T381" i="1"/>
  <c r="V380" i="1"/>
  <c r="U380" i="1"/>
  <c r="T380" i="1"/>
  <c r="V377" i="1"/>
  <c r="U377" i="1"/>
  <c r="T377" i="1"/>
  <c r="V376" i="1"/>
  <c r="U376" i="1"/>
  <c r="T376" i="1"/>
  <c r="V343" i="1"/>
  <c r="U343" i="1"/>
  <c r="T343" i="1"/>
  <c r="V325" i="1"/>
  <c r="U325" i="1"/>
  <c r="T325" i="1"/>
  <c r="V315" i="1"/>
  <c r="U315" i="1"/>
  <c r="T315" i="1"/>
  <c r="V309" i="1"/>
  <c r="U309" i="1"/>
  <c r="T309" i="1"/>
  <c r="V299" i="1"/>
  <c r="U299" i="1"/>
  <c r="T299" i="1"/>
  <c r="V298" i="1"/>
  <c r="U298" i="1"/>
  <c r="T298" i="1"/>
  <c r="V297" i="1"/>
  <c r="U297" i="1"/>
  <c r="T297" i="1"/>
  <c r="V289" i="1"/>
  <c r="U289" i="1"/>
  <c r="T289" i="1"/>
  <c r="V217" i="1"/>
  <c r="U217" i="1"/>
  <c r="T217" i="1"/>
  <c r="V208" i="1"/>
  <c r="U208" i="1"/>
  <c r="T208" i="1"/>
  <c r="V193" i="1"/>
  <c r="U193" i="1"/>
  <c r="T193" i="1"/>
  <c r="V185" i="1"/>
  <c r="U185" i="1"/>
  <c r="T185" i="1"/>
  <c r="V167" i="1"/>
  <c r="U167" i="1"/>
  <c r="T167" i="1"/>
  <c r="V161" i="1"/>
  <c r="U161" i="1"/>
  <c r="T161" i="1"/>
  <c r="V158" i="1"/>
  <c r="U158" i="1"/>
  <c r="T158" i="1"/>
  <c r="V157" i="1"/>
  <c r="U157" i="1"/>
  <c r="T157" i="1"/>
  <c r="V155" i="1"/>
  <c r="U155" i="1"/>
  <c r="T155" i="1"/>
  <c r="V140" i="1"/>
  <c r="U140" i="1"/>
  <c r="T140" i="1"/>
  <c r="V137" i="1"/>
  <c r="U137" i="1"/>
  <c r="T137" i="1"/>
  <c r="V136" i="1"/>
  <c r="U136" i="1"/>
  <c r="T136" i="1"/>
  <c r="V128" i="1"/>
  <c r="U128" i="1"/>
  <c r="T128" i="1"/>
  <c r="V127" i="1"/>
  <c r="U127" i="1"/>
  <c r="T127" i="1"/>
  <c r="V121" i="1"/>
  <c r="U121" i="1"/>
  <c r="T121" i="1"/>
  <c r="V104" i="1"/>
  <c r="U104" i="1"/>
  <c r="T104" i="1"/>
  <c r="V103" i="1"/>
  <c r="U103" i="1"/>
  <c r="T103" i="1"/>
  <c r="V94" i="1"/>
  <c r="U94" i="1"/>
  <c r="T94" i="1"/>
  <c r="V60" i="1"/>
  <c r="U60" i="1"/>
  <c r="T60" i="1"/>
  <c r="V33" i="1"/>
  <c r="U33" i="1"/>
  <c r="T33" i="1"/>
  <c r="BR922" i="1"/>
  <c r="BR920" i="1"/>
  <c r="BR919" i="1"/>
  <c r="BR918" i="1"/>
  <c r="BR917" i="1"/>
  <c r="BR916" i="1"/>
  <c r="BR914" i="1"/>
  <c r="BR913" i="1"/>
  <c r="BR910" i="1"/>
  <c r="BR909" i="1"/>
  <c r="BR908" i="1"/>
  <c r="BR905" i="1"/>
  <c r="BR904" i="1"/>
  <c r="BR902" i="1"/>
  <c r="BR901" i="1"/>
  <c r="BR900" i="1"/>
  <c r="BR899" i="1"/>
  <c r="BR898" i="1"/>
  <c r="BR897" i="1"/>
  <c r="BR896" i="1"/>
  <c r="BR895" i="1"/>
  <c r="BR894" i="1"/>
  <c r="BR893" i="1"/>
  <c r="BR890" i="1"/>
  <c r="BR889" i="1"/>
  <c r="BR887" i="1"/>
  <c r="BR885" i="1"/>
  <c r="BR884" i="1"/>
  <c r="BR882" i="1"/>
  <c r="BR881" i="1"/>
  <c r="BR880" i="1"/>
  <c r="BR879" i="1"/>
  <c r="BR878" i="1"/>
  <c r="BR877" i="1"/>
  <c r="BR876" i="1"/>
  <c r="BR875" i="1"/>
  <c r="BR874" i="1"/>
  <c r="BR871" i="1"/>
  <c r="BR870" i="1"/>
  <c r="BR869" i="1"/>
  <c r="BR868" i="1"/>
  <c r="BR867" i="1"/>
  <c r="BR866" i="1"/>
  <c r="BR865" i="1"/>
  <c r="BR864" i="1"/>
  <c r="BR863" i="1"/>
  <c r="BR862" i="1"/>
  <c r="BR861" i="1"/>
  <c r="BR860" i="1"/>
  <c r="BR859" i="1"/>
  <c r="BR503" i="1"/>
  <c r="BR858" i="1"/>
  <c r="BR857" i="1"/>
  <c r="BR856" i="1"/>
  <c r="BR854" i="1"/>
  <c r="BR850" i="1"/>
  <c r="BR849" i="1"/>
  <c r="BR848" i="1"/>
  <c r="BR847" i="1"/>
  <c r="BR846" i="1"/>
  <c r="BR845" i="1"/>
  <c r="BR844" i="1"/>
  <c r="BR842" i="1"/>
  <c r="BR841" i="1"/>
  <c r="BR839" i="1"/>
  <c r="BR838" i="1"/>
  <c r="BR836" i="1"/>
  <c r="BR835" i="1"/>
  <c r="BR834" i="1"/>
  <c r="BR833" i="1"/>
  <c r="BR832" i="1"/>
  <c r="BR831" i="1"/>
  <c r="BR830" i="1"/>
  <c r="BR829" i="1"/>
  <c r="BR828" i="1"/>
  <c r="BR827" i="1"/>
  <c r="BR826" i="1"/>
  <c r="BR825" i="1"/>
  <c r="BR823" i="1"/>
  <c r="BR821" i="1"/>
  <c r="BR820" i="1"/>
  <c r="BR819" i="1"/>
  <c r="BR818" i="1"/>
  <c r="BR816" i="1"/>
  <c r="BR815" i="1"/>
  <c r="BR814" i="1"/>
  <c r="BR813" i="1"/>
  <c r="BR812" i="1"/>
  <c r="BR811" i="1"/>
  <c r="BR810" i="1"/>
  <c r="BR809" i="1"/>
  <c r="BR808" i="1"/>
  <c r="BR806" i="1"/>
  <c r="BR805" i="1"/>
  <c r="BR804" i="1"/>
  <c r="BR803" i="1"/>
  <c r="BR801" i="1"/>
  <c r="BR800" i="1"/>
  <c r="BR799" i="1"/>
  <c r="BR798" i="1"/>
  <c r="BR796" i="1"/>
  <c r="BR795" i="1"/>
  <c r="BR794" i="1"/>
  <c r="BR793" i="1"/>
  <c r="BR792" i="1"/>
  <c r="BR791" i="1"/>
  <c r="BR790" i="1"/>
  <c r="BR789" i="1"/>
  <c r="BR788" i="1"/>
  <c r="BR784" i="1"/>
  <c r="BR782" i="1"/>
  <c r="BR781" i="1"/>
  <c r="BR780" i="1"/>
  <c r="BR779" i="1"/>
  <c r="BR778" i="1"/>
  <c r="BR777" i="1"/>
  <c r="BR776" i="1"/>
  <c r="BR775" i="1"/>
  <c r="BR774" i="1"/>
  <c r="BR773" i="1"/>
  <c r="BR771" i="1"/>
  <c r="BR770" i="1"/>
  <c r="BR769" i="1"/>
  <c r="BR768" i="1"/>
  <c r="BR765" i="1"/>
  <c r="BR764" i="1"/>
  <c r="BR763" i="1"/>
  <c r="BR762" i="1"/>
  <c r="BR761" i="1"/>
  <c r="BR760" i="1"/>
  <c r="BR757" i="1"/>
  <c r="BR756" i="1"/>
  <c r="BR755" i="1"/>
  <c r="BR754" i="1"/>
  <c r="BR753" i="1"/>
  <c r="BR752" i="1"/>
  <c r="BR750" i="1"/>
  <c r="BR748" i="1"/>
  <c r="BR747" i="1"/>
  <c r="BR746" i="1"/>
  <c r="BR745" i="1"/>
  <c r="BR744" i="1"/>
  <c r="BR743" i="1"/>
  <c r="BR742" i="1"/>
  <c r="BR741" i="1"/>
  <c r="BR740" i="1"/>
  <c r="BR739" i="1"/>
  <c r="BR738" i="1"/>
  <c r="BR737" i="1"/>
  <c r="BR736" i="1"/>
  <c r="BR735" i="1"/>
  <c r="BR734" i="1"/>
  <c r="BR733" i="1"/>
  <c r="BR732" i="1"/>
  <c r="BR731" i="1"/>
  <c r="BR728" i="1"/>
  <c r="BR727" i="1"/>
  <c r="BR726" i="1"/>
  <c r="BR724" i="1"/>
  <c r="BR723" i="1"/>
  <c r="BR721" i="1"/>
  <c r="BR719" i="1"/>
  <c r="BR718" i="1"/>
  <c r="BR717" i="1"/>
  <c r="BR715" i="1"/>
  <c r="BR713" i="1"/>
  <c r="BR712" i="1"/>
  <c r="BR710" i="1"/>
  <c r="BR708" i="1"/>
  <c r="BR707" i="1"/>
  <c r="BR706" i="1"/>
  <c r="BR705" i="1"/>
  <c r="BR704" i="1"/>
  <c r="BR701" i="1"/>
  <c r="BR698" i="1"/>
  <c r="BR696" i="1"/>
  <c r="BR695" i="1"/>
  <c r="BR694" i="1"/>
  <c r="BR692" i="1"/>
  <c r="BR691" i="1"/>
  <c r="BR690" i="1"/>
  <c r="BR689" i="1"/>
  <c r="BR688" i="1"/>
  <c r="BR686" i="1"/>
  <c r="BR685" i="1"/>
  <c r="BR684" i="1"/>
  <c r="BR683" i="1"/>
  <c r="BR682" i="1"/>
  <c r="BR681" i="1"/>
  <c r="BR680" i="1"/>
  <c r="BR679" i="1"/>
  <c r="BR678" i="1"/>
  <c r="BR677" i="1"/>
  <c r="BR676" i="1"/>
  <c r="BR675" i="1"/>
  <c r="BR673" i="1"/>
  <c r="BR672" i="1"/>
  <c r="BR670" i="1"/>
  <c r="BR669" i="1"/>
  <c r="BR668" i="1"/>
  <c r="BR667" i="1"/>
  <c r="BR666" i="1"/>
  <c r="BR665" i="1"/>
  <c r="BR664" i="1"/>
  <c r="BR663" i="1"/>
  <c r="BR662" i="1"/>
  <c r="BR661" i="1"/>
  <c r="BR660" i="1"/>
  <c r="BR659" i="1"/>
  <c r="BR658" i="1"/>
  <c r="BR657" i="1"/>
  <c r="BR656" i="1"/>
  <c r="BR655" i="1"/>
  <c r="BR654" i="1"/>
  <c r="BR653" i="1"/>
  <c r="BR652" i="1"/>
  <c r="BR651" i="1"/>
  <c r="BR650" i="1"/>
  <c r="BR648" i="1"/>
  <c r="BR647" i="1"/>
  <c r="BR645" i="1"/>
  <c r="BR643" i="1"/>
  <c r="BR641" i="1"/>
  <c r="BR640" i="1"/>
  <c r="BR639" i="1"/>
  <c r="BR638" i="1"/>
  <c r="BR637" i="1"/>
  <c r="BR636" i="1"/>
  <c r="BR634" i="1"/>
  <c r="BR633" i="1"/>
  <c r="BR631" i="1"/>
  <c r="BR629" i="1"/>
  <c r="BR628" i="1"/>
  <c r="BR626" i="1"/>
  <c r="BR625" i="1"/>
  <c r="BR624" i="1"/>
  <c r="BR622" i="1"/>
  <c r="BR621" i="1"/>
  <c r="BR620" i="1"/>
  <c r="BR619" i="1"/>
  <c r="BR618" i="1"/>
  <c r="BR617" i="1"/>
  <c r="BR616" i="1"/>
  <c r="BR615" i="1"/>
  <c r="BR613" i="1"/>
  <c r="BR611" i="1"/>
  <c r="BR609" i="1"/>
  <c r="BR607" i="1"/>
  <c r="BR605" i="1"/>
  <c r="BR604" i="1"/>
  <c r="BR603" i="1"/>
  <c r="BR602" i="1"/>
  <c r="BR601" i="1"/>
  <c r="BR600" i="1"/>
  <c r="BR599" i="1"/>
  <c r="BR594" i="1"/>
  <c r="BR592" i="1"/>
  <c r="BR591" i="1"/>
  <c r="BR590" i="1"/>
  <c r="BR588" i="1"/>
  <c r="BR587" i="1"/>
  <c r="BR586" i="1"/>
  <c r="BR585" i="1"/>
  <c r="BR584" i="1"/>
  <c r="BR583" i="1"/>
  <c r="BR581" i="1"/>
  <c r="BR580" i="1"/>
  <c r="BR579" i="1"/>
  <c r="BR577" i="1"/>
  <c r="BR575" i="1"/>
  <c r="BR574" i="1"/>
  <c r="BR573" i="1"/>
  <c r="BR572" i="1"/>
  <c r="BR571" i="1"/>
  <c r="BR570" i="1"/>
  <c r="BR569" i="1"/>
  <c r="BR567" i="1"/>
  <c r="BR564" i="1"/>
  <c r="BR563" i="1"/>
  <c r="BR562" i="1"/>
  <c r="BR559" i="1"/>
  <c r="BR558" i="1"/>
  <c r="BR557" i="1"/>
  <c r="BR556" i="1"/>
  <c r="BR555" i="1"/>
  <c r="BR554" i="1"/>
  <c r="BR553" i="1"/>
  <c r="BR552" i="1"/>
  <c r="BR551" i="1"/>
  <c r="BR550" i="1"/>
  <c r="BR549" i="1"/>
  <c r="BR548" i="1"/>
  <c r="BR546" i="1"/>
  <c r="BR545" i="1"/>
  <c r="BR543" i="1"/>
  <c r="BR542" i="1"/>
  <c r="BR541" i="1"/>
  <c r="BR540" i="1"/>
  <c r="BR539" i="1"/>
  <c r="BR538" i="1"/>
  <c r="BR537" i="1"/>
  <c r="BR536" i="1"/>
  <c r="BR535" i="1"/>
  <c r="BR534" i="1"/>
  <c r="BR532" i="1"/>
  <c r="BR531" i="1"/>
  <c r="BR530" i="1"/>
  <c r="BR529" i="1"/>
  <c r="BR528" i="1"/>
  <c r="BR527" i="1"/>
  <c r="BR526" i="1"/>
  <c r="BR525" i="1"/>
  <c r="BR524" i="1"/>
  <c r="BR523" i="1"/>
  <c r="BR522" i="1"/>
  <c r="BR521" i="1"/>
  <c r="BR520" i="1"/>
  <c r="BR519" i="1"/>
  <c r="BR518" i="1"/>
  <c r="BR517" i="1"/>
  <c r="BR514" i="1"/>
  <c r="BR513" i="1"/>
  <c r="BR512" i="1"/>
  <c r="BR510" i="1"/>
  <c r="BR509" i="1"/>
  <c r="BR508" i="1"/>
  <c r="BR507" i="1"/>
  <c r="BR506" i="1"/>
  <c r="BR505" i="1"/>
  <c r="BR502" i="1"/>
  <c r="BR501" i="1"/>
  <c r="BR500" i="1"/>
  <c r="BR499" i="1"/>
  <c r="BR498" i="1"/>
  <c r="BR497" i="1"/>
  <c r="BR496" i="1"/>
  <c r="BR495" i="1"/>
  <c r="BR493" i="1"/>
  <c r="BR492" i="1"/>
  <c r="BR491" i="1"/>
  <c r="BR489" i="1"/>
  <c r="BR487" i="1"/>
  <c r="BR484" i="1"/>
  <c r="BR407" i="1"/>
  <c r="BR406" i="1"/>
  <c r="BR408" i="1"/>
  <c r="BR482" i="1"/>
  <c r="BR481" i="1"/>
  <c r="BR478" i="1"/>
  <c r="BR475" i="1"/>
  <c r="BR474" i="1"/>
  <c r="BR473" i="1"/>
  <c r="BR472" i="1"/>
  <c r="BR560" i="1"/>
  <c r="BR471" i="1"/>
  <c r="BR470" i="1"/>
  <c r="BR469" i="1"/>
  <c r="BR468" i="1"/>
  <c r="BR466" i="1"/>
  <c r="BR464" i="1"/>
  <c r="BR463" i="1"/>
  <c r="BR462" i="1"/>
  <c r="BR461" i="1"/>
  <c r="BR460" i="1"/>
  <c r="BR459" i="1"/>
  <c r="BR458" i="1"/>
  <c r="BR457" i="1"/>
  <c r="BR456" i="1"/>
  <c r="BR455" i="1"/>
  <c r="BR454" i="1"/>
  <c r="BR453" i="1"/>
  <c r="BR451" i="1"/>
  <c r="BR450" i="1"/>
  <c r="BR448" i="1"/>
  <c r="BR447" i="1"/>
  <c r="BR446" i="1"/>
  <c r="BR445" i="1"/>
  <c r="BR444" i="1"/>
  <c r="BR443" i="1"/>
  <c r="BR441" i="1"/>
  <c r="BR440" i="1"/>
  <c r="BR437" i="1"/>
  <c r="BR436" i="1"/>
  <c r="BR435" i="1"/>
  <c r="BR433" i="1"/>
  <c r="BR432" i="1"/>
  <c r="BR431" i="1"/>
  <c r="BR430" i="1"/>
  <c r="BR429" i="1"/>
  <c r="BR428" i="1"/>
  <c r="BR427" i="1"/>
  <c r="BR426" i="1"/>
  <c r="BR425" i="1"/>
  <c r="BR423" i="1"/>
  <c r="BR422" i="1"/>
  <c r="BR421" i="1"/>
  <c r="BR419" i="1"/>
  <c r="BR418" i="1"/>
  <c r="BR417" i="1"/>
  <c r="BR416" i="1"/>
  <c r="BR415" i="1"/>
  <c r="BR414" i="1"/>
  <c r="BR412" i="1"/>
  <c r="BR409" i="1"/>
  <c r="BR405" i="1"/>
  <c r="BR404" i="1"/>
  <c r="BR403" i="1"/>
  <c r="BR402" i="1"/>
  <c r="BR401" i="1"/>
  <c r="BR400" i="1"/>
  <c r="BR399" i="1"/>
  <c r="BR398" i="1"/>
  <c r="BR397" i="1"/>
  <c r="BR394" i="1"/>
  <c r="BR392" i="1"/>
  <c r="BR391" i="1"/>
  <c r="BR390" i="1"/>
  <c r="BR389" i="1"/>
  <c r="BR388" i="1"/>
  <c r="BR387" i="1"/>
  <c r="BR386" i="1"/>
  <c r="BR385" i="1"/>
  <c r="BR384" i="1"/>
  <c r="BR383" i="1"/>
  <c r="BR381" i="1"/>
  <c r="BR380" i="1"/>
  <c r="BR379" i="1"/>
  <c r="BR378" i="1"/>
  <c r="BR377" i="1"/>
  <c r="BR376" i="1"/>
  <c r="BR374" i="1"/>
  <c r="BR373" i="1"/>
  <c r="BR372" i="1"/>
  <c r="BR371" i="1"/>
  <c r="BR370" i="1"/>
  <c r="BR369" i="1"/>
  <c r="BR368" i="1"/>
  <c r="BR367" i="1"/>
  <c r="BR365" i="1"/>
  <c r="BR363" i="1"/>
  <c r="BR362" i="1"/>
  <c r="BR361" i="1"/>
  <c r="BR360" i="1"/>
  <c r="BR359" i="1"/>
  <c r="BR358" i="1"/>
  <c r="BR357" i="1"/>
  <c r="BR356" i="1"/>
  <c r="BR355" i="1"/>
  <c r="BR354" i="1"/>
  <c r="BR351" i="1"/>
  <c r="BR350" i="1"/>
  <c r="BR349" i="1"/>
  <c r="BR348" i="1"/>
  <c r="BR347" i="1"/>
  <c r="BR345" i="1"/>
  <c r="BR344" i="1"/>
  <c r="BR343" i="1"/>
  <c r="BR342" i="1"/>
  <c r="BR340" i="1"/>
  <c r="BR339" i="1"/>
  <c r="BR338" i="1"/>
  <c r="BR336" i="1"/>
  <c r="BR335" i="1"/>
  <c r="BR334" i="1"/>
  <c r="BR333" i="1"/>
  <c r="BR332" i="1"/>
  <c r="BR330" i="1"/>
  <c r="BR329" i="1"/>
  <c r="BR328" i="1"/>
  <c r="BR327" i="1"/>
  <c r="BR326" i="1"/>
  <c r="BR325" i="1"/>
  <c r="BR324" i="1"/>
  <c r="BR323" i="1"/>
  <c r="BR322" i="1"/>
  <c r="BR321" i="1"/>
  <c r="BR320" i="1"/>
  <c r="BR319" i="1"/>
  <c r="BR317" i="1"/>
  <c r="BR316" i="1"/>
  <c r="BR315" i="1"/>
  <c r="BR314" i="1"/>
  <c r="BR313" i="1"/>
  <c r="BR312" i="1"/>
  <c r="BR311" i="1"/>
  <c r="BR310" i="1"/>
  <c r="BR309" i="1"/>
  <c r="BR308" i="1"/>
  <c r="BR307" i="1"/>
  <c r="BR306" i="1"/>
  <c r="BR305" i="1"/>
  <c r="BR304" i="1"/>
  <c r="BR303" i="1"/>
  <c r="BR302" i="1"/>
  <c r="BR301" i="1"/>
  <c r="BR300" i="1"/>
  <c r="BR299" i="1"/>
  <c r="BR298" i="1"/>
  <c r="BR297" i="1"/>
  <c r="BR295" i="1"/>
  <c r="BR294" i="1"/>
  <c r="BR293" i="1"/>
  <c r="BR292" i="1"/>
  <c r="BR290" i="1"/>
  <c r="BR289" i="1"/>
  <c r="BR288" i="1"/>
  <c r="BR287" i="1"/>
  <c r="BR286" i="1"/>
  <c r="BR284" i="1"/>
  <c r="BR283" i="1"/>
  <c r="BR281" i="1"/>
  <c r="BR279" i="1"/>
  <c r="BR278" i="1"/>
  <c r="BR277" i="1"/>
  <c r="BR276" i="1"/>
  <c r="BR274" i="1"/>
  <c r="BR273" i="1"/>
  <c r="BR272" i="1"/>
  <c r="BR271" i="1"/>
  <c r="BR270" i="1"/>
  <c r="BR269" i="1"/>
  <c r="BR267" i="1"/>
  <c r="BR266" i="1"/>
  <c r="BR265" i="1"/>
  <c r="BR264" i="1"/>
  <c r="BR262" i="1"/>
  <c r="BR261" i="1"/>
  <c r="BR260" i="1"/>
  <c r="BR259" i="1"/>
  <c r="BR258" i="1"/>
  <c r="BR257" i="1"/>
  <c r="BR256" i="1"/>
  <c r="BR255" i="1"/>
  <c r="BR254" i="1"/>
  <c r="BR253" i="1"/>
  <c r="BR252" i="1"/>
  <c r="BR251" i="1"/>
  <c r="BR250" i="1"/>
  <c r="BR248" i="1"/>
  <c r="BR246" i="1"/>
  <c r="BR245" i="1"/>
  <c r="BR244" i="1"/>
  <c r="BR243" i="1"/>
  <c r="BR242" i="1"/>
  <c r="BR241" i="1"/>
  <c r="BR142" i="1"/>
  <c r="BR240" i="1"/>
  <c r="BR239" i="1"/>
  <c r="BR238" i="1"/>
  <c r="BR237" i="1"/>
  <c r="BR236" i="1"/>
  <c r="BR234" i="1"/>
  <c r="BR233" i="1"/>
  <c r="BR232" i="1"/>
  <c r="BR231" i="1"/>
  <c r="BR229" i="1"/>
  <c r="BR228" i="1"/>
  <c r="BR227" i="1"/>
  <c r="BR226" i="1"/>
  <c r="BR225" i="1"/>
  <c r="BR224" i="1"/>
  <c r="BR223" i="1"/>
  <c r="BR222" i="1"/>
  <c r="BR221" i="1"/>
  <c r="BR220" i="1"/>
  <c r="BR219" i="1"/>
  <c r="BR218" i="1"/>
  <c r="BR217" i="1"/>
  <c r="BR216" i="1"/>
  <c r="BR215" i="1"/>
  <c r="BR214" i="1"/>
  <c r="BR213" i="1"/>
  <c r="BR212" i="1"/>
  <c r="BR211" i="1"/>
  <c r="BR210" i="1"/>
  <c r="BR209" i="1"/>
  <c r="BR208" i="1"/>
  <c r="BR207" i="1"/>
  <c r="BR206" i="1"/>
  <c r="BR205" i="1"/>
  <c r="BR204" i="1"/>
  <c r="BR203" i="1"/>
  <c r="BR200" i="1"/>
  <c r="BR199" i="1"/>
  <c r="BR198" i="1"/>
  <c r="BR197" i="1"/>
  <c r="BR196" i="1"/>
  <c r="BR195" i="1"/>
  <c r="BR194" i="1"/>
  <c r="BR193" i="1"/>
  <c r="BR192" i="1"/>
  <c r="BR191" i="1"/>
  <c r="BR190" i="1"/>
  <c r="BR187" i="1"/>
  <c r="BR186" i="1"/>
  <c r="BR185" i="1"/>
  <c r="BR184" i="1"/>
  <c r="BR183" i="1"/>
  <c r="BR182" i="1"/>
  <c r="BR181" i="1"/>
  <c r="BR180" i="1"/>
  <c r="BR178" i="1"/>
  <c r="BR174" i="1"/>
  <c r="BR172" i="1"/>
  <c r="BR171" i="1"/>
  <c r="BR170" i="1"/>
  <c r="BR169" i="1"/>
  <c r="BR168" i="1"/>
  <c r="BR167" i="1"/>
  <c r="BR165" i="1"/>
  <c r="BR164" i="1"/>
  <c r="BR163" i="1"/>
  <c r="BR162" i="1"/>
  <c r="BR161" i="1"/>
  <c r="BR160" i="1"/>
  <c r="BR159" i="1"/>
  <c r="BR158" i="1"/>
  <c r="BR157" i="1"/>
  <c r="BR156" i="1"/>
  <c r="BR155" i="1"/>
  <c r="BR154" i="1"/>
  <c r="BR153" i="1"/>
  <c r="BR152" i="1"/>
  <c r="BR151" i="1"/>
  <c r="BR150" i="1"/>
  <c r="BR149" i="1"/>
  <c r="BR148" i="1"/>
  <c r="BR147" i="1"/>
  <c r="BR146" i="1"/>
  <c r="BR145" i="1"/>
  <c r="BR144" i="1"/>
  <c r="BR141" i="1"/>
  <c r="BR140" i="1"/>
  <c r="BR139" i="1"/>
  <c r="BR137" i="1"/>
  <c r="BR136" i="1"/>
  <c r="BR135" i="1"/>
  <c r="BR134" i="1"/>
  <c r="BR132" i="1"/>
  <c r="BR131" i="1"/>
  <c r="BR130" i="1"/>
  <c r="BR128" i="1"/>
  <c r="BR127" i="1"/>
  <c r="BR125" i="1"/>
  <c r="BR124" i="1"/>
  <c r="BR123" i="1"/>
  <c r="BR122" i="1"/>
  <c r="BR442" i="1"/>
  <c r="BR121" i="1"/>
  <c r="BR120" i="1"/>
  <c r="BR119" i="1"/>
  <c r="BR118" i="1"/>
  <c r="BR117" i="1"/>
  <c r="BR116" i="1"/>
  <c r="BR115" i="1"/>
  <c r="BR113" i="1"/>
  <c r="BR111" i="1"/>
  <c r="BR109" i="1"/>
  <c r="BR108" i="1"/>
  <c r="BR107" i="1"/>
  <c r="BR106" i="1"/>
  <c r="BR105" i="1"/>
  <c r="BR104" i="1"/>
  <c r="BR103" i="1"/>
  <c r="BR102" i="1"/>
  <c r="BR101" i="1"/>
  <c r="BR100" i="1"/>
  <c r="BR99" i="1"/>
  <c r="BR96" i="1"/>
  <c r="BR95" i="1"/>
  <c r="BR94" i="1"/>
  <c r="BR93" i="1"/>
  <c r="BR92" i="1"/>
  <c r="BR91" i="1"/>
  <c r="BR90" i="1"/>
  <c r="BR89" i="1"/>
  <c r="BR87" i="1"/>
  <c r="BR88" i="1"/>
  <c r="BR86" i="1"/>
  <c r="BR85" i="1"/>
  <c r="BR83" i="1"/>
  <c r="BR82" i="1"/>
  <c r="BR81" i="1"/>
  <c r="BR79" i="1"/>
  <c r="BR78" i="1"/>
  <c r="BR77" i="1"/>
  <c r="BR76" i="1"/>
  <c r="BR75" i="1"/>
  <c r="BR74" i="1"/>
  <c r="BR73" i="1"/>
  <c r="BR72" i="1"/>
  <c r="BR71" i="1"/>
  <c r="BR70" i="1"/>
  <c r="BR68" i="1"/>
  <c r="BR67" i="1"/>
  <c r="BR66" i="1"/>
  <c r="BR65" i="1"/>
  <c r="BR64" i="1"/>
  <c r="BR63" i="1"/>
  <c r="BR62" i="1"/>
  <c r="BR61" i="1"/>
  <c r="BR60" i="1"/>
  <c r="BR59" i="1"/>
  <c r="BR58" i="1"/>
  <c r="BR57" i="1"/>
  <c r="BR56" i="1"/>
  <c r="BR55" i="1"/>
  <c r="BR53" i="1"/>
  <c r="BR50" i="1"/>
  <c r="BR49" i="1"/>
  <c r="BR48" i="1"/>
  <c r="BR46" i="1"/>
  <c r="BR44" i="1"/>
  <c r="BR43" i="1"/>
  <c r="BR42" i="1"/>
  <c r="BR41" i="1"/>
  <c r="BR40" i="1"/>
  <c r="BR39" i="1"/>
  <c r="BR38" i="1"/>
  <c r="BR37" i="1"/>
  <c r="BR36" i="1"/>
  <c r="BR35" i="1"/>
  <c r="BR34" i="1"/>
  <c r="BR33" i="1"/>
  <c r="BR32" i="1"/>
  <c r="BR31" i="1"/>
  <c r="BR30" i="1"/>
  <c r="BR29" i="1"/>
  <c r="BR28" i="1"/>
  <c r="BR26" i="1"/>
  <c r="BR25" i="1"/>
  <c r="BR24" i="1"/>
  <c r="BR22" i="1"/>
  <c r="BR19" i="1"/>
  <c r="BP922" i="1"/>
  <c r="BP920" i="1"/>
  <c r="BP919" i="1"/>
  <c r="BP918" i="1"/>
  <c r="BP917" i="1"/>
  <c r="BP916" i="1"/>
  <c r="BP914" i="1"/>
  <c r="BP913" i="1"/>
  <c r="BP910" i="1"/>
  <c r="BP909" i="1"/>
  <c r="BP908" i="1"/>
  <c r="BP905" i="1"/>
  <c r="BP904" i="1"/>
  <c r="BP902" i="1"/>
  <c r="BP901" i="1"/>
  <c r="BP900" i="1"/>
  <c r="BP899" i="1"/>
  <c r="BP898" i="1"/>
  <c r="BP897" i="1"/>
  <c r="BP896" i="1"/>
  <c r="BP895" i="1"/>
  <c r="BP894" i="1"/>
  <c r="BP893" i="1"/>
  <c r="BP890" i="1"/>
  <c r="BP889" i="1"/>
  <c r="BP887" i="1"/>
  <c r="BP885" i="1"/>
  <c r="BP884" i="1"/>
  <c r="BP882" i="1"/>
  <c r="BP881" i="1"/>
  <c r="BP880" i="1"/>
  <c r="BP879" i="1"/>
  <c r="BP878" i="1"/>
  <c r="BP877" i="1"/>
  <c r="BP876" i="1"/>
  <c r="BP875" i="1"/>
  <c r="BP874" i="1"/>
  <c r="BP871" i="1"/>
  <c r="BP870" i="1"/>
  <c r="BP869" i="1"/>
  <c r="BP868" i="1"/>
  <c r="BP867" i="1"/>
  <c r="BP866" i="1"/>
  <c r="BP865" i="1"/>
  <c r="BP864" i="1"/>
  <c r="BP863" i="1"/>
  <c r="BP862" i="1"/>
  <c r="BP861" i="1"/>
  <c r="BP860" i="1"/>
  <c r="BP859" i="1"/>
  <c r="BP503" i="1"/>
  <c r="BP858" i="1"/>
  <c r="BP857" i="1"/>
  <c r="BP856" i="1"/>
  <c r="BP854" i="1"/>
  <c r="BP850" i="1"/>
  <c r="BP849" i="1"/>
  <c r="BP848" i="1"/>
  <c r="BP847" i="1"/>
  <c r="BP846" i="1"/>
  <c r="BP845" i="1"/>
  <c r="BP844" i="1"/>
  <c r="BP842" i="1"/>
  <c r="BP841" i="1"/>
  <c r="BP839" i="1"/>
  <c r="BP838" i="1"/>
  <c r="BP836" i="1"/>
  <c r="BP835" i="1"/>
  <c r="BP834" i="1"/>
  <c r="BP833" i="1"/>
  <c r="BP832" i="1"/>
  <c r="BP831" i="1"/>
  <c r="BP830" i="1"/>
  <c r="BP829" i="1"/>
  <c r="BP828" i="1"/>
  <c r="BP827" i="1"/>
  <c r="BP826" i="1"/>
  <c r="BP825" i="1"/>
  <c r="BP823" i="1"/>
  <c r="BP821" i="1"/>
  <c r="BP820" i="1"/>
  <c r="BP819" i="1"/>
  <c r="BP818" i="1"/>
  <c r="BP816" i="1"/>
  <c r="BP815" i="1"/>
  <c r="BP814" i="1"/>
  <c r="BP813" i="1"/>
  <c r="BP812" i="1"/>
  <c r="BP811" i="1"/>
  <c r="BP810" i="1"/>
  <c r="BP809" i="1"/>
  <c r="BP808" i="1"/>
  <c r="BP806" i="1"/>
  <c r="BP805" i="1"/>
  <c r="BP804" i="1"/>
  <c r="BP803" i="1"/>
  <c r="BP801" i="1"/>
  <c r="BP800" i="1"/>
  <c r="BP799" i="1"/>
  <c r="BP798" i="1"/>
  <c r="BP796" i="1"/>
  <c r="BP795" i="1"/>
  <c r="BP794" i="1"/>
  <c r="BP793" i="1"/>
  <c r="BP792" i="1"/>
  <c r="BP791" i="1"/>
  <c r="BP790" i="1"/>
  <c r="BP789" i="1"/>
  <c r="BP788" i="1"/>
  <c r="BP784" i="1"/>
  <c r="BP782" i="1"/>
  <c r="BP781" i="1"/>
  <c r="BP780" i="1"/>
  <c r="BP779" i="1"/>
  <c r="BP778" i="1"/>
  <c r="BP777" i="1"/>
  <c r="BP776" i="1"/>
  <c r="BP775" i="1"/>
  <c r="BP774" i="1"/>
  <c r="BP773" i="1"/>
  <c r="BP771" i="1"/>
  <c r="BP770" i="1"/>
  <c r="BP769" i="1"/>
  <c r="BP768" i="1"/>
  <c r="BP765" i="1"/>
  <c r="BP764" i="1"/>
  <c r="BP763" i="1"/>
  <c r="BP762" i="1"/>
  <c r="BP761" i="1"/>
  <c r="BP760" i="1"/>
  <c r="BP757" i="1"/>
  <c r="BP756" i="1"/>
  <c r="BP755" i="1"/>
  <c r="BP754" i="1"/>
  <c r="BP753" i="1"/>
  <c r="BP752" i="1"/>
  <c r="BP750" i="1"/>
  <c r="BP748" i="1"/>
  <c r="BP747" i="1"/>
  <c r="BP746" i="1"/>
  <c r="BP745" i="1"/>
  <c r="BP744" i="1"/>
  <c r="BP743" i="1"/>
  <c r="BP742" i="1"/>
  <c r="BP741" i="1"/>
  <c r="BP740" i="1"/>
  <c r="BP739" i="1"/>
  <c r="BP738" i="1"/>
  <c r="BP737" i="1"/>
  <c r="BP736" i="1"/>
  <c r="BP735" i="1"/>
  <c r="BP734" i="1"/>
  <c r="BP733" i="1"/>
  <c r="BP732" i="1"/>
  <c r="BP731" i="1"/>
  <c r="BP728" i="1"/>
  <c r="BP727" i="1"/>
  <c r="BP726" i="1"/>
  <c r="BP724" i="1"/>
  <c r="BP723" i="1"/>
  <c r="BP721" i="1"/>
  <c r="BP719" i="1"/>
  <c r="BP718" i="1"/>
  <c r="BP717" i="1"/>
  <c r="BP715" i="1"/>
  <c r="BP713" i="1"/>
  <c r="BP712" i="1"/>
  <c r="BP710" i="1"/>
  <c r="BP708" i="1"/>
  <c r="BP707" i="1"/>
  <c r="BP706" i="1"/>
  <c r="BP705" i="1"/>
  <c r="BP704" i="1"/>
  <c r="BP701" i="1"/>
  <c r="BP698" i="1"/>
  <c r="BP696" i="1"/>
  <c r="BP695" i="1"/>
  <c r="BP694" i="1"/>
  <c r="BP692" i="1"/>
  <c r="BP691" i="1"/>
  <c r="BP690" i="1"/>
  <c r="BP689" i="1"/>
  <c r="BP688" i="1"/>
  <c r="BP686" i="1"/>
  <c r="BP685" i="1"/>
  <c r="BP684" i="1"/>
  <c r="BP683" i="1"/>
  <c r="BP682" i="1"/>
  <c r="BP681" i="1"/>
  <c r="BP680" i="1"/>
  <c r="BP679" i="1"/>
  <c r="BP678" i="1"/>
  <c r="BP677" i="1"/>
  <c r="BP676" i="1"/>
  <c r="BP675" i="1"/>
  <c r="BP673" i="1"/>
  <c r="BP672" i="1"/>
  <c r="BP670" i="1"/>
  <c r="BP669" i="1"/>
  <c r="BP668" i="1"/>
  <c r="BP667" i="1"/>
  <c r="BP666" i="1"/>
  <c r="BP665" i="1"/>
  <c r="BP664" i="1"/>
  <c r="BP663" i="1"/>
  <c r="BP662" i="1"/>
  <c r="BP661" i="1"/>
  <c r="BP660" i="1"/>
  <c r="BP659" i="1"/>
  <c r="BP658" i="1"/>
  <c r="BP657" i="1"/>
  <c r="BP656" i="1"/>
  <c r="BP655" i="1"/>
  <c r="BP654" i="1"/>
  <c r="BP653" i="1"/>
  <c r="BP652" i="1"/>
  <c r="BP651" i="1"/>
  <c r="BP650" i="1"/>
  <c r="BP648" i="1"/>
  <c r="BP647" i="1"/>
  <c r="BP645" i="1"/>
  <c r="BP643" i="1"/>
  <c r="BP641" i="1"/>
  <c r="BP640" i="1"/>
  <c r="BP639" i="1"/>
  <c r="BP638" i="1"/>
  <c r="BP637" i="1"/>
  <c r="BP636" i="1"/>
  <c r="BP634" i="1"/>
  <c r="BP633" i="1"/>
  <c r="BP631" i="1"/>
  <c r="BP629" i="1"/>
  <c r="BP628" i="1"/>
  <c r="BP626" i="1"/>
  <c r="BP625" i="1"/>
  <c r="BP624" i="1"/>
  <c r="BP622" i="1"/>
  <c r="BP621" i="1"/>
  <c r="BP620" i="1"/>
  <c r="BP619" i="1"/>
  <c r="BP618" i="1"/>
  <c r="BP617" i="1"/>
  <c r="BP616" i="1"/>
  <c r="BP615" i="1"/>
  <c r="BP613" i="1"/>
  <c r="BP611" i="1"/>
  <c r="BP609" i="1"/>
  <c r="BP607" i="1"/>
  <c r="BP605" i="1"/>
  <c r="BP604" i="1"/>
  <c r="BP603" i="1"/>
  <c r="BP602" i="1"/>
  <c r="BP601" i="1"/>
  <c r="BP600" i="1"/>
  <c r="BP599" i="1"/>
  <c r="BP594" i="1"/>
  <c r="BP592" i="1"/>
  <c r="BP591" i="1"/>
  <c r="BP590" i="1"/>
  <c r="BP588" i="1"/>
  <c r="BP587" i="1"/>
  <c r="BP586" i="1"/>
  <c r="BP585" i="1"/>
  <c r="BP584" i="1"/>
  <c r="BP583" i="1"/>
  <c r="BP581" i="1"/>
  <c r="BP580" i="1"/>
  <c r="BP579" i="1"/>
  <c r="BP577" i="1"/>
  <c r="BP575" i="1"/>
  <c r="BP574" i="1"/>
  <c r="BP573" i="1"/>
  <c r="BP572" i="1"/>
  <c r="BP571" i="1"/>
  <c r="BP570" i="1"/>
  <c r="BP569" i="1"/>
  <c r="BP567" i="1"/>
  <c r="BP564" i="1"/>
  <c r="BP563" i="1"/>
  <c r="BP562" i="1"/>
  <c r="BP559" i="1"/>
  <c r="BP558" i="1"/>
  <c r="BP557" i="1"/>
  <c r="BP556" i="1"/>
  <c r="BP555" i="1"/>
  <c r="BP554" i="1"/>
  <c r="BP553" i="1"/>
  <c r="BP552" i="1"/>
  <c r="BP551" i="1"/>
  <c r="BP550" i="1"/>
  <c r="BP549" i="1"/>
  <c r="BP548" i="1"/>
  <c r="BP546" i="1"/>
  <c r="BP545" i="1"/>
  <c r="BP543" i="1"/>
  <c r="BP542" i="1"/>
  <c r="BP541" i="1"/>
  <c r="BP540" i="1"/>
  <c r="BP539" i="1"/>
  <c r="BP538" i="1"/>
  <c r="BP537" i="1"/>
  <c r="BP536" i="1"/>
  <c r="BP535" i="1"/>
  <c r="BP534" i="1"/>
  <c r="BP532" i="1"/>
  <c r="BP531" i="1"/>
  <c r="BP530" i="1"/>
  <c r="BP529" i="1"/>
  <c r="BP528" i="1"/>
  <c r="BP527" i="1"/>
  <c r="BP526" i="1"/>
  <c r="BP525" i="1"/>
  <c r="BP524" i="1"/>
  <c r="BP523" i="1"/>
  <c r="BP522" i="1"/>
  <c r="BP521" i="1"/>
  <c r="BP520" i="1"/>
  <c r="BP519" i="1"/>
  <c r="BP518" i="1"/>
  <c r="BP517" i="1"/>
  <c r="BP514" i="1"/>
  <c r="BP513" i="1"/>
  <c r="BP512" i="1"/>
  <c r="BP510" i="1"/>
  <c r="BP509" i="1"/>
  <c r="BP508" i="1"/>
  <c r="BP507" i="1"/>
  <c r="BP506" i="1"/>
  <c r="BP505" i="1"/>
  <c r="BP502" i="1"/>
  <c r="BP501" i="1"/>
  <c r="BP500" i="1"/>
  <c r="BP499" i="1"/>
  <c r="BP498" i="1"/>
  <c r="BP497" i="1"/>
  <c r="BP496" i="1"/>
  <c r="BP495" i="1"/>
  <c r="BP493" i="1"/>
  <c r="BP492" i="1"/>
  <c r="BP491" i="1"/>
  <c r="BP489" i="1"/>
  <c r="BP487" i="1"/>
  <c r="BP484" i="1"/>
  <c r="BP407" i="1"/>
  <c r="BP406" i="1"/>
  <c r="BP408" i="1"/>
  <c r="BP482" i="1"/>
  <c r="BP481" i="1"/>
  <c r="BP478" i="1"/>
  <c r="BP475" i="1"/>
  <c r="BP474" i="1"/>
  <c r="BP473" i="1"/>
  <c r="BP472" i="1"/>
  <c r="BP560" i="1"/>
  <c r="BP471" i="1"/>
  <c r="BP470" i="1"/>
  <c r="BP469" i="1"/>
  <c r="BP468" i="1"/>
  <c r="BP466" i="1"/>
  <c r="BP464" i="1"/>
  <c r="BP463" i="1"/>
  <c r="BP462" i="1"/>
  <c r="BP461" i="1"/>
  <c r="BP460" i="1"/>
  <c r="BP459" i="1"/>
  <c r="BP458" i="1"/>
  <c r="BP457" i="1"/>
  <c r="BP456" i="1"/>
  <c r="BP455" i="1"/>
  <c r="BP454" i="1"/>
  <c r="BP453" i="1"/>
  <c r="BP451" i="1"/>
  <c r="BP450" i="1"/>
  <c r="BP448" i="1"/>
  <c r="BP447" i="1"/>
  <c r="BP446" i="1"/>
  <c r="BP445" i="1"/>
  <c r="BP444" i="1"/>
  <c r="BP443" i="1"/>
  <c r="BP441" i="1"/>
  <c r="BP440" i="1"/>
  <c r="BP437" i="1"/>
  <c r="BP436" i="1"/>
  <c r="BP435" i="1"/>
  <c r="BP433" i="1"/>
  <c r="BP432" i="1"/>
  <c r="BP431" i="1"/>
  <c r="BP430" i="1"/>
  <c r="BP429" i="1"/>
  <c r="BP428" i="1"/>
  <c r="BP427" i="1"/>
  <c r="BP426" i="1"/>
  <c r="BP425" i="1"/>
  <c r="BP423" i="1"/>
  <c r="BP422" i="1"/>
  <c r="BP421" i="1"/>
  <c r="BP419" i="1"/>
  <c r="BP418" i="1"/>
  <c r="BP417" i="1"/>
  <c r="BP416" i="1"/>
  <c r="BP415" i="1"/>
  <c r="BP414" i="1"/>
  <c r="BP412" i="1"/>
  <c r="BP409" i="1"/>
  <c r="BP405" i="1"/>
  <c r="BP404" i="1"/>
  <c r="BP403" i="1"/>
  <c r="BP402" i="1"/>
  <c r="BP401" i="1"/>
  <c r="BP400" i="1"/>
  <c r="BP399" i="1"/>
  <c r="BP398" i="1"/>
  <c r="BP397" i="1"/>
  <c r="BP394" i="1"/>
  <c r="BP392" i="1"/>
  <c r="BP391" i="1"/>
  <c r="BP390" i="1"/>
  <c r="BP389" i="1"/>
  <c r="BP388" i="1"/>
  <c r="BP387" i="1"/>
  <c r="BP386" i="1"/>
  <c r="BP385" i="1"/>
  <c r="BP384" i="1"/>
  <c r="BP383" i="1"/>
  <c r="BP381" i="1"/>
  <c r="BP380" i="1"/>
  <c r="BP379" i="1"/>
  <c r="BP378" i="1"/>
  <c r="BP377" i="1"/>
  <c r="BP376" i="1"/>
  <c r="BP374" i="1"/>
  <c r="BP373" i="1"/>
  <c r="BP372" i="1"/>
  <c r="BP371" i="1"/>
  <c r="BP370" i="1"/>
  <c r="BP369" i="1"/>
  <c r="BP368" i="1"/>
  <c r="BP367" i="1"/>
  <c r="BP365" i="1"/>
  <c r="BP363" i="1"/>
  <c r="BP362" i="1"/>
  <c r="BP361" i="1"/>
  <c r="BP360" i="1"/>
  <c r="BP359" i="1"/>
  <c r="BP358" i="1"/>
  <c r="BP357" i="1"/>
  <c r="BP356" i="1"/>
  <c r="BP355" i="1"/>
  <c r="BP354" i="1"/>
  <c r="BP351" i="1"/>
  <c r="BP350" i="1"/>
  <c r="BP349" i="1"/>
  <c r="BP348" i="1"/>
  <c r="BP347" i="1"/>
  <c r="BP345" i="1"/>
  <c r="BP344" i="1"/>
  <c r="BP343" i="1"/>
  <c r="BP342" i="1"/>
  <c r="BP340" i="1"/>
  <c r="BP339" i="1"/>
  <c r="BP338" i="1"/>
  <c r="BP336" i="1"/>
  <c r="BP335" i="1"/>
  <c r="BP334" i="1"/>
  <c r="BP333" i="1"/>
  <c r="BP332" i="1"/>
  <c r="BP330" i="1"/>
  <c r="BP329" i="1"/>
  <c r="BP328" i="1"/>
  <c r="BP327" i="1"/>
  <c r="BP326" i="1"/>
  <c r="BP325" i="1"/>
  <c r="BP324" i="1"/>
  <c r="BP323" i="1"/>
  <c r="BP322" i="1"/>
  <c r="BP321" i="1"/>
  <c r="BP320" i="1"/>
  <c r="BP319" i="1"/>
  <c r="BP317" i="1"/>
  <c r="BP316" i="1"/>
  <c r="BP315" i="1"/>
  <c r="BP314" i="1"/>
  <c r="BP313" i="1"/>
  <c r="BP312" i="1"/>
  <c r="BP311" i="1"/>
  <c r="BP310" i="1"/>
  <c r="BP309" i="1"/>
  <c r="BP308" i="1"/>
  <c r="BP307" i="1"/>
  <c r="BP306" i="1"/>
  <c r="BP305" i="1"/>
  <c r="BP304" i="1"/>
  <c r="BP303" i="1"/>
  <c r="BP302" i="1"/>
  <c r="BP301" i="1"/>
  <c r="BP300" i="1"/>
  <c r="BP299" i="1"/>
  <c r="BP298" i="1"/>
  <c r="BP297" i="1"/>
  <c r="BP295" i="1"/>
  <c r="BP294" i="1"/>
  <c r="BP293" i="1"/>
  <c r="BP292" i="1"/>
  <c r="BP290" i="1"/>
  <c r="BP289" i="1"/>
  <c r="BP288" i="1"/>
  <c r="BP287" i="1"/>
  <c r="BP286" i="1"/>
  <c r="BP284" i="1"/>
  <c r="BP283" i="1"/>
  <c r="BP281" i="1"/>
  <c r="BP279" i="1"/>
  <c r="BP278" i="1"/>
  <c r="BP277" i="1"/>
  <c r="BP276" i="1"/>
  <c r="BP274" i="1"/>
  <c r="BP273" i="1"/>
  <c r="BP272" i="1"/>
  <c r="BP271" i="1"/>
  <c r="BP270" i="1"/>
  <c r="BP269" i="1"/>
  <c r="BP267" i="1"/>
  <c r="BP266" i="1"/>
  <c r="BP265" i="1"/>
  <c r="BP264" i="1"/>
  <c r="BP262" i="1"/>
  <c r="BP261" i="1"/>
  <c r="BP260" i="1"/>
  <c r="BP259" i="1"/>
  <c r="BP258" i="1"/>
  <c r="BP257" i="1"/>
  <c r="BP256" i="1"/>
  <c r="BP255" i="1"/>
  <c r="BP254" i="1"/>
  <c r="BP253" i="1"/>
  <c r="BP252" i="1"/>
  <c r="BP251" i="1"/>
  <c r="BP250" i="1"/>
  <c r="BP248" i="1"/>
  <c r="BP246" i="1"/>
  <c r="BP245" i="1"/>
  <c r="BP244" i="1"/>
  <c r="BP243" i="1"/>
  <c r="BP242" i="1"/>
  <c r="BP241" i="1"/>
  <c r="BP142" i="1"/>
  <c r="BP240" i="1"/>
  <c r="BP239" i="1"/>
  <c r="BP238" i="1"/>
  <c r="BP237" i="1"/>
  <c r="BP236" i="1"/>
  <c r="BP234" i="1"/>
  <c r="BP233" i="1"/>
  <c r="BP232" i="1"/>
  <c r="BP231" i="1"/>
  <c r="BP229" i="1"/>
  <c r="BP228" i="1"/>
  <c r="BP227" i="1"/>
  <c r="BP226" i="1"/>
  <c r="BP225" i="1"/>
  <c r="BP224" i="1"/>
  <c r="BP223" i="1"/>
  <c r="BP222" i="1"/>
  <c r="BP221" i="1"/>
  <c r="BP220" i="1"/>
  <c r="BP219" i="1"/>
  <c r="BP218" i="1"/>
  <c r="BP217" i="1"/>
  <c r="BP216" i="1"/>
  <c r="BP215" i="1"/>
  <c r="BP214" i="1"/>
  <c r="BP213" i="1"/>
  <c r="BP212" i="1"/>
  <c r="BP211" i="1"/>
  <c r="BP210" i="1"/>
  <c r="BP209" i="1"/>
  <c r="BP208" i="1"/>
  <c r="BP207" i="1"/>
  <c r="BP206" i="1"/>
  <c r="BP205" i="1"/>
  <c r="BP204" i="1"/>
  <c r="BP203" i="1"/>
  <c r="BP200" i="1"/>
  <c r="BP199" i="1"/>
  <c r="BP198" i="1"/>
  <c r="BP197" i="1"/>
  <c r="BP196" i="1"/>
  <c r="BP195" i="1"/>
  <c r="BP194" i="1"/>
  <c r="BP193" i="1"/>
  <c r="BP192" i="1"/>
  <c r="BP191" i="1"/>
  <c r="BP190" i="1"/>
  <c r="BP187" i="1"/>
  <c r="BP186" i="1"/>
  <c r="BP185" i="1"/>
  <c r="BP184" i="1"/>
  <c r="BP183" i="1"/>
  <c r="BP182" i="1"/>
  <c r="BP181" i="1"/>
  <c r="BP180" i="1"/>
  <c r="BP178" i="1"/>
  <c r="BP174" i="1"/>
  <c r="BP172" i="1"/>
  <c r="BP171" i="1"/>
  <c r="BP170" i="1"/>
  <c r="BP169" i="1"/>
  <c r="BP168" i="1"/>
  <c r="BP167" i="1"/>
  <c r="BP165" i="1"/>
  <c r="BP164" i="1"/>
  <c r="BP163" i="1"/>
  <c r="BP162" i="1"/>
  <c r="BP161" i="1"/>
  <c r="BP160" i="1"/>
  <c r="BP159" i="1"/>
  <c r="BP158" i="1"/>
  <c r="BP157" i="1"/>
  <c r="BP156" i="1"/>
  <c r="BP155" i="1"/>
  <c r="BP154" i="1"/>
  <c r="BP153" i="1"/>
  <c r="BP152" i="1"/>
  <c r="BP151" i="1"/>
  <c r="BP150" i="1"/>
  <c r="BP149" i="1"/>
  <c r="BP148" i="1"/>
  <c r="BP147" i="1"/>
  <c r="BP146" i="1"/>
  <c r="BP145" i="1"/>
  <c r="BP144" i="1"/>
  <c r="BP141" i="1"/>
  <c r="BP140" i="1"/>
  <c r="BP139" i="1"/>
  <c r="BP137" i="1"/>
  <c r="BP136" i="1"/>
  <c r="BP135" i="1"/>
  <c r="BP134" i="1"/>
  <c r="BP132" i="1"/>
  <c r="BP131" i="1"/>
  <c r="BP130" i="1"/>
  <c r="BP128" i="1"/>
  <c r="BP127" i="1"/>
  <c r="BP125" i="1"/>
  <c r="BP124" i="1"/>
  <c r="BP123" i="1"/>
  <c r="BP122" i="1"/>
  <c r="BP442" i="1"/>
  <c r="BP121" i="1"/>
  <c r="BP120" i="1"/>
  <c r="BP119" i="1"/>
  <c r="BP118" i="1"/>
  <c r="BP117" i="1"/>
  <c r="BP116" i="1"/>
  <c r="BP115" i="1"/>
  <c r="BP113" i="1"/>
  <c r="BP111" i="1"/>
  <c r="BP109" i="1"/>
  <c r="BP108" i="1"/>
  <c r="BP107" i="1"/>
  <c r="BP106" i="1"/>
  <c r="BP105" i="1"/>
  <c r="BP104" i="1"/>
  <c r="BP103" i="1"/>
  <c r="BP102" i="1"/>
  <c r="BP101" i="1"/>
  <c r="BP100" i="1"/>
  <c r="BP99" i="1"/>
  <c r="BP96" i="1"/>
  <c r="BP95" i="1"/>
  <c r="BP94" i="1"/>
  <c r="BP93" i="1"/>
  <c r="BP92" i="1"/>
  <c r="BP91" i="1"/>
  <c r="BP90" i="1"/>
  <c r="BP89" i="1"/>
  <c r="BP87" i="1"/>
  <c r="BP88" i="1"/>
  <c r="BP86" i="1"/>
  <c r="BP85" i="1"/>
  <c r="BP83" i="1"/>
  <c r="BP82" i="1"/>
  <c r="BP81" i="1"/>
  <c r="BP79" i="1"/>
  <c r="BP78" i="1"/>
  <c r="BP77" i="1"/>
  <c r="BP76" i="1"/>
  <c r="BP75" i="1"/>
  <c r="BP74" i="1"/>
  <c r="BP73" i="1"/>
  <c r="BP72" i="1"/>
  <c r="BP71" i="1"/>
  <c r="BP70" i="1"/>
  <c r="BP68" i="1"/>
  <c r="BP67" i="1"/>
  <c r="BP66" i="1"/>
  <c r="BP65" i="1"/>
  <c r="BP64" i="1"/>
  <c r="BP63" i="1"/>
  <c r="BP62" i="1"/>
  <c r="BP61" i="1"/>
  <c r="BP60" i="1"/>
  <c r="BP59" i="1"/>
  <c r="BP58" i="1"/>
  <c r="BP57" i="1"/>
  <c r="BP56" i="1"/>
  <c r="BP55" i="1"/>
  <c r="BP53" i="1"/>
  <c r="BP50" i="1"/>
  <c r="BP49" i="1"/>
  <c r="BP48" i="1"/>
  <c r="BP46" i="1"/>
  <c r="BP44" i="1"/>
  <c r="BP43" i="1"/>
  <c r="BP42" i="1"/>
  <c r="BP41" i="1"/>
  <c r="BP40" i="1"/>
  <c r="BP39" i="1"/>
  <c r="BP38" i="1"/>
  <c r="BP37" i="1"/>
  <c r="BP36" i="1"/>
  <c r="BP35" i="1"/>
  <c r="BP34" i="1"/>
  <c r="BP33" i="1"/>
  <c r="BP32" i="1"/>
  <c r="BP31" i="1"/>
  <c r="BP30" i="1"/>
  <c r="BP29" i="1"/>
  <c r="BP28" i="1"/>
  <c r="BP26" i="1"/>
  <c r="BP25" i="1"/>
  <c r="BP24" i="1"/>
  <c r="BP22" i="1"/>
  <c r="BP19" i="1"/>
  <c r="BK34" i="1" l="1"/>
  <c r="BK36" i="1"/>
  <c r="BJ879" i="1" l="1"/>
  <c r="BK879" i="1"/>
  <c r="BJ922" i="1"/>
  <c r="BK922" i="1"/>
  <c r="BJ920" i="1"/>
  <c r="BK920" i="1"/>
  <c r="BJ919" i="1"/>
  <c r="BK919" i="1"/>
  <c r="BJ918" i="1"/>
  <c r="BK918" i="1"/>
  <c r="BJ917" i="1"/>
  <c r="BK917" i="1"/>
  <c r="BJ916" i="1"/>
  <c r="BK916" i="1"/>
  <c r="BJ914" i="1"/>
  <c r="BK914" i="1"/>
  <c r="BJ913" i="1"/>
  <c r="BK913" i="1"/>
  <c r="BJ910" i="1"/>
  <c r="BK910" i="1"/>
  <c r="BJ909" i="1"/>
  <c r="BK909" i="1"/>
  <c r="BJ908" i="1"/>
  <c r="BK908" i="1"/>
  <c r="BJ905" i="1"/>
  <c r="BK905" i="1"/>
  <c r="BJ904" i="1"/>
  <c r="BK904" i="1"/>
  <c r="BJ902" i="1"/>
  <c r="BK902" i="1"/>
  <c r="BJ901" i="1"/>
  <c r="BK901" i="1"/>
  <c r="BJ900" i="1"/>
  <c r="BK900" i="1"/>
  <c r="BJ899" i="1"/>
  <c r="BK899" i="1"/>
  <c r="BJ898" i="1"/>
  <c r="BK898" i="1"/>
  <c r="BJ897" i="1"/>
  <c r="BK897" i="1"/>
  <c r="BJ896" i="1"/>
  <c r="BK896" i="1"/>
  <c r="BJ895" i="1"/>
  <c r="BK895" i="1"/>
  <c r="BJ894" i="1"/>
  <c r="BK894" i="1"/>
  <c r="BJ893" i="1"/>
  <c r="BK893" i="1"/>
  <c r="BJ890" i="1"/>
  <c r="BK890" i="1"/>
  <c r="BJ889" i="1"/>
  <c r="BK889" i="1"/>
  <c r="BJ887" i="1"/>
  <c r="BK887" i="1"/>
  <c r="BJ885" i="1"/>
  <c r="BK885" i="1"/>
  <c r="BJ884" i="1"/>
  <c r="BK884" i="1"/>
  <c r="BJ882" i="1"/>
  <c r="BK882" i="1"/>
  <c r="BJ881" i="1"/>
  <c r="BK881" i="1"/>
  <c r="BJ880" i="1"/>
  <c r="BK880" i="1"/>
  <c r="BJ878" i="1"/>
  <c r="BK878" i="1"/>
  <c r="BJ877" i="1"/>
  <c r="BK877" i="1"/>
  <c r="BJ876" i="1"/>
  <c r="BK876" i="1"/>
  <c r="BJ875" i="1"/>
  <c r="BK875" i="1"/>
  <c r="BJ874" i="1"/>
  <c r="BK874" i="1"/>
  <c r="BJ871" i="1"/>
  <c r="BK871" i="1"/>
  <c r="BJ870" i="1"/>
  <c r="BK870" i="1"/>
  <c r="BJ869" i="1"/>
  <c r="BK869" i="1"/>
  <c r="BJ868" i="1"/>
  <c r="BK868" i="1"/>
  <c r="BJ867" i="1"/>
  <c r="BK867" i="1"/>
  <c r="BJ866" i="1"/>
  <c r="BK866" i="1"/>
  <c r="BJ865" i="1"/>
  <c r="BK865" i="1"/>
  <c r="BJ864" i="1"/>
  <c r="BK864" i="1"/>
  <c r="BJ863" i="1"/>
  <c r="BK863" i="1"/>
  <c r="BJ862" i="1"/>
  <c r="BK862" i="1"/>
  <c r="BJ861" i="1"/>
  <c r="BK861" i="1"/>
  <c r="BJ860" i="1"/>
  <c r="BK860" i="1"/>
  <c r="BJ859" i="1"/>
  <c r="BK859" i="1"/>
  <c r="BJ503" i="1"/>
  <c r="BK503" i="1"/>
  <c r="BJ858" i="1"/>
  <c r="BK858" i="1"/>
  <c r="BJ857" i="1"/>
  <c r="BK857" i="1"/>
  <c r="BJ856" i="1"/>
  <c r="BK856" i="1"/>
  <c r="BJ854" i="1"/>
  <c r="BK854" i="1"/>
  <c r="BJ850" i="1"/>
  <c r="BK850" i="1"/>
  <c r="BJ849" i="1"/>
  <c r="BK849" i="1"/>
  <c r="BJ848" i="1"/>
  <c r="BK848" i="1"/>
  <c r="BJ847" i="1"/>
  <c r="BK847" i="1"/>
  <c r="BJ846" i="1"/>
  <c r="BK846" i="1"/>
  <c r="BJ845" i="1"/>
  <c r="BK845" i="1"/>
  <c r="BJ844" i="1"/>
  <c r="BK844" i="1"/>
  <c r="BJ842" i="1"/>
  <c r="BK842" i="1"/>
  <c r="BJ841" i="1"/>
  <c r="BK841" i="1"/>
  <c r="BJ839" i="1"/>
  <c r="BK839" i="1"/>
  <c r="BJ838" i="1"/>
  <c r="BK838" i="1"/>
  <c r="BJ836" i="1"/>
  <c r="BK836" i="1"/>
  <c r="BJ835" i="1"/>
  <c r="BK835" i="1"/>
  <c r="BJ834" i="1"/>
  <c r="BK834" i="1"/>
  <c r="BJ833" i="1"/>
  <c r="BK833" i="1"/>
  <c r="BJ832" i="1"/>
  <c r="BK832" i="1"/>
  <c r="BJ831" i="1"/>
  <c r="BK831" i="1"/>
  <c r="BJ830" i="1"/>
  <c r="BK830" i="1"/>
  <c r="BJ829" i="1"/>
  <c r="BK829" i="1"/>
  <c r="BJ828" i="1"/>
  <c r="BK828" i="1"/>
  <c r="BJ827" i="1"/>
  <c r="BK827" i="1"/>
  <c r="BJ826" i="1"/>
  <c r="BK826" i="1"/>
  <c r="BJ825" i="1"/>
  <c r="BK825" i="1"/>
  <c r="BJ823" i="1"/>
  <c r="BK823" i="1"/>
  <c r="BJ821" i="1"/>
  <c r="BK821" i="1"/>
  <c r="BJ820" i="1"/>
  <c r="BK820" i="1"/>
  <c r="BJ819" i="1"/>
  <c r="BK819" i="1"/>
  <c r="BJ818" i="1"/>
  <c r="BK818" i="1"/>
  <c r="BJ816" i="1"/>
  <c r="BK816" i="1"/>
  <c r="BJ815" i="1"/>
  <c r="BK815" i="1"/>
  <c r="BJ814" i="1"/>
  <c r="BK814" i="1"/>
  <c r="BJ813" i="1"/>
  <c r="BK813" i="1"/>
  <c r="BJ812" i="1"/>
  <c r="BK812" i="1"/>
  <c r="BJ811" i="1"/>
  <c r="BK811" i="1"/>
  <c r="BJ810" i="1"/>
  <c r="BK810" i="1"/>
  <c r="BJ809" i="1"/>
  <c r="BK809" i="1"/>
  <c r="BJ808" i="1"/>
  <c r="BK808" i="1"/>
  <c r="BJ806" i="1"/>
  <c r="BK806" i="1"/>
  <c r="BJ805" i="1"/>
  <c r="BK805" i="1"/>
  <c r="BJ804" i="1"/>
  <c r="BK804" i="1"/>
  <c r="BJ803" i="1"/>
  <c r="BK803" i="1"/>
  <c r="BJ801" i="1"/>
  <c r="BK801" i="1"/>
  <c r="BJ800" i="1"/>
  <c r="BK800" i="1"/>
  <c r="BJ799" i="1"/>
  <c r="BK799" i="1"/>
  <c r="BJ798" i="1"/>
  <c r="BK798" i="1"/>
  <c r="BJ796" i="1"/>
  <c r="BK796" i="1"/>
  <c r="BJ795" i="1"/>
  <c r="BK795" i="1"/>
  <c r="BJ794" i="1"/>
  <c r="BK794" i="1"/>
  <c r="BJ793" i="1"/>
  <c r="BK793" i="1"/>
  <c r="BJ792" i="1"/>
  <c r="BK792" i="1"/>
  <c r="BJ791" i="1"/>
  <c r="BK791" i="1"/>
  <c r="BJ790" i="1"/>
  <c r="BK790" i="1"/>
  <c r="BJ789" i="1"/>
  <c r="BK789" i="1"/>
  <c r="BJ788" i="1"/>
  <c r="BK788" i="1"/>
  <c r="BJ784" i="1"/>
  <c r="BK784" i="1"/>
  <c r="BJ782" i="1"/>
  <c r="BK782" i="1"/>
  <c r="BJ781" i="1"/>
  <c r="BK781" i="1"/>
  <c r="BJ780" i="1"/>
  <c r="BK780" i="1"/>
  <c r="BJ779" i="1"/>
  <c r="BK779" i="1"/>
  <c r="BJ778" i="1"/>
  <c r="BK778" i="1"/>
  <c r="BJ777" i="1"/>
  <c r="BK777" i="1"/>
  <c r="BJ776" i="1"/>
  <c r="BK776" i="1"/>
  <c r="BJ775" i="1"/>
  <c r="BK775" i="1"/>
  <c r="BJ774" i="1"/>
  <c r="BK774" i="1"/>
  <c r="BJ773" i="1"/>
  <c r="BK773" i="1"/>
  <c r="BJ771" i="1"/>
  <c r="BK771" i="1"/>
  <c r="BJ770" i="1"/>
  <c r="BK770" i="1"/>
  <c r="BJ769" i="1"/>
  <c r="BK769" i="1"/>
  <c r="BJ768" i="1"/>
  <c r="BK768" i="1"/>
  <c r="BJ765" i="1"/>
  <c r="BK765" i="1"/>
  <c r="BJ764" i="1"/>
  <c r="BK764" i="1"/>
  <c r="BJ763" i="1"/>
  <c r="BK763" i="1"/>
  <c r="BJ762" i="1"/>
  <c r="BK762" i="1"/>
  <c r="BJ761" i="1"/>
  <c r="BK761" i="1"/>
  <c r="BJ760" i="1"/>
  <c r="BK760" i="1"/>
  <c r="BJ757" i="1"/>
  <c r="BK757" i="1"/>
  <c r="BJ756" i="1"/>
  <c r="BK756" i="1"/>
  <c r="BJ755" i="1"/>
  <c r="BK755" i="1"/>
  <c r="BJ754" i="1"/>
  <c r="BK754" i="1"/>
  <c r="BJ753" i="1"/>
  <c r="BK753" i="1"/>
  <c r="BJ752" i="1"/>
  <c r="BK752" i="1"/>
  <c r="BJ750" i="1"/>
  <c r="BK750" i="1"/>
  <c r="BJ748" i="1"/>
  <c r="BK748" i="1"/>
  <c r="BJ747" i="1"/>
  <c r="BK747" i="1"/>
  <c r="BJ746" i="1"/>
  <c r="BK746" i="1"/>
  <c r="BJ745" i="1"/>
  <c r="BK745" i="1"/>
  <c r="BJ744" i="1"/>
  <c r="BK744" i="1"/>
  <c r="BJ743" i="1"/>
  <c r="BK743" i="1"/>
  <c r="BJ742" i="1"/>
  <c r="BK742" i="1"/>
  <c r="BJ741" i="1"/>
  <c r="BK741" i="1"/>
  <c r="BJ740" i="1"/>
  <c r="BK740" i="1"/>
  <c r="BJ739" i="1"/>
  <c r="BK739" i="1"/>
  <c r="BJ738" i="1"/>
  <c r="BK738" i="1"/>
  <c r="BJ737" i="1"/>
  <c r="BK737" i="1"/>
  <c r="BJ736" i="1"/>
  <c r="BK736" i="1"/>
  <c r="BJ735" i="1"/>
  <c r="BK735" i="1"/>
  <c r="BJ734" i="1"/>
  <c r="BK734" i="1"/>
  <c r="BJ733" i="1"/>
  <c r="BK733" i="1"/>
  <c r="BJ732" i="1"/>
  <c r="BK732" i="1"/>
  <c r="BJ731" i="1"/>
  <c r="BK731" i="1"/>
  <c r="BJ728" i="1"/>
  <c r="BK728" i="1"/>
  <c r="BJ727" i="1"/>
  <c r="BK727" i="1"/>
  <c r="BJ726" i="1"/>
  <c r="BK726" i="1"/>
  <c r="BJ724" i="1"/>
  <c r="BK724" i="1"/>
  <c r="BJ723" i="1"/>
  <c r="BK723" i="1"/>
  <c r="BJ721" i="1"/>
  <c r="BK721" i="1"/>
  <c r="BJ719" i="1"/>
  <c r="BK719" i="1"/>
  <c r="BJ718" i="1"/>
  <c r="BK718" i="1"/>
  <c r="BJ717" i="1"/>
  <c r="BK717" i="1"/>
  <c r="BJ715" i="1"/>
  <c r="BK715" i="1"/>
  <c r="BJ713" i="1"/>
  <c r="BK713" i="1"/>
  <c r="BJ712" i="1"/>
  <c r="BK712" i="1"/>
  <c r="BJ710" i="1"/>
  <c r="BK710" i="1"/>
  <c r="BJ708" i="1"/>
  <c r="BK708" i="1"/>
  <c r="BJ707" i="1"/>
  <c r="BK707" i="1"/>
  <c r="BJ706" i="1"/>
  <c r="BK706" i="1"/>
  <c r="BJ705" i="1"/>
  <c r="BK705" i="1"/>
  <c r="BJ704" i="1"/>
  <c r="BK704" i="1"/>
  <c r="BJ701" i="1"/>
  <c r="BK701" i="1"/>
  <c r="BJ698" i="1"/>
  <c r="BK698" i="1"/>
  <c r="BJ696" i="1"/>
  <c r="BK696" i="1"/>
  <c r="BJ695" i="1"/>
  <c r="BK695" i="1"/>
  <c r="BJ694" i="1"/>
  <c r="BK694" i="1"/>
  <c r="BJ692" i="1"/>
  <c r="BK692" i="1"/>
  <c r="BJ691" i="1"/>
  <c r="BK691" i="1"/>
  <c r="BJ690" i="1"/>
  <c r="BK690" i="1"/>
  <c r="BJ689" i="1"/>
  <c r="BK689" i="1"/>
  <c r="BJ688" i="1"/>
  <c r="BK688" i="1"/>
  <c r="BJ686" i="1"/>
  <c r="BK686" i="1"/>
  <c r="BJ685" i="1"/>
  <c r="BK685" i="1"/>
  <c r="BJ684" i="1"/>
  <c r="BK684" i="1"/>
  <c r="BJ683" i="1"/>
  <c r="BK683" i="1"/>
  <c r="BJ682" i="1"/>
  <c r="BK682" i="1"/>
  <c r="BJ681" i="1"/>
  <c r="BK681" i="1"/>
  <c r="BJ680" i="1"/>
  <c r="BK680" i="1"/>
  <c r="BJ679" i="1"/>
  <c r="BK679" i="1"/>
  <c r="BJ678" i="1"/>
  <c r="BK678" i="1"/>
  <c r="BJ677" i="1"/>
  <c r="BK677" i="1"/>
  <c r="BJ676" i="1"/>
  <c r="BK676" i="1"/>
  <c r="BJ675" i="1"/>
  <c r="BK675" i="1"/>
  <c r="BJ673" i="1"/>
  <c r="BK673" i="1"/>
  <c r="BJ672" i="1"/>
  <c r="BK672" i="1"/>
  <c r="BJ670" i="1"/>
  <c r="BK670" i="1"/>
  <c r="BJ669" i="1"/>
  <c r="BK669" i="1"/>
  <c r="BJ668" i="1"/>
  <c r="BK668" i="1"/>
  <c r="BJ667" i="1"/>
  <c r="BK667" i="1"/>
  <c r="BJ666" i="1"/>
  <c r="BK666" i="1"/>
  <c r="BJ665" i="1"/>
  <c r="BK665" i="1"/>
  <c r="BJ664" i="1"/>
  <c r="BK664" i="1"/>
  <c r="BJ663" i="1"/>
  <c r="BK663" i="1"/>
  <c r="BJ662" i="1"/>
  <c r="BK662" i="1"/>
  <c r="BJ661" i="1"/>
  <c r="BK661" i="1"/>
  <c r="BJ660" i="1"/>
  <c r="BK660" i="1"/>
  <c r="BJ659" i="1"/>
  <c r="BK659" i="1"/>
  <c r="BJ658" i="1"/>
  <c r="BK658" i="1"/>
  <c r="BJ657" i="1"/>
  <c r="BK657" i="1"/>
  <c r="BJ656" i="1"/>
  <c r="BK656" i="1"/>
  <c r="BJ655" i="1"/>
  <c r="BK655" i="1"/>
  <c r="BJ654" i="1"/>
  <c r="BK654" i="1"/>
  <c r="BJ653" i="1"/>
  <c r="BK653" i="1"/>
  <c r="BJ652" i="1"/>
  <c r="BK652" i="1"/>
  <c r="BJ651" i="1"/>
  <c r="BK651" i="1"/>
  <c r="BJ650" i="1"/>
  <c r="BK650" i="1"/>
  <c r="BJ648" i="1"/>
  <c r="BK648" i="1"/>
  <c r="BJ647" i="1"/>
  <c r="BK647" i="1"/>
  <c r="BJ645" i="1"/>
  <c r="BK645" i="1"/>
  <c r="BJ643" i="1"/>
  <c r="BK643" i="1"/>
  <c r="BJ641" i="1"/>
  <c r="BK641" i="1"/>
  <c r="BJ640" i="1"/>
  <c r="BK640" i="1"/>
  <c r="BJ639" i="1"/>
  <c r="BK639" i="1"/>
  <c r="BJ638" i="1"/>
  <c r="BK638" i="1"/>
  <c r="BJ637" i="1"/>
  <c r="BK637" i="1"/>
  <c r="BJ636" i="1"/>
  <c r="BK636" i="1"/>
  <c r="BJ634" i="1"/>
  <c r="BK634" i="1"/>
  <c r="BJ633" i="1"/>
  <c r="BK633" i="1"/>
  <c r="BJ631" i="1"/>
  <c r="BK631" i="1"/>
  <c r="BJ629" i="1"/>
  <c r="BK629" i="1"/>
  <c r="BJ628" i="1"/>
  <c r="BK628" i="1"/>
  <c r="BJ626" i="1"/>
  <c r="BK626" i="1"/>
  <c r="BJ625" i="1"/>
  <c r="BK625" i="1"/>
  <c r="BJ624" i="1"/>
  <c r="BK624" i="1"/>
  <c r="BJ622" i="1"/>
  <c r="BK622" i="1"/>
  <c r="BJ621" i="1"/>
  <c r="BK621" i="1"/>
  <c r="BJ620" i="1"/>
  <c r="BK620" i="1"/>
  <c r="BJ619" i="1"/>
  <c r="BK619" i="1"/>
  <c r="BJ618" i="1"/>
  <c r="BK618" i="1"/>
  <c r="BJ617" i="1"/>
  <c r="BK617" i="1"/>
  <c r="BJ616" i="1"/>
  <c r="BK616" i="1"/>
  <c r="BJ615" i="1"/>
  <c r="BK615" i="1"/>
  <c r="BJ613" i="1"/>
  <c r="BK613" i="1"/>
  <c r="BJ611" i="1"/>
  <c r="BK611" i="1"/>
  <c r="BJ609" i="1"/>
  <c r="BK609" i="1"/>
  <c r="BJ607" i="1"/>
  <c r="BK607" i="1"/>
  <c r="BJ605" i="1"/>
  <c r="BK605" i="1"/>
  <c r="BJ604" i="1"/>
  <c r="BK604" i="1"/>
  <c r="BJ603" i="1"/>
  <c r="BK603" i="1"/>
  <c r="BJ602" i="1"/>
  <c r="BK602" i="1"/>
  <c r="BJ601" i="1"/>
  <c r="BK601" i="1"/>
  <c r="BJ600" i="1"/>
  <c r="BK600" i="1"/>
  <c r="BJ599" i="1"/>
  <c r="BK599" i="1"/>
  <c r="BJ594" i="1"/>
  <c r="BK594" i="1"/>
  <c r="BJ592" i="1"/>
  <c r="BK592" i="1"/>
  <c r="BJ591" i="1"/>
  <c r="BK591" i="1"/>
  <c r="BJ590" i="1"/>
  <c r="BK590" i="1"/>
  <c r="BJ588" i="1"/>
  <c r="BK588" i="1"/>
  <c r="BJ587" i="1"/>
  <c r="BK587" i="1"/>
  <c r="BJ586" i="1"/>
  <c r="BK586" i="1"/>
  <c r="BJ585" i="1"/>
  <c r="BK585" i="1"/>
  <c r="BJ584" i="1"/>
  <c r="BK584" i="1"/>
  <c r="BJ583" i="1"/>
  <c r="BK583" i="1"/>
  <c r="BJ581" i="1"/>
  <c r="BK581" i="1"/>
  <c r="BJ580" i="1"/>
  <c r="BK580" i="1"/>
  <c r="BJ579" i="1"/>
  <c r="BK579" i="1"/>
  <c r="BJ577" i="1"/>
  <c r="BK577" i="1"/>
  <c r="BJ575" i="1"/>
  <c r="BK575" i="1"/>
  <c r="BJ574" i="1"/>
  <c r="BK574" i="1"/>
  <c r="BJ573" i="1"/>
  <c r="BK573" i="1"/>
  <c r="BJ572" i="1"/>
  <c r="BK572" i="1"/>
  <c r="BJ571" i="1"/>
  <c r="BK571" i="1"/>
  <c r="BJ570" i="1"/>
  <c r="BK570" i="1"/>
  <c r="BJ569" i="1"/>
  <c r="BK569" i="1"/>
  <c r="BJ567" i="1"/>
  <c r="BK567" i="1"/>
  <c r="BJ564" i="1"/>
  <c r="BK564" i="1"/>
  <c r="BJ563" i="1"/>
  <c r="BK563" i="1"/>
  <c r="BJ562" i="1"/>
  <c r="BK562" i="1"/>
  <c r="BJ559" i="1"/>
  <c r="BK559" i="1"/>
  <c r="BJ558" i="1"/>
  <c r="BK558" i="1"/>
  <c r="BJ557" i="1"/>
  <c r="BK557" i="1"/>
  <c r="BJ556" i="1"/>
  <c r="BK556" i="1"/>
  <c r="BJ555" i="1"/>
  <c r="BK555" i="1"/>
  <c r="BJ554" i="1"/>
  <c r="BK554" i="1"/>
  <c r="BJ553" i="1"/>
  <c r="BK553" i="1"/>
  <c r="BJ552" i="1"/>
  <c r="BK552" i="1"/>
  <c r="BJ551" i="1"/>
  <c r="BK551" i="1"/>
  <c r="BJ550" i="1"/>
  <c r="BK550" i="1"/>
  <c r="BJ549" i="1"/>
  <c r="BK549" i="1"/>
  <c r="BJ548" i="1"/>
  <c r="BK548" i="1"/>
  <c r="BJ546" i="1"/>
  <c r="BK546" i="1"/>
  <c r="BJ545" i="1"/>
  <c r="BK545" i="1"/>
  <c r="BJ543" i="1"/>
  <c r="BK543" i="1"/>
  <c r="BJ542" i="1"/>
  <c r="BK542" i="1"/>
  <c r="BJ541" i="1"/>
  <c r="BK541" i="1"/>
  <c r="BJ540" i="1"/>
  <c r="BK540" i="1"/>
  <c r="BJ539" i="1"/>
  <c r="BK539" i="1"/>
  <c r="BJ538" i="1"/>
  <c r="BK538" i="1"/>
  <c r="BJ537" i="1"/>
  <c r="BK537" i="1"/>
  <c r="BJ536" i="1"/>
  <c r="BK536" i="1"/>
  <c r="BJ535" i="1"/>
  <c r="BK535" i="1"/>
  <c r="BJ534" i="1"/>
  <c r="BK534" i="1"/>
  <c r="BJ532" i="1"/>
  <c r="BK532" i="1"/>
  <c r="BJ531" i="1"/>
  <c r="BK531" i="1"/>
  <c r="BJ530" i="1"/>
  <c r="BK530" i="1"/>
  <c r="BJ529" i="1"/>
  <c r="BK529" i="1"/>
  <c r="BJ528" i="1"/>
  <c r="BK528" i="1"/>
  <c r="BJ527" i="1"/>
  <c r="BK527" i="1"/>
  <c r="BJ526" i="1"/>
  <c r="BK526" i="1"/>
  <c r="BJ525" i="1"/>
  <c r="BK525" i="1"/>
  <c r="BJ524" i="1"/>
  <c r="BK524" i="1"/>
  <c r="BJ523" i="1"/>
  <c r="BK523" i="1"/>
  <c r="BJ522" i="1"/>
  <c r="BK522" i="1"/>
  <c r="BJ521" i="1"/>
  <c r="BK521" i="1"/>
  <c r="BJ520" i="1"/>
  <c r="BK520" i="1"/>
  <c r="BJ519" i="1"/>
  <c r="BK519" i="1"/>
  <c r="BJ518" i="1"/>
  <c r="BK518" i="1"/>
  <c r="BJ517" i="1"/>
  <c r="BK517" i="1"/>
  <c r="BJ514" i="1"/>
  <c r="BK514" i="1"/>
  <c r="BJ513" i="1"/>
  <c r="BK513" i="1"/>
  <c r="BJ512" i="1"/>
  <c r="BK512" i="1"/>
  <c r="BJ510" i="1"/>
  <c r="BK510" i="1"/>
  <c r="BJ509" i="1"/>
  <c r="BK509" i="1"/>
  <c r="BJ508" i="1"/>
  <c r="BK508" i="1"/>
  <c r="BJ507" i="1"/>
  <c r="BK507" i="1"/>
  <c r="BJ506" i="1"/>
  <c r="BK506" i="1"/>
  <c r="BJ505" i="1"/>
  <c r="BK505" i="1"/>
  <c r="BJ502" i="1"/>
  <c r="BK502" i="1"/>
  <c r="BJ501" i="1"/>
  <c r="BK501" i="1"/>
  <c r="BJ500" i="1"/>
  <c r="BK500" i="1"/>
  <c r="BJ499" i="1"/>
  <c r="BK499" i="1"/>
  <c r="BJ498" i="1"/>
  <c r="BK498" i="1"/>
  <c r="BJ497" i="1"/>
  <c r="BK497" i="1"/>
  <c r="BJ496" i="1"/>
  <c r="BK496" i="1"/>
  <c r="BJ495" i="1"/>
  <c r="BK495" i="1"/>
  <c r="BJ493" i="1"/>
  <c r="BK493" i="1"/>
  <c r="BJ492" i="1"/>
  <c r="BK492" i="1"/>
  <c r="BJ491" i="1"/>
  <c r="BK491" i="1"/>
  <c r="BJ489" i="1"/>
  <c r="BK489" i="1"/>
  <c r="BJ487" i="1"/>
  <c r="BK487" i="1"/>
  <c r="BJ484" i="1"/>
  <c r="BK484" i="1"/>
  <c r="BJ407" i="1"/>
  <c r="BK407" i="1"/>
  <c r="BJ406" i="1"/>
  <c r="BK406" i="1"/>
  <c r="BJ408" i="1"/>
  <c r="BK408" i="1"/>
  <c r="BJ482" i="1"/>
  <c r="BK482" i="1"/>
  <c r="BJ481" i="1"/>
  <c r="BK481" i="1"/>
  <c r="BJ478" i="1"/>
  <c r="BK478" i="1"/>
  <c r="BJ475" i="1"/>
  <c r="BK475" i="1"/>
  <c r="BJ474" i="1"/>
  <c r="BK474" i="1"/>
  <c r="BJ473" i="1"/>
  <c r="BK473" i="1"/>
  <c r="BJ472" i="1"/>
  <c r="BK472" i="1"/>
  <c r="BJ560" i="1"/>
  <c r="BK560" i="1"/>
  <c r="BJ471" i="1"/>
  <c r="BK471" i="1"/>
  <c r="BJ470" i="1"/>
  <c r="BK470" i="1"/>
  <c r="BJ469" i="1"/>
  <c r="BK469" i="1"/>
  <c r="BJ468" i="1"/>
  <c r="BK468" i="1"/>
  <c r="BJ466" i="1"/>
  <c r="BK466" i="1"/>
  <c r="BJ464" i="1"/>
  <c r="BK464" i="1"/>
  <c r="BJ463" i="1"/>
  <c r="BK463" i="1"/>
  <c r="BJ462" i="1"/>
  <c r="BK462" i="1"/>
  <c r="BJ461" i="1"/>
  <c r="BK461" i="1"/>
  <c r="BJ460" i="1"/>
  <c r="BK460" i="1"/>
  <c r="BJ459" i="1"/>
  <c r="BK459" i="1"/>
  <c r="BJ458" i="1"/>
  <c r="BK458" i="1"/>
  <c r="BJ457" i="1"/>
  <c r="BK457" i="1"/>
  <c r="BJ456" i="1"/>
  <c r="BK456" i="1"/>
  <c r="BJ455" i="1"/>
  <c r="BK455" i="1"/>
  <c r="BJ454" i="1"/>
  <c r="BK454" i="1"/>
  <c r="BJ453" i="1"/>
  <c r="BK453" i="1"/>
  <c r="BJ451" i="1"/>
  <c r="BK451" i="1"/>
  <c r="BJ450" i="1"/>
  <c r="BK450" i="1"/>
  <c r="BJ448" i="1"/>
  <c r="BK448" i="1"/>
  <c r="BJ447" i="1"/>
  <c r="BK447" i="1"/>
  <c r="BJ446" i="1"/>
  <c r="BK446" i="1"/>
  <c r="BJ445" i="1"/>
  <c r="BK445" i="1"/>
  <c r="BJ444" i="1"/>
  <c r="BK444" i="1"/>
  <c r="BJ443" i="1"/>
  <c r="BK443" i="1"/>
  <c r="BJ441" i="1"/>
  <c r="BK441" i="1"/>
  <c r="BJ440" i="1"/>
  <c r="BK440" i="1"/>
  <c r="BJ437" i="1"/>
  <c r="BK437" i="1"/>
  <c r="BJ436" i="1"/>
  <c r="BK436" i="1"/>
  <c r="BJ435" i="1"/>
  <c r="BK435" i="1"/>
  <c r="BJ433" i="1"/>
  <c r="BK433" i="1"/>
  <c r="BJ432" i="1"/>
  <c r="BK432" i="1"/>
  <c r="BJ431" i="1"/>
  <c r="BK431" i="1"/>
  <c r="BJ430" i="1"/>
  <c r="BK430" i="1"/>
  <c r="BJ429" i="1"/>
  <c r="BK429" i="1"/>
  <c r="BJ428" i="1"/>
  <c r="BK428" i="1"/>
  <c r="BJ427" i="1"/>
  <c r="BK427" i="1"/>
  <c r="BJ426" i="1"/>
  <c r="BK426" i="1"/>
  <c r="BJ425" i="1"/>
  <c r="BK425" i="1"/>
  <c r="BJ423" i="1"/>
  <c r="BK423" i="1"/>
  <c r="BJ422" i="1"/>
  <c r="BK422" i="1"/>
  <c r="BJ421" i="1"/>
  <c r="BK421" i="1"/>
  <c r="BJ419" i="1"/>
  <c r="BK419" i="1"/>
  <c r="BJ418" i="1"/>
  <c r="BK418" i="1"/>
  <c r="BJ417" i="1"/>
  <c r="BK417" i="1"/>
  <c r="BJ416" i="1"/>
  <c r="BK416" i="1"/>
  <c r="BJ415" i="1"/>
  <c r="BK415" i="1"/>
  <c r="BJ414" i="1"/>
  <c r="BK414" i="1"/>
  <c r="BJ412" i="1"/>
  <c r="BK412" i="1"/>
  <c r="BJ409" i="1"/>
  <c r="BK409" i="1"/>
  <c r="BJ405" i="1"/>
  <c r="BK405" i="1"/>
  <c r="BJ404" i="1"/>
  <c r="BK404" i="1"/>
  <c r="BJ403" i="1"/>
  <c r="BK403" i="1"/>
  <c r="BJ402" i="1"/>
  <c r="BK402" i="1"/>
  <c r="BJ401" i="1"/>
  <c r="BK401" i="1"/>
  <c r="BJ400" i="1"/>
  <c r="BK400" i="1"/>
  <c r="BJ399" i="1"/>
  <c r="BK399" i="1"/>
  <c r="BJ398" i="1"/>
  <c r="BK398" i="1"/>
  <c r="BJ397" i="1"/>
  <c r="BK397" i="1"/>
  <c r="BJ394" i="1"/>
  <c r="BK394" i="1"/>
  <c r="BJ392" i="1"/>
  <c r="BK392" i="1"/>
  <c r="BJ391" i="1"/>
  <c r="BK391" i="1"/>
  <c r="BJ390" i="1"/>
  <c r="BK390" i="1"/>
  <c r="BJ389" i="1"/>
  <c r="BK389" i="1"/>
  <c r="BJ388" i="1"/>
  <c r="BK388" i="1"/>
  <c r="BJ387" i="1"/>
  <c r="BK387" i="1"/>
  <c r="BJ386" i="1"/>
  <c r="BK386" i="1"/>
  <c r="BJ385" i="1"/>
  <c r="BK385" i="1"/>
  <c r="BJ384" i="1"/>
  <c r="BK384" i="1"/>
  <c r="BJ383" i="1"/>
  <c r="BK383" i="1"/>
  <c r="BJ381" i="1"/>
  <c r="BK381" i="1"/>
  <c r="BJ380" i="1"/>
  <c r="BK380" i="1"/>
  <c r="BJ379" i="1"/>
  <c r="BK379" i="1"/>
  <c r="BJ378" i="1"/>
  <c r="BK378" i="1"/>
  <c r="BJ377" i="1"/>
  <c r="BK377" i="1"/>
  <c r="BJ376" i="1"/>
  <c r="BK376" i="1"/>
  <c r="BJ374" i="1"/>
  <c r="BK374" i="1"/>
  <c r="BJ373" i="1"/>
  <c r="BK373" i="1"/>
  <c r="BJ372" i="1"/>
  <c r="BK372" i="1"/>
  <c r="BJ371" i="1"/>
  <c r="BK371" i="1"/>
  <c r="BJ370" i="1"/>
  <c r="BK370" i="1"/>
  <c r="BJ369" i="1"/>
  <c r="BK369" i="1"/>
  <c r="BJ368" i="1"/>
  <c r="BK368" i="1"/>
  <c r="BJ367" i="1"/>
  <c r="BK367" i="1"/>
  <c r="BJ365" i="1"/>
  <c r="BK365" i="1"/>
  <c r="BJ363" i="1"/>
  <c r="BK363" i="1"/>
  <c r="BJ362" i="1"/>
  <c r="BK362" i="1"/>
  <c r="BJ361" i="1"/>
  <c r="BK361" i="1"/>
  <c r="BJ360" i="1"/>
  <c r="BK360" i="1"/>
  <c r="BJ359" i="1"/>
  <c r="BK359" i="1"/>
  <c r="BJ358" i="1"/>
  <c r="BK358" i="1"/>
  <c r="BJ357" i="1"/>
  <c r="BK357" i="1"/>
  <c r="BJ356" i="1"/>
  <c r="BK356" i="1"/>
  <c r="BJ355" i="1"/>
  <c r="BK355" i="1"/>
  <c r="BJ354" i="1"/>
  <c r="BK354" i="1"/>
  <c r="BJ351" i="1"/>
  <c r="BK351" i="1"/>
  <c r="BJ350" i="1"/>
  <c r="BK350" i="1"/>
  <c r="BJ349" i="1"/>
  <c r="BK349" i="1"/>
  <c r="BJ348" i="1"/>
  <c r="BK348" i="1"/>
  <c r="BJ347" i="1"/>
  <c r="BK347" i="1"/>
  <c r="BJ345" i="1"/>
  <c r="BK345" i="1"/>
  <c r="BJ344" i="1"/>
  <c r="BK344" i="1"/>
  <c r="BJ343" i="1"/>
  <c r="BK343" i="1"/>
  <c r="BJ342" i="1"/>
  <c r="BK342" i="1"/>
  <c r="BJ340" i="1"/>
  <c r="BK340" i="1"/>
  <c r="BJ339" i="1"/>
  <c r="BK339" i="1"/>
  <c r="BJ338" i="1"/>
  <c r="BK338" i="1"/>
  <c r="BJ336" i="1"/>
  <c r="BK336" i="1"/>
  <c r="BJ335" i="1"/>
  <c r="BK335" i="1"/>
  <c r="BJ334" i="1"/>
  <c r="BK334" i="1"/>
  <c r="BJ333" i="1"/>
  <c r="BK333" i="1"/>
  <c r="BJ332" i="1"/>
  <c r="BK332" i="1"/>
  <c r="BJ330" i="1"/>
  <c r="BK330" i="1"/>
  <c r="BJ329" i="1"/>
  <c r="BK329" i="1"/>
  <c r="BJ328" i="1"/>
  <c r="BK328" i="1"/>
  <c r="BJ327" i="1"/>
  <c r="BK327" i="1"/>
  <c r="BJ326" i="1"/>
  <c r="BK326" i="1"/>
  <c r="BJ325" i="1"/>
  <c r="BK325" i="1"/>
  <c r="BJ324" i="1"/>
  <c r="BK324" i="1"/>
  <c r="BJ323" i="1"/>
  <c r="BK323" i="1"/>
  <c r="BJ322" i="1"/>
  <c r="BK322" i="1"/>
  <c r="BJ321" i="1"/>
  <c r="BK321" i="1"/>
  <c r="BJ320" i="1"/>
  <c r="BK320" i="1"/>
  <c r="BJ319" i="1"/>
  <c r="BK319" i="1"/>
  <c r="BJ317" i="1"/>
  <c r="BK317" i="1"/>
  <c r="BJ316" i="1"/>
  <c r="BK316" i="1"/>
  <c r="BJ315" i="1"/>
  <c r="BK315" i="1"/>
  <c r="BJ314" i="1"/>
  <c r="BK314" i="1"/>
  <c r="BJ313" i="1"/>
  <c r="BK313" i="1"/>
  <c r="BJ312" i="1"/>
  <c r="BK312" i="1"/>
  <c r="BJ311" i="1"/>
  <c r="BK311" i="1"/>
  <c r="BJ310" i="1"/>
  <c r="BK310" i="1"/>
  <c r="BJ309" i="1"/>
  <c r="BK309" i="1"/>
  <c r="BJ308" i="1"/>
  <c r="BK308" i="1"/>
  <c r="BJ307" i="1"/>
  <c r="BK307" i="1"/>
  <c r="BJ306" i="1"/>
  <c r="BK306" i="1"/>
  <c r="BJ305" i="1"/>
  <c r="BK305" i="1"/>
  <c r="BJ304" i="1"/>
  <c r="BK304" i="1"/>
  <c r="BJ303" i="1"/>
  <c r="BK303" i="1"/>
  <c r="BJ302" i="1"/>
  <c r="BK302" i="1"/>
  <c r="BJ301" i="1"/>
  <c r="BK301" i="1"/>
  <c r="BJ300" i="1"/>
  <c r="BK300" i="1"/>
  <c r="BJ299" i="1"/>
  <c r="BK299" i="1"/>
  <c r="BJ298" i="1"/>
  <c r="BK298" i="1"/>
  <c r="BJ297" i="1"/>
  <c r="BK297" i="1"/>
  <c r="BJ295" i="1"/>
  <c r="BK295" i="1"/>
  <c r="BJ294" i="1"/>
  <c r="BK294" i="1"/>
  <c r="BJ293" i="1"/>
  <c r="BK293" i="1"/>
  <c r="BJ292" i="1"/>
  <c r="BK292" i="1"/>
  <c r="BJ290" i="1"/>
  <c r="BK290" i="1"/>
  <c r="BJ289" i="1"/>
  <c r="BK289" i="1"/>
  <c r="BJ288" i="1"/>
  <c r="BK288" i="1"/>
  <c r="BJ287" i="1"/>
  <c r="BK287" i="1"/>
  <c r="BJ286" i="1"/>
  <c r="BK286" i="1"/>
  <c r="BJ284" i="1"/>
  <c r="BK284" i="1"/>
  <c r="BJ283" i="1"/>
  <c r="BK283" i="1"/>
  <c r="BJ281" i="1"/>
  <c r="BK281" i="1"/>
  <c r="BJ279" i="1"/>
  <c r="BK279" i="1"/>
  <c r="BJ278" i="1"/>
  <c r="BK278" i="1"/>
  <c r="BJ277" i="1"/>
  <c r="BK277" i="1"/>
  <c r="BJ276" i="1"/>
  <c r="BK276" i="1"/>
  <c r="BJ274" i="1"/>
  <c r="BK274" i="1"/>
  <c r="BJ273" i="1"/>
  <c r="BK273" i="1"/>
  <c r="BJ272" i="1"/>
  <c r="BK272" i="1"/>
  <c r="BJ271" i="1"/>
  <c r="BK271" i="1"/>
  <c r="BJ270" i="1"/>
  <c r="BK270" i="1"/>
  <c r="BJ269" i="1"/>
  <c r="BK269" i="1"/>
  <c r="BJ267" i="1"/>
  <c r="BK267" i="1"/>
  <c r="BJ266" i="1"/>
  <c r="BK266" i="1"/>
  <c r="BJ265" i="1"/>
  <c r="BK265" i="1"/>
  <c r="BJ264" i="1"/>
  <c r="BK264" i="1"/>
  <c r="BJ262" i="1"/>
  <c r="BK262" i="1"/>
  <c r="BJ261" i="1"/>
  <c r="BK261" i="1"/>
  <c r="BJ260" i="1"/>
  <c r="BK260" i="1"/>
  <c r="BJ259" i="1"/>
  <c r="BK259" i="1"/>
  <c r="BJ258" i="1"/>
  <c r="BK258" i="1"/>
  <c r="BJ257" i="1"/>
  <c r="BK257" i="1"/>
  <c r="BJ256" i="1"/>
  <c r="BK256" i="1"/>
  <c r="BJ255" i="1"/>
  <c r="BK255" i="1"/>
  <c r="BJ254" i="1"/>
  <c r="BK254" i="1"/>
  <c r="BJ253" i="1"/>
  <c r="BK253" i="1"/>
  <c r="BJ252" i="1"/>
  <c r="BK252" i="1"/>
  <c r="BJ251" i="1"/>
  <c r="BK251" i="1"/>
  <c r="BJ250" i="1"/>
  <c r="BK250" i="1"/>
  <c r="BJ248" i="1"/>
  <c r="BK248" i="1"/>
  <c r="BJ246" i="1"/>
  <c r="BK246" i="1"/>
  <c r="BJ245" i="1"/>
  <c r="BK245" i="1"/>
  <c r="BJ244" i="1"/>
  <c r="BK244" i="1"/>
  <c r="BJ243" i="1"/>
  <c r="BK243" i="1"/>
  <c r="BJ242" i="1"/>
  <c r="BK242" i="1"/>
  <c r="BJ241" i="1"/>
  <c r="BK241" i="1"/>
  <c r="BJ142" i="1"/>
  <c r="BK142" i="1"/>
  <c r="BJ240" i="1"/>
  <c r="BK240" i="1"/>
  <c r="BJ239" i="1"/>
  <c r="BK239" i="1"/>
  <c r="BJ238" i="1"/>
  <c r="BK238" i="1"/>
  <c r="BJ237" i="1"/>
  <c r="BK237" i="1"/>
  <c r="BJ236" i="1"/>
  <c r="BK236" i="1"/>
  <c r="BJ234" i="1"/>
  <c r="BK234" i="1"/>
  <c r="BJ233" i="1"/>
  <c r="BK233" i="1"/>
  <c r="BJ232" i="1"/>
  <c r="BK232" i="1"/>
  <c r="BJ231" i="1"/>
  <c r="BK231" i="1"/>
  <c r="BJ229" i="1"/>
  <c r="BK229" i="1"/>
  <c r="BJ228" i="1"/>
  <c r="BK228" i="1"/>
  <c r="BJ227" i="1"/>
  <c r="BK227" i="1"/>
  <c r="BJ226" i="1"/>
  <c r="BK226" i="1"/>
  <c r="BJ225" i="1"/>
  <c r="BK225" i="1"/>
  <c r="BJ224" i="1"/>
  <c r="BK224" i="1"/>
  <c r="BJ223" i="1"/>
  <c r="BK223" i="1"/>
  <c r="BJ222" i="1"/>
  <c r="BK222" i="1"/>
  <c r="BJ221" i="1"/>
  <c r="BK221" i="1"/>
  <c r="BJ220" i="1"/>
  <c r="BK220" i="1"/>
  <c r="BJ219" i="1"/>
  <c r="BK219" i="1"/>
  <c r="BJ218" i="1"/>
  <c r="BK218" i="1"/>
  <c r="BJ217" i="1"/>
  <c r="BK217" i="1"/>
  <c r="BJ216" i="1"/>
  <c r="BK216" i="1"/>
  <c r="BJ215" i="1"/>
  <c r="BK215" i="1"/>
  <c r="BJ214" i="1"/>
  <c r="BK214" i="1"/>
  <c r="BJ213" i="1"/>
  <c r="BK213" i="1"/>
  <c r="BJ212" i="1"/>
  <c r="BK212" i="1"/>
  <c r="BJ211" i="1"/>
  <c r="BK211" i="1"/>
  <c r="BJ210" i="1"/>
  <c r="BK210" i="1"/>
  <c r="BJ209" i="1"/>
  <c r="BK209" i="1"/>
  <c r="BJ208" i="1"/>
  <c r="BK208" i="1"/>
  <c r="BJ207" i="1"/>
  <c r="BK207" i="1"/>
  <c r="BJ206" i="1"/>
  <c r="BK206" i="1"/>
  <c r="BJ205" i="1"/>
  <c r="BK205" i="1"/>
  <c r="BJ204" i="1"/>
  <c r="BK204" i="1"/>
  <c r="BJ203" i="1"/>
  <c r="BK203" i="1"/>
  <c r="BJ200" i="1"/>
  <c r="BK200" i="1"/>
  <c r="BJ199" i="1"/>
  <c r="BK199" i="1"/>
  <c r="BJ198" i="1"/>
  <c r="BK198" i="1"/>
  <c r="BJ197" i="1"/>
  <c r="BK197" i="1"/>
  <c r="BJ196" i="1"/>
  <c r="BK196" i="1"/>
  <c r="BJ195" i="1"/>
  <c r="BK195" i="1"/>
  <c r="BJ194" i="1"/>
  <c r="BK194" i="1"/>
  <c r="BJ193" i="1"/>
  <c r="BK193" i="1"/>
  <c r="BJ192" i="1"/>
  <c r="BK192" i="1"/>
  <c r="BJ191" i="1"/>
  <c r="BK191" i="1"/>
  <c r="BJ190" i="1"/>
  <c r="BK190" i="1"/>
  <c r="BJ187" i="1"/>
  <c r="BK187" i="1"/>
  <c r="BJ186" i="1"/>
  <c r="BK186" i="1"/>
  <c r="BJ185" i="1"/>
  <c r="BK185" i="1"/>
  <c r="BJ184" i="1"/>
  <c r="BK184" i="1"/>
  <c r="BJ183" i="1"/>
  <c r="BK183" i="1"/>
  <c r="BJ182" i="1"/>
  <c r="BK182" i="1"/>
  <c r="BJ181" i="1"/>
  <c r="BK181" i="1"/>
  <c r="BJ180" i="1"/>
  <c r="BK180" i="1"/>
  <c r="BJ178" i="1"/>
  <c r="BK178" i="1"/>
  <c r="BJ174" i="1"/>
  <c r="BK174" i="1"/>
  <c r="BJ172" i="1"/>
  <c r="BK172" i="1"/>
  <c r="BJ171" i="1"/>
  <c r="BK171" i="1"/>
  <c r="BJ170" i="1"/>
  <c r="BK170" i="1"/>
  <c r="BJ169" i="1"/>
  <c r="BK169" i="1"/>
  <c r="BJ168" i="1"/>
  <c r="BK168" i="1"/>
  <c r="BJ167" i="1"/>
  <c r="BK167" i="1"/>
  <c r="BJ165" i="1"/>
  <c r="BK165" i="1"/>
  <c r="BJ164" i="1"/>
  <c r="BK164" i="1"/>
  <c r="BJ163" i="1"/>
  <c r="BK163" i="1"/>
  <c r="BJ162" i="1"/>
  <c r="BK162" i="1"/>
  <c r="BJ161" i="1"/>
  <c r="BK161" i="1"/>
  <c r="BJ160" i="1"/>
  <c r="BK160" i="1"/>
  <c r="BJ159" i="1"/>
  <c r="BK159" i="1"/>
  <c r="BJ158" i="1"/>
  <c r="BK158" i="1"/>
  <c r="BJ157" i="1"/>
  <c r="BK157" i="1"/>
  <c r="BJ156" i="1"/>
  <c r="BK156" i="1"/>
  <c r="BJ155" i="1"/>
  <c r="BK155" i="1"/>
  <c r="BJ154" i="1"/>
  <c r="BK154" i="1"/>
  <c r="BJ153" i="1"/>
  <c r="BK153" i="1"/>
  <c r="BJ152" i="1"/>
  <c r="BK152" i="1"/>
  <c r="BJ151" i="1"/>
  <c r="BK151" i="1"/>
  <c r="BJ150" i="1"/>
  <c r="BK150" i="1"/>
  <c r="BJ149" i="1"/>
  <c r="BK149" i="1"/>
  <c r="BJ148" i="1"/>
  <c r="BK148" i="1"/>
  <c r="BJ147" i="1"/>
  <c r="BK147" i="1"/>
  <c r="BJ146" i="1"/>
  <c r="BK146" i="1"/>
  <c r="BJ145" i="1"/>
  <c r="BK145" i="1"/>
  <c r="BJ144" i="1"/>
  <c r="BK144" i="1"/>
  <c r="BJ141" i="1"/>
  <c r="BK141" i="1"/>
  <c r="BJ140" i="1"/>
  <c r="BK140" i="1"/>
  <c r="BJ139" i="1"/>
  <c r="BK139" i="1"/>
  <c r="BJ137" i="1"/>
  <c r="BK137" i="1"/>
  <c r="BJ136" i="1"/>
  <c r="BK136" i="1"/>
  <c r="BJ135" i="1"/>
  <c r="BK135" i="1"/>
  <c r="BJ134" i="1"/>
  <c r="BK134" i="1"/>
  <c r="BJ132" i="1"/>
  <c r="BK132" i="1"/>
  <c r="BJ131" i="1"/>
  <c r="BK131" i="1"/>
  <c r="BJ130" i="1"/>
  <c r="BK130" i="1"/>
  <c r="BJ128" i="1"/>
  <c r="BK128" i="1"/>
  <c r="BJ127" i="1"/>
  <c r="BK127" i="1"/>
  <c r="BJ125" i="1"/>
  <c r="BK125" i="1"/>
  <c r="BJ124" i="1"/>
  <c r="BK124" i="1"/>
  <c r="BJ123" i="1"/>
  <c r="BK123" i="1"/>
  <c r="BJ122" i="1"/>
  <c r="BK122" i="1"/>
  <c r="BJ442" i="1"/>
  <c r="BK442" i="1"/>
  <c r="BJ121" i="1"/>
  <c r="BK121" i="1"/>
  <c r="BJ120" i="1"/>
  <c r="BK120" i="1"/>
  <c r="BJ119" i="1"/>
  <c r="BK119" i="1"/>
  <c r="BJ118" i="1"/>
  <c r="BK118" i="1"/>
  <c r="BJ117" i="1"/>
  <c r="BK117" i="1"/>
  <c r="BJ116" i="1"/>
  <c r="BK116" i="1"/>
  <c r="BJ115" i="1"/>
  <c r="BK115" i="1"/>
  <c r="BJ113" i="1"/>
  <c r="BK113" i="1"/>
  <c r="BJ111" i="1"/>
  <c r="BK111" i="1"/>
  <c r="BJ109" i="1"/>
  <c r="BK109" i="1"/>
  <c r="BJ108" i="1"/>
  <c r="BK108" i="1"/>
  <c r="BJ107" i="1"/>
  <c r="BK107" i="1"/>
  <c r="BJ106" i="1"/>
  <c r="BK106" i="1"/>
  <c r="BJ105" i="1"/>
  <c r="BK105" i="1"/>
  <c r="BJ104" i="1"/>
  <c r="BK104" i="1"/>
  <c r="BJ103" i="1"/>
  <c r="BK103" i="1"/>
  <c r="BJ102" i="1"/>
  <c r="BK102" i="1"/>
  <c r="BJ101" i="1"/>
  <c r="BK101" i="1"/>
  <c r="BJ100" i="1"/>
  <c r="BK100" i="1"/>
  <c r="BJ99" i="1"/>
  <c r="BK99" i="1"/>
  <c r="BJ96" i="1"/>
  <c r="BK96" i="1"/>
  <c r="BJ95" i="1"/>
  <c r="BK95" i="1"/>
  <c r="BJ94" i="1"/>
  <c r="BK94" i="1"/>
  <c r="BJ93" i="1"/>
  <c r="BK93" i="1"/>
  <c r="BJ92" i="1"/>
  <c r="BK92" i="1"/>
  <c r="BJ91" i="1"/>
  <c r="BK91" i="1"/>
  <c r="BJ90" i="1"/>
  <c r="BK90" i="1"/>
  <c r="BJ89" i="1"/>
  <c r="BK89" i="1"/>
  <c r="BJ87" i="1"/>
  <c r="BK87" i="1"/>
  <c r="BJ88" i="1"/>
  <c r="BK88" i="1"/>
  <c r="BJ86" i="1"/>
  <c r="BK86" i="1"/>
  <c r="BJ85" i="1"/>
  <c r="BK85" i="1"/>
  <c r="BJ83" i="1"/>
  <c r="BK83" i="1"/>
  <c r="BJ82" i="1"/>
  <c r="BK82" i="1"/>
  <c r="BJ81" i="1"/>
  <c r="BK81" i="1"/>
  <c r="BJ79" i="1"/>
  <c r="BK79" i="1"/>
  <c r="BJ78" i="1"/>
  <c r="BK78" i="1"/>
  <c r="BJ77" i="1"/>
  <c r="BK77" i="1"/>
  <c r="BJ76" i="1"/>
  <c r="BK76" i="1"/>
  <c r="BJ75" i="1"/>
  <c r="BK75" i="1"/>
  <c r="BJ74" i="1"/>
  <c r="BK74" i="1"/>
  <c r="BJ73" i="1"/>
  <c r="BK73" i="1"/>
  <c r="BJ72" i="1"/>
  <c r="BK72" i="1"/>
  <c r="BJ71" i="1"/>
  <c r="BK71" i="1"/>
  <c r="BJ70" i="1"/>
  <c r="BK70" i="1"/>
  <c r="BJ68" i="1"/>
  <c r="BK68" i="1"/>
  <c r="BJ67" i="1"/>
  <c r="BK67" i="1"/>
  <c r="BJ66" i="1"/>
  <c r="BK66" i="1"/>
  <c r="BJ65" i="1"/>
  <c r="BK65" i="1"/>
  <c r="BJ64" i="1"/>
  <c r="BK64" i="1"/>
  <c r="BJ63" i="1"/>
  <c r="BK63" i="1"/>
  <c r="BJ62" i="1"/>
  <c r="BK62" i="1"/>
  <c r="BJ61" i="1"/>
  <c r="BK61" i="1"/>
  <c r="BJ60" i="1"/>
  <c r="BK60" i="1"/>
  <c r="BJ59" i="1"/>
  <c r="BK59" i="1"/>
  <c r="BJ58" i="1"/>
  <c r="BK58" i="1"/>
  <c r="BJ57" i="1"/>
  <c r="BK57" i="1"/>
  <c r="BJ56" i="1"/>
  <c r="BK56" i="1"/>
  <c r="BJ55" i="1"/>
  <c r="BK55" i="1"/>
  <c r="BJ53" i="1"/>
  <c r="BK53" i="1"/>
  <c r="BJ50" i="1"/>
  <c r="BK50" i="1"/>
  <c r="BJ49" i="1"/>
  <c r="BK49" i="1"/>
  <c r="BJ48" i="1"/>
  <c r="BK48" i="1"/>
  <c r="BJ46" i="1"/>
  <c r="BK46" i="1"/>
  <c r="BJ44" i="1"/>
  <c r="BK44" i="1"/>
  <c r="BJ43" i="1"/>
  <c r="BK43" i="1"/>
  <c r="BJ42" i="1"/>
  <c r="BK42" i="1"/>
  <c r="BJ41" i="1"/>
  <c r="BK41" i="1"/>
  <c r="BJ40" i="1"/>
  <c r="BK40" i="1"/>
  <c r="BJ39" i="1"/>
  <c r="BK39" i="1"/>
  <c r="BJ38" i="1"/>
  <c r="BK38" i="1"/>
  <c r="BJ37" i="1"/>
  <c r="BK37" i="1"/>
  <c r="BJ36" i="1"/>
  <c r="BJ35" i="1"/>
  <c r="BK35" i="1"/>
  <c r="BJ34" i="1"/>
  <c r="BJ33" i="1"/>
  <c r="BK33" i="1"/>
  <c r="BJ32" i="1"/>
  <c r="BK32" i="1"/>
  <c r="BJ31" i="1"/>
  <c r="BK31" i="1"/>
  <c r="BJ30" i="1"/>
  <c r="BK30" i="1"/>
  <c r="BJ29" i="1"/>
  <c r="BK29" i="1"/>
  <c r="BJ28" i="1"/>
  <c r="BK28" i="1"/>
  <c r="BJ26" i="1"/>
  <c r="BK26" i="1"/>
  <c r="BJ25" i="1"/>
  <c r="BK25" i="1"/>
  <c r="BJ24" i="1"/>
  <c r="BK24" i="1"/>
  <c r="BJ22" i="1"/>
  <c r="BK22" i="1"/>
  <c r="BJ19" i="1"/>
  <c r="BK19" i="1"/>
  <c r="AI916" i="1" l="1"/>
  <c r="CG916" i="1" s="1"/>
  <c r="AI46" i="1" l="1"/>
  <c r="CG46" i="1" s="1"/>
  <c r="AI920" i="1" l="1"/>
  <c r="CG920" i="1" s="1"/>
  <c r="AI919" i="1"/>
  <c r="CG919" i="1" s="1"/>
  <c r="AI917" i="1"/>
  <c r="CG917" i="1" s="1"/>
  <c r="AI913" i="1"/>
  <c r="CG913" i="1" s="1"/>
  <c r="AI908" i="1"/>
  <c r="CG908" i="1" s="1"/>
  <c r="AI905" i="1"/>
  <c r="CG905" i="1" s="1"/>
  <c r="AI898" i="1"/>
  <c r="CG898" i="1" s="1"/>
  <c r="AI897" i="1"/>
  <c r="CG897" i="1" s="1"/>
  <c r="AI895" i="1"/>
  <c r="CG895" i="1" s="1"/>
  <c r="AI891" i="1"/>
  <c r="CG891" i="1" s="1"/>
  <c r="AI890" i="1"/>
  <c r="CG890" i="1" s="1"/>
  <c r="AI882" i="1"/>
  <c r="CG882" i="1" s="1"/>
  <c r="AI881" i="1"/>
  <c r="CG881" i="1" s="1"/>
  <c r="AI879" i="1"/>
  <c r="CG879" i="1" s="1"/>
  <c r="AI876" i="1"/>
  <c r="CG876" i="1" s="1"/>
  <c r="AI875" i="1"/>
  <c r="CG875" i="1" s="1"/>
  <c r="AI871" i="1"/>
  <c r="CG871" i="1" s="1"/>
  <c r="AI870" i="1"/>
  <c r="CG870" i="1" s="1"/>
  <c r="AI869" i="1"/>
  <c r="CG869" i="1" s="1"/>
  <c r="AI865" i="1"/>
  <c r="CG865" i="1" s="1"/>
  <c r="AI864" i="1"/>
  <c r="CG864" i="1" s="1"/>
  <c r="AI863" i="1"/>
  <c r="CG863" i="1" s="1"/>
  <c r="AI862" i="1"/>
  <c r="CG862" i="1" s="1"/>
  <c r="AI861" i="1"/>
  <c r="CG861" i="1" s="1"/>
  <c r="AI860" i="1"/>
  <c r="CG860" i="1" s="1"/>
  <c r="AI859" i="1"/>
  <c r="CG859" i="1" s="1"/>
  <c r="AI503" i="1"/>
  <c r="CG503" i="1" s="1"/>
  <c r="AI858" i="1"/>
  <c r="CG858" i="1" s="1"/>
  <c r="AI857" i="1"/>
  <c r="CG857" i="1" s="1"/>
  <c r="AI854" i="1"/>
  <c r="CG854" i="1" s="1"/>
  <c r="AI845" i="1"/>
  <c r="CG845" i="1" s="1"/>
  <c r="AI844" i="1"/>
  <c r="CG844" i="1" s="1"/>
  <c r="AI839" i="1"/>
  <c r="CG839" i="1" s="1"/>
  <c r="AI835" i="1"/>
  <c r="CG835" i="1" s="1"/>
  <c r="AI834" i="1"/>
  <c r="CG834" i="1" s="1"/>
  <c r="AI833" i="1"/>
  <c r="CG833" i="1" s="1"/>
  <c r="AI832" i="1"/>
  <c r="CG832" i="1" s="1"/>
  <c r="AI831" i="1"/>
  <c r="CG831" i="1" s="1"/>
  <c r="AI830" i="1"/>
  <c r="CG830" i="1" s="1"/>
  <c r="AI829" i="1"/>
  <c r="CG829" i="1" s="1"/>
  <c r="AI828" i="1"/>
  <c r="CG828" i="1" s="1"/>
  <c r="AI827" i="1"/>
  <c r="CG827" i="1" s="1"/>
  <c r="AI826" i="1"/>
  <c r="CG826" i="1" s="1"/>
  <c r="AI825" i="1"/>
  <c r="CG825" i="1" s="1"/>
  <c r="AI823" i="1"/>
  <c r="CG823" i="1" s="1"/>
  <c r="AI821" i="1"/>
  <c r="CG821" i="1" s="1"/>
  <c r="AI815" i="1"/>
  <c r="CG815" i="1" s="1"/>
  <c r="AI813" i="1"/>
  <c r="CG813" i="1" s="1"/>
  <c r="AI811" i="1"/>
  <c r="CG811" i="1" s="1"/>
  <c r="AI810" i="1"/>
  <c r="CG810" i="1" s="1"/>
  <c r="AI809" i="1"/>
  <c r="CG809" i="1" s="1"/>
  <c r="AI800" i="1"/>
  <c r="CG800" i="1" s="1"/>
  <c r="AI799" i="1"/>
  <c r="CG799" i="1" s="1"/>
  <c r="AI781" i="1"/>
  <c r="CG781" i="1" s="1"/>
  <c r="AI778" i="1"/>
  <c r="CG778" i="1" s="1"/>
  <c r="AI777" i="1"/>
  <c r="CG777" i="1" s="1"/>
  <c r="AI776" i="1"/>
  <c r="CG776" i="1" s="1"/>
  <c r="AI775" i="1"/>
  <c r="CG775" i="1" s="1"/>
  <c r="AI773" i="1"/>
  <c r="CG773" i="1" s="1"/>
  <c r="AI771" i="1"/>
  <c r="CG771" i="1" s="1"/>
  <c r="AI770" i="1"/>
  <c r="CG770" i="1" s="1"/>
  <c r="AI769" i="1"/>
  <c r="CG769" i="1" s="1"/>
  <c r="AI768" i="1"/>
  <c r="CG768" i="1" s="1"/>
  <c r="AI764" i="1"/>
  <c r="CG764" i="1" s="1"/>
  <c r="AI740" i="1"/>
  <c r="CG740" i="1" s="1"/>
  <c r="AI738" i="1"/>
  <c r="CG738" i="1" s="1"/>
  <c r="AI737" i="1"/>
  <c r="CG737" i="1" s="1"/>
  <c r="AI736" i="1"/>
  <c r="CG736" i="1" s="1"/>
  <c r="AI735" i="1"/>
  <c r="CG735" i="1" s="1"/>
  <c r="CG734" i="1"/>
  <c r="AI733" i="1"/>
  <c r="CG733" i="1" s="1"/>
  <c r="AI724" i="1"/>
  <c r="CG724" i="1" s="1"/>
  <c r="AI719" i="1"/>
  <c r="CG719" i="1" s="1"/>
  <c r="AI718" i="1"/>
  <c r="CG718" i="1" s="1"/>
  <c r="AI713" i="1"/>
  <c r="CG713" i="1" s="1"/>
  <c r="AI706" i="1"/>
  <c r="CG706" i="1" s="1"/>
  <c r="AI698" i="1"/>
  <c r="CG698" i="1" s="1"/>
  <c r="AI696" i="1"/>
  <c r="CG696" i="1" s="1"/>
  <c r="AI695" i="1"/>
  <c r="CG695" i="1" s="1"/>
  <c r="AI694" i="1"/>
  <c r="CG694" i="1" s="1"/>
  <c r="AI692" i="1"/>
  <c r="CG692" i="1" s="1"/>
  <c r="AI691" i="1"/>
  <c r="CG691" i="1" s="1"/>
  <c r="AI689" i="1"/>
  <c r="CG689" i="1" s="1"/>
  <c r="AI688" i="1"/>
  <c r="CG688" i="1" s="1"/>
  <c r="AI684" i="1"/>
  <c r="CG684" i="1" s="1"/>
  <c r="AI683" i="1"/>
  <c r="CG683" i="1" s="1"/>
  <c r="AI682" i="1"/>
  <c r="CG682" i="1" s="1"/>
  <c r="AI681" i="1"/>
  <c r="CG681" i="1" s="1"/>
  <c r="AI679" i="1"/>
  <c r="CG679" i="1" s="1"/>
  <c r="AI678" i="1"/>
  <c r="CG678" i="1" s="1"/>
  <c r="AI676" i="1"/>
  <c r="CG676" i="1" s="1"/>
  <c r="AI675" i="1"/>
  <c r="CG675" i="1" s="1"/>
  <c r="AI665" i="1"/>
  <c r="CG665" i="1" s="1"/>
  <c r="AI664" i="1"/>
  <c r="CG664" i="1" s="1"/>
  <c r="AI663" i="1"/>
  <c r="CG663" i="1" s="1"/>
  <c r="AI660" i="1"/>
  <c r="CG660" i="1" s="1"/>
  <c r="AI658" i="1"/>
  <c r="CG658" i="1" s="1"/>
  <c r="AI657" i="1"/>
  <c r="CG657" i="1" s="1"/>
  <c r="AI656" i="1"/>
  <c r="CG656" i="1" s="1"/>
  <c r="AI655" i="1"/>
  <c r="CG655" i="1" s="1"/>
  <c r="AI643" i="1"/>
  <c r="CG643" i="1" s="1"/>
  <c r="AI641" i="1"/>
  <c r="CG641" i="1" s="1"/>
  <c r="AI636" i="1"/>
  <c r="CG636" i="1" s="1"/>
  <c r="AI633" i="1"/>
  <c r="CG633" i="1" s="1"/>
  <c r="AI631" i="1"/>
  <c r="CG631" i="1" s="1"/>
  <c r="AI629" i="1"/>
  <c r="CG629" i="1" s="1"/>
  <c r="AI628" i="1"/>
  <c r="CG628" i="1" s="1"/>
  <c r="AI626" i="1"/>
  <c r="CG626" i="1" s="1"/>
  <c r="AI625" i="1"/>
  <c r="CG625" i="1" s="1"/>
  <c r="AI624" i="1"/>
  <c r="CG624" i="1" s="1"/>
  <c r="AI622" i="1"/>
  <c r="CG622" i="1" s="1"/>
  <c r="AI620" i="1"/>
  <c r="CG620" i="1" s="1"/>
  <c r="AI619" i="1"/>
  <c r="CG619" i="1" s="1"/>
  <c r="AI618" i="1"/>
  <c r="CG618" i="1" s="1"/>
  <c r="AI609" i="1"/>
  <c r="CG609" i="1" s="1"/>
  <c r="AI603" i="1"/>
  <c r="CG603" i="1" s="1"/>
  <c r="AI602" i="1"/>
  <c r="CG602" i="1" s="1"/>
  <c r="AI588" i="1"/>
  <c r="CG588" i="1" s="1"/>
  <c r="AI585" i="1"/>
  <c r="CG585" i="1" s="1"/>
  <c r="AI579" i="1"/>
  <c r="CG579" i="1" s="1"/>
  <c r="AI575" i="1"/>
  <c r="CG575" i="1" s="1"/>
  <c r="AI572" i="1"/>
  <c r="CG572" i="1" s="1"/>
  <c r="AI563" i="1"/>
  <c r="CG563" i="1" s="1"/>
  <c r="AI559" i="1"/>
  <c r="CG559" i="1" s="1"/>
  <c r="AI558" i="1"/>
  <c r="CG558" i="1" s="1"/>
  <c r="AI557" i="1"/>
  <c r="CG557" i="1" s="1"/>
  <c r="AI556" i="1"/>
  <c r="CG556" i="1" s="1"/>
  <c r="AI555" i="1"/>
  <c r="CG555" i="1" s="1"/>
  <c r="AI554" i="1"/>
  <c r="CG554" i="1" s="1"/>
  <c r="AI553" i="1"/>
  <c r="CG553" i="1" s="1"/>
  <c r="AI552" i="1"/>
  <c r="CG552" i="1" s="1"/>
  <c r="AI551" i="1"/>
  <c r="CG551" i="1" s="1"/>
  <c r="AI550" i="1"/>
  <c r="CG550" i="1" s="1"/>
  <c r="AI549" i="1"/>
  <c r="CG549" i="1" s="1"/>
  <c r="AI546" i="1"/>
  <c r="CG546" i="1" s="1"/>
  <c r="AI545" i="1"/>
  <c r="CG545" i="1" s="1"/>
  <c r="AI543" i="1"/>
  <c r="CG543" i="1" s="1"/>
  <c r="AI542" i="1"/>
  <c r="CG542" i="1" s="1"/>
  <c r="AI541" i="1"/>
  <c r="CG541" i="1" s="1"/>
  <c r="AI539" i="1"/>
  <c r="CG539" i="1" s="1"/>
  <c r="AI538" i="1"/>
  <c r="CG538" i="1" s="1"/>
  <c r="AI537" i="1"/>
  <c r="CG537" i="1" s="1"/>
  <c r="AI536" i="1"/>
  <c r="CG536" i="1" s="1"/>
  <c r="AI535" i="1"/>
  <c r="CG535" i="1" s="1"/>
  <c r="AI534" i="1"/>
  <c r="CG534" i="1" s="1"/>
  <c r="AI531" i="1"/>
  <c r="CG531" i="1" s="1"/>
  <c r="AI527" i="1"/>
  <c r="CG527" i="1" s="1"/>
  <c r="AI526" i="1"/>
  <c r="CG526" i="1" s="1"/>
  <c r="AI525" i="1"/>
  <c r="CG525" i="1" s="1"/>
  <c r="AI523" i="1"/>
  <c r="CG523" i="1" s="1"/>
  <c r="AI522" i="1"/>
  <c r="CG522" i="1" s="1"/>
  <c r="AI521" i="1"/>
  <c r="CG521" i="1" s="1"/>
  <c r="AI520" i="1"/>
  <c r="CG520" i="1" s="1"/>
  <c r="AI519" i="1"/>
  <c r="CG519" i="1" s="1"/>
  <c r="AI518" i="1"/>
  <c r="CG518" i="1" s="1"/>
  <c r="AI510" i="1"/>
  <c r="CG510" i="1" s="1"/>
  <c r="AI509" i="1"/>
  <c r="CG509" i="1" s="1"/>
  <c r="AI508" i="1"/>
  <c r="CG508" i="1" s="1"/>
  <c r="AI506" i="1"/>
  <c r="CG506" i="1" s="1"/>
  <c r="AI505" i="1"/>
  <c r="CG505" i="1" s="1"/>
  <c r="AI501" i="1"/>
  <c r="CG501" i="1" s="1"/>
  <c r="AI500" i="1"/>
  <c r="CG500" i="1" s="1"/>
  <c r="AI491" i="1"/>
  <c r="CG491" i="1" s="1"/>
  <c r="AI489" i="1"/>
  <c r="CG489" i="1" s="1"/>
  <c r="AI487" i="1"/>
  <c r="CG487" i="1" s="1"/>
  <c r="AI484" i="1"/>
  <c r="CG484" i="1" s="1"/>
  <c r="AI407" i="1"/>
  <c r="CG407" i="1" s="1"/>
  <c r="AI406" i="1"/>
  <c r="CG406" i="1" s="1"/>
  <c r="AI408" i="1"/>
  <c r="CG408" i="1" s="1"/>
  <c r="AI474" i="1"/>
  <c r="CG474" i="1" s="1"/>
  <c r="AI472" i="1"/>
  <c r="CG472" i="1" s="1"/>
  <c r="AI560" i="1"/>
  <c r="CG560" i="1" s="1"/>
  <c r="AI469" i="1"/>
  <c r="CG469" i="1" s="1"/>
  <c r="AI468" i="1"/>
  <c r="CG468" i="1" s="1"/>
  <c r="AI466" i="1"/>
  <c r="CG466" i="1" s="1"/>
  <c r="AI462" i="1"/>
  <c r="CG462" i="1" s="1"/>
  <c r="AI461" i="1"/>
  <c r="CG461" i="1" s="1"/>
  <c r="AI460" i="1"/>
  <c r="CG460" i="1" s="1"/>
  <c r="AI459" i="1"/>
  <c r="CG459" i="1" s="1"/>
  <c r="AI458" i="1"/>
  <c r="CG458" i="1" s="1"/>
  <c r="AI457" i="1"/>
  <c r="CG457" i="1" s="1"/>
  <c r="AI456" i="1"/>
  <c r="CG456" i="1" s="1"/>
  <c r="AI455" i="1"/>
  <c r="CG455" i="1" s="1"/>
  <c r="AI454" i="1"/>
  <c r="CG454" i="1" s="1"/>
  <c r="AI451" i="1"/>
  <c r="CG451" i="1" s="1"/>
  <c r="AI450" i="1"/>
  <c r="CG450" i="1" s="1"/>
  <c r="AI447" i="1"/>
  <c r="CG447" i="1" s="1"/>
  <c r="AI446" i="1"/>
  <c r="CG446" i="1" s="1"/>
  <c r="AI443" i="1"/>
  <c r="CG443" i="1" s="1"/>
  <c r="AI436" i="1"/>
  <c r="CG436" i="1" s="1"/>
  <c r="AI435" i="1"/>
  <c r="CG435" i="1" s="1"/>
  <c r="AI433" i="1"/>
  <c r="CG433" i="1" s="1"/>
  <c r="AI432" i="1"/>
  <c r="CG432" i="1" s="1"/>
  <c r="AI429" i="1"/>
  <c r="CG429" i="1" s="1"/>
  <c r="AI428" i="1"/>
  <c r="CG428" i="1" s="1"/>
  <c r="AI427" i="1"/>
  <c r="CG427" i="1" s="1"/>
  <c r="AI426" i="1"/>
  <c r="CG426" i="1" s="1"/>
  <c r="AI425" i="1"/>
  <c r="CG425" i="1" s="1"/>
  <c r="AI418" i="1"/>
  <c r="CG418" i="1" s="1"/>
  <c r="AI417" i="1"/>
  <c r="CG417" i="1" s="1"/>
  <c r="AI416" i="1"/>
  <c r="CG416" i="1" s="1"/>
  <c r="AI414" i="1"/>
  <c r="CG414" i="1" s="1"/>
  <c r="AI405" i="1"/>
  <c r="CG405" i="1" s="1"/>
  <c r="AI404" i="1"/>
  <c r="CG404" i="1" s="1"/>
  <c r="AI402" i="1"/>
  <c r="CG402" i="1" s="1"/>
  <c r="AI400" i="1"/>
  <c r="CG400" i="1" s="1"/>
  <c r="AI399" i="1"/>
  <c r="CG399" i="1" s="1"/>
  <c r="AI398" i="1"/>
  <c r="CG398" i="1" s="1"/>
  <c r="AI394" i="1"/>
  <c r="CG394" i="1" s="1"/>
  <c r="AI392" i="1"/>
  <c r="CG392" i="1" s="1"/>
  <c r="AI391" i="1"/>
  <c r="CG391" i="1" s="1"/>
  <c r="AI389" i="1"/>
  <c r="CG389" i="1" s="1"/>
  <c r="AI388" i="1"/>
  <c r="CG388" i="1" s="1"/>
  <c r="AI387" i="1"/>
  <c r="CG387" i="1" s="1"/>
  <c r="AI385" i="1"/>
  <c r="CG385" i="1" s="1"/>
  <c r="AI381" i="1"/>
  <c r="CG381" i="1" s="1"/>
  <c r="AI380" i="1"/>
  <c r="CG380" i="1" s="1"/>
  <c r="AI377" i="1"/>
  <c r="CG377" i="1" s="1"/>
  <c r="AI376" i="1"/>
  <c r="CG376" i="1" s="1"/>
  <c r="AI369" i="1"/>
  <c r="CG369" i="1" s="1"/>
  <c r="AI368" i="1"/>
  <c r="CG368" i="1" s="1"/>
  <c r="AI367" i="1"/>
  <c r="CG367" i="1" s="1"/>
  <c r="AI365" i="1"/>
  <c r="CG365" i="1" s="1"/>
  <c r="AI363" i="1"/>
  <c r="CG363" i="1" s="1"/>
  <c r="AI362" i="1"/>
  <c r="CG362" i="1" s="1"/>
  <c r="AI361" i="1"/>
  <c r="CG361" i="1" s="1"/>
  <c r="AI360" i="1"/>
  <c r="CG360" i="1" s="1"/>
  <c r="AI359" i="1"/>
  <c r="CG359" i="1" s="1"/>
  <c r="AI357" i="1"/>
  <c r="CG357" i="1" s="1"/>
  <c r="AI345" i="1"/>
  <c r="CG345" i="1" s="1"/>
  <c r="AI343" i="1"/>
  <c r="CG343" i="1" s="1"/>
  <c r="AI340" i="1"/>
  <c r="CG340" i="1" s="1"/>
  <c r="AI332" i="1"/>
  <c r="CG332" i="1" s="1"/>
  <c r="AI330" i="1"/>
  <c r="CG330" i="1" s="1"/>
  <c r="AI326" i="1"/>
  <c r="CG326" i="1" s="1"/>
  <c r="AI325" i="1"/>
  <c r="CG325" i="1" s="1"/>
  <c r="AI319" i="1"/>
  <c r="CG319" i="1" s="1"/>
  <c r="AI317" i="1"/>
  <c r="CG317" i="1" s="1"/>
  <c r="AI315" i="1"/>
  <c r="CG315" i="1" s="1"/>
  <c r="AI312" i="1"/>
  <c r="CG312" i="1" s="1"/>
  <c r="AI311" i="1"/>
  <c r="CG311" i="1" s="1"/>
  <c r="AI310" i="1"/>
  <c r="CG310" i="1" s="1"/>
  <c r="AI309" i="1"/>
  <c r="CG309" i="1" s="1"/>
  <c r="AI308" i="1"/>
  <c r="CG308" i="1" s="1"/>
  <c r="AI307" i="1"/>
  <c r="CG307" i="1" s="1"/>
  <c r="AI303" i="1"/>
  <c r="CG303" i="1" s="1"/>
  <c r="AI302" i="1"/>
  <c r="CG302" i="1" s="1"/>
  <c r="AI300" i="1"/>
  <c r="CG300" i="1" s="1"/>
  <c r="AI299" i="1"/>
  <c r="CG299" i="1" s="1"/>
  <c r="AI298" i="1"/>
  <c r="CG298" i="1" s="1"/>
  <c r="AI297" i="1"/>
  <c r="CG297" i="1" s="1"/>
  <c r="AI295" i="1"/>
  <c r="CG295" i="1" s="1"/>
  <c r="AI286" i="1"/>
  <c r="CG286" i="1" s="1"/>
  <c r="AI281" i="1"/>
  <c r="CG281" i="1" s="1"/>
  <c r="AI273" i="1"/>
  <c r="CG273" i="1" s="1"/>
  <c r="AI272" i="1"/>
  <c r="CG272" i="1" s="1"/>
  <c r="AI267" i="1"/>
  <c r="CG267" i="1" s="1"/>
  <c r="AI265" i="1"/>
  <c r="CG265" i="1" s="1"/>
  <c r="AI263" i="1"/>
  <c r="CG263" i="1" s="1"/>
  <c r="AI262" i="1"/>
  <c r="CG262" i="1" s="1"/>
  <c r="AI260" i="1"/>
  <c r="CG260" i="1" s="1"/>
  <c r="AI259" i="1"/>
  <c r="CG259" i="1" s="1"/>
  <c r="AI257" i="1"/>
  <c r="CG257" i="1" s="1"/>
  <c r="AI256" i="1"/>
  <c r="CG256" i="1" s="1"/>
  <c r="AI254" i="1"/>
  <c r="CG254" i="1" s="1"/>
  <c r="AI253" i="1"/>
  <c r="CG253" i="1" s="1"/>
  <c r="AI246" i="1"/>
  <c r="CG246" i="1" s="1"/>
  <c r="AI245" i="1"/>
  <c r="CG245" i="1" s="1"/>
  <c r="AI244" i="1"/>
  <c r="CG244" i="1" s="1"/>
  <c r="AI243" i="1"/>
  <c r="CG243" i="1" s="1"/>
  <c r="AI242" i="1"/>
  <c r="CG242" i="1" s="1"/>
  <c r="AI241" i="1"/>
  <c r="CG241" i="1" s="1"/>
  <c r="AI142" i="1"/>
  <c r="CG142" i="1" s="1"/>
  <c r="AI240" i="1"/>
  <c r="CG240" i="1" s="1"/>
  <c r="AI239" i="1"/>
  <c r="CG239" i="1" s="1"/>
  <c r="AI233" i="1"/>
  <c r="CG233" i="1" s="1"/>
  <c r="AI232" i="1"/>
  <c r="CG232" i="1" s="1"/>
  <c r="AI229" i="1"/>
  <c r="CG229" i="1" s="1"/>
  <c r="AI227" i="1"/>
  <c r="CG227" i="1" s="1"/>
  <c r="AI226" i="1"/>
  <c r="CG226" i="1" s="1"/>
  <c r="AI225" i="1"/>
  <c r="CG225" i="1" s="1"/>
  <c r="AI224" i="1"/>
  <c r="CG224" i="1" s="1"/>
  <c r="AI221" i="1"/>
  <c r="CG221" i="1" s="1"/>
  <c r="AI219" i="1"/>
  <c r="CG219" i="1" s="1"/>
  <c r="AI218" i="1"/>
  <c r="CG218" i="1" s="1"/>
  <c r="AI215" i="1"/>
  <c r="CG215" i="1" s="1"/>
  <c r="AI212" i="1"/>
  <c r="CG212" i="1" s="1"/>
  <c r="AI211" i="1"/>
  <c r="CG211" i="1" s="1"/>
  <c r="AI210" i="1"/>
  <c r="CG210" i="1" s="1"/>
  <c r="AI208" i="1"/>
  <c r="CG208" i="1" s="1"/>
  <c r="AI206" i="1"/>
  <c r="CG206" i="1" s="1"/>
  <c r="AI195" i="1"/>
  <c r="CG195" i="1" s="1"/>
  <c r="AI194" i="1"/>
  <c r="CG194" i="1" s="1"/>
  <c r="AI193" i="1"/>
  <c r="CG193" i="1" s="1"/>
  <c r="AI192" i="1"/>
  <c r="CG192" i="1" s="1"/>
  <c r="AI191" i="1"/>
  <c r="CG191" i="1" s="1"/>
  <c r="AI190" i="1"/>
  <c r="CG190" i="1" s="1"/>
  <c r="AI185" i="1"/>
  <c r="CG185" i="1" s="1"/>
  <c r="AI184" i="1"/>
  <c r="CG184" i="1" s="1"/>
  <c r="AI183" i="1"/>
  <c r="CG183" i="1" s="1"/>
  <c r="AI172" i="1"/>
  <c r="CG172" i="1" s="1"/>
  <c r="AI171" i="1"/>
  <c r="CG171" i="1" s="1"/>
  <c r="AI170" i="1"/>
  <c r="CG170" i="1" s="1"/>
  <c r="AI169" i="1"/>
  <c r="CG169" i="1" s="1"/>
  <c r="AI168" i="1"/>
  <c r="CG168" i="1" s="1"/>
  <c r="AI167" i="1"/>
  <c r="CG167" i="1" s="1"/>
  <c r="AI165" i="1"/>
  <c r="CG165" i="1" s="1"/>
  <c r="AI162" i="1"/>
  <c r="CG162" i="1" s="1"/>
  <c r="AI161" i="1"/>
  <c r="CG161" i="1" s="1"/>
  <c r="AI159" i="1"/>
  <c r="CG159" i="1" s="1"/>
  <c r="AI158" i="1"/>
  <c r="CG158" i="1" s="1"/>
  <c r="AI157" i="1"/>
  <c r="CG157" i="1" s="1"/>
  <c r="AI154" i="1"/>
  <c r="CG154" i="1" s="1"/>
  <c r="AI153" i="1"/>
  <c r="CG153" i="1" s="1"/>
  <c r="AI152" i="1"/>
  <c r="CG152" i="1" s="1"/>
  <c r="AI151" i="1"/>
  <c r="CG151" i="1" s="1"/>
  <c r="AI150" i="1"/>
  <c r="CG150" i="1" s="1"/>
  <c r="AI149" i="1"/>
  <c r="CG149" i="1" s="1"/>
  <c r="AI147" i="1"/>
  <c r="CG147" i="1" s="1"/>
  <c r="AI145" i="1"/>
  <c r="CG145" i="1" s="1"/>
  <c r="AI141" i="1"/>
  <c r="CG141" i="1" s="1"/>
  <c r="AI140" i="1"/>
  <c r="CG140" i="1" s="1"/>
  <c r="AI137" i="1"/>
  <c r="CG137" i="1" s="1"/>
  <c r="AI136" i="1"/>
  <c r="CG136" i="1" s="1"/>
  <c r="AI135" i="1"/>
  <c r="CG135" i="1" s="1"/>
  <c r="AI134" i="1"/>
  <c r="CG134" i="1" s="1"/>
  <c r="AI132" i="1"/>
  <c r="CG132" i="1" s="1"/>
  <c r="AI131" i="1"/>
  <c r="CG131" i="1" s="1"/>
  <c r="AI130" i="1"/>
  <c r="CG130" i="1" s="1"/>
  <c r="AI127" i="1"/>
  <c r="CG127" i="1" s="1"/>
  <c r="AI442" i="1"/>
  <c r="CG442" i="1" s="1"/>
  <c r="AI121" i="1"/>
  <c r="CG121" i="1" s="1"/>
  <c r="AI118" i="1"/>
  <c r="CG118" i="1" s="1"/>
  <c r="AI117" i="1"/>
  <c r="CG117" i="1" s="1"/>
  <c r="AI116" i="1"/>
  <c r="CG116" i="1" s="1"/>
  <c r="AI115" i="1"/>
  <c r="CG115" i="1" s="1"/>
  <c r="AI107" i="1"/>
  <c r="CG107" i="1" s="1"/>
  <c r="AI106" i="1"/>
  <c r="CG106" i="1" s="1"/>
  <c r="AI104" i="1"/>
  <c r="CG104" i="1" s="1"/>
  <c r="AI103" i="1"/>
  <c r="CG103" i="1" s="1"/>
  <c r="AI102" i="1"/>
  <c r="CG102" i="1" s="1"/>
  <c r="AI94" i="1"/>
  <c r="CG94" i="1" s="1"/>
  <c r="AI93" i="1"/>
  <c r="CG93" i="1" s="1"/>
  <c r="AI92" i="1"/>
  <c r="CG92" i="1" s="1"/>
  <c r="AI90" i="1"/>
  <c r="CG90" i="1" s="1"/>
  <c r="AI89" i="1"/>
  <c r="CG89" i="1" s="1"/>
  <c r="AI88" i="1"/>
  <c r="CG88" i="1" s="1"/>
  <c r="AI82" i="1"/>
  <c r="CG82" i="1" s="1"/>
  <c r="AI81" i="1"/>
  <c r="CG81" i="1" s="1"/>
  <c r="AI79" i="1"/>
  <c r="CG79" i="1" s="1"/>
  <c r="AI77" i="1"/>
  <c r="CG77" i="1" s="1"/>
  <c r="AI76" i="1"/>
  <c r="CG76" i="1" s="1"/>
  <c r="AI75" i="1"/>
  <c r="CG75" i="1" s="1"/>
  <c r="AI74" i="1"/>
  <c r="CG74" i="1" s="1"/>
  <c r="AI72" i="1"/>
  <c r="CG72" i="1" s="1"/>
  <c r="AI70" i="1"/>
  <c r="CG70" i="1" s="1"/>
  <c r="AI68" i="1"/>
  <c r="CG68" i="1" s="1"/>
  <c r="AI67" i="1"/>
  <c r="CG67" i="1" s="1"/>
  <c r="AI66" i="1"/>
  <c r="CG66" i="1" s="1"/>
  <c r="AI64" i="1"/>
  <c r="CG64" i="1" s="1"/>
  <c r="AI62" i="1"/>
  <c r="CG62" i="1" s="1"/>
  <c r="AI61" i="1"/>
  <c r="CG61" i="1" s="1"/>
  <c r="AI58" i="1"/>
  <c r="CG58" i="1" s="1"/>
  <c r="AI56" i="1"/>
  <c r="CG56" i="1" s="1"/>
  <c r="AI49" i="1"/>
  <c r="CG49" i="1" s="1"/>
  <c r="AI43" i="1"/>
  <c r="CG43" i="1" s="1"/>
  <c r="AI42" i="1"/>
  <c r="CG42" i="1" s="1"/>
  <c r="AI40" i="1"/>
  <c r="CG40" i="1" s="1"/>
  <c r="AI38" i="1"/>
  <c r="CG38" i="1" s="1"/>
  <c r="AI37" i="1"/>
  <c r="CG37" i="1" s="1"/>
  <c r="CG35" i="1"/>
  <c r="C13" i="1" l="1"/>
  <c r="AJ922" i="1"/>
  <c r="CH922" i="1" s="1"/>
  <c r="AJ909" i="1"/>
  <c r="CH909" i="1" s="1"/>
  <c r="AJ868" i="1"/>
  <c r="CH868" i="1" s="1"/>
  <c r="AJ842" i="1"/>
  <c r="AJ794" i="1"/>
  <c r="CH794" i="1" s="1"/>
  <c r="AJ708" i="1"/>
  <c r="CH708" i="1" s="1"/>
  <c r="AJ686" i="1"/>
  <c r="CH686" i="1" s="1"/>
  <c r="AJ662" i="1"/>
  <c r="CH662" i="1" s="1"/>
  <c r="AJ592" i="1"/>
  <c r="CH592" i="1" s="1"/>
  <c r="AJ571" i="1"/>
  <c r="CH571" i="1" s="1"/>
  <c r="AJ524" i="1"/>
  <c r="CH524" i="1" s="1"/>
  <c r="AJ497" i="1"/>
  <c r="AJ493" i="1"/>
  <c r="CH493" i="1" s="1"/>
  <c r="AJ441" i="1"/>
  <c r="AJ372" i="1"/>
  <c r="CH372" i="1" s="1"/>
  <c r="AJ339" i="1"/>
  <c r="CH339" i="1" s="1"/>
  <c r="AJ336" i="1"/>
  <c r="AJ324" i="1"/>
  <c r="CH324" i="1" s="1"/>
  <c r="AJ322" i="1"/>
  <c r="CH322" i="1" s="1"/>
  <c r="AJ313" i="1"/>
  <c r="CH313" i="1" s="1"/>
  <c r="AJ306" i="1"/>
  <c r="AJ284" i="1"/>
  <c r="CH284" i="1" s="1"/>
  <c r="AJ269" i="1"/>
  <c r="CH269" i="1" s="1"/>
  <c r="AJ252" i="1"/>
  <c r="CH252" i="1" s="1"/>
  <c r="AJ231" i="1"/>
  <c r="AJ213" i="1"/>
  <c r="CH213" i="1" s="1"/>
  <c r="AJ209" i="1"/>
  <c r="CH209" i="1" s="1"/>
  <c r="AJ148" i="1"/>
  <c r="CH148" i="1" s="1"/>
  <c r="AJ125" i="1"/>
  <c r="CH125" i="1" s="1"/>
  <c r="AJ96" i="1"/>
  <c r="CH96" i="1" s="1"/>
  <c r="AJ57" i="1"/>
  <c r="CH57" i="1" s="1"/>
  <c r="AJ44" i="1"/>
  <c r="CH44" i="1" s="1"/>
  <c r="AJ31" i="1"/>
  <c r="CH31" i="1" s="1"/>
  <c r="BU263" i="1" l="1"/>
  <c r="BQ263" i="1"/>
  <c r="BH263" i="1" s="1"/>
  <c r="BG263" i="1" s="1"/>
  <c r="BU627" i="1"/>
  <c r="BQ627" i="1"/>
  <c r="BQ635" i="1"/>
  <c r="BU635" i="1"/>
  <c r="BU21" i="1"/>
  <c r="BQ21" i="1"/>
  <c r="BQ623" i="1"/>
  <c r="BU921" i="1"/>
  <c r="BQ438" i="1"/>
  <c r="BU888" i="1"/>
  <c r="BU275" i="1"/>
  <c r="BU915" i="1"/>
  <c r="BQ855" i="1"/>
  <c r="BU758" i="1"/>
  <c r="BU787" i="1"/>
  <c r="BQ824" i="1"/>
  <c r="BQ785" i="1"/>
  <c r="BQ751" i="1"/>
  <c r="BQ903" i="1"/>
  <c r="BU817" i="1"/>
  <c r="BU589" i="1"/>
  <c r="BU547" i="1"/>
  <c r="BU488" i="1"/>
  <c r="BU465" i="1"/>
  <c r="BQ449" i="1"/>
  <c r="BQ606" i="1"/>
  <c r="BQ578" i="1"/>
  <c r="BQ533" i="1"/>
  <c r="BQ485" i="1"/>
  <c r="BU597" i="1"/>
  <c r="BU439" i="1"/>
  <c r="BQ413" i="1"/>
  <c r="BQ337" i="1"/>
  <c r="BQ291" i="1"/>
  <c r="BQ230" i="1"/>
  <c r="BU424" i="1"/>
  <c r="BQ352" i="1"/>
  <c r="BQ722" i="1"/>
  <c r="BU568" i="1"/>
  <c r="BU479" i="1"/>
  <c r="BU410" i="1"/>
  <c r="BU341" i="1"/>
  <c r="BU282" i="1"/>
  <c r="BU201" i="1"/>
  <c r="BU515" i="1"/>
  <c r="BU382" i="1"/>
  <c r="BQ133" i="1"/>
  <c r="BQ700" i="1"/>
  <c r="BU247" i="1"/>
  <c r="BU45" i="1"/>
  <c r="BU129" i="1"/>
  <c r="BU80" i="1"/>
  <c r="BU18" i="1"/>
  <c r="BU110" i="1"/>
  <c r="BU114" i="1"/>
  <c r="BQ45" i="1"/>
  <c r="BU126" i="1"/>
  <c r="BU449" i="1"/>
  <c r="BU268" i="1"/>
  <c r="BU133" i="1"/>
  <c r="BU188" i="1"/>
  <c r="BQ18" i="1"/>
  <c r="BU17" i="1"/>
  <c r="BQ188" i="1"/>
  <c r="BQ346" i="1"/>
  <c r="BU434" i="1"/>
  <c r="BU485" i="1"/>
  <c r="BQ597" i="1"/>
  <c r="BU642" i="1"/>
  <c r="BQ366" i="1"/>
  <c r="BQ479" i="1"/>
  <c r="BU318" i="1"/>
  <c r="BQ452" i="1"/>
  <c r="BQ515" i="1"/>
  <c r="BU610" i="1"/>
  <c r="BQ179" i="1"/>
  <c r="BQ411" i="1"/>
  <c r="BQ494" i="1"/>
  <c r="BU331" i="1"/>
  <c r="BU595" i="1"/>
  <c r="BQ687" i="1"/>
  <c r="BQ797" i="1"/>
  <c r="BQ465" i="1"/>
  <c r="BQ480" i="1"/>
  <c r="BU566" i="1"/>
  <c r="BQ610" i="1"/>
  <c r="BU703" i="1"/>
  <c r="BU632" i="1"/>
  <c r="BU714" i="1"/>
  <c r="BU824" i="1"/>
  <c r="BU623" i="1"/>
  <c r="BU802" i="1"/>
  <c r="BU702" i="1"/>
  <c r="BQ766" i="1"/>
  <c r="BU767" i="1"/>
  <c r="BU843" i="1"/>
  <c r="BU759" i="1"/>
  <c r="BQ787" i="1"/>
  <c r="BQ822" i="1"/>
  <c r="BU872" i="1"/>
  <c r="BQ758" i="1"/>
  <c r="BQ772" i="1"/>
  <c r="BU912" i="1"/>
  <c r="BQ364" i="1"/>
  <c r="BU851" i="1"/>
  <c r="BQ872" i="1"/>
  <c r="BQ892" i="1"/>
  <c r="BQ296" i="1"/>
  <c r="BQ851" i="1"/>
  <c r="BQ873" i="1"/>
  <c r="BQ783" i="1"/>
  <c r="BQ915" i="1"/>
  <c r="BQ51" i="1"/>
  <c r="BQ268" i="1"/>
  <c r="BQ593" i="1"/>
  <c r="BQ201" i="1"/>
  <c r="BU352" i="1"/>
  <c r="BU420" i="1"/>
  <c r="BQ143" i="1"/>
  <c r="BQ486" i="1"/>
  <c r="BU189" i="1"/>
  <c r="BU353" i="1"/>
  <c r="BQ711" i="1"/>
  <c r="BU772" i="1"/>
  <c r="BQ516" i="1"/>
  <c r="BU596" i="1"/>
  <c r="BU722" i="1"/>
  <c r="BQ674" i="1"/>
  <c r="BQ883" i="1"/>
  <c r="BU84" i="1"/>
  <c r="BQ907" i="1"/>
  <c r="BU296" i="1"/>
  <c r="BQ888" i="1"/>
  <c r="BQ114" i="1"/>
  <c r="BQ17" i="1"/>
  <c r="BH17" i="1" s="1"/>
  <c r="BQ97" i="1"/>
  <c r="BU138" i="1"/>
  <c r="BQ175" i="1"/>
  <c r="BU337" i="1"/>
  <c r="BU98" i="1"/>
  <c r="BU230" i="1"/>
  <c r="BQ20" i="1"/>
  <c r="BU143" i="1"/>
  <c r="BU166" i="1"/>
  <c r="BU176" i="1"/>
  <c r="BU486" i="1"/>
  <c r="BU578" i="1"/>
  <c r="BU646" i="1"/>
  <c r="BU173" i="1"/>
  <c r="BQ247" i="1"/>
  <c r="BU396" i="1"/>
  <c r="BU179" i="1"/>
  <c r="BU235" i="1"/>
  <c r="BQ375" i="1"/>
  <c r="BQ410" i="1"/>
  <c r="BQ434" i="1"/>
  <c r="BQ476" i="1"/>
  <c r="BQ612" i="1"/>
  <c r="BQ202" i="1"/>
  <c r="BU366" i="1"/>
  <c r="BQ331" i="1"/>
  <c r="BU533" i="1"/>
  <c r="BQ817" i="1"/>
  <c r="BU511" i="1"/>
  <c r="BQ589" i="1"/>
  <c r="BQ598" i="1"/>
  <c r="BU716" i="1"/>
  <c r="BQ646" i="1"/>
  <c r="BU693" i="1"/>
  <c r="BQ729" i="1"/>
  <c r="BU644" i="1"/>
  <c r="BU649" i="1"/>
  <c r="BQ716" i="1"/>
  <c r="BQ730" i="1"/>
  <c r="BU852" i="1"/>
  <c r="BU907" i="1"/>
  <c r="BQ759" i="1"/>
  <c r="BQ853" i="1"/>
  <c r="BU906" i="1"/>
  <c r="BU413" i="1"/>
  <c r="BQ177" i="1"/>
  <c r="BQ69" i="1"/>
  <c r="BU375" i="1"/>
  <c r="BU565" i="1"/>
  <c r="BQ614" i="1"/>
  <c r="BQ189" i="1"/>
  <c r="BQ424" i="1"/>
  <c r="BQ249" i="1"/>
  <c r="BQ565" i="1"/>
  <c r="BQ285" i="1"/>
  <c r="BQ568" i="1"/>
  <c r="BU494" i="1"/>
  <c r="BU452" i="1"/>
  <c r="BU725" i="1"/>
  <c r="BQ911" i="1"/>
  <c r="BU51" i="1"/>
  <c r="BQ23" i="1"/>
  <c r="BU175" i="1"/>
  <c r="BU395" i="1"/>
  <c r="BU27" i="1"/>
  <c r="BQ129" i="1"/>
  <c r="BQ395" i="1"/>
  <c r="BQ54" i="1"/>
  <c r="BQ166" i="1"/>
  <c r="BQ47" i="1"/>
  <c r="BQ52" i="1"/>
  <c r="BU291" i="1"/>
  <c r="BQ582" i="1"/>
  <c r="BU476" i="1"/>
  <c r="BQ490" i="1"/>
  <c r="BU582" i="1"/>
  <c r="BU785" i="1"/>
  <c r="BU280" i="1"/>
  <c r="BQ595" i="1"/>
  <c r="BQ282" i="1"/>
  <c r="BQ341" i="1"/>
  <c r="BQ393" i="1"/>
  <c r="BQ544" i="1"/>
  <c r="BU606" i="1"/>
  <c r="BQ642" i="1"/>
  <c r="BQ382" i="1"/>
  <c r="BQ176" i="1"/>
  <c r="BQ467" i="1"/>
  <c r="BU544" i="1"/>
  <c r="BQ644" i="1"/>
  <c r="BQ439" i="1"/>
  <c r="BU477" i="1"/>
  <c r="BQ547" i="1"/>
  <c r="BQ576" i="1"/>
  <c r="BU630" i="1"/>
  <c r="BU671" i="1"/>
  <c r="BU729" i="1"/>
  <c r="BU687" i="1"/>
  <c r="BQ703" i="1"/>
  <c r="BQ720" i="1"/>
  <c r="BU700" i="1"/>
  <c r="BQ697" i="1"/>
  <c r="BQ709" i="1"/>
  <c r="BU783" i="1"/>
  <c r="BQ912" i="1"/>
  <c r="BU807" i="1"/>
  <c r="BQ921" i="1"/>
  <c r="BU69" i="1"/>
  <c r="BU886" i="1"/>
  <c r="BU855" i="1"/>
  <c r="BQ275" i="1"/>
  <c r="BU504" i="1"/>
  <c r="BU23" i="1"/>
  <c r="BQ80" i="1"/>
  <c r="BQ112" i="1"/>
  <c r="BU177" i="1"/>
  <c r="BQ110" i="1"/>
  <c r="BU54" i="1"/>
  <c r="BU614" i="1"/>
  <c r="BU608" i="1"/>
  <c r="BQ561" i="1"/>
  <c r="BQ488" i="1"/>
  <c r="BU697" i="1"/>
  <c r="BU711" i="1"/>
  <c r="BQ843" i="1"/>
  <c r="BQ671" i="1"/>
  <c r="BQ699" i="1"/>
  <c r="BU766" i="1"/>
  <c r="BQ802" i="1"/>
  <c r="BQ840" i="1"/>
  <c r="BU438" i="1"/>
  <c r="BQ852" i="1"/>
  <c r="BU883" i="1"/>
  <c r="BU903" i="1"/>
  <c r="BQ504" i="1"/>
  <c r="BU822" i="1"/>
  <c r="BU837" i="1"/>
  <c r="BQ786" i="1"/>
  <c r="BQ235" i="1"/>
  <c r="BQ886" i="1"/>
  <c r="BU346" i="1"/>
  <c r="BU699" i="1"/>
  <c r="BU576" i="1"/>
  <c r="BU411" i="1"/>
  <c r="BQ27" i="1"/>
  <c r="BU516" i="1"/>
  <c r="BQ126" i="1"/>
  <c r="BU892" i="1"/>
  <c r="BQ632" i="1"/>
  <c r="BQ596" i="1"/>
  <c r="BQ420" i="1"/>
  <c r="BU20" i="1"/>
  <c r="BU674" i="1"/>
  <c r="BU202" i="1"/>
  <c r="BQ649" i="1"/>
  <c r="BU490" i="1"/>
  <c r="BU598" i="1"/>
  <c r="BQ714" i="1"/>
  <c r="BU749" i="1"/>
  <c r="BU797" i="1"/>
  <c r="BU467" i="1"/>
  <c r="BU840" i="1"/>
  <c r="BU709" i="1"/>
  <c r="BQ693" i="1"/>
  <c r="BQ511" i="1"/>
  <c r="BQ608" i="1"/>
  <c r="BQ807" i="1"/>
  <c r="BQ906" i="1"/>
  <c r="BQ702" i="1"/>
  <c r="BU480" i="1"/>
  <c r="BU249" i="1"/>
  <c r="BU873" i="1"/>
  <c r="BQ630" i="1"/>
  <c r="BU364" i="1"/>
  <c r="BU730" i="1"/>
  <c r="BU612" i="1"/>
  <c r="BU393" i="1"/>
  <c r="BQ173" i="1"/>
  <c r="BU911" i="1"/>
  <c r="BQ138" i="1"/>
  <c r="BU853" i="1"/>
  <c r="BQ98" i="1"/>
  <c r="BU751" i="1"/>
  <c r="BU47" i="1"/>
  <c r="BQ725" i="1"/>
  <c r="BU112" i="1"/>
  <c r="BQ396" i="1"/>
  <c r="BQ749" i="1"/>
  <c r="BU593" i="1"/>
  <c r="BU285" i="1"/>
  <c r="BU52" i="1"/>
  <c r="BU720" i="1"/>
  <c r="BQ767" i="1"/>
  <c r="BQ837" i="1"/>
  <c r="BU786" i="1"/>
  <c r="BQ318" i="1"/>
  <c r="BQ84" i="1"/>
  <c r="BQ477" i="1"/>
  <c r="BU561" i="1"/>
  <c r="BQ280" i="1"/>
  <c r="BQ566" i="1"/>
  <c r="BU97" i="1"/>
  <c r="BQ353" i="1"/>
  <c r="BQ891" i="1"/>
  <c r="BU891" i="1"/>
  <c r="BU483" i="1"/>
  <c r="BQ483" i="1"/>
  <c r="BQ31" i="1"/>
  <c r="BQ44" i="1"/>
  <c r="BQ125" i="1"/>
  <c r="BQ209" i="1"/>
  <c r="BQ57" i="1"/>
  <c r="BQ252" i="1"/>
  <c r="BQ313" i="1"/>
  <c r="BQ339" i="1"/>
  <c r="BQ524" i="1"/>
  <c r="BQ662" i="1"/>
  <c r="BQ868" i="1"/>
  <c r="BQ96" i="1"/>
  <c r="BQ148" i="1"/>
  <c r="BQ213" i="1"/>
  <c r="BQ284" i="1"/>
  <c r="BQ324" i="1"/>
  <c r="BQ493" i="1"/>
  <c r="BQ592" i="1"/>
  <c r="BQ708" i="1"/>
  <c r="BQ922" i="1"/>
  <c r="BU881" i="1"/>
  <c r="BU869" i="1"/>
  <c r="BU862" i="1"/>
  <c r="BU841" i="1"/>
  <c r="BU838" i="1"/>
  <c r="BU835" i="1"/>
  <c r="BU829" i="1"/>
  <c r="BU810" i="1"/>
  <c r="BU799" i="1"/>
  <c r="BU795" i="1"/>
  <c r="BU791" i="1"/>
  <c r="BU776" i="1"/>
  <c r="BU770" i="1"/>
  <c r="BU763" i="1"/>
  <c r="BU737" i="1"/>
  <c r="BU733" i="1"/>
  <c r="BU706" i="1"/>
  <c r="BU698" i="1"/>
  <c r="BU691" i="1"/>
  <c r="BU689" i="1"/>
  <c r="BU681" i="1"/>
  <c r="BU658" i="1"/>
  <c r="BU638" i="1"/>
  <c r="BU631" i="1"/>
  <c r="BU917" i="1"/>
  <c r="BU895" i="1"/>
  <c r="BU880" i="1"/>
  <c r="BU876" i="1"/>
  <c r="BU865" i="1"/>
  <c r="BU861" i="1"/>
  <c r="BU503" i="1"/>
  <c r="BU844" i="1"/>
  <c r="BU834" i="1"/>
  <c r="BU828" i="1"/>
  <c r="BU825" i="1"/>
  <c r="BU821" i="1"/>
  <c r="BU813" i="1"/>
  <c r="BU809" i="1"/>
  <c r="BU801" i="1"/>
  <c r="BU798" i="1"/>
  <c r="BU775" i="1"/>
  <c r="BU762" i="1"/>
  <c r="BU740" i="1"/>
  <c r="BU736" i="1"/>
  <c r="BU724" i="1"/>
  <c r="BU713" i="1"/>
  <c r="BU694" i="1"/>
  <c r="BU688" i="1"/>
  <c r="BU684" i="1"/>
  <c r="BU676" i="1"/>
  <c r="BU665" i="1"/>
  <c r="BU661" i="1"/>
  <c r="BU657" i="1"/>
  <c r="BU641" i="1"/>
  <c r="BU634" i="1"/>
  <c r="BU626" i="1"/>
  <c r="BU620" i="1"/>
  <c r="BU920" i="1"/>
  <c r="BU916" i="1"/>
  <c r="BU913" i="1"/>
  <c r="BU905" i="1"/>
  <c r="BU898" i="1"/>
  <c r="BU890" i="1"/>
  <c r="BU879" i="1"/>
  <c r="BU875" i="1"/>
  <c r="BU871" i="1"/>
  <c r="BU867" i="1"/>
  <c r="BU864" i="1"/>
  <c r="BU860" i="1"/>
  <c r="BU858" i="1"/>
  <c r="BU854" i="1"/>
  <c r="BU919" i="1"/>
  <c r="BU859" i="1"/>
  <c r="BU845" i="1"/>
  <c r="BU833" i="1"/>
  <c r="BU827" i="1"/>
  <c r="BU820" i="1"/>
  <c r="BU812" i="1"/>
  <c r="BU769" i="1"/>
  <c r="BU723" i="1"/>
  <c r="BU679" i="1"/>
  <c r="BU664" i="1"/>
  <c r="BU656" i="1"/>
  <c r="BU648" i="1"/>
  <c r="BU633" i="1"/>
  <c r="BU622" i="1"/>
  <c r="BU617" i="1"/>
  <c r="BU603" i="1"/>
  <c r="BU600" i="1"/>
  <c r="BU585" i="1"/>
  <c r="BU581" i="1"/>
  <c r="BU577" i="1"/>
  <c r="BU573" i="1"/>
  <c r="BU556" i="1"/>
  <c r="BU870" i="1"/>
  <c r="BU857" i="1"/>
  <c r="BU832" i="1"/>
  <c r="BU826" i="1"/>
  <c r="BU811" i="1"/>
  <c r="BU796" i="1"/>
  <c r="BU781" i="1"/>
  <c r="BU773" i="1"/>
  <c r="BU768" i="1"/>
  <c r="BU738" i="1"/>
  <c r="BU715" i="1"/>
  <c r="BU692" i="1"/>
  <c r="BU678" i="1"/>
  <c r="BU663" i="1"/>
  <c r="BU655" i="1"/>
  <c r="BU639" i="1"/>
  <c r="BU625" i="1"/>
  <c r="BU621" i="1"/>
  <c r="BU602" i="1"/>
  <c r="BU588" i="1"/>
  <c r="BU584" i="1"/>
  <c r="BU580" i="1"/>
  <c r="BU572" i="1"/>
  <c r="BU897" i="1"/>
  <c r="BU882" i="1"/>
  <c r="BU839" i="1"/>
  <c r="BU831" i="1"/>
  <c r="BU778" i="1"/>
  <c r="BU765" i="1"/>
  <c r="BU735" i="1"/>
  <c r="BU719" i="1"/>
  <c r="BU696" i="1"/>
  <c r="BU683" i="1"/>
  <c r="BU675" i="1"/>
  <c r="BU660" i="1"/>
  <c r="BU629" i="1"/>
  <c r="BU624" i="1"/>
  <c r="BU619" i="1"/>
  <c r="BU609" i="1"/>
  <c r="BU583" i="1"/>
  <c r="BU579" i="1"/>
  <c r="BU575" i="1"/>
  <c r="BU567" i="1"/>
  <c r="BU563" i="1"/>
  <c r="BU558" i="1"/>
  <c r="BU554" i="1"/>
  <c r="BU550" i="1"/>
  <c r="BU546" i="1"/>
  <c r="BU542" i="1"/>
  <c r="BU538" i="1"/>
  <c r="BU534" i="1"/>
  <c r="BU530" i="1"/>
  <c r="BU527" i="1"/>
  <c r="BU525" i="1"/>
  <c r="BU522" i="1"/>
  <c r="BU518" i="1"/>
  <c r="BU514" i="1"/>
  <c r="BU510" i="1"/>
  <c r="BU506" i="1"/>
  <c r="BU500" i="1"/>
  <c r="BU492" i="1"/>
  <c r="BU484" i="1"/>
  <c r="BU408" i="1"/>
  <c r="BU560" i="1"/>
  <c r="BU469" i="1"/>
  <c r="BU461" i="1"/>
  <c r="BU457" i="1"/>
  <c r="BU453" i="1"/>
  <c r="BU445" i="1"/>
  <c r="BU436" i="1"/>
  <c r="BU432" i="1"/>
  <c r="BU908" i="1"/>
  <c r="BU815" i="1"/>
  <c r="BU695" i="1"/>
  <c r="BU667" i="1"/>
  <c r="BU636" i="1"/>
  <c r="BU586" i="1"/>
  <c r="BU553" i="1"/>
  <c r="BU543" i="1"/>
  <c r="BU537" i="1"/>
  <c r="BU520" i="1"/>
  <c r="BU509" i="1"/>
  <c r="BU491" i="1"/>
  <c r="BU406" i="1"/>
  <c r="BU473" i="1"/>
  <c r="BU459" i="1"/>
  <c r="BU454" i="1"/>
  <c r="BU443" i="1"/>
  <c r="BU427" i="1"/>
  <c r="BU416" i="1"/>
  <c r="BU409" i="1"/>
  <c r="BU402" i="1"/>
  <c r="BU398" i="1"/>
  <c r="BU394" i="1"/>
  <c r="BU367" i="1"/>
  <c r="BU360" i="1"/>
  <c r="BU348" i="1"/>
  <c r="BU340" i="1"/>
  <c r="BU325" i="1"/>
  <c r="BU317" i="1"/>
  <c r="BU309" i="1"/>
  <c r="BU298" i="1"/>
  <c r="BU267" i="1"/>
  <c r="BU259" i="1"/>
  <c r="BU777" i="1"/>
  <c r="BU718" i="1"/>
  <c r="BU690" i="1"/>
  <c r="BU628" i="1"/>
  <c r="BU594" i="1"/>
  <c r="BU559" i="1"/>
  <c r="BU552" i="1"/>
  <c r="BU541" i="1"/>
  <c r="BU536" i="1"/>
  <c r="BU531" i="1"/>
  <c r="BU523" i="1"/>
  <c r="BU519" i="1"/>
  <c r="BU508" i="1"/>
  <c r="BU501" i="1"/>
  <c r="BU472" i="1"/>
  <c r="BU468" i="1"/>
  <c r="BU458" i="1"/>
  <c r="BU447" i="1"/>
  <c r="BU435" i="1"/>
  <c r="BU426" i="1"/>
  <c r="BU415" i="1"/>
  <c r="BU405" i="1"/>
  <c r="BU389" i="1"/>
  <c r="BU374" i="1"/>
  <c r="BU370" i="1"/>
  <c r="BU363" i="1"/>
  <c r="BU359" i="1"/>
  <c r="BU343" i="1"/>
  <c r="BU339" i="1"/>
  <c r="BU332" i="1"/>
  <c r="BU328" i="1"/>
  <c r="BU830" i="1"/>
  <c r="BU800" i="1"/>
  <c r="BU771" i="1"/>
  <c r="BU682" i="1"/>
  <c r="BU557" i="1"/>
  <c r="BU551" i="1"/>
  <c r="BU545" i="1"/>
  <c r="BU540" i="1"/>
  <c r="BU535" i="1"/>
  <c r="BU529" i="1"/>
  <c r="BU489" i="1"/>
  <c r="BU407" i="1"/>
  <c r="BU462" i="1"/>
  <c r="BU456" i="1"/>
  <c r="BU451" i="1"/>
  <c r="BU446" i="1"/>
  <c r="BU429" i="1"/>
  <c r="BU425" i="1"/>
  <c r="BU421" i="1"/>
  <c r="BU418" i="1"/>
  <c r="BU414" i="1"/>
  <c r="BU404" i="1"/>
  <c r="BU400" i="1"/>
  <c r="BU392" i="1"/>
  <c r="BU388" i="1"/>
  <c r="BU385" i="1"/>
  <c r="BU381" i="1"/>
  <c r="BU377" i="1"/>
  <c r="BU369" i="1"/>
  <c r="BU362" i="1"/>
  <c r="BU354" i="1"/>
  <c r="BU338" i="1"/>
  <c r="BU319" i="1"/>
  <c r="BU315" i="1"/>
  <c r="BU311" i="1"/>
  <c r="BU307" i="1"/>
  <c r="BU303" i="1"/>
  <c r="BU300" i="1"/>
  <c r="BU863" i="1"/>
  <c r="BU734" i="1"/>
  <c r="BU618" i="1"/>
  <c r="BU564" i="1"/>
  <c r="BU539" i="1"/>
  <c r="BU521" i="1"/>
  <c r="BU498" i="1"/>
  <c r="BU460" i="1"/>
  <c r="BU387" i="1"/>
  <c r="BU357" i="1"/>
  <c r="BU326" i="1"/>
  <c r="BU312" i="1"/>
  <c r="BU297" i="1"/>
  <c r="BU286" i="1"/>
  <c r="BU281" i="1"/>
  <c r="BU265" i="1"/>
  <c r="BU260" i="1"/>
  <c r="BU244" i="1"/>
  <c r="BU142" i="1"/>
  <c r="BU237" i="1"/>
  <c r="BU233" i="1"/>
  <c r="BU229" i="1"/>
  <c r="BU226" i="1"/>
  <c r="BU219" i="1"/>
  <c r="BU215" i="1"/>
  <c r="BU211" i="1"/>
  <c r="BU198" i="1"/>
  <c r="BU194" i="1"/>
  <c r="BU191" i="1"/>
  <c r="BU185" i="1"/>
  <c r="BU182" i="1"/>
  <c r="BU172" i="1"/>
  <c r="BU168" i="1"/>
  <c r="BU162" i="1"/>
  <c r="BU158" i="1"/>
  <c r="BU154" i="1"/>
  <c r="BU150" i="1"/>
  <c r="BU117" i="1"/>
  <c r="BU105" i="1"/>
  <c r="BU92" i="1"/>
  <c r="BU77" i="1"/>
  <c r="BU73" i="1"/>
  <c r="BU62" i="1"/>
  <c r="BU38" i="1"/>
  <c r="BU136" i="1"/>
  <c r="BU120" i="1"/>
  <c r="BU102" i="1"/>
  <c r="BU93" i="1"/>
  <c r="BU66" i="1"/>
  <c r="BU56" i="1"/>
  <c r="BU29" i="1"/>
  <c r="BU823" i="1"/>
  <c r="BU555" i="1"/>
  <c r="BU474" i="1"/>
  <c r="BU455" i="1"/>
  <c r="BU433" i="1"/>
  <c r="BU417" i="1"/>
  <c r="BU399" i="1"/>
  <c r="BU368" i="1"/>
  <c r="BU310" i="1"/>
  <c r="BU302" i="1"/>
  <c r="BU295" i="1"/>
  <c r="BU254" i="1"/>
  <c r="BU250" i="1"/>
  <c r="BU246" i="1"/>
  <c r="BU243" i="1"/>
  <c r="BU240" i="1"/>
  <c r="BU232" i="1"/>
  <c r="BU222" i="1"/>
  <c r="BU218" i="1"/>
  <c r="BU214" i="1"/>
  <c r="BU208" i="1"/>
  <c r="BU200" i="1"/>
  <c r="BU190" i="1"/>
  <c r="BU187" i="1"/>
  <c r="BU184" i="1"/>
  <c r="BU174" i="1"/>
  <c r="BU171" i="1"/>
  <c r="BU165" i="1"/>
  <c r="BU161" i="1"/>
  <c r="BU157" i="1"/>
  <c r="BU153" i="1"/>
  <c r="BU149" i="1"/>
  <c r="BU141" i="1"/>
  <c r="BU135" i="1"/>
  <c r="BU132" i="1"/>
  <c r="BU128" i="1"/>
  <c r="BU442" i="1"/>
  <c r="BU116" i="1"/>
  <c r="BU104" i="1"/>
  <c r="BU88" i="1"/>
  <c r="BU76" i="1"/>
  <c r="BU72" i="1"/>
  <c r="BU68" i="1"/>
  <c r="BU64" i="1"/>
  <c r="BU58" i="1"/>
  <c r="BU40" i="1"/>
  <c r="BU37" i="1"/>
  <c r="BU35" i="1"/>
  <c r="BU151" i="1"/>
  <c r="BU118" i="1"/>
  <c r="BU106" i="1"/>
  <c r="BU81" i="1"/>
  <c r="BU70" i="1"/>
  <c r="BU42" i="1"/>
  <c r="BU36" i="1"/>
  <c r="BU549" i="1"/>
  <c r="BU487" i="1"/>
  <c r="BU450" i="1"/>
  <c r="BU428" i="1"/>
  <c r="BU380" i="1"/>
  <c r="BU365" i="1"/>
  <c r="BU308" i="1"/>
  <c r="BU284" i="1"/>
  <c r="BU273" i="1"/>
  <c r="BU262" i="1"/>
  <c r="BU257" i="1"/>
  <c r="BU253" i="1"/>
  <c r="BU245" i="1"/>
  <c r="BU242" i="1"/>
  <c r="BU239" i="1"/>
  <c r="BU227" i="1"/>
  <c r="BU225" i="1"/>
  <c r="BU221" i="1"/>
  <c r="BU210" i="1"/>
  <c r="BU196" i="1"/>
  <c r="BU193" i="1"/>
  <c r="BU180" i="1"/>
  <c r="BU170" i="1"/>
  <c r="BU160" i="1"/>
  <c r="BU156" i="1"/>
  <c r="BU152" i="1"/>
  <c r="BU145" i="1"/>
  <c r="BU140" i="1"/>
  <c r="BU137" i="1"/>
  <c r="BU134" i="1"/>
  <c r="BU131" i="1"/>
  <c r="BU127" i="1"/>
  <c r="BU121" i="1"/>
  <c r="BU115" i="1"/>
  <c r="BU107" i="1"/>
  <c r="BU103" i="1"/>
  <c r="BU94" i="1"/>
  <c r="BU90" i="1"/>
  <c r="BU89" i="1"/>
  <c r="BU82" i="1"/>
  <c r="BU79" i="1"/>
  <c r="BU75" i="1"/>
  <c r="BU67" i="1"/>
  <c r="BU61" i="1"/>
  <c r="BU49" i="1"/>
  <c r="BU43" i="1"/>
  <c r="BU22" i="1"/>
  <c r="BU764" i="1"/>
  <c r="BU643" i="1"/>
  <c r="BU526" i="1"/>
  <c r="BU505" i="1"/>
  <c r="BU466" i="1"/>
  <c r="BU391" i="1"/>
  <c r="BU376" i="1"/>
  <c r="BU361" i="1"/>
  <c r="BU345" i="1"/>
  <c r="BU330" i="1"/>
  <c r="BU299" i="1"/>
  <c r="BU288" i="1"/>
  <c r="BU277" i="1"/>
  <c r="BU272" i="1"/>
  <c r="BU256" i="1"/>
  <c r="BU241" i="1"/>
  <c r="BU234" i="1"/>
  <c r="BU224" i="1"/>
  <c r="BU216" i="1"/>
  <c r="BU212" i="1"/>
  <c r="BU206" i="1"/>
  <c r="BU195" i="1"/>
  <c r="BU192" i="1"/>
  <c r="BU183" i="1"/>
  <c r="BU169" i="1"/>
  <c r="BU167" i="1"/>
  <c r="BU163" i="1"/>
  <c r="BU159" i="1"/>
  <c r="BU147" i="1"/>
  <c r="BU130" i="1"/>
  <c r="BU74" i="1"/>
  <c r="BU46" i="1"/>
  <c r="BQ269" i="1"/>
  <c r="BQ322" i="1"/>
  <c r="BQ372" i="1"/>
  <c r="BQ571" i="1"/>
  <c r="BQ686" i="1"/>
  <c r="BQ794" i="1"/>
  <c r="BQ909" i="1"/>
  <c r="BQ881" i="1"/>
  <c r="BQ869" i="1"/>
  <c r="BQ862" i="1"/>
  <c r="BQ838" i="1"/>
  <c r="BQ835" i="1"/>
  <c r="BQ829" i="1"/>
  <c r="BQ810" i="1"/>
  <c r="BQ799" i="1"/>
  <c r="BQ795" i="1"/>
  <c r="BQ791" i="1"/>
  <c r="BQ776" i="1"/>
  <c r="BQ770" i="1"/>
  <c r="BQ763" i="1"/>
  <c r="BQ737" i="1"/>
  <c r="BQ733" i="1"/>
  <c r="BQ706" i="1"/>
  <c r="BQ698" i="1"/>
  <c r="BQ691" i="1"/>
  <c r="BQ689" i="1"/>
  <c r="BQ681" i="1"/>
  <c r="BQ658" i="1"/>
  <c r="BQ638" i="1"/>
  <c r="BQ631" i="1"/>
  <c r="BQ624" i="1"/>
  <c r="BQ917" i="1"/>
  <c r="BQ895" i="1"/>
  <c r="BQ880" i="1"/>
  <c r="BQ876" i="1"/>
  <c r="BQ865" i="1"/>
  <c r="BQ861" i="1"/>
  <c r="BQ503" i="1"/>
  <c r="BQ844" i="1"/>
  <c r="BQ834" i="1"/>
  <c r="BQ828" i="1"/>
  <c r="BQ825" i="1"/>
  <c r="BQ821" i="1"/>
  <c r="BQ813" i="1"/>
  <c r="BQ809" i="1"/>
  <c r="BQ801" i="1"/>
  <c r="BQ798" i="1"/>
  <c r="BQ775" i="1"/>
  <c r="BQ762" i="1"/>
  <c r="BQ740" i="1"/>
  <c r="BQ736" i="1"/>
  <c r="BQ724" i="1"/>
  <c r="BQ713" i="1"/>
  <c r="BQ694" i="1"/>
  <c r="BQ688" i="1"/>
  <c r="BQ684" i="1"/>
  <c r="BQ676" i="1"/>
  <c r="BQ665" i="1"/>
  <c r="BQ661" i="1"/>
  <c r="BQ657" i="1"/>
  <c r="BQ641" i="1"/>
  <c r="BQ634" i="1"/>
  <c r="BQ626" i="1"/>
  <c r="BQ620" i="1"/>
  <c r="BQ920" i="1"/>
  <c r="BQ916" i="1"/>
  <c r="BQ913" i="1"/>
  <c r="BQ905" i="1"/>
  <c r="BQ898" i="1"/>
  <c r="BQ890" i="1"/>
  <c r="BQ879" i="1"/>
  <c r="BQ875" i="1"/>
  <c r="BQ871" i="1"/>
  <c r="BQ867" i="1"/>
  <c r="BQ864" i="1"/>
  <c r="BQ860" i="1"/>
  <c r="BQ858" i="1"/>
  <c r="BQ854" i="1"/>
  <c r="BQ833" i="1"/>
  <c r="BQ831" i="1"/>
  <c r="BQ827" i="1"/>
  <c r="BQ820" i="1"/>
  <c r="BQ812" i="1"/>
  <c r="BQ778" i="1"/>
  <c r="BQ769" i="1"/>
  <c r="BQ765" i="1"/>
  <c r="BQ735" i="1"/>
  <c r="BQ723" i="1"/>
  <c r="BQ719" i="1"/>
  <c r="BQ696" i="1"/>
  <c r="BQ683" i="1"/>
  <c r="BQ679" i="1"/>
  <c r="BQ675" i="1"/>
  <c r="BQ664" i="1"/>
  <c r="BQ660" i="1"/>
  <c r="BQ656" i="1"/>
  <c r="BQ633" i="1"/>
  <c r="BQ629" i="1"/>
  <c r="BQ619" i="1"/>
  <c r="BQ919" i="1"/>
  <c r="BQ859" i="1"/>
  <c r="BQ845" i="1"/>
  <c r="BQ832" i="1"/>
  <c r="BQ773" i="1"/>
  <c r="BQ715" i="1"/>
  <c r="BQ655" i="1"/>
  <c r="BQ625" i="1"/>
  <c r="BQ617" i="1"/>
  <c r="BQ609" i="1"/>
  <c r="BQ583" i="1"/>
  <c r="BQ579" i="1"/>
  <c r="BQ575" i="1"/>
  <c r="BQ567" i="1"/>
  <c r="BQ563" i="1"/>
  <c r="BQ558" i="1"/>
  <c r="BQ554" i="1"/>
  <c r="BQ550" i="1"/>
  <c r="BQ546" i="1"/>
  <c r="BQ542" i="1"/>
  <c r="BQ538" i="1"/>
  <c r="BQ534" i="1"/>
  <c r="BQ530" i="1"/>
  <c r="BQ527" i="1"/>
  <c r="BQ525" i="1"/>
  <c r="BQ522" i="1"/>
  <c r="BQ518" i="1"/>
  <c r="BQ514" i="1"/>
  <c r="BQ510" i="1"/>
  <c r="BQ506" i="1"/>
  <c r="BQ500" i="1"/>
  <c r="BQ492" i="1"/>
  <c r="BQ484" i="1"/>
  <c r="BQ408" i="1"/>
  <c r="BQ560" i="1"/>
  <c r="BQ469" i="1"/>
  <c r="BQ461" i="1"/>
  <c r="BQ457" i="1"/>
  <c r="BQ453" i="1"/>
  <c r="BQ445" i="1"/>
  <c r="BQ436" i="1"/>
  <c r="BQ432" i="1"/>
  <c r="BQ428" i="1"/>
  <c r="BQ417" i="1"/>
  <c r="BQ399" i="1"/>
  <c r="BQ391" i="1"/>
  <c r="BQ387" i="1"/>
  <c r="BQ380" i="1"/>
  <c r="BQ870" i="1"/>
  <c r="BQ857" i="1"/>
  <c r="BQ830" i="1"/>
  <c r="BQ815" i="1"/>
  <c r="BQ800" i="1"/>
  <c r="BQ771" i="1"/>
  <c r="BQ695" i="1"/>
  <c r="BQ682" i="1"/>
  <c r="BQ636" i="1"/>
  <c r="BQ622" i="1"/>
  <c r="BQ594" i="1"/>
  <c r="BQ586" i="1"/>
  <c r="BQ557" i="1"/>
  <c r="BQ553" i="1"/>
  <c r="BQ549" i="1"/>
  <c r="BQ545" i="1"/>
  <c r="BQ541" i="1"/>
  <c r="BQ537" i="1"/>
  <c r="BQ529" i="1"/>
  <c r="BQ521" i="1"/>
  <c r="BQ509" i="1"/>
  <c r="BQ505" i="1"/>
  <c r="BQ491" i="1"/>
  <c r="BQ487" i="1"/>
  <c r="BQ407" i="1"/>
  <c r="BQ474" i="1"/>
  <c r="BQ468" i="1"/>
  <c r="BQ460" i="1"/>
  <c r="BQ456" i="1"/>
  <c r="BQ435" i="1"/>
  <c r="BQ427" i="1"/>
  <c r="BQ416" i="1"/>
  <c r="BQ409" i="1"/>
  <c r="BQ402" i="1"/>
  <c r="BQ398" i="1"/>
  <c r="BQ394" i="1"/>
  <c r="BQ367" i="1"/>
  <c r="BQ897" i="1"/>
  <c r="BQ882" i="1"/>
  <c r="BQ839" i="1"/>
  <c r="BQ826" i="1"/>
  <c r="BQ811" i="1"/>
  <c r="BQ796" i="1"/>
  <c r="BQ781" i="1"/>
  <c r="BQ768" i="1"/>
  <c r="BQ738" i="1"/>
  <c r="BQ692" i="1"/>
  <c r="BQ678" i="1"/>
  <c r="BQ663" i="1"/>
  <c r="BQ621" i="1"/>
  <c r="BQ603" i="1"/>
  <c r="BQ600" i="1"/>
  <c r="BQ585" i="1"/>
  <c r="BQ581" i="1"/>
  <c r="BQ577" i="1"/>
  <c r="BQ573" i="1"/>
  <c r="BQ556" i="1"/>
  <c r="BQ552" i="1"/>
  <c r="BQ540" i="1"/>
  <c r="BQ536" i="1"/>
  <c r="BQ523" i="1"/>
  <c r="BQ520" i="1"/>
  <c r="BQ508" i="1"/>
  <c r="BQ473" i="1"/>
  <c r="BQ459" i="1"/>
  <c r="BQ455" i="1"/>
  <c r="BQ451" i="1"/>
  <c r="BQ447" i="1"/>
  <c r="BQ443" i="1"/>
  <c r="BQ426" i="1"/>
  <c r="BQ415" i="1"/>
  <c r="BQ405" i="1"/>
  <c r="BQ389" i="1"/>
  <c r="BQ374" i="1"/>
  <c r="BQ370" i="1"/>
  <c r="BQ908" i="1"/>
  <c r="BQ734" i="1"/>
  <c r="BQ618" i="1"/>
  <c r="BQ588" i="1"/>
  <c r="BQ572" i="1"/>
  <c r="BQ555" i="1"/>
  <c r="BQ539" i="1"/>
  <c r="BQ526" i="1"/>
  <c r="BQ466" i="1"/>
  <c r="BQ450" i="1"/>
  <c r="BQ433" i="1"/>
  <c r="BQ418" i="1"/>
  <c r="BQ400" i="1"/>
  <c r="BQ385" i="1"/>
  <c r="BQ362" i="1"/>
  <c r="BQ338" i="1"/>
  <c r="BQ319" i="1"/>
  <c r="BQ315" i="1"/>
  <c r="BQ311" i="1"/>
  <c r="BQ307" i="1"/>
  <c r="BQ303" i="1"/>
  <c r="BQ300" i="1"/>
  <c r="BQ281" i="1"/>
  <c r="BQ277" i="1"/>
  <c r="BQ273" i="1"/>
  <c r="BQ265" i="1"/>
  <c r="BQ257" i="1"/>
  <c r="BQ254" i="1"/>
  <c r="BQ250" i="1"/>
  <c r="BQ246" i="1"/>
  <c r="BQ243" i="1"/>
  <c r="BQ240" i="1"/>
  <c r="BQ232" i="1"/>
  <c r="BQ222" i="1"/>
  <c r="BQ218" i="1"/>
  <c r="BQ208" i="1"/>
  <c r="BQ200" i="1"/>
  <c r="BQ190" i="1"/>
  <c r="BQ187" i="1"/>
  <c r="BQ184" i="1"/>
  <c r="BQ171" i="1"/>
  <c r="BQ165" i="1"/>
  <c r="BQ161" i="1"/>
  <c r="BQ157" i="1"/>
  <c r="BQ153" i="1"/>
  <c r="BQ149" i="1"/>
  <c r="BQ141" i="1"/>
  <c r="BQ777" i="1"/>
  <c r="BQ718" i="1"/>
  <c r="BQ584" i="1"/>
  <c r="BQ551" i="1"/>
  <c r="BQ535" i="1"/>
  <c r="BQ489" i="1"/>
  <c r="BQ462" i="1"/>
  <c r="BQ446" i="1"/>
  <c r="BQ429" i="1"/>
  <c r="BQ414" i="1"/>
  <c r="BQ381" i="1"/>
  <c r="BQ361" i="1"/>
  <c r="BQ357" i="1"/>
  <c r="BQ345" i="1"/>
  <c r="BQ330" i="1"/>
  <c r="BQ326" i="1"/>
  <c r="BQ310" i="1"/>
  <c r="BQ302" i="1"/>
  <c r="BQ299" i="1"/>
  <c r="BQ295" i="1"/>
  <c r="BQ288" i="1"/>
  <c r="BQ272" i="1"/>
  <c r="BQ260" i="1"/>
  <c r="BQ256" i="1"/>
  <c r="BQ253" i="1"/>
  <c r="BQ245" i="1"/>
  <c r="BQ242" i="1"/>
  <c r="BQ239" i="1"/>
  <c r="BQ227" i="1"/>
  <c r="BQ225" i="1"/>
  <c r="BQ221" i="1"/>
  <c r="BQ210" i="1"/>
  <c r="BQ196" i="1"/>
  <c r="BQ193" i="1"/>
  <c r="BQ180" i="1"/>
  <c r="BQ170" i="1"/>
  <c r="BQ160" i="1"/>
  <c r="BQ156" i="1"/>
  <c r="BQ152" i="1"/>
  <c r="BQ145" i="1"/>
  <c r="BQ140" i="1"/>
  <c r="BQ137" i="1"/>
  <c r="BQ823" i="1"/>
  <c r="BQ764" i="1"/>
  <c r="BQ643" i="1"/>
  <c r="BQ580" i="1"/>
  <c r="BQ564" i="1"/>
  <c r="BQ531" i="1"/>
  <c r="BQ519" i="1"/>
  <c r="BQ501" i="1"/>
  <c r="BQ472" i="1"/>
  <c r="BQ458" i="1"/>
  <c r="BQ425" i="1"/>
  <c r="BQ392" i="1"/>
  <c r="BQ377" i="1"/>
  <c r="BQ369" i="1"/>
  <c r="BQ365" i="1"/>
  <c r="BQ360" i="1"/>
  <c r="BQ348" i="1"/>
  <c r="BQ340" i="1"/>
  <c r="BQ325" i="1"/>
  <c r="BQ317" i="1"/>
  <c r="BQ309" i="1"/>
  <c r="BQ298" i="1"/>
  <c r="BQ267" i="1"/>
  <c r="BQ259" i="1"/>
  <c r="BQ241" i="1"/>
  <c r="BQ234" i="1"/>
  <c r="BQ224" i="1"/>
  <c r="BQ212" i="1"/>
  <c r="BQ206" i="1"/>
  <c r="BQ195" i="1"/>
  <c r="BQ192" i="1"/>
  <c r="BQ183" i="1"/>
  <c r="BQ169" i="1"/>
  <c r="BQ167" i="1"/>
  <c r="BQ159" i="1"/>
  <c r="BQ151" i="1"/>
  <c r="BQ147" i="1"/>
  <c r="BQ136" i="1"/>
  <c r="BQ863" i="1"/>
  <c r="BQ628" i="1"/>
  <c r="BQ559" i="1"/>
  <c r="BQ376" i="1"/>
  <c r="BQ312" i="1"/>
  <c r="BQ297" i="1"/>
  <c r="BQ237" i="1"/>
  <c r="BQ194" i="1"/>
  <c r="BQ182" i="1"/>
  <c r="BQ168" i="1"/>
  <c r="BQ154" i="1"/>
  <c r="BQ134" i="1"/>
  <c r="BQ131" i="1"/>
  <c r="BQ127" i="1"/>
  <c r="BQ121" i="1"/>
  <c r="BQ115" i="1"/>
  <c r="BQ107" i="1"/>
  <c r="BQ103" i="1"/>
  <c r="BQ94" i="1"/>
  <c r="BQ90" i="1"/>
  <c r="BQ89" i="1"/>
  <c r="BQ82" i="1"/>
  <c r="BQ79" i="1"/>
  <c r="BQ75" i="1"/>
  <c r="BQ67" i="1"/>
  <c r="BQ61" i="1"/>
  <c r="BQ49" i="1"/>
  <c r="BQ43" i="1"/>
  <c r="BQ22" i="1"/>
  <c r="BQ142" i="1"/>
  <c r="BQ185" i="1"/>
  <c r="BQ128" i="1"/>
  <c r="BQ442" i="1"/>
  <c r="BQ88" i="1"/>
  <c r="BQ76" i="1"/>
  <c r="BQ64" i="1"/>
  <c r="BQ602" i="1"/>
  <c r="BQ543" i="1"/>
  <c r="BQ406" i="1"/>
  <c r="BQ421" i="1"/>
  <c r="BQ368" i="1"/>
  <c r="BQ308" i="1"/>
  <c r="BQ262" i="1"/>
  <c r="BQ233" i="1"/>
  <c r="BQ219" i="1"/>
  <c r="BQ191" i="1"/>
  <c r="BQ150" i="1"/>
  <c r="BQ130" i="1"/>
  <c r="BQ120" i="1"/>
  <c r="BQ118" i="1"/>
  <c r="BQ106" i="1"/>
  <c r="BQ102" i="1"/>
  <c r="BQ93" i="1"/>
  <c r="BQ81" i="1"/>
  <c r="BQ74" i="1"/>
  <c r="BQ70" i="1"/>
  <c r="BQ66" i="1"/>
  <c r="BQ56" i="1"/>
  <c r="BQ46" i="1"/>
  <c r="BQ42" i="1"/>
  <c r="BQ36" i="1"/>
  <c r="BQ454" i="1"/>
  <c r="BQ359" i="1"/>
  <c r="BQ328" i="1"/>
  <c r="BQ226" i="1"/>
  <c r="BQ172" i="1"/>
  <c r="BQ135" i="1"/>
  <c r="BQ72" i="1"/>
  <c r="BQ37" i="1"/>
  <c r="BQ404" i="1"/>
  <c r="BQ363" i="1"/>
  <c r="BQ332" i="1"/>
  <c r="BQ244" i="1"/>
  <c r="BQ229" i="1"/>
  <c r="BQ215" i="1"/>
  <c r="BQ162" i="1"/>
  <c r="BQ117" i="1"/>
  <c r="BQ105" i="1"/>
  <c r="BQ92" i="1"/>
  <c r="BQ77" i="1"/>
  <c r="BQ73" i="1"/>
  <c r="BQ62" i="1"/>
  <c r="BQ38" i="1"/>
  <c r="BQ690" i="1"/>
  <c r="BQ388" i="1"/>
  <c r="BQ343" i="1"/>
  <c r="BQ286" i="1"/>
  <c r="BQ211" i="1"/>
  <c r="BQ198" i="1"/>
  <c r="BQ158" i="1"/>
  <c r="BQ132" i="1"/>
  <c r="BQ116" i="1"/>
  <c r="BQ104" i="1"/>
  <c r="BQ68" i="1"/>
  <c r="BQ58" i="1"/>
  <c r="BQ40" i="1"/>
  <c r="BQ35" i="1"/>
  <c r="CH231" i="1"/>
  <c r="BQ231" i="1" s="1"/>
  <c r="CH306" i="1"/>
  <c r="BQ306" i="1" s="1"/>
  <c r="CH336" i="1"/>
  <c r="BQ336" i="1" s="1"/>
  <c r="CH441" i="1"/>
  <c r="BQ441" i="1" s="1"/>
  <c r="CH497" i="1"/>
  <c r="BQ497" i="1" s="1"/>
  <c r="CH842" i="1"/>
  <c r="BQ842" i="1" s="1"/>
  <c r="AI31" i="1"/>
  <c r="AI252" i="1"/>
  <c r="AI313" i="1"/>
  <c r="AI662" i="1"/>
  <c r="AI868" i="1"/>
  <c r="AI209" i="1"/>
  <c r="AI322" i="1"/>
  <c r="AI686" i="1"/>
  <c r="AI909" i="1"/>
  <c r="AI96" i="1"/>
  <c r="AI213" i="1"/>
  <c r="AI324" i="1"/>
  <c r="AI493" i="1"/>
  <c r="AI592" i="1"/>
  <c r="AI708" i="1"/>
  <c r="AI922" i="1"/>
  <c r="AI57" i="1"/>
  <c r="AI524" i="1"/>
  <c r="AI44" i="1"/>
  <c r="AI125" i="1"/>
  <c r="AI269" i="1"/>
  <c r="AI372" i="1"/>
  <c r="AI571" i="1"/>
  <c r="AI794" i="1"/>
  <c r="AI148" i="1"/>
  <c r="AI231" i="1"/>
  <c r="AI306" i="1"/>
  <c r="AI336" i="1"/>
  <c r="AI441" i="1"/>
  <c r="AI497" i="1"/>
  <c r="AI842" i="1"/>
  <c r="BE13" i="1"/>
  <c r="AJ918" i="1"/>
  <c r="CH918" i="1" s="1"/>
  <c r="BQ918" i="1" s="1"/>
  <c r="AJ914" i="1"/>
  <c r="CH914" i="1" s="1"/>
  <c r="BQ914" i="1" s="1"/>
  <c r="AJ910" i="1"/>
  <c r="CH910" i="1" s="1"/>
  <c r="BQ910" i="1" s="1"/>
  <c r="AJ904" i="1"/>
  <c r="CH904" i="1" s="1"/>
  <c r="BQ904" i="1" s="1"/>
  <c r="AJ902" i="1"/>
  <c r="CH902" i="1" s="1"/>
  <c r="BQ902" i="1" s="1"/>
  <c r="AJ901" i="1"/>
  <c r="AJ900" i="1"/>
  <c r="AJ899" i="1"/>
  <c r="AJ896" i="1"/>
  <c r="CH896" i="1" s="1"/>
  <c r="BQ896" i="1" s="1"/>
  <c r="AJ894" i="1"/>
  <c r="CH894" i="1" s="1"/>
  <c r="BQ894" i="1" s="1"/>
  <c r="AJ893" i="1"/>
  <c r="CH893" i="1" s="1"/>
  <c r="BQ893" i="1" s="1"/>
  <c r="AJ889" i="1"/>
  <c r="CH889" i="1" s="1"/>
  <c r="BQ889" i="1" s="1"/>
  <c r="AJ887" i="1"/>
  <c r="CH887" i="1" s="1"/>
  <c r="BQ887" i="1" s="1"/>
  <c r="AJ885" i="1"/>
  <c r="CH885" i="1" s="1"/>
  <c r="BQ885" i="1" s="1"/>
  <c r="AJ884" i="1"/>
  <c r="CH884" i="1" s="1"/>
  <c r="BQ884" i="1" s="1"/>
  <c r="AJ878" i="1"/>
  <c r="CH878" i="1" s="1"/>
  <c r="BQ878" i="1" s="1"/>
  <c r="AJ877" i="1"/>
  <c r="CH877" i="1" s="1"/>
  <c r="BQ877" i="1" s="1"/>
  <c r="AJ874" i="1"/>
  <c r="CH874" i="1" s="1"/>
  <c r="BQ874" i="1" s="1"/>
  <c r="AJ866" i="1"/>
  <c r="CH866" i="1" s="1"/>
  <c r="BQ866" i="1" s="1"/>
  <c r="AJ856" i="1"/>
  <c r="CH856" i="1" s="1"/>
  <c r="BQ856" i="1" s="1"/>
  <c r="AJ850" i="1"/>
  <c r="CH850" i="1" s="1"/>
  <c r="BQ850" i="1" s="1"/>
  <c r="AJ849" i="1"/>
  <c r="CH849" i="1" s="1"/>
  <c r="BQ849" i="1" s="1"/>
  <c r="AJ848" i="1"/>
  <c r="CH848" i="1" s="1"/>
  <c r="BQ848" i="1" s="1"/>
  <c r="AJ847" i="1"/>
  <c r="CH847" i="1" s="1"/>
  <c r="BQ847" i="1" s="1"/>
  <c r="AJ846" i="1"/>
  <c r="CH846" i="1" s="1"/>
  <c r="BQ846" i="1" s="1"/>
  <c r="AJ841" i="1"/>
  <c r="CH841" i="1" s="1"/>
  <c r="BQ841" i="1" s="1"/>
  <c r="AJ836" i="1"/>
  <c r="CH836" i="1" s="1"/>
  <c r="BQ836" i="1" s="1"/>
  <c r="AJ819" i="1"/>
  <c r="CH819" i="1" s="1"/>
  <c r="BQ819" i="1" s="1"/>
  <c r="AJ818" i="1"/>
  <c r="CH818" i="1" s="1"/>
  <c r="BQ818" i="1" s="1"/>
  <c r="AJ816" i="1"/>
  <c r="CH816" i="1" s="1"/>
  <c r="BQ816" i="1" s="1"/>
  <c r="AJ814" i="1"/>
  <c r="CH814" i="1" s="1"/>
  <c r="BQ814" i="1" s="1"/>
  <c r="AJ808" i="1"/>
  <c r="CH808" i="1" s="1"/>
  <c r="BQ808" i="1" s="1"/>
  <c r="AJ806" i="1"/>
  <c r="CH806" i="1" s="1"/>
  <c r="BQ806" i="1" s="1"/>
  <c r="AJ805" i="1"/>
  <c r="CH805" i="1" s="1"/>
  <c r="BQ805" i="1" s="1"/>
  <c r="AJ804" i="1"/>
  <c r="CH804" i="1" s="1"/>
  <c r="BQ804" i="1" s="1"/>
  <c r="AJ803" i="1"/>
  <c r="CH803" i="1" s="1"/>
  <c r="BQ803" i="1" s="1"/>
  <c r="AJ793" i="1"/>
  <c r="CH793" i="1" s="1"/>
  <c r="BQ793" i="1" s="1"/>
  <c r="AJ792" i="1"/>
  <c r="CH792" i="1" s="1"/>
  <c r="BQ792" i="1" s="1"/>
  <c r="AJ790" i="1"/>
  <c r="CH790" i="1" s="1"/>
  <c r="BQ790" i="1" s="1"/>
  <c r="AJ789" i="1"/>
  <c r="CH789" i="1" s="1"/>
  <c r="BQ789" i="1" s="1"/>
  <c r="AJ788" i="1"/>
  <c r="CH788" i="1" s="1"/>
  <c r="BQ788" i="1" s="1"/>
  <c r="AJ784" i="1"/>
  <c r="CH784" i="1" s="1"/>
  <c r="BQ784" i="1" s="1"/>
  <c r="AJ782" i="1"/>
  <c r="CH782" i="1" s="1"/>
  <c r="BQ782" i="1" s="1"/>
  <c r="AJ780" i="1"/>
  <c r="CH780" i="1" s="1"/>
  <c r="BQ780" i="1" s="1"/>
  <c r="AJ779" i="1"/>
  <c r="CH779" i="1" s="1"/>
  <c r="BQ779" i="1" s="1"/>
  <c r="AJ774" i="1"/>
  <c r="CH774" i="1" s="1"/>
  <c r="BQ774" i="1" s="1"/>
  <c r="AJ761" i="1"/>
  <c r="AJ760" i="1"/>
  <c r="AJ757" i="1"/>
  <c r="CH757" i="1" s="1"/>
  <c r="BQ757" i="1" s="1"/>
  <c r="AJ756" i="1"/>
  <c r="CH756" i="1" s="1"/>
  <c r="BQ756" i="1" s="1"/>
  <c r="AJ755" i="1"/>
  <c r="CH755" i="1" s="1"/>
  <c r="BQ755" i="1" s="1"/>
  <c r="AJ754" i="1"/>
  <c r="CH754" i="1" s="1"/>
  <c r="BQ754" i="1" s="1"/>
  <c r="AJ753" i="1"/>
  <c r="CH753" i="1" s="1"/>
  <c r="BQ753" i="1" s="1"/>
  <c r="AJ752" i="1"/>
  <c r="CH752" i="1" s="1"/>
  <c r="BQ752" i="1" s="1"/>
  <c r="AJ750" i="1"/>
  <c r="CH750" i="1" s="1"/>
  <c r="BQ750" i="1" s="1"/>
  <c r="AJ748" i="1"/>
  <c r="CH748" i="1" s="1"/>
  <c r="BQ748" i="1" s="1"/>
  <c r="AJ747" i="1"/>
  <c r="CH747" i="1" s="1"/>
  <c r="BQ747" i="1" s="1"/>
  <c r="AJ746" i="1"/>
  <c r="CH746" i="1" s="1"/>
  <c r="BQ746" i="1" s="1"/>
  <c r="AJ745" i="1"/>
  <c r="CH745" i="1" s="1"/>
  <c r="BQ745" i="1" s="1"/>
  <c r="AJ744" i="1"/>
  <c r="CH744" i="1" s="1"/>
  <c r="BQ744" i="1" s="1"/>
  <c r="AJ743" i="1"/>
  <c r="CH743" i="1" s="1"/>
  <c r="BQ743" i="1" s="1"/>
  <c r="AJ742" i="1"/>
  <c r="CH742" i="1" s="1"/>
  <c r="BQ742" i="1" s="1"/>
  <c r="AJ741" i="1"/>
  <c r="CH741" i="1" s="1"/>
  <c r="BQ741" i="1" s="1"/>
  <c r="AJ739" i="1"/>
  <c r="AJ732" i="1"/>
  <c r="CH732" i="1" s="1"/>
  <c r="BQ732" i="1" s="1"/>
  <c r="AJ731" i="1"/>
  <c r="CH731" i="1" s="1"/>
  <c r="BQ731" i="1" s="1"/>
  <c r="AJ728" i="1"/>
  <c r="CH728" i="1" s="1"/>
  <c r="BQ728" i="1" s="1"/>
  <c r="AJ727" i="1"/>
  <c r="CH727" i="1" s="1"/>
  <c r="BQ727" i="1" s="1"/>
  <c r="AJ726" i="1"/>
  <c r="CH726" i="1" s="1"/>
  <c r="BQ726" i="1" s="1"/>
  <c r="AJ721" i="1"/>
  <c r="CH721" i="1" s="1"/>
  <c r="BQ721" i="1" s="1"/>
  <c r="AJ717" i="1"/>
  <c r="CH717" i="1" s="1"/>
  <c r="BQ717" i="1" s="1"/>
  <c r="AJ712" i="1"/>
  <c r="CH712" i="1" s="1"/>
  <c r="BQ712" i="1" s="1"/>
  <c r="AJ710" i="1"/>
  <c r="CH710" i="1" s="1"/>
  <c r="BQ710" i="1" s="1"/>
  <c r="AJ707" i="1"/>
  <c r="CH707" i="1" s="1"/>
  <c r="BQ707" i="1" s="1"/>
  <c r="AJ705" i="1"/>
  <c r="CH705" i="1" s="1"/>
  <c r="BQ705" i="1" s="1"/>
  <c r="AJ704" i="1"/>
  <c r="CH704" i="1" s="1"/>
  <c r="BQ704" i="1" s="1"/>
  <c r="AJ701" i="1"/>
  <c r="CH701" i="1" s="1"/>
  <c r="BQ701" i="1" s="1"/>
  <c r="AJ685" i="1"/>
  <c r="CH685" i="1" s="1"/>
  <c r="BQ685" i="1" s="1"/>
  <c r="AJ680" i="1"/>
  <c r="CH680" i="1" s="1"/>
  <c r="BQ680" i="1" s="1"/>
  <c r="AJ677" i="1"/>
  <c r="CH677" i="1" s="1"/>
  <c r="BQ677" i="1" s="1"/>
  <c r="AJ673" i="1"/>
  <c r="CH673" i="1" s="1"/>
  <c r="BQ673" i="1" s="1"/>
  <c r="AJ672" i="1"/>
  <c r="CH672" i="1" s="1"/>
  <c r="BQ672" i="1" s="1"/>
  <c r="AJ670" i="1"/>
  <c r="CH670" i="1" s="1"/>
  <c r="BQ670" i="1" s="1"/>
  <c r="AJ669" i="1"/>
  <c r="CH669" i="1" s="1"/>
  <c r="BQ669" i="1" s="1"/>
  <c r="AJ668" i="1"/>
  <c r="CH668" i="1" s="1"/>
  <c r="BQ668" i="1" s="1"/>
  <c r="AJ667" i="1"/>
  <c r="CH667" i="1" s="1"/>
  <c r="BQ667" i="1" s="1"/>
  <c r="AJ666" i="1"/>
  <c r="CH666" i="1" s="1"/>
  <c r="BQ666" i="1" s="1"/>
  <c r="AJ659" i="1"/>
  <c r="CH659" i="1" s="1"/>
  <c r="BQ659" i="1" s="1"/>
  <c r="AJ654" i="1"/>
  <c r="CH654" i="1" s="1"/>
  <c r="BQ654" i="1" s="1"/>
  <c r="AJ653" i="1"/>
  <c r="CH653" i="1" s="1"/>
  <c r="BQ653" i="1" s="1"/>
  <c r="AJ652" i="1"/>
  <c r="CH652" i="1" s="1"/>
  <c r="BQ652" i="1" s="1"/>
  <c r="AJ651" i="1"/>
  <c r="CH651" i="1" s="1"/>
  <c r="BQ651" i="1" s="1"/>
  <c r="AJ650" i="1"/>
  <c r="CH650" i="1" s="1"/>
  <c r="BQ650" i="1" s="1"/>
  <c r="AJ648" i="1"/>
  <c r="CH648" i="1" s="1"/>
  <c r="BQ648" i="1" s="1"/>
  <c r="AJ647" i="1"/>
  <c r="CH647" i="1" s="1"/>
  <c r="BQ647" i="1" s="1"/>
  <c r="AJ645" i="1"/>
  <c r="CH645" i="1" s="1"/>
  <c r="BQ645" i="1" s="1"/>
  <c r="AJ601" i="1"/>
  <c r="CH601" i="1" s="1"/>
  <c r="BQ601" i="1" s="1"/>
  <c r="AJ640" i="1"/>
  <c r="CH640" i="1" s="1"/>
  <c r="BQ640" i="1" s="1"/>
  <c r="AJ639" i="1"/>
  <c r="CH639" i="1" s="1"/>
  <c r="BQ639" i="1" s="1"/>
  <c r="AJ637" i="1"/>
  <c r="CH637" i="1" s="1"/>
  <c r="BQ637" i="1" s="1"/>
  <c r="AJ616" i="1"/>
  <c r="CH616" i="1" s="1"/>
  <c r="BQ616" i="1" s="1"/>
  <c r="AJ615" i="1"/>
  <c r="CH615" i="1" s="1"/>
  <c r="BQ615" i="1" s="1"/>
  <c r="AJ613" i="1"/>
  <c r="CH613" i="1" s="1"/>
  <c r="BQ613" i="1" s="1"/>
  <c r="AJ611" i="1"/>
  <c r="CH611" i="1" s="1"/>
  <c r="BQ611" i="1" s="1"/>
  <c r="AJ607" i="1"/>
  <c r="CH607" i="1" s="1"/>
  <c r="BQ607" i="1" s="1"/>
  <c r="AJ605" i="1"/>
  <c r="CH605" i="1" s="1"/>
  <c r="BQ605" i="1" s="1"/>
  <c r="AJ604" i="1"/>
  <c r="CH604" i="1" s="1"/>
  <c r="BQ604" i="1" s="1"/>
  <c r="AJ599" i="1"/>
  <c r="CH599" i="1" s="1"/>
  <c r="BQ599" i="1" s="1"/>
  <c r="AJ591" i="1"/>
  <c r="CH591" i="1" s="1"/>
  <c r="BQ591" i="1" s="1"/>
  <c r="AJ590" i="1"/>
  <c r="CH590" i="1" s="1"/>
  <c r="BQ590" i="1" s="1"/>
  <c r="AJ587" i="1"/>
  <c r="CH587" i="1" s="1"/>
  <c r="BQ587" i="1" s="1"/>
  <c r="AJ574" i="1"/>
  <c r="CH574" i="1" s="1"/>
  <c r="BQ574" i="1" s="1"/>
  <c r="AJ570" i="1"/>
  <c r="CH570" i="1" s="1"/>
  <c r="BQ570" i="1" s="1"/>
  <c r="AJ569" i="1"/>
  <c r="CH569" i="1" s="1"/>
  <c r="BQ569" i="1" s="1"/>
  <c r="AJ562" i="1"/>
  <c r="CH562" i="1" s="1"/>
  <c r="BQ562" i="1" s="1"/>
  <c r="AJ548" i="1"/>
  <c r="CH548" i="1" s="1"/>
  <c r="BQ548" i="1" s="1"/>
  <c r="AJ532" i="1"/>
  <c r="CH532" i="1" s="1"/>
  <c r="BQ532" i="1" s="1"/>
  <c r="AJ528" i="1"/>
  <c r="CH528" i="1" s="1"/>
  <c r="BQ528" i="1" s="1"/>
  <c r="AJ517" i="1"/>
  <c r="CH517" i="1" s="1"/>
  <c r="BQ517" i="1" s="1"/>
  <c r="AJ513" i="1"/>
  <c r="CH513" i="1" s="1"/>
  <c r="BQ513" i="1" s="1"/>
  <c r="AJ512" i="1"/>
  <c r="CH512" i="1" s="1"/>
  <c r="BQ512" i="1" s="1"/>
  <c r="AJ507" i="1"/>
  <c r="CH507" i="1" s="1"/>
  <c r="BQ507" i="1" s="1"/>
  <c r="AJ502" i="1"/>
  <c r="CH502" i="1" s="1"/>
  <c r="BQ502" i="1" s="1"/>
  <c r="AJ499" i="1"/>
  <c r="CH499" i="1" s="1"/>
  <c r="BQ499" i="1" s="1"/>
  <c r="AJ498" i="1"/>
  <c r="CH498" i="1" s="1"/>
  <c r="BQ498" i="1" s="1"/>
  <c r="AJ496" i="1"/>
  <c r="CH496" i="1" s="1"/>
  <c r="BQ496" i="1" s="1"/>
  <c r="AJ495" i="1"/>
  <c r="CH495" i="1" s="1"/>
  <c r="BQ495" i="1" s="1"/>
  <c r="AJ482" i="1"/>
  <c r="CH482" i="1" s="1"/>
  <c r="BQ482" i="1" s="1"/>
  <c r="AJ481" i="1"/>
  <c r="CH481" i="1" s="1"/>
  <c r="BQ481" i="1" s="1"/>
  <c r="AJ478" i="1"/>
  <c r="CH478" i="1" s="1"/>
  <c r="BQ478" i="1" s="1"/>
  <c r="AJ475" i="1"/>
  <c r="CH475" i="1" s="1"/>
  <c r="BQ475" i="1" s="1"/>
  <c r="AJ471" i="1"/>
  <c r="CH471" i="1" s="1"/>
  <c r="BQ471" i="1" s="1"/>
  <c r="AJ470" i="1"/>
  <c r="CH470" i="1" s="1"/>
  <c r="BQ470" i="1" s="1"/>
  <c r="AJ464" i="1"/>
  <c r="CH464" i="1" s="1"/>
  <c r="BQ464" i="1" s="1"/>
  <c r="AJ463" i="1"/>
  <c r="CH463" i="1" s="1"/>
  <c r="BQ463" i="1" s="1"/>
  <c r="AJ448" i="1"/>
  <c r="CH448" i="1" s="1"/>
  <c r="BQ448" i="1" s="1"/>
  <c r="AJ444" i="1"/>
  <c r="CH444" i="1" s="1"/>
  <c r="BQ444" i="1" s="1"/>
  <c r="AJ440" i="1"/>
  <c r="CH440" i="1" s="1"/>
  <c r="BQ440" i="1" s="1"/>
  <c r="AJ437" i="1"/>
  <c r="CH437" i="1" s="1"/>
  <c r="BQ437" i="1" s="1"/>
  <c r="AJ431" i="1"/>
  <c r="CH431" i="1" s="1"/>
  <c r="BQ431" i="1" s="1"/>
  <c r="AJ430" i="1"/>
  <c r="CH430" i="1" s="1"/>
  <c r="BQ430" i="1" s="1"/>
  <c r="AJ423" i="1"/>
  <c r="CH423" i="1" s="1"/>
  <c r="BQ423" i="1" s="1"/>
  <c r="AJ422" i="1"/>
  <c r="CH422" i="1" s="1"/>
  <c r="BQ422" i="1" s="1"/>
  <c r="AJ419" i="1"/>
  <c r="CH419" i="1" s="1"/>
  <c r="BQ419" i="1" s="1"/>
  <c r="AJ412" i="1"/>
  <c r="CH412" i="1" s="1"/>
  <c r="BQ412" i="1" s="1"/>
  <c r="AJ403" i="1"/>
  <c r="CH403" i="1" s="1"/>
  <c r="BQ403" i="1" s="1"/>
  <c r="AJ401" i="1"/>
  <c r="CH401" i="1" s="1"/>
  <c r="BQ401" i="1" s="1"/>
  <c r="AJ397" i="1"/>
  <c r="CH397" i="1" s="1"/>
  <c r="BQ397" i="1" s="1"/>
  <c r="AJ390" i="1"/>
  <c r="CH390" i="1" s="1"/>
  <c r="BQ390" i="1" s="1"/>
  <c r="AJ386" i="1"/>
  <c r="CH386" i="1" s="1"/>
  <c r="BQ386" i="1" s="1"/>
  <c r="AJ384" i="1"/>
  <c r="CH384" i="1" s="1"/>
  <c r="BQ384" i="1" s="1"/>
  <c r="AJ383" i="1"/>
  <c r="CH383" i="1" s="1"/>
  <c r="BQ383" i="1" s="1"/>
  <c r="AJ379" i="1"/>
  <c r="CH379" i="1" s="1"/>
  <c r="BQ379" i="1" s="1"/>
  <c r="AJ378" i="1"/>
  <c r="CH378" i="1" s="1"/>
  <c r="BQ378" i="1" s="1"/>
  <c r="AJ373" i="1"/>
  <c r="CH373" i="1" s="1"/>
  <c r="BQ373" i="1" s="1"/>
  <c r="AJ371" i="1"/>
  <c r="CH371" i="1" s="1"/>
  <c r="BQ371" i="1" s="1"/>
  <c r="AJ358" i="1"/>
  <c r="CH358" i="1" s="1"/>
  <c r="BQ358" i="1" s="1"/>
  <c r="AJ356" i="1"/>
  <c r="CH356" i="1" s="1"/>
  <c r="BQ356" i="1" s="1"/>
  <c r="AJ355" i="1"/>
  <c r="CH355" i="1" s="1"/>
  <c r="BQ355" i="1" s="1"/>
  <c r="AJ354" i="1"/>
  <c r="CH354" i="1" s="1"/>
  <c r="BQ354" i="1" s="1"/>
  <c r="AJ351" i="1"/>
  <c r="CH351" i="1" s="1"/>
  <c r="BQ351" i="1" s="1"/>
  <c r="AJ350" i="1"/>
  <c r="CH350" i="1" s="1"/>
  <c r="BQ350" i="1" s="1"/>
  <c r="AJ349" i="1"/>
  <c r="CH349" i="1" s="1"/>
  <c r="BQ349" i="1" s="1"/>
  <c r="AJ347" i="1"/>
  <c r="CH347" i="1" s="1"/>
  <c r="BQ347" i="1" s="1"/>
  <c r="AJ344" i="1"/>
  <c r="CH344" i="1" s="1"/>
  <c r="BQ344" i="1" s="1"/>
  <c r="AJ342" i="1"/>
  <c r="CH342" i="1" s="1"/>
  <c r="BQ342" i="1" s="1"/>
  <c r="AJ335" i="1"/>
  <c r="CH335" i="1" s="1"/>
  <c r="BQ335" i="1" s="1"/>
  <c r="AJ334" i="1"/>
  <c r="CH334" i="1" s="1"/>
  <c r="BQ334" i="1" s="1"/>
  <c r="AJ333" i="1"/>
  <c r="CH333" i="1" s="1"/>
  <c r="BQ333" i="1" s="1"/>
  <c r="AJ329" i="1"/>
  <c r="CH329" i="1" s="1"/>
  <c r="BQ329" i="1" s="1"/>
  <c r="AJ327" i="1"/>
  <c r="CH327" i="1" s="1"/>
  <c r="BQ327" i="1" s="1"/>
  <c r="AJ323" i="1"/>
  <c r="CH323" i="1" s="1"/>
  <c r="BQ323" i="1" s="1"/>
  <c r="AJ321" i="1"/>
  <c r="CH321" i="1" s="1"/>
  <c r="BQ321" i="1" s="1"/>
  <c r="AJ320" i="1"/>
  <c r="CH320" i="1" s="1"/>
  <c r="BQ320" i="1" s="1"/>
  <c r="AJ316" i="1"/>
  <c r="CH316" i="1" s="1"/>
  <c r="BQ316" i="1" s="1"/>
  <c r="AJ314" i="1"/>
  <c r="CH314" i="1" s="1"/>
  <c r="BQ314" i="1" s="1"/>
  <c r="AJ305" i="1"/>
  <c r="CH305" i="1" s="1"/>
  <c r="BQ305" i="1" s="1"/>
  <c r="AJ304" i="1"/>
  <c r="CH304" i="1" s="1"/>
  <c r="BQ304" i="1" s="1"/>
  <c r="AJ301" i="1"/>
  <c r="CH301" i="1" s="1"/>
  <c r="BQ301" i="1" s="1"/>
  <c r="AJ294" i="1"/>
  <c r="CH294" i="1" s="1"/>
  <c r="BQ294" i="1" s="1"/>
  <c r="AJ293" i="1"/>
  <c r="CH293" i="1" s="1"/>
  <c r="BQ293" i="1" s="1"/>
  <c r="AJ292" i="1"/>
  <c r="CH292" i="1" s="1"/>
  <c r="BQ292" i="1" s="1"/>
  <c r="AJ290" i="1"/>
  <c r="CH290" i="1" s="1"/>
  <c r="BQ290" i="1" s="1"/>
  <c r="AJ289" i="1"/>
  <c r="CH289" i="1" s="1"/>
  <c r="BQ289" i="1" s="1"/>
  <c r="AJ287" i="1"/>
  <c r="CH287" i="1" s="1"/>
  <c r="BQ287" i="1" s="1"/>
  <c r="AJ283" i="1"/>
  <c r="CH283" i="1" s="1"/>
  <c r="BQ283" i="1" s="1"/>
  <c r="AJ279" i="1"/>
  <c r="CH279" i="1" s="1"/>
  <c r="BQ279" i="1" s="1"/>
  <c r="AJ278" i="1"/>
  <c r="CH278" i="1" s="1"/>
  <c r="BQ278" i="1" s="1"/>
  <c r="AJ276" i="1"/>
  <c r="CH276" i="1" s="1"/>
  <c r="BQ276" i="1" s="1"/>
  <c r="AJ274" i="1"/>
  <c r="CH274" i="1" s="1"/>
  <c r="BQ274" i="1" s="1"/>
  <c r="AJ271" i="1"/>
  <c r="CH271" i="1" s="1"/>
  <c r="BQ271" i="1" s="1"/>
  <c r="AJ270" i="1"/>
  <c r="CH270" i="1" s="1"/>
  <c r="BQ270" i="1" s="1"/>
  <c r="AJ266" i="1"/>
  <c r="CH266" i="1" s="1"/>
  <c r="BQ266" i="1" s="1"/>
  <c r="AJ264" i="1"/>
  <c r="CH264" i="1" s="1"/>
  <c r="BQ264" i="1" s="1"/>
  <c r="AJ261" i="1"/>
  <c r="CH261" i="1" s="1"/>
  <c r="BQ261" i="1" s="1"/>
  <c r="AJ258" i="1"/>
  <c r="CH258" i="1" s="1"/>
  <c r="BQ258" i="1" s="1"/>
  <c r="AJ255" i="1"/>
  <c r="CH255" i="1" s="1"/>
  <c r="BQ255" i="1" s="1"/>
  <c r="AJ251" i="1"/>
  <c r="CH251" i="1" s="1"/>
  <c r="BQ251" i="1" s="1"/>
  <c r="AJ248" i="1"/>
  <c r="CH248" i="1" s="1"/>
  <c r="BQ248" i="1" s="1"/>
  <c r="AJ238" i="1"/>
  <c r="CH238" i="1" s="1"/>
  <c r="BQ238" i="1" s="1"/>
  <c r="AJ236" i="1"/>
  <c r="CH236" i="1" s="1"/>
  <c r="BQ236" i="1" s="1"/>
  <c r="AJ228" i="1"/>
  <c r="CH228" i="1" s="1"/>
  <c r="BQ228" i="1" s="1"/>
  <c r="AJ223" i="1"/>
  <c r="CH223" i="1" s="1"/>
  <c r="BQ223" i="1" s="1"/>
  <c r="AJ220" i="1"/>
  <c r="CH220" i="1" s="1"/>
  <c r="BQ220" i="1" s="1"/>
  <c r="AJ217" i="1"/>
  <c r="CH217" i="1" s="1"/>
  <c r="BQ217" i="1" s="1"/>
  <c r="AJ216" i="1"/>
  <c r="CH216" i="1" s="1"/>
  <c r="BQ216" i="1" s="1"/>
  <c r="AJ214" i="1"/>
  <c r="CH214" i="1" s="1"/>
  <c r="BQ214" i="1" s="1"/>
  <c r="AJ207" i="1"/>
  <c r="CH207" i="1" s="1"/>
  <c r="BQ207" i="1" s="1"/>
  <c r="AJ205" i="1"/>
  <c r="CH205" i="1" s="1"/>
  <c r="BQ205" i="1" s="1"/>
  <c r="AJ204" i="1"/>
  <c r="CH204" i="1" s="1"/>
  <c r="BQ204" i="1" s="1"/>
  <c r="AJ203" i="1"/>
  <c r="CH203" i="1" s="1"/>
  <c r="BQ203" i="1" s="1"/>
  <c r="AJ199" i="1"/>
  <c r="CH199" i="1" s="1"/>
  <c r="BQ199" i="1" s="1"/>
  <c r="AJ197" i="1"/>
  <c r="CH197" i="1" s="1"/>
  <c r="BQ197" i="1" s="1"/>
  <c r="AJ186" i="1"/>
  <c r="CH186" i="1" s="1"/>
  <c r="BQ186" i="1" s="1"/>
  <c r="AJ181" i="1"/>
  <c r="CH181" i="1" s="1"/>
  <c r="BQ181" i="1" s="1"/>
  <c r="AJ178" i="1"/>
  <c r="CH178" i="1" s="1"/>
  <c r="BQ178" i="1" s="1"/>
  <c r="AJ174" i="1"/>
  <c r="CH174" i="1" s="1"/>
  <c r="BQ174" i="1" s="1"/>
  <c r="AJ164" i="1"/>
  <c r="CH164" i="1" s="1"/>
  <c r="BQ164" i="1" s="1"/>
  <c r="AJ163" i="1"/>
  <c r="CH163" i="1" s="1"/>
  <c r="BQ163" i="1" s="1"/>
  <c r="AJ155" i="1"/>
  <c r="CH155" i="1" s="1"/>
  <c r="BQ155" i="1" s="1"/>
  <c r="AJ146" i="1"/>
  <c r="CH146" i="1" s="1"/>
  <c r="BQ146" i="1" s="1"/>
  <c r="AJ144" i="1"/>
  <c r="CH144" i="1" s="1"/>
  <c r="BQ144" i="1" s="1"/>
  <c r="AJ139" i="1"/>
  <c r="CH139" i="1" s="1"/>
  <c r="BQ139" i="1" s="1"/>
  <c r="AJ124" i="1"/>
  <c r="CH124" i="1" s="1"/>
  <c r="BQ124" i="1" s="1"/>
  <c r="AJ123" i="1"/>
  <c r="CH123" i="1" s="1"/>
  <c r="BQ123" i="1" s="1"/>
  <c r="AJ122" i="1"/>
  <c r="CH122" i="1" s="1"/>
  <c r="BQ122" i="1" s="1"/>
  <c r="AJ119" i="1"/>
  <c r="CH119" i="1" s="1"/>
  <c r="BQ119" i="1" s="1"/>
  <c r="AJ113" i="1"/>
  <c r="CH113" i="1" s="1"/>
  <c r="BQ113" i="1" s="1"/>
  <c r="AJ111" i="1"/>
  <c r="CH111" i="1" s="1"/>
  <c r="BQ111" i="1" s="1"/>
  <c r="AJ109" i="1"/>
  <c r="CH109" i="1" s="1"/>
  <c r="BQ109" i="1" s="1"/>
  <c r="AJ108" i="1"/>
  <c r="CH108" i="1" s="1"/>
  <c r="BQ108" i="1" s="1"/>
  <c r="AJ101" i="1"/>
  <c r="CH101" i="1" s="1"/>
  <c r="BQ101" i="1" s="1"/>
  <c r="AJ100" i="1"/>
  <c r="CH100" i="1" s="1"/>
  <c r="BQ100" i="1" s="1"/>
  <c r="AJ99" i="1"/>
  <c r="CH99" i="1" s="1"/>
  <c r="BQ99" i="1" s="1"/>
  <c r="AJ95" i="1"/>
  <c r="CH95" i="1" s="1"/>
  <c r="BQ95" i="1" s="1"/>
  <c r="AJ91" i="1"/>
  <c r="CH91" i="1" s="1"/>
  <c r="BQ91" i="1" s="1"/>
  <c r="AJ87" i="1"/>
  <c r="CH87" i="1" s="1"/>
  <c r="BQ87" i="1" s="1"/>
  <c r="AJ86" i="1"/>
  <c r="CH86" i="1" s="1"/>
  <c r="BQ86" i="1" s="1"/>
  <c r="AJ85" i="1"/>
  <c r="CH85" i="1" s="1"/>
  <c r="BQ85" i="1" s="1"/>
  <c r="AJ83" i="1"/>
  <c r="CH83" i="1" s="1"/>
  <c r="BQ83" i="1" s="1"/>
  <c r="AJ78" i="1"/>
  <c r="CH78" i="1" s="1"/>
  <c r="BQ78" i="1" s="1"/>
  <c r="AJ71" i="1"/>
  <c r="CH71" i="1" s="1"/>
  <c r="BQ71" i="1" s="1"/>
  <c r="AJ65" i="1"/>
  <c r="CH65" i="1" s="1"/>
  <c r="BQ65" i="1" s="1"/>
  <c r="AJ63" i="1"/>
  <c r="CH63" i="1" s="1"/>
  <c r="BQ63" i="1" s="1"/>
  <c r="AJ60" i="1"/>
  <c r="CH60" i="1" s="1"/>
  <c r="BQ60" i="1" s="1"/>
  <c r="AJ59" i="1"/>
  <c r="CH59" i="1" s="1"/>
  <c r="BQ59" i="1" s="1"/>
  <c r="AJ55" i="1"/>
  <c r="CH55" i="1" s="1"/>
  <c r="BQ55" i="1" s="1"/>
  <c r="AJ53" i="1"/>
  <c r="CH53" i="1" s="1"/>
  <c r="BQ53" i="1" s="1"/>
  <c r="AJ50" i="1"/>
  <c r="CH50" i="1" s="1"/>
  <c r="BQ50" i="1" s="1"/>
  <c r="AJ48" i="1"/>
  <c r="AJ41" i="1"/>
  <c r="CH41" i="1" s="1"/>
  <c r="BQ41" i="1" s="1"/>
  <c r="AJ39" i="1"/>
  <c r="CH39" i="1" s="1"/>
  <c r="BQ39" i="1" s="1"/>
  <c r="AJ34" i="1"/>
  <c r="CH34" i="1" s="1"/>
  <c r="BQ34" i="1" s="1"/>
  <c r="AJ33" i="1"/>
  <c r="CH33" i="1" s="1"/>
  <c r="BQ33" i="1" s="1"/>
  <c r="AJ32" i="1"/>
  <c r="CH32" i="1" s="1"/>
  <c r="BQ32" i="1" s="1"/>
  <c r="AJ30" i="1"/>
  <c r="CH30" i="1" s="1"/>
  <c r="BQ30" i="1" s="1"/>
  <c r="AJ29" i="1"/>
  <c r="CH29" i="1" s="1"/>
  <c r="BQ29" i="1" s="1"/>
  <c r="AJ28" i="1"/>
  <c r="CH28" i="1" s="1"/>
  <c r="BQ28" i="1" s="1"/>
  <c r="AJ26" i="1"/>
  <c r="CH26" i="1" s="1"/>
  <c r="BQ26" i="1" s="1"/>
  <c r="AJ25" i="1"/>
  <c r="CH25" i="1" s="1"/>
  <c r="BQ25" i="1" s="1"/>
  <c r="AJ24" i="1"/>
  <c r="CH24" i="1" s="1"/>
  <c r="BQ24" i="1" s="1"/>
  <c r="AJ19" i="1"/>
  <c r="CH19" i="1" s="1"/>
  <c r="BQ19" i="1" s="1"/>
  <c r="BH851" i="1" l="1"/>
  <c r="BG851" i="1" s="1"/>
  <c r="BE851" i="1" s="1"/>
  <c r="BC851" i="1" s="1"/>
  <c r="BA851" i="1" s="1"/>
  <c r="F851" i="1" s="1"/>
  <c r="BH646" i="1"/>
  <c r="BG646" i="1" s="1"/>
  <c r="BE646" i="1" s="1"/>
  <c r="BC646" i="1" s="1"/>
  <c r="BA646" i="1" s="1"/>
  <c r="F646" i="1" s="1"/>
  <c r="BH396" i="1"/>
  <c r="BG396" i="1" s="1"/>
  <c r="BE396" i="1" s="1"/>
  <c r="BC396" i="1" s="1"/>
  <c r="BA396" i="1" s="1"/>
  <c r="F396" i="1" s="1"/>
  <c r="BH597" i="1"/>
  <c r="BG597" i="1" s="1"/>
  <c r="BE597" i="1" s="1"/>
  <c r="BC597" i="1" s="1"/>
  <c r="BA597" i="1" s="1"/>
  <c r="F597" i="1" s="1"/>
  <c r="BH188" i="1"/>
  <c r="BG188" i="1" s="1"/>
  <c r="BE188" i="1" s="1"/>
  <c r="BC188" i="1" s="1"/>
  <c r="BA188" i="1" s="1"/>
  <c r="F188" i="1" s="1"/>
  <c r="BH268" i="1"/>
  <c r="BG268" i="1" s="1"/>
  <c r="BE268" i="1" s="1"/>
  <c r="BC268" i="1" s="1"/>
  <c r="BA268" i="1" s="1"/>
  <c r="F268" i="1" s="1"/>
  <c r="BH627" i="1"/>
  <c r="BG627" i="1" s="1"/>
  <c r="BE627" i="1" s="1"/>
  <c r="BC627" i="1" s="1"/>
  <c r="F627" i="1" s="1"/>
  <c r="BH635" i="1"/>
  <c r="BG635" i="1" s="1"/>
  <c r="BE635" i="1" s="1"/>
  <c r="BC635" i="1" s="1"/>
  <c r="BH27" i="1"/>
  <c r="BG27" i="1" s="1"/>
  <c r="BE27" i="1" s="1"/>
  <c r="BC27" i="1" s="1"/>
  <c r="BA27" i="1" s="1"/>
  <c r="F27" i="1" s="1"/>
  <c r="BH98" i="1"/>
  <c r="BG98" i="1" s="1"/>
  <c r="BE98" i="1" s="1"/>
  <c r="BC98" i="1" s="1"/>
  <c r="BA98" i="1" s="1"/>
  <c r="F98" i="1" s="1"/>
  <c r="BH632" i="1"/>
  <c r="BG632" i="1" s="1"/>
  <c r="BE632" i="1" s="1"/>
  <c r="BC632" i="1" s="1"/>
  <c r="BA632" i="1" s="1"/>
  <c r="F632" i="1" s="1"/>
  <c r="BH802" i="1"/>
  <c r="BG802" i="1" s="1"/>
  <c r="BE802" i="1" s="1"/>
  <c r="BC802" i="1" s="1"/>
  <c r="BA802" i="1" s="1"/>
  <c r="F802" i="1" s="1"/>
  <c r="BH843" i="1"/>
  <c r="BG843" i="1" s="1"/>
  <c r="BE843" i="1" s="1"/>
  <c r="BC843" i="1" s="1"/>
  <c r="BA843" i="1" s="1"/>
  <c r="F843" i="1" s="1"/>
  <c r="BH110" i="1"/>
  <c r="BG110" i="1" s="1"/>
  <c r="BE110" i="1" s="1"/>
  <c r="BC110" i="1" s="1"/>
  <c r="BA110" i="1" s="1"/>
  <c r="F110" i="1" s="1"/>
  <c r="BH547" i="1"/>
  <c r="BG547" i="1" s="1"/>
  <c r="BE547" i="1" s="1"/>
  <c r="BC547" i="1" s="1"/>
  <c r="BA547" i="1" s="1"/>
  <c r="F547" i="1" s="1"/>
  <c r="BH341" i="1"/>
  <c r="BG341" i="1" s="1"/>
  <c r="BE341" i="1" s="1"/>
  <c r="BC341" i="1" s="1"/>
  <c r="BA341" i="1" s="1"/>
  <c r="F341" i="1" s="1"/>
  <c r="BH189" i="1"/>
  <c r="BG189" i="1" s="1"/>
  <c r="BE189" i="1" s="1"/>
  <c r="BC189" i="1" s="1"/>
  <c r="BA189" i="1" s="1"/>
  <c r="F189" i="1" s="1"/>
  <c r="BH714" i="1"/>
  <c r="BG714" i="1" s="1"/>
  <c r="BE714" i="1" s="1"/>
  <c r="BC714" i="1" s="1"/>
  <c r="BA714" i="1" s="1"/>
  <c r="F714" i="1" s="1"/>
  <c r="BH488" i="1"/>
  <c r="BG488" i="1" s="1"/>
  <c r="BE488" i="1" s="1"/>
  <c r="BC488" i="1" s="1"/>
  <c r="BA488" i="1" s="1"/>
  <c r="F488" i="1" s="1"/>
  <c r="BH129" i="1"/>
  <c r="BG129" i="1" s="1"/>
  <c r="BE129" i="1" s="1"/>
  <c r="BC129" i="1" s="1"/>
  <c r="BA129" i="1" s="1"/>
  <c r="F129" i="1" s="1"/>
  <c r="BH817" i="1"/>
  <c r="BG817" i="1" s="1"/>
  <c r="BE817" i="1" s="1"/>
  <c r="BC817" i="1" s="1"/>
  <c r="BA817" i="1" s="1"/>
  <c r="F817" i="1" s="1"/>
  <c r="BH921" i="1"/>
  <c r="BG921" i="1" s="1"/>
  <c r="BE921" i="1" s="1"/>
  <c r="BC921" i="1" s="1"/>
  <c r="BA921" i="1" s="1"/>
  <c r="F921" i="1" s="1"/>
  <c r="BH21" i="1"/>
  <c r="BG21" i="1" s="1"/>
  <c r="BE21" i="1" s="1"/>
  <c r="BC21" i="1" s="1"/>
  <c r="BH725" i="1"/>
  <c r="BG725" i="1" s="1"/>
  <c r="BE725" i="1" s="1"/>
  <c r="BC725" i="1" s="1"/>
  <c r="BA725" i="1" s="1"/>
  <c r="F725" i="1" s="1"/>
  <c r="BH424" i="1"/>
  <c r="BG424" i="1" s="1"/>
  <c r="BE424" i="1" s="1"/>
  <c r="BC424" i="1" s="1"/>
  <c r="BA424" i="1" s="1"/>
  <c r="F424" i="1" s="1"/>
  <c r="BH80" i="1"/>
  <c r="BG80" i="1" s="1"/>
  <c r="BE80" i="1" s="1"/>
  <c r="BC80" i="1" s="1"/>
  <c r="BA80" i="1" s="1"/>
  <c r="F80" i="1" s="1"/>
  <c r="BH630" i="1"/>
  <c r="BG630" i="1" s="1"/>
  <c r="BE630" i="1" s="1"/>
  <c r="BC630" i="1" s="1"/>
  <c r="BA630" i="1" s="1"/>
  <c r="F630" i="1" s="1"/>
  <c r="BH84" i="1"/>
  <c r="BG84" i="1" s="1"/>
  <c r="BE84" i="1" s="1"/>
  <c r="BC84" i="1" s="1"/>
  <c r="BA84" i="1" s="1"/>
  <c r="F84" i="1" s="1"/>
  <c r="BH767" i="1"/>
  <c r="BG767" i="1" s="1"/>
  <c r="BE767" i="1" s="1"/>
  <c r="BC767" i="1" s="1"/>
  <c r="BA767" i="1" s="1"/>
  <c r="F767" i="1" s="1"/>
  <c r="BH511" i="1"/>
  <c r="BG511" i="1" s="1"/>
  <c r="BE511" i="1" s="1"/>
  <c r="BC511" i="1" s="1"/>
  <c r="BA511" i="1" s="1"/>
  <c r="F511" i="1" s="1"/>
  <c r="BH912" i="1"/>
  <c r="BG912" i="1" s="1"/>
  <c r="BE912" i="1" s="1"/>
  <c r="BC912" i="1" s="1"/>
  <c r="BA912" i="1" s="1"/>
  <c r="F912" i="1" s="1"/>
  <c r="BH582" i="1"/>
  <c r="BG582" i="1" s="1"/>
  <c r="BE582" i="1" s="1"/>
  <c r="BC582" i="1" s="1"/>
  <c r="BA582" i="1" s="1"/>
  <c r="F582" i="1" s="1"/>
  <c r="BH166" i="1"/>
  <c r="BG166" i="1" s="1"/>
  <c r="BE166" i="1" s="1"/>
  <c r="BC166" i="1" s="1"/>
  <c r="BA166" i="1" s="1"/>
  <c r="F166" i="1" s="1"/>
  <c r="BH589" i="1"/>
  <c r="BG589" i="1" s="1"/>
  <c r="BE589" i="1" s="1"/>
  <c r="BC589" i="1" s="1"/>
  <c r="BA589" i="1" s="1"/>
  <c r="F589" i="1" s="1"/>
  <c r="BH331" i="1"/>
  <c r="BG331" i="1" s="1"/>
  <c r="BE331" i="1" s="1"/>
  <c r="BC331" i="1" s="1"/>
  <c r="BA331" i="1" s="1"/>
  <c r="F331" i="1" s="1"/>
  <c r="BG17" i="1"/>
  <c r="BE17" i="1" s="1"/>
  <c r="BC17" i="1" s="1"/>
  <c r="BA17" i="1" s="1"/>
  <c r="F17" i="1" s="1"/>
  <c r="BH915" i="1"/>
  <c r="BG915" i="1" s="1"/>
  <c r="BE915" i="1" s="1"/>
  <c r="BC915" i="1" s="1"/>
  <c r="BA915" i="1" s="1"/>
  <c r="F915" i="1" s="1"/>
  <c r="BH716" i="1"/>
  <c r="BG716" i="1" s="1"/>
  <c r="BE716" i="1" s="1"/>
  <c r="BC716" i="1" s="1"/>
  <c r="BA716" i="1" s="1"/>
  <c r="F716" i="1" s="1"/>
  <c r="BH907" i="1"/>
  <c r="BG907" i="1" s="1"/>
  <c r="BE907" i="1" s="1"/>
  <c r="BC907" i="1" s="1"/>
  <c r="BA907" i="1" s="1"/>
  <c r="F907" i="1" s="1"/>
  <c r="BH138" i="1"/>
  <c r="BG138" i="1" s="1"/>
  <c r="BE138" i="1" s="1"/>
  <c r="BC138" i="1" s="1"/>
  <c r="BA138" i="1" s="1"/>
  <c r="F138" i="1" s="1"/>
  <c r="BH566" i="1"/>
  <c r="BG566" i="1" s="1"/>
  <c r="BE566" i="1" s="1"/>
  <c r="BC566" i="1" s="1"/>
  <c r="BA566" i="1" s="1"/>
  <c r="F566" i="1" s="1"/>
  <c r="BH702" i="1"/>
  <c r="BG702" i="1" s="1"/>
  <c r="BE702" i="1" s="1"/>
  <c r="BC702" i="1" s="1"/>
  <c r="BA702" i="1" s="1"/>
  <c r="F702" i="1" s="1"/>
  <c r="BH642" i="1"/>
  <c r="BG642" i="1" s="1"/>
  <c r="BE642" i="1" s="1"/>
  <c r="BC642" i="1" s="1"/>
  <c r="BA642" i="1" s="1"/>
  <c r="F642" i="1" s="1"/>
  <c r="BH759" i="1"/>
  <c r="BG759" i="1" s="1"/>
  <c r="BE759" i="1" s="1"/>
  <c r="BC759" i="1" s="1"/>
  <c r="BA759" i="1" s="1"/>
  <c r="F759" i="1" s="1"/>
  <c r="BH476" i="1"/>
  <c r="BG476" i="1" s="1"/>
  <c r="BE476" i="1" s="1"/>
  <c r="BC476" i="1" s="1"/>
  <c r="BA476" i="1" s="1"/>
  <c r="F476" i="1" s="1"/>
  <c r="BH143" i="1"/>
  <c r="BG143" i="1" s="1"/>
  <c r="BE143" i="1" s="1"/>
  <c r="BC143" i="1" s="1"/>
  <c r="BA143" i="1" s="1"/>
  <c r="F143" i="1" s="1"/>
  <c r="BH280" i="1"/>
  <c r="BG280" i="1" s="1"/>
  <c r="BE280" i="1" s="1"/>
  <c r="BC280" i="1" s="1"/>
  <c r="BA280" i="1" s="1"/>
  <c r="F280" i="1" s="1"/>
  <c r="BH282" i="1"/>
  <c r="BG282" i="1" s="1"/>
  <c r="BE282" i="1" s="1"/>
  <c r="BC282" i="1" s="1"/>
  <c r="BA282" i="1" s="1"/>
  <c r="F282" i="1" s="1"/>
  <c r="BH568" i="1"/>
  <c r="BG568" i="1" s="1"/>
  <c r="BE568" i="1" s="1"/>
  <c r="BC568" i="1" s="1"/>
  <c r="BA568" i="1" s="1"/>
  <c r="F568" i="1" s="1"/>
  <c r="BH275" i="1"/>
  <c r="BG275" i="1" s="1"/>
  <c r="BE275" i="1" s="1"/>
  <c r="BC275" i="1" s="1"/>
  <c r="BA275" i="1" s="1"/>
  <c r="F275" i="1" s="1"/>
  <c r="BH439" i="1"/>
  <c r="BG439" i="1" s="1"/>
  <c r="BE439" i="1" s="1"/>
  <c r="BC439" i="1" s="1"/>
  <c r="BA439" i="1" s="1"/>
  <c r="F439" i="1" s="1"/>
  <c r="BH807" i="1"/>
  <c r="BG807" i="1" s="1"/>
  <c r="BE807" i="1" s="1"/>
  <c r="BC807" i="1" s="1"/>
  <c r="BA807" i="1" s="1"/>
  <c r="F807" i="1" s="1"/>
  <c r="BH787" i="1"/>
  <c r="BG787" i="1" s="1"/>
  <c r="BE787" i="1" s="1"/>
  <c r="BC787" i="1" s="1"/>
  <c r="BA787" i="1" s="1"/>
  <c r="F787" i="1" s="1"/>
  <c r="BH296" i="1"/>
  <c r="BG296" i="1" s="1"/>
  <c r="BE296" i="1" s="1"/>
  <c r="BC296" i="1" s="1"/>
  <c r="BA296" i="1" s="1"/>
  <c r="F296" i="1" s="1"/>
  <c r="BH353" i="1"/>
  <c r="BG353" i="1" s="1"/>
  <c r="BE353" i="1" s="1"/>
  <c r="BC353" i="1" s="1"/>
  <c r="BA353" i="1" s="1"/>
  <c r="F353" i="1" s="1"/>
  <c r="BH649" i="1"/>
  <c r="BG649" i="1" s="1"/>
  <c r="BE649" i="1" s="1"/>
  <c r="BC649" i="1" s="1"/>
  <c r="BA649" i="1" s="1"/>
  <c r="F649" i="1" s="1"/>
  <c r="BH420" i="1"/>
  <c r="BG420" i="1" s="1"/>
  <c r="BE420" i="1" s="1"/>
  <c r="BC420" i="1" s="1"/>
  <c r="BA420" i="1" s="1"/>
  <c r="F420" i="1" s="1"/>
  <c r="BH504" i="1"/>
  <c r="BG504" i="1" s="1"/>
  <c r="BE504" i="1" s="1"/>
  <c r="BC504" i="1" s="1"/>
  <c r="BA504" i="1" s="1"/>
  <c r="F504" i="1" s="1"/>
  <c r="BH699" i="1"/>
  <c r="BG699" i="1" s="1"/>
  <c r="BE699" i="1" s="1"/>
  <c r="BC699" i="1" s="1"/>
  <c r="BA699" i="1" s="1"/>
  <c r="F699" i="1" s="1"/>
  <c r="BH703" i="1"/>
  <c r="BG703" i="1" s="1"/>
  <c r="BE703" i="1" s="1"/>
  <c r="BC703" i="1" s="1"/>
  <c r="BA703" i="1" s="1"/>
  <c r="F703" i="1" s="1"/>
  <c r="BH395" i="1"/>
  <c r="BG395" i="1" s="1"/>
  <c r="BE395" i="1" s="1"/>
  <c r="BC395" i="1" s="1"/>
  <c r="BA395" i="1" s="1"/>
  <c r="F395" i="1" s="1"/>
  <c r="BH410" i="1"/>
  <c r="BG410" i="1" s="1"/>
  <c r="BE410" i="1" s="1"/>
  <c r="BC410" i="1" s="1"/>
  <c r="BA410" i="1" s="1"/>
  <c r="F410" i="1" s="1"/>
  <c r="BH610" i="1"/>
  <c r="BG610" i="1" s="1"/>
  <c r="BE610" i="1" s="1"/>
  <c r="BC610" i="1" s="1"/>
  <c r="BA610" i="1" s="1"/>
  <c r="F610" i="1" s="1"/>
  <c r="BH515" i="1"/>
  <c r="BG515" i="1" s="1"/>
  <c r="BE515" i="1" s="1"/>
  <c r="BC515" i="1" s="1"/>
  <c r="BA515" i="1" s="1"/>
  <c r="F515" i="1" s="1"/>
  <c r="BH477" i="1"/>
  <c r="BG477" i="1" s="1"/>
  <c r="BE477" i="1" s="1"/>
  <c r="BC477" i="1" s="1"/>
  <c r="BA477" i="1" s="1"/>
  <c r="F477" i="1" s="1"/>
  <c r="BH596" i="1"/>
  <c r="BG596" i="1" s="1"/>
  <c r="BE596" i="1" s="1"/>
  <c r="BC596" i="1" s="1"/>
  <c r="BA596" i="1" s="1"/>
  <c r="F596" i="1" s="1"/>
  <c r="BH772" i="1"/>
  <c r="BG772" i="1" s="1"/>
  <c r="BE772" i="1" s="1"/>
  <c r="BC772" i="1" s="1"/>
  <c r="BA772" i="1" s="1"/>
  <c r="F772" i="1" s="1"/>
  <c r="BH112" i="1"/>
  <c r="BG112" i="1" s="1"/>
  <c r="BE112" i="1" s="1"/>
  <c r="BC112" i="1" s="1"/>
  <c r="BA112" i="1" s="1"/>
  <c r="F112" i="1" s="1"/>
  <c r="BH490" i="1"/>
  <c r="BG490" i="1" s="1"/>
  <c r="BE490" i="1" s="1"/>
  <c r="BC490" i="1" s="1"/>
  <c r="BA490" i="1" s="1"/>
  <c r="F490" i="1" s="1"/>
  <c r="BH608" i="1"/>
  <c r="BG608" i="1" s="1"/>
  <c r="BE608" i="1" s="1"/>
  <c r="BC608" i="1" s="1"/>
  <c r="BA608" i="1" s="1"/>
  <c r="F608" i="1" s="1"/>
  <c r="BH671" i="1"/>
  <c r="BG671" i="1" s="1"/>
  <c r="BE671" i="1" s="1"/>
  <c r="BC671" i="1" s="1"/>
  <c r="BA671" i="1" s="1"/>
  <c r="F671" i="1" s="1"/>
  <c r="BH318" i="1"/>
  <c r="BG318" i="1" s="1"/>
  <c r="BE318" i="1" s="1"/>
  <c r="BC318" i="1" s="1"/>
  <c r="BA318" i="1" s="1"/>
  <c r="F318" i="1" s="1"/>
  <c r="BH45" i="1"/>
  <c r="BG45" i="1" s="1"/>
  <c r="BE45" i="1" s="1"/>
  <c r="BC45" i="1" s="1"/>
  <c r="BA45" i="1" s="1"/>
  <c r="F45" i="1" s="1"/>
  <c r="BH126" i="1"/>
  <c r="BG126" i="1" s="1"/>
  <c r="BE126" i="1" s="1"/>
  <c r="BC126" i="1" s="1"/>
  <c r="BA126" i="1" s="1"/>
  <c r="F126" i="1" s="1"/>
  <c r="BH235" i="1"/>
  <c r="BG235" i="1" s="1"/>
  <c r="BE235" i="1" s="1"/>
  <c r="BC235" i="1" s="1"/>
  <c r="BA235" i="1" s="1"/>
  <c r="F235" i="1" s="1"/>
  <c r="BH176" i="1"/>
  <c r="BG176" i="1" s="1"/>
  <c r="BE176" i="1" s="1"/>
  <c r="BC176" i="1" s="1"/>
  <c r="BA176" i="1" s="1"/>
  <c r="F176" i="1" s="1"/>
  <c r="BH595" i="1"/>
  <c r="BG595" i="1" s="1"/>
  <c r="BE595" i="1" s="1"/>
  <c r="BC595" i="1" s="1"/>
  <c r="BA595" i="1" s="1"/>
  <c r="F595" i="1" s="1"/>
  <c r="BH69" i="1"/>
  <c r="BG69" i="1" s="1"/>
  <c r="BE69" i="1" s="1"/>
  <c r="BC69" i="1" s="1"/>
  <c r="BA69" i="1" s="1"/>
  <c r="F69" i="1" s="1"/>
  <c r="BH888" i="1"/>
  <c r="BG888" i="1" s="1"/>
  <c r="BE888" i="1" s="1"/>
  <c r="BC888" i="1" s="1"/>
  <c r="BA888" i="1" s="1"/>
  <c r="F888" i="1" s="1"/>
  <c r="BH872" i="1"/>
  <c r="BG872" i="1" s="1"/>
  <c r="BE872" i="1" s="1"/>
  <c r="BC872" i="1" s="1"/>
  <c r="BA872" i="1" s="1"/>
  <c r="F872" i="1" s="1"/>
  <c r="BH173" i="1"/>
  <c r="BG173" i="1" s="1"/>
  <c r="BE173" i="1" s="1"/>
  <c r="BC173" i="1" s="1"/>
  <c r="BA173" i="1" s="1"/>
  <c r="F173" i="1" s="1"/>
  <c r="BH382" i="1"/>
  <c r="BG382" i="1" s="1"/>
  <c r="BE382" i="1" s="1"/>
  <c r="BC382" i="1" s="1"/>
  <c r="BA382" i="1" s="1"/>
  <c r="F382" i="1" s="1"/>
  <c r="BH20" i="1"/>
  <c r="BG20" i="1" s="1"/>
  <c r="BE20" i="1" s="1"/>
  <c r="BC20" i="1" s="1"/>
  <c r="BA20" i="1" s="1"/>
  <c r="F20" i="1" s="1"/>
  <c r="BH711" i="1"/>
  <c r="BG711" i="1" s="1"/>
  <c r="BE711" i="1" s="1"/>
  <c r="BC711" i="1" s="1"/>
  <c r="BA711" i="1" s="1"/>
  <c r="F711" i="1" s="1"/>
  <c r="BH179" i="1"/>
  <c r="BG179" i="1" s="1"/>
  <c r="BE179" i="1" s="1"/>
  <c r="BC179" i="1" s="1"/>
  <c r="BA179" i="1" s="1"/>
  <c r="BH485" i="1"/>
  <c r="BG485" i="1" s="1"/>
  <c r="BE485" i="1" s="1"/>
  <c r="BC485" i="1" s="1"/>
  <c r="BA485" i="1" s="1"/>
  <c r="F485" i="1" s="1"/>
  <c r="BH285" i="1"/>
  <c r="BG285" i="1" s="1"/>
  <c r="BE285" i="1" s="1"/>
  <c r="BC285" i="1" s="1"/>
  <c r="BA285" i="1" s="1"/>
  <c r="F285" i="1" s="1"/>
  <c r="BH202" i="1"/>
  <c r="BG202" i="1" s="1"/>
  <c r="BE202" i="1" s="1"/>
  <c r="BC202" i="1" s="1"/>
  <c r="BA202" i="1" s="1"/>
  <c r="F202" i="1" s="1"/>
  <c r="BH366" i="1"/>
  <c r="BG366" i="1" s="1"/>
  <c r="BE366" i="1" s="1"/>
  <c r="BC366" i="1" s="1"/>
  <c r="BA366" i="1" s="1"/>
  <c r="BH749" i="1"/>
  <c r="BG749" i="1" s="1"/>
  <c r="BE749" i="1" s="1"/>
  <c r="BC749" i="1" s="1"/>
  <c r="BH906" i="1"/>
  <c r="BG906" i="1" s="1"/>
  <c r="BE906" i="1" s="1"/>
  <c r="BC906" i="1" s="1"/>
  <c r="BH693" i="1"/>
  <c r="BG693" i="1" s="1"/>
  <c r="BE693" i="1" s="1"/>
  <c r="BC693" i="1" s="1"/>
  <c r="BH886" i="1"/>
  <c r="BG886" i="1" s="1"/>
  <c r="BE886" i="1" s="1"/>
  <c r="BC886" i="1" s="1"/>
  <c r="BH852" i="1"/>
  <c r="BG852" i="1" s="1"/>
  <c r="BE852" i="1" s="1"/>
  <c r="BC852" i="1" s="1"/>
  <c r="BH720" i="1"/>
  <c r="BG720" i="1" s="1"/>
  <c r="BE720" i="1" s="1"/>
  <c r="BC720" i="1" s="1"/>
  <c r="BH467" i="1"/>
  <c r="BG467" i="1" s="1"/>
  <c r="BE467" i="1" s="1"/>
  <c r="BC467" i="1" s="1"/>
  <c r="BH54" i="1"/>
  <c r="BG54" i="1" s="1"/>
  <c r="BE54" i="1" s="1"/>
  <c r="BC54" i="1" s="1"/>
  <c r="BH911" i="1"/>
  <c r="BG911" i="1" s="1"/>
  <c r="BE911" i="1" s="1"/>
  <c r="BC911" i="1" s="1"/>
  <c r="BH434" i="1"/>
  <c r="BG434" i="1" s="1"/>
  <c r="BE434" i="1" s="1"/>
  <c r="BC434" i="1" s="1"/>
  <c r="BH175" i="1"/>
  <c r="BG175" i="1" s="1"/>
  <c r="BE175" i="1" s="1"/>
  <c r="BC175" i="1" s="1"/>
  <c r="BH114" i="1"/>
  <c r="BG114" i="1" s="1"/>
  <c r="BE114" i="1" s="1"/>
  <c r="BC114" i="1" s="1"/>
  <c r="BH783" i="1"/>
  <c r="BG783" i="1" s="1"/>
  <c r="BE783" i="1" s="1"/>
  <c r="BC783" i="1" s="1"/>
  <c r="BH892" i="1"/>
  <c r="BG892" i="1" s="1"/>
  <c r="BE892" i="1" s="1"/>
  <c r="BC892" i="1" s="1"/>
  <c r="BH822" i="1"/>
  <c r="BG822" i="1" s="1"/>
  <c r="BE822" i="1" s="1"/>
  <c r="BC822" i="1" s="1"/>
  <c r="BH465" i="1"/>
  <c r="BG465" i="1" s="1"/>
  <c r="BE465" i="1" s="1"/>
  <c r="BC465" i="1" s="1"/>
  <c r="BH479" i="1"/>
  <c r="BG479" i="1" s="1"/>
  <c r="BE479" i="1" s="1"/>
  <c r="BC479" i="1" s="1"/>
  <c r="BH133" i="1"/>
  <c r="BG133" i="1" s="1"/>
  <c r="BE133" i="1" s="1"/>
  <c r="BC133" i="1" s="1"/>
  <c r="BH352" i="1"/>
  <c r="BG352" i="1" s="1"/>
  <c r="BE352" i="1" s="1"/>
  <c r="BC352" i="1" s="1"/>
  <c r="BH337" i="1"/>
  <c r="BG337" i="1" s="1"/>
  <c r="BE337" i="1" s="1"/>
  <c r="BC337" i="1" s="1"/>
  <c r="BH533" i="1"/>
  <c r="BG533" i="1" s="1"/>
  <c r="BE533" i="1" s="1"/>
  <c r="BC533" i="1" s="1"/>
  <c r="BH785" i="1"/>
  <c r="BG785" i="1" s="1"/>
  <c r="BE785" i="1" s="1"/>
  <c r="BC785" i="1" s="1"/>
  <c r="BH855" i="1"/>
  <c r="BG855" i="1" s="1"/>
  <c r="BE855" i="1" s="1"/>
  <c r="BC855" i="1" s="1"/>
  <c r="BH709" i="1"/>
  <c r="BG709" i="1" s="1"/>
  <c r="BE709" i="1" s="1"/>
  <c r="BC709" i="1" s="1"/>
  <c r="BH544" i="1"/>
  <c r="BG544" i="1" s="1"/>
  <c r="BE544" i="1" s="1"/>
  <c r="BC544" i="1" s="1"/>
  <c r="BH52" i="1"/>
  <c r="BG52" i="1" s="1"/>
  <c r="BE52" i="1" s="1"/>
  <c r="BC52" i="1" s="1"/>
  <c r="BH883" i="1"/>
  <c r="BG883" i="1" s="1"/>
  <c r="BE883" i="1" s="1"/>
  <c r="BC883" i="1" s="1"/>
  <c r="BH516" i="1"/>
  <c r="BG516" i="1" s="1"/>
  <c r="BE516" i="1" s="1"/>
  <c r="BC516" i="1" s="1"/>
  <c r="BH873" i="1"/>
  <c r="BG873" i="1" s="1"/>
  <c r="BE873" i="1" s="1"/>
  <c r="BC873" i="1" s="1"/>
  <c r="BH766" i="1"/>
  <c r="BG766" i="1" s="1"/>
  <c r="BE766" i="1" s="1"/>
  <c r="BC766" i="1" s="1"/>
  <c r="BH797" i="1"/>
  <c r="BG797" i="1" s="1"/>
  <c r="BE797" i="1" s="1"/>
  <c r="BC797" i="1" s="1"/>
  <c r="BH494" i="1"/>
  <c r="BG494" i="1" s="1"/>
  <c r="BE494" i="1" s="1"/>
  <c r="BC494" i="1" s="1"/>
  <c r="BH578" i="1"/>
  <c r="BG578" i="1" s="1"/>
  <c r="BE578" i="1" s="1"/>
  <c r="BC578" i="1" s="1"/>
  <c r="BH903" i="1"/>
  <c r="BG903" i="1" s="1"/>
  <c r="BE903" i="1" s="1"/>
  <c r="BC903" i="1" s="1"/>
  <c r="BH824" i="1"/>
  <c r="BG824" i="1" s="1"/>
  <c r="BE824" i="1" s="1"/>
  <c r="BC824" i="1" s="1"/>
  <c r="BH623" i="1"/>
  <c r="BG623" i="1" s="1"/>
  <c r="BE623" i="1" s="1"/>
  <c r="BC623" i="1" s="1"/>
  <c r="BH837" i="1"/>
  <c r="BG837" i="1" s="1"/>
  <c r="BE837" i="1" s="1"/>
  <c r="BC837" i="1" s="1"/>
  <c r="BH786" i="1"/>
  <c r="BG786" i="1" s="1"/>
  <c r="BE786" i="1" s="1"/>
  <c r="BC786" i="1" s="1"/>
  <c r="BH840" i="1"/>
  <c r="BG840" i="1" s="1"/>
  <c r="BE840" i="1" s="1"/>
  <c r="BC840" i="1" s="1"/>
  <c r="BH697" i="1"/>
  <c r="BG697" i="1" s="1"/>
  <c r="BE697" i="1" s="1"/>
  <c r="BC697" i="1" s="1"/>
  <c r="BH576" i="1"/>
  <c r="BG576" i="1" s="1"/>
  <c r="BE576" i="1" s="1"/>
  <c r="BC576" i="1" s="1"/>
  <c r="BH644" i="1"/>
  <c r="BG644" i="1" s="1"/>
  <c r="BE644" i="1" s="1"/>
  <c r="BC644" i="1" s="1"/>
  <c r="BH393" i="1"/>
  <c r="BG393" i="1" s="1"/>
  <c r="BE393" i="1" s="1"/>
  <c r="BC393" i="1" s="1"/>
  <c r="BH47" i="1"/>
  <c r="BG47" i="1" s="1"/>
  <c r="BE47" i="1" s="1"/>
  <c r="BC47" i="1" s="1"/>
  <c r="BH23" i="1"/>
  <c r="BG23" i="1" s="1"/>
  <c r="BE23" i="1" s="1"/>
  <c r="BC23" i="1" s="1"/>
  <c r="BH565" i="1"/>
  <c r="BG565" i="1" s="1"/>
  <c r="BE565" i="1" s="1"/>
  <c r="BC565" i="1" s="1"/>
  <c r="BH614" i="1"/>
  <c r="BG614" i="1" s="1"/>
  <c r="BE614" i="1" s="1"/>
  <c r="BC614" i="1" s="1"/>
  <c r="BH177" i="1"/>
  <c r="BG177" i="1" s="1"/>
  <c r="BE177" i="1" s="1"/>
  <c r="BC177" i="1" s="1"/>
  <c r="BH853" i="1"/>
  <c r="BG853" i="1" s="1"/>
  <c r="BE853" i="1" s="1"/>
  <c r="BC853" i="1" s="1"/>
  <c r="BH730" i="1"/>
  <c r="BG730" i="1" s="1"/>
  <c r="BE730" i="1" s="1"/>
  <c r="BC730" i="1" s="1"/>
  <c r="BH729" i="1"/>
  <c r="BG729" i="1" s="1"/>
  <c r="BE729" i="1" s="1"/>
  <c r="BC729" i="1" s="1"/>
  <c r="BH598" i="1"/>
  <c r="BG598" i="1" s="1"/>
  <c r="BE598" i="1" s="1"/>
  <c r="BC598" i="1" s="1"/>
  <c r="BH612" i="1"/>
  <c r="BG612" i="1" s="1"/>
  <c r="BE612" i="1" s="1"/>
  <c r="BC612" i="1" s="1"/>
  <c r="BH375" i="1"/>
  <c r="BG375" i="1" s="1"/>
  <c r="BE375" i="1" s="1"/>
  <c r="BC375" i="1" s="1"/>
  <c r="BH247" i="1"/>
  <c r="BG247" i="1" s="1"/>
  <c r="BE247" i="1" s="1"/>
  <c r="BC247" i="1" s="1"/>
  <c r="BH97" i="1"/>
  <c r="BG97" i="1" s="1"/>
  <c r="BE97" i="1" s="1"/>
  <c r="BC97" i="1" s="1"/>
  <c r="BH674" i="1"/>
  <c r="BG674" i="1" s="1"/>
  <c r="BE674" i="1" s="1"/>
  <c r="BC674" i="1" s="1"/>
  <c r="BH486" i="1"/>
  <c r="BG486" i="1" s="1"/>
  <c r="BE486" i="1" s="1"/>
  <c r="BC486" i="1" s="1"/>
  <c r="BH201" i="1"/>
  <c r="BG201" i="1" s="1"/>
  <c r="BE201" i="1" s="1"/>
  <c r="BC201" i="1" s="1"/>
  <c r="BH51" i="1"/>
  <c r="BG51" i="1" s="1"/>
  <c r="BE51" i="1" s="1"/>
  <c r="BC51" i="1" s="1"/>
  <c r="BH758" i="1"/>
  <c r="BG758" i="1" s="1"/>
  <c r="BE758" i="1" s="1"/>
  <c r="BC758" i="1" s="1"/>
  <c r="BH687" i="1"/>
  <c r="BG687" i="1" s="1"/>
  <c r="BE687" i="1" s="1"/>
  <c r="BC687" i="1" s="1"/>
  <c r="BH411" i="1"/>
  <c r="BG411" i="1" s="1"/>
  <c r="BE411" i="1" s="1"/>
  <c r="BC411" i="1" s="1"/>
  <c r="BH452" i="1"/>
  <c r="BG452" i="1" s="1"/>
  <c r="BE452" i="1" s="1"/>
  <c r="BC452" i="1" s="1"/>
  <c r="BH346" i="1"/>
  <c r="BG346" i="1" s="1"/>
  <c r="BE346" i="1" s="1"/>
  <c r="BC346" i="1" s="1"/>
  <c r="BH18" i="1"/>
  <c r="BG18" i="1" s="1"/>
  <c r="BE18" i="1" s="1"/>
  <c r="BC18" i="1" s="1"/>
  <c r="BH700" i="1"/>
  <c r="BG700" i="1" s="1"/>
  <c r="BE700" i="1" s="1"/>
  <c r="BC700" i="1" s="1"/>
  <c r="BH230" i="1"/>
  <c r="BG230" i="1" s="1"/>
  <c r="BE230" i="1" s="1"/>
  <c r="BC230" i="1" s="1"/>
  <c r="BH413" i="1"/>
  <c r="BG413" i="1" s="1"/>
  <c r="BE413" i="1" s="1"/>
  <c r="BC413" i="1" s="1"/>
  <c r="BH606" i="1"/>
  <c r="BG606" i="1" s="1"/>
  <c r="BE606" i="1" s="1"/>
  <c r="BC606" i="1" s="1"/>
  <c r="BH449" i="1"/>
  <c r="BG449" i="1" s="1"/>
  <c r="BE449" i="1" s="1"/>
  <c r="BC449" i="1" s="1"/>
  <c r="BH561" i="1"/>
  <c r="BG561" i="1" s="1"/>
  <c r="BE561" i="1" s="1"/>
  <c r="BC561" i="1" s="1"/>
  <c r="BH249" i="1"/>
  <c r="BG249" i="1" s="1"/>
  <c r="BE249" i="1" s="1"/>
  <c r="BC249" i="1" s="1"/>
  <c r="BH593" i="1"/>
  <c r="BG593" i="1" s="1"/>
  <c r="BE593" i="1" s="1"/>
  <c r="BC593" i="1" s="1"/>
  <c r="BH364" i="1"/>
  <c r="BG364" i="1" s="1"/>
  <c r="BE364" i="1" s="1"/>
  <c r="BC364" i="1" s="1"/>
  <c r="BH480" i="1"/>
  <c r="BG480" i="1" s="1"/>
  <c r="BE480" i="1" s="1"/>
  <c r="BC480" i="1" s="1"/>
  <c r="BH722" i="1"/>
  <c r="BG722" i="1" s="1"/>
  <c r="BE722" i="1" s="1"/>
  <c r="BC722" i="1" s="1"/>
  <c r="BH291" i="1"/>
  <c r="BG291" i="1" s="1"/>
  <c r="BE291" i="1" s="1"/>
  <c r="BC291" i="1" s="1"/>
  <c r="BH751" i="1"/>
  <c r="BG751" i="1" s="1"/>
  <c r="BE751" i="1" s="1"/>
  <c r="BC751" i="1" s="1"/>
  <c r="BH438" i="1"/>
  <c r="BG438" i="1" s="1"/>
  <c r="BE438" i="1" s="1"/>
  <c r="BC438" i="1" s="1"/>
  <c r="BH891" i="1"/>
  <c r="BG891" i="1" s="1"/>
  <c r="BE891" i="1" s="1"/>
  <c r="BC891" i="1" s="1"/>
  <c r="BH483" i="1"/>
  <c r="BG483" i="1" s="1"/>
  <c r="BE483" i="1" s="1"/>
  <c r="BC483" i="1" s="1"/>
  <c r="BH841" i="1"/>
  <c r="BG841" i="1" s="1"/>
  <c r="BE841" i="1" s="1"/>
  <c r="BH581" i="1"/>
  <c r="BG581" i="1" s="1"/>
  <c r="BH214" i="1"/>
  <c r="BG214" i="1" s="1"/>
  <c r="BE214" i="1" s="1"/>
  <c r="BH498" i="1"/>
  <c r="BG498" i="1" s="1"/>
  <c r="BE498" i="1" s="1"/>
  <c r="BH120" i="1"/>
  <c r="BG120" i="1" s="1"/>
  <c r="BE120" i="1" s="1"/>
  <c r="BH233" i="1"/>
  <c r="BG233" i="1" s="1"/>
  <c r="BH169" i="1"/>
  <c r="BG169" i="1" s="1"/>
  <c r="BH221" i="1"/>
  <c r="BG221" i="1" s="1"/>
  <c r="BE221" i="1" s="1"/>
  <c r="BH260" i="1"/>
  <c r="BG260" i="1" s="1"/>
  <c r="BH429" i="1"/>
  <c r="BG429" i="1" s="1"/>
  <c r="BH277" i="1"/>
  <c r="BG277" i="1" s="1"/>
  <c r="BH315" i="1"/>
  <c r="BG315" i="1" s="1"/>
  <c r="BH389" i="1"/>
  <c r="BG389" i="1" s="1"/>
  <c r="BE389" i="1" s="1"/>
  <c r="BH536" i="1"/>
  <c r="BG536" i="1" s="1"/>
  <c r="BH858" i="1"/>
  <c r="BG858" i="1" s="1"/>
  <c r="BH898" i="1"/>
  <c r="BG898" i="1" s="1"/>
  <c r="BH775" i="1"/>
  <c r="BG775" i="1" s="1"/>
  <c r="BH881" i="1"/>
  <c r="BG881" i="1" s="1"/>
  <c r="BH29" i="1"/>
  <c r="BG29" i="1" s="1"/>
  <c r="BE29" i="1" s="1"/>
  <c r="BH628" i="1"/>
  <c r="BG628" i="1" s="1"/>
  <c r="BE628" i="1" s="1"/>
  <c r="BH170" i="1"/>
  <c r="BG170" i="1" s="1"/>
  <c r="BH225" i="1"/>
  <c r="BG225" i="1" s="1"/>
  <c r="BH200" i="1"/>
  <c r="BG200" i="1" s="1"/>
  <c r="BH319" i="1"/>
  <c r="BG319" i="1" s="1"/>
  <c r="BH418" i="1"/>
  <c r="BG418" i="1" s="1"/>
  <c r="BH860" i="1"/>
  <c r="BG860" i="1" s="1"/>
  <c r="BE860" i="1" s="1"/>
  <c r="BH905" i="1"/>
  <c r="BG905" i="1" s="1"/>
  <c r="BH641" i="1"/>
  <c r="BG641" i="1" s="1"/>
  <c r="BE641" i="1" s="1"/>
  <c r="BC641" i="1" s="1"/>
  <c r="F641" i="1" s="1"/>
  <c r="BH694" i="1"/>
  <c r="BG694" i="1" s="1"/>
  <c r="BE694" i="1" s="1"/>
  <c r="BC694" i="1" s="1"/>
  <c r="F694" i="1" s="1"/>
  <c r="BH798" i="1"/>
  <c r="BG798" i="1" s="1"/>
  <c r="BH834" i="1"/>
  <c r="BG834" i="1" s="1"/>
  <c r="BH895" i="1"/>
  <c r="BG895" i="1" s="1"/>
  <c r="BH158" i="1"/>
  <c r="BG158" i="1" s="1"/>
  <c r="BH145" i="1"/>
  <c r="BG145" i="1" s="1"/>
  <c r="BE145" i="1" s="1"/>
  <c r="BH193" i="1"/>
  <c r="BG193" i="1" s="1"/>
  <c r="BE193" i="1" s="1"/>
  <c r="BH242" i="1"/>
  <c r="BG242" i="1" s="1"/>
  <c r="BH300" i="1"/>
  <c r="BG300" i="1" s="1"/>
  <c r="BE300" i="1" s="1"/>
  <c r="BC300" i="1" s="1"/>
  <c r="F300" i="1" s="1"/>
  <c r="BH338" i="1"/>
  <c r="BG338" i="1" s="1"/>
  <c r="BH920" i="1"/>
  <c r="BG920" i="1" s="1"/>
  <c r="BH634" i="1"/>
  <c r="BG634" i="1" s="1"/>
  <c r="BH688" i="1"/>
  <c r="BG688" i="1" s="1"/>
  <c r="BE688" i="1" s="1"/>
  <c r="BH828" i="1"/>
  <c r="BG828" i="1" s="1"/>
  <c r="BH880" i="1"/>
  <c r="BG880" i="1" s="1"/>
  <c r="BH869" i="1"/>
  <c r="BG869" i="1" s="1"/>
  <c r="BE869" i="1" s="1"/>
  <c r="BH588" i="1"/>
  <c r="BG588" i="1" s="1"/>
  <c r="BE588" i="1" s="1"/>
  <c r="BH603" i="1"/>
  <c r="BG603" i="1" s="1"/>
  <c r="BH870" i="1"/>
  <c r="BG870" i="1" s="1"/>
  <c r="BE870" i="1" s="1"/>
  <c r="BH863" i="1"/>
  <c r="BG863" i="1" s="1"/>
  <c r="BE863" i="1" s="1"/>
  <c r="BH137" i="1"/>
  <c r="BG137" i="1" s="1"/>
  <c r="BH180" i="1"/>
  <c r="BG180" i="1" s="1"/>
  <c r="BH227" i="1"/>
  <c r="BG227" i="1" s="1"/>
  <c r="BE227" i="1" s="1"/>
  <c r="BH208" i="1"/>
  <c r="BG208" i="1" s="1"/>
  <c r="BE208" i="1" s="1"/>
  <c r="BH864" i="1"/>
  <c r="BG864" i="1" s="1"/>
  <c r="BE864" i="1" s="1"/>
  <c r="BH913" i="1"/>
  <c r="BG913" i="1" s="1"/>
  <c r="BH661" i="1"/>
  <c r="BG661" i="1" s="1"/>
  <c r="BE661" i="1" s="1"/>
  <c r="BH724" i="1"/>
  <c r="BG724" i="1" s="1"/>
  <c r="BH809" i="1"/>
  <c r="BG809" i="1" s="1"/>
  <c r="BE809" i="1" s="1"/>
  <c r="BH503" i="1"/>
  <c r="BG503" i="1" s="1"/>
  <c r="BE503" i="1" s="1"/>
  <c r="BH690" i="1"/>
  <c r="BG690" i="1" s="1"/>
  <c r="BH206" i="1"/>
  <c r="BG206" i="1" s="1"/>
  <c r="BH381" i="1"/>
  <c r="BG381" i="1" s="1"/>
  <c r="BH551" i="1"/>
  <c r="BG551" i="1" s="1"/>
  <c r="BE551" i="1" s="1"/>
  <c r="BH374" i="1"/>
  <c r="BG374" i="1" s="1"/>
  <c r="BE374" i="1" s="1"/>
  <c r="BH447" i="1"/>
  <c r="BG447" i="1" s="1"/>
  <c r="BH407" i="1"/>
  <c r="BG407" i="1" s="1"/>
  <c r="BH391" i="1"/>
  <c r="BG391" i="1" s="1"/>
  <c r="BE391" i="1" s="1"/>
  <c r="BH602" i="1"/>
  <c r="BG602" i="1" s="1"/>
  <c r="BH585" i="1"/>
  <c r="BG585" i="1" s="1"/>
  <c r="BH151" i="1"/>
  <c r="BG151" i="1" s="1"/>
  <c r="BH152" i="1"/>
  <c r="BG152" i="1" s="1"/>
  <c r="BH303" i="1"/>
  <c r="BG303" i="1" s="1"/>
  <c r="BE303" i="1" s="1"/>
  <c r="BC303" i="1" s="1"/>
  <c r="F303" i="1" s="1"/>
  <c r="BH665" i="1"/>
  <c r="BG665" i="1" s="1"/>
  <c r="BH861" i="1"/>
  <c r="BG861" i="1" s="1"/>
  <c r="BH821" i="1"/>
  <c r="BG821" i="1" s="1"/>
  <c r="BH286" i="1"/>
  <c r="BG286" i="1" s="1"/>
  <c r="BH244" i="1"/>
  <c r="BG244" i="1" s="1"/>
  <c r="BH154" i="1"/>
  <c r="BG154" i="1" s="1"/>
  <c r="BH376" i="1"/>
  <c r="BG376" i="1" s="1"/>
  <c r="BE376" i="1" s="1"/>
  <c r="BH167" i="1"/>
  <c r="BG167" i="1" s="1"/>
  <c r="BE167" i="1" s="1"/>
  <c r="BH212" i="1"/>
  <c r="BG212" i="1" s="1"/>
  <c r="BE212" i="1" s="1"/>
  <c r="BH425" i="1"/>
  <c r="BG425" i="1" s="1"/>
  <c r="BH160" i="1"/>
  <c r="BG160" i="1" s="1"/>
  <c r="BH210" i="1"/>
  <c r="BG210" i="1" s="1"/>
  <c r="BH190" i="1"/>
  <c r="BG190" i="1" s="1"/>
  <c r="BH311" i="1"/>
  <c r="BG311" i="1" s="1"/>
  <c r="BH385" i="1"/>
  <c r="BG385" i="1" s="1"/>
  <c r="BH555" i="1"/>
  <c r="BG555" i="1" s="1"/>
  <c r="BH428" i="1"/>
  <c r="BG428" i="1" s="1"/>
  <c r="BH778" i="1"/>
  <c r="BG778" i="1" s="1"/>
  <c r="BE778" i="1" s="1"/>
  <c r="BH854" i="1"/>
  <c r="BG854" i="1" s="1"/>
  <c r="BH890" i="1"/>
  <c r="BG890" i="1" s="1"/>
  <c r="BE890" i="1" s="1"/>
  <c r="BH626" i="1"/>
  <c r="BG626" i="1" s="1"/>
  <c r="BH684" i="1"/>
  <c r="BG684" i="1" s="1"/>
  <c r="BH762" i="1"/>
  <c r="BG762" i="1" s="1"/>
  <c r="BE762" i="1" s="1"/>
  <c r="BH825" i="1"/>
  <c r="BG825" i="1" s="1"/>
  <c r="BE825" i="1" s="1"/>
  <c r="BH876" i="1"/>
  <c r="BG876" i="1" s="1"/>
  <c r="BH245" i="1"/>
  <c r="BG245" i="1" s="1"/>
  <c r="BH184" i="1"/>
  <c r="BG184" i="1" s="1"/>
  <c r="BH443" i="1"/>
  <c r="BG443" i="1" s="1"/>
  <c r="BE443" i="1" s="1"/>
  <c r="BC443" i="1" s="1"/>
  <c r="F443" i="1" s="1"/>
  <c r="BH875" i="1"/>
  <c r="BG875" i="1" s="1"/>
  <c r="BH736" i="1"/>
  <c r="BG736" i="1" s="1"/>
  <c r="BH917" i="1"/>
  <c r="BG917" i="1" s="1"/>
  <c r="BE917" i="1" s="1"/>
  <c r="BH359" i="1"/>
  <c r="BG359" i="1" s="1"/>
  <c r="BH156" i="1"/>
  <c r="BG156" i="1" s="1"/>
  <c r="BH253" i="1"/>
  <c r="BG253" i="1" s="1"/>
  <c r="BH187" i="1"/>
  <c r="BG187" i="1" s="1"/>
  <c r="BH537" i="1"/>
  <c r="BG537" i="1" s="1"/>
  <c r="BH676" i="1"/>
  <c r="BG676" i="1" s="1"/>
  <c r="BH862" i="1"/>
  <c r="BG862" i="1" s="1"/>
  <c r="BE862" i="1" s="1"/>
  <c r="BH600" i="1"/>
  <c r="BG600" i="1" s="1"/>
  <c r="BE600" i="1" s="1"/>
  <c r="BH857" i="1"/>
  <c r="BG857" i="1" s="1"/>
  <c r="BH845" i="1"/>
  <c r="BG845" i="1" s="1"/>
  <c r="BH198" i="1"/>
  <c r="BG198" i="1" s="1"/>
  <c r="BE198" i="1" s="1"/>
  <c r="BH196" i="1"/>
  <c r="BG196" i="1" s="1"/>
  <c r="BH620" i="1"/>
  <c r="BG620" i="1" s="1"/>
  <c r="BH813" i="1"/>
  <c r="BG813" i="1" s="1"/>
  <c r="BH307" i="1"/>
  <c r="BG307" i="1" s="1"/>
  <c r="BE307" i="1" s="1"/>
  <c r="BH539" i="1"/>
  <c r="BG539" i="1" s="1"/>
  <c r="BH879" i="1"/>
  <c r="BG879" i="1" s="1"/>
  <c r="BE879" i="1" s="1"/>
  <c r="BH740" i="1"/>
  <c r="BG740" i="1" s="1"/>
  <c r="BH865" i="1"/>
  <c r="BG865" i="1" s="1"/>
  <c r="BE865" i="1" s="1"/>
  <c r="BH472" i="1"/>
  <c r="BG472" i="1" s="1"/>
  <c r="BH446" i="1"/>
  <c r="BG446" i="1" s="1"/>
  <c r="BH405" i="1"/>
  <c r="BG405" i="1" s="1"/>
  <c r="BE405" i="1" s="1"/>
  <c r="BH140" i="1"/>
  <c r="BG140" i="1" s="1"/>
  <c r="BH239" i="1"/>
  <c r="BG239" i="1" s="1"/>
  <c r="BE239" i="1" s="1"/>
  <c r="BH489" i="1"/>
  <c r="BG489" i="1" s="1"/>
  <c r="BE489" i="1" s="1"/>
  <c r="BH557" i="1"/>
  <c r="BG557" i="1" s="1"/>
  <c r="BH735" i="1"/>
  <c r="BG735" i="1" s="1"/>
  <c r="BH867" i="1"/>
  <c r="BG867" i="1" s="1"/>
  <c r="BH916" i="1"/>
  <c r="BG916" i="1" s="1"/>
  <c r="BE916" i="1" s="1"/>
  <c r="BC916" i="1" s="1"/>
  <c r="BH657" i="1"/>
  <c r="BG657" i="1" s="1"/>
  <c r="BH713" i="1"/>
  <c r="BG713" i="1" s="1"/>
  <c r="BH801" i="1"/>
  <c r="BG801" i="1" s="1"/>
  <c r="BH844" i="1"/>
  <c r="BG844" i="1" s="1"/>
  <c r="BH738" i="1"/>
  <c r="BG738" i="1" s="1"/>
  <c r="BE738" i="1" s="1"/>
  <c r="BH621" i="1"/>
  <c r="BG621" i="1" s="1"/>
  <c r="BE621" i="1" s="1"/>
  <c r="BC621" i="1" s="1"/>
  <c r="BH664" i="1"/>
  <c r="BG664" i="1" s="1"/>
  <c r="BH658" i="1"/>
  <c r="BG658" i="1" s="1"/>
  <c r="BH733" i="1"/>
  <c r="BG733" i="1" s="1"/>
  <c r="BE733" i="1" s="1"/>
  <c r="BH791" i="1"/>
  <c r="BG791" i="1" s="1"/>
  <c r="BH838" i="1"/>
  <c r="BG838" i="1" s="1"/>
  <c r="BH183" i="1"/>
  <c r="BG183" i="1" s="1"/>
  <c r="BE183" i="1" s="1"/>
  <c r="BH501" i="1"/>
  <c r="BG501" i="1" s="1"/>
  <c r="BE501" i="1" s="1"/>
  <c r="BH462" i="1"/>
  <c r="BG462" i="1" s="1"/>
  <c r="BE462" i="1" s="1"/>
  <c r="BH415" i="1"/>
  <c r="BG415" i="1" s="1"/>
  <c r="BH473" i="1"/>
  <c r="BG473" i="1" s="1"/>
  <c r="BH552" i="1"/>
  <c r="BG552" i="1" s="1"/>
  <c r="BH553" i="1"/>
  <c r="BG553" i="1" s="1"/>
  <c r="BE553" i="1" s="1"/>
  <c r="BH682" i="1"/>
  <c r="BG682" i="1" s="1"/>
  <c r="BE682" i="1" s="1"/>
  <c r="BH380" i="1"/>
  <c r="BG380" i="1" s="1"/>
  <c r="BH812" i="1"/>
  <c r="BG812" i="1" s="1"/>
  <c r="BE812" i="1" s="1"/>
  <c r="BH770" i="1"/>
  <c r="BG770" i="1" s="1"/>
  <c r="BE770" i="1" s="1"/>
  <c r="BH404" i="1"/>
  <c r="BG404" i="1" s="1"/>
  <c r="BH172" i="1"/>
  <c r="BG172" i="1" s="1"/>
  <c r="BH130" i="1"/>
  <c r="BG130" i="1" s="1"/>
  <c r="BH556" i="1"/>
  <c r="BG556" i="1" s="1"/>
  <c r="BH40" i="1"/>
  <c r="BG40" i="1" s="1"/>
  <c r="BH147" i="1"/>
  <c r="BG147" i="1" s="1"/>
  <c r="BH192" i="1"/>
  <c r="BG192" i="1" s="1"/>
  <c r="BH369" i="1"/>
  <c r="BG369" i="1" s="1"/>
  <c r="BH426" i="1"/>
  <c r="BG426" i="1" s="1"/>
  <c r="BE426" i="1" s="1"/>
  <c r="BC426" i="1" s="1"/>
  <c r="F426" i="1" s="1"/>
  <c r="BH406" i="1"/>
  <c r="BG406" i="1" s="1"/>
  <c r="BH195" i="1"/>
  <c r="BG195" i="1" s="1"/>
  <c r="BH377" i="1"/>
  <c r="BG377" i="1" s="1"/>
  <c r="BE377" i="1" s="1"/>
  <c r="BH370" i="1"/>
  <c r="BG370" i="1" s="1"/>
  <c r="BH577" i="1"/>
  <c r="BG577" i="1" s="1"/>
  <c r="BH309" i="1"/>
  <c r="BG309" i="1" s="1"/>
  <c r="BH519" i="1"/>
  <c r="BG519" i="1" s="1"/>
  <c r="BH414" i="1"/>
  <c r="BG414" i="1" s="1"/>
  <c r="BH584" i="1"/>
  <c r="BG584" i="1" s="1"/>
  <c r="BE584" i="1" s="1"/>
  <c r="BH663" i="1"/>
  <c r="BG663" i="1" s="1"/>
  <c r="BH367" i="1"/>
  <c r="BG367" i="1" s="1"/>
  <c r="BH402" i="1"/>
  <c r="BG402" i="1" s="1"/>
  <c r="BH427" i="1"/>
  <c r="BG427" i="1" s="1"/>
  <c r="BH468" i="1"/>
  <c r="BG468" i="1" s="1"/>
  <c r="BE468" i="1" s="1"/>
  <c r="BH594" i="1"/>
  <c r="BG594" i="1" s="1"/>
  <c r="BH695" i="1"/>
  <c r="BG695" i="1" s="1"/>
  <c r="BH629" i="1"/>
  <c r="BG629" i="1" s="1"/>
  <c r="BH683" i="1"/>
  <c r="BG683" i="1" s="1"/>
  <c r="BH573" i="1"/>
  <c r="BG573" i="1" s="1"/>
  <c r="BH388" i="1"/>
  <c r="BG388" i="1" s="1"/>
  <c r="BH777" i="1"/>
  <c r="BG777" i="1" s="1"/>
  <c r="BE777" i="1" s="1"/>
  <c r="BH520" i="1"/>
  <c r="BG520" i="1" s="1"/>
  <c r="BH540" i="1"/>
  <c r="BG540" i="1" s="1"/>
  <c r="BE540" i="1" s="1"/>
  <c r="BH796" i="1"/>
  <c r="BG796" i="1" s="1"/>
  <c r="BE796" i="1" s="1"/>
  <c r="BH882" i="1"/>
  <c r="BG882" i="1" s="1"/>
  <c r="BH800" i="1"/>
  <c r="BG800" i="1" s="1"/>
  <c r="BH436" i="1"/>
  <c r="BG436" i="1" s="1"/>
  <c r="BE436" i="1" s="1"/>
  <c r="BH461" i="1"/>
  <c r="BG461" i="1" s="1"/>
  <c r="BE461" i="1" s="1"/>
  <c r="BH484" i="1"/>
  <c r="BG484" i="1" s="1"/>
  <c r="BH510" i="1"/>
  <c r="BG510" i="1" s="1"/>
  <c r="BE510" i="1" s="1"/>
  <c r="BH525" i="1"/>
  <c r="BG525" i="1" s="1"/>
  <c r="BH538" i="1"/>
  <c r="BG538" i="1" s="1"/>
  <c r="BH554" i="1"/>
  <c r="BG554" i="1" s="1"/>
  <c r="BE554" i="1" s="1"/>
  <c r="BH575" i="1"/>
  <c r="BG575" i="1" s="1"/>
  <c r="BH639" i="1"/>
  <c r="BG639" i="1" s="1"/>
  <c r="BE639" i="1" s="1"/>
  <c r="BH328" i="1"/>
  <c r="BG328" i="1" s="1"/>
  <c r="BH150" i="1"/>
  <c r="BG150" i="1" s="1"/>
  <c r="BH298" i="1"/>
  <c r="BG298" i="1" s="1"/>
  <c r="BE298" i="1" s="1"/>
  <c r="BH348" i="1"/>
  <c r="BG348" i="1" s="1"/>
  <c r="BE348" i="1" s="1"/>
  <c r="BH281" i="1"/>
  <c r="BG281" i="1" s="1"/>
  <c r="BH362" i="1"/>
  <c r="BG362" i="1" s="1"/>
  <c r="BH692" i="1"/>
  <c r="BG692" i="1" s="1"/>
  <c r="BH394" i="1"/>
  <c r="BG394" i="1" s="1"/>
  <c r="BE394" i="1" s="1"/>
  <c r="BH474" i="1"/>
  <c r="BG474" i="1" s="1"/>
  <c r="BH529" i="1"/>
  <c r="BG529" i="1" s="1"/>
  <c r="BH636" i="1"/>
  <c r="BG636" i="1" s="1"/>
  <c r="BE636" i="1" s="1"/>
  <c r="BH696" i="1"/>
  <c r="BG696" i="1" s="1"/>
  <c r="BE696" i="1" s="1"/>
  <c r="BH765" i="1"/>
  <c r="BG765" i="1" s="1"/>
  <c r="BE765" i="1" s="1"/>
  <c r="BH831" i="1"/>
  <c r="BG831" i="1" s="1"/>
  <c r="BE831" i="1" s="1"/>
  <c r="BH58" i="1"/>
  <c r="BG58" i="1" s="1"/>
  <c r="BH222" i="1"/>
  <c r="BG222" i="1" s="1"/>
  <c r="BE222" i="1" s="1"/>
  <c r="BH243" i="1"/>
  <c r="BG243" i="1" s="1"/>
  <c r="BH549" i="1"/>
  <c r="BG549" i="1" s="1"/>
  <c r="BH399" i="1"/>
  <c r="BG399" i="1" s="1"/>
  <c r="BE399" i="1" s="1"/>
  <c r="BH871" i="1"/>
  <c r="BG871" i="1" s="1"/>
  <c r="BH216" i="1"/>
  <c r="BG216" i="1" s="1"/>
  <c r="BE216" i="1" s="1"/>
  <c r="BH104" i="1"/>
  <c r="BG104" i="1" s="1"/>
  <c r="BE104" i="1" s="1"/>
  <c r="BH117" i="1"/>
  <c r="BG117" i="1" s="1"/>
  <c r="BE117" i="1" s="1"/>
  <c r="BH215" i="1"/>
  <c r="BG215" i="1" s="1"/>
  <c r="BH36" i="1"/>
  <c r="BG36" i="1" s="1"/>
  <c r="BH262" i="1"/>
  <c r="BG262" i="1" s="1"/>
  <c r="BH64" i="1"/>
  <c r="BG64" i="1" s="1"/>
  <c r="BH61" i="1"/>
  <c r="BG61" i="1" s="1"/>
  <c r="BH79" i="1"/>
  <c r="BG79" i="1" s="1"/>
  <c r="BH94" i="1"/>
  <c r="BG94" i="1" s="1"/>
  <c r="BE94" i="1" s="1"/>
  <c r="BH131" i="1"/>
  <c r="BG131" i="1" s="1"/>
  <c r="BH182" i="1"/>
  <c r="BG182" i="1" s="1"/>
  <c r="BH297" i="1"/>
  <c r="BG297" i="1" s="1"/>
  <c r="BH823" i="1"/>
  <c r="BG823" i="1" s="1"/>
  <c r="BH330" i="1"/>
  <c r="BG330" i="1" s="1"/>
  <c r="BH149" i="1"/>
  <c r="BG149" i="1" s="1"/>
  <c r="BE149" i="1" s="1"/>
  <c r="BH165" i="1"/>
  <c r="BG165" i="1" s="1"/>
  <c r="BH526" i="1"/>
  <c r="BG526" i="1" s="1"/>
  <c r="BE526" i="1" s="1"/>
  <c r="BH66" i="1"/>
  <c r="BG66" i="1" s="1"/>
  <c r="BH308" i="1"/>
  <c r="BG308" i="1" s="1"/>
  <c r="BH194" i="1"/>
  <c r="BG194" i="1" s="1"/>
  <c r="BE194" i="1" s="1"/>
  <c r="BH310" i="1"/>
  <c r="BG310" i="1" s="1"/>
  <c r="BH433" i="1"/>
  <c r="BG433" i="1" s="1"/>
  <c r="BE433" i="1" s="1"/>
  <c r="BH618" i="1"/>
  <c r="BG618" i="1" s="1"/>
  <c r="BE618" i="1" s="1"/>
  <c r="BH132" i="1"/>
  <c r="BG132" i="1" s="1"/>
  <c r="BH46" i="1"/>
  <c r="BG46" i="1" s="1"/>
  <c r="BE46" i="1" s="1"/>
  <c r="BH88" i="1"/>
  <c r="BG88" i="1" s="1"/>
  <c r="BH241" i="1"/>
  <c r="BG241" i="1" s="1"/>
  <c r="BH232" i="1"/>
  <c r="BG232" i="1" s="1"/>
  <c r="BH250" i="1"/>
  <c r="BG250" i="1" s="1"/>
  <c r="BH450" i="1"/>
  <c r="BG450" i="1" s="1"/>
  <c r="BE450" i="1" s="1"/>
  <c r="BH35" i="1"/>
  <c r="BG35" i="1" s="1"/>
  <c r="BH73" i="1"/>
  <c r="BG73" i="1" s="1"/>
  <c r="BH92" i="1"/>
  <c r="BG92" i="1" s="1"/>
  <c r="BH454" i="1"/>
  <c r="BG454" i="1" s="1"/>
  <c r="BE454" i="1" s="1"/>
  <c r="BH70" i="1"/>
  <c r="BG70" i="1" s="1"/>
  <c r="BH118" i="1"/>
  <c r="BG118" i="1" s="1"/>
  <c r="BH142" i="1"/>
  <c r="BG142" i="1" s="1"/>
  <c r="BH43" i="1"/>
  <c r="BG43" i="1" s="1"/>
  <c r="BH67" i="1"/>
  <c r="BG67" i="1" s="1"/>
  <c r="BH89" i="1"/>
  <c r="BG89" i="1" s="1"/>
  <c r="BH107" i="1"/>
  <c r="BG107" i="1" s="1"/>
  <c r="BH256" i="1"/>
  <c r="BG256" i="1" s="1"/>
  <c r="BH295" i="1"/>
  <c r="BG295" i="1" s="1"/>
  <c r="BE295" i="1" s="1"/>
  <c r="BH141" i="1"/>
  <c r="BG141" i="1" s="1"/>
  <c r="BE141" i="1" s="1"/>
  <c r="BH157" i="1"/>
  <c r="BG157" i="1" s="1"/>
  <c r="BE157" i="1" s="1"/>
  <c r="BH171" i="1"/>
  <c r="BG171" i="1" s="1"/>
  <c r="BE171" i="1" s="1"/>
  <c r="BH451" i="1"/>
  <c r="BG451" i="1" s="1"/>
  <c r="BH826" i="1"/>
  <c r="BG826" i="1" s="1"/>
  <c r="BH387" i="1"/>
  <c r="BG387" i="1" s="1"/>
  <c r="BH453" i="1"/>
  <c r="BG453" i="1" s="1"/>
  <c r="BH560" i="1"/>
  <c r="BG560" i="1" s="1"/>
  <c r="BH500" i="1"/>
  <c r="BG500" i="1" s="1"/>
  <c r="BH518" i="1"/>
  <c r="BG518" i="1" s="1"/>
  <c r="BH530" i="1"/>
  <c r="BG530" i="1" s="1"/>
  <c r="BH546" i="1"/>
  <c r="BG546" i="1" s="1"/>
  <c r="BH563" i="1"/>
  <c r="BG563" i="1" s="1"/>
  <c r="BH583" i="1"/>
  <c r="BG583" i="1" s="1"/>
  <c r="BE583" i="1" s="1"/>
  <c r="BH617" i="1"/>
  <c r="BG617" i="1" s="1"/>
  <c r="BH773" i="1"/>
  <c r="BG773" i="1" s="1"/>
  <c r="BH919" i="1"/>
  <c r="BG919" i="1" s="1"/>
  <c r="BH723" i="1"/>
  <c r="BG723" i="1" s="1"/>
  <c r="BH689" i="1"/>
  <c r="BG689" i="1" s="1"/>
  <c r="BE689" i="1" s="1"/>
  <c r="BH706" i="1"/>
  <c r="BG706" i="1" s="1"/>
  <c r="BE706" i="1" s="1"/>
  <c r="BH776" i="1"/>
  <c r="BG776" i="1" s="1"/>
  <c r="BH799" i="1"/>
  <c r="BG799" i="1" s="1"/>
  <c r="BE799" i="1" s="1"/>
  <c r="BH163" i="1"/>
  <c r="BG163" i="1" s="1"/>
  <c r="BE163" i="1" s="1"/>
  <c r="BH648" i="1"/>
  <c r="BG648" i="1" s="1"/>
  <c r="BE648" i="1" s="1"/>
  <c r="BH72" i="1"/>
  <c r="BG72" i="1" s="1"/>
  <c r="BE72" i="1" s="1"/>
  <c r="BH226" i="1"/>
  <c r="BG226" i="1" s="1"/>
  <c r="BH93" i="1"/>
  <c r="BG93" i="1" s="1"/>
  <c r="BH421" i="1"/>
  <c r="BG421" i="1" s="1"/>
  <c r="BH442" i="1"/>
  <c r="BG442" i="1" s="1"/>
  <c r="BE442" i="1" s="1"/>
  <c r="BH168" i="1"/>
  <c r="BG168" i="1" s="1"/>
  <c r="BH764" i="1"/>
  <c r="BG764" i="1" s="1"/>
  <c r="BE764" i="1" s="1"/>
  <c r="BH299" i="1"/>
  <c r="BG299" i="1" s="1"/>
  <c r="BE299" i="1" s="1"/>
  <c r="BH361" i="1"/>
  <c r="BG361" i="1" s="1"/>
  <c r="BH400" i="1"/>
  <c r="BG400" i="1" s="1"/>
  <c r="BH572" i="1"/>
  <c r="BG572" i="1" s="1"/>
  <c r="BH908" i="1"/>
  <c r="BG908" i="1" s="1"/>
  <c r="BH491" i="1"/>
  <c r="BG491" i="1" s="1"/>
  <c r="BH619" i="1"/>
  <c r="BG619" i="1" s="1"/>
  <c r="BH827" i="1"/>
  <c r="BG827" i="1" s="1"/>
  <c r="BH354" i="1"/>
  <c r="BG354" i="1" s="1"/>
  <c r="BE354" i="1" s="1"/>
  <c r="BH68" i="1"/>
  <c r="BG68" i="1" s="1"/>
  <c r="BH116" i="1"/>
  <c r="BG116" i="1" s="1"/>
  <c r="BH62" i="1"/>
  <c r="BG62" i="1" s="1"/>
  <c r="BH135" i="1"/>
  <c r="BG135" i="1" s="1"/>
  <c r="BE135" i="1" s="1"/>
  <c r="BH42" i="1"/>
  <c r="BG42" i="1" s="1"/>
  <c r="BE42" i="1" s="1"/>
  <c r="BC42" i="1" s="1"/>
  <c r="F42" i="1" s="1"/>
  <c r="BH106" i="1"/>
  <c r="BG106" i="1" s="1"/>
  <c r="BE106" i="1" s="1"/>
  <c r="BH185" i="1"/>
  <c r="BG185" i="1" s="1"/>
  <c r="BE185" i="1" s="1"/>
  <c r="BH82" i="1"/>
  <c r="BG82" i="1" s="1"/>
  <c r="BE82" i="1" s="1"/>
  <c r="BH103" i="1"/>
  <c r="BG103" i="1" s="1"/>
  <c r="BE103" i="1" s="1"/>
  <c r="BH121" i="1"/>
  <c r="BG121" i="1" s="1"/>
  <c r="BE121" i="1" s="1"/>
  <c r="BC121" i="1" s="1"/>
  <c r="F121" i="1" s="1"/>
  <c r="BH134" i="1"/>
  <c r="BG134" i="1" s="1"/>
  <c r="BH312" i="1"/>
  <c r="BG312" i="1" s="1"/>
  <c r="BE312" i="1" s="1"/>
  <c r="BH159" i="1"/>
  <c r="BG159" i="1" s="1"/>
  <c r="BE159" i="1" s="1"/>
  <c r="BC159" i="1" s="1"/>
  <c r="F159" i="1" s="1"/>
  <c r="BH392" i="1"/>
  <c r="BG392" i="1" s="1"/>
  <c r="BH288" i="1"/>
  <c r="BG288" i="1" s="1"/>
  <c r="BE288" i="1" s="1"/>
  <c r="BC288" i="1" s="1"/>
  <c r="F288" i="1" s="1"/>
  <c r="BH345" i="1"/>
  <c r="BG345" i="1" s="1"/>
  <c r="BH153" i="1"/>
  <c r="BG153" i="1" s="1"/>
  <c r="BH265" i="1"/>
  <c r="BG265" i="1" s="1"/>
  <c r="BE265" i="1" s="1"/>
  <c r="BC265" i="1" s="1"/>
  <c r="F265" i="1" s="1"/>
  <c r="BH523" i="1"/>
  <c r="BG523" i="1" s="1"/>
  <c r="BE523" i="1" s="1"/>
  <c r="BC523" i="1" s="1"/>
  <c r="BH811" i="1"/>
  <c r="BG811" i="1" s="1"/>
  <c r="BE811" i="1" s="1"/>
  <c r="BC811" i="1" s="1"/>
  <c r="F811" i="1" s="1"/>
  <c r="BH897" i="1"/>
  <c r="BG897" i="1" s="1"/>
  <c r="BE897" i="1" s="1"/>
  <c r="BC897" i="1" s="1"/>
  <c r="F897" i="1" s="1"/>
  <c r="BH815" i="1"/>
  <c r="BG815" i="1" s="1"/>
  <c r="BH445" i="1"/>
  <c r="BG445" i="1" s="1"/>
  <c r="BE445" i="1" s="1"/>
  <c r="BH469" i="1"/>
  <c r="BG469" i="1" s="1"/>
  <c r="BE469" i="1" s="1"/>
  <c r="BC469" i="1" s="1"/>
  <c r="F469" i="1" s="1"/>
  <c r="BH492" i="1"/>
  <c r="BG492" i="1" s="1"/>
  <c r="BE492" i="1" s="1"/>
  <c r="BH514" i="1"/>
  <c r="BG514" i="1" s="1"/>
  <c r="BE514" i="1" s="1"/>
  <c r="BH527" i="1"/>
  <c r="BG527" i="1" s="1"/>
  <c r="BE527" i="1" s="1"/>
  <c r="BC527" i="1" s="1"/>
  <c r="F527" i="1" s="1"/>
  <c r="BH542" i="1"/>
  <c r="BG542" i="1" s="1"/>
  <c r="BH558" i="1"/>
  <c r="BG558" i="1" s="1"/>
  <c r="BH579" i="1"/>
  <c r="BG579" i="1" s="1"/>
  <c r="BE579" i="1" s="1"/>
  <c r="BC579" i="1" s="1"/>
  <c r="F579" i="1" s="1"/>
  <c r="BH609" i="1"/>
  <c r="BG609" i="1" s="1"/>
  <c r="BE609" i="1" s="1"/>
  <c r="BC609" i="1" s="1"/>
  <c r="F609" i="1" s="1"/>
  <c r="BH859" i="1"/>
  <c r="BG859" i="1" s="1"/>
  <c r="BH660" i="1"/>
  <c r="BG660" i="1" s="1"/>
  <c r="BH679" i="1"/>
  <c r="BG679" i="1" s="1"/>
  <c r="BH631" i="1"/>
  <c r="BG631" i="1" s="1"/>
  <c r="BE631" i="1" s="1"/>
  <c r="BC631" i="1" s="1"/>
  <c r="BH681" i="1"/>
  <c r="BG681" i="1" s="1"/>
  <c r="BH698" i="1"/>
  <c r="BG698" i="1" s="1"/>
  <c r="BE698" i="1" s="1"/>
  <c r="BH737" i="1"/>
  <c r="BG737" i="1" s="1"/>
  <c r="BH795" i="1"/>
  <c r="BG795" i="1" s="1"/>
  <c r="BH829" i="1"/>
  <c r="BG829" i="1" s="1"/>
  <c r="BE829" i="1" s="1"/>
  <c r="BH162" i="1"/>
  <c r="BG162" i="1" s="1"/>
  <c r="BH219" i="1"/>
  <c r="BG219" i="1" s="1"/>
  <c r="BH368" i="1"/>
  <c r="BG368" i="1" s="1"/>
  <c r="BH136" i="1"/>
  <c r="BG136" i="1" s="1"/>
  <c r="BH365" i="1"/>
  <c r="BG365" i="1" s="1"/>
  <c r="BH643" i="1"/>
  <c r="BG643" i="1" s="1"/>
  <c r="BH357" i="1"/>
  <c r="BG357" i="1" s="1"/>
  <c r="BE357" i="1" s="1"/>
  <c r="BH273" i="1"/>
  <c r="BG273" i="1" s="1"/>
  <c r="BE273" i="1" s="1"/>
  <c r="BH734" i="1"/>
  <c r="BG734" i="1" s="1"/>
  <c r="BE734" i="1" s="1"/>
  <c r="BH768" i="1"/>
  <c r="BG768" i="1" s="1"/>
  <c r="BH487" i="1"/>
  <c r="BG487" i="1" s="1"/>
  <c r="BH521" i="1"/>
  <c r="BG521" i="1" s="1"/>
  <c r="BE521" i="1" s="1"/>
  <c r="BH541" i="1"/>
  <c r="BG541" i="1" s="1"/>
  <c r="BE541" i="1" s="1"/>
  <c r="BH830" i="1"/>
  <c r="BG830" i="1" s="1"/>
  <c r="BE830" i="1" s="1"/>
  <c r="BH820" i="1"/>
  <c r="BG820" i="1" s="1"/>
  <c r="BH343" i="1"/>
  <c r="BG343" i="1" s="1"/>
  <c r="BE343" i="1" s="1"/>
  <c r="BH74" i="1"/>
  <c r="BG74" i="1" s="1"/>
  <c r="BH237" i="1"/>
  <c r="BG237" i="1" s="1"/>
  <c r="BH224" i="1"/>
  <c r="BG224" i="1" s="1"/>
  <c r="BH267" i="1"/>
  <c r="BG267" i="1" s="1"/>
  <c r="BH317" i="1"/>
  <c r="BG317" i="1" s="1"/>
  <c r="BE317" i="1" s="1"/>
  <c r="BH340" i="1"/>
  <c r="BG340" i="1" s="1"/>
  <c r="BH218" i="1"/>
  <c r="BG218" i="1" s="1"/>
  <c r="BH240" i="1"/>
  <c r="BG240" i="1" s="1"/>
  <c r="BE240" i="1" s="1"/>
  <c r="BH254" i="1"/>
  <c r="BG254" i="1" s="1"/>
  <c r="BH466" i="1"/>
  <c r="BG466" i="1" s="1"/>
  <c r="BH455" i="1"/>
  <c r="BG455" i="1" s="1"/>
  <c r="BH678" i="1"/>
  <c r="BG678" i="1" s="1"/>
  <c r="BH409" i="1"/>
  <c r="BG409" i="1" s="1"/>
  <c r="BH435" i="1"/>
  <c r="BG435" i="1" s="1"/>
  <c r="BE435" i="1" s="1"/>
  <c r="BH545" i="1"/>
  <c r="BG545" i="1" s="1"/>
  <c r="BE545" i="1" s="1"/>
  <c r="BH586" i="1"/>
  <c r="BG586" i="1" s="1"/>
  <c r="BE586" i="1" s="1"/>
  <c r="BH625" i="1"/>
  <c r="BG625" i="1" s="1"/>
  <c r="BH633" i="1"/>
  <c r="BG633" i="1" s="1"/>
  <c r="BH174" i="1"/>
  <c r="BG174" i="1" s="1"/>
  <c r="BE174" i="1" s="1"/>
  <c r="BH38" i="1"/>
  <c r="BG38" i="1" s="1"/>
  <c r="BH77" i="1"/>
  <c r="BG77" i="1" s="1"/>
  <c r="BH105" i="1"/>
  <c r="BG105" i="1" s="1"/>
  <c r="BE105" i="1" s="1"/>
  <c r="BH22" i="1"/>
  <c r="BG22" i="1" s="1"/>
  <c r="BH49" i="1"/>
  <c r="BG49" i="1" s="1"/>
  <c r="BH75" i="1"/>
  <c r="BG75" i="1" s="1"/>
  <c r="BE75" i="1" s="1"/>
  <c r="BH90" i="1"/>
  <c r="BG90" i="1" s="1"/>
  <c r="BE90" i="1" s="1"/>
  <c r="BH115" i="1"/>
  <c r="BG115" i="1" s="1"/>
  <c r="BH127" i="1"/>
  <c r="BG127" i="1" s="1"/>
  <c r="BE127" i="1" s="1"/>
  <c r="BH559" i="1"/>
  <c r="BG559" i="1" s="1"/>
  <c r="BH458" i="1"/>
  <c r="BG458" i="1" s="1"/>
  <c r="BH531" i="1"/>
  <c r="BG531" i="1" s="1"/>
  <c r="BH326" i="1"/>
  <c r="BG326" i="1" s="1"/>
  <c r="BH718" i="1"/>
  <c r="BG718" i="1" s="1"/>
  <c r="BH161" i="1"/>
  <c r="BG161" i="1" s="1"/>
  <c r="BE161" i="1" s="1"/>
  <c r="BC161" i="1" s="1"/>
  <c r="F161" i="1" s="1"/>
  <c r="BH508" i="1"/>
  <c r="BG508" i="1" s="1"/>
  <c r="BH781" i="1"/>
  <c r="BG781" i="1" s="1"/>
  <c r="BE781" i="1" s="1"/>
  <c r="BC781" i="1" s="1"/>
  <c r="F781" i="1" s="1"/>
  <c r="BH839" i="1"/>
  <c r="BG839" i="1" s="1"/>
  <c r="BH622" i="1"/>
  <c r="BG622" i="1" s="1"/>
  <c r="BH771" i="1"/>
  <c r="BG771" i="1" s="1"/>
  <c r="BE771" i="1" s="1"/>
  <c r="BH432" i="1"/>
  <c r="BG432" i="1" s="1"/>
  <c r="BE432" i="1" s="1"/>
  <c r="BH457" i="1"/>
  <c r="BG457" i="1" s="1"/>
  <c r="BH408" i="1"/>
  <c r="BG408" i="1" s="1"/>
  <c r="BH506" i="1"/>
  <c r="BG506" i="1" s="1"/>
  <c r="BE506" i="1" s="1"/>
  <c r="BH522" i="1"/>
  <c r="BG522" i="1" s="1"/>
  <c r="BH534" i="1"/>
  <c r="BG534" i="1" s="1"/>
  <c r="BH550" i="1"/>
  <c r="BG550" i="1" s="1"/>
  <c r="BH567" i="1"/>
  <c r="BG567" i="1" s="1"/>
  <c r="BH832" i="1"/>
  <c r="BG832" i="1" s="1"/>
  <c r="BH624" i="1"/>
  <c r="BG624" i="1" s="1"/>
  <c r="BH638" i="1"/>
  <c r="BG638" i="1" s="1"/>
  <c r="BH691" i="1"/>
  <c r="BG691" i="1" s="1"/>
  <c r="BE691" i="1" s="1"/>
  <c r="BH763" i="1"/>
  <c r="BG763" i="1" s="1"/>
  <c r="BE763" i="1" s="1"/>
  <c r="BH810" i="1"/>
  <c r="BG810" i="1" s="1"/>
  <c r="BE810" i="1" s="1"/>
  <c r="BH835" i="1"/>
  <c r="BG835" i="1" s="1"/>
  <c r="BE835" i="1" s="1"/>
  <c r="BC835" i="1" s="1"/>
  <c r="F835" i="1" s="1"/>
  <c r="BH339" i="1"/>
  <c r="BG339" i="1" s="1"/>
  <c r="BE339" i="1" s="1"/>
  <c r="BH667" i="1"/>
  <c r="BG667" i="1" s="1"/>
  <c r="BE667" i="1" s="1"/>
  <c r="BH332" i="1"/>
  <c r="BG332" i="1" s="1"/>
  <c r="BE332" i="1" s="1"/>
  <c r="BH56" i="1"/>
  <c r="BG56" i="1" s="1"/>
  <c r="BE56" i="1" s="1"/>
  <c r="BH81" i="1"/>
  <c r="BG81" i="1" s="1"/>
  <c r="BH102" i="1"/>
  <c r="BG102" i="1" s="1"/>
  <c r="BE102" i="1" s="1"/>
  <c r="BH128" i="1"/>
  <c r="BG128" i="1" s="1"/>
  <c r="BH564" i="1"/>
  <c r="BG564" i="1" s="1"/>
  <c r="BH272" i="1"/>
  <c r="BG272" i="1" s="1"/>
  <c r="BH302" i="1"/>
  <c r="BG302" i="1" s="1"/>
  <c r="BH535" i="1"/>
  <c r="BG535" i="1" s="1"/>
  <c r="BH257" i="1"/>
  <c r="BG257" i="1" s="1"/>
  <c r="BE257" i="1" s="1"/>
  <c r="BH459" i="1"/>
  <c r="BG459" i="1" s="1"/>
  <c r="BH456" i="1"/>
  <c r="BG456" i="1" s="1"/>
  <c r="BH505" i="1"/>
  <c r="BG505" i="1" s="1"/>
  <c r="BE505" i="1" s="1"/>
  <c r="BC505" i="1" s="1"/>
  <c r="F505" i="1" s="1"/>
  <c r="BH655" i="1"/>
  <c r="BG655" i="1" s="1"/>
  <c r="BH656" i="1"/>
  <c r="BG656" i="1" s="1"/>
  <c r="BE656" i="1" s="1"/>
  <c r="BH675" i="1"/>
  <c r="BG675" i="1" s="1"/>
  <c r="BE675" i="1" s="1"/>
  <c r="BH211" i="1"/>
  <c r="BG211" i="1" s="1"/>
  <c r="BE211" i="1" s="1"/>
  <c r="BC211" i="1" s="1"/>
  <c r="F211" i="1" s="1"/>
  <c r="BH229" i="1"/>
  <c r="BG229" i="1" s="1"/>
  <c r="BH363" i="1"/>
  <c r="BG363" i="1" s="1"/>
  <c r="BH37" i="1"/>
  <c r="BG37" i="1" s="1"/>
  <c r="BE37" i="1" s="1"/>
  <c r="BC37" i="1" s="1"/>
  <c r="F37" i="1" s="1"/>
  <c r="BH191" i="1"/>
  <c r="BG191" i="1" s="1"/>
  <c r="BE191" i="1" s="1"/>
  <c r="BH543" i="1"/>
  <c r="BG543" i="1" s="1"/>
  <c r="BE543" i="1" s="1"/>
  <c r="BC543" i="1" s="1"/>
  <c r="F543" i="1" s="1"/>
  <c r="BH76" i="1"/>
  <c r="BG76" i="1" s="1"/>
  <c r="BH234" i="1"/>
  <c r="BG234" i="1" s="1"/>
  <c r="BE234" i="1" s="1"/>
  <c r="BH259" i="1"/>
  <c r="BG259" i="1" s="1"/>
  <c r="BE259" i="1" s="1"/>
  <c r="BC259" i="1" s="1"/>
  <c r="F259" i="1" s="1"/>
  <c r="BH325" i="1"/>
  <c r="BG325" i="1" s="1"/>
  <c r="BE325" i="1" s="1"/>
  <c r="BH360" i="1"/>
  <c r="BG360" i="1" s="1"/>
  <c r="BH580" i="1"/>
  <c r="BG580" i="1" s="1"/>
  <c r="BE580" i="1" s="1"/>
  <c r="BC580" i="1" s="1"/>
  <c r="F580" i="1" s="1"/>
  <c r="BH246" i="1"/>
  <c r="BG246" i="1" s="1"/>
  <c r="BE246" i="1" s="1"/>
  <c r="BH398" i="1"/>
  <c r="BG398" i="1" s="1"/>
  <c r="BE398" i="1" s="1"/>
  <c r="BC398" i="1" s="1"/>
  <c r="F398" i="1" s="1"/>
  <c r="BH416" i="1"/>
  <c r="BG416" i="1" s="1"/>
  <c r="BH460" i="1"/>
  <c r="BG460" i="1" s="1"/>
  <c r="BE460" i="1" s="1"/>
  <c r="BH509" i="1"/>
  <c r="BG509" i="1" s="1"/>
  <c r="BH417" i="1"/>
  <c r="BG417" i="1" s="1"/>
  <c r="BE417" i="1" s="1"/>
  <c r="BC417" i="1" s="1"/>
  <c r="BH715" i="1"/>
  <c r="BG715" i="1" s="1"/>
  <c r="BH719" i="1"/>
  <c r="BG719" i="1" s="1"/>
  <c r="BE719" i="1" s="1"/>
  <c r="BH769" i="1"/>
  <c r="BG769" i="1" s="1"/>
  <c r="BH833" i="1"/>
  <c r="BG833" i="1" s="1"/>
  <c r="BH284" i="1"/>
  <c r="BG284" i="1" s="1"/>
  <c r="CG44" i="1"/>
  <c r="BU44" i="1" s="1"/>
  <c r="BH44" i="1" s="1"/>
  <c r="CG493" i="1"/>
  <c r="CG96" i="1"/>
  <c r="BU96" i="1" s="1"/>
  <c r="BH96" i="1" s="1"/>
  <c r="CG662" i="1"/>
  <c r="BU662" i="1" s="1"/>
  <c r="CG497" i="1"/>
  <c r="CG231" i="1"/>
  <c r="CG148" i="1"/>
  <c r="BU148" i="1" s="1"/>
  <c r="BH148" i="1" s="1"/>
  <c r="CG372" i="1"/>
  <c r="CG909" i="1"/>
  <c r="CG209" i="1"/>
  <c r="BU209" i="1" s="1"/>
  <c r="BH209" i="1" s="1"/>
  <c r="CG306" i="1"/>
  <c r="CG922" i="1"/>
  <c r="BU922" i="1" s="1"/>
  <c r="BH922" i="1" s="1"/>
  <c r="CG322" i="1"/>
  <c r="BU322" i="1" s="1"/>
  <c r="BH322" i="1" s="1"/>
  <c r="CG842" i="1"/>
  <c r="CG441" i="1"/>
  <c r="BU441" i="1" s="1"/>
  <c r="BH441" i="1" s="1"/>
  <c r="CG269" i="1"/>
  <c r="CG524" i="1"/>
  <c r="BU524" i="1" s="1"/>
  <c r="BH524" i="1" s="1"/>
  <c r="CG708" i="1"/>
  <c r="BU708" i="1" s="1"/>
  <c r="BH708" i="1" s="1"/>
  <c r="CG324" i="1"/>
  <c r="CG686" i="1"/>
  <c r="BU686" i="1" s="1"/>
  <c r="BH686" i="1" s="1"/>
  <c r="CG313" i="1"/>
  <c r="BU313" i="1" s="1"/>
  <c r="BH313" i="1" s="1"/>
  <c r="CG31" i="1"/>
  <c r="BU31" i="1" s="1"/>
  <c r="BH31" i="1" s="1"/>
  <c r="CG571" i="1"/>
  <c r="CG336" i="1"/>
  <c r="CG794" i="1"/>
  <c r="BU794" i="1" s="1"/>
  <c r="CG125" i="1"/>
  <c r="CG57" i="1"/>
  <c r="BU57" i="1" s="1"/>
  <c r="BH57" i="1" s="1"/>
  <c r="CG592" i="1"/>
  <c r="BU592" i="1" s="1"/>
  <c r="CG213" i="1"/>
  <c r="BU213" i="1" s="1"/>
  <c r="CG868" i="1"/>
  <c r="CG252" i="1"/>
  <c r="BU252" i="1" s="1"/>
  <c r="BH252" i="1" s="1"/>
  <c r="CH48" i="1"/>
  <c r="BQ48" i="1" s="1"/>
  <c r="CH899" i="1"/>
  <c r="BQ899" i="1" s="1"/>
  <c r="CH739" i="1"/>
  <c r="BQ739" i="1" s="1"/>
  <c r="CH900" i="1"/>
  <c r="BQ900" i="1" s="1"/>
  <c r="CH761" i="1"/>
  <c r="BQ761" i="1" s="1"/>
  <c r="CH760" i="1"/>
  <c r="BQ760" i="1" s="1"/>
  <c r="CH901" i="1"/>
  <c r="BQ901" i="1" s="1"/>
  <c r="AI30" i="1"/>
  <c r="AI71" i="1"/>
  <c r="AI91" i="1"/>
  <c r="AI124" i="1"/>
  <c r="AI146" i="1"/>
  <c r="AI217" i="1"/>
  <c r="AI266" i="1"/>
  <c r="AI292" i="1"/>
  <c r="AI335" i="1"/>
  <c r="AI344" i="1"/>
  <c r="AI350" i="1"/>
  <c r="AI386" i="1"/>
  <c r="AI430" i="1"/>
  <c r="AI448" i="1"/>
  <c r="AI502" i="1"/>
  <c r="AI517" i="1"/>
  <c r="AI562" i="1"/>
  <c r="AI607" i="1"/>
  <c r="AI653" i="1"/>
  <c r="AI705" i="1"/>
  <c r="AI717" i="1"/>
  <c r="AI744" i="1"/>
  <c r="AI782" i="1"/>
  <c r="AI790" i="1"/>
  <c r="AI874" i="1"/>
  <c r="AI900" i="1"/>
  <c r="AI32" i="1"/>
  <c r="AI78" i="1"/>
  <c r="AI95" i="1"/>
  <c r="AI111" i="1"/>
  <c r="AI155" i="1"/>
  <c r="AI178" i="1"/>
  <c r="AI220" i="1"/>
  <c r="AI248" i="1"/>
  <c r="AI270" i="1"/>
  <c r="AI293" i="1"/>
  <c r="AI320" i="1"/>
  <c r="AI351" i="1"/>
  <c r="AI371" i="1"/>
  <c r="AI390" i="1"/>
  <c r="AI431" i="1"/>
  <c r="AI481" i="1"/>
  <c r="AI496" i="1"/>
  <c r="AI513" i="1"/>
  <c r="AI570" i="1"/>
  <c r="AI591" i="1"/>
  <c r="AI604" i="1"/>
  <c r="AI613" i="1"/>
  <c r="AI640" i="1"/>
  <c r="AI650" i="1"/>
  <c r="AI668" i="1"/>
  <c r="AI680" i="1"/>
  <c r="AI712" i="1"/>
  <c r="AI726" i="1"/>
  <c r="AI741" i="1"/>
  <c r="AI748" i="1"/>
  <c r="AI756" i="1"/>
  <c r="AI774" i="1"/>
  <c r="AI804" i="1"/>
  <c r="AI818" i="1"/>
  <c r="AI877" i="1"/>
  <c r="AI889" i="1"/>
  <c r="AI901" i="1"/>
  <c r="AI33" i="1"/>
  <c r="AI53" i="1"/>
  <c r="AI63" i="1"/>
  <c r="AI86" i="1"/>
  <c r="AI108" i="1"/>
  <c r="AI122" i="1"/>
  <c r="AI181" i="1"/>
  <c r="AI197" i="1"/>
  <c r="AI203" i="1"/>
  <c r="AI223" i="1"/>
  <c r="AI236" i="1"/>
  <c r="AI261" i="1"/>
  <c r="AI271" i="1"/>
  <c r="AI278" i="1"/>
  <c r="AI283" i="1"/>
  <c r="AI290" i="1"/>
  <c r="AI294" i="1"/>
  <c r="AI314" i="1"/>
  <c r="AI321" i="1"/>
  <c r="AI333" i="1"/>
  <c r="AI347" i="1"/>
  <c r="AI356" i="1"/>
  <c r="AI373" i="1"/>
  <c r="AI383" i="1"/>
  <c r="AI401" i="1"/>
  <c r="AI412" i="1"/>
  <c r="AI423" i="1"/>
  <c r="AI440" i="1"/>
  <c r="AI463" i="1"/>
  <c r="AI471" i="1"/>
  <c r="AI478" i="1"/>
  <c r="AI482" i="1"/>
  <c r="AI532" i="1"/>
  <c r="AI548" i="1"/>
  <c r="AI574" i="1"/>
  <c r="AI587" i="1"/>
  <c r="AI605" i="1"/>
  <c r="AI601" i="1"/>
  <c r="AI647" i="1"/>
  <c r="AI651" i="1"/>
  <c r="AI659" i="1"/>
  <c r="AI669" i="1"/>
  <c r="AI673" i="1"/>
  <c r="AI685" i="1"/>
  <c r="AI721" i="1"/>
  <c r="AI727" i="1"/>
  <c r="AI731" i="1"/>
  <c r="AI742" i="1"/>
  <c r="AI753" i="1"/>
  <c r="AI757" i="1"/>
  <c r="AI761" i="1"/>
  <c r="AI779" i="1"/>
  <c r="AI784" i="1"/>
  <c r="AI788" i="1"/>
  <c r="AI793" i="1"/>
  <c r="AI805" i="1"/>
  <c r="AI814" i="1"/>
  <c r="AI819" i="1"/>
  <c r="AI846" i="1"/>
  <c r="AI850" i="1"/>
  <c r="AI878" i="1"/>
  <c r="AI896" i="1"/>
  <c r="AI902" i="1"/>
  <c r="AI914" i="1"/>
  <c r="AI39" i="1"/>
  <c r="AI59" i="1"/>
  <c r="AI100" i="1"/>
  <c r="AI205" i="1"/>
  <c r="AI255" i="1"/>
  <c r="AI287" i="1"/>
  <c r="AI304" i="1"/>
  <c r="AI327" i="1"/>
  <c r="AI379" i="1"/>
  <c r="AI419" i="1"/>
  <c r="AI495" i="1"/>
  <c r="AI512" i="1"/>
  <c r="AI569" i="1"/>
  <c r="AI590" i="1"/>
  <c r="AI599" i="1"/>
  <c r="AI616" i="1"/>
  <c r="AI645" i="1"/>
  <c r="AI677" i="1"/>
  <c r="AI701" i="1"/>
  <c r="AI739" i="1"/>
  <c r="AI747" i="1"/>
  <c r="AI755" i="1"/>
  <c r="AI803" i="1"/>
  <c r="AI848" i="1"/>
  <c r="AI884" i="1"/>
  <c r="AI893" i="1"/>
  <c r="AI904" i="1"/>
  <c r="AI918" i="1"/>
  <c r="AI41" i="1"/>
  <c r="AI60" i="1"/>
  <c r="AI85" i="1"/>
  <c r="AI101" i="1"/>
  <c r="AI119" i="1"/>
  <c r="AI139" i="1"/>
  <c r="AI207" i="1"/>
  <c r="AI258" i="1"/>
  <c r="AI276" i="1"/>
  <c r="AI289" i="1"/>
  <c r="AI305" i="1"/>
  <c r="AI329" i="1"/>
  <c r="AI355" i="1"/>
  <c r="AI397" i="1"/>
  <c r="AI422" i="1"/>
  <c r="AI470" i="1"/>
  <c r="AI507" i="1"/>
  <c r="AI528" i="1"/>
  <c r="AI654" i="1"/>
  <c r="AI672" i="1"/>
  <c r="AI707" i="1"/>
  <c r="AI745" i="1"/>
  <c r="AI752" i="1"/>
  <c r="AI760" i="1"/>
  <c r="AI792" i="1"/>
  <c r="AI808" i="1"/>
  <c r="AI836" i="1"/>
  <c r="AI849" i="1"/>
  <c r="AI866" i="1"/>
  <c r="AI885" i="1"/>
  <c r="AI894" i="1"/>
  <c r="AI48" i="1"/>
  <c r="AI34" i="1"/>
  <c r="AI50" i="1"/>
  <c r="AI55" i="1"/>
  <c r="AI65" i="1"/>
  <c r="AI83" i="1"/>
  <c r="AI87" i="1"/>
  <c r="AI99" i="1"/>
  <c r="AI109" i="1"/>
  <c r="AI113" i="1"/>
  <c r="AI123" i="1"/>
  <c r="AI144" i="1"/>
  <c r="AI164" i="1"/>
  <c r="AI186" i="1"/>
  <c r="AI199" i="1"/>
  <c r="AI204" i="1"/>
  <c r="AI228" i="1"/>
  <c r="AI238" i="1"/>
  <c r="AI251" i="1"/>
  <c r="AI264" i="1"/>
  <c r="AI274" i="1"/>
  <c r="AI279" i="1"/>
  <c r="AI301" i="1"/>
  <c r="AI316" i="1"/>
  <c r="AI323" i="1"/>
  <c r="AI334" i="1"/>
  <c r="AI342" i="1"/>
  <c r="AI349" i="1"/>
  <c r="AI358" i="1"/>
  <c r="AI378" i="1"/>
  <c r="AI384" i="1"/>
  <c r="AI403" i="1"/>
  <c r="AI437" i="1"/>
  <c r="AI444" i="1"/>
  <c r="AI464" i="1"/>
  <c r="AI475" i="1"/>
  <c r="AI499" i="1"/>
  <c r="AI611" i="1"/>
  <c r="AI615" i="1"/>
  <c r="AI637" i="1"/>
  <c r="AI652" i="1"/>
  <c r="AI666" i="1"/>
  <c r="AI670" i="1"/>
  <c r="AI704" i="1"/>
  <c r="AI710" i="1"/>
  <c r="AI728" i="1"/>
  <c r="AI732" i="1"/>
  <c r="AI743" i="1"/>
  <c r="AI746" i="1"/>
  <c r="AI750" i="1"/>
  <c r="AI754" i="1"/>
  <c r="AI780" i="1"/>
  <c r="AI789" i="1"/>
  <c r="AI806" i="1"/>
  <c r="AI816" i="1"/>
  <c r="AI847" i="1"/>
  <c r="AI856" i="1"/>
  <c r="AI887" i="1"/>
  <c r="AI899" i="1"/>
  <c r="AI910" i="1"/>
  <c r="AI25" i="1"/>
  <c r="AI26" i="1"/>
  <c r="AI24" i="1"/>
  <c r="AI28" i="1"/>
  <c r="AI19" i="1"/>
  <c r="BA21" i="1" l="1"/>
  <c r="F21" i="1" s="1"/>
  <c r="BA635" i="1"/>
  <c r="F635" i="1" s="1"/>
  <c r="F366" i="1"/>
  <c r="F179" i="1"/>
  <c r="BA751" i="1"/>
  <c r="F751" i="1" s="1"/>
  <c r="BA364" i="1"/>
  <c r="F364" i="1" s="1"/>
  <c r="BA449" i="1"/>
  <c r="F449" i="1" s="1"/>
  <c r="BA700" i="1"/>
  <c r="F700" i="1" s="1"/>
  <c r="BA411" i="1"/>
  <c r="F411" i="1" s="1"/>
  <c r="BA201" i="1"/>
  <c r="F201" i="1" s="1"/>
  <c r="BA247" i="1"/>
  <c r="F247" i="1" s="1"/>
  <c r="BA729" i="1"/>
  <c r="F729" i="1" s="1"/>
  <c r="BA614" i="1"/>
  <c r="F614" i="1" s="1"/>
  <c r="BA393" i="1"/>
  <c r="F393" i="1" s="1"/>
  <c r="BA840" i="1"/>
  <c r="F840" i="1" s="1"/>
  <c r="BA824" i="1"/>
  <c r="F824" i="1" s="1"/>
  <c r="BA797" i="1"/>
  <c r="F797" i="1" s="1"/>
  <c r="BA883" i="1"/>
  <c r="F883" i="1" s="1"/>
  <c r="BA855" i="1"/>
  <c r="F855" i="1" s="1"/>
  <c r="BA352" i="1"/>
  <c r="F352" i="1" s="1"/>
  <c r="BA465" i="1"/>
  <c r="F465" i="1" s="1"/>
  <c r="BA114" i="1"/>
  <c r="F114" i="1" s="1"/>
  <c r="BA54" i="1"/>
  <c r="F54" i="1" s="1"/>
  <c r="BA886" i="1"/>
  <c r="F886" i="1" s="1"/>
  <c r="BA291" i="1"/>
  <c r="F291" i="1" s="1"/>
  <c r="BA593" i="1"/>
  <c r="F593" i="1" s="1"/>
  <c r="BA606" i="1"/>
  <c r="F606" i="1" s="1"/>
  <c r="BA18" i="1"/>
  <c r="F18" i="1" s="1"/>
  <c r="BA687" i="1"/>
  <c r="F687" i="1" s="1"/>
  <c r="BA486" i="1"/>
  <c r="F486" i="1" s="1"/>
  <c r="BA375" i="1"/>
  <c r="F375" i="1" s="1"/>
  <c r="BA730" i="1"/>
  <c r="F730" i="1" s="1"/>
  <c r="BA565" i="1"/>
  <c r="F565" i="1" s="1"/>
  <c r="BA644" i="1"/>
  <c r="F644" i="1" s="1"/>
  <c r="BA786" i="1"/>
  <c r="F786" i="1" s="1"/>
  <c r="BA903" i="1"/>
  <c r="F903" i="1" s="1"/>
  <c r="BA766" i="1"/>
  <c r="F766" i="1" s="1"/>
  <c r="BA52" i="1"/>
  <c r="F52" i="1" s="1"/>
  <c r="BA785" i="1"/>
  <c r="F785" i="1" s="1"/>
  <c r="BA133" i="1"/>
  <c r="F133" i="1" s="1"/>
  <c r="BA822" i="1"/>
  <c r="F822" i="1" s="1"/>
  <c r="BA175" i="1"/>
  <c r="F175" i="1" s="1"/>
  <c r="BA467" i="1"/>
  <c r="F467" i="1" s="1"/>
  <c r="BA693" i="1"/>
  <c r="F693" i="1" s="1"/>
  <c r="BA722" i="1"/>
  <c r="F722" i="1" s="1"/>
  <c r="BA249" i="1"/>
  <c r="F249" i="1" s="1"/>
  <c r="BA413" i="1"/>
  <c r="F413" i="1" s="1"/>
  <c r="BA346" i="1"/>
  <c r="F346" i="1" s="1"/>
  <c r="BA758" i="1"/>
  <c r="F758" i="1" s="1"/>
  <c r="BA674" i="1"/>
  <c r="F674" i="1" s="1"/>
  <c r="BA612" i="1"/>
  <c r="F612" i="1" s="1"/>
  <c r="BA853" i="1"/>
  <c r="F853" i="1" s="1"/>
  <c r="BA23" i="1"/>
  <c r="F23" i="1" s="1"/>
  <c r="BA576" i="1"/>
  <c r="F576" i="1" s="1"/>
  <c r="BA837" i="1"/>
  <c r="F837" i="1" s="1"/>
  <c r="BA578" i="1"/>
  <c r="F578" i="1" s="1"/>
  <c r="BA873" i="1"/>
  <c r="F873" i="1" s="1"/>
  <c r="BA544" i="1"/>
  <c r="F544" i="1" s="1"/>
  <c r="BA533" i="1"/>
  <c r="F533" i="1" s="1"/>
  <c r="BA892" i="1"/>
  <c r="F892" i="1" s="1"/>
  <c r="BA434" i="1"/>
  <c r="F434" i="1" s="1"/>
  <c r="BA720" i="1"/>
  <c r="F720" i="1" s="1"/>
  <c r="BA906" i="1"/>
  <c r="F906" i="1" s="1"/>
  <c r="BA438" i="1"/>
  <c r="F438" i="1" s="1"/>
  <c r="BA480" i="1"/>
  <c r="F480" i="1" s="1"/>
  <c r="BA561" i="1"/>
  <c r="F561" i="1" s="1"/>
  <c r="BA230" i="1"/>
  <c r="F230" i="1" s="1"/>
  <c r="BA452" i="1"/>
  <c r="F452" i="1" s="1"/>
  <c r="BA51" i="1"/>
  <c r="F51" i="1" s="1"/>
  <c r="BA97" i="1"/>
  <c r="F97" i="1" s="1"/>
  <c r="BA598" i="1"/>
  <c r="F598" i="1" s="1"/>
  <c r="BA177" i="1"/>
  <c r="F177" i="1" s="1"/>
  <c r="BA47" i="1"/>
  <c r="F47" i="1" s="1"/>
  <c r="BA697" i="1"/>
  <c r="F697" i="1" s="1"/>
  <c r="BA623" i="1"/>
  <c r="F623" i="1" s="1"/>
  <c r="BA494" i="1"/>
  <c r="F494" i="1" s="1"/>
  <c r="BA516" i="1"/>
  <c r="F516" i="1" s="1"/>
  <c r="BA709" i="1"/>
  <c r="F709" i="1" s="1"/>
  <c r="BA337" i="1"/>
  <c r="F337" i="1" s="1"/>
  <c r="BA479" i="1"/>
  <c r="F479" i="1" s="1"/>
  <c r="BA783" i="1"/>
  <c r="F783" i="1" s="1"/>
  <c r="BA911" i="1"/>
  <c r="F911" i="1" s="1"/>
  <c r="BA852" i="1"/>
  <c r="F852" i="1" s="1"/>
  <c r="BA749" i="1"/>
  <c r="F749" i="1" s="1"/>
  <c r="BA483" i="1"/>
  <c r="F483" i="1" s="1"/>
  <c r="BA891" i="1"/>
  <c r="F891" i="1" s="1"/>
  <c r="BH794" i="1"/>
  <c r="BG794" i="1" s="1"/>
  <c r="BE794" i="1" s="1"/>
  <c r="BC794" i="1" s="1"/>
  <c r="BH213" i="1"/>
  <c r="BG213" i="1" s="1"/>
  <c r="BE213" i="1" s="1"/>
  <c r="BC213" i="1" s="1"/>
  <c r="F213" i="1" s="1"/>
  <c r="BH662" i="1"/>
  <c r="BG662" i="1" s="1"/>
  <c r="BE662" i="1" s="1"/>
  <c r="BC662" i="1" s="1"/>
  <c r="F662" i="1" s="1"/>
  <c r="BH592" i="1"/>
  <c r="BG592" i="1" s="1"/>
  <c r="BE592" i="1" s="1"/>
  <c r="BC592" i="1" s="1"/>
  <c r="BG57" i="1"/>
  <c r="BE57" i="1" s="1"/>
  <c r="BC57" i="1" s="1"/>
  <c r="F57" i="1" s="1"/>
  <c r="BG313" i="1"/>
  <c r="BE313" i="1" s="1"/>
  <c r="BC313" i="1" s="1"/>
  <c r="F313" i="1" s="1"/>
  <c r="BG708" i="1"/>
  <c r="BE708" i="1" s="1"/>
  <c r="BC708" i="1" s="1"/>
  <c r="F708" i="1" s="1"/>
  <c r="BG922" i="1"/>
  <c r="BE922" i="1" s="1"/>
  <c r="BC922" i="1" s="1"/>
  <c r="F922" i="1" s="1"/>
  <c r="BG209" i="1"/>
  <c r="BE209" i="1" s="1"/>
  <c r="BC209" i="1" s="1"/>
  <c r="BG524" i="1"/>
  <c r="BE524" i="1" s="1"/>
  <c r="BC524" i="1" s="1"/>
  <c r="F524" i="1" s="1"/>
  <c r="BA523" i="1"/>
  <c r="F523" i="1" s="1"/>
  <c r="BA417" i="1"/>
  <c r="F417" i="1" s="1"/>
  <c r="BA631" i="1"/>
  <c r="F631" i="1" s="1"/>
  <c r="BA916" i="1"/>
  <c r="F916" i="1" s="1"/>
  <c r="BA621" i="1"/>
  <c r="F621" i="1" s="1"/>
  <c r="BC667" i="1"/>
  <c r="F667" i="1" s="1"/>
  <c r="BC389" i="1"/>
  <c r="F389" i="1" s="1"/>
  <c r="BC829" i="1"/>
  <c r="F829" i="1" s="1"/>
  <c r="BC492" i="1"/>
  <c r="BC339" i="1"/>
  <c r="BC120" i="1"/>
  <c r="BC865" i="1"/>
  <c r="F865" i="1" s="1"/>
  <c r="BC864" i="1"/>
  <c r="F864" i="1" s="1"/>
  <c r="BC295" i="1"/>
  <c r="F295" i="1" s="1"/>
  <c r="BC145" i="1"/>
  <c r="BC514" i="1"/>
  <c r="BC682" i="1"/>
  <c r="F682" i="1" s="1"/>
  <c r="BC208" i="1"/>
  <c r="F208" i="1" s="1"/>
  <c r="BC551" i="1"/>
  <c r="F551" i="1" s="1"/>
  <c r="BC501" i="1"/>
  <c r="F501" i="1" s="1"/>
  <c r="BC312" i="1"/>
  <c r="BC765" i="1"/>
  <c r="BC510" i="1"/>
  <c r="F510" i="1" s="1"/>
  <c r="BC636" i="1"/>
  <c r="BC298" i="1"/>
  <c r="F298" i="1" s="1"/>
  <c r="BC628" i="1"/>
  <c r="BC454" i="1"/>
  <c r="BC299" i="1"/>
  <c r="F299" i="1" s="1"/>
  <c r="BC442" i="1"/>
  <c r="BC435" i="1"/>
  <c r="BC273" i="1"/>
  <c r="F273" i="1" s="1"/>
  <c r="BC450" i="1"/>
  <c r="BC46" i="1"/>
  <c r="F46" i="1" s="1"/>
  <c r="BC796" i="1"/>
  <c r="BC149" i="1"/>
  <c r="BC214" i="1"/>
  <c r="BC706" i="1"/>
  <c r="F706" i="1" s="1"/>
  <c r="BC157" i="1"/>
  <c r="F157" i="1" s="1"/>
  <c r="BC675" i="1"/>
  <c r="F675" i="1" s="1"/>
  <c r="BC56" i="1"/>
  <c r="F56" i="1" s="1"/>
  <c r="BC810" i="1"/>
  <c r="F810" i="1" s="1"/>
  <c r="BC506" i="1"/>
  <c r="BC771" i="1"/>
  <c r="F771" i="1" s="1"/>
  <c r="BC185" i="1"/>
  <c r="F185" i="1" s="1"/>
  <c r="BC890" i="1"/>
  <c r="BC239" i="1"/>
  <c r="BC221" i="1"/>
  <c r="BC696" i="1"/>
  <c r="F696" i="1" s="1"/>
  <c r="BC461" i="1"/>
  <c r="BC540" i="1"/>
  <c r="BC777" i="1"/>
  <c r="F777" i="1" s="1"/>
  <c r="BC216" i="1"/>
  <c r="F216" i="1" s="1"/>
  <c r="BC799" i="1"/>
  <c r="F799" i="1" s="1"/>
  <c r="BC689" i="1"/>
  <c r="F689" i="1" s="1"/>
  <c r="BC141" i="1"/>
  <c r="F141" i="1" s="1"/>
  <c r="BC191" i="1"/>
  <c r="F191" i="1" s="1"/>
  <c r="BC656" i="1"/>
  <c r="F656" i="1" s="1"/>
  <c r="BC90" i="1"/>
  <c r="F90" i="1" s="1"/>
  <c r="BC29" i="1"/>
  <c r="BC778" i="1"/>
  <c r="F778" i="1" s="1"/>
  <c r="BC917" i="1"/>
  <c r="F917" i="1" s="1"/>
  <c r="BC503" i="1"/>
  <c r="BC405" i="1"/>
  <c r="F405" i="1" s="1"/>
  <c r="BC830" i="1"/>
  <c r="F830" i="1" s="1"/>
  <c r="BC357" i="1"/>
  <c r="F357" i="1" s="1"/>
  <c r="BC354" i="1"/>
  <c r="BC618" i="1"/>
  <c r="BC194" i="1"/>
  <c r="BC174" i="1"/>
  <c r="BC648" i="1"/>
  <c r="BC600" i="1"/>
  <c r="BC698" i="1"/>
  <c r="F698" i="1" s="1"/>
  <c r="BC433" i="1"/>
  <c r="BC82" i="1"/>
  <c r="BC376" i="1"/>
  <c r="F376" i="1" s="1"/>
  <c r="BC554" i="1"/>
  <c r="BC212" i="1"/>
  <c r="F212" i="1" s="1"/>
  <c r="BC135" i="1"/>
  <c r="BC332" i="1"/>
  <c r="BC860" i="1"/>
  <c r="BC183" i="1"/>
  <c r="F183" i="1" s="1"/>
  <c r="BC688" i="1"/>
  <c r="F688" i="1" s="1"/>
  <c r="BC399" i="1"/>
  <c r="F399" i="1" s="1"/>
  <c r="BC222" i="1"/>
  <c r="BC348" i="1"/>
  <c r="BC104" i="1"/>
  <c r="F104" i="1" s="1"/>
  <c r="BC586" i="1"/>
  <c r="F586" i="1" s="1"/>
  <c r="BC343" i="1"/>
  <c r="F343" i="1" s="1"/>
  <c r="BC869" i="1"/>
  <c r="F869" i="1" s="1"/>
  <c r="BC661" i="1"/>
  <c r="F661" i="1" s="1"/>
  <c r="BC870" i="1"/>
  <c r="BC240" i="1"/>
  <c r="F240" i="1" s="1"/>
  <c r="BC541" i="1"/>
  <c r="F541" i="1" s="1"/>
  <c r="BC812" i="1"/>
  <c r="F812" i="1" s="1"/>
  <c r="BC738" i="1"/>
  <c r="BC733" i="1"/>
  <c r="F733" i="1" s="1"/>
  <c r="BC436" i="1"/>
  <c r="F436" i="1" s="1"/>
  <c r="BC526" i="1"/>
  <c r="BC94" i="1"/>
  <c r="F94" i="1" s="1"/>
  <c r="BC445" i="1"/>
  <c r="BC103" i="1"/>
  <c r="F103" i="1" s="1"/>
  <c r="BC167" i="1"/>
  <c r="BC391" i="1"/>
  <c r="BC394" i="1"/>
  <c r="BC377" i="1"/>
  <c r="F377" i="1" s="1"/>
  <c r="BC198" i="1"/>
  <c r="BC639" i="1"/>
  <c r="BC317" i="1"/>
  <c r="F317" i="1" s="1"/>
  <c r="BC553" i="1"/>
  <c r="F553" i="1" s="1"/>
  <c r="BC770" i="1"/>
  <c r="F770" i="1" s="1"/>
  <c r="BC841" i="1"/>
  <c r="BC498" i="1"/>
  <c r="F498" i="1" s="1"/>
  <c r="BC764" i="1"/>
  <c r="BC825" i="1"/>
  <c r="F825" i="1" s="1"/>
  <c r="BC106" i="1"/>
  <c r="F106" i="1" s="1"/>
  <c r="BC762" i="1"/>
  <c r="F762" i="1" s="1"/>
  <c r="BC763" i="1"/>
  <c r="BC234" i="1"/>
  <c r="F234" i="1" s="1"/>
  <c r="BC879" i="1"/>
  <c r="BC489" i="1"/>
  <c r="BC102" i="1"/>
  <c r="F102" i="1" s="1"/>
  <c r="BC75" i="1"/>
  <c r="BC193" i="1"/>
  <c r="F193" i="1" s="1"/>
  <c r="BC374" i="1"/>
  <c r="BC307" i="1"/>
  <c r="F307" i="1" s="1"/>
  <c r="BC227" i="1"/>
  <c r="F227" i="1" s="1"/>
  <c r="BC863" i="1"/>
  <c r="BC831" i="1"/>
  <c r="F831" i="1" s="1"/>
  <c r="BC117" i="1"/>
  <c r="F117" i="1" s="1"/>
  <c r="BC545" i="1"/>
  <c r="F545" i="1" s="1"/>
  <c r="BC72" i="1"/>
  <c r="F72" i="1" s="1"/>
  <c r="BC809" i="1"/>
  <c r="F809" i="1" s="1"/>
  <c r="BC588" i="1"/>
  <c r="BC521" i="1"/>
  <c r="F521" i="1" s="1"/>
  <c r="BC734" i="1"/>
  <c r="F734" i="1" s="1"/>
  <c r="BC468" i="1"/>
  <c r="F468" i="1" s="1"/>
  <c r="BC584" i="1"/>
  <c r="BC462" i="1"/>
  <c r="BC163" i="1"/>
  <c r="BC583" i="1"/>
  <c r="BC171" i="1"/>
  <c r="F171" i="1" s="1"/>
  <c r="BC719" i="1"/>
  <c r="F719" i="1" s="1"/>
  <c r="BC460" i="1"/>
  <c r="BC246" i="1"/>
  <c r="F246" i="1" s="1"/>
  <c r="BC325" i="1"/>
  <c r="F325" i="1" s="1"/>
  <c r="BC862" i="1"/>
  <c r="F862" i="1" s="1"/>
  <c r="BC257" i="1"/>
  <c r="BC691" i="1"/>
  <c r="F691" i="1" s="1"/>
  <c r="BC432" i="1"/>
  <c r="F432" i="1" s="1"/>
  <c r="BC127" i="1"/>
  <c r="F127" i="1" s="1"/>
  <c r="BC105" i="1"/>
  <c r="BE328" i="1"/>
  <c r="BE724" i="1"/>
  <c r="BE898" i="1"/>
  <c r="BE195" i="1"/>
  <c r="BE633" i="1"/>
  <c r="BE409" i="1"/>
  <c r="BE768" i="1"/>
  <c r="BE368" i="1"/>
  <c r="BE695" i="1"/>
  <c r="BE402" i="1"/>
  <c r="BE250" i="1"/>
  <c r="BE241" i="1"/>
  <c r="BE132" i="1"/>
  <c r="BE845" i="1"/>
  <c r="BE406" i="1"/>
  <c r="BE775" i="1"/>
  <c r="BE407" i="1"/>
  <c r="BE415" i="1"/>
  <c r="BE137" i="1"/>
  <c r="BE254" i="1"/>
  <c r="BE243" i="1"/>
  <c r="BE564" i="1"/>
  <c r="BE920" i="1"/>
  <c r="BE518" i="1"/>
  <c r="BE89" i="1"/>
  <c r="BE88" i="1"/>
  <c r="BE519" i="1"/>
  <c r="BE773" i="1"/>
  <c r="BE311" i="1"/>
  <c r="BE534" i="1"/>
  <c r="BE508" i="1"/>
  <c r="BE913" i="1"/>
  <c r="BE160" i="1"/>
  <c r="BE520" i="1"/>
  <c r="BE491" i="1"/>
  <c r="BE624" i="1"/>
  <c r="BE769" i="1"/>
  <c r="BE859" i="1"/>
  <c r="BE536" i="1"/>
  <c r="BE369" i="1"/>
  <c r="BE563" i="1"/>
  <c r="BE118" i="1"/>
  <c r="BE116" i="1"/>
  <c r="BE854" i="1"/>
  <c r="BE472" i="1"/>
  <c r="BE134" i="1"/>
  <c r="BE169" i="1"/>
  <c r="BE66" i="1"/>
  <c r="BE62" i="1"/>
  <c r="BE456" i="1"/>
  <c r="BE136" i="1"/>
  <c r="BE509" i="1"/>
  <c r="BE531" i="1"/>
  <c r="BE684" i="1"/>
  <c r="BE857" i="1"/>
  <c r="BE345" i="1"/>
  <c r="BE43" i="1"/>
  <c r="BE834" i="1"/>
  <c r="BE676" i="1"/>
  <c r="BE617" i="1"/>
  <c r="BE453" i="1"/>
  <c r="BE602" i="1"/>
  <c r="BE22" i="1"/>
  <c r="BE272" i="1"/>
  <c r="BE338" i="1"/>
  <c r="BE49" i="1"/>
  <c r="BE115" i="1"/>
  <c r="BE404" i="1"/>
  <c r="BE776" i="1"/>
  <c r="BE723" i="1"/>
  <c r="BE263" i="1"/>
  <c r="BE360" i="1"/>
  <c r="BE388" i="1"/>
  <c r="BE655" i="1"/>
  <c r="BE881" i="1"/>
  <c r="BE861" i="1"/>
  <c r="BE736" i="1"/>
  <c r="BE620" i="1"/>
  <c r="BE380" i="1"/>
  <c r="BE187" i="1"/>
  <c r="BE690" i="1"/>
  <c r="BE484" i="1"/>
  <c r="BE549" i="1"/>
  <c r="BE418" i="1"/>
  <c r="BE281" i="1"/>
  <c r="BE823" i="1"/>
  <c r="BE535" i="1"/>
  <c r="BE735" i="1"/>
  <c r="BE908" i="1"/>
  <c r="BE421" i="1"/>
  <c r="BE226" i="1"/>
  <c r="BE828" i="1"/>
  <c r="BE871" i="1"/>
  <c r="BE370" i="1"/>
  <c r="BE184" i="1"/>
  <c r="BE170" i="1"/>
  <c r="BE151" i="1"/>
  <c r="BE625" i="1"/>
  <c r="BE267" i="1"/>
  <c r="BE74" i="1"/>
  <c r="BE219" i="1"/>
  <c r="BE683" i="1"/>
  <c r="BE594" i="1"/>
  <c r="BE367" i="1"/>
  <c r="BE232" i="1"/>
  <c r="BE308" i="1"/>
  <c r="BE838" i="1"/>
  <c r="BE330" i="1"/>
  <c r="BE64" i="1"/>
  <c r="BE833" i="1"/>
  <c r="BE660" i="1"/>
  <c r="BE795" i="1"/>
  <c r="BE815" i="1"/>
  <c r="BE154" i="1"/>
  <c r="BE791" i="1"/>
  <c r="BE740" i="1"/>
  <c r="BE560" i="1"/>
  <c r="BE73" i="1"/>
  <c r="BE559" i="1"/>
  <c r="BE242" i="1"/>
  <c r="BE215" i="1"/>
  <c r="BE237" i="1"/>
  <c r="BE429" i="1"/>
  <c r="BE319" i="1"/>
  <c r="BE715" i="1"/>
  <c r="BE827" i="1"/>
  <c r="BE260" i="1"/>
  <c r="BE813" i="1"/>
  <c r="BE487" i="1"/>
  <c r="BE455" i="1"/>
  <c r="BE180" i="1"/>
  <c r="BE530" i="1"/>
  <c r="BE718" i="1"/>
  <c r="BE76" i="1"/>
  <c r="BE77" i="1"/>
  <c r="BE737" i="1"/>
  <c r="BE832" i="1"/>
  <c r="BE284" i="1"/>
  <c r="BE416" i="1"/>
  <c r="BE182" i="1"/>
  <c r="BE147" i="1"/>
  <c r="BE567" i="1"/>
  <c r="BE68" i="1"/>
  <c r="BE681" i="1"/>
  <c r="BE473" i="1"/>
  <c r="BE81" i="1"/>
  <c r="BE428" i="1"/>
  <c r="BE392" i="1"/>
  <c r="BE657" i="1"/>
  <c r="BE557" i="1"/>
  <c r="BE310" i="1"/>
  <c r="BE36" i="1"/>
  <c r="BE70" i="1"/>
  <c r="BE542" i="1"/>
  <c r="BE140" i="1"/>
  <c r="BE821" i="1"/>
  <c r="BE820" i="1"/>
  <c r="BE546" i="1"/>
  <c r="BE387" i="1"/>
  <c r="BE555" i="1"/>
  <c r="BE643" i="1"/>
  <c r="BE172" i="1"/>
  <c r="BE35" i="1"/>
  <c r="BE192" i="1"/>
  <c r="BE326" i="1"/>
  <c r="BE713" i="1"/>
  <c r="BE61" i="1"/>
  <c r="BE638" i="1"/>
  <c r="BE408" i="1"/>
  <c r="BE315" i="1"/>
  <c r="BE458" i="1"/>
  <c r="BE867" i="1"/>
  <c r="BE826" i="1"/>
  <c r="BE538" i="1"/>
  <c r="BE361" i="1"/>
  <c r="BE905" i="1"/>
  <c r="BE552" i="1"/>
  <c r="BE381" i="1"/>
  <c r="BE206" i="1"/>
  <c r="BE142" i="1"/>
  <c r="BE575" i="1"/>
  <c r="BE529" i="1"/>
  <c r="BE692" i="1"/>
  <c r="BE362" i="1"/>
  <c r="BE150" i="1"/>
  <c r="BE572" i="1"/>
  <c r="BE168" i="1"/>
  <c r="BE233" i="1"/>
  <c r="BE158" i="1"/>
  <c r="BE634" i="1"/>
  <c r="BE858" i="1"/>
  <c r="BE577" i="1"/>
  <c r="BE446" i="1"/>
  <c r="BE678" i="1"/>
  <c r="BE218" i="1"/>
  <c r="BE365" i="1"/>
  <c r="BE162" i="1"/>
  <c r="BE663" i="1"/>
  <c r="BE309" i="1"/>
  <c r="BE79" i="1"/>
  <c r="BE882" i="1"/>
  <c r="BE130" i="1"/>
  <c r="BE165" i="1"/>
  <c r="BE225" i="1"/>
  <c r="BE525" i="1"/>
  <c r="BE224" i="1"/>
  <c r="BE200" i="1"/>
  <c r="BE585" i="1"/>
  <c r="BE619" i="1"/>
  <c r="BE919" i="1"/>
  <c r="BE459" i="1"/>
  <c r="BE210" i="1"/>
  <c r="BE451" i="1"/>
  <c r="BE67" i="1"/>
  <c r="BE880" i="1"/>
  <c r="BE801" i="1"/>
  <c r="BE839" i="1"/>
  <c r="BE196" i="1"/>
  <c r="BE363" i="1"/>
  <c r="BE622" i="1"/>
  <c r="BE400" i="1"/>
  <c r="BE679" i="1"/>
  <c r="BE427" i="1"/>
  <c r="BE107" i="1"/>
  <c r="BE457" i="1"/>
  <c r="BE522" i="1"/>
  <c r="BE40" i="1"/>
  <c r="BE447" i="1"/>
  <c r="BE556" i="1"/>
  <c r="BE302" i="1"/>
  <c r="BE558" i="1"/>
  <c r="BE876" i="1"/>
  <c r="BE131" i="1"/>
  <c r="BE244" i="1"/>
  <c r="BE277" i="1"/>
  <c r="BE245" i="1"/>
  <c r="BE581" i="1"/>
  <c r="BE229" i="1"/>
  <c r="BE286" i="1"/>
  <c r="BE38" i="1"/>
  <c r="BE629" i="1"/>
  <c r="BE256" i="1"/>
  <c r="BE895" i="1"/>
  <c r="BE798" i="1"/>
  <c r="BE664" i="1"/>
  <c r="BE500" i="1"/>
  <c r="BE385" i="1"/>
  <c r="BE190" i="1"/>
  <c r="BE414" i="1"/>
  <c r="BE425" i="1"/>
  <c r="BE92" i="1"/>
  <c r="BE58" i="1"/>
  <c r="BE844" i="1"/>
  <c r="BE573" i="1"/>
  <c r="BE340" i="1"/>
  <c r="BE550" i="1"/>
  <c r="BE626" i="1"/>
  <c r="BE262" i="1"/>
  <c r="BE152" i="1"/>
  <c r="BE128" i="1"/>
  <c r="BE665" i="1"/>
  <c r="BE875" i="1"/>
  <c r="BE537" i="1"/>
  <c r="BE539" i="1"/>
  <c r="BE153" i="1"/>
  <c r="BE253" i="1"/>
  <c r="BE156" i="1"/>
  <c r="BE359" i="1"/>
  <c r="BE658" i="1"/>
  <c r="BE800" i="1"/>
  <c r="BE474" i="1"/>
  <c r="BE603" i="1"/>
  <c r="BE297" i="1"/>
  <c r="BE466" i="1"/>
  <c r="BE93" i="1"/>
  <c r="BG96" i="1"/>
  <c r="BE96" i="1" s="1"/>
  <c r="BG252" i="1"/>
  <c r="BE252" i="1" s="1"/>
  <c r="BG441" i="1"/>
  <c r="BE441" i="1" s="1"/>
  <c r="BG44" i="1"/>
  <c r="BE44" i="1" s="1"/>
  <c r="BG31" i="1"/>
  <c r="BE31" i="1" s="1"/>
  <c r="BG322" i="1"/>
  <c r="BE322" i="1" s="1"/>
  <c r="BG148" i="1"/>
  <c r="BE148" i="1" s="1"/>
  <c r="BG686" i="1"/>
  <c r="BU493" i="1"/>
  <c r="BH493" i="1" s="1"/>
  <c r="BU571" i="1"/>
  <c r="BH571" i="1" s="1"/>
  <c r="BU842" i="1"/>
  <c r="BH842" i="1" s="1"/>
  <c r="BU306" i="1"/>
  <c r="BH306" i="1" s="1"/>
  <c r="BU372" i="1"/>
  <c r="BH372" i="1" s="1"/>
  <c r="BU497" i="1"/>
  <c r="BH497" i="1" s="1"/>
  <c r="BU125" i="1"/>
  <c r="BH125" i="1" s="1"/>
  <c r="BU336" i="1"/>
  <c r="BH336" i="1" s="1"/>
  <c r="BU269" i="1"/>
  <c r="BH269" i="1" s="1"/>
  <c r="BU909" i="1"/>
  <c r="BH909" i="1" s="1"/>
  <c r="BU868" i="1"/>
  <c r="BH868" i="1" s="1"/>
  <c r="BU324" i="1"/>
  <c r="BH324" i="1" s="1"/>
  <c r="BU231" i="1"/>
  <c r="BH231" i="1" s="1"/>
  <c r="CG732" i="1"/>
  <c r="CG403" i="1"/>
  <c r="CG164" i="1"/>
  <c r="BU164" i="1" s="1"/>
  <c r="BH164" i="1" s="1"/>
  <c r="CG34" i="1"/>
  <c r="BU34" i="1" s="1"/>
  <c r="BH34" i="1" s="1"/>
  <c r="CG752" i="1"/>
  <c r="CG329" i="1"/>
  <c r="CG918" i="1"/>
  <c r="BU918" i="1" s="1"/>
  <c r="BH918" i="1" s="1"/>
  <c r="CG747" i="1"/>
  <c r="CG788" i="1"/>
  <c r="CG440" i="1"/>
  <c r="BU440" i="1" s="1"/>
  <c r="CG321" i="1"/>
  <c r="CG197" i="1"/>
  <c r="BU197" i="1" s="1"/>
  <c r="CG877" i="1"/>
  <c r="BU877" i="1" s="1"/>
  <c r="BH877" i="1" s="1"/>
  <c r="CG95" i="1"/>
  <c r="CG653" i="1"/>
  <c r="BU653" i="1" s="1"/>
  <c r="BH653" i="1" s="1"/>
  <c r="CG24" i="1"/>
  <c r="BU24" i="1" s="1"/>
  <c r="BH24" i="1" s="1"/>
  <c r="CG856" i="1"/>
  <c r="BU856" i="1" s="1"/>
  <c r="BH856" i="1" s="1"/>
  <c r="CG754" i="1"/>
  <c r="BU754" i="1" s="1"/>
  <c r="CG358" i="1"/>
  <c r="BU358" i="1" s="1"/>
  <c r="CG264" i="1"/>
  <c r="BU264" i="1" s="1"/>
  <c r="BH264" i="1" s="1"/>
  <c r="CG113" i="1"/>
  <c r="BU113" i="1" s="1"/>
  <c r="CG885" i="1"/>
  <c r="CG707" i="1"/>
  <c r="BU707" i="1" s="1"/>
  <c r="CG258" i="1"/>
  <c r="BU258" i="1" s="1"/>
  <c r="BH258" i="1" s="1"/>
  <c r="CG85" i="1"/>
  <c r="BU85" i="1" s="1"/>
  <c r="CG803" i="1"/>
  <c r="BU803" i="1" s="1"/>
  <c r="CG379" i="1"/>
  <c r="CG100" i="1"/>
  <c r="BU100" i="1" s="1"/>
  <c r="BH100" i="1" s="1"/>
  <c r="CG757" i="1"/>
  <c r="CG685" i="1"/>
  <c r="BU685" i="1" s="1"/>
  <c r="CG482" i="1"/>
  <c r="BU482" i="1" s="1"/>
  <c r="CG356" i="1"/>
  <c r="CG86" i="1"/>
  <c r="BU86" i="1" s="1"/>
  <c r="BH86" i="1" s="1"/>
  <c r="CG804" i="1"/>
  <c r="BU804" i="1" s="1"/>
  <c r="CG640" i="1"/>
  <c r="CG481" i="1"/>
  <c r="BU481" i="1" s="1"/>
  <c r="BH481" i="1" s="1"/>
  <c r="CG270" i="1"/>
  <c r="BU270" i="1" s="1"/>
  <c r="CG717" i="1"/>
  <c r="CG344" i="1"/>
  <c r="BU344" i="1" s="1"/>
  <c r="BH344" i="1" s="1"/>
  <c r="CG28" i="1"/>
  <c r="CG887" i="1"/>
  <c r="BU887" i="1" s="1"/>
  <c r="CG816" i="1"/>
  <c r="BU816" i="1" s="1"/>
  <c r="BH816" i="1" s="1"/>
  <c r="CG750" i="1"/>
  <c r="BU750" i="1" s="1"/>
  <c r="CG670" i="1"/>
  <c r="CG437" i="1"/>
  <c r="BU437" i="1" s="1"/>
  <c r="BH437" i="1" s="1"/>
  <c r="CG323" i="1"/>
  <c r="CG199" i="1"/>
  <c r="BU199" i="1" s="1"/>
  <c r="BH199" i="1" s="1"/>
  <c r="CG65" i="1"/>
  <c r="BU65" i="1" s="1"/>
  <c r="CG866" i="1"/>
  <c r="BU866" i="1" s="1"/>
  <c r="CG745" i="1"/>
  <c r="CG470" i="1"/>
  <c r="CG904" i="1"/>
  <c r="BU904" i="1" s="1"/>
  <c r="BH904" i="1" s="1"/>
  <c r="CG739" i="1"/>
  <c r="CG599" i="1"/>
  <c r="BU599" i="1" s="1"/>
  <c r="CG512" i="1"/>
  <c r="BU512" i="1" s="1"/>
  <c r="CG255" i="1"/>
  <c r="BU255" i="1" s="1"/>
  <c r="BH255" i="1" s="1"/>
  <c r="CG814" i="1"/>
  <c r="BU814" i="1" s="1"/>
  <c r="CG753" i="1"/>
  <c r="BU753" i="1" s="1"/>
  <c r="BH753" i="1" s="1"/>
  <c r="CG278" i="1"/>
  <c r="BU278" i="1" s="1"/>
  <c r="CG613" i="1"/>
  <c r="BU613" i="1" s="1"/>
  <c r="CG320" i="1"/>
  <c r="BU320" i="1" s="1"/>
  <c r="CG78" i="1"/>
  <c r="BU78" i="1" s="1"/>
  <c r="BH78" i="1" s="1"/>
  <c r="CG562" i="1"/>
  <c r="CG335" i="1"/>
  <c r="CG266" i="1"/>
  <c r="BU266" i="1" s="1"/>
  <c r="CG91" i="1"/>
  <c r="BU91" i="1" s="1"/>
  <c r="CG910" i="1"/>
  <c r="CG637" i="1"/>
  <c r="BU637" i="1" s="1"/>
  <c r="BH637" i="1" s="1"/>
  <c r="CG251" i="1"/>
  <c r="CG109" i="1"/>
  <c r="BU109" i="1" s="1"/>
  <c r="CG792" i="1"/>
  <c r="BU792" i="1" s="1"/>
  <c r="CG60" i="1"/>
  <c r="BU60" i="1" s="1"/>
  <c r="BH60" i="1" s="1"/>
  <c r="CG677" i="1"/>
  <c r="BU677" i="1" s="1"/>
  <c r="BH677" i="1" s="1"/>
  <c r="CG731" i="1"/>
  <c r="BU731" i="1" s="1"/>
  <c r="CG587" i="1"/>
  <c r="CG236" i="1"/>
  <c r="BU236" i="1" s="1"/>
  <c r="CG741" i="1"/>
  <c r="BU741" i="1" s="1"/>
  <c r="CG390" i="1"/>
  <c r="CG155" i="1"/>
  <c r="CG386" i="1"/>
  <c r="BU386" i="1" s="1"/>
  <c r="BH386" i="1" s="1"/>
  <c r="CG26" i="1"/>
  <c r="BU26" i="1" s="1"/>
  <c r="BH26" i="1" s="1"/>
  <c r="CG847" i="1"/>
  <c r="BU847" i="1" s="1"/>
  <c r="BH847" i="1" s="1"/>
  <c r="CG806" i="1"/>
  <c r="BU806" i="1" s="1"/>
  <c r="CG780" i="1"/>
  <c r="BU780" i="1" s="1"/>
  <c r="CG746" i="1"/>
  <c r="BU746" i="1" s="1"/>
  <c r="BH746" i="1" s="1"/>
  <c r="CG666" i="1"/>
  <c r="BU666" i="1" s="1"/>
  <c r="CG615" i="1"/>
  <c r="BU615" i="1" s="1"/>
  <c r="BH615" i="1" s="1"/>
  <c r="CG499" i="1"/>
  <c r="CG475" i="1"/>
  <c r="BU475" i="1" s="1"/>
  <c r="CG384" i="1"/>
  <c r="CG349" i="1"/>
  <c r="BU349" i="1" s="1"/>
  <c r="CG316" i="1"/>
  <c r="BU316" i="1" s="1"/>
  <c r="BH316" i="1" s="1"/>
  <c r="CG279" i="1"/>
  <c r="BU279" i="1" s="1"/>
  <c r="BH279" i="1" s="1"/>
  <c r="CG238" i="1"/>
  <c r="CG186" i="1"/>
  <c r="CG99" i="1"/>
  <c r="BU99" i="1" s="1"/>
  <c r="CG55" i="1"/>
  <c r="CG849" i="1"/>
  <c r="BU849" i="1" s="1"/>
  <c r="BH849" i="1" s="1"/>
  <c r="CG672" i="1"/>
  <c r="BU672" i="1" s="1"/>
  <c r="BH672" i="1" s="1"/>
  <c r="CG528" i="1"/>
  <c r="BU528" i="1" s="1"/>
  <c r="CG355" i="1"/>
  <c r="BU355" i="1" s="1"/>
  <c r="BH355" i="1" s="1"/>
  <c r="CG289" i="1"/>
  <c r="CG207" i="1"/>
  <c r="CG119" i="1"/>
  <c r="BU119" i="1" s="1"/>
  <c r="BH119" i="1" s="1"/>
  <c r="CG41" i="1"/>
  <c r="BU41" i="1" s="1"/>
  <c r="BH41" i="1" s="1"/>
  <c r="CG893" i="1"/>
  <c r="CG645" i="1"/>
  <c r="CG590" i="1"/>
  <c r="CG495" i="1"/>
  <c r="BU495" i="1" s="1"/>
  <c r="CG419" i="1"/>
  <c r="BU419" i="1" s="1"/>
  <c r="BH419" i="1" s="1"/>
  <c r="CG304" i="1"/>
  <c r="CG59" i="1"/>
  <c r="BU59" i="1" s="1"/>
  <c r="CG902" i="1"/>
  <c r="CG878" i="1"/>
  <c r="BU878" i="1" s="1"/>
  <c r="BH878" i="1" s="1"/>
  <c r="CG846" i="1"/>
  <c r="BU846" i="1" s="1"/>
  <c r="BH846" i="1" s="1"/>
  <c r="CG805" i="1"/>
  <c r="BU805" i="1" s="1"/>
  <c r="CG779" i="1"/>
  <c r="CG727" i="1"/>
  <c r="BU727" i="1" s="1"/>
  <c r="CG669" i="1"/>
  <c r="BU669" i="1" s="1"/>
  <c r="CG601" i="1"/>
  <c r="BU601" i="1" s="1"/>
  <c r="CG605" i="1"/>
  <c r="CG574" i="1"/>
  <c r="BU574" i="1" s="1"/>
  <c r="CG471" i="1"/>
  <c r="CG423" i="1"/>
  <c r="BU423" i="1" s="1"/>
  <c r="CG383" i="1"/>
  <c r="BU383" i="1" s="1"/>
  <c r="CG347" i="1"/>
  <c r="BU347" i="1" s="1"/>
  <c r="BH347" i="1" s="1"/>
  <c r="CG294" i="1"/>
  <c r="BU294" i="1" s="1"/>
  <c r="CG271" i="1"/>
  <c r="BU271" i="1" s="1"/>
  <c r="CG223" i="1"/>
  <c r="BU223" i="1" s="1"/>
  <c r="BH223" i="1" s="1"/>
  <c r="CG108" i="1"/>
  <c r="BU108" i="1" s="1"/>
  <c r="CG63" i="1"/>
  <c r="BU63" i="1" s="1"/>
  <c r="CG901" i="1"/>
  <c r="CG774" i="1"/>
  <c r="BU774" i="1" s="1"/>
  <c r="CG726" i="1"/>
  <c r="CG668" i="1"/>
  <c r="BU668" i="1" s="1"/>
  <c r="CG604" i="1"/>
  <c r="CG513" i="1"/>
  <c r="CG371" i="1"/>
  <c r="BU371" i="1" s="1"/>
  <c r="BH371" i="1" s="1"/>
  <c r="CG293" i="1"/>
  <c r="BU293" i="1" s="1"/>
  <c r="CG220" i="1"/>
  <c r="BU220" i="1" s="1"/>
  <c r="BH220" i="1" s="1"/>
  <c r="CG790" i="1"/>
  <c r="BU790" i="1" s="1"/>
  <c r="CG744" i="1"/>
  <c r="CG607" i="1"/>
  <c r="BU607" i="1" s="1"/>
  <c r="BH607" i="1" s="1"/>
  <c r="CG517" i="1"/>
  <c r="CG448" i="1"/>
  <c r="BU448" i="1" s="1"/>
  <c r="CG146" i="1"/>
  <c r="CG71" i="1"/>
  <c r="CG19" i="1"/>
  <c r="BU19" i="1" s="1"/>
  <c r="BH19" i="1" s="1"/>
  <c r="CG789" i="1"/>
  <c r="CG710" i="1"/>
  <c r="BU710" i="1" s="1"/>
  <c r="BH710" i="1" s="1"/>
  <c r="CG444" i="1"/>
  <c r="BU444" i="1" s="1"/>
  <c r="BH444" i="1" s="1"/>
  <c r="CG334" i="1"/>
  <c r="CG204" i="1"/>
  <c r="BU204" i="1" s="1"/>
  <c r="CG83" i="1"/>
  <c r="BU83" i="1" s="1"/>
  <c r="CG808" i="1"/>
  <c r="BU808" i="1" s="1"/>
  <c r="BH808" i="1" s="1"/>
  <c r="CG397" i="1"/>
  <c r="BU397" i="1" s="1"/>
  <c r="CG701" i="1"/>
  <c r="BU701" i="1" s="1"/>
  <c r="CG914" i="1"/>
  <c r="BU914" i="1" s="1"/>
  <c r="CG819" i="1"/>
  <c r="CG742" i="1"/>
  <c r="CG651" i="1"/>
  <c r="BU651" i="1" s="1"/>
  <c r="BH651" i="1" s="1"/>
  <c r="CG548" i="1"/>
  <c r="BU548" i="1" s="1"/>
  <c r="CG401" i="1"/>
  <c r="CG283" i="1"/>
  <c r="BU283" i="1" s="1"/>
  <c r="BH283" i="1" s="1"/>
  <c r="CG122" i="1"/>
  <c r="BU122" i="1" s="1"/>
  <c r="CG33" i="1"/>
  <c r="BU33" i="1" s="1"/>
  <c r="BH33" i="1" s="1"/>
  <c r="CG748" i="1"/>
  <c r="CG570" i="1"/>
  <c r="CG178" i="1"/>
  <c r="BU178" i="1" s="1"/>
  <c r="BH178" i="1" s="1"/>
  <c r="CG30" i="1"/>
  <c r="CG728" i="1"/>
  <c r="BU728" i="1" s="1"/>
  <c r="CG704" i="1"/>
  <c r="CG144" i="1"/>
  <c r="CG48" i="1"/>
  <c r="BU48" i="1" s="1"/>
  <c r="CG305" i="1"/>
  <c r="BU305" i="1" s="1"/>
  <c r="CG139" i="1"/>
  <c r="BU139" i="1" s="1"/>
  <c r="BH139" i="1" s="1"/>
  <c r="CG848" i="1"/>
  <c r="BU848" i="1" s="1"/>
  <c r="BH848" i="1" s="1"/>
  <c r="CG327" i="1"/>
  <c r="CG850" i="1"/>
  <c r="CG784" i="1"/>
  <c r="BU784" i="1" s="1"/>
  <c r="CG673" i="1"/>
  <c r="BU673" i="1" s="1"/>
  <c r="BH673" i="1" s="1"/>
  <c r="CG647" i="1"/>
  <c r="CG532" i="1"/>
  <c r="CG478" i="1"/>
  <c r="BU478" i="1" s="1"/>
  <c r="CG314" i="1"/>
  <c r="CG181" i="1"/>
  <c r="BU181" i="1" s="1"/>
  <c r="BH181" i="1" s="1"/>
  <c r="CG680" i="1"/>
  <c r="BU680" i="1" s="1"/>
  <c r="CG248" i="1"/>
  <c r="CG900" i="1"/>
  <c r="BU900" i="1" s="1"/>
  <c r="CG705" i="1"/>
  <c r="BU705" i="1" s="1"/>
  <c r="CG25" i="1"/>
  <c r="BU25" i="1" s="1"/>
  <c r="BH25" i="1" s="1"/>
  <c r="CG899" i="1"/>
  <c r="BU899" i="1" s="1"/>
  <c r="BH899" i="1" s="1"/>
  <c r="CG743" i="1"/>
  <c r="BU743" i="1" s="1"/>
  <c r="CG652" i="1"/>
  <c r="BU652" i="1" s="1"/>
  <c r="CG611" i="1"/>
  <c r="BU611" i="1" s="1"/>
  <c r="BH611" i="1" s="1"/>
  <c r="CG464" i="1"/>
  <c r="CG378" i="1"/>
  <c r="BU378" i="1" s="1"/>
  <c r="CG342" i="1"/>
  <c r="BU342" i="1" s="1"/>
  <c r="BH342" i="1" s="1"/>
  <c r="CG301" i="1"/>
  <c r="CG274" i="1"/>
  <c r="CG228" i="1"/>
  <c r="BU228" i="1" s="1"/>
  <c r="BH228" i="1" s="1"/>
  <c r="CG123" i="1"/>
  <c r="CG87" i="1"/>
  <c r="BU87" i="1" s="1"/>
  <c r="BH87" i="1" s="1"/>
  <c r="CG50" i="1"/>
  <c r="BU50" i="1" s="1"/>
  <c r="CG894" i="1"/>
  <c r="BU894" i="1" s="1"/>
  <c r="CG836" i="1"/>
  <c r="CG760" i="1"/>
  <c r="CG654" i="1"/>
  <c r="BU654" i="1" s="1"/>
  <c r="BH654" i="1" s="1"/>
  <c r="CG507" i="1"/>
  <c r="BU507" i="1" s="1"/>
  <c r="BH507" i="1" s="1"/>
  <c r="CG422" i="1"/>
  <c r="BU422" i="1" s="1"/>
  <c r="CG276" i="1"/>
  <c r="BU276" i="1" s="1"/>
  <c r="CG101" i="1"/>
  <c r="CG884" i="1"/>
  <c r="BU884" i="1" s="1"/>
  <c r="BH884" i="1" s="1"/>
  <c r="CG755" i="1"/>
  <c r="BU755" i="1" s="1"/>
  <c r="BH755" i="1" s="1"/>
  <c r="CG616" i="1"/>
  <c r="BU616" i="1" s="1"/>
  <c r="BH616" i="1" s="1"/>
  <c r="CG569" i="1"/>
  <c r="BU569" i="1" s="1"/>
  <c r="CG287" i="1"/>
  <c r="BU287" i="1" s="1"/>
  <c r="CG205" i="1"/>
  <c r="BU205" i="1" s="1"/>
  <c r="BH205" i="1" s="1"/>
  <c r="CG39" i="1"/>
  <c r="CG896" i="1"/>
  <c r="CG793" i="1"/>
  <c r="CG761" i="1"/>
  <c r="BU761" i="1" s="1"/>
  <c r="CG721" i="1"/>
  <c r="BU721" i="1" s="1"/>
  <c r="BH721" i="1" s="1"/>
  <c r="CG659" i="1"/>
  <c r="CG463" i="1"/>
  <c r="BU463" i="1" s="1"/>
  <c r="BH463" i="1" s="1"/>
  <c r="CG412" i="1"/>
  <c r="BU412" i="1" s="1"/>
  <c r="BH412" i="1" s="1"/>
  <c r="CG373" i="1"/>
  <c r="CG333" i="1"/>
  <c r="CG290" i="1"/>
  <c r="BU290" i="1" s="1"/>
  <c r="BH290" i="1" s="1"/>
  <c r="CG261" i="1"/>
  <c r="BU261" i="1" s="1"/>
  <c r="CG203" i="1"/>
  <c r="CG53" i="1"/>
  <c r="BU53" i="1" s="1"/>
  <c r="BH53" i="1" s="1"/>
  <c r="CG889" i="1"/>
  <c r="CG818" i="1"/>
  <c r="CG756" i="1"/>
  <c r="BU756" i="1" s="1"/>
  <c r="CG712" i="1"/>
  <c r="BU712" i="1" s="1"/>
  <c r="BH712" i="1" s="1"/>
  <c r="CG650" i="1"/>
  <c r="BU650" i="1" s="1"/>
  <c r="BH650" i="1" s="1"/>
  <c r="CG591" i="1"/>
  <c r="BU591" i="1" s="1"/>
  <c r="BH591" i="1" s="1"/>
  <c r="CG496" i="1"/>
  <c r="CG431" i="1"/>
  <c r="CG351" i="1"/>
  <c r="BU351" i="1" s="1"/>
  <c r="CG111" i="1"/>
  <c r="BU111" i="1" s="1"/>
  <c r="CG32" i="1"/>
  <c r="BU32" i="1" s="1"/>
  <c r="BH32" i="1" s="1"/>
  <c r="CG874" i="1"/>
  <c r="BU874" i="1" s="1"/>
  <c r="CG782" i="1"/>
  <c r="CG502" i="1"/>
  <c r="CG430" i="1"/>
  <c r="BU430" i="1" s="1"/>
  <c r="CG350" i="1"/>
  <c r="BU350" i="1" s="1"/>
  <c r="CG292" i="1"/>
  <c r="CG217" i="1"/>
  <c r="BU217" i="1" s="1"/>
  <c r="CG124" i="1"/>
  <c r="BU124" i="1" s="1"/>
  <c r="BH430" i="1" l="1"/>
  <c r="BG430" i="1" s="1"/>
  <c r="BE430" i="1" s="1"/>
  <c r="BC430" i="1" s="1"/>
  <c r="F430" i="1" s="1"/>
  <c r="BH261" i="1"/>
  <c r="BG261" i="1" s="1"/>
  <c r="BE261" i="1" s="1"/>
  <c r="BC261" i="1" s="1"/>
  <c r="F261" i="1" s="1"/>
  <c r="BH756" i="1"/>
  <c r="BG756" i="1" s="1"/>
  <c r="BE756" i="1" s="1"/>
  <c r="BC756" i="1" s="1"/>
  <c r="F756" i="1" s="1"/>
  <c r="BH743" i="1"/>
  <c r="BG743" i="1" s="1"/>
  <c r="BE743" i="1" s="1"/>
  <c r="BC743" i="1" s="1"/>
  <c r="F743" i="1" s="1"/>
  <c r="BH478" i="1"/>
  <c r="BG478" i="1" s="1"/>
  <c r="BE478" i="1" s="1"/>
  <c r="BC478" i="1" s="1"/>
  <c r="F478" i="1" s="1"/>
  <c r="BH293" i="1"/>
  <c r="BG293" i="1" s="1"/>
  <c r="BE293" i="1" s="1"/>
  <c r="BC293" i="1" s="1"/>
  <c r="F293" i="1" s="1"/>
  <c r="BH669" i="1"/>
  <c r="BG669" i="1" s="1"/>
  <c r="BE669" i="1" s="1"/>
  <c r="BC669" i="1" s="1"/>
  <c r="F669" i="1" s="1"/>
  <c r="BH475" i="1"/>
  <c r="BG475" i="1" s="1"/>
  <c r="BE475" i="1" s="1"/>
  <c r="BC475" i="1" s="1"/>
  <c r="F475" i="1" s="1"/>
  <c r="BH266" i="1"/>
  <c r="BG266" i="1" s="1"/>
  <c r="BE266" i="1" s="1"/>
  <c r="BC266" i="1" s="1"/>
  <c r="F266" i="1" s="1"/>
  <c r="BH48" i="1"/>
  <c r="BG48" i="1" s="1"/>
  <c r="BE48" i="1" s="1"/>
  <c r="BC48" i="1" s="1"/>
  <c r="F48" i="1" s="1"/>
  <c r="BH287" i="1"/>
  <c r="BG287" i="1" s="1"/>
  <c r="BE287" i="1" s="1"/>
  <c r="BC287" i="1" s="1"/>
  <c r="F287" i="1" s="1"/>
  <c r="BH894" i="1"/>
  <c r="BG894" i="1" s="1"/>
  <c r="BE894" i="1" s="1"/>
  <c r="BC894" i="1" s="1"/>
  <c r="F894" i="1" s="1"/>
  <c r="BH652" i="1"/>
  <c r="BG652" i="1" s="1"/>
  <c r="BE652" i="1" s="1"/>
  <c r="BC652" i="1" s="1"/>
  <c r="F652" i="1" s="1"/>
  <c r="BG899" i="1"/>
  <c r="BE899" i="1" s="1"/>
  <c r="BC899" i="1" s="1"/>
  <c r="F899" i="1" s="1"/>
  <c r="BH705" i="1"/>
  <c r="BG705" i="1" s="1"/>
  <c r="BE705" i="1" s="1"/>
  <c r="BC705" i="1" s="1"/>
  <c r="F705" i="1" s="1"/>
  <c r="BH784" i="1"/>
  <c r="BG784" i="1" s="1"/>
  <c r="BE784" i="1" s="1"/>
  <c r="BC784" i="1" s="1"/>
  <c r="F784" i="1" s="1"/>
  <c r="BH305" i="1"/>
  <c r="BG305" i="1" s="1"/>
  <c r="BE305" i="1" s="1"/>
  <c r="BC305" i="1" s="1"/>
  <c r="F305" i="1" s="1"/>
  <c r="BH397" i="1"/>
  <c r="BG397" i="1" s="1"/>
  <c r="BE397" i="1" s="1"/>
  <c r="BC397" i="1" s="1"/>
  <c r="F397" i="1" s="1"/>
  <c r="BH204" i="1"/>
  <c r="BG204" i="1" s="1"/>
  <c r="BE204" i="1" s="1"/>
  <c r="BC204" i="1" s="1"/>
  <c r="F204" i="1" s="1"/>
  <c r="BH668" i="1"/>
  <c r="BG668" i="1" s="1"/>
  <c r="BE668" i="1" s="1"/>
  <c r="BC668" i="1" s="1"/>
  <c r="F668" i="1" s="1"/>
  <c r="BH383" i="1"/>
  <c r="BG383" i="1" s="1"/>
  <c r="BE383" i="1" s="1"/>
  <c r="BC383" i="1" s="1"/>
  <c r="BH574" i="1"/>
  <c r="BG574" i="1" s="1"/>
  <c r="BE574" i="1" s="1"/>
  <c r="BC574" i="1" s="1"/>
  <c r="F574" i="1" s="1"/>
  <c r="BH805" i="1"/>
  <c r="BG805" i="1" s="1"/>
  <c r="BE805" i="1" s="1"/>
  <c r="BC805" i="1" s="1"/>
  <c r="F805" i="1" s="1"/>
  <c r="BH59" i="1"/>
  <c r="BG59" i="1" s="1"/>
  <c r="BE59" i="1" s="1"/>
  <c r="BC59" i="1" s="1"/>
  <c r="F59" i="1" s="1"/>
  <c r="BH349" i="1"/>
  <c r="BG349" i="1" s="1"/>
  <c r="BE349" i="1" s="1"/>
  <c r="BC349" i="1" s="1"/>
  <c r="BH666" i="1"/>
  <c r="BG666" i="1" s="1"/>
  <c r="BE666" i="1" s="1"/>
  <c r="BC666" i="1" s="1"/>
  <c r="F666" i="1" s="1"/>
  <c r="BH780" i="1"/>
  <c r="BG780" i="1" s="1"/>
  <c r="BE780" i="1" s="1"/>
  <c r="BC780" i="1" s="1"/>
  <c r="F780" i="1" s="1"/>
  <c r="BH741" i="1"/>
  <c r="BG741" i="1" s="1"/>
  <c r="BE741" i="1" s="1"/>
  <c r="BC741" i="1" s="1"/>
  <c r="F741" i="1" s="1"/>
  <c r="BH731" i="1"/>
  <c r="BG731" i="1" s="1"/>
  <c r="BE731" i="1" s="1"/>
  <c r="BC731" i="1" s="1"/>
  <c r="F731" i="1" s="1"/>
  <c r="BH109" i="1"/>
  <c r="BG109" i="1" s="1"/>
  <c r="BE109" i="1" s="1"/>
  <c r="BC109" i="1" s="1"/>
  <c r="F109" i="1" s="1"/>
  <c r="BH320" i="1"/>
  <c r="BG320" i="1" s="1"/>
  <c r="BE320" i="1" s="1"/>
  <c r="BC320" i="1" s="1"/>
  <c r="F320" i="1" s="1"/>
  <c r="BH866" i="1"/>
  <c r="BG866" i="1" s="1"/>
  <c r="BE866" i="1" s="1"/>
  <c r="BC866" i="1" s="1"/>
  <c r="F866" i="1" s="1"/>
  <c r="BH750" i="1"/>
  <c r="BG750" i="1" s="1"/>
  <c r="BE750" i="1" s="1"/>
  <c r="BC750" i="1" s="1"/>
  <c r="F750" i="1" s="1"/>
  <c r="BH804" i="1"/>
  <c r="BG804" i="1" s="1"/>
  <c r="BE804" i="1" s="1"/>
  <c r="BC804" i="1" s="1"/>
  <c r="F804" i="1" s="1"/>
  <c r="BH482" i="1"/>
  <c r="BG482" i="1" s="1"/>
  <c r="BE482" i="1" s="1"/>
  <c r="BC482" i="1" s="1"/>
  <c r="F482" i="1" s="1"/>
  <c r="BH803" i="1"/>
  <c r="BG803" i="1" s="1"/>
  <c r="BE803" i="1" s="1"/>
  <c r="BC803" i="1" s="1"/>
  <c r="F803" i="1" s="1"/>
  <c r="BH707" i="1"/>
  <c r="BG707" i="1" s="1"/>
  <c r="BE707" i="1" s="1"/>
  <c r="BC707" i="1" s="1"/>
  <c r="BH358" i="1"/>
  <c r="BG358" i="1" s="1"/>
  <c r="BE358" i="1" s="1"/>
  <c r="BC358" i="1" s="1"/>
  <c r="F358" i="1" s="1"/>
  <c r="BH754" i="1"/>
  <c r="BG754" i="1" s="1"/>
  <c r="BE754" i="1" s="1"/>
  <c r="BC754" i="1" s="1"/>
  <c r="F754" i="1" s="1"/>
  <c r="BH440" i="1"/>
  <c r="BG440" i="1" s="1"/>
  <c r="BE440" i="1" s="1"/>
  <c r="BC440" i="1" s="1"/>
  <c r="F440" i="1" s="1"/>
  <c r="BH761" i="1"/>
  <c r="BG761" i="1" s="1"/>
  <c r="BE761" i="1" s="1"/>
  <c r="BC761" i="1" s="1"/>
  <c r="F761" i="1" s="1"/>
  <c r="BH111" i="1"/>
  <c r="BG111" i="1" s="1"/>
  <c r="BE111" i="1" s="1"/>
  <c r="BC111" i="1" s="1"/>
  <c r="F111" i="1" s="1"/>
  <c r="BH217" i="1"/>
  <c r="BG217" i="1" s="1"/>
  <c r="BE217" i="1" s="1"/>
  <c r="BC217" i="1" s="1"/>
  <c r="F217" i="1" s="1"/>
  <c r="BH569" i="1"/>
  <c r="BG569" i="1" s="1"/>
  <c r="BE569" i="1" s="1"/>
  <c r="BC569" i="1" s="1"/>
  <c r="F569" i="1" s="1"/>
  <c r="BH276" i="1"/>
  <c r="BG276" i="1" s="1"/>
  <c r="BE276" i="1" s="1"/>
  <c r="BC276" i="1" s="1"/>
  <c r="BH122" i="1"/>
  <c r="BG122" i="1" s="1"/>
  <c r="BE122" i="1" s="1"/>
  <c r="BC122" i="1" s="1"/>
  <c r="F122" i="1" s="1"/>
  <c r="BH83" i="1"/>
  <c r="BG83" i="1" s="1"/>
  <c r="BE83" i="1" s="1"/>
  <c r="BC83" i="1" s="1"/>
  <c r="F83" i="1" s="1"/>
  <c r="BH792" i="1"/>
  <c r="BG792" i="1" s="1"/>
  <c r="BE792" i="1" s="1"/>
  <c r="BC792" i="1" s="1"/>
  <c r="F792" i="1" s="1"/>
  <c r="BH874" i="1"/>
  <c r="BG874" i="1" s="1"/>
  <c r="BE874" i="1" s="1"/>
  <c r="BC874" i="1" s="1"/>
  <c r="F874" i="1" s="1"/>
  <c r="BH350" i="1"/>
  <c r="BG350" i="1" s="1"/>
  <c r="BE350" i="1" s="1"/>
  <c r="BC350" i="1" s="1"/>
  <c r="F350" i="1" s="1"/>
  <c r="BH351" i="1"/>
  <c r="BG351" i="1" s="1"/>
  <c r="BE351" i="1" s="1"/>
  <c r="BC351" i="1" s="1"/>
  <c r="F351" i="1" s="1"/>
  <c r="BH422" i="1"/>
  <c r="BG422" i="1" s="1"/>
  <c r="BE422" i="1" s="1"/>
  <c r="BC422" i="1" s="1"/>
  <c r="F422" i="1" s="1"/>
  <c r="BH50" i="1"/>
  <c r="BG50" i="1" s="1"/>
  <c r="BE50" i="1" s="1"/>
  <c r="BC50" i="1" s="1"/>
  <c r="F50" i="1" s="1"/>
  <c r="BH378" i="1"/>
  <c r="BG378" i="1" s="1"/>
  <c r="BE378" i="1" s="1"/>
  <c r="BC378" i="1" s="1"/>
  <c r="F378" i="1" s="1"/>
  <c r="BH680" i="1"/>
  <c r="BG680" i="1" s="1"/>
  <c r="BE680" i="1" s="1"/>
  <c r="BC680" i="1" s="1"/>
  <c r="F680" i="1" s="1"/>
  <c r="BH701" i="1"/>
  <c r="BG701" i="1" s="1"/>
  <c r="BE701" i="1" s="1"/>
  <c r="BC701" i="1" s="1"/>
  <c r="F701" i="1" s="1"/>
  <c r="BH448" i="1"/>
  <c r="BG448" i="1" s="1"/>
  <c r="BE448" i="1" s="1"/>
  <c r="BC448" i="1" s="1"/>
  <c r="F448" i="1" s="1"/>
  <c r="BH63" i="1"/>
  <c r="BG63" i="1" s="1"/>
  <c r="BE63" i="1" s="1"/>
  <c r="BC63" i="1" s="1"/>
  <c r="F63" i="1" s="1"/>
  <c r="BH271" i="1"/>
  <c r="BG271" i="1" s="1"/>
  <c r="BE271" i="1" s="1"/>
  <c r="BC271" i="1" s="1"/>
  <c r="F271" i="1" s="1"/>
  <c r="BH423" i="1"/>
  <c r="BG423" i="1" s="1"/>
  <c r="BE423" i="1" s="1"/>
  <c r="BC423" i="1" s="1"/>
  <c r="F423" i="1" s="1"/>
  <c r="BH727" i="1"/>
  <c r="BG727" i="1" s="1"/>
  <c r="BE727" i="1" s="1"/>
  <c r="BC727" i="1" s="1"/>
  <c r="F727" i="1" s="1"/>
  <c r="BH495" i="1"/>
  <c r="BG495" i="1" s="1"/>
  <c r="BE495" i="1" s="1"/>
  <c r="BC495" i="1" s="1"/>
  <c r="F495" i="1" s="1"/>
  <c r="BH806" i="1"/>
  <c r="BG806" i="1" s="1"/>
  <c r="BE806" i="1" s="1"/>
  <c r="BC806" i="1" s="1"/>
  <c r="F806" i="1" s="1"/>
  <c r="BH278" i="1"/>
  <c r="BG278" i="1" s="1"/>
  <c r="BE278" i="1" s="1"/>
  <c r="BC278" i="1" s="1"/>
  <c r="F278" i="1" s="1"/>
  <c r="BH512" i="1"/>
  <c r="BG512" i="1" s="1"/>
  <c r="BE512" i="1" s="1"/>
  <c r="BC512" i="1" s="1"/>
  <c r="F512" i="1" s="1"/>
  <c r="BH65" i="1"/>
  <c r="BG65" i="1" s="1"/>
  <c r="BE65" i="1" s="1"/>
  <c r="BC65" i="1" s="1"/>
  <c r="F65" i="1" s="1"/>
  <c r="BH270" i="1"/>
  <c r="BG270" i="1" s="1"/>
  <c r="BE270" i="1" s="1"/>
  <c r="BC270" i="1" s="1"/>
  <c r="F270" i="1" s="1"/>
  <c r="BH85" i="1"/>
  <c r="BG85" i="1" s="1"/>
  <c r="BE85" i="1" s="1"/>
  <c r="BC85" i="1" s="1"/>
  <c r="F85" i="1" s="1"/>
  <c r="BH124" i="1"/>
  <c r="BG124" i="1" s="1"/>
  <c r="BE124" i="1" s="1"/>
  <c r="BC124" i="1" s="1"/>
  <c r="F124" i="1" s="1"/>
  <c r="BH728" i="1"/>
  <c r="BG728" i="1" s="1"/>
  <c r="BE728" i="1" s="1"/>
  <c r="BC728" i="1" s="1"/>
  <c r="BH548" i="1"/>
  <c r="BG548" i="1" s="1"/>
  <c r="BE548" i="1" s="1"/>
  <c r="BC548" i="1" s="1"/>
  <c r="F548" i="1" s="1"/>
  <c r="BH914" i="1"/>
  <c r="BG914" i="1" s="1"/>
  <c r="BE914" i="1" s="1"/>
  <c r="BC914" i="1" s="1"/>
  <c r="F914" i="1" s="1"/>
  <c r="BH790" i="1"/>
  <c r="BG790" i="1" s="1"/>
  <c r="BE790" i="1" s="1"/>
  <c r="BC790" i="1" s="1"/>
  <c r="BH774" i="1"/>
  <c r="BG774" i="1" s="1"/>
  <c r="BE774" i="1" s="1"/>
  <c r="BC774" i="1" s="1"/>
  <c r="F774" i="1" s="1"/>
  <c r="BH108" i="1"/>
  <c r="BG108" i="1" s="1"/>
  <c r="BE108" i="1" s="1"/>
  <c r="BC108" i="1" s="1"/>
  <c r="F108" i="1" s="1"/>
  <c r="BH294" i="1"/>
  <c r="BG294" i="1" s="1"/>
  <c r="BE294" i="1" s="1"/>
  <c r="BC294" i="1" s="1"/>
  <c r="F294" i="1" s="1"/>
  <c r="BH601" i="1"/>
  <c r="BG601" i="1" s="1"/>
  <c r="BE601" i="1" s="1"/>
  <c r="BC601" i="1" s="1"/>
  <c r="F601" i="1" s="1"/>
  <c r="BH528" i="1"/>
  <c r="BG528" i="1" s="1"/>
  <c r="BE528" i="1" s="1"/>
  <c r="BC528" i="1" s="1"/>
  <c r="F528" i="1" s="1"/>
  <c r="BH99" i="1"/>
  <c r="BG99" i="1" s="1"/>
  <c r="BE99" i="1" s="1"/>
  <c r="BC99" i="1" s="1"/>
  <c r="F99" i="1" s="1"/>
  <c r="BH236" i="1"/>
  <c r="BG236" i="1" s="1"/>
  <c r="BE236" i="1" s="1"/>
  <c r="BC236" i="1" s="1"/>
  <c r="F236" i="1" s="1"/>
  <c r="BH91" i="1"/>
  <c r="BG91" i="1" s="1"/>
  <c r="BE91" i="1" s="1"/>
  <c r="BC91" i="1" s="1"/>
  <c r="BH613" i="1"/>
  <c r="BG613" i="1" s="1"/>
  <c r="BE613" i="1" s="1"/>
  <c r="BC613" i="1" s="1"/>
  <c r="F613" i="1" s="1"/>
  <c r="BH814" i="1"/>
  <c r="BG814" i="1" s="1"/>
  <c r="BE814" i="1" s="1"/>
  <c r="BC814" i="1" s="1"/>
  <c r="BH599" i="1"/>
  <c r="BG599" i="1" s="1"/>
  <c r="BE599" i="1" s="1"/>
  <c r="BC599" i="1" s="1"/>
  <c r="F599" i="1" s="1"/>
  <c r="BH887" i="1"/>
  <c r="BG887" i="1" s="1"/>
  <c r="BE887" i="1" s="1"/>
  <c r="BC887" i="1" s="1"/>
  <c r="F887" i="1" s="1"/>
  <c r="BH685" i="1"/>
  <c r="BG685" i="1" s="1"/>
  <c r="BE685" i="1" s="1"/>
  <c r="BC685" i="1" s="1"/>
  <c r="F685" i="1" s="1"/>
  <c r="BH113" i="1"/>
  <c r="BG113" i="1" s="1"/>
  <c r="BE113" i="1" s="1"/>
  <c r="BC113" i="1" s="1"/>
  <c r="F113" i="1" s="1"/>
  <c r="BH197" i="1"/>
  <c r="BG197" i="1" s="1"/>
  <c r="BE197" i="1" s="1"/>
  <c r="BC197" i="1" s="1"/>
  <c r="F197" i="1" s="1"/>
  <c r="BH900" i="1"/>
  <c r="BG900" i="1" s="1"/>
  <c r="BE900" i="1" s="1"/>
  <c r="BC900" i="1" s="1"/>
  <c r="F900" i="1" s="1"/>
  <c r="BG26" i="1"/>
  <c r="BE26" i="1" s="1"/>
  <c r="BC26" i="1" s="1"/>
  <c r="F26" i="1" s="1"/>
  <c r="BG24" i="1"/>
  <c r="BE24" i="1" s="1"/>
  <c r="BC24" i="1" s="1"/>
  <c r="F24" i="1" s="1"/>
  <c r="BA460" i="1"/>
  <c r="F460" i="1" s="1"/>
  <c r="BA583" i="1"/>
  <c r="F583" i="1" s="1"/>
  <c r="BA588" i="1"/>
  <c r="F588" i="1" s="1"/>
  <c r="BA763" i="1"/>
  <c r="F763" i="1" s="1"/>
  <c r="BA764" i="1"/>
  <c r="F764" i="1" s="1"/>
  <c r="BA198" i="1"/>
  <c r="F198" i="1" s="1"/>
  <c r="BA738" i="1"/>
  <c r="F738" i="1" s="1"/>
  <c r="BA135" i="1"/>
  <c r="F135" i="1" s="1"/>
  <c r="BA554" i="1"/>
  <c r="F554" i="1" s="1"/>
  <c r="BA194" i="1"/>
  <c r="F194" i="1" s="1"/>
  <c r="BA461" i="1"/>
  <c r="F461" i="1" s="1"/>
  <c r="BA890" i="1"/>
  <c r="F890" i="1" s="1"/>
  <c r="BA796" i="1"/>
  <c r="F796" i="1" s="1"/>
  <c r="BA628" i="1"/>
  <c r="F628" i="1" s="1"/>
  <c r="BA765" i="1"/>
  <c r="F765" i="1" s="1"/>
  <c r="BA145" i="1"/>
  <c r="F145" i="1" s="1"/>
  <c r="BA120" i="1"/>
  <c r="F120" i="1" s="1"/>
  <c r="BA163" i="1"/>
  <c r="F163" i="1" s="1"/>
  <c r="BA462" i="1"/>
  <c r="F462" i="1" s="1"/>
  <c r="BA794" i="1"/>
  <c r="F794" i="1" s="1"/>
  <c r="BA489" i="1"/>
  <c r="F489" i="1" s="1"/>
  <c r="BA526" i="1"/>
  <c r="F526" i="1" s="1"/>
  <c r="BA348" i="1"/>
  <c r="F348" i="1" s="1"/>
  <c r="BA600" i="1"/>
  <c r="F600" i="1" s="1"/>
  <c r="BA618" i="1"/>
  <c r="F618" i="1" s="1"/>
  <c r="BA435" i="1"/>
  <c r="F435" i="1" s="1"/>
  <c r="BA442" i="1"/>
  <c r="F442" i="1" s="1"/>
  <c r="BA312" i="1"/>
  <c r="F312" i="1" s="1"/>
  <c r="BA339" i="1"/>
  <c r="F339" i="1" s="1"/>
  <c r="BA105" i="1"/>
  <c r="F105" i="1" s="1"/>
  <c r="BA374" i="1"/>
  <c r="F374" i="1" s="1"/>
  <c r="BA879" i="1"/>
  <c r="F879" i="1" s="1"/>
  <c r="BA841" i="1"/>
  <c r="F841" i="1" s="1"/>
  <c r="BA639" i="1"/>
  <c r="F639" i="1" s="1"/>
  <c r="BA394" i="1"/>
  <c r="F394" i="1" s="1"/>
  <c r="BA391" i="1"/>
  <c r="F391" i="1" s="1"/>
  <c r="BA445" i="1"/>
  <c r="F445" i="1" s="1"/>
  <c r="BA870" i="1"/>
  <c r="F870" i="1" s="1"/>
  <c r="BA222" i="1"/>
  <c r="F222" i="1" s="1"/>
  <c r="BA82" i="1"/>
  <c r="F82" i="1" s="1"/>
  <c r="BA648" i="1"/>
  <c r="F648" i="1" s="1"/>
  <c r="BA354" i="1"/>
  <c r="F354" i="1" s="1"/>
  <c r="BA503" i="1"/>
  <c r="F503" i="1" s="1"/>
  <c r="BA29" i="1"/>
  <c r="F29" i="1" s="1"/>
  <c r="BA221" i="1"/>
  <c r="F221" i="1" s="1"/>
  <c r="BA214" i="1"/>
  <c r="F214" i="1" s="1"/>
  <c r="BA450" i="1"/>
  <c r="F450" i="1" s="1"/>
  <c r="BA636" i="1"/>
  <c r="F636" i="1" s="1"/>
  <c r="BA592" i="1"/>
  <c r="F592" i="1" s="1"/>
  <c r="BA492" i="1"/>
  <c r="F492" i="1" s="1"/>
  <c r="BA257" i="1"/>
  <c r="F257" i="1" s="1"/>
  <c r="BA584" i="1"/>
  <c r="F584" i="1" s="1"/>
  <c r="BA863" i="1"/>
  <c r="F863" i="1" s="1"/>
  <c r="BA75" i="1"/>
  <c r="F75" i="1" s="1"/>
  <c r="BA209" i="1"/>
  <c r="F209" i="1" s="1"/>
  <c r="BA167" i="1"/>
  <c r="F167" i="1" s="1"/>
  <c r="BA332" i="1"/>
  <c r="F332" i="1" s="1"/>
  <c r="BA433" i="1"/>
  <c r="F433" i="1" s="1"/>
  <c r="BA174" i="1"/>
  <c r="F174" i="1" s="1"/>
  <c r="BA540" i="1"/>
  <c r="F540" i="1" s="1"/>
  <c r="BA239" i="1"/>
  <c r="F239" i="1" s="1"/>
  <c r="BA149" i="1"/>
  <c r="F149" i="1" s="1"/>
  <c r="BA454" i="1"/>
  <c r="F454" i="1" s="1"/>
  <c r="BA514" i="1"/>
  <c r="F514" i="1" s="1"/>
  <c r="BA506" i="1"/>
  <c r="F506" i="1" s="1"/>
  <c r="BA860" i="1"/>
  <c r="F860" i="1" s="1"/>
  <c r="BC44" i="1"/>
  <c r="F44" i="1" s="1"/>
  <c r="BC466" i="1"/>
  <c r="BC658" i="1"/>
  <c r="F658" i="1" s="1"/>
  <c r="BC153" i="1"/>
  <c r="F153" i="1" s="1"/>
  <c r="BC665" i="1"/>
  <c r="F665" i="1" s="1"/>
  <c r="BC626" i="1"/>
  <c r="F626" i="1" s="1"/>
  <c r="BC844" i="1"/>
  <c r="BC425" i="1"/>
  <c r="BC895" i="1"/>
  <c r="F895" i="1" s="1"/>
  <c r="BC581" i="1"/>
  <c r="F581" i="1" s="1"/>
  <c r="BC131" i="1"/>
  <c r="BC447" i="1"/>
  <c r="BC457" i="1"/>
  <c r="F457" i="1" s="1"/>
  <c r="BC196" i="1"/>
  <c r="BC880" i="1"/>
  <c r="F880" i="1" s="1"/>
  <c r="BC210" i="1"/>
  <c r="F210" i="1" s="1"/>
  <c r="BC585" i="1"/>
  <c r="F585" i="1" s="1"/>
  <c r="BC525" i="1"/>
  <c r="F525" i="1" s="1"/>
  <c r="BC882" i="1"/>
  <c r="F882" i="1" s="1"/>
  <c r="BC162" i="1"/>
  <c r="F162" i="1" s="1"/>
  <c r="BC634" i="1"/>
  <c r="BC572" i="1"/>
  <c r="F572" i="1" s="1"/>
  <c r="BC692" i="1"/>
  <c r="F692" i="1" s="1"/>
  <c r="BC206" i="1"/>
  <c r="BC552" i="1"/>
  <c r="F552" i="1" s="1"/>
  <c r="BC361" i="1"/>
  <c r="F361" i="1" s="1"/>
  <c r="BC638" i="1"/>
  <c r="BC192" i="1"/>
  <c r="F192" i="1" s="1"/>
  <c r="BC555" i="1"/>
  <c r="F555" i="1" s="1"/>
  <c r="BC542" i="1"/>
  <c r="BC557" i="1"/>
  <c r="BC428" i="1"/>
  <c r="BC182" i="1"/>
  <c r="BC737" i="1"/>
  <c r="F737" i="1" s="1"/>
  <c r="BC530" i="1"/>
  <c r="BC813" i="1"/>
  <c r="F813" i="1" s="1"/>
  <c r="BC715" i="1"/>
  <c r="F715" i="1" s="1"/>
  <c r="BC242" i="1"/>
  <c r="BC791" i="1"/>
  <c r="BC795" i="1"/>
  <c r="BC64" i="1"/>
  <c r="BC683" i="1"/>
  <c r="BC625" i="1"/>
  <c r="BC370" i="1"/>
  <c r="BC421" i="1"/>
  <c r="BC535" i="1"/>
  <c r="F535" i="1" s="1"/>
  <c r="BC418" i="1"/>
  <c r="BC690" i="1"/>
  <c r="BC620" i="1"/>
  <c r="F620" i="1" s="1"/>
  <c r="BC655" i="1"/>
  <c r="F655" i="1" s="1"/>
  <c r="BC723" i="1"/>
  <c r="F723" i="1" s="1"/>
  <c r="BC115" i="1"/>
  <c r="BC272" i="1"/>
  <c r="F272" i="1" s="1"/>
  <c r="BC602" i="1"/>
  <c r="F602" i="1" s="1"/>
  <c r="BC834" i="1"/>
  <c r="F834" i="1" s="1"/>
  <c r="BC509" i="1"/>
  <c r="F509" i="1" s="1"/>
  <c r="BC66" i="1"/>
  <c r="BC536" i="1"/>
  <c r="F536" i="1" s="1"/>
  <c r="BC491" i="1"/>
  <c r="BC508" i="1"/>
  <c r="F508" i="1" s="1"/>
  <c r="BC519" i="1"/>
  <c r="F519" i="1" s="1"/>
  <c r="BC920" i="1"/>
  <c r="F920" i="1" s="1"/>
  <c r="BC254" i="1"/>
  <c r="BC775" i="1"/>
  <c r="F775" i="1" s="1"/>
  <c r="BC845" i="1"/>
  <c r="F845" i="1" s="1"/>
  <c r="BC402" i="1"/>
  <c r="F402" i="1" s="1"/>
  <c r="BC409" i="1"/>
  <c r="F409" i="1" s="1"/>
  <c r="BC898" i="1"/>
  <c r="F898" i="1" s="1"/>
  <c r="BC322" i="1"/>
  <c r="F322" i="1" s="1"/>
  <c r="BC252" i="1"/>
  <c r="F252" i="1" s="1"/>
  <c r="BC603" i="1"/>
  <c r="F603" i="1" s="1"/>
  <c r="BC359" i="1"/>
  <c r="BC539" i="1"/>
  <c r="BC128" i="1"/>
  <c r="BC340" i="1"/>
  <c r="F340" i="1" s="1"/>
  <c r="BC58" i="1"/>
  <c r="BC414" i="1"/>
  <c r="F414" i="1" s="1"/>
  <c r="BC500" i="1"/>
  <c r="F500" i="1" s="1"/>
  <c r="BC38" i="1"/>
  <c r="F38" i="1" s="1"/>
  <c r="BC245" i="1"/>
  <c r="F245" i="1" s="1"/>
  <c r="BC876" i="1"/>
  <c r="BC302" i="1"/>
  <c r="F302" i="1" s="1"/>
  <c r="BC107" i="1"/>
  <c r="F107" i="1" s="1"/>
  <c r="BC400" i="1"/>
  <c r="F400" i="1" s="1"/>
  <c r="BC67" i="1"/>
  <c r="BC459" i="1"/>
  <c r="F459" i="1" s="1"/>
  <c r="BC225" i="1"/>
  <c r="BC79" i="1"/>
  <c r="F79" i="1" s="1"/>
  <c r="BC365" i="1"/>
  <c r="F365" i="1" s="1"/>
  <c r="BC446" i="1"/>
  <c r="BC158" i="1"/>
  <c r="F158" i="1" s="1"/>
  <c r="BC529" i="1"/>
  <c r="BC381" i="1"/>
  <c r="F381" i="1" s="1"/>
  <c r="BC905" i="1"/>
  <c r="F905" i="1" s="1"/>
  <c r="BC538" i="1"/>
  <c r="F538" i="1" s="1"/>
  <c r="BC458" i="1"/>
  <c r="F458" i="1" s="1"/>
  <c r="BC61" i="1"/>
  <c r="BC35" i="1"/>
  <c r="BC387" i="1"/>
  <c r="F387" i="1" s="1"/>
  <c r="BC821" i="1"/>
  <c r="F821" i="1" s="1"/>
  <c r="BC70" i="1"/>
  <c r="F70" i="1" s="1"/>
  <c r="BC657" i="1"/>
  <c r="F657" i="1" s="1"/>
  <c r="BC81" i="1"/>
  <c r="BC68" i="1"/>
  <c r="F68" i="1" s="1"/>
  <c r="BC416" i="1"/>
  <c r="F416" i="1" s="1"/>
  <c r="BC77" i="1"/>
  <c r="F77" i="1" s="1"/>
  <c r="BC180" i="1"/>
  <c r="F180" i="1" s="1"/>
  <c r="BC429" i="1"/>
  <c r="F429" i="1" s="1"/>
  <c r="BC560" i="1"/>
  <c r="F560" i="1" s="1"/>
  <c r="BC154" i="1"/>
  <c r="BC330" i="1"/>
  <c r="BC232" i="1"/>
  <c r="BC219" i="1"/>
  <c r="F219" i="1" s="1"/>
  <c r="BC151" i="1"/>
  <c r="BC871" i="1"/>
  <c r="F871" i="1" s="1"/>
  <c r="BC908" i="1"/>
  <c r="BC549" i="1"/>
  <c r="BC736" i="1"/>
  <c r="BC388" i="1"/>
  <c r="BC22" i="1"/>
  <c r="BC453" i="1"/>
  <c r="BC857" i="1"/>
  <c r="BC136" i="1"/>
  <c r="F136" i="1" s="1"/>
  <c r="BC169" i="1"/>
  <c r="BC854" i="1"/>
  <c r="F854" i="1" s="1"/>
  <c r="BC118" i="1"/>
  <c r="BC859" i="1"/>
  <c r="BC520" i="1"/>
  <c r="F520" i="1" s="1"/>
  <c r="BC534" i="1"/>
  <c r="F534" i="1" s="1"/>
  <c r="BC88" i="1"/>
  <c r="BC564" i="1"/>
  <c r="BC137" i="1"/>
  <c r="F137" i="1" s="1"/>
  <c r="BC132" i="1"/>
  <c r="F132" i="1" s="1"/>
  <c r="BC695" i="1"/>
  <c r="F695" i="1" s="1"/>
  <c r="BC633" i="1"/>
  <c r="BC724" i="1"/>
  <c r="F724" i="1" s="1"/>
  <c r="BC441" i="1"/>
  <c r="F441" i="1" s="1"/>
  <c r="BC96" i="1"/>
  <c r="F96" i="1" s="1"/>
  <c r="BC474" i="1"/>
  <c r="F474" i="1" s="1"/>
  <c r="BC156" i="1"/>
  <c r="BC537" i="1"/>
  <c r="F537" i="1" s="1"/>
  <c r="BC152" i="1"/>
  <c r="F152" i="1" s="1"/>
  <c r="BC573" i="1"/>
  <c r="BC92" i="1"/>
  <c r="BC190" i="1"/>
  <c r="F190" i="1" s="1"/>
  <c r="BC664" i="1"/>
  <c r="F664" i="1" s="1"/>
  <c r="BC256" i="1"/>
  <c r="BC286" i="1"/>
  <c r="F286" i="1" s="1"/>
  <c r="BC277" i="1"/>
  <c r="F277" i="1" s="1"/>
  <c r="BC556" i="1"/>
  <c r="F556" i="1" s="1"/>
  <c r="BC40" i="1"/>
  <c r="F40" i="1" s="1"/>
  <c r="BC427" i="1"/>
  <c r="F427" i="1" s="1"/>
  <c r="BC622" i="1"/>
  <c r="F622" i="1" s="1"/>
  <c r="BC839" i="1"/>
  <c r="F839" i="1" s="1"/>
  <c r="BC451" i="1"/>
  <c r="F451" i="1" s="1"/>
  <c r="BC919" i="1"/>
  <c r="BC200" i="1"/>
  <c r="BC165" i="1"/>
  <c r="F165" i="1" s="1"/>
  <c r="BC309" i="1"/>
  <c r="F309" i="1" s="1"/>
  <c r="BC218" i="1"/>
  <c r="F218" i="1" s="1"/>
  <c r="BC577" i="1"/>
  <c r="BC233" i="1"/>
  <c r="F233" i="1" s="1"/>
  <c r="BC150" i="1"/>
  <c r="F150" i="1" s="1"/>
  <c r="BC575" i="1"/>
  <c r="F575" i="1" s="1"/>
  <c r="BC826" i="1"/>
  <c r="F826" i="1" s="1"/>
  <c r="BC315" i="1"/>
  <c r="F315" i="1" s="1"/>
  <c r="BC713" i="1"/>
  <c r="F713" i="1" s="1"/>
  <c r="BC172" i="1"/>
  <c r="F172" i="1" s="1"/>
  <c r="BC546" i="1"/>
  <c r="F546" i="1" s="1"/>
  <c r="BC140" i="1"/>
  <c r="F140" i="1" s="1"/>
  <c r="BC36" i="1"/>
  <c r="BC392" i="1"/>
  <c r="F392" i="1" s="1"/>
  <c r="BC473" i="1"/>
  <c r="F473" i="1" s="1"/>
  <c r="BC567" i="1"/>
  <c r="F567" i="1" s="1"/>
  <c r="BC284" i="1"/>
  <c r="BC76" i="1"/>
  <c r="F76" i="1" s="1"/>
  <c r="BC455" i="1"/>
  <c r="F455" i="1" s="1"/>
  <c r="BC260" i="1"/>
  <c r="F260" i="1" s="1"/>
  <c r="BC319" i="1"/>
  <c r="F319" i="1" s="1"/>
  <c r="BC237" i="1"/>
  <c r="BC559" i="1"/>
  <c r="BC740" i="1"/>
  <c r="BC815" i="1"/>
  <c r="F815" i="1" s="1"/>
  <c r="BC660" i="1"/>
  <c r="F660" i="1" s="1"/>
  <c r="BC838" i="1"/>
  <c r="F838" i="1" s="1"/>
  <c r="BC367" i="1"/>
  <c r="F367" i="1" s="1"/>
  <c r="BC74" i="1"/>
  <c r="F74" i="1" s="1"/>
  <c r="BC170" i="1"/>
  <c r="F170" i="1" s="1"/>
  <c r="BC828" i="1"/>
  <c r="F828" i="1" s="1"/>
  <c r="BC735" i="1"/>
  <c r="BC823" i="1"/>
  <c r="BC484" i="1"/>
  <c r="F484" i="1" s="1"/>
  <c r="BC187" i="1"/>
  <c r="F187" i="1" s="1"/>
  <c r="BC861" i="1"/>
  <c r="BC360" i="1"/>
  <c r="F360" i="1" s="1"/>
  <c r="BC776" i="1"/>
  <c r="F776" i="1" s="1"/>
  <c r="BC49" i="1"/>
  <c r="F49" i="1" s="1"/>
  <c r="BC617" i="1"/>
  <c r="BC43" i="1"/>
  <c r="F43" i="1" s="1"/>
  <c r="BC684" i="1"/>
  <c r="F684" i="1" s="1"/>
  <c r="BC456" i="1"/>
  <c r="F456" i="1" s="1"/>
  <c r="BC134" i="1"/>
  <c r="F134" i="1" s="1"/>
  <c r="BC563" i="1"/>
  <c r="F563" i="1" s="1"/>
  <c r="BC769" i="1"/>
  <c r="BC160" i="1"/>
  <c r="BC311" i="1"/>
  <c r="BC89" i="1"/>
  <c r="BC415" i="1"/>
  <c r="F415" i="1" s="1"/>
  <c r="BC406" i="1"/>
  <c r="BC241" i="1"/>
  <c r="F241" i="1" s="1"/>
  <c r="BC368" i="1"/>
  <c r="F368" i="1" s="1"/>
  <c r="BC195" i="1"/>
  <c r="BC328" i="1"/>
  <c r="BC148" i="1"/>
  <c r="F148" i="1" s="1"/>
  <c r="BC31" i="1"/>
  <c r="F31" i="1" s="1"/>
  <c r="BC93" i="1"/>
  <c r="BC297" i="1"/>
  <c r="F297" i="1" s="1"/>
  <c r="BC800" i="1"/>
  <c r="F800" i="1" s="1"/>
  <c r="BC253" i="1"/>
  <c r="F253" i="1" s="1"/>
  <c r="BC875" i="1"/>
  <c r="F875" i="1" s="1"/>
  <c r="BC262" i="1"/>
  <c r="F262" i="1" s="1"/>
  <c r="BC550" i="1"/>
  <c r="BC385" i="1"/>
  <c r="F385" i="1" s="1"/>
  <c r="BC798" i="1"/>
  <c r="BC629" i="1"/>
  <c r="F629" i="1" s="1"/>
  <c r="BC229" i="1"/>
  <c r="F229" i="1" s="1"/>
  <c r="BC244" i="1"/>
  <c r="F244" i="1" s="1"/>
  <c r="BC558" i="1"/>
  <c r="BC522" i="1"/>
  <c r="F522" i="1" s="1"/>
  <c r="BC679" i="1"/>
  <c r="BC363" i="1"/>
  <c r="BC801" i="1"/>
  <c r="F801" i="1" s="1"/>
  <c r="BC619" i="1"/>
  <c r="F619" i="1" s="1"/>
  <c r="BC224" i="1"/>
  <c r="BC130" i="1"/>
  <c r="BC663" i="1"/>
  <c r="F663" i="1" s="1"/>
  <c r="BC678" i="1"/>
  <c r="BC858" i="1"/>
  <c r="F858" i="1" s="1"/>
  <c r="BC168" i="1"/>
  <c r="F168" i="1" s="1"/>
  <c r="BC362" i="1"/>
  <c r="F362" i="1" s="1"/>
  <c r="BC142" i="1"/>
  <c r="BC867" i="1"/>
  <c r="BC408" i="1"/>
  <c r="BC326" i="1"/>
  <c r="F326" i="1" s="1"/>
  <c r="BC643" i="1"/>
  <c r="BC820" i="1"/>
  <c r="BC310" i="1"/>
  <c r="F310" i="1" s="1"/>
  <c r="BC681" i="1"/>
  <c r="F681" i="1" s="1"/>
  <c r="BC147" i="1"/>
  <c r="BC832" i="1"/>
  <c r="BC718" i="1"/>
  <c r="F718" i="1" s="1"/>
  <c r="BC487" i="1"/>
  <c r="BC827" i="1"/>
  <c r="F827" i="1" s="1"/>
  <c r="BC215" i="1"/>
  <c r="BC73" i="1"/>
  <c r="F73" i="1" s="1"/>
  <c r="BC833" i="1"/>
  <c r="F833" i="1" s="1"/>
  <c r="BC308" i="1"/>
  <c r="F308" i="1" s="1"/>
  <c r="BC594" i="1"/>
  <c r="F594" i="1" s="1"/>
  <c r="BC267" i="1"/>
  <c r="F267" i="1" s="1"/>
  <c r="BC184" i="1"/>
  <c r="F184" i="1" s="1"/>
  <c r="BC226" i="1"/>
  <c r="BC281" i="1"/>
  <c r="F281" i="1" s="1"/>
  <c r="BC380" i="1"/>
  <c r="BC881" i="1"/>
  <c r="F881" i="1" s="1"/>
  <c r="BC263" i="1"/>
  <c r="F263" i="1" s="1"/>
  <c r="BC404" i="1"/>
  <c r="BC338" i="1"/>
  <c r="BC676" i="1"/>
  <c r="F676" i="1" s="1"/>
  <c r="BC345" i="1"/>
  <c r="F345" i="1" s="1"/>
  <c r="BC531" i="1"/>
  <c r="BC62" i="1"/>
  <c r="BC472" i="1"/>
  <c r="F472" i="1" s="1"/>
  <c r="BC116" i="1"/>
  <c r="F116" i="1" s="1"/>
  <c r="BC369" i="1"/>
  <c r="F369" i="1" s="1"/>
  <c r="BC624" i="1"/>
  <c r="F624" i="1" s="1"/>
  <c r="BC913" i="1"/>
  <c r="F913" i="1" s="1"/>
  <c r="BC773" i="1"/>
  <c r="F773" i="1" s="1"/>
  <c r="BC518" i="1"/>
  <c r="BC243" i="1"/>
  <c r="BC407" i="1"/>
  <c r="BC250" i="1"/>
  <c r="BC768" i="1"/>
  <c r="F768" i="1" s="1"/>
  <c r="BE686" i="1"/>
  <c r="BG264" i="1"/>
  <c r="BG283" i="1"/>
  <c r="BG444" i="1"/>
  <c r="BE444" i="1" s="1"/>
  <c r="BG41" i="1"/>
  <c r="BE41" i="1" s="1"/>
  <c r="BG279" i="1"/>
  <c r="BG86" i="1"/>
  <c r="BG231" i="1"/>
  <c r="BG673" i="1"/>
  <c r="BG316" i="1"/>
  <c r="BG846" i="1"/>
  <c r="BG355" i="1"/>
  <c r="BG386" i="1"/>
  <c r="BG497" i="1"/>
  <c r="BG650" i="1"/>
  <c r="BG205" i="1"/>
  <c r="BG755" i="1"/>
  <c r="BG33" i="1"/>
  <c r="BE33" i="1" s="1"/>
  <c r="BC33" i="1" s="1"/>
  <c r="F33" i="1" s="1"/>
  <c r="BG347" i="1"/>
  <c r="BG878" i="1"/>
  <c r="BG119" i="1"/>
  <c r="BG672" i="1"/>
  <c r="BG481" i="1"/>
  <c r="BG100" i="1"/>
  <c r="BG653" i="1"/>
  <c r="BG324" i="1"/>
  <c r="BG336" i="1"/>
  <c r="BG372" i="1"/>
  <c r="BG571" i="1"/>
  <c r="BG712" i="1"/>
  <c r="BG53" i="1"/>
  <c r="BE53" i="1" s="1"/>
  <c r="BG507" i="1"/>
  <c r="BG228" i="1"/>
  <c r="BG611" i="1"/>
  <c r="BG181" i="1"/>
  <c r="BG848" i="1"/>
  <c r="BG19" i="1"/>
  <c r="BG371" i="1"/>
  <c r="BG223" i="1"/>
  <c r="BG615" i="1"/>
  <c r="BG746" i="1"/>
  <c r="BG847" i="1"/>
  <c r="BG78" i="1"/>
  <c r="BG856" i="1"/>
  <c r="BG877" i="1"/>
  <c r="BG918" i="1"/>
  <c r="BG34" i="1"/>
  <c r="BE34" i="1" s="1"/>
  <c r="BG868" i="1"/>
  <c r="BG125" i="1"/>
  <c r="BG306" i="1"/>
  <c r="BG493" i="1"/>
  <c r="BG32" i="1"/>
  <c r="BG591" i="1"/>
  <c r="BE591" i="1" s="1"/>
  <c r="BG654" i="1"/>
  <c r="BG178" i="1"/>
  <c r="BG849" i="1"/>
  <c r="BG255" i="1"/>
  <c r="BG199" i="1"/>
  <c r="BG269" i="1"/>
  <c r="BG342" i="1"/>
  <c r="BG25" i="1"/>
  <c r="BG637" i="1"/>
  <c r="BG753" i="1"/>
  <c r="BG904" i="1"/>
  <c r="BG290" i="1"/>
  <c r="BG463" i="1"/>
  <c r="BG721" i="1"/>
  <c r="BG616" i="1"/>
  <c r="BE616" i="1" s="1"/>
  <c r="BG884" i="1"/>
  <c r="BG87" i="1"/>
  <c r="BG139" i="1"/>
  <c r="BG651" i="1"/>
  <c r="BE651" i="1" s="1"/>
  <c r="BG808" i="1"/>
  <c r="BG710" i="1"/>
  <c r="BE710" i="1" s="1"/>
  <c r="BG607" i="1"/>
  <c r="BG220" i="1"/>
  <c r="BG419" i="1"/>
  <c r="BG437" i="1"/>
  <c r="BG816" i="1"/>
  <c r="BG344" i="1"/>
  <c r="BG258" i="1"/>
  <c r="BG164" i="1"/>
  <c r="BG909" i="1"/>
  <c r="BG842" i="1"/>
  <c r="BU333" i="1"/>
  <c r="BH333" i="1" s="1"/>
  <c r="BU901" i="1"/>
  <c r="BH901" i="1" s="1"/>
  <c r="BU335" i="1"/>
  <c r="BH335" i="1" s="1"/>
  <c r="BU745" i="1"/>
  <c r="BH745" i="1" s="1"/>
  <c r="BU502" i="1"/>
  <c r="BH502" i="1" s="1"/>
  <c r="BU373" i="1"/>
  <c r="BH373" i="1" s="1"/>
  <c r="BU39" i="1"/>
  <c r="BH39" i="1" s="1"/>
  <c r="BU123" i="1"/>
  <c r="BH123" i="1" s="1"/>
  <c r="BU274" i="1"/>
  <c r="BH274" i="1" s="1"/>
  <c r="BU30" i="1"/>
  <c r="BH30" i="1" s="1"/>
  <c r="BU819" i="1"/>
  <c r="BH819" i="1" s="1"/>
  <c r="BU146" i="1"/>
  <c r="BH146" i="1" s="1"/>
  <c r="BU513" i="1"/>
  <c r="BH513" i="1" s="1"/>
  <c r="BU779" i="1"/>
  <c r="BH779" i="1" s="1"/>
  <c r="BU893" i="1"/>
  <c r="BH893" i="1" s="1"/>
  <c r="BU207" i="1"/>
  <c r="BH207" i="1" s="1"/>
  <c r="BU155" i="1"/>
  <c r="BH155" i="1" s="1"/>
  <c r="BU562" i="1"/>
  <c r="BH562" i="1" s="1"/>
  <c r="BU323" i="1"/>
  <c r="BH323" i="1" s="1"/>
  <c r="BU640" i="1"/>
  <c r="BH640" i="1" s="1"/>
  <c r="BU747" i="1"/>
  <c r="BH747" i="1" s="1"/>
  <c r="BU752" i="1"/>
  <c r="BH752" i="1" s="1"/>
  <c r="BU732" i="1"/>
  <c r="BH732" i="1" s="1"/>
  <c r="BU496" i="1"/>
  <c r="BH496" i="1" s="1"/>
  <c r="BU203" i="1"/>
  <c r="BH203" i="1" s="1"/>
  <c r="BU836" i="1"/>
  <c r="BH836" i="1" s="1"/>
  <c r="BU704" i="1"/>
  <c r="BH704" i="1" s="1"/>
  <c r="BU401" i="1"/>
  <c r="BH401" i="1" s="1"/>
  <c r="BU742" i="1"/>
  <c r="BH742" i="1" s="1"/>
  <c r="BU789" i="1"/>
  <c r="BH789" i="1" s="1"/>
  <c r="BU726" i="1"/>
  <c r="BH726" i="1" s="1"/>
  <c r="BU384" i="1"/>
  <c r="BH384" i="1" s="1"/>
  <c r="BU499" i="1"/>
  <c r="BH499" i="1" s="1"/>
  <c r="BU910" i="1"/>
  <c r="BH910" i="1" s="1"/>
  <c r="BU717" i="1"/>
  <c r="BH717" i="1" s="1"/>
  <c r="BU321" i="1"/>
  <c r="BH321" i="1" s="1"/>
  <c r="BU788" i="1"/>
  <c r="BH788" i="1" s="1"/>
  <c r="BU292" i="1"/>
  <c r="BH292" i="1" s="1"/>
  <c r="BU782" i="1"/>
  <c r="BH782" i="1" s="1"/>
  <c r="BU818" i="1"/>
  <c r="BH818" i="1" s="1"/>
  <c r="BU659" i="1"/>
  <c r="BH659" i="1" s="1"/>
  <c r="BU301" i="1"/>
  <c r="BH301" i="1" s="1"/>
  <c r="BU314" i="1"/>
  <c r="BH314" i="1" s="1"/>
  <c r="BU532" i="1"/>
  <c r="BH532" i="1" s="1"/>
  <c r="BU144" i="1"/>
  <c r="BH144" i="1" s="1"/>
  <c r="BU570" i="1"/>
  <c r="BH570" i="1" s="1"/>
  <c r="BU744" i="1"/>
  <c r="BH744" i="1" s="1"/>
  <c r="BU604" i="1"/>
  <c r="BH604" i="1" s="1"/>
  <c r="BU605" i="1"/>
  <c r="BH605" i="1" s="1"/>
  <c r="BU902" i="1"/>
  <c r="BH902" i="1" s="1"/>
  <c r="BU289" i="1"/>
  <c r="BH289" i="1" s="1"/>
  <c r="BU55" i="1"/>
  <c r="BH55" i="1" s="1"/>
  <c r="BU186" i="1"/>
  <c r="BH186" i="1" s="1"/>
  <c r="BU390" i="1"/>
  <c r="BH390" i="1" s="1"/>
  <c r="BU670" i="1"/>
  <c r="BH670" i="1" s="1"/>
  <c r="BU356" i="1"/>
  <c r="BH356" i="1" s="1"/>
  <c r="BU95" i="1"/>
  <c r="BH95" i="1" s="1"/>
  <c r="BU403" i="1"/>
  <c r="BH403" i="1" s="1"/>
  <c r="BU793" i="1"/>
  <c r="BH793" i="1" s="1"/>
  <c r="BU896" i="1"/>
  <c r="BH896" i="1" s="1"/>
  <c r="BU101" i="1"/>
  <c r="BH101" i="1" s="1"/>
  <c r="BU850" i="1"/>
  <c r="BH850" i="1" s="1"/>
  <c r="BU327" i="1"/>
  <c r="BH327" i="1" s="1"/>
  <c r="BU71" i="1"/>
  <c r="BH71" i="1" s="1"/>
  <c r="BU645" i="1"/>
  <c r="BH645" i="1" s="1"/>
  <c r="BU431" i="1"/>
  <c r="BH431" i="1" s="1"/>
  <c r="BU889" i="1"/>
  <c r="BH889" i="1" s="1"/>
  <c r="BU760" i="1"/>
  <c r="BH760" i="1" s="1"/>
  <c r="BU464" i="1"/>
  <c r="BH464" i="1" s="1"/>
  <c r="BU248" i="1"/>
  <c r="BH248" i="1" s="1"/>
  <c r="BU647" i="1"/>
  <c r="BH647" i="1" s="1"/>
  <c r="BU748" i="1"/>
  <c r="BH748" i="1" s="1"/>
  <c r="BU334" i="1"/>
  <c r="BH334" i="1" s="1"/>
  <c r="BU517" i="1"/>
  <c r="BH517" i="1" s="1"/>
  <c r="BU471" i="1"/>
  <c r="BH471" i="1" s="1"/>
  <c r="BU304" i="1"/>
  <c r="BH304" i="1" s="1"/>
  <c r="BU590" i="1"/>
  <c r="BH590" i="1" s="1"/>
  <c r="BU238" i="1"/>
  <c r="BH238" i="1" s="1"/>
  <c r="BU587" i="1"/>
  <c r="BH587" i="1" s="1"/>
  <c r="BU251" i="1"/>
  <c r="BH251" i="1" s="1"/>
  <c r="BU739" i="1"/>
  <c r="BH739" i="1" s="1"/>
  <c r="BU470" i="1"/>
  <c r="BH470" i="1" s="1"/>
  <c r="BU28" i="1"/>
  <c r="BH28" i="1" s="1"/>
  <c r="BU757" i="1"/>
  <c r="BH757" i="1" s="1"/>
  <c r="BU379" i="1"/>
  <c r="BH379" i="1" s="1"/>
  <c r="BU885" i="1"/>
  <c r="BH885" i="1" s="1"/>
  <c r="BU329" i="1"/>
  <c r="BH329" i="1" s="1"/>
  <c r="BG60" i="1"/>
  <c r="BG677" i="1"/>
  <c r="BG412" i="1"/>
  <c r="BA328" i="1" l="1"/>
  <c r="F328" i="1" s="1"/>
  <c r="BA406" i="1"/>
  <c r="F406" i="1" s="1"/>
  <c r="BA311" i="1"/>
  <c r="F311" i="1" s="1"/>
  <c r="BA559" i="1"/>
  <c r="F559" i="1" s="1"/>
  <c r="BA92" i="1"/>
  <c r="F92" i="1" s="1"/>
  <c r="BA549" i="1"/>
  <c r="F549" i="1" s="1"/>
  <c r="BA151" i="1"/>
  <c r="F151" i="1" s="1"/>
  <c r="BA81" i="1"/>
  <c r="F81" i="1" s="1"/>
  <c r="BA67" i="1"/>
  <c r="F67" i="1" s="1"/>
  <c r="BA58" i="1"/>
  <c r="F58" i="1" s="1"/>
  <c r="BA539" i="1"/>
  <c r="F539" i="1" s="1"/>
  <c r="BA421" i="1"/>
  <c r="F421" i="1" s="1"/>
  <c r="BA791" i="1"/>
  <c r="F791" i="1" s="1"/>
  <c r="BA182" i="1"/>
  <c r="F182" i="1" s="1"/>
  <c r="BA542" i="1"/>
  <c r="F542" i="1" s="1"/>
  <c r="BA638" i="1"/>
  <c r="F638" i="1" s="1"/>
  <c r="BA206" i="1"/>
  <c r="F206" i="1" s="1"/>
  <c r="BA131" i="1"/>
  <c r="F131" i="1" s="1"/>
  <c r="BA707" i="1"/>
  <c r="F707" i="1" s="1"/>
  <c r="BA404" i="1"/>
  <c r="F404" i="1" s="1"/>
  <c r="BA487" i="1"/>
  <c r="F487" i="1" s="1"/>
  <c r="BA820" i="1"/>
  <c r="F820" i="1" s="1"/>
  <c r="BA160" i="1"/>
  <c r="F160" i="1" s="1"/>
  <c r="BA823" i="1"/>
  <c r="F823" i="1" s="1"/>
  <c r="BA237" i="1"/>
  <c r="F237" i="1" s="1"/>
  <c r="BA573" i="1"/>
  <c r="F573" i="1" s="1"/>
  <c r="BA156" i="1"/>
  <c r="F156" i="1" s="1"/>
  <c r="BA633" i="1"/>
  <c r="F633" i="1" s="1"/>
  <c r="BA169" i="1"/>
  <c r="F169" i="1" s="1"/>
  <c r="BA453" i="1"/>
  <c r="F453" i="1" s="1"/>
  <c r="BA388" i="1"/>
  <c r="F388" i="1" s="1"/>
  <c r="BA225" i="1"/>
  <c r="F225" i="1" s="1"/>
  <c r="BA359" i="1"/>
  <c r="F359" i="1" s="1"/>
  <c r="BA91" i="1"/>
  <c r="F91" i="1" s="1"/>
  <c r="BA115" i="1"/>
  <c r="F115" i="1" s="1"/>
  <c r="BA690" i="1"/>
  <c r="F690" i="1" s="1"/>
  <c r="BA370" i="1"/>
  <c r="F370" i="1" s="1"/>
  <c r="BA64" i="1"/>
  <c r="F64" i="1" s="1"/>
  <c r="BA425" i="1"/>
  <c r="F425" i="1" s="1"/>
  <c r="BA466" i="1"/>
  <c r="F466" i="1" s="1"/>
  <c r="BA867" i="1"/>
  <c r="F867" i="1" s="1"/>
  <c r="BA93" i="1"/>
  <c r="F93" i="1" s="1"/>
  <c r="BA383" i="1"/>
  <c r="F383" i="1" s="1"/>
  <c r="BA195" i="1"/>
  <c r="F195" i="1" s="1"/>
  <c r="BA617" i="1"/>
  <c r="F617" i="1" s="1"/>
  <c r="BA256" i="1"/>
  <c r="F256" i="1" s="1"/>
  <c r="BA728" i="1"/>
  <c r="F728" i="1" s="1"/>
  <c r="BA35" i="1"/>
  <c r="F35" i="1" s="1"/>
  <c r="BA407" i="1"/>
  <c r="F407" i="1" s="1"/>
  <c r="BA215" i="1"/>
  <c r="F215" i="1" s="1"/>
  <c r="BA643" i="1"/>
  <c r="F643" i="1" s="1"/>
  <c r="BA130" i="1"/>
  <c r="F130" i="1" s="1"/>
  <c r="BA769" i="1"/>
  <c r="F769" i="1" s="1"/>
  <c r="BA861" i="1"/>
  <c r="F861" i="1" s="1"/>
  <c r="BA735" i="1"/>
  <c r="F735" i="1" s="1"/>
  <c r="BA284" i="1"/>
  <c r="F284" i="1" s="1"/>
  <c r="BA36" i="1"/>
  <c r="F36" i="1" s="1"/>
  <c r="BA577" i="1"/>
  <c r="F577" i="1" s="1"/>
  <c r="BA200" i="1"/>
  <c r="F200" i="1" s="1"/>
  <c r="BA276" i="1"/>
  <c r="F276" i="1" s="1"/>
  <c r="BA790" i="1"/>
  <c r="F790" i="1" s="1"/>
  <c r="BA564" i="1"/>
  <c r="F564" i="1" s="1"/>
  <c r="BA859" i="1"/>
  <c r="F859" i="1" s="1"/>
  <c r="BA22" i="1"/>
  <c r="F22" i="1" s="1"/>
  <c r="BA736" i="1"/>
  <c r="F736" i="1" s="1"/>
  <c r="BA908" i="1"/>
  <c r="F908" i="1" s="1"/>
  <c r="BA232" i="1"/>
  <c r="F232" i="1" s="1"/>
  <c r="BA154" i="1"/>
  <c r="F154" i="1" s="1"/>
  <c r="BA61" i="1"/>
  <c r="F61" i="1" s="1"/>
  <c r="BA446" i="1"/>
  <c r="F446" i="1" s="1"/>
  <c r="BA876" i="1"/>
  <c r="F876" i="1" s="1"/>
  <c r="BA418" i="1"/>
  <c r="F418" i="1" s="1"/>
  <c r="BA625" i="1"/>
  <c r="F625" i="1" s="1"/>
  <c r="BA242" i="1"/>
  <c r="F242" i="1" s="1"/>
  <c r="BA530" i="1"/>
  <c r="F530" i="1" s="1"/>
  <c r="BA428" i="1"/>
  <c r="F428" i="1" s="1"/>
  <c r="BA447" i="1"/>
  <c r="F447" i="1" s="1"/>
  <c r="BA844" i="1"/>
  <c r="F844" i="1" s="1"/>
  <c r="BA243" i="1"/>
  <c r="F243" i="1" s="1"/>
  <c r="BA62" i="1"/>
  <c r="F62" i="1" s="1"/>
  <c r="BA832" i="1"/>
  <c r="F832" i="1" s="1"/>
  <c r="BA224" i="1"/>
  <c r="F224" i="1" s="1"/>
  <c r="BA363" i="1"/>
  <c r="F363" i="1" s="1"/>
  <c r="BA558" i="1"/>
  <c r="F558" i="1" s="1"/>
  <c r="BA798" i="1"/>
  <c r="F798" i="1" s="1"/>
  <c r="BA550" i="1"/>
  <c r="F550" i="1" s="1"/>
  <c r="BA349" i="1"/>
  <c r="F349" i="1" s="1"/>
  <c r="BA89" i="1"/>
  <c r="F89" i="1" s="1"/>
  <c r="BA740" i="1"/>
  <c r="F740" i="1" s="1"/>
  <c r="BA919" i="1"/>
  <c r="F919" i="1" s="1"/>
  <c r="BA814" i="1"/>
  <c r="F814" i="1" s="1"/>
  <c r="BA88" i="1"/>
  <c r="F88" i="1" s="1"/>
  <c r="BA118" i="1"/>
  <c r="F118" i="1" s="1"/>
  <c r="BA857" i="1"/>
  <c r="F857" i="1" s="1"/>
  <c r="BA330" i="1"/>
  <c r="F330" i="1" s="1"/>
  <c r="BA529" i="1"/>
  <c r="F529" i="1" s="1"/>
  <c r="BA128" i="1"/>
  <c r="F128" i="1" s="1"/>
  <c r="BA254" i="1"/>
  <c r="F254" i="1" s="1"/>
  <c r="BA491" i="1"/>
  <c r="F491" i="1" s="1"/>
  <c r="BA66" i="1"/>
  <c r="F66" i="1" s="1"/>
  <c r="BA683" i="1"/>
  <c r="F683" i="1" s="1"/>
  <c r="BA795" i="1"/>
  <c r="F795" i="1" s="1"/>
  <c r="BA557" i="1"/>
  <c r="F557" i="1" s="1"/>
  <c r="BA634" i="1"/>
  <c r="F634" i="1" s="1"/>
  <c r="BA196" i="1"/>
  <c r="F196" i="1" s="1"/>
  <c r="BA250" i="1"/>
  <c r="F250" i="1" s="1"/>
  <c r="BA518" i="1"/>
  <c r="F518" i="1" s="1"/>
  <c r="BA531" i="1"/>
  <c r="F531" i="1" s="1"/>
  <c r="BA338" i="1"/>
  <c r="F338" i="1" s="1"/>
  <c r="BA380" i="1"/>
  <c r="F380" i="1" s="1"/>
  <c r="BA226" i="1"/>
  <c r="F226" i="1" s="1"/>
  <c r="BA147" i="1"/>
  <c r="F147" i="1" s="1"/>
  <c r="BA408" i="1"/>
  <c r="F408" i="1" s="1"/>
  <c r="BA142" i="1"/>
  <c r="F142" i="1" s="1"/>
  <c r="BA678" i="1"/>
  <c r="F678" i="1" s="1"/>
  <c r="BA679" i="1"/>
  <c r="F679" i="1" s="1"/>
  <c r="BC34" i="1"/>
  <c r="F34" i="1" s="1"/>
  <c r="BC41" i="1"/>
  <c r="F41" i="1" s="1"/>
  <c r="BC710" i="1"/>
  <c r="F710" i="1" s="1"/>
  <c r="BC616" i="1"/>
  <c r="F616" i="1" s="1"/>
  <c r="BC53" i="1"/>
  <c r="F53" i="1" s="1"/>
  <c r="BC686" i="1"/>
  <c r="F686" i="1" s="1"/>
  <c r="BC651" i="1"/>
  <c r="F651" i="1" s="1"/>
  <c r="BC591" i="1"/>
  <c r="BC444" i="1"/>
  <c r="F444" i="1" s="1"/>
  <c r="BE677" i="1"/>
  <c r="BE721" i="1"/>
  <c r="BE199" i="1"/>
  <c r="BE306" i="1"/>
  <c r="BE847" i="1"/>
  <c r="BE848" i="1"/>
  <c r="BE324" i="1"/>
  <c r="BE60" i="1"/>
  <c r="BE816" i="1"/>
  <c r="BE220" i="1"/>
  <c r="BE87" i="1"/>
  <c r="BE463" i="1"/>
  <c r="BE904" i="1"/>
  <c r="BE255" i="1"/>
  <c r="BE125" i="1"/>
  <c r="BE746" i="1"/>
  <c r="BE371" i="1"/>
  <c r="BE181" i="1"/>
  <c r="BE507" i="1"/>
  <c r="BE571" i="1"/>
  <c r="BE653" i="1"/>
  <c r="BE672" i="1"/>
  <c r="BE673" i="1"/>
  <c r="BE231" i="1"/>
  <c r="BE279" i="1"/>
  <c r="BE283" i="1"/>
  <c r="BE264" i="1"/>
  <c r="BE909" i="1"/>
  <c r="BE808" i="1"/>
  <c r="BE856" i="1"/>
  <c r="BE228" i="1"/>
  <c r="BE205" i="1"/>
  <c r="BE842" i="1"/>
  <c r="BE164" i="1"/>
  <c r="BE437" i="1"/>
  <c r="BE607" i="1"/>
  <c r="BE884" i="1"/>
  <c r="BE290" i="1"/>
  <c r="BE753" i="1"/>
  <c r="BE342" i="1"/>
  <c r="BE178" i="1"/>
  <c r="BE32" i="1"/>
  <c r="BE868" i="1"/>
  <c r="BE918" i="1"/>
  <c r="BE78" i="1"/>
  <c r="BE615" i="1"/>
  <c r="BE611" i="1"/>
  <c r="BE372" i="1"/>
  <c r="BE100" i="1"/>
  <c r="BE119" i="1"/>
  <c r="BE347" i="1"/>
  <c r="BE650" i="1"/>
  <c r="BE355" i="1"/>
  <c r="BE316" i="1"/>
  <c r="BE344" i="1"/>
  <c r="BE25" i="1"/>
  <c r="BE223" i="1"/>
  <c r="BE712" i="1"/>
  <c r="BE878" i="1"/>
  <c r="BE386" i="1"/>
  <c r="BE412" i="1"/>
  <c r="BE258" i="1"/>
  <c r="BE419" i="1"/>
  <c r="BE139" i="1"/>
  <c r="BE637" i="1"/>
  <c r="BE269" i="1"/>
  <c r="BE849" i="1"/>
  <c r="BE654" i="1"/>
  <c r="BE493" i="1"/>
  <c r="BE877" i="1"/>
  <c r="BE19" i="1"/>
  <c r="BE336" i="1"/>
  <c r="BE481" i="1"/>
  <c r="BE755" i="1"/>
  <c r="BE497" i="1"/>
  <c r="BE846" i="1"/>
  <c r="BE86" i="1"/>
  <c r="BG251" i="1"/>
  <c r="BG748" i="1"/>
  <c r="BG431" i="1"/>
  <c r="BG902" i="1"/>
  <c r="BG789" i="1"/>
  <c r="BG640" i="1"/>
  <c r="BG146" i="1"/>
  <c r="BG329" i="1"/>
  <c r="BG885" i="1"/>
  <c r="BG28" i="1"/>
  <c r="BG587" i="1"/>
  <c r="BG304" i="1"/>
  <c r="BG517" i="1"/>
  <c r="BG327" i="1"/>
  <c r="BG793" i="1"/>
  <c r="BG95" i="1"/>
  <c r="BG186" i="1"/>
  <c r="BG659" i="1"/>
  <c r="BG292" i="1"/>
  <c r="BG384" i="1"/>
  <c r="BG742" i="1"/>
  <c r="BG203" i="1"/>
  <c r="BG747" i="1"/>
  <c r="BG155" i="1"/>
  <c r="BG893" i="1"/>
  <c r="BG819" i="1"/>
  <c r="BG373" i="1"/>
  <c r="BG333" i="1"/>
  <c r="BG590" i="1"/>
  <c r="BG248" i="1"/>
  <c r="BG744" i="1"/>
  <c r="BG321" i="1"/>
  <c r="BG836" i="1"/>
  <c r="BG562" i="1"/>
  <c r="BG379" i="1"/>
  <c r="BG470" i="1"/>
  <c r="BG238" i="1"/>
  <c r="BG471" i="1"/>
  <c r="BG334" i="1"/>
  <c r="BG647" i="1"/>
  <c r="BG464" i="1"/>
  <c r="BG645" i="1"/>
  <c r="BG850" i="1"/>
  <c r="BG356" i="1"/>
  <c r="BG55" i="1"/>
  <c r="BG605" i="1"/>
  <c r="BG570" i="1"/>
  <c r="BG532" i="1"/>
  <c r="BG717" i="1"/>
  <c r="BG401" i="1"/>
  <c r="BG496" i="1"/>
  <c r="BG323" i="1"/>
  <c r="BG779" i="1"/>
  <c r="BG30" i="1"/>
  <c r="BG274" i="1"/>
  <c r="BG745" i="1"/>
  <c r="BG896" i="1"/>
  <c r="BG144" i="1"/>
  <c r="BG782" i="1"/>
  <c r="BG499" i="1"/>
  <c r="BG752" i="1"/>
  <c r="BG207" i="1"/>
  <c r="BG39" i="1"/>
  <c r="BG901" i="1"/>
  <c r="BG757" i="1"/>
  <c r="BG739" i="1"/>
  <c r="BG760" i="1"/>
  <c r="BG889" i="1"/>
  <c r="BG71" i="1"/>
  <c r="BG101" i="1"/>
  <c r="BG403" i="1"/>
  <c r="BG670" i="1"/>
  <c r="BG390" i="1"/>
  <c r="BG289" i="1"/>
  <c r="BG604" i="1"/>
  <c r="BG314" i="1"/>
  <c r="BG301" i="1"/>
  <c r="BG818" i="1"/>
  <c r="BG788" i="1"/>
  <c r="BG910" i="1"/>
  <c r="BG726" i="1"/>
  <c r="BG704" i="1"/>
  <c r="BG732" i="1"/>
  <c r="BG513" i="1"/>
  <c r="BG123" i="1"/>
  <c r="BG502" i="1"/>
  <c r="BG335" i="1"/>
  <c r="BA591" i="1" l="1"/>
  <c r="F591" i="1" s="1"/>
  <c r="BC877" i="1"/>
  <c r="F877" i="1" s="1"/>
  <c r="BC878" i="1"/>
  <c r="F878" i="1" s="1"/>
  <c r="BC125" i="1"/>
  <c r="BC199" i="1"/>
  <c r="F199" i="1" s="1"/>
  <c r="BC755" i="1"/>
  <c r="F755" i="1" s="1"/>
  <c r="BC269" i="1"/>
  <c r="BC419" i="1"/>
  <c r="F419" i="1" s="1"/>
  <c r="BC712" i="1"/>
  <c r="F712" i="1" s="1"/>
  <c r="BC25" i="1"/>
  <c r="BC372" i="1"/>
  <c r="F372" i="1" s="1"/>
  <c r="BC615" i="1"/>
  <c r="F615" i="1" s="1"/>
  <c r="BC32" i="1"/>
  <c r="F32" i="1" s="1"/>
  <c r="BC753" i="1"/>
  <c r="F753" i="1" s="1"/>
  <c r="BC607" i="1"/>
  <c r="F607" i="1" s="1"/>
  <c r="BC228" i="1"/>
  <c r="F228" i="1" s="1"/>
  <c r="BC909" i="1"/>
  <c r="BC231" i="1"/>
  <c r="F231" i="1" s="1"/>
  <c r="BC653" i="1"/>
  <c r="F653" i="1" s="1"/>
  <c r="BC371" i="1"/>
  <c r="F371" i="1" s="1"/>
  <c r="BC463" i="1"/>
  <c r="F463" i="1" s="1"/>
  <c r="BC848" i="1"/>
  <c r="F848" i="1" s="1"/>
  <c r="BC721" i="1"/>
  <c r="F721" i="1" s="1"/>
  <c r="BC497" i="1"/>
  <c r="F497" i="1" s="1"/>
  <c r="BC849" i="1"/>
  <c r="BC412" i="1"/>
  <c r="F412" i="1" s="1"/>
  <c r="BC100" i="1"/>
  <c r="F100" i="1" s="1"/>
  <c r="BC342" i="1"/>
  <c r="F342" i="1" s="1"/>
  <c r="BC279" i="1"/>
  <c r="F279" i="1" s="1"/>
  <c r="BC672" i="1"/>
  <c r="F672" i="1" s="1"/>
  <c r="BC816" i="1"/>
  <c r="F816" i="1" s="1"/>
  <c r="BC324" i="1"/>
  <c r="F324" i="1" s="1"/>
  <c r="BC19" i="1"/>
  <c r="F19" i="1" s="1"/>
  <c r="BC493" i="1"/>
  <c r="F493" i="1" s="1"/>
  <c r="BC637" i="1"/>
  <c r="BC258" i="1"/>
  <c r="F258" i="1" s="1"/>
  <c r="BC223" i="1"/>
  <c r="F223" i="1" s="1"/>
  <c r="BC344" i="1"/>
  <c r="F344" i="1" s="1"/>
  <c r="BC316" i="1"/>
  <c r="F316" i="1" s="1"/>
  <c r="BC347" i="1"/>
  <c r="F347" i="1" s="1"/>
  <c r="BC78" i="1"/>
  <c r="F78" i="1" s="1"/>
  <c r="BC178" i="1"/>
  <c r="F178" i="1" s="1"/>
  <c r="BC290" i="1"/>
  <c r="F290" i="1" s="1"/>
  <c r="BC437" i="1"/>
  <c r="F437" i="1" s="1"/>
  <c r="BC856" i="1"/>
  <c r="F856" i="1" s="1"/>
  <c r="BC264" i="1"/>
  <c r="F264" i="1" s="1"/>
  <c r="BC673" i="1"/>
  <c r="F673" i="1" s="1"/>
  <c r="BC571" i="1"/>
  <c r="F571" i="1" s="1"/>
  <c r="BC746" i="1"/>
  <c r="F746" i="1" s="1"/>
  <c r="BC255" i="1"/>
  <c r="F255" i="1" s="1"/>
  <c r="BC87" i="1"/>
  <c r="F87" i="1" s="1"/>
  <c r="BC847" i="1"/>
  <c r="F847" i="1" s="1"/>
  <c r="BC86" i="1"/>
  <c r="F86" i="1" s="1"/>
  <c r="BC336" i="1"/>
  <c r="BC139" i="1"/>
  <c r="F139" i="1" s="1"/>
  <c r="BC650" i="1"/>
  <c r="F650" i="1" s="1"/>
  <c r="BC868" i="1"/>
  <c r="BC842" i="1"/>
  <c r="BC808" i="1"/>
  <c r="BC181" i="1"/>
  <c r="F181" i="1" s="1"/>
  <c r="BC904" i="1"/>
  <c r="F904" i="1" s="1"/>
  <c r="BC846" i="1"/>
  <c r="F846" i="1" s="1"/>
  <c r="BC481" i="1"/>
  <c r="F481" i="1" s="1"/>
  <c r="BC654" i="1"/>
  <c r="F654" i="1" s="1"/>
  <c r="BC386" i="1"/>
  <c r="F386" i="1" s="1"/>
  <c r="BC355" i="1"/>
  <c r="F355" i="1" s="1"/>
  <c r="BC119" i="1"/>
  <c r="F119" i="1" s="1"/>
  <c r="BC611" i="1"/>
  <c r="F611" i="1" s="1"/>
  <c r="BC918" i="1"/>
  <c r="F918" i="1" s="1"/>
  <c r="BC884" i="1"/>
  <c r="F884" i="1" s="1"/>
  <c r="BC164" i="1"/>
  <c r="F164" i="1" s="1"/>
  <c r="BC205" i="1"/>
  <c r="F205" i="1" s="1"/>
  <c r="BC283" i="1"/>
  <c r="F283" i="1" s="1"/>
  <c r="BC507" i="1"/>
  <c r="BC220" i="1"/>
  <c r="F220" i="1" s="1"/>
  <c r="BC60" i="1"/>
  <c r="F60" i="1" s="1"/>
  <c r="BC306" i="1"/>
  <c r="F306" i="1" s="1"/>
  <c r="BC677" i="1"/>
  <c r="F677" i="1" s="1"/>
  <c r="BE301" i="1"/>
  <c r="BE739" i="1"/>
  <c r="BE499" i="1"/>
  <c r="BE496" i="1"/>
  <c r="BE570" i="1"/>
  <c r="BE471" i="1"/>
  <c r="BE747" i="1"/>
  <c r="BE885" i="1"/>
  <c r="BE910" i="1"/>
  <c r="BE314" i="1"/>
  <c r="BE390" i="1"/>
  <c r="BE71" i="1"/>
  <c r="BE757" i="1"/>
  <c r="BE39" i="1"/>
  <c r="BE782" i="1"/>
  <c r="BE401" i="1"/>
  <c r="BE605" i="1"/>
  <c r="BE464" i="1"/>
  <c r="BE238" i="1"/>
  <c r="BE248" i="1"/>
  <c r="BE893" i="1"/>
  <c r="BE203" i="1"/>
  <c r="BE292" i="1"/>
  <c r="BE95" i="1"/>
  <c r="BE304" i="1"/>
  <c r="BE329" i="1"/>
  <c r="BE748" i="1"/>
  <c r="BE726" i="1"/>
  <c r="BE101" i="1"/>
  <c r="BE745" i="1"/>
  <c r="BE321" i="1"/>
  <c r="BE819" i="1"/>
  <c r="BE517" i="1"/>
  <c r="BE431" i="1"/>
  <c r="BE335" i="1"/>
  <c r="BE732" i="1"/>
  <c r="BE670" i="1"/>
  <c r="BE889" i="1"/>
  <c r="BE207" i="1"/>
  <c r="BE144" i="1"/>
  <c r="BE274" i="1"/>
  <c r="BE323" i="1"/>
  <c r="BE55" i="1"/>
  <c r="BE850" i="1"/>
  <c r="BE647" i="1"/>
  <c r="BE470" i="1"/>
  <c r="BE562" i="1"/>
  <c r="BE744" i="1"/>
  <c r="BE590" i="1"/>
  <c r="BE373" i="1"/>
  <c r="BE155" i="1"/>
  <c r="BE742" i="1"/>
  <c r="BE659" i="1"/>
  <c r="BE793" i="1"/>
  <c r="BE587" i="1"/>
  <c r="BE146" i="1"/>
  <c r="BE902" i="1"/>
  <c r="BE251" i="1"/>
  <c r="BE123" i="1"/>
  <c r="BE289" i="1"/>
  <c r="BE896" i="1"/>
  <c r="BE779" i="1"/>
  <c r="BE356" i="1"/>
  <c r="BE333" i="1"/>
  <c r="BE789" i="1"/>
  <c r="BE513" i="1"/>
  <c r="BE788" i="1"/>
  <c r="BE502" i="1"/>
  <c r="BE704" i="1"/>
  <c r="BE818" i="1"/>
  <c r="BE604" i="1"/>
  <c r="BE403" i="1"/>
  <c r="BE760" i="1"/>
  <c r="BE901" i="1"/>
  <c r="BE752" i="1"/>
  <c r="BE30" i="1"/>
  <c r="BE717" i="1"/>
  <c r="BE532" i="1"/>
  <c r="BE645" i="1"/>
  <c r="BE334" i="1"/>
  <c r="BE379" i="1"/>
  <c r="BE836" i="1"/>
  <c r="BE384" i="1"/>
  <c r="BE186" i="1"/>
  <c r="BE327" i="1"/>
  <c r="BE28" i="1"/>
  <c r="BE640" i="1"/>
  <c r="BA336" i="1" l="1"/>
  <c r="F336" i="1" s="1"/>
  <c r="BA909" i="1"/>
  <c r="F909" i="1" s="1"/>
  <c r="BA507" i="1"/>
  <c r="F507" i="1" s="1"/>
  <c r="BA868" i="1"/>
  <c r="F868" i="1" s="1"/>
  <c r="BA808" i="1"/>
  <c r="F808" i="1" s="1"/>
  <c r="BA637" i="1"/>
  <c r="F637" i="1" s="1"/>
  <c r="BA842" i="1"/>
  <c r="F842" i="1" s="1"/>
  <c r="BA25" i="1"/>
  <c r="F25" i="1" s="1"/>
  <c r="BA269" i="1"/>
  <c r="F269" i="1" s="1"/>
  <c r="BA849" i="1"/>
  <c r="F849" i="1" s="1"/>
  <c r="BA125" i="1"/>
  <c r="F125" i="1" s="1"/>
  <c r="BC752" i="1"/>
  <c r="F752" i="1" s="1"/>
  <c r="BC155" i="1"/>
  <c r="F155" i="1" s="1"/>
  <c r="BC274" i="1"/>
  <c r="BC517" i="1"/>
  <c r="F517" i="1" s="1"/>
  <c r="BC329" i="1"/>
  <c r="F329" i="1" s="1"/>
  <c r="BC570" i="1"/>
  <c r="BC327" i="1"/>
  <c r="F327" i="1" s="1"/>
  <c r="BC30" i="1"/>
  <c r="F30" i="1" s="1"/>
  <c r="BC901" i="1"/>
  <c r="F901" i="1" s="1"/>
  <c r="BC604" i="1"/>
  <c r="F604" i="1" s="1"/>
  <c r="BC502" i="1"/>
  <c r="F502" i="1" s="1"/>
  <c r="BC356" i="1"/>
  <c r="F356" i="1" s="1"/>
  <c r="BC289" i="1"/>
  <c r="F289" i="1" s="1"/>
  <c r="BC146" i="1"/>
  <c r="F146" i="1" s="1"/>
  <c r="BC373" i="1"/>
  <c r="F373" i="1" s="1"/>
  <c r="BC470" i="1"/>
  <c r="F470" i="1" s="1"/>
  <c r="BC732" i="1"/>
  <c r="F732" i="1" s="1"/>
  <c r="BC726" i="1"/>
  <c r="F726" i="1" s="1"/>
  <c r="BC304" i="1"/>
  <c r="F304" i="1" s="1"/>
  <c r="BC292" i="1"/>
  <c r="F292" i="1" s="1"/>
  <c r="BC248" i="1"/>
  <c r="F248" i="1" s="1"/>
  <c r="BC464" i="1"/>
  <c r="F464" i="1" s="1"/>
  <c r="BC401" i="1"/>
  <c r="F401" i="1" s="1"/>
  <c r="BC782" i="1"/>
  <c r="F782" i="1" s="1"/>
  <c r="BC71" i="1"/>
  <c r="F71" i="1" s="1"/>
  <c r="BC747" i="1"/>
  <c r="F747" i="1" s="1"/>
  <c r="BC496" i="1"/>
  <c r="F496" i="1" s="1"/>
  <c r="BC384" i="1"/>
  <c r="F384" i="1" s="1"/>
  <c r="BC645" i="1"/>
  <c r="F645" i="1" s="1"/>
  <c r="BC403" i="1"/>
  <c r="F403" i="1" s="1"/>
  <c r="BC902" i="1"/>
  <c r="F902" i="1" s="1"/>
  <c r="BC562" i="1"/>
  <c r="F562" i="1" s="1"/>
  <c r="BC238" i="1"/>
  <c r="F238" i="1" s="1"/>
  <c r="BC836" i="1"/>
  <c r="F836" i="1" s="1"/>
  <c r="BC640" i="1"/>
  <c r="F640" i="1" s="1"/>
  <c r="BC186" i="1"/>
  <c r="F186" i="1" s="1"/>
  <c r="BC379" i="1"/>
  <c r="F379" i="1" s="1"/>
  <c r="BC532" i="1"/>
  <c r="F532" i="1" s="1"/>
  <c r="BC818" i="1"/>
  <c r="BC788" i="1"/>
  <c r="F788" i="1" s="1"/>
  <c r="BC779" i="1"/>
  <c r="F779" i="1" s="1"/>
  <c r="BC123" i="1"/>
  <c r="F123" i="1" s="1"/>
  <c r="BC587" i="1"/>
  <c r="F587" i="1" s="1"/>
  <c r="BC659" i="1"/>
  <c r="F659" i="1" s="1"/>
  <c r="BC590" i="1"/>
  <c r="F590" i="1" s="1"/>
  <c r="BC647" i="1"/>
  <c r="BC144" i="1"/>
  <c r="F144" i="1" s="1"/>
  <c r="BC889" i="1"/>
  <c r="F889" i="1" s="1"/>
  <c r="BC335" i="1"/>
  <c r="F335" i="1" s="1"/>
  <c r="BC819" i="1"/>
  <c r="BC745" i="1"/>
  <c r="BC748" i="1"/>
  <c r="BC203" i="1"/>
  <c r="F203" i="1" s="1"/>
  <c r="BC39" i="1"/>
  <c r="F39" i="1" s="1"/>
  <c r="BC390" i="1"/>
  <c r="F390" i="1" s="1"/>
  <c r="BC499" i="1"/>
  <c r="F499" i="1" s="1"/>
  <c r="BC789" i="1"/>
  <c r="BC793" i="1"/>
  <c r="BC55" i="1"/>
  <c r="BC101" i="1"/>
  <c r="F101" i="1" s="1"/>
  <c r="BC910" i="1"/>
  <c r="F910" i="1" s="1"/>
  <c r="BC301" i="1"/>
  <c r="F301" i="1" s="1"/>
  <c r="BC28" i="1"/>
  <c r="F28" i="1" s="1"/>
  <c r="BC334" i="1"/>
  <c r="F334" i="1" s="1"/>
  <c r="BC717" i="1"/>
  <c r="F717" i="1" s="1"/>
  <c r="BC760" i="1"/>
  <c r="F760" i="1" s="1"/>
  <c r="BC704" i="1"/>
  <c r="BC513" i="1"/>
  <c r="F513" i="1" s="1"/>
  <c r="BC333" i="1"/>
  <c r="F333" i="1" s="1"/>
  <c r="BC896" i="1"/>
  <c r="F896" i="1" s="1"/>
  <c r="BC251" i="1"/>
  <c r="BC742" i="1"/>
  <c r="BC744" i="1"/>
  <c r="BC850" i="1"/>
  <c r="F850" i="1" s="1"/>
  <c r="BC323" i="1"/>
  <c r="F323" i="1" s="1"/>
  <c r="BC207" i="1"/>
  <c r="F207" i="1" s="1"/>
  <c r="BC670" i="1"/>
  <c r="F670" i="1" s="1"/>
  <c r="BC431" i="1"/>
  <c r="F431" i="1" s="1"/>
  <c r="BC321" i="1"/>
  <c r="F321" i="1" s="1"/>
  <c r="BC95" i="1"/>
  <c r="BC893" i="1"/>
  <c r="F893" i="1" s="1"/>
  <c r="BC605" i="1"/>
  <c r="F605" i="1" s="1"/>
  <c r="BC757" i="1"/>
  <c r="F757" i="1" s="1"/>
  <c r="BC314" i="1"/>
  <c r="F314" i="1" s="1"/>
  <c r="BC885" i="1"/>
  <c r="BC471" i="1"/>
  <c r="F471" i="1" s="1"/>
  <c r="BC739" i="1"/>
  <c r="F739" i="1" s="1"/>
  <c r="BA742" i="1" l="1"/>
  <c r="F742" i="1" s="1"/>
  <c r="BA647" i="1"/>
  <c r="F647" i="1" s="1"/>
  <c r="BA95" i="1"/>
  <c r="F95" i="1" s="1"/>
  <c r="BA251" i="1"/>
  <c r="F251" i="1" s="1"/>
  <c r="BA704" i="1"/>
  <c r="F704" i="1" s="1"/>
  <c r="BA748" i="1"/>
  <c r="F748" i="1" s="1"/>
  <c r="BA793" i="1"/>
  <c r="F793" i="1" s="1"/>
  <c r="BA274" i="1"/>
  <c r="F274" i="1" s="1"/>
  <c r="BA789" i="1"/>
  <c r="F789" i="1" s="1"/>
  <c r="BA818" i="1"/>
  <c r="F818" i="1" s="1"/>
  <c r="BA744" i="1"/>
  <c r="F744" i="1" s="1"/>
  <c r="BA55" i="1"/>
  <c r="F55" i="1" s="1"/>
  <c r="BA745" i="1"/>
  <c r="F745" i="1" s="1"/>
  <c r="BA570" i="1"/>
  <c r="F570" i="1" s="1"/>
  <c r="BA885" i="1"/>
  <c r="F885" i="1" s="1"/>
  <c r="BA819" i="1"/>
  <c r="F819" i="1" s="1"/>
  <c r="G13" i="1" l="1"/>
  <c r="F13" i="1" l="1"/>
</calcChain>
</file>

<file path=xl/sharedStrings.xml><?xml version="1.0" encoding="utf-8"?>
<sst xmlns="http://schemas.openxmlformats.org/spreadsheetml/2006/main" count="15917" uniqueCount="6801">
  <si>
    <t>Western Golden top</t>
  </si>
  <si>
    <t>Simple stem Stemmed Bur-Reed</t>
  </si>
  <si>
    <t>Breadfruit Bur-Reed</t>
  </si>
  <si>
    <t>Idaho Fescue</t>
  </si>
  <si>
    <t>Strawberry Bramble</t>
  </si>
  <si>
    <t>Mingan Moonwort</t>
  </si>
  <si>
    <t>Leathery Grape-Fern</t>
  </si>
  <si>
    <t>Maidenhair Spleenwort</t>
  </si>
  <si>
    <t>Coastal Wood-Fern</t>
  </si>
  <si>
    <t>Licorice Fern</t>
  </si>
  <si>
    <t>Western Polypody</t>
  </si>
  <si>
    <t>Footsteps of Spring</t>
  </si>
  <si>
    <t>Nodding Beggar-Ticks</t>
  </si>
  <si>
    <t>Western Rattlesnake-Root</t>
  </si>
  <si>
    <t>Scouler's Popcorn Flower</t>
  </si>
  <si>
    <t>Hairy Rockcress</t>
  </si>
  <si>
    <t>Brewer's Bittercress</t>
  </si>
  <si>
    <t>Little Western Bittercress</t>
  </si>
  <si>
    <t>Western Yellowcress</t>
  </si>
  <si>
    <t>Field Chickweed</t>
  </si>
  <si>
    <t>Buttonbush Dodder</t>
  </si>
  <si>
    <t>White-Veined Wintergreen</t>
  </si>
  <si>
    <t>Broad-Leaf Lupine</t>
  </si>
  <si>
    <t>Prairie Lupine</t>
  </si>
  <si>
    <t>Yerba Buena</t>
  </si>
  <si>
    <t>Green False Hellebore</t>
  </si>
  <si>
    <t>Enchanter's Nightshade</t>
  </si>
  <si>
    <t>Smooth Willow-Herb</t>
  </si>
  <si>
    <t>Spreading Phlox</t>
  </si>
  <si>
    <t>Douglas' Knotweed</t>
  </si>
  <si>
    <t>Jeffrey's Shooting Star</t>
  </si>
  <si>
    <t>Heracleum maximum</t>
  </si>
  <si>
    <t>Oenanthe sarmentosa</t>
  </si>
  <si>
    <t>Kneeling Angelica</t>
  </si>
  <si>
    <t>Sea-Watch</t>
  </si>
  <si>
    <t>Daucus pusillus</t>
  </si>
  <si>
    <t>Hydrocotyle ranunculoides</t>
  </si>
  <si>
    <t>Ligusticum apiifolium</t>
  </si>
  <si>
    <t>Lomatium utriculatum</t>
  </si>
  <si>
    <t>Lomatium dissectum</t>
  </si>
  <si>
    <t>Osmorhiza berteroi</t>
  </si>
  <si>
    <t>Osmorhiza purpurea</t>
  </si>
  <si>
    <t>Sanicula arctopoides</t>
  </si>
  <si>
    <t>Sanicula bipinnatifida</t>
  </si>
  <si>
    <t>Sanicula crassicaulis</t>
  </si>
  <si>
    <t>Apocynaceae</t>
  </si>
  <si>
    <t>Devil's Club</t>
  </si>
  <si>
    <t>Oplopanax horridus</t>
  </si>
  <si>
    <t>Araliaceae</t>
  </si>
  <si>
    <t>Vancouveria hexandra</t>
  </si>
  <si>
    <t>Berberidaceae</t>
  </si>
  <si>
    <t>Asteraceae</t>
  </si>
  <si>
    <t>Hieracium albiflorum</t>
  </si>
  <si>
    <t>Western Coneflower</t>
  </si>
  <si>
    <t>Rudbeckia occidentalis</t>
  </si>
  <si>
    <t>Heterotheca oregona</t>
  </si>
  <si>
    <t>Crocidium multicaule</t>
  </si>
  <si>
    <t>Heterotheca villosa</t>
  </si>
  <si>
    <t>Annual Agoseris</t>
  </si>
  <si>
    <t>Fennel-Leaved Pondweed</t>
  </si>
  <si>
    <t>Typha angustifolia</t>
  </si>
  <si>
    <t>Vine</t>
  </si>
  <si>
    <t>Douglas Aster</t>
  </si>
  <si>
    <t>Balsamorhiza deltoidea</t>
  </si>
  <si>
    <t>Beck's Water-Marigold</t>
  </si>
  <si>
    <t>Bidens cernua</t>
  </si>
  <si>
    <t>Bidens frondosa</t>
  </si>
  <si>
    <t>Cirsium brevistylum</t>
  </si>
  <si>
    <t>Conyza canadensis</t>
  </si>
  <si>
    <t>Cactaceae</t>
  </si>
  <si>
    <t>Dichelostemma congestum</t>
  </si>
  <si>
    <t>Inundated Club Moss</t>
  </si>
  <si>
    <t>Lycopodiella inundata</t>
  </si>
  <si>
    <t>Stuckenia pectinata</t>
  </si>
  <si>
    <t>Shepherdia canadensis</t>
  </si>
  <si>
    <t>Rhinanthus minor</t>
  </si>
  <si>
    <t>Salmonberry</t>
  </si>
  <si>
    <t>Rubus spectabilis</t>
  </si>
  <si>
    <t>Macoun's Buttercup</t>
  </si>
  <si>
    <t>Partridge Foot</t>
  </si>
  <si>
    <t>Oregon Bedstraw</t>
  </si>
  <si>
    <t>Fragrant Bedstraw</t>
  </si>
  <si>
    <t>Woodland Beard-Tongue</t>
  </si>
  <si>
    <t>Marsh Violet</t>
  </si>
  <si>
    <t>Cusick's Sedge</t>
  </si>
  <si>
    <t>Ookow</t>
  </si>
  <si>
    <t>Western Meadow Rue</t>
  </si>
  <si>
    <t>Buffalo Berry</t>
  </si>
  <si>
    <t>Erigeron strigosus</t>
  </si>
  <si>
    <t>Eriophyllum lanatum</t>
  </si>
  <si>
    <t>Grindelia integrifolia</t>
  </si>
  <si>
    <t>Helenium autumnale</t>
  </si>
  <si>
    <t>Common Sunflower</t>
  </si>
  <si>
    <t>Helianthus annuus</t>
  </si>
  <si>
    <t>Lasthenia maritima</t>
  </si>
  <si>
    <t>Woodland Madia</t>
  </si>
  <si>
    <t>Opposite-Leaved Tarweed</t>
  </si>
  <si>
    <t>Hemizonella minima</t>
  </si>
  <si>
    <t>Madia exigua</t>
  </si>
  <si>
    <t>Madia glomerata</t>
  </si>
  <si>
    <t>Madia gracilis</t>
  </si>
  <si>
    <t>Coast Tarweed</t>
  </si>
  <si>
    <t>Madia sativa</t>
  </si>
  <si>
    <t>Cutleaf Silverpuffs</t>
  </si>
  <si>
    <t>Microseris laciniata</t>
  </si>
  <si>
    <t>Slender Woollyheads</t>
  </si>
  <si>
    <t>Psilocarphus tenellus</t>
  </si>
  <si>
    <t>Solidago simplex</t>
  </si>
  <si>
    <t>Total</t>
  </si>
  <si>
    <t>Type</t>
  </si>
  <si>
    <t>Found</t>
  </si>
  <si>
    <t>Iris tenax</t>
  </si>
  <si>
    <t>Douglas' Grasswidow</t>
  </si>
  <si>
    <t>Olsynium douglasii</t>
  </si>
  <si>
    <t>Sisyrinchium californicum</t>
  </si>
  <si>
    <t>Juncaceae</t>
  </si>
  <si>
    <t>Yellow Rattle</t>
  </si>
  <si>
    <t>Aristolochiaeae</t>
  </si>
  <si>
    <t>Gairdner's Yampah</t>
  </si>
  <si>
    <t>Carex deweyana</t>
  </si>
  <si>
    <t>Bigleaf Sedge</t>
  </si>
  <si>
    <t>Carex hendersonii</t>
  </si>
  <si>
    <t>Long-Stolon Sedge</t>
  </si>
  <si>
    <t>Carex limosa</t>
  </si>
  <si>
    <t>Carex viridula</t>
  </si>
  <si>
    <t>Cyperus squarrosus</t>
  </si>
  <si>
    <t>Eleocharis acicularis</t>
  </si>
  <si>
    <t>Eleocharis ovata</t>
  </si>
  <si>
    <t>Slender Cottongrass</t>
  </si>
  <si>
    <t>Eriophorum gracile</t>
  </si>
  <si>
    <t>Schoenoplectus subterminalis</t>
  </si>
  <si>
    <t>Hydrocharitaceae</t>
  </si>
  <si>
    <t>Western Blue Flag Iris</t>
  </si>
  <si>
    <t>Iris missouriensis</t>
  </si>
  <si>
    <t>Iridaceae</t>
  </si>
  <si>
    <t>Smith's Melica Grass</t>
  </si>
  <si>
    <t>Nodding Semaphore Grass</t>
  </si>
  <si>
    <t>Coltsfoot</t>
  </si>
  <si>
    <t>Sparganium eurycarpum</t>
  </si>
  <si>
    <t>Bolboschoenus maritimus</t>
  </si>
  <si>
    <t>Polystichum munitum</t>
  </si>
  <si>
    <t>Azolla filiculoides</t>
  </si>
  <si>
    <t>Azolla mexicana</t>
  </si>
  <si>
    <t>Tall Oregon Grape</t>
  </si>
  <si>
    <t>Brassicaceae</t>
  </si>
  <si>
    <t>Athysanus pusillus</t>
  </si>
  <si>
    <t>Barbarea orthoceras</t>
  </si>
  <si>
    <t>Cardamine breweri</t>
  </si>
  <si>
    <t>Nuttall's Toothwort</t>
  </si>
  <si>
    <t>Cardamine angulata</t>
  </si>
  <si>
    <t>Rorippa palustris</t>
  </si>
  <si>
    <t>Twoheaded Water-Starwort</t>
  </si>
  <si>
    <t>Callitriche palustris</t>
  </si>
  <si>
    <t>Lobelia dortmanna</t>
  </si>
  <si>
    <t>Campanulaceae</t>
  </si>
  <si>
    <t>Common Bluecup</t>
  </si>
  <si>
    <t>Githopsis specularioides</t>
  </si>
  <si>
    <t>Triodanis perfoliata</t>
  </si>
  <si>
    <t>Campanula rotundifolia</t>
  </si>
  <si>
    <t>Campanula scouleri</t>
  </si>
  <si>
    <t>Caprifoliaceae</t>
  </si>
  <si>
    <t>Orange Honeysuckle</t>
  </si>
  <si>
    <t>Blue Elderberry</t>
  </si>
  <si>
    <t>Red Elderberry</t>
  </si>
  <si>
    <t>Sambucus racemosa</t>
  </si>
  <si>
    <t>Symphoricarpos albus</t>
  </si>
  <si>
    <t>Symphoricarpos mollis</t>
  </si>
  <si>
    <t>Viburnum edule</t>
  </si>
  <si>
    <t>Caryophyllaceae</t>
  </si>
  <si>
    <t>Cerastium arvense</t>
  </si>
  <si>
    <t>Sagina decumbens</t>
  </si>
  <si>
    <t>Sagina maxima</t>
  </si>
  <si>
    <t>Silene antirrhina</t>
  </si>
  <si>
    <t>Simple Campion</t>
  </si>
  <si>
    <t>Silene scouleri</t>
  </si>
  <si>
    <t>Menzies' Campion</t>
  </si>
  <si>
    <t>Spergularia canadensis</t>
  </si>
  <si>
    <t>Longleaf Starwort</t>
  </si>
  <si>
    <t>Stellaria longifolia</t>
  </si>
  <si>
    <t>Paxistima myrsinites</t>
  </si>
  <si>
    <t>Celastraceae</t>
  </si>
  <si>
    <t>Western Burning Bush</t>
  </si>
  <si>
    <t>Euonymus occidentalis</t>
  </si>
  <si>
    <t>Ceratophyllum demersum</t>
  </si>
  <si>
    <t>Ceratophyllaceae</t>
  </si>
  <si>
    <t>Chenopodiaceae</t>
  </si>
  <si>
    <t>Cornaceae</t>
  </si>
  <si>
    <t xml:space="preserve">Pacific Dogwood </t>
  </si>
  <si>
    <t>Cornus nuttallii</t>
  </si>
  <si>
    <t>Cornus sericea</t>
  </si>
  <si>
    <t>Water Pygmyweed</t>
  </si>
  <si>
    <t>Crassula aquatica</t>
  </si>
  <si>
    <t>Crassulaceae</t>
  </si>
  <si>
    <t>Sedum lanceolatum</t>
  </si>
  <si>
    <t>Oregon Stonecrop</t>
  </si>
  <si>
    <t>Sedum oreganum</t>
  </si>
  <si>
    <t>Sedum spathulifolium</t>
  </si>
  <si>
    <t>Droseraceae</t>
  </si>
  <si>
    <t>Ericaceae</t>
  </si>
  <si>
    <t>Hemitomes congestum</t>
  </si>
  <si>
    <t>Monotropa uniflora</t>
  </si>
  <si>
    <t>Fringed Pinesap</t>
  </si>
  <si>
    <t>Pleuricospora fimbriolata</t>
  </si>
  <si>
    <t>Bog Rosemary</t>
  </si>
  <si>
    <t>Chimaphila menziesii</t>
  </si>
  <si>
    <t>Chimaphila umbellata</t>
  </si>
  <si>
    <t>Salal</t>
  </si>
  <si>
    <t>Gaultheria shallon</t>
  </si>
  <si>
    <t>Calamagrostis canadensis</t>
  </si>
  <si>
    <t>California Oatgrass</t>
  </si>
  <si>
    <t>Danthonia californica</t>
  </si>
  <si>
    <t>Danthonia intermedia</t>
  </si>
  <si>
    <t>Poverty Oatgrass</t>
  </si>
  <si>
    <t>Danthonia spicata</t>
  </si>
  <si>
    <t>Deschampsia cespitosa</t>
  </si>
  <si>
    <t>Slender Hairgrass</t>
  </si>
  <si>
    <t>Deschampsia elongata</t>
  </si>
  <si>
    <t>Squirreltail</t>
  </si>
  <si>
    <t>Elymus elymoides</t>
  </si>
  <si>
    <t>Elymus glaucus</t>
  </si>
  <si>
    <t>Small Fescue</t>
  </si>
  <si>
    <t>Vulpia microstachys</t>
  </si>
  <si>
    <t>Festuca occidentalis</t>
  </si>
  <si>
    <t>Festuca rubra</t>
  </si>
  <si>
    <t>Glyceria grandis</t>
  </si>
  <si>
    <t>Glyceria striata</t>
  </si>
  <si>
    <t>Hordeum brachyantherum</t>
  </si>
  <si>
    <t>Foxtail Barley</t>
  </si>
  <si>
    <t>Hordeum jubatum</t>
  </si>
  <si>
    <t>Melica smithii</t>
  </si>
  <si>
    <t>Alaska Oniongrass</t>
  </si>
  <si>
    <t>Melica subulata</t>
  </si>
  <si>
    <t>Poa macrantha</t>
  </si>
  <si>
    <t>Robbins' Pondweed</t>
  </si>
  <si>
    <t>Potamogeton robbinsii</t>
  </si>
  <si>
    <t>Potamogetonaceae</t>
  </si>
  <si>
    <t>Potamogeton zosteriformis</t>
  </si>
  <si>
    <t>Potamogeton pusillus</t>
  </si>
  <si>
    <t>Richardson's Pondweed</t>
  </si>
  <si>
    <t>Leafy Pondweed</t>
  </si>
  <si>
    <t>Floating Pondweed</t>
  </si>
  <si>
    <t>Potamogeton amplifolius</t>
  </si>
  <si>
    <t>Illinois Pondweed</t>
  </si>
  <si>
    <t>Longleaf Pondweed</t>
  </si>
  <si>
    <t>Potamogeton nodosus</t>
  </si>
  <si>
    <t>Potamogeton epihydrus</t>
  </si>
  <si>
    <t>Variableleaf Pondweed</t>
  </si>
  <si>
    <t>Sparganium angustifolium</t>
  </si>
  <si>
    <t>Typhaceae</t>
  </si>
  <si>
    <t>Typha latifolia</t>
  </si>
  <si>
    <t>Horned Pondweed</t>
  </si>
  <si>
    <t>Zannichellia palustris</t>
  </si>
  <si>
    <t>Lyngbye's Sedge</t>
  </si>
  <si>
    <t>Carex lyngbyei</t>
  </si>
  <si>
    <t>Carex pachystachya</t>
  </si>
  <si>
    <t>Hydrophyllum tenuipes</t>
  </si>
  <si>
    <t>Oregon Ash</t>
  </si>
  <si>
    <t>Oleaceae</t>
  </si>
  <si>
    <t>Festuca idahoensis</t>
  </si>
  <si>
    <t>Thalictrum occidentale</t>
  </si>
  <si>
    <t>Luetkea pectinata</t>
  </si>
  <si>
    <t>Bebb's Willow</t>
  </si>
  <si>
    <t>Salix bebbiana</t>
  </si>
  <si>
    <t>Penstemon attenuatus</t>
  </si>
  <si>
    <t>Oregon Bentgrass</t>
  </si>
  <si>
    <t>Leptosiphon bicolor</t>
  </si>
  <si>
    <t>Needleleaf Navarretia</t>
  </si>
  <si>
    <t>Navarretia squarrosa</t>
  </si>
  <si>
    <t>Polygonaceae</t>
  </si>
  <si>
    <t>Beach Knotweed</t>
  </si>
  <si>
    <t>Polygonum paronychia</t>
  </si>
  <si>
    <t>Polygonum douglasii</t>
  </si>
  <si>
    <t>Fringed Redmaids</t>
  </si>
  <si>
    <t>Calandrinia ciliata</t>
  </si>
  <si>
    <t>Portulacaceae</t>
  </si>
  <si>
    <t>Montia diffusa</t>
  </si>
  <si>
    <t>Montia howellii</t>
  </si>
  <si>
    <t>Miner's Lettuce</t>
  </si>
  <si>
    <t>Claytonia perfoliata</t>
  </si>
  <si>
    <t>Claytonia rubra</t>
  </si>
  <si>
    <t>Primulaceae</t>
  </si>
  <si>
    <t>Dodecatheon jeffreyi</t>
  </si>
  <si>
    <t>Dodecatheon pulchellum</t>
  </si>
  <si>
    <t>Tufted Loosestrife</t>
  </si>
  <si>
    <t>Lysimachia thyrsiflora</t>
  </si>
  <si>
    <t>Ranunculaceae</t>
  </si>
  <si>
    <t>Myosurus minimus</t>
  </si>
  <si>
    <t>Western White Clematis</t>
  </si>
  <si>
    <t>Delphinium menziesii</t>
  </si>
  <si>
    <t>Ranunculus aquatilis</t>
  </si>
  <si>
    <t>Straightbeak Buttercup</t>
  </si>
  <si>
    <t>Ranunculus macounii</t>
  </si>
  <si>
    <t>Ranunculus flammula</t>
  </si>
  <si>
    <t>California Buttercup</t>
  </si>
  <si>
    <t>Ranunculus californicus</t>
  </si>
  <si>
    <t>Western Buttercup</t>
  </si>
  <si>
    <t>Ranunculus occidentalis</t>
  </si>
  <si>
    <t>Ceanothus velutinus</t>
  </si>
  <si>
    <t>Rhamnaceae</t>
  </si>
  <si>
    <t>Deerbrush</t>
  </si>
  <si>
    <t>Ceanothus integerrimus</t>
  </si>
  <si>
    <t>Rhamnus purshiana</t>
  </si>
  <si>
    <t>Physocarpus capitatus</t>
  </si>
  <si>
    <t>Rosaceae</t>
  </si>
  <si>
    <t>Oceanspray</t>
  </si>
  <si>
    <t>Holodiscus discolor</t>
  </si>
  <si>
    <t>Oemleria cerasiformis</t>
  </si>
  <si>
    <t>Goatsbeard</t>
  </si>
  <si>
    <t>Saskatoon Serviceberry</t>
  </si>
  <si>
    <t>Black Hawthorn</t>
  </si>
  <si>
    <t>Fragaria chiloensis</t>
  </si>
  <si>
    <t>Fragaria vesca</t>
  </si>
  <si>
    <t>Potentilla gracilis</t>
  </si>
  <si>
    <t>Drummond's Cinquefoil</t>
  </si>
  <si>
    <t>Potentilla drummondii</t>
  </si>
  <si>
    <t>Bitter Cherry</t>
  </si>
  <si>
    <t>Prunus emarginata</t>
  </si>
  <si>
    <t>Rosa gymnocarpa</t>
  </si>
  <si>
    <t>Nootka Rose</t>
  </si>
  <si>
    <t>Rosa nutkana</t>
  </si>
  <si>
    <t>Rosa pisocarpa</t>
  </si>
  <si>
    <t>Rubus lasiococcus</t>
  </si>
  <si>
    <t>Rubus leucodermis</t>
  </si>
  <si>
    <t>Rubus pedatus</t>
  </si>
  <si>
    <t>Opuntia fragilis</t>
  </si>
  <si>
    <t>Sanguisorba officinalis</t>
  </si>
  <si>
    <t>Deltoid Balsamroot</t>
  </si>
  <si>
    <t>Fowl Manna Grass</t>
  </si>
  <si>
    <t>Henderson's Sedge</t>
  </si>
  <si>
    <t>Green-Fruited Sedge</t>
  </si>
  <si>
    <t>Chamisso's Cottongrass</t>
  </si>
  <si>
    <t>Spike Bentgrass</t>
  </si>
  <si>
    <t>Timber Oatgrass</t>
  </si>
  <si>
    <t xml:space="preserve">Tufted Hairgrass </t>
  </si>
  <si>
    <t>Western Fescue</t>
  </si>
  <si>
    <t>Red Fescue</t>
  </si>
  <si>
    <t>Meadow Barley</t>
  </si>
  <si>
    <t>Tall Trisetum</t>
  </si>
  <si>
    <t>Scouring Rush</t>
  </si>
  <si>
    <t>Giant Horsetail</t>
  </si>
  <si>
    <t>Bolander's Rush</t>
  </si>
  <si>
    <t>Small-Flowered Woodrush</t>
  </si>
  <si>
    <t>Seaside Arrowgrass</t>
  </si>
  <si>
    <t>Ribbon-Leaf Pondweed</t>
  </si>
  <si>
    <t>Small Pondweed</t>
  </si>
  <si>
    <t>Ruppiaceae</t>
  </si>
  <si>
    <t>Thimbleberry</t>
  </si>
  <si>
    <t>Spiraea densiflora</t>
  </si>
  <si>
    <t>Spiraea douglasii</t>
  </si>
  <si>
    <t>Galium aparine</t>
  </si>
  <si>
    <t>Rubiaceae</t>
  </si>
  <si>
    <t>Galium oreganum</t>
  </si>
  <si>
    <t>Salix lasiandra</t>
  </si>
  <si>
    <t>Sitka Willow</t>
  </si>
  <si>
    <t>Salix sitchensis</t>
  </si>
  <si>
    <t>Geyer's Willow</t>
  </si>
  <si>
    <t>Scouler's Willow</t>
  </si>
  <si>
    <t>Salix scouleriana</t>
  </si>
  <si>
    <t>Bog Willow</t>
  </si>
  <si>
    <t>Salix pedicellaris</t>
  </si>
  <si>
    <t>Salix sessilifolia</t>
  </si>
  <si>
    <t>Saxifragaceae</t>
  </si>
  <si>
    <t>Tellima grandiflora</t>
  </si>
  <si>
    <t>Tolmiea menziesii</t>
  </si>
  <si>
    <t>Boykinia occidentalis</t>
  </si>
  <si>
    <t>Tiarella trifoliata</t>
  </si>
  <si>
    <t>Scrophulariaceae</t>
  </si>
  <si>
    <t>Lindernia dubia</t>
  </si>
  <si>
    <t>Water Mudwort</t>
  </si>
  <si>
    <t>Limosella aquatica</t>
  </si>
  <si>
    <t>Castilleja hispida</t>
  </si>
  <si>
    <t>Golden Indian Paintbrush</t>
  </si>
  <si>
    <t>Collinsia grandiflora</t>
  </si>
  <si>
    <t>Collinsia parviflora</t>
  </si>
  <si>
    <t>Bractless Hedgehyssop</t>
  </si>
  <si>
    <t>Gratiola ebracteata</t>
  </si>
  <si>
    <t>Rosy Owl's-Clover</t>
  </si>
  <si>
    <t>Cutleaf Beardtongue</t>
  </si>
  <si>
    <t>Penstemon serrulatus</t>
  </si>
  <si>
    <t>Lanceleaf Figwort</t>
  </si>
  <si>
    <t>Dwarf Owl's-Clover</t>
  </si>
  <si>
    <t>Triphysaria pusilla</t>
  </si>
  <si>
    <t>Veronica peregrina</t>
  </si>
  <si>
    <t>Veronica scutellata</t>
  </si>
  <si>
    <t>Urtica dioica</t>
  </si>
  <si>
    <t>Urticaceae</t>
  </si>
  <si>
    <t>Plectritis congesta</t>
  </si>
  <si>
    <t>Valerianaceae</t>
  </si>
  <si>
    <t>Verbena hastata</t>
  </si>
  <si>
    <t>Verbenaceae</t>
  </si>
  <si>
    <t>Viola glabella</t>
  </si>
  <si>
    <t>Violaceae</t>
  </si>
  <si>
    <t>Viola sempervirens</t>
  </si>
  <si>
    <t>Viola adunca</t>
  </si>
  <si>
    <t>Howell's Violet</t>
  </si>
  <si>
    <t>Viola palustris</t>
  </si>
  <si>
    <t>Monotropa hypopitys</t>
  </si>
  <si>
    <t>Western Dwarf Mistletoe</t>
  </si>
  <si>
    <t>Alismataceae</t>
  </si>
  <si>
    <t>Sagittaria latifolia</t>
  </si>
  <si>
    <t>Lysichiton americanus</t>
  </si>
  <si>
    <t>Araceae</t>
  </si>
  <si>
    <t>Dulichium arundinaceum</t>
  </si>
  <si>
    <t>Cyperaceae</t>
  </si>
  <si>
    <t>Carex macrocephala</t>
  </si>
  <si>
    <t>Carex vesicaria</t>
  </si>
  <si>
    <t>Beaked Sedge</t>
  </si>
  <si>
    <t>Slough Sedge</t>
  </si>
  <si>
    <t>Fox Sedge</t>
  </si>
  <si>
    <t>Dense Sedge</t>
  </si>
  <si>
    <t>Carex cusickii</t>
  </si>
  <si>
    <t>Carex tumulicola</t>
  </si>
  <si>
    <t>Slenderbeak Sedge</t>
  </si>
  <si>
    <t>Carex athrostachya</t>
  </si>
  <si>
    <t>Greensheath Sedge</t>
  </si>
  <si>
    <t>Carex feta</t>
  </si>
  <si>
    <t>Erigeron philadelphicus</t>
  </si>
  <si>
    <t>Viburnum opulus</t>
  </si>
  <si>
    <t>Moehringia macrophylla</t>
  </si>
  <si>
    <t>Brittle Prickly Pear</t>
  </si>
  <si>
    <t>Brasenia schreberi</t>
  </si>
  <si>
    <t>Juncus effusus</t>
  </si>
  <si>
    <t>Pointed Rush</t>
  </si>
  <si>
    <t>Juncus ensifolius</t>
  </si>
  <si>
    <t>Juncus supiniformis</t>
  </si>
  <si>
    <t>Juncus bolanderi</t>
  </si>
  <si>
    <t>Juncus tenuis</t>
  </si>
  <si>
    <t>Luzula multiflora</t>
  </si>
  <si>
    <t>Luzula parviflora</t>
  </si>
  <si>
    <t>Pacific Woodrush</t>
  </si>
  <si>
    <t>Triglochin maritima</t>
  </si>
  <si>
    <t>Juncaginaceae</t>
  </si>
  <si>
    <t>Lemnaceae</t>
  </si>
  <si>
    <t>Common Duckweed</t>
  </si>
  <si>
    <t>Lemna trisulca</t>
  </si>
  <si>
    <t>Beargrass</t>
  </si>
  <si>
    <t>Xerophyllum tenax</t>
  </si>
  <si>
    <t>Liliaceae</t>
  </si>
  <si>
    <t>False Lily-Of-The-Valley</t>
  </si>
  <si>
    <t>Nodding Onion</t>
  </si>
  <si>
    <t>Lilaceae</t>
  </si>
  <si>
    <t>Olympic Onion</t>
  </si>
  <si>
    <t>Brodiaea coronaria</t>
  </si>
  <si>
    <t>Camassia quamash</t>
  </si>
  <si>
    <t>Clintonia uniflora</t>
  </si>
  <si>
    <t>Erythronium grandiflorum</t>
  </si>
  <si>
    <t>Erythronium revolutum</t>
  </si>
  <si>
    <t>Fritillaria camschatcensis</t>
  </si>
  <si>
    <t>Maianthemum racemosum</t>
  </si>
  <si>
    <t>Maianthemum stellatum</t>
  </si>
  <si>
    <t>Prosartes smithii</t>
  </si>
  <si>
    <t>Streptopus amplexifolius</t>
  </si>
  <si>
    <t>Trillium ovatum</t>
  </si>
  <si>
    <t>Triteleia hyacinthina</t>
  </si>
  <si>
    <t>California False Hellebore</t>
  </si>
  <si>
    <t>Veratrum californicum</t>
  </si>
  <si>
    <t>Najas flexilis</t>
  </si>
  <si>
    <t>Phantom Orchid</t>
  </si>
  <si>
    <t>Orchidaceae</t>
  </si>
  <si>
    <t>Fairy Slipper</t>
  </si>
  <si>
    <t>Calypso bulbosa</t>
  </si>
  <si>
    <t>Rattlesnake Plantain</t>
  </si>
  <si>
    <t>Goodyera oblongifolia</t>
  </si>
  <si>
    <t>Corallorhiza striata</t>
  </si>
  <si>
    <t>Corallorhiza maculata</t>
  </si>
  <si>
    <t>Platanthera chorisiana</t>
  </si>
  <si>
    <t>Slender Bog Orchid</t>
  </si>
  <si>
    <t>Platanthera stricta</t>
  </si>
  <si>
    <t>Poaceae</t>
  </si>
  <si>
    <t>Cinna latifolia</t>
  </si>
  <si>
    <t>Pleuropogon refractus</t>
  </si>
  <si>
    <t>Poa confinis</t>
  </si>
  <si>
    <t>Bromus carinatus</t>
  </si>
  <si>
    <t>Mexican Mosquito Fern</t>
  </si>
  <si>
    <t>Toothed Wood Fern</t>
  </si>
  <si>
    <t>Dryopteris carthusiana</t>
  </si>
  <si>
    <t>Balsaminaceae</t>
  </si>
  <si>
    <t>Oregon Spikemoss</t>
  </si>
  <si>
    <t>Selaginella oregana</t>
  </si>
  <si>
    <t>Selaginellaceae</t>
  </si>
  <si>
    <t>Selaginella wallacei</t>
  </si>
  <si>
    <t>Lycopodiaceae</t>
  </si>
  <si>
    <t>Lycopodium clavatum</t>
  </si>
  <si>
    <t>Isoetaceae</t>
  </si>
  <si>
    <t>Western Quillwort</t>
  </si>
  <si>
    <t>Equisetum arvense</t>
  </si>
  <si>
    <t>Equisetaceae</t>
  </si>
  <si>
    <t>Marsh Horsetail</t>
  </si>
  <si>
    <t>Equisetum palustre</t>
  </si>
  <si>
    <t>Equisetum hyemale</t>
  </si>
  <si>
    <t>Ophioglossum pusillum</t>
  </si>
  <si>
    <t>Polypodiaceae</t>
  </si>
  <si>
    <t>Deer Fern</t>
  </si>
  <si>
    <t>Pteridium aquilinum</t>
  </si>
  <si>
    <t>Goldback Fern</t>
  </si>
  <si>
    <t>Pentagramma triangularis</t>
  </si>
  <si>
    <t>Giant Chainfern</t>
  </si>
  <si>
    <t>Woodwardia fimbriata</t>
  </si>
  <si>
    <t>Dryopteris filix-mas</t>
  </si>
  <si>
    <t>Athyrium filix-femina</t>
  </si>
  <si>
    <t>Ophioglossaceae</t>
  </si>
  <si>
    <t>Botrychium minganense</t>
  </si>
  <si>
    <t>Botrychium multifidum</t>
  </si>
  <si>
    <t>Male Fern</t>
  </si>
  <si>
    <t>Gymnocarpium dryopteris</t>
  </si>
  <si>
    <t>Polypodium glycyrrhiza</t>
  </si>
  <si>
    <t>Polypodium hesperium</t>
  </si>
  <si>
    <t>Polypodium scouleri</t>
  </si>
  <si>
    <t>California Swordfern</t>
  </si>
  <si>
    <t>Polystichum californicum</t>
  </si>
  <si>
    <t>Polystichum imbricans</t>
  </si>
  <si>
    <t>Wild Chives</t>
  </si>
  <si>
    <t>Salix exigua</t>
  </si>
  <si>
    <t>Bristly Sedge</t>
  </si>
  <si>
    <t>Carex comosa</t>
  </si>
  <si>
    <t>Few-Flowered Sedge</t>
  </si>
  <si>
    <t>Carex pauciflora</t>
  </si>
  <si>
    <t>Rush Aster</t>
  </si>
  <si>
    <t>Symphyotrichum boreale</t>
  </si>
  <si>
    <t>Plant Family</t>
  </si>
  <si>
    <t>Pinaceae</t>
  </si>
  <si>
    <t>Western White Pine</t>
  </si>
  <si>
    <t>Pinus monticola</t>
  </si>
  <si>
    <t>Whitebark Pine</t>
  </si>
  <si>
    <t>Pinus albicaulis</t>
  </si>
  <si>
    <t xml:space="preserve"> </t>
  </si>
  <si>
    <t>Western Larch</t>
  </si>
  <si>
    <t>Larix occidentalis</t>
  </si>
  <si>
    <t>Sitka Spruce</t>
  </si>
  <si>
    <t>Engelmann Spruce</t>
  </si>
  <si>
    <t>Pseudotsuga menziesii</t>
  </si>
  <si>
    <t>Western Hemlock</t>
  </si>
  <si>
    <t xml:space="preserve">Mountain Hemlock </t>
  </si>
  <si>
    <t>Grand Fir</t>
  </si>
  <si>
    <t>Noble Fir</t>
  </si>
  <si>
    <t>Western Redcedar</t>
  </si>
  <si>
    <t>Cupressaceae</t>
  </si>
  <si>
    <t>Rocky Mountain Juniper</t>
  </si>
  <si>
    <t>Juniperus scopulorum</t>
  </si>
  <si>
    <t>Juniperus</t>
  </si>
  <si>
    <t>Taxus brevifolia</t>
  </si>
  <si>
    <t>Taxaceae</t>
  </si>
  <si>
    <t>Vine Maple</t>
  </si>
  <si>
    <t>Betulaceae</t>
  </si>
  <si>
    <t>White Alder</t>
  </si>
  <si>
    <t>Red Alder</t>
  </si>
  <si>
    <t>Betula glandulosa</t>
  </si>
  <si>
    <t>Salicaceae</t>
  </si>
  <si>
    <t>Betula papyrifera</t>
  </si>
  <si>
    <t>Boraginaceae</t>
  </si>
  <si>
    <t>Myosotis laxa</t>
  </si>
  <si>
    <t>Cryptantha intermedia</t>
  </si>
  <si>
    <t>Menzies' Fiddleneck</t>
  </si>
  <si>
    <t>Fragrant Popcornflower</t>
  </si>
  <si>
    <t>Plagiobothrys scouleri</t>
  </si>
  <si>
    <t>Pacific Poison Oak</t>
  </si>
  <si>
    <t>Toxicodendron diversilobum</t>
  </si>
  <si>
    <t>Anacardiaceae</t>
  </si>
  <si>
    <t>Apiaceae</t>
  </si>
  <si>
    <t>Western Water Hemlock</t>
  </si>
  <si>
    <t>Yabea microcarpa</t>
  </si>
  <si>
    <t>Penstemon ovatus</t>
  </si>
  <si>
    <t>Douglas-Fir</t>
  </si>
  <si>
    <t>Pyrola asarifolia</t>
  </si>
  <si>
    <t>Pyrola chlorantha</t>
  </si>
  <si>
    <t>Pyrola picta</t>
  </si>
  <si>
    <t>Rhododendron macrophyllum</t>
  </si>
  <si>
    <t>Rhododendron albiflorum</t>
  </si>
  <si>
    <t>Vaccinium ovatum</t>
  </si>
  <si>
    <t>Red Huckleberry</t>
  </si>
  <si>
    <t>Vaccinium parvifolium</t>
  </si>
  <si>
    <t>Bog Blueberry</t>
  </si>
  <si>
    <t>Vaccinium uliginosum</t>
  </si>
  <si>
    <t>Vaccinium membranaceum</t>
  </si>
  <si>
    <t>Vaccinium ovalifolium</t>
  </si>
  <si>
    <t>Vaccinium deliciosum</t>
  </si>
  <si>
    <t>Fabaceae</t>
  </si>
  <si>
    <t>Torrey's Pea</t>
  </si>
  <si>
    <t>Lathyrus torreyi</t>
  </si>
  <si>
    <t>Lathyrus palustris</t>
  </si>
  <si>
    <t>Leafy Pea</t>
  </si>
  <si>
    <t>Lathyrus polyphyllus</t>
  </si>
  <si>
    <t>Lathyrus nevadensis</t>
  </si>
  <si>
    <t>Lupinus bicolor</t>
  </si>
  <si>
    <t>Seashore Lupine</t>
  </si>
  <si>
    <t>Lupinus polyphyllus</t>
  </si>
  <si>
    <t>Sicklekeel Lupine</t>
  </si>
  <si>
    <t>Lupinus albicaulis</t>
  </si>
  <si>
    <t>Lupinus latifolius</t>
  </si>
  <si>
    <t>Lupinus lepidus</t>
  </si>
  <si>
    <t>Tomcat Clover</t>
  </si>
  <si>
    <t>Trifolium willdenovii</t>
  </si>
  <si>
    <t>Thimble Clover</t>
  </si>
  <si>
    <t>Trifolium microdon</t>
  </si>
  <si>
    <t>Trifolium oliganthum</t>
  </si>
  <si>
    <t>Whitetip Clover</t>
  </si>
  <si>
    <t>Trifolium variegatum</t>
  </si>
  <si>
    <t>Trifolium wormskioldii</t>
  </si>
  <si>
    <t>American Vetch</t>
  </si>
  <si>
    <t>Vicia americana</t>
  </si>
  <si>
    <t>Vicia nigricans</t>
  </si>
  <si>
    <t>Chrysolepis chrysophylla</t>
  </si>
  <si>
    <t>Fagaceae</t>
  </si>
  <si>
    <t>Gentianaceae</t>
  </si>
  <si>
    <t>King's Scepter Gentian</t>
  </si>
  <si>
    <t>Gentiana sceptrum</t>
  </si>
  <si>
    <t>Gentianella amarella</t>
  </si>
  <si>
    <t>Geraniaceae</t>
  </si>
  <si>
    <t>Geranium carolinianum</t>
  </si>
  <si>
    <t>Oregon Geranium</t>
  </si>
  <si>
    <t>Geranium oreganum</t>
  </si>
  <si>
    <t>Grossulariaceae</t>
  </si>
  <si>
    <t>Ribes divaricatum</t>
  </si>
  <si>
    <t>Ribes bracteosum</t>
  </si>
  <si>
    <t>Red Flowering Currant</t>
  </si>
  <si>
    <t>Ribes sanguineum</t>
  </si>
  <si>
    <t>Trailing Black Currant</t>
  </si>
  <si>
    <t>Ribes laxiflorum</t>
  </si>
  <si>
    <t>Mapleleaf Currant</t>
  </si>
  <si>
    <t>Ribes acerifolium</t>
  </si>
  <si>
    <t>Ribes triste</t>
  </si>
  <si>
    <t>Ribes lacustre</t>
  </si>
  <si>
    <t>Haloragaceae</t>
  </si>
  <si>
    <t>Myriophyllum quitense</t>
  </si>
  <si>
    <t>Whorl-Leaf Watermilfoil</t>
  </si>
  <si>
    <t>Common Mare's-Tail</t>
  </si>
  <si>
    <t>Hippuris vulgaris</t>
  </si>
  <si>
    <t>Hydrangeaceae</t>
  </si>
  <si>
    <t>Philadelphus lewisii</t>
  </si>
  <si>
    <t>Beach Pea</t>
  </si>
  <si>
    <t>Nemophila parviflora</t>
  </si>
  <si>
    <t>Hydrophyllaceae</t>
  </si>
  <si>
    <t>Nemophila pedunculata</t>
  </si>
  <si>
    <t>Varileaf Phacelia</t>
  </si>
  <si>
    <t>Hypericum anagalloides</t>
  </si>
  <si>
    <t>Hypericaceae</t>
  </si>
  <si>
    <t>Hypericum scouleri</t>
  </si>
  <si>
    <t>Lamiaceae</t>
  </si>
  <si>
    <t>Lycopus americanus</t>
  </si>
  <si>
    <t>Lycopus uniflorus</t>
  </si>
  <si>
    <t>Prunella vulgaris</t>
  </si>
  <si>
    <t>Marsh Skullcap</t>
  </si>
  <si>
    <t>Scutellaria galericulata</t>
  </si>
  <si>
    <t>Scutellaria lateriflora</t>
  </si>
  <si>
    <t>Lentibulariaceae</t>
  </si>
  <si>
    <t>Lesser Bladderwort</t>
  </si>
  <si>
    <t>Utricularia minor</t>
  </si>
  <si>
    <t>Malvaceae</t>
  </si>
  <si>
    <t>Buckbean</t>
  </si>
  <si>
    <t>Menyanthes trifoliata</t>
  </si>
  <si>
    <t>Menyanthaceae</t>
  </si>
  <si>
    <t>Pacific Wax Myrtle</t>
  </si>
  <si>
    <t>Myrica californica</t>
  </si>
  <si>
    <t>Myricaceae</t>
  </si>
  <si>
    <t>Sweet Gale</t>
  </si>
  <si>
    <t>Myrica gale</t>
  </si>
  <si>
    <t>Nyctaginaceae</t>
  </si>
  <si>
    <t>Pink Sand Verbena</t>
  </si>
  <si>
    <t>Nymphaeaceae</t>
  </si>
  <si>
    <t>Ludwigia palustris</t>
  </si>
  <si>
    <t>Onagraceae</t>
  </si>
  <si>
    <t>Circaea alpina</t>
  </si>
  <si>
    <t>Clarkia amoena</t>
  </si>
  <si>
    <t>Epilobium densiflorum</t>
  </si>
  <si>
    <t>Tall Annual Willowherb</t>
  </si>
  <si>
    <t>Epilobium brachycarpum</t>
  </si>
  <si>
    <t>Epilobium glaberrimum</t>
  </si>
  <si>
    <t>Orobanchaceae</t>
  </si>
  <si>
    <t>Oxalidaceae</t>
  </si>
  <si>
    <t>Oxalis trilliifolia</t>
  </si>
  <si>
    <t>Papaveraceae</t>
  </si>
  <si>
    <t>Plantago elongata</t>
  </si>
  <si>
    <t>Plantaginaceae</t>
  </si>
  <si>
    <t>Collomia heterophylla</t>
  </si>
  <si>
    <t>Polemoniaceae</t>
  </si>
  <si>
    <t>Collomia grandiflora</t>
  </si>
  <si>
    <t>Gilia capitata</t>
  </si>
  <si>
    <t>K-01</t>
  </si>
  <si>
    <t>K-02</t>
  </si>
  <si>
    <t>K-03</t>
  </si>
  <si>
    <t>K-04</t>
  </si>
  <si>
    <t>K-05</t>
  </si>
  <si>
    <t>K-06</t>
  </si>
  <si>
    <t>K-07</t>
  </si>
  <si>
    <t>K-08</t>
  </si>
  <si>
    <t>K-09</t>
  </si>
  <si>
    <t>K-10</t>
  </si>
  <si>
    <t>K-11</t>
  </si>
  <si>
    <t>K-12</t>
  </si>
  <si>
    <t>K-13</t>
  </si>
  <si>
    <t>K-14</t>
  </si>
  <si>
    <t>K-15</t>
  </si>
  <si>
    <t>Seaside Juniper</t>
  </si>
  <si>
    <t>Juniperus maritima</t>
  </si>
  <si>
    <t>Juniperus communis</t>
  </si>
  <si>
    <t>Betula occidentalis</t>
  </si>
  <si>
    <t>K-16</t>
  </si>
  <si>
    <t>Sequoia sempervirens</t>
  </si>
  <si>
    <t>Sitka Mountain Ash</t>
  </si>
  <si>
    <t>Sorbus sitchensis</t>
  </si>
  <si>
    <t>BurkeUWSource</t>
  </si>
  <si>
    <t>Pacific Silver Fir</t>
  </si>
  <si>
    <t>Pyramid Spirea</t>
  </si>
  <si>
    <t>Cascara Buckthorne</t>
  </si>
  <si>
    <t>Creeping Oregon Grape</t>
  </si>
  <si>
    <t>American Dunegrass</t>
  </si>
  <si>
    <t>Hairy Manzanita</t>
  </si>
  <si>
    <t>Marsh Marigold</t>
  </si>
  <si>
    <t>Caltha leptosepala</t>
  </si>
  <si>
    <t>Vanilla Leaf</t>
  </si>
  <si>
    <t>Yarrow</t>
  </si>
  <si>
    <t>Sequoiadendron</t>
  </si>
  <si>
    <t>Sequoiadendron giganteum</t>
  </si>
  <si>
    <t>Kiosk</t>
  </si>
  <si>
    <t>Peach-leaf Willow</t>
  </si>
  <si>
    <t>Salix amygdaloides</t>
  </si>
  <si>
    <t>Diamond-leaf Willow</t>
  </si>
  <si>
    <t>Salix planifolia</t>
  </si>
  <si>
    <t>Rhododendron menziesii</t>
  </si>
  <si>
    <t>Cascade Mountain Ash</t>
  </si>
  <si>
    <t>Wax Currant</t>
  </si>
  <si>
    <t>Prostrate Ceanothus</t>
  </si>
  <si>
    <t>Golden Currant</t>
  </si>
  <si>
    <t>Ribes aureum</t>
  </si>
  <si>
    <t>Burke UW URL, a University of Washington’s www.biology.burke.washington.edu/herbarium website allowing use for educational purposes</t>
  </si>
  <si>
    <t>Sawbeak Sedge</t>
  </si>
  <si>
    <t>Sorbus scopulina</t>
  </si>
  <si>
    <t>Ribes cereum</t>
  </si>
  <si>
    <t>Ceanothus prostratus</t>
  </si>
  <si>
    <t>Carex obnupta</t>
  </si>
  <si>
    <t>Pinus contorta</t>
  </si>
  <si>
    <t>Sapindaceae</t>
  </si>
  <si>
    <t>Malus fusca</t>
  </si>
  <si>
    <t>Berberis aquifolium</t>
  </si>
  <si>
    <t>Berberis nervosa</t>
  </si>
  <si>
    <t>Adoxaceae</t>
  </si>
  <si>
    <t>Rhododendron groenlandicum</t>
  </si>
  <si>
    <t>Rhododendron columbianum</t>
  </si>
  <si>
    <t>Stachys cooleyae</t>
  </si>
  <si>
    <t>Pteridaceae</t>
  </si>
  <si>
    <t>Dennstaedtiaceae</t>
  </si>
  <si>
    <t>Dryopteridaceae</t>
  </si>
  <si>
    <t>Blechnaceae</t>
  </si>
  <si>
    <t>Aspleniaceae</t>
  </si>
  <si>
    <t>Berberis repens</t>
  </si>
  <si>
    <t>Symphyotrichum chilense</t>
  </si>
  <si>
    <t>Symphyotrichum subspicatum</t>
  </si>
  <si>
    <t>Papavaraceae</t>
  </si>
  <si>
    <t>Amaryllidaceae</t>
  </si>
  <si>
    <t>Asparagaceae</t>
  </si>
  <si>
    <t>Camassia leichtlinii</t>
  </si>
  <si>
    <t>Melanthiaceae</t>
  </si>
  <si>
    <t>Montiaceae</t>
  </si>
  <si>
    <t>Dasiphora fruticosa</t>
  </si>
  <si>
    <t>Potentilla palustris</t>
  </si>
  <si>
    <t>Elaeagnaceae</t>
  </si>
  <si>
    <t>Erythranthe guttata</t>
  </si>
  <si>
    <t>Schoenoplectus acutus</t>
  </si>
  <si>
    <t>Leymus mollis</t>
  </si>
  <si>
    <t>Polystichum setiferum</t>
  </si>
  <si>
    <t>Small Cranberry</t>
  </si>
  <si>
    <t>Vaccinium oxycoccos</t>
  </si>
  <si>
    <t>Arroyo Willow</t>
  </si>
  <si>
    <t>Salix lasiolepis</t>
  </si>
  <si>
    <t>Lemmon's Willow</t>
  </si>
  <si>
    <t>Salix lemmonii</t>
  </si>
  <si>
    <t>Cascade Willow</t>
  </si>
  <si>
    <t>Salix cascadensis</t>
  </si>
  <si>
    <t>Variable Leaf Willow</t>
  </si>
  <si>
    <t>Salix commutata</t>
  </si>
  <si>
    <t>Phegopteris connectilis</t>
  </si>
  <si>
    <t>Old Man's Whiskers</t>
  </si>
  <si>
    <t>Hairy Goldenaster</t>
  </si>
  <si>
    <t>Geum triflorum</t>
  </si>
  <si>
    <t>Rosy Pussytoes</t>
  </si>
  <si>
    <t>Alpine Fir</t>
  </si>
  <si>
    <t>Coastal Sand Verbena</t>
  </si>
  <si>
    <t>Bigleaf Maple</t>
  </si>
  <si>
    <t>Douglas' Maple</t>
  </si>
  <si>
    <t>Western Maidenhair Fern</t>
  </si>
  <si>
    <t>Baneberry</t>
  </si>
  <si>
    <t>False Carrot</t>
  </si>
  <si>
    <t>Evergreen Violet</t>
  </si>
  <si>
    <t>Darkwoods Violet</t>
  </si>
  <si>
    <t>Inside-Out Flower</t>
  </si>
  <si>
    <t>Swamp Verbena</t>
  </si>
  <si>
    <t>American Speedwell</t>
  </si>
  <si>
    <t>Marsh Speedwell</t>
  </si>
  <si>
    <t>Mooseberry</t>
  </si>
  <si>
    <t>Early Blue Violet</t>
  </si>
  <si>
    <t>Cascade Huckleberry</t>
  </si>
  <si>
    <t>Mountain Huckleberry</t>
  </si>
  <si>
    <t>Oval-Leafed Huckleberry</t>
  </si>
  <si>
    <t>Evergreen Huckleberry</t>
  </si>
  <si>
    <t>Common Viburnum</t>
  </si>
  <si>
    <t>Yew</t>
  </si>
  <si>
    <t>Fringecup</t>
  </si>
  <si>
    <t>Foam Flower</t>
  </si>
  <si>
    <t>Piggyback Plant</t>
  </si>
  <si>
    <t>False Bugbane</t>
  </si>
  <si>
    <t>Pale False Mannagrass</t>
  </si>
  <si>
    <t>Western Starflower</t>
  </si>
  <si>
    <t>Cow's Clover</t>
  </si>
  <si>
    <t>Trillium</t>
  </si>
  <si>
    <t>Venus' Looking-Glass</t>
  </si>
  <si>
    <t>White Brodiaea</t>
  </si>
  <si>
    <t>Cattail</t>
  </si>
  <si>
    <t>Tower Rockcress</t>
  </si>
  <si>
    <t>Narrowleaf Cattail</t>
  </si>
  <si>
    <t>Humped Bladderwort</t>
  </si>
  <si>
    <t>Smallflower Trillium</t>
  </si>
  <si>
    <t>Trailing Pearlwort</t>
  </si>
  <si>
    <t>Stickystem Pearlwort</t>
  </si>
  <si>
    <t>Wapato</t>
  </si>
  <si>
    <t>Hooker's Willow</t>
  </si>
  <si>
    <t>Narrow Leafed Coyote Willow</t>
  </si>
  <si>
    <t>Official Burnet</t>
  </si>
  <si>
    <t>Purple Sanicle</t>
  </si>
  <si>
    <t>Merten's Saxifrage</t>
  </si>
  <si>
    <t>Swaying Bulrush</t>
  </si>
  <si>
    <t>Small-Fruited Bulrush</t>
  </si>
  <si>
    <t>Common Bulrush</t>
  </si>
  <si>
    <t>Blue Skullcap</t>
  </si>
  <si>
    <t>Spreading Stonecrop</t>
  </si>
  <si>
    <t>Spearleaf Stonecrop</t>
  </si>
  <si>
    <t>Sleepy Selene</t>
  </si>
  <si>
    <t>Golden Eyed Grass</t>
  </si>
  <si>
    <t>Idaho Blue-Eyed Grass</t>
  </si>
  <si>
    <t>Water-Parsnip</t>
  </si>
  <si>
    <t>Mt. Albert Goldenrod</t>
  </si>
  <si>
    <t>Floating Bur-Reed</t>
  </si>
  <si>
    <t>Winged Sandspurs</t>
  </si>
  <si>
    <t>Douglas Spirea</t>
  </si>
  <si>
    <t>Cooley's Hedge Nettle</t>
  </si>
  <si>
    <t>Rough Hedgenettle</t>
  </si>
  <si>
    <t>Hooded Ladies-Tresses</t>
  </si>
  <si>
    <t>Crisped Starwort</t>
  </si>
  <si>
    <t>Clasping-Leaved Twisted-Stalk</t>
  </si>
  <si>
    <t>Snowberry</t>
  </si>
  <si>
    <t>Trailing Snowberry</t>
  </si>
  <si>
    <t>Pathfinder</t>
  </si>
  <si>
    <t>Large Flowered Agoseris</t>
  </si>
  <si>
    <t>Seashore Bentgrass</t>
  </si>
  <si>
    <t>Tickle-Grass</t>
  </si>
  <si>
    <t>Water Plantain</t>
  </si>
  <si>
    <t>Narrowleaf Onion</t>
  </si>
  <si>
    <t>Taper-Tip Onion</t>
  </si>
  <si>
    <t>Mountain Alder</t>
  </si>
  <si>
    <t>Sitka Alder</t>
  </si>
  <si>
    <t>Sugarstick</t>
  </si>
  <si>
    <t>Pearly Everlasting</t>
  </si>
  <si>
    <t>Windflower</t>
  </si>
  <si>
    <t>Lyall's Anemone</t>
  </si>
  <si>
    <t>Pacific Anemone</t>
  </si>
  <si>
    <t>Blue Windflower</t>
  </si>
  <si>
    <t>Henderson's Angelica</t>
  </si>
  <si>
    <t>Western Featherbells</t>
  </si>
  <si>
    <t>Spreading Dogbane</t>
  </si>
  <si>
    <t>Western Columbine</t>
  </si>
  <si>
    <t>Madrona</t>
  </si>
  <si>
    <t>Kinnikinnick</t>
  </si>
  <si>
    <t>Sea Thrift</t>
  </si>
  <si>
    <t>Coastal Mugwort</t>
  </si>
  <si>
    <t>Heart-Leaf Arnica</t>
  </si>
  <si>
    <t>Wild Ginger</t>
  </si>
  <si>
    <t>Sandweed</t>
  </si>
  <si>
    <t>Mosquitofern</t>
  </si>
  <si>
    <t>American Wintercress</t>
  </si>
  <si>
    <t>Bog Birch</t>
  </si>
  <si>
    <t>Low Oregon Grape</t>
  </si>
  <si>
    <t>Western Paper Birch</t>
  </si>
  <si>
    <t>Resin Birch</t>
  </si>
  <si>
    <t>River Birch</t>
  </si>
  <si>
    <t>Leafy Beggar-Ticks</t>
  </si>
  <si>
    <t>Common Grapefern</t>
  </si>
  <si>
    <t>Coastal Boykinia</t>
  </si>
  <si>
    <t>Watershield</t>
  </si>
  <si>
    <t>Harvest Brodiaea</t>
  </si>
  <si>
    <t>California Brome</t>
  </si>
  <si>
    <t>Bluejoint</t>
  </si>
  <si>
    <t>Callitriche heterophylla</t>
  </si>
  <si>
    <t>Marsh Water-Starwort</t>
  </si>
  <si>
    <t>Alaska Yellow Cedar</t>
  </si>
  <si>
    <t>Great Blue Camas</t>
  </si>
  <si>
    <t>Common Camas</t>
  </si>
  <si>
    <t>Twisted Suncup</t>
  </si>
  <si>
    <t>Bellflower</t>
  </si>
  <si>
    <t>Pale Bellflower</t>
  </si>
  <si>
    <t>Giant Mountain Aster</t>
  </si>
  <si>
    <t>Seaside Bittercress</t>
  </si>
  <si>
    <t>Silvery Sedge</t>
  </si>
  <si>
    <t>Muricate Sedge</t>
  </si>
  <si>
    <t>Mud Sedge</t>
  </si>
  <si>
    <t>Largehead Sedge</t>
  </si>
  <si>
    <t>Thick Headed Sedge</t>
  </si>
  <si>
    <t>Sanddune Sedge</t>
  </si>
  <si>
    <t>Foothill Sedge</t>
  </si>
  <si>
    <t>Lateral Sedge</t>
  </si>
  <si>
    <t>Blister Sedge</t>
  </si>
  <si>
    <t>Green Sedge</t>
  </si>
  <si>
    <t>Attenuate Indian Paintbrush</t>
  </si>
  <si>
    <t>Harsh Paintbrush</t>
  </si>
  <si>
    <t>Indian Paintbrush</t>
  </si>
  <si>
    <t>Red Stem Ceanothus</t>
  </si>
  <si>
    <t>Snowbrush Ceanothus</t>
  </si>
  <si>
    <t>Coon's Tail</t>
  </si>
  <si>
    <t>Lace Fern</t>
  </si>
  <si>
    <t>Little Pipsissewa</t>
  </si>
  <si>
    <t>Golden Chinkapin</t>
  </si>
  <si>
    <t>Prince's Pine</t>
  </si>
  <si>
    <t>Western Golden Saxifrage</t>
  </si>
  <si>
    <t>Pacific Clarkia</t>
  </si>
  <si>
    <t>Indian Thistle</t>
  </si>
  <si>
    <t>Edible Thistle</t>
  </si>
  <si>
    <t>Few-Leaved Thistle</t>
  </si>
  <si>
    <t>Streambank Springbeauty</t>
  </si>
  <si>
    <t>Red Stem Miner's Lettuce</t>
  </si>
  <si>
    <t>Queen's Cup</t>
  </si>
  <si>
    <t>Giant Blue Eyed Mary</t>
  </si>
  <si>
    <t>Small-Flowered Blue-Eyed Mary</t>
  </si>
  <si>
    <t>Large-Flowered Collomia</t>
  </si>
  <si>
    <t>Varied-Leaf Collomia</t>
  </si>
  <si>
    <t>Horseweed</t>
  </si>
  <si>
    <t>Beach Morning-Glory</t>
  </si>
  <si>
    <t>Tiny Trumpet</t>
  </si>
  <si>
    <t>Spotted Coral-Root</t>
  </si>
  <si>
    <t>Striped Coral-Root</t>
  </si>
  <si>
    <t>Red-Osier Dogwood</t>
  </si>
  <si>
    <t>Bunchberry</t>
  </si>
  <si>
    <t>Western Corydalis</t>
  </si>
  <si>
    <t>Hazelnut</t>
  </si>
  <si>
    <t>Corylus cornuta</t>
  </si>
  <si>
    <t>Sand Pygmyweed</t>
  </si>
  <si>
    <t>Gold Star</t>
  </si>
  <si>
    <t>Large Flowered Cryptantha</t>
  </si>
  <si>
    <t>Slender Flatsedge</t>
  </si>
  <si>
    <t>Bearded Flatsedge</t>
  </si>
  <si>
    <t>Fragile Fern</t>
  </si>
  <si>
    <t>Shrubby Cinquefoil</t>
  </si>
  <si>
    <t>American Wild Carrot</t>
  </si>
  <si>
    <t>Pale Larkspur</t>
  </si>
  <si>
    <t>Bleeding Heart</t>
  </si>
  <si>
    <t>Broad-Leaved Shooting Star</t>
  </si>
  <si>
    <t>Darkthroat Shootingstar</t>
  </si>
  <si>
    <t>Round-Leaf Sundew</t>
  </si>
  <si>
    <t>Spreading Wood-Fern</t>
  </si>
  <si>
    <t>Ovoid Spike-Rush</t>
  </si>
  <si>
    <t>Three-Way Sedge</t>
  </si>
  <si>
    <t>Spikerush</t>
  </si>
  <si>
    <t>Common Spikerush</t>
  </si>
  <si>
    <t>Western Ryegrass</t>
  </si>
  <si>
    <t>Fringed Willowherb</t>
  </si>
  <si>
    <t>Common Horsetail</t>
  </si>
  <si>
    <t>Swamp Horsetail</t>
  </si>
  <si>
    <t>Stream Orchid</t>
  </si>
  <si>
    <t>Philadelphia Fleabane</t>
  </si>
  <si>
    <t>Showy Fleabane</t>
  </si>
  <si>
    <t>Daisy Fleabane</t>
  </si>
  <si>
    <t xml:space="preserve">Cutleaf Daisy </t>
  </si>
  <si>
    <t>Woolly Sunflower</t>
  </si>
  <si>
    <t>Western Wallflower</t>
  </si>
  <si>
    <t xml:space="preserve">Wing-Stem Monkey-Flower </t>
  </si>
  <si>
    <t>Yellow Monkey-Flower</t>
  </si>
  <si>
    <t>Glacier Lily</t>
  </si>
  <si>
    <t>Giant White Fawnlily</t>
  </si>
  <si>
    <t>Pink Fawn-Lily</t>
  </si>
  <si>
    <t>Coast Strawberry</t>
  </si>
  <si>
    <t>Woodland Strawberry</t>
  </si>
  <si>
    <t>Virginia Strawberry</t>
  </si>
  <si>
    <t>Black Lily</t>
  </si>
  <si>
    <t>Common Gaillardia</t>
  </si>
  <si>
    <t>Common Bedstraw</t>
  </si>
  <si>
    <t>Northern Gentian</t>
  </si>
  <si>
    <t>Bicknell's Cranesbill</t>
  </si>
  <si>
    <t>Wild Geranium</t>
  </si>
  <si>
    <t>Large-Leaved Avens</t>
  </si>
  <si>
    <t>Bluehead Gilia</t>
  </si>
  <si>
    <t>American Silvertop</t>
  </si>
  <si>
    <t>Reed Mannagrass</t>
  </si>
  <si>
    <t>Clammy Hedgehyssop</t>
  </si>
  <si>
    <t>Puget Sound Gumweed</t>
  </si>
  <si>
    <t>Oak Fern</t>
  </si>
  <si>
    <t>Sneezeweed</t>
  </si>
  <si>
    <t>Coneplant</t>
  </si>
  <si>
    <t>Oregon Golden Aster</t>
  </si>
  <si>
    <t>Narrow Flowered Alumroot</t>
  </si>
  <si>
    <t>Small Flowered Alumroot</t>
  </si>
  <si>
    <t>Cow-Parsnip</t>
  </si>
  <si>
    <t>Carex stipata</t>
  </si>
  <si>
    <t>Yellow Marsh Marigold</t>
  </si>
  <si>
    <t xml:space="preserve">Tundra Shooting Star </t>
  </si>
  <si>
    <t>Fireweed</t>
  </si>
  <si>
    <t>White-Flowered Hawkweed</t>
  </si>
  <si>
    <t>Western Clubmoss</t>
  </si>
  <si>
    <t>Pacific Waterleaf</t>
  </si>
  <si>
    <t>Floating Marshpennywort</t>
  </si>
  <si>
    <t>Large St. Johnswort</t>
  </si>
  <si>
    <t>Scouler's St. Johnswort</t>
  </si>
  <si>
    <t>Spurless Touch-Me-Not</t>
  </si>
  <si>
    <t>Bog St. John's-Wort</t>
  </si>
  <si>
    <t>Oregon Iris</t>
  </si>
  <si>
    <t>Low Bulrush</t>
  </si>
  <si>
    <t>Marsh Jaumea</t>
  </si>
  <si>
    <t>Tapered Rush</t>
  </si>
  <si>
    <t>Northern Green Rush</t>
  </si>
  <si>
    <t>Dagger-Leaved Rush</t>
  </si>
  <si>
    <t>Hairy-Leaf Rush</t>
  </si>
  <si>
    <t>Slender Rush</t>
  </si>
  <si>
    <t>Common Juniper</t>
  </si>
  <si>
    <t>June Grass</t>
  </si>
  <si>
    <t>Star Duckweed</t>
  </si>
  <si>
    <t>Small Groundcone</t>
  </si>
  <si>
    <t>Tall Blue Lettuce</t>
  </si>
  <si>
    <t>Maritime Goldfields</t>
  </si>
  <si>
    <t xml:space="preserve">Silky Beach Pea </t>
  </si>
  <si>
    <t>Nuttall's Peavine</t>
  </si>
  <si>
    <t>Babystars</t>
  </si>
  <si>
    <t>Celeryleaf Licorice-Root</t>
  </si>
  <si>
    <t>Tiger Lily</t>
  </si>
  <si>
    <t>Heartleaf Twayblade</t>
  </si>
  <si>
    <t>Western Grasswort</t>
  </si>
  <si>
    <t>Smallflower Woodland-Star</t>
  </si>
  <si>
    <t>Water Lobelia</t>
  </si>
  <si>
    <t>Fern Leaved Desert Parsley</t>
  </si>
  <si>
    <t>Lonicera ciliosa</t>
  </si>
  <si>
    <t>Pink Honeysuckle</t>
  </si>
  <si>
    <t>Rosy Bird's-Foot Trefoil</t>
  </si>
  <si>
    <t>Common Lomatium</t>
  </si>
  <si>
    <t>Twinberry</t>
  </si>
  <si>
    <t>Big Deervetch</t>
  </si>
  <si>
    <t>Greater Lotus</t>
  </si>
  <si>
    <t>Water Purslane</t>
  </si>
  <si>
    <t>Miniature Lupine</t>
  </si>
  <si>
    <t>Streambank Lupine</t>
  </si>
  <si>
    <t>Big-Leaf Lupine</t>
  </si>
  <si>
    <t>Common Woodrush</t>
  </si>
  <si>
    <t>Running Clubmoss</t>
  </si>
  <si>
    <t>Water Horehound</t>
  </si>
  <si>
    <t>Northern Bugleweed</t>
  </si>
  <si>
    <t>Skunk Cabbage</t>
  </si>
  <si>
    <t>Starry False Lily of the Valley</t>
  </si>
  <si>
    <t>Western Crabapple</t>
  </si>
  <si>
    <t>Feathery False Lily of the Valley</t>
  </si>
  <si>
    <t>White Fairypoppy</t>
  </si>
  <si>
    <t>Wild Mint</t>
  </si>
  <si>
    <t>Nodding Water-Nymph</t>
  </si>
  <si>
    <t>Bugleweed</t>
  </si>
  <si>
    <t>Small Tarweed</t>
  </si>
  <si>
    <t>Mountain Tarweed</t>
  </si>
  <si>
    <t>Grassy Tarweed</t>
  </si>
  <si>
    <t>Broadleaf Bluebells</t>
  </si>
  <si>
    <t>Musk-Flower</t>
  </si>
  <si>
    <t>Big-Leaf Sandwort</t>
  </si>
  <si>
    <t>Woodnymph</t>
  </si>
  <si>
    <t>Spreading Minerslettuce</t>
  </si>
  <si>
    <t>Water Chickweed</t>
  </si>
  <si>
    <t>Howell's Minerslettuce</t>
  </si>
  <si>
    <t>Narrowleaf Miner's-Lettuce</t>
  </si>
  <si>
    <t>Western Milfoil</t>
  </si>
  <si>
    <t>Andean Watermilfoil</t>
  </si>
  <si>
    <t>Skunkweed</t>
  </si>
  <si>
    <t>Meadow Nemophila</t>
  </si>
  <si>
    <t>Pond Lily</t>
  </si>
  <si>
    <t>Shortspike Water-Milfoil</t>
  </si>
  <si>
    <t>Wavy Water-Nymph</t>
  </si>
  <si>
    <t>Blue Toadflax</t>
  </si>
  <si>
    <t>Water Parsley</t>
  </si>
  <si>
    <t>Adder's Tongue</t>
  </si>
  <si>
    <t>Sweet Cicely</t>
  </si>
  <si>
    <t>Purple Sweetroot</t>
  </si>
  <si>
    <t>Garry Oak</t>
  </si>
  <si>
    <t>Oxalis</t>
  </si>
  <si>
    <t>Greater Oxalis</t>
  </si>
  <si>
    <t>Three-Parted Miterwort</t>
  </si>
  <si>
    <t>Oregon Boxleaf</t>
  </si>
  <si>
    <t>Brewer's Mitrewort</t>
  </si>
  <si>
    <t>Davidson’s Penstemon</t>
  </si>
  <si>
    <t>Sulfur Penstemon</t>
  </si>
  <si>
    <t>Elephanthead Lousewort</t>
  </si>
  <si>
    <t>Broadleaf Penstemon</t>
  </si>
  <si>
    <t>Cascade Penstemon</t>
  </si>
  <si>
    <t>Woodland Phacelia</t>
  </si>
  <si>
    <t>Mock Orange</t>
  </si>
  <si>
    <t>Ninebark</t>
  </si>
  <si>
    <t>Picea engelmannii</t>
  </si>
  <si>
    <t>Ponderosa Pine</t>
  </si>
  <si>
    <t>Denseflower Rein Orchid</t>
  </si>
  <si>
    <t>Royal Rein Orchid</t>
  </si>
  <si>
    <t>Prairie Plantain</t>
  </si>
  <si>
    <t>Seaside Plantain</t>
  </si>
  <si>
    <t>Scentbottle</t>
  </si>
  <si>
    <t>Beach Bluegrass</t>
  </si>
  <si>
    <t>Seashore Bluegrass</t>
  </si>
  <si>
    <t>Longroot Smartweed</t>
  </si>
  <si>
    <t>Anderson's Sword-Fern</t>
  </si>
  <si>
    <t>Narrowleaf Swordfern</t>
  </si>
  <si>
    <t>Sword Fern</t>
  </si>
  <si>
    <t>Quaking Aspen</t>
  </si>
  <si>
    <t>Black Cottonwood</t>
  </si>
  <si>
    <t>Populus trichocarpa</t>
  </si>
  <si>
    <t>Flatstem Pondweed</t>
  </si>
  <si>
    <t>Slender Cinquefoil</t>
  </si>
  <si>
    <t>Silverweed</t>
  </si>
  <si>
    <t>Fairybells</t>
  </si>
  <si>
    <t>Chokecherry</t>
  </si>
  <si>
    <t>Prunus virginiana</t>
  </si>
  <si>
    <t>Self Heal</t>
  </si>
  <si>
    <t>Marsh Cinquefoil</t>
  </si>
  <si>
    <t xml:space="preserve">Cotton-Batting Plant </t>
  </si>
  <si>
    <t>Bracken Fern</t>
  </si>
  <si>
    <t>Pinedrops</t>
  </si>
  <si>
    <t>Pink Wintergreen</t>
  </si>
  <si>
    <t>Greenflowered Wintergreen</t>
  </si>
  <si>
    <t>Water Buttercup</t>
  </si>
  <si>
    <t>Shore Buttercup</t>
  </si>
  <si>
    <t>Cursed Buttercup</t>
  </si>
  <si>
    <t>Woodland Buttercup</t>
  </si>
  <si>
    <t>White Rhododendron</t>
  </si>
  <si>
    <t>Western Labrador Tea</t>
  </si>
  <si>
    <t>Pacific Rhododendron</t>
  </si>
  <si>
    <t>Fool's Huckleberry</t>
  </si>
  <si>
    <t>White Beaksedge</t>
  </si>
  <si>
    <t>Stink Currant</t>
  </si>
  <si>
    <t>Black Gooseberry</t>
  </si>
  <si>
    <t>Swamp Gooseberry</t>
  </si>
  <si>
    <t>Red Currant</t>
  </si>
  <si>
    <t>Bog Yellowcress</t>
  </si>
  <si>
    <t>Wood Rose</t>
  </si>
  <si>
    <t>Clustered Wild Rose</t>
  </si>
  <si>
    <t>Dwarf Bramble</t>
  </si>
  <si>
    <t>Trailing Blackberry</t>
  </si>
  <si>
    <t>Yellow Dock</t>
  </si>
  <si>
    <t>Blackcap</t>
  </si>
  <si>
    <t>Pacific Willow</t>
  </si>
  <si>
    <t>Seashore Plantain</t>
  </si>
  <si>
    <t>Leathery Polypody</t>
  </si>
  <si>
    <t>Gummy Gooseberry</t>
  </si>
  <si>
    <t>Dusky Willow</t>
  </si>
  <si>
    <t>Softstem Bulrush</t>
  </si>
  <si>
    <t>Broadleaf Stonecrop</t>
  </si>
  <si>
    <t>Henderson's Checker Mallow</t>
  </si>
  <si>
    <t>White Spirea</t>
  </si>
  <si>
    <t>Shiny Chickweed</t>
  </si>
  <si>
    <t>Pursh Seepweed</t>
  </si>
  <si>
    <t>Round-Leaved Kittentails</t>
  </si>
  <si>
    <t>Snowball</t>
  </si>
  <si>
    <t>Spiraea pyramidata</t>
  </si>
  <si>
    <t>PNW Herbaria Specimens</t>
  </si>
  <si>
    <t>WTU Herbarium Specimens</t>
  </si>
  <si>
    <t>Washington Flora Checklist</t>
  </si>
  <si>
    <t>E-Flora BC</t>
  </si>
  <si>
    <t>CalPhotos</t>
  </si>
  <si>
    <t>UW Burke Herbarium</t>
  </si>
  <si>
    <t>Low Saltwort</t>
  </si>
  <si>
    <t>Fern</t>
  </si>
  <si>
    <t>Grass</t>
  </si>
  <si>
    <t>Indian Rhubarb</t>
  </si>
  <si>
    <t>Darmera peltata</t>
  </si>
  <si>
    <t>Poison Ivy</t>
  </si>
  <si>
    <t>Potentilla anserina</t>
  </si>
  <si>
    <t>Eaton's Aster</t>
  </si>
  <si>
    <t>Chamaenerion augustifolium</t>
  </si>
  <si>
    <t>Petasites frigilus</t>
  </si>
  <si>
    <t>Euthamia occidentalis</t>
  </si>
  <si>
    <t>Stellaria crispa</t>
  </si>
  <si>
    <t>Pacific Aster</t>
  </si>
  <si>
    <t>Cannabaceae</t>
  </si>
  <si>
    <t>Convolvulaceae</t>
  </si>
  <si>
    <t>Amaranthaceae</t>
  </si>
  <si>
    <t>Scheuchzeriaceae</t>
  </si>
  <si>
    <t>Rhododendron occidentale</t>
  </si>
  <si>
    <t>Western Azalea</t>
  </si>
  <si>
    <t>Mertens' Sedge</t>
  </si>
  <si>
    <t>Carex mertensii</t>
  </si>
  <si>
    <t>Bitterroot</t>
  </si>
  <si>
    <t>Lewisia rediviva</t>
  </si>
  <si>
    <t>Saxifraga bronchialis</t>
  </si>
  <si>
    <t>Spotted Saxifrage</t>
  </si>
  <si>
    <t>Showy Jacob's Ladder</t>
  </si>
  <si>
    <t>American Parlsley Fern</t>
  </si>
  <si>
    <t>Cryptogramma acrostichoides</t>
  </si>
  <si>
    <t>Carex aquatilis</t>
  </si>
  <si>
    <t>Water Sedge</t>
  </si>
  <si>
    <t>Showy Millkweed</t>
  </si>
  <si>
    <t>Northern Reedgrass</t>
  </si>
  <si>
    <t>Calamagrostis stricta</t>
  </si>
  <si>
    <t>Solidago canadensis</t>
  </si>
  <si>
    <t>Chamaecyparis lawsoniana</t>
  </si>
  <si>
    <t>Port Orford Cedar</t>
  </si>
  <si>
    <t>Datura wrightii</t>
  </si>
  <si>
    <t>Jimson Weed</t>
  </si>
  <si>
    <t>Twinflower</t>
  </si>
  <si>
    <t>Linnaea borealis</t>
  </si>
  <si>
    <t>Streambank Arnica</t>
  </si>
  <si>
    <t>Western Juniper</t>
  </si>
  <si>
    <t>Juniperus occidentalis</t>
  </si>
  <si>
    <t>Lonicera conjugialis</t>
  </si>
  <si>
    <t>Rudbeckia hirta</t>
  </si>
  <si>
    <t>Black Eyed Susan</t>
  </si>
  <si>
    <t>Nettleaf Giant Hyssop</t>
  </si>
  <si>
    <t>Western Blue Flax</t>
  </si>
  <si>
    <t>Purple Milkweed</t>
  </si>
  <si>
    <t>Indianpipe</t>
  </si>
  <si>
    <t>Solananceae</t>
  </si>
  <si>
    <t>Linnaeaceae</t>
  </si>
  <si>
    <t>Linaceae</t>
  </si>
  <si>
    <t>Tall Bugbane</t>
  </si>
  <si>
    <t>Northwest Sandbar Willow</t>
  </si>
  <si>
    <t>Black Vetch</t>
  </si>
  <si>
    <t>Sierra Larkspur</t>
  </si>
  <si>
    <t>Dewey's Sedge</t>
  </si>
  <si>
    <t xml:space="preserve">https://en.wikipedia.org/wiki/Darmera </t>
  </si>
  <si>
    <t>Purpleflower Honeysuckle</t>
  </si>
  <si>
    <t>Bitter Root</t>
  </si>
  <si>
    <t>Blue Giant Hyssop</t>
  </si>
  <si>
    <t>https://en.wikipedia.org/wiki/Rhododendron_occidentale</t>
  </si>
  <si>
    <t>American Rockbrake</t>
  </si>
  <si>
    <t>Yellow Saxifrage</t>
  </si>
  <si>
    <t>Skunk Leaved Polemonium</t>
  </si>
  <si>
    <t>Slimstem Reedgrass</t>
  </si>
  <si>
    <t>Leafy Tussock Sedge</t>
  </si>
  <si>
    <t xml:space="preserve">http://en.wikipedia.org/wiki/Sequoiadendron_giganteum </t>
  </si>
  <si>
    <t>https://en.wikipedia.org/wiki/Sequoia_sempervirens</t>
  </si>
  <si>
    <t>Western Waterweed</t>
  </si>
  <si>
    <t>Canadian White Violet</t>
  </si>
  <si>
    <t>Sitka Valerian</t>
  </si>
  <si>
    <t>Seablush</t>
  </si>
  <si>
    <t>Wallace's Spikemoss</t>
  </si>
  <si>
    <t>PurslaneSpeedwell</t>
  </si>
  <si>
    <t>Podfern</t>
  </si>
  <si>
    <t>Fine Leaved Pondweed</t>
  </si>
  <si>
    <t>Canada Goldenrod</t>
  </si>
  <si>
    <t>Large Leaved Pondweed</t>
  </si>
  <si>
    <t>Slender Wood Reed</t>
  </si>
  <si>
    <t>Slender-Spire Orchid</t>
  </si>
  <si>
    <t>Choriso's Orchid</t>
  </si>
  <si>
    <t>Dune Tansy</t>
  </si>
  <si>
    <t xml:space="preserve">http://biology.burke.washington.edu/herbarium/imagecollection.php?SciName=Isoetes%20tenella </t>
  </si>
  <si>
    <t>Stinging Nettle</t>
  </si>
  <si>
    <t xml:space="preserve">https://en.wikipedia.org/wiki/Chamaecyparis_lawsoniana </t>
  </si>
  <si>
    <t>Rose Spirea</t>
  </si>
  <si>
    <t>Lomatium nudicaule</t>
  </si>
  <si>
    <t>Penstemon cardwellii</t>
  </si>
  <si>
    <t>Zygadenus venenosus</t>
  </si>
  <si>
    <t>Grassy Death Camus</t>
  </si>
  <si>
    <t>Barestem Biscutroot</t>
  </si>
  <si>
    <t>Cardwell's Penstemon</t>
  </si>
  <si>
    <t>USDA Source URL Links provided by: USDA, NRCS. 2010;he PLANTS Database (http://plants.usda.gov, 24 April 2010). National Plant Data Center, Baton Rouge, LA 70874-4490 USA.</t>
  </si>
  <si>
    <t>Nootka Reedgrass</t>
  </si>
  <si>
    <t>Calamagrostis nutkaensis</t>
  </si>
  <si>
    <t>Echinacea purpurea</t>
  </si>
  <si>
    <t>Coastal Mitterwort</t>
  </si>
  <si>
    <t>Smooth Alumroot</t>
  </si>
  <si>
    <t>Salix gooddingii</t>
  </si>
  <si>
    <t>https://en.wikipedia.org/wiki/Salix_gooddingii</t>
  </si>
  <si>
    <t>Dodecatheon hendersonii</t>
  </si>
  <si>
    <t>Indian Hemp</t>
  </si>
  <si>
    <t>Douglas' Sagewort</t>
  </si>
  <si>
    <t>Big Devils Beggarticks</t>
  </si>
  <si>
    <t>Woolly Sedge</t>
  </si>
  <si>
    <t>Carex pellita</t>
  </si>
  <si>
    <t>Carex praticola</t>
  </si>
  <si>
    <t>Long-Styled Sedge</t>
  </si>
  <si>
    <t>Carex stylosa</t>
  </si>
  <si>
    <t>Paint-Brush Owl-Clover</t>
  </si>
  <si>
    <t>Red Goosefoot</t>
  </si>
  <si>
    <t>Redroot Flatsedge</t>
  </si>
  <si>
    <t>Small Spike-Rush</t>
  </si>
  <si>
    <t>Eleocharis parvula</t>
  </si>
  <si>
    <t>Coastal Monkeyflower</t>
  </si>
  <si>
    <t>Purple Cudweed</t>
  </si>
  <si>
    <t>Scouler's Woollyweed</t>
  </si>
  <si>
    <t>Hieracium scouleri</t>
  </si>
  <si>
    <t>Common Sweet Grass</t>
  </si>
  <si>
    <t>Dwarf Barley</t>
  </si>
  <si>
    <t>Water Howellia</t>
  </si>
  <si>
    <t>Howellia aquatilis</t>
  </si>
  <si>
    <t>Pacific Pea</t>
  </si>
  <si>
    <t>Lathyrus vestitus</t>
  </si>
  <si>
    <t>Leatherleaf Saxifrage</t>
  </si>
  <si>
    <t>Columbian Lewisia</t>
  </si>
  <si>
    <t>Common Madia</t>
  </si>
  <si>
    <t>Wild Cucumber</t>
  </si>
  <si>
    <t>Marah oreganus</t>
  </si>
  <si>
    <t>Cucurbitaceae</t>
  </si>
  <si>
    <t>Dwarf Minerslettuce</t>
  </si>
  <si>
    <t>Clustered Broomrape</t>
  </si>
  <si>
    <t>Conifer Broomrape</t>
  </si>
  <si>
    <t>Sidebells Wintergreen</t>
  </si>
  <si>
    <t>Royal Jacob's-Ladder</t>
  </si>
  <si>
    <t>Polemonium carneum</t>
  </si>
  <si>
    <t>Bluntleaf Pondweed</t>
  </si>
  <si>
    <t>Plantainleaf Buttercup</t>
  </si>
  <si>
    <t>Ranunculus alismifolius</t>
  </si>
  <si>
    <t>Northern Sanicle</t>
  </si>
  <si>
    <t>Sanicula graveolens</t>
  </si>
  <si>
    <t>Woody Glasswort</t>
  </si>
  <si>
    <t>Small Bur-Reed</t>
  </si>
  <si>
    <t>Sparganium natans</t>
  </si>
  <si>
    <t>Salt Sandspurry</t>
  </si>
  <si>
    <t>Boreal Starwort</t>
  </si>
  <si>
    <t>Stellaria borealis</t>
  </si>
  <si>
    <t>Awlwort</t>
  </si>
  <si>
    <t>Queen's-Veil Maiden Fern</t>
  </si>
  <si>
    <t>Tufted Bulrush</t>
  </si>
  <si>
    <t>Arctic Starflower</t>
  </si>
  <si>
    <t>Notchleaf Clover</t>
  </si>
  <si>
    <t>Small Venus Looking-Glass</t>
  </si>
  <si>
    <t>Triodanis biflora</t>
  </si>
  <si>
    <t>Oregon Woodsia</t>
  </si>
  <si>
    <t>Rough Cocklebur</t>
  </si>
  <si>
    <t>Xanthium strumarium</t>
  </si>
  <si>
    <t xml:space="preserve">Amaryllidaceae </t>
  </si>
  <si>
    <t xml:space="preserve">Campanulaceae </t>
  </si>
  <si>
    <t xml:space="preserve">Scurvygrass </t>
  </si>
  <si>
    <t xml:space="preserve">Kalm's Lobelia </t>
  </si>
  <si>
    <t xml:space="preserve">Broomrape </t>
  </si>
  <si>
    <t xml:space="preserve">Menzies' Burnet </t>
  </si>
  <si>
    <t>Phrymaceae</t>
  </si>
  <si>
    <t>Danish Scurvygrass</t>
  </si>
  <si>
    <t>California Broomrape</t>
  </si>
  <si>
    <t>Viola canadensis</t>
  </si>
  <si>
    <t>Viola praemorsa</t>
  </si>
  <si>
    <t>Variegated Scouringrush</t>
  </si>
  <si>
    <t>Equisetum variegatum</t>
  </si>
  <si>
    <t>Fernleaf Goldthread</t>
  </si>
  <si>
    <t>Coptis aspleniifolia</t>
  </si>
  <si>
    <t>Oregon Goldthread</t>
  </si>
  <si>
    <t>Coptis laciniata</t>
  </si>
  <si>
    <t>Luzula comosa</t>
  </si>
  <si>
    <t>Ostrich Fern</t>
  </si>
  <si>
    <t>Red Monkey-flower</t>
  </si>
  <si>
    <t>Erythranthe cardinalis</t>
  </si>
  <si>
    <t>Sumac</t>
  </si>
  <si>
    <t>Rhus glabra</t>
  </si>
  <si>
    <t>Sidalcea campestris</t>
  </si>
  <si>
    <t>Roundleaf Alumroot</t>
  </si>
  <si>
    <t>Heuchera cylindrica</t>
  </si>
  <si>
    <t>Meadow Checker-Mallow</t>
  </si>
  <si>
    <t>Lava Alumroot</t>
  </si>
  <si>
    <t>Onocleaceae</t>
  </si>
  <si>
    <t>Sierra Brookfoam</t>
  </si>
  <si>
    <t>Boykinia intermedia</t>
  </si>
  <si>
    <t>Symphyotrichum lateriflorum</t>
  </si>
  <si>
    <t>Calico Aster</t>
  </si>
  <si>
    <t>Pitcher Plant</t>
  </si>
  <si>
    <t>http://biology.burke.washington.edu/herbarium/waflora/checklist.php?Family=Sarraceniaceae&amp;view=list</t>
  </si>
  <si>
    <t>Sulfur-flower Buckwheat</t>
  </si>
  <si>
    <t>Thermopsis montana</t>
  </si>
  <si>
    <t>Mountain Golden-Banner</t>
  </si>
  <si>
    <t>Sidalcea oregana</t>
  </si>
  <si>
    <t>Oregon Checkermallow</t>
  </si>
  <si>
    <t>Carex nudata</t>
  </si>
  <si>
    <t>Columbian Monkshood</t>
  </si>
  <si>
    <t>http://biology.burke.washington.edu/herbarium/imagecollection/taxon.php?Taxon=Aconitum columbianum</t>
  </si>
  <si>
    <t>Yelllow Fritillary</t>
  </si>
  <si>
    <t>Fritillaria pudica</t>
  </si>
  <si>
    <t>Metasequoia glyptostroboides</t>
  </si>
  <si>
    <t>Dawn Redwodd</t>
  </si>
  <si>
    <t>Taxodiaceae</t>
  </si>
  <si>
    <t>Alaska Bluegrass</t>
  </si>
  <si>
    <t>Poa paucispicula</t>
  </si>
  <si>
    <t>Cakile edentula</t>
  </si>
  <si>
    <t>Carex pluriflora</t>
  </si>
  <si>
    <t>Carex utriculata</t>
  </si>
  <si>
    <t>Clarkia purpurea</t>
  </si>
  <si>
    <t>Claytonia lanceolata</t>
  </si>
  <si>
    <t>Cypripedium montanum</t>
  </si>
  <si>
    <t>Epilobium torreyi</t>
  </si>
  <si>
    <t>Lathyrus holochlorus</t>
  </si>
  <si>
    <t>Lemna minor</t>
  </si>
  <si>
    <t>Oxytropis campestris</t>
  </si>
  <si>
    <t>Salicornia depressa</t>
  </si>
  <si>
    <t>Saxifraga cespitosa</t>
  </si>
  <si>
    <t>Viola langsdorfii</t>
  </si>
  <si>
    <t>Tarweed Fiddleneck</t>
  </si>
  <si>
    <t>Longleaf Arnica</t>
  </si>
  <si>
    <t>Silver Wormwood</t>
  </si>
  <si>
    <t>American Searocket</t>
  </si>
  <si>
    <t>Northern Mountain Sedge</t>
  </si>
  <si>
    <t>Lanceleaf Springbeauty</t>
  </si>
  <si>
    <t>Mountain Lady's Slipper</t>
  </si>
  <si>
    <t>Brook Willowherb</t>
  </si>
  <si>
    <t>http://biology.burke.washington.edu/herbarium/imagecollection/taxon.php?Taxon=Epilobium torreyi</t>
  </si>
  <si>
    <t>Spreading Groundsmoke</t>
  </si>
  <si>
    <t>Thin-Leaf Vetchling</t>
  </si>
  <si>
    <t>http://biology.burke.washington.edu/herbarium/imagecollection/taxon.php?Taxon=Lathyrus holochlorus</t>
  </si>
  <si>
    <t>http://biology.burke.washington.edu/herbarium/imagecollection/taxon.php?Taxon=Lemna minor</t>
  </si>
  <si>
    <t>Field Locoweed</t>
  </si>
  <si>
    <t>Tufted Saxifrage</t>
  </si>
  <si>
    <t>Aleutian Violet</t>
  </si>
  <si>
    <t>Black Bog Sedge</t>
  </si>
  <si>
    <t>Year</t>
  </si>
  <si>
    <t>Heuchera glabra</t>
  </si>
  <si>
    <t>http://biology.burke.washington.edu/herbarium/imagecollection/taxon.php?Taxon=Plantago&amp;Spec ies=maritima</t>
  </si>
  <si>
    <t>http://biology.burke.washington.edu/herbarium/imagecollection/taxon.php?Taxon=Abronia umbellata</t>
  </si>
  <si>
    <t xml:space="preserve">http://biology.burke.washington.edu/herbarium/imagecollection/taxon.php?Taxon=Agoseris apargioides </t>
  </si>
  <si>
    <t>http://biology.burke.washington.edu/herbarium/imagecollection/taxon.php?Taxon=Allium amplectens</t>
  </si>
  <si>
    <t>http://biology.burke.washington.edu/herbarium/imagecollection/taxon.php?Taxon=Apocynum cannabinum</t>
  </si>
  <si>
    <t xml:space="preserve">http://biology.burke.washington.edu/herbarium/imagecollection/taxon.php?Taxon=Rudbeckia occidentalis </t>
  </si>
  <si>
    <t xml:space="preserve">http://biology.burke.washington.edu/herbarium/imagecollection/taxon.php?Taxon=Eleocharis acicularis </t>
  </si>
  <si>
    <t xml:space="preserve">http://biology.burke.washington.edu/herbarium/imagecollection/taxon.php?Taxon=Eleocharis parvula </t>
  </si>
  <si>
    <t xml:space="preserve">http://biology.burke.washington.edu/herbarium/imagecollection/taxon.php?Taxon=Elodea canadensis </t>
  </si>
  <si>
    <t xml:space="preserve">http://biology.burke.washington.edu/herbarium/imagecollection/taxon.php?Taxon=Elymus elymoides </t>
  </si>
  <si>
    <t xml:space="preserve">http://biology.burke.washington.edu/herbarium/imagecollection/taxon.php?Taxon=Elymus glaucus </t>
  </si>
  <si>
    <t>http://biology.burke.washington.edu/herbarium/imagecollection/taxon.php?Taxon=Empetrum nigrum</t>
  </si>
  <si>
    <t xml:space="preserve">http://biology.burke.washington.edu/herbarium/imagecollection/taxon.php?Taxon=Epilobium brachycarpum </t>
  </si>
  <si>
    <t xml:space="preserve">http://biology.burke.washington.edu/herbarium/imagecollection/taxon.php?Taxon=Epilobium ciliatum </t>
  </si>
  <si>
    <t xml:space="preserve">http://biology.burke.washington.edu/herbarium/imagecollection/taxon.php?Taxon=Epilobium densiflorum </t>
  </si>
  <si>
    <t xml:space="preserve">http://biology.burke.washington.edu/herbarium/imagecollection/taxon.php?Taxon=Epilobium glaberrimum </t>
  </si>
  <si>
    <t xml:space="preserve">http://biology.burke.washington.edu/herbarium/imagecollection/taxon.php?Taxon=Epilobium minutum </t>
  </si>
  <si>
    <t>http://biology.burke.washington.edu/herbarium/imagecollection/taxon.php?Taxon=Epipactis gigantea</t>
  </si>
  <si>
    <t xml:space="preserve">http://biology.burke.washington.edu/herbarium/imagecollection/taxon.php?Taxon=Equisetum arvense </t>
  </si>
  <si>
    <t xml:space="preserve">http://biology.burke.washington.edu/herbarium/imagecollection/taxon.php?Taxon=Equisetum fluviatile </t>
  </si>
  <si>
    <t xml:space="preserve">http://biology.burke.washington.edu/herbarium/imagecollection/taxon.php?Taxon=Equisetum hyemale </t>
  </si>
  <si>
    <t xml:space="preserve">http://biology.burke.washington.edu/herbarium/imagecollection/taxon.php?Taxon=Equisetum palustre </t>
  </si>
  <si>
    <t xml:space="preserve">http://biology.burke.washington.edu/herbarium/imagecollection/taxon.php?Taxon=Equisetum telmateia </t>
  </si>
  <si>
    <t>http://biology.burke.washington.edu/herbarium/imagecollection/taxon.php?Taxon=Equisetum variegatum</t>
  </si>
  <si>
    <t xml:space="preserve">http://biology.burke.washington.edu/herbarium/imagecollection/taxon.php?Taxon=Erigeron compositus </t>
  </si>
  <si>
    <t xml:space="preserve">http://biology.burke.washington.edu/herbarium/imagecollection/taxon.php?Taxon=Erigeron philadelphicus </t>
  </si>
  <si>
    <t xml:space="preserve">http://biology.burke.washington.edu/herbarium/imagecollection/taxon.php?Taxon=Erigeron speciosus </t>
  </si>
  <si>
    <t xml:space="preserve">http://biology.burke.washington.edu/herbarium/imagecollection/taxon.php?Taxon=Erigeron strigosus </t>
  </si>
  <si>
    <t xml:space="preserve">http://biology.burke.washington.edu/herbarium/imagecollection/taxon.php?Taxon=Eriophorum chamissonis </t>
  </si>
  <si>
    <t xml:space="preserve">http://biology.burke.washington.edu/herbarium/imagecollection/taxon.php?Taxon=Eriophorum gracile </t>
  </si>
  <si>
    <t xml:space="preserve">http://biology.burke.washington.edu/herbarium/imagecollection/taxon.php?Taxon=Eriophyllum lanatum </t>
  </si>
  <si>
    <t>http://biology.burke.washington.edu/herbarium/imagecollection/taxon.php?Taxon=Erysimum capitatum</t>
  </si>
  <si>
    <t>http://biology.burke.washington.edu/herbarium/imagecollection/taxon.php?Taxon=Erythranthe alsinoides</t>
  </si>
  <si>
    <t xml:space="preserve">http://biology.burke.washington.edu/herbarium/imagecollection/taxon.php?Taxon=Erythranthe dentata </t>
  </si>
  <si>
    <t>http://biology.burke.washington.edu/herbarium/imagecollection/taxon.php?Taxon=Erythranthe guttata</t>
  </si>
  <si>
    <t xml:space="preserve">http://biology.burke.washington.edu/herbarium/imagecollection/taxon.php?Taxon=Erythronium grandiflorum </t>
  </si>
  <si>
    <t xml:space="preserve">http://biology.burke.washington.edu/herbarium/imagecollection/taxon.php?Taxon=Erythronium revolutum </t>
  </si>
  <si>
    <t xml:space="preserve">http://biology.burke.washington.edu/herbarium/imagecollection/taxon.php?Taxon=Eucephalus engelmannii </t>
  </si>
  <si>
    <t xml:space="preserve">http://biology.burke.washington.edu/herbarium/imagecollection/taxon.php?Taxon=Euonymus occidentalis </t>
  </si>
  <si>
    <t xml:space="preserve">http://biology.burke.washington.edu/herbarium/imagecollection/taxon.php?Taxon=Euthamia occidentalis </t>
  </si>
  <si>
    <t xml:space="preserve">http://biology.burke.washington.edu/herbarium/imagecollection/taxon.php?Taxon=Eutrochium maculatum </t>
  </si>
  <si>
    <t xml:space="preserve">http://biology.burke.washington.edu/herbarium/imagecollection/taxon.php?Taxon=Festuca idahoensis </t>
  </si>
  <si>
    <t xml:space="preserve">http://biology.burke.washington.edu/herbarium/imagecollection/taxon.php?Taxon=Festuca occidentalis </t>
  </si>
  <si>
    <t xml:space="preserve">http://biology.burke.washington.edu/herbarium/imagecollection/taxon.php?Taxon=Festuca rubra </t>
  </si>
  <si>
    <t xml:space="preserve">http://biology.burke.washington.edu/herbarium/imagecollection/taxon.php?Taxon=Fragaria chiloensis </t>
  </si>
  <si>
    <t xml:space="preserve">http://biology.burke.washington.edu/herbarium/imagecollection/taxon.php?Taxon=Fragaria vesca </t>
  </si>
  <si>
    <t xml:space="preserve">http://biology.burke.washington.edu/herbarium/imagecollection/taxon.php?Taxon=Fragaria virginiana </t>
  </si>
  <si>
    <t xml:space="preserve">http://biology.burke.washington.edu/herbarium/imagecollection/taxon.php?Taxon=Fraxinus latifolia </t>
  </si>
  <si>
    <t xml:space="preserve">http://biology.burke.washington.edu/herbarium/imagecollection/taxon.php?Taxon=Fritillaria affinis </t>
  </si>
  <si>
    <t xml:space="preserve">http://biology.burke.washington.edu/herbarium/imagecollection/taxon.php?Taxon=Fritillaria camschatcensis </t>
  </si>
  <si>
    <t xml:space="preserve">http://biology.burke.washington.edu/herbarium/imagecollection/taxon.php?Taxon=Gaillardia aristata </t>
  </si>
  <si>
    <t xml:space="preserve">http://biology.burke.washington.edu/herbarium/imagecollection/taxon.php?Taxon=Galium aparine </t>
  </si>
  <si>
    <t xml:space="preserve">http://biology.burke.washington.edu/herbarium/imagecollection/taxon.php?Taxon=Galium boreale </t>
  </si>
  <si>
    <t xml:space="preserve">http://biology.burke.washington.edu/herbarium/imagecollection/taxon.php?Taxon=Galium oreganum </t>
  </si>
  <si>
    <t xml:space="preserve">http://biology.burke.washington.edu/herbarium/imagecollection/taxon.php?Taxon=Galium palustre </t>
  </si>
  <si>
    <t xml:space="preserve">http://biology.burke.washington.edu/herbarium/imagecollection/taxon.php?Taxon=Galium trifidum </t>
  </si>
  <si>
    <t>http://biology.burke.washington.edu/herbarium/imagecollection/taxon.php?Taxon=Galium triflorum</t>
  </si>
  <si>
    <t xml:space="preserve">http://biology.burke.washington.edu/herbarium/imagecollection/taxon.php?Taxon=Gentiana sceptrum </t>
  </si>
  <si>
    <t xml:space="preserve">http://biology.burke.washington.edu/herbarium/imagecollection/taxon.php?Taxon=Gentianella amarella </t>
  </si>
  <si>
    <t xml:space="preserve">http://biology.burke.washington.edu/herbarium/imagecollection/taxon.php?Taxon=Geranium bicknellii </t>
  </si>
  <si>
    <t xml:space="preserve">http://biology.burke.washington.edu/herbarium/imagecollection/taxon.php?Taxon=Geranium carolinianum </t>
  </si>
  <si>
    <t xml:space="preserve">http://biology.burke.washington.edu/herbarium/imagecollection/taxon.php?Taxon=Geranium oreganum </t>
  </si>
  <si>
    <t>http://biology.burke.washington.edu/herbarium/imagecollection/taxon.php?Taxon=Geum macrophyllum</t>
  </si>
  <si>
    <t xml:space="preserve">http://biology.burke.washington.edu/herbarium/imagecollection/taxon.php?Taxon=Geum triflorum </t>
  </si>
  <si>
    <t xml:space="preserve">http://biology.burke.washington.edu/herbarium/imagecollection/taxon.php?Taxon=Githopsis specularioides </t>
  </si>
  <si>
    <t>http://biology.burke.washington.edu/herbarium/imagecollection/taxon.php?Taxon=Glyceria elata</t>
  </si>
  <si>
    <t xml:space="preserve">http://biology.burke.washington.edu/herbarium/imagecollection/taxon.php?Taxon=Glyceria grandis </t>
  </si>
  <si>
    <t xml:space="preserve">http://biology.burke.washington.edu/herbarium/imagecollection/taxon.php?Taxon=Glyceria striata </t>
  </si>
  <si>
    <t>http://biology.burke.washington.edu/herbarium/imagecollection/taxon.php?Taxon=Goodyera oblongifolia</t>
  </si>
  <si>
    <t xml:space="preserve">http://biology.burke.washington.edu/herbarium/imagecollection/taxon.php?Taxon=Gratiola ebracteata </t>
  </si>
  <si>
    <t xml:space="preserve">http://biology.burke.washington.edu/herbarium/imagecollection/taxon.php?Taxon=Gratiola neglecta </t>
  </si>
  <si>
    <t xml:space="preserve">http://biology.burke.washington.edu/herbarium/imagecollection/taxon.php?Taxon=Grindelia hirsutula </t>
  </si>
  <si>
    <t xml:space="preserve">http://biology.burke.washington.edu/herbarium/imagecollection/taxon.php?Taxon=Grindelia integrifolia </t>
  </si>
  <si>
    <t xml:space="preserve">http://biology.burke.washington.edu/herbarium/imagecollection/taxon.php?Taxon=Gymnocarpium dryopteris </t>
  </si>
  <si>
    <t xml:space="preserve">http://biology.burke.washington.edu/herbarium/imagecollection/taxon.php?Taxon=Helenium autumnale </t>
  </si>
  <si>
    <t xml:space="preserve">http://biology.burke.washington.edu/herbarium/imagecollection/taxon.php?Taxon=Helianthus annuus </t>
  </si>
  <si>
    <t xml:space="preserve">http://biology.burke.washington.edu/herbarium/imagecollection/taxon.php?Taxon=Hemitomes congestum </t>
  </si>
  <si>
    <t xml:space="preserve">http://biology.burke.washington.edu/herbarium/imagecollection/taxon.php?Taxon=Hemizonella minima </t>
  </si>
  <si>
    <t xml:space="preserve">http://biology.burke.washington.edu/herbarium/imagecollection/taxon.php?Taxon=Heracleum maximum </t>
  </si>
  <si>
    <t xml:space="preserve">http://biology.burke.washington.edu/herbarium/imagecollection/taxon.php?Taxon=Heterotheca oregona </t>
  </si>
  <si>
    <t xml:space="preserve">http://biology.burke.washington.edu/herbarium/imagecollection/taxon.php?Taxon=Heterotheca villosa </t>
  </si>
  <si>
    <t>http://biology.burke.washington.edu/herbarium/imagecollection/taxon.php?Taxon=Heuchera chlorantha</t>
  </si>
  <si>
    <t xml:space="preserve">http://biology.burke.washington.edu/herbarium/imagecollection/taxon.php?Taxon=Heuchera glabra </t>
  </si>
  <si>
    <t xml:space="preserve">http://biology.burke.washington.edu/herbarium/imagecollection/taxon.php?Taxon=Heuchera micrantha </t>
  </si>
  <si>
    <t xml:space="preserve">http://biology.burke.washington.edu/herbarium/imagecollection/taxon.php?Taxon=Hieracium albiflorum </t>
  </si>
  <si>
    <t xml:space="preserve">http://biology.burke.washington.edu/herbarium/imagecollection/taxon.php?Taxon=Hieracium scouleri </t>
  </si>
  <si>
    <t xml:space="preserve">http://biology.burke.washington.edu/herbarium/imagecollection/taxon.php?Taxon=Hippuris vulgaris </t>
  </si>
  <si>
    <t xml:space="preserve">http://biology.burke.washington.edu/herbarium/imagecollection/taxon.php?Taxon=Holodiscus discolor </t>
  </si>
  <si>
    <t xml:space="preserve">http://biology.burke.washington.edu/herbarium/imagecollection/taxon.php?Taxon=Hordeum brachyantherum </t>
  </si>
  <si>
    <t xml:space="preserve">http://biology.burke.washington.edu/herbarium/imagecollection/taxon.php?Taxon=Hordeum depressum </t>
  </si>
  <si>
    <t xml:space="preserve">http://biology.burke.washington.edu/herbarium/imagecollection/taxon.php?Taxon=Hordeum jubatum </t>
  </si>
  <si>
    <t xml:space="preserve">http://biology.burke.washington.edu/herbarium/imagecollection/taxon.php?Taxon=Howellia aquatilis </t>
  </si>
  <si>
    <t>http://biology.burke.washington.edu/herbarium/imagecollection/taxon.php?Taxon=Huperzia occidentalis</t>
  </si>
  <si>
    <t xml:space="preserve">http://biology.burke.washington.edu/herbarium/imagecollection/taxon.php?Taxon=Hydrocotyle ranunculoides </t>
  </si>
  <si>
    <t xml:space="preserve">http://biology.burke.washington.edu/herbarium/imagecollection/taxon.php?Taxon=Hydrophyllum tenuipes </t>
  </si>
  <si>
    <t xml:space="preserve">http://biology.burke.washington.edu/herbarium/imagecollection/taxon.php?Taxon=Hypericum anagalloides </t>
  </si>
  <si>
    <t xml:space="preserve">http://biology.burke.washington.edu/herbarium/imagecollection/taxon.php?Taxon=Hypericum majus </t>
  </si>
  <si>
    <t>http://biology.burke.washington.edu/herbarium/imagecollection/taxon.php?Taxon=Hypericum scouleri</t>
  </si>
  <si>
    <t xml:space="preserve">http://biology.burke.washington.edu/herbarium/imagecollection/taxon.php?Taxon=Impatiens noli-tangere </t>
  </si>
  <si>
    <t xml:space="preserve">http://biology.burke.washington.edu/herbarium/imagecollection/taxon.php?Taxon=Iris missouriensis </t>
  </si>
  <si>
    <t xml:space="preserve">http://biology.burke.washington.edu/herbarium/imagecollection/taxon.php?Taxon=Iris tenax </t>
  </si>
  <si>
    <t>http://biology.burke.washington.edu/herbarium/imagecollection/taxon.php?Taxon=Isoetes occidentalis</t>
  </si>
  <si>
    <t xml:space="preserve">http://biology.burke.washington.edu/herbarium/imagecollection/taxon.php?Taxon=Isolepis cernua </t>
  </si>
  <si>
    <t xml:space="preserve">http://biology.burke.washington.edu/herbarium/imagecollection/taxon.php?Taxon=Jaumea carnosa </t>
  </si>
  <si>
    <t xml:space="preserve">http://biology.burke.washington.edu/herbarium/imagecollection/taxon.php?Taxon=Juncus acuminatus </t>
  </si>
  <si>
    <t xml:space="preserve">http://biology.burke.washington.edu/herbarium/imagecollection/taxon.php?Taxon=Juncus alpinoarticulatus </t>
  </si>
  <si>
    <t xml:space="preserve">http://biology.burke.washington.edu/herbarium/imagecollection/taxon.php?Taxon=Juncus bolanderi </t>
  </si>
  <si>
    <t xml:space="preserve">http://biology.burke.washington.edu/herbarium/imagecollection/taxon.php?Taxon=Juncus effusus </t>
  </si>
  <si>
    <t xml:space="preserve">http://biology.burke.washington.edu/herbarium/imagecollection/taxon.php?Taxon=Juncus ensifolius </t>
  </si>
  <si>
    <t xml:space="preserve">http://biology.burke.washington.edu/herbarium/imagecollection/taxon.php?Taxon=Juncus mertensianus </t>
  </si>
  <si>
    <t xml:space="preserve">http://biology.burke.washington.edu/herbarium/imagecollection/taxon.php?Taxon=Juncus oxymeris </t>
  </si>
  <si>
    <t xml:space="preserve">http://biology.burke.washington.edu/herbarium/imagecollection/taxon.php?Taxon=Juncus supiniformis </t>
  </si>
  <si>
    <t xml:space="preserve">http://biology.burke.washington.edu/herbarium/imagecollection/taxon.php?Taxon=Juncus tenuis </t>
  </si>
  <si>
    <t xml:space="preserve">http://biology.burke.washington.edu/herbarium/imagecollection/taxon.php?Taxon=Juniperus communis </t>
  </si>
  <si>
    <t xml:space="preserve">http://biology.burke.washington.edu/herbarium/imagecollection/taxon.php?Taxon=Juniperus occidentalis </t>
  </si>
  <si>
    <t xml:space="preserve">http://biology.burke.washington.edu/herbarium/imagecollection/taxon.php?Taxon=Juniperus scopulorum </t>
  </si>
  <si>
    <t xml:space="preserve">http://biology.burke.washington.edu/herbarium/imagecollection/taxon.php?Taxon=Koeleria macrantha </t>
  </si>
  <si>
    <t xml:space="preserve">http://biology.burke.washington.edu/herbarium/imagecollection/taxon.php?Taxon=Lactuca biennis </t>
  </si>
  <si>
    <t xml:space="preserve">http://biology.burke.washington.edu/herbarium/imagecollection/taxon.php?Taxon=Larix occidentalis </t>
  </si>
  <si>
    <t xml:space="preserve">http://biology.burke.washington.edu/herbarium/imagecollection/taxon.php?Taxon=Lasthenia maritima </t>
  </si>
  <si>
    <t xml:space="preserve">http://biology.burke.washington.edu/herbarium/imagecollection/taxon.php?Taxon=Lathyrus japonicus </t>
  </si>
  <si>
    <t xml:space="preserve">http://biology.burke.washington.edu/herbarium/imagecollection/taxon.php?Taxon=Lathyrus littoralis </t>
  </si>
  <si>
    <t xml:space="preserve">http://biology.burke.washington.edu/herbarium/imagecollection/taxon.php?Taxon=Lathyrus nevadensis </t>
  </si>
  <si>
    <t xml:space="preserve">http://biology.burke.washington.edu/herbarium/imagecollection/taxon.php?Taxon=Lathyrus palustris </t>
  </si>
  <si>
    <t xml:space="preserve">http://biology.burke.washington.edu/herbarium/imagecollection/taxon.php?Taxon=Lathyrus polyphyllus </t>
  </si>
  <si>
    <t xml:space="preserve">http://biology.burke.washington.edu/herbarium/imagecollection/taxon.php?Taxon=Lathyrus torreyi </t>
  </si>
  <si>
    <t xml:space="preserve">http://biology.burke.washington.edu/herbarium/imagecollection/taxon.php?Taxon=Lathyrus vestitus </t>
  </si>
  <si>
    <t xml:space="preserve">http://biology.burke.washington.edu/herbarium/imagecollection/taxon.php?Taxon=Leersia oryzoides </t>
  </si>
  <si>
    <t xml:space="preserve">http://biology.burke.washington.edu/herbarium/imagecollection/taxon.php?Taxon=Lemna trisulca </t>
  </si>
  <si>
    <t xml:space="preserve">http://biology.burke.washington.edu/herbarium/imagecollection/taxon.php?Taxon=Leptarrhena pyrolifolia </t>
  </si>
  <si>
    <t xml:space="preserve">http://biology.burke.washington.edu/herbarium/imagecollection/taxon.php?Taxon=Leptosiphon bicolor </t>
  </si>
  <si>
    <t xml:space="preserve">http://biology.burke.washington.edu/herbarium/imagecollection/taxon.php?Taxon=Lewisia columbiana </t>
  </si>
  <si>
    <t xml:space="preserve">http://biology.burke.washington.edu/herbarium/imagecollection/taxon.php?Taxon=Lewisia rediviva </t>
  </si>
  <si>
    <t>http://biology.burke.washington.edu/herbarium/imagecollection/taxon.php?Taxon=Leymus mollis</t>
  </si>
  <si>
    <t xml:space="preserve">http://biology.burke.washington.edu/herbarium/imagecollection/taxon.php?Taxon=Ligusticum apiifolium </t>
  </si>
  <si>
    <t xml:space="preserve">http://biology.burke.washington.edu/herbarium/imagecollection/taxon.php?Taxon=Lilaeopsis occidentalis </t>
  </si>
  <si>
    <t xml:space="preserve">http://biology.burke.washington.edu/herbarium/imagecollection/taxon.php?Taxon=Lilium columbianum </t>
  </si>
  <si>
    <t xml:space="preserve">http://biology.burke.washington.edu/herbarium/imagecollection/taxon.php?Taxon=Limosella aquatica </t>
  </si>
  <si>
    <t xml:space="preserve">http://biology.burke.washington.edu/herbarium/imagecollection/taxon.php?Taxon=Lindernia dubia </t>
  </si>
  <si>
    <t>http://biology.burke.washington.edu/herbarium/imagecollection/taxon.php?Taxon=Linnaea borealis</t>
  </si>
  <si>
    <t xml:space="preserve">http://biology.burke.washington.edu/herbarium/imagecollection/taxon.php?Taxon=Linum lewisii </t>
  </si>
  <si>
    <t>http://biology.burke.washington.edu/herbarium/imagecollection/taxon.php?Taxon=Listera cordata</t>
  </si>
  <si>
    <t xml:space="preserve">http://biology.burke.washington.edu/herbarium/imagecollection/taxon.php?Taxon=Lithophragma parviflorum </t>
  </si>
  <si>
    <t xml:space="preserve">http://biology.burke.washington.edu/herbarium/imagecollection/taxon.php?Taxon=Lobelia dortmanna </t>
  </si>
  <si>
    <t xml:space="preserve">http://biology.burke.washington.edu/herbarium/imagecollection/taxon.php?Taxon=Lomatium dissectum </t>
  </si>
  <si>
    <t xml:space="preserve">http://biology.burke.washington.edu/herbarium/imagecollection/taxon.php?Taxon=Lomatium nudicaule </t>
  </si>
  <si>
    <t xml:space="preserve">http://biology.burke.washington.edu/herbarium/imagecollection/taxon.php?Taxon=Lomatium utriculatum </t>
  </si>
  <si>
    <t xml:space="preserve">http://biology.burke.washington.edu/herbarium/imagecollection/taxon.php?Taxon=Lonicera ciliosa </t>
  </si>
  <si>
    <t xml:space="preserve">http://biology.burke.washington.edu/herbarium/imagecollection/taxon.php?Taxon=Lonicera hispidula </t>
  </si>
  <si>
    <t xml:space="preserve">http://biology.burke.washington.edu/herbarium/imagecollection/taxon.php?Taxon=Lonicera involucrata </t>
  </si>
  <si>
    <t xml:space="preserve">http://biology.burke.washington.edu/herbarium/imagecollection/taxon.php?Taxon=Lonicera utahensis </t>
  </si>
  <si>
    <t xml:space="preserve">http://biology.burke.washington.edu/herbarium/imagecollection/taxon.php?Taxon=Ludwigia palustris </t>
  </si>
  <si>
    <t xml:space="preserve">http://biology.burke.washington.edu/herbarium/imagecollection/taxon.php?Taxon=Luetkea pectinata </t>
  </si>
  <si>
    <t xml:space="preserve">http://biology.burke.washington.edu/herbarium/imagecollection/taxon.php?Taxon=Lupinus albicaulis </t>
  </si>
  <si>
    <t xml:space="preserve">http://biology.burke.washington.edu/herbarium/imagecollection/taxon.php?Taxon=Lupinus bicolor </t>
  </si>
  <si>
    <t xml:space="preserve">http://biology.burke.washington.edu/herbarium/imagecollection/taxon.php?Taxon=Lupinus latifolius </t>
  </si>
  <si>
    <t xml:space="preserve">http://biology.burke.washington.edu/herbarium/imagecollection/taxon.php?Taxon=Lupinus lepidus </t>
  </si>
  <si>
    <t xml:space="preserve">http://biology.burke.washington.edu/herbarium/imagecollection/taxon.php?Taxon=Lupinus littoralis </t>
  </si>
  <si>
    <t xml:space="preserve">http://biology.burke.washington.edu/herbarium/imagecollection/taxon.php?Taxon=Lupinus polyphyllus </t>
  </si>
  <si>
    <t xml:space="preserve">http://biology.burke.washington.edu/herbarium/imagecollection/taxon.php?Taxon=Lupinus rivularis </t>
  </si>
  <si>
    <t xml:space="preserve">http://biology.burke.washington.edu/herbarium/imagecollection/taxon.php?Taxon=Luzula comosa </t>
  </si>
  <si>
    <t xml:space="preserve">http://biology.burke.washington.edu/herbarium/imagecollection/taxon.php?Taxon=Luzula multiflora </t>
  </si>
  <si>
    <t xml:space="preserve">http://biology.burke.washington.edu/herbarium/imagecollection/taxon.php?Taxon=Luzula parviflora </t>
  </si>
  <si>
    <t xml:space="preserve">http://biology.burke.washington.edu/herbarium/imagecollection/taxon.php?Taxon=Lycopodiella inundata </t>
  </si>
  <si>
    <t xml:space="preserve">http://biology.burke.washington.edu/herbarium/imagecollection/taxon.php?Taxon=Lycopodium clavatum </t>
  </si>
  <si>
    <t xml:space="preserve">http://biology.burke.washington.edu/herbarium/imagecollection/taxon.php?Taxon=Lycopus americanus </t>
  </si>
  <si>
    <t xml:space="preserve">http://biology.burke.washington.edu/herbarium/imagecollection/taxon.php?Taxon=Lycopus uniflorus </t>
  </si>
  <si>
    <t xml:space="preserve">http://biology.burke.washington.edu/herbarium/imagecollection/taxon.php?Taxon=Lysichiton americanus </t>
  </si>
  <si>
    <t xml:space="preserve">http://biology.burke.washington.edu/herbarium/imagecollection/taxon.php?Taxon=Lysimachia thyrsiflora </t>
  </si>
  <si>
    <t xml:space="preserve">http://biology.burke.washington.edu/herbarium/imagecollection/taxon.php?Taxon=Madia elegans </t>
  </si>
  <si>
    <t xml:space="preserve">http://biology.burke.washington.edu/herbarium/imagecollection/taxon.php?Taxon=Madia exigua </t>
  </si>
  <si>
    <t xml:space="preserve">http://biology.burke.washington.edu/herbarium/imagecollection/taxon.php?Taxon=Madia glomerata </t>
  </si>
  <si>
    <t xml:space="preserve">http://biology.burke.washington.edu/herbarium/imagecollection/taxon.php?Taxon=Madia gracilis </t>
  </si>
  <si>
    <t xml:space="preserve">http://biology.burke.washington.edu/herbarium/imagecollection/taxon.php?Taxon=Madia sativa </t>
  </si>
  <si>
    <t xml:space="preserve">http://biology.burke.washington.edu/herbarium/imagecollection/taxon.php?Taxon=Maianthemum dilatatum </t>
  </si>
  <si>
    <t xml:space="preserve">http://biology.burke.washington.edu/herbarium/imagecollection/taxon.php?Taxon=Maianthemum racemosum </t>
  </si>
  <si>
    <t xml:space="preserve">http://biology.burke.washington.edu/herbarium/imagecollection/taxon.php?Taxon=Maianthemum stellatum </t>
  </si>
  <si>
    <t xml:space="preserve">http://biology.burke.washington.edu/herbarium/imagecollection/taxon.php?Taxon=Meconella oregana </t>
  </si>
  <si>
    <t xml:space="preserve">http://biology.burke.washington.edu/herbarium/imagecollection/taxon.php?Taxon=Melica smithii </t>
  </si>
  <si>
    <t xml:space="preserve">http://biology.burke.washington.edu/herbarium/imagecollection/taxon.php?Taxon=Melica subulata </t>
  </si>
  <si>
    <t xml:space="preserve">http://biology.burke.washington.edu/herbarium/imagecollection/taxon.php?Taxon=Mertensia platyphylla </t>
  </si>
  <si>
    <t xml:space="preserve">http://biology.burke.washington.edu/herbarium/imagecollection/taxon.php?Taxon=Moneses uniflora </t>
  </si>
  <si>
    <t xml:space="preserve">http://biology.burke.washington.edu/herbarium/imagecollection/taxon.php?Taxon=Monotropa hypopitys </t>
  </si>
  <si>
    <t xml:space="preserve">http://biology.burke.washington.edu/herbarium/imagecollection/taxon.php?Taxon=Monotropa uniflora </t>
  </si>
  <si>
    <t xml:space="preserve">http://biology.burke.washington.edu/herbarium/imagecollection/taxon.php?Taxon=Montia dichotoma </t>
  </si>
  <si>
    <t xml:space="preserve">http://biology.burke.washington.edu/herbarium/imagecollection/taxon.php?Taxon=Montia diffusa </t>
  </si>
  <si>
    <t xml:space="preserve">http://biology.burke.washington.edu/herbarium/imagecollection/taxon.php?Taxon=Montia fontana </t>
  </si>
  <si>
    <t xml:space="preserve">http://biology.burke.washington.edu/herbarium/imagecollection/taxon.php?Taxon=Montia howellii </t>
  </si>
  <si>
    <t xml:space="preserve">http://biology.burke.washington.edu/herbarium/imagecollection/taxon.php?Taxon=Myosotis laxa </t>
  </si>
  <si>
    <t xml:space="preserve">http://biology.burke.washington.edu/herbarium/imagecollection/taxon.php?Taxon=Myosurus minimus </t>
  </si>
  <si>
    <t xml:space="preserve">http://biology.burke.washington.edu/herbarium/imagecollection/taxon.php?Taxon=Myriophyllum hippuroides </t>
  </si>
  <si>
    <t xml:space="preserve">http://biology.burke.washington.edu/herbarium/imagecollection/taxon.php?Taxon=Myriophyllum quitense </t>
  </si>
  <si>
    <t xml:space="preserve">http://biology.burke.washington.edu/herbarium/imagecollection/taxon.php?Taxon=Myriophyllum sibiricum </t>
  </si>
  <si>
    <t xml:space="preserve">http://biology.burke.washington.edu/herbarium/imagecollection/taxon.php?Taxon=Myriophyllum verticillatum </t>
  </si>
  <si>
    <t xml:space="preserve">http://biology.burke.washington.edu/herbarium/imagecollection/taxon.php?Taxon=Najas flexilis </t>
  </si>
  <si>
    <t xml:space="preserve">http://biology.burke.washington.edu/herbarium/imagecollection/taxon.php?Taxon=Navarretia intertexta </t>
  </si>
  <si>
    <t xml:space="preserve">http://biology.burke.washington.edu/herbarium/imagecollection/taxon.php?Taxon=Navarretia squarrosa </t>
  </si>
  <si>
    <t xml:space="preserve">http://biology.burke.washington.edu/herbarium/imagecollection/taxon.php?Taxon=Nemophila parviflora </t>
  </si>
  <si>
    <t xml:space="preserve">http://biology.burke.washington.edu/herbarium/imagecollection/taxon.php?Taxon=Nemophila pedunculata </t>
  </si>
  <si>
    <t xml:space="preserve">http://biology.burke.washington.edu/herbarium/imagecollection/taxon.php?Taxon=Nuphar polysepala </t>
  </si>
  <si>
    <t xml:space="preserve">http://biology.burke.washington.edu/herbarium/imagecollection/taxon.php?Taxon=Nuttallanthus texanus </t>
  </si>
  <si>
    <t xml:space="preserve">http://biology.burke.washington.edu/herbarium/imagecollection/taxon.php?Taxon=Oemleria cerasiformis </t>
  </si>
  <si>
    <t xml:space="preserve">http://biology.burke.washington.edu/herbarium/imagecollection/taxon.php?Taxon=Oenanthe sarmentosa </t>
  </si>
  <si>
    <t xml:space="preserve">http://biology.burke.washington.edu/herbarium/imagecollection/taxon.php?Taxon=Olsynium douglasii </t>
  </si>
  <si>
    <t xml:space="preserve">http://biology.burke.washington.edu/herbarium/imagecollection/taxon.php?Taxon=Ophioglossum pusillum </t>
  </si>
  <si>
    <t xml:space="preserve">http://biology.burke.washington.edu/herbarium/imagecollection/taxon.php?Taxon=Oplopanax horridus </t>
  </si>
  <si>
    <t xml:space="preserve">http://biology.burke.washington.edu/herbarium/imagecollection/taxon.php?Taxon=Opuntia fragilis </t>
  </si>
  <si>
    <t xml:space="preserve">http://biology.burke.washington.edu/herbarium/imagecollection/taxon.php?Taxon=Orthocarpus bracteosus </t>
  </si>
  <si>
    <t xml:space="preserve">http://biology.burke.washington.edu/herbarium/imagecollection/taxon.php?Taxon=Osmorhiza berteroi </t>
  </si>
  <si>
    <t xml:space="preserve">http://biology.burke.washington.edu/herbarium/imagecollection/taxon.php?Taxon=Osmorhiza purpurea </t>
  </si>
  <si>
    <t xml:space="preserve">http://biology.burke.washington.edu/herbarium/imagecollection/taxon.php?Taxon=Oxalis oregana </t>
  </si>
  <si>
    <t xml:space="preserve">http://biology.burke.washington.edu/herbarium/imagecollection/taxon.php?Taxon=Oxalis trilliifolia </t>
  </si>
  <si>
    <t xml:space="preserve">http://biology.burke.washington.edu/herbarium/imagecollection/taxon.php?Taxon=Paxistima myrsinites </t>
  </si>
  <si>
    <t xml:space="preserve">http://biology.burke.washington.edu/herbarium/imagecollection/taxon.php?Taxon=Penstemon attenuatus </t>
  </si>
  <si>
    <t xml:space="preserve">http://biology.burke.washington.edu/herbarium/imagecollection/taxon.php?Taxon=Penstemon cardwellii </t>
  </si>
  <si>
    <t xml:space="preserve">http://biology.burke.washington.edu/herbarium/imagecollection/taxon.php?Taxon=Penstemon davidsonii </t>
  </si>
  <si>
    <t xml:space="preserve">http://biology.burke.washington.edu/herbarium/imagecollection/taxon.php?Taxon=Penstemon richardsonii </t>
  </si>
  <si>
    <t xml:space="preserve">http://biology.burke.washington.edu/herbarium/imagecollection/taxon.php?Taxon=Penstemon serrulatus </t>
  </si>
  <si>
    <t xml:space="preserve">http://biology.burke.washington.edu/herbarium/imagecollection/taxon.php?Taxon=Pentagramma triangularis </t>
  </si>
  <si>
    <t xml:space="preserve">http://biology.burke.washington.edu/herbarium/imagecollection/taxon.php?Taxon=Persicaria lapathifolia </t>
  </si>
  <si>
    <t>http://biology.burke.washington.edu/herbarium/imagecollection/taxon.php?Taxon=Phegopteris connectilis</t>
  </si>
  <si>
    <t xml:space="preserve">http://biology.burke.washington.edu/herbarium/imagecollection/taxon.php?Taxon=Philadelphus lewisii </t>
  </si>
  <si>
    <t xml:space="preserve">http://biology.burke.washington.edu/herbarium/imagecollection/taxon.php?Taxon=Phlox diffusa </t>
  </si>
  <si>
    <t xml:space="preserve">http://biology.burke.washington.edu/herbarium/imagecollection/taxon.php?Taxon=Physocarpus capitatus </t>
  </si>
  <si>
    <t xml:space="preserve">http://biology.burke.washington.edu/herbarium/imagecollection/taxon.php?Taxon=Picea engelmannii </t>
  </si>
  <si>
    <t xml:space="preserve">http://biology.burke.washington.edu/herbarium/imagecollection/taxon.php?Taxon=Picea sitchensis </t>
  </si>
  <si>
    <t xml:space="preserve">http://biology.burke.washington.edu/herbarium/imagecollection/taxon.php?Taxon=Pinus albicaulis </t>
  </si>
  <si>
    <t xml:space="preserve">http://biology.burke.washington.edu/herbarium/imagecollection/taxon.php?Taxon=Pinus contorta </t>
  </si>
  <si>
    <t xml:space="preserve">http://biology.burke.washington.edu/herbarium/imagecollection/taxon.php?Taxon=Pinus monticola </t>
  </si>
  <si>
    <t xml:space="preserve">http://biology.burke.washington.edu/herbarium/imagecollection/taxon.php?Taxon=Pinus ponderosa </t>
  </si>
  <si>
    <t xml:space="preserve">http://biology.burke.washington.edu/herbarium/imagecollection/taxon.php?Taxon=Plagiobothrys figuratus </t>
  </si>
  <si>
    <t xml:space="preserve">http://biology.burke.washington.edu/herbarium/imagecollection/taxon.php?Taxon=Plagiobothrys scouleri </t>
  </si>
  <si>
    <t xml:space="preserve">http://biology.burke.washington.edu/herbarium/imagecollection/taxon.php?Taxon=Plantago elongata </t>
  </si>
  <si>
    <t>http://biology.burke.washington.edu/herbarium/imagecollection/taxon.php?Taxon=Platanthera chorisiana</t>
  </si>
  <si>
    <t>http://biology.burke.washington.edu/herbarium/imagecollection/taxon.php?Taxon=Platanthera dilatata</t>
  </si>
  <si>
    <t xml:space="preserve">http://biology.burke.washington.edu/herbarium/imagecollection/taxon.php?Taxon=Platanthera orbiculata </t>
  </si>
  <si>
    <t>http://biology.burke.washington.edu/herbarium/imagecollection/taxon.php?Taxon=Platanthera stricta</t>
  </si>
  <si>
    <t xml:space="preserve">http://biology.burke.washington.edu/herbarium/imagecollection/taxon.php?Taxon=Plectritis congesta </t>
  </si>
  <si>
    <t xml:space="preserve">http://biology.burke.washington.edu/herbarium/imagecollection/taxon.php?Taxon=Pleuricospora fimbriolata </t>
  </si>
  <si>
    <t xml:space="preserve">http://biology.burke.washington.edu/herbarium/imagecollection/taxon.php?Taxon=Pleuropogon refractus </t>
  </si>
  <si>
    <t xml:space="preserve">http://biology.burke.washington.edu/herbarium/imagecollection/taxon.php?Taxon=Poa confinis </t>
  </si>
  <si>
    <t xml:space="preserve">http://biology.burke.washington.edu/herbarium/imagecollection/taxon.php?Taxon=Polemonium carneum </t>
  </si>
  <si>
    <t xml:space="preserve">http://biology.burke.washington.edu/herbarium/imagecollection/taxon.php?Taxon=Polemonium pulcherrimum </t>
  </si>
  <si>
    <t xml:space="preserve">http://biology.burke.washington.edu/herbarium/imagecollection/taxon.php?Taxon=Polygonum paronychia </t>
  </si>
  <si>
    <t xml:space="preserve">http://biology.burke.washington.edu/herbarium/imagecollection/taxon.php?Taxon=Polypodium glycyrrhiza </t>
  </si>
  <si>
    <t xml:space="preserve">http://biology.burke.washington.edu/herbarium/imagecollection/taxon.php?Taxon=Polypodium hesperium </t>
  </si>
  <si>
    <t xml:space="preserve">http://biology.burke.washington.edu/herbarium/imagecollection/taxon.php?Taxon=Polystichum andersonii </t>
  </si>
  <si>
    <t xml:space="preserve">http://biology.burke.washington.edu/herbarium/imagecollection/taxon.php?Taxon=Polystichum californicum </t>
  </si>
  <si>
    <t xml:space="preserve">http://biology.burke.washington.edu/herbarium/imagecollection/taxon.php?Taxon=Polystichum imbricans </t>
  </si>
  <si>
    <t xml:space="preserve">http://biology.burke.washington.edu/herbarium/imagecollection/taxon.php?Taxon=Polystichum munitum </t>
  </si>
  <si>
    <t xml:space="preserve">http://biology.burke.washington.edu/herbarium/imagecollection/taxon.php?Taxon=Populus tremuloides </t>
  </si>
  <si>
    <t>http://biology.burke.washington.edu/herbarium/imagecollection/taxon.php?Taxon=Populus trichocarpa</t>
  </si>
  <si>
    <t xml:space="preserve">http://biology.burke.washington.edu/herbarium/imagecollection/taxon.php?Taxon=Potamogeton amplifolius </t>
  </si>
  <si>
    <t xml:space="preserve">http://biology.burke.washington.edu/herbarium/imagecollection/taxon.php?Taxon=Potamogeton epihydrus </t>
  </si>
  <si>
    <t xml:space="preserve">http://biology.burke.washington.edu/herbarium/imagecollection/taxon.php?Taxon=Potamogeton foliosus </t>
  </si>
  <si>
    <t xml:space="preserve">http://biology.burke.washington.edu/herbarium/imagecollection/taxon.php?Taxon=Potamogeton gramineus </t>
  </si>
  <si>
    <t xml:space="preserve">http://biology.burke.washington.edu/herbarium/imagecollection/taxon.php?Taxon=Potamogeton illinoensis </t>
  </si>
  <si>
    <t xml:space="preserve">http://biology.burke.washington.edu/herbarium/imagecollection/taxon.php?Taxon=Potamogeton natans </t>
  </si>
  <si>
    <t xml:space="preserve">http://biology.burke.washington.edu/herbarium/imagecollection/taxon.php?Taxon=Potamogeton nodosus </t>
  </si>
  <si>
    <t xml:space="preserve">http://biology.burke.washington.edu/herbarium/imagecollection/taxon.php?Taxon=Potamogeton obtusifolius </t>
  </si>
  <si>
    <t xml:space="preserve">http://biology.burke.washington.edu/herbarium/imagecollection/taxon.php?Taxon=Potamogeton pusillus </t>
  </si>
  <si>
    <t xml:space="preserve">http://biology.burke.washington.edu/herbarium/imagecollection/taxon.php?Taxon=Potamogeton richardsonii </t>
  </si>
  <si>
    <t xml:space="preserve">http://biology.burke.washington.edu/herbarium/imagecollection/taxon.php?Taxon=Potamogeton robbinsii </t>
  </si>
  <si>
    <t xml:space="preserve">http://biology.burke.washington.edu/herbarium/imagecollection/taxon.php?Taxon=potentilla anserina </t>
  </si>
  <si>
    <t xml:space="preserve">http://biology.burke.washington.edu/herbarium/imagecollection/taxon.php?Taxon=Potentilla drummondii </t>
  </si>
  <si>
    <t xml:space="preserve">http://biology.burke.washington.edu/herbarium/imagecollection/taxon.php?Taxon=Potentilla gracilis </t>
  </si>
  <si>
    <t xml:space="preserve">http://biology.burke.washington.edu/herbarium/imagecollection/taxon.php?Taxon=Comarum palustre </t>
  </si>
  <si>
    <t xml:space="preserve">http://biology.burke.washington.edu/herbarium/imagecollection/taxon.php?Taxon=Prosartes hookeri </t>
  </si>
  <si>
    <t xml:space="preserve">http://biology.burke.washington.edu/herbarium/imagecollection/taxon.php?Taxon=Prosartes smithii </t>
  </si>
  <si>
    <t xml:space="preserve">http://biology.burke.washington.edu/herbarium/imagecollection/taxon.php?Taxon=Prunella vulgaris </t>
  </si>
  <si>
    <t xml:space="preserve">http://biology.burke.washington.edu/herbarium/imagecollection/taxon.php?Taxon=Prunus emarginata </t>
  </si>
  <si>
    <t xml:space="preserve">http://biology.burke.washington.edu/herbarium/imagecollection/taxon.php?Taxon=Prunus virginiana </t>
  </si>
  <si>
    <t xml:space="preserve">http://biology.burke.washington.edu/herbarium/imagecollection/taxon.php?Taxon=Pseudotsuga menziesii </t>
  </si>
  <si>
    <t xml:space="preserve">http://biology.burke.washington.edu/herbarium/imagecollection/taxon.php?Taxon=Psilocarphus tenellus </t>
  </si>
  <si>
    <t xml:space="preserve">http://biology.burke.washington.edu/herbarium/imagecollection/taxon.php?Taxon=Pteridium aquilinum </t>
  </si>
  <si>
    <t xml:space="preserve">http://biology.burke.washington.edu/herbarium/imagecollection/taxon.php?Taxon=Pterospora andromedea </t>
  </si>
  <si>
    <t xml:space="preserve">http://biology.burke.washington.edu/herbarium/imagecollection/taxon.php?Taxon=Puccinellia nuttalliana </t>
  </si>
  <si>
    <t xml:space="preserve">http://biology.burke.washington.edu/herbarium/imagecollection/taxon.php?Taxon=Pyracantha coccinea </t>
  </si>
  <si>
    <t xml:space="preserve">http://biology.burke.washington.edu/herbarium/imagecollection/taxon.php?Taxon=Pyrola asarifolia </t>
  </si>
  <si>
    <t xml:space="preserve">http://biology.burke.washington.edu/herbarium/imagecollection/taxon.php?Taxon=Pyrola chlorantha </t>
  </si>
  <si>
    <t xml:space="preserve">http://biology.burke.washington.edu/herbarium/imagecollection/taxon.php?Taxon=Pyrola picta </t>
  </si>
  <si>
    <t xml:space="preserve">http://biology.burke.washington.edu/herbarium/imagecollection/taxon.php?Taxon=Quercus garryana </t>
  </si>
  <si>
    <t xml:space="preserve">http://biology.burke.washington.edu/herbarium/imagecollection/taxon.php?Taxon=Ranunculus alismifolius </t>
  </si>
  <si>
    <t xml:space="preserve">http://biology.burke.washington.edu/herbarium/imagecollection/taxon.php?Taxon=Ranunculus aquatilis </t>
  </si>
  <si>
    <t xml:space="preserve">http://biology.burke.washington.edu/herbarium/imagecollection/taxon.php?Taxon=Ranunculus californicus </t>
  </si>
  <si>
    <t xml:space="preserve">http://biology.burke.washington.edu/herbarium/imagecollection/taxon.php?Taxon=Ranunculus flammula </t>
  </si>
  <si>
    <t xml:space="preserve">http://biology.burke.washington.edu/herbarium/imagecollection/taxon.php?Taxon=Ranunculus macounii </t>
  </si>
  <si>
    <t xml:space="preserve">http://biology.burke.washington.edu/herbarium/imagecollection/taxon.php?Taxon=Ranunculus occidentalis </t>
  </si>
  <si>
    <t xml:space="preserve">http://biology.burke.washington.edu/herbarium/imagecollection/taxon.php?Taxon=Ranunculus orthorhynchus </t>
  </si>
  <si>
    <t xml:space="preserve">http://biology.burke.washington.edu/herbarium/imagecollection/taxon.php?Taxon=Ranunculus sceleratus </t>
  </si>
  <si>
    <t xml:space="preserve">http://biology.burke.washington.edu/herbarium/imagecollection/taxon.php?Taxon=Ranunculus uncinatus </t>
  </si>
  <si>
    <t xml:space="preserve">http://biology.burke.washington.edu/herbarium/imagecollection/taxon.php?Taxon=Frangula purshiana </t>
  </si>
  <si>
    <t>http://biology.burke.washington.edu/herbarium/imagecollection/taxon.php?Taxon=Rhinanthus minor</t>
  </si>
  <si>
    <t xml:space="preserve">http://biology.burke.washington.edu/herbarium/imagecollection/taxon.php?Taxon=Rhododendron albiflorum </t>
  </si>
  <si>
    <t xml:space="preserve">http://biology.burke.washington.edu/herbarium/imagecollection/taxon.php?Taxon=Rhododendron columbianum </t>
  </si>
  <si>
    <t xml:space="preserve">http://biology.burke.washington.edu/herbarium/imagecollection/taxon.php?Taxon=Rhododendron macrophyllum </t>
  </si>
  <si>
    <t>http://biology.burke.washington.edu/herbarium/imagecollection/taxon.php?Taxon=Rhus glabra</t>
  </si>
  <si>
    <t xml:space="preserve">http://biology.burke.washington.edu/herbarium/imagecollection/taxon.php?Taxon=Rhynchospora alba </t>
  </si>
  <si>
    <t xml:space="preserve">http://biology.burke.washington.edu/herbarium/imagecollection/taxon.php?Taxon=Ribes acerifolium </t>
  </si>
  <si>
    <t xml:space="preserve">http://biology.burke.washington.edu/herbarium/imagecollection/taxon.php?Taxon=Ribes aureum </t>
  </si>
  <si>
    <t xml:space="preserve">http://biology.burke.washington.edu/herbarium/imagecollection/taxon.php?Taxon=Ribes bracteosum </t>
  </si>
  <si>
    <t xml:space="preserve">http://biology.burke.washington.edu/herbarium/imagecollection/taxon.php?Taxon=Ribes cereum </t>
  </si>
  <si>
    <t xml:space="preserve">http://biology.burke.washington.edu/herbarium/imagecollection/taxon.php?Taxon=Ribes divaricatum </t>
  </si>
  <si>
    <t xml:space="preserve">http://biology.burke.washington.edu/herbarium/imagecollection/taxon.php?Taxon=Ribes lacustre </t>
  </si>
  <si>
    <t xml:space="preserve">http://biology.burke.washington.edu/herbarium/imagecollection/taxon.php?Taxon=Ribes laxiflorum </t>
  </si>
  <si>
    <t xml:space="preserve">http://biology.burke.washington.edu/herbarium/imagecollection/taxon.php?Taxon=Ribes lobbii </t>
  </si>
  <si>
    <t xml:space="preserve">http://biology.burke.washington.edu/herbarium/imagecollection/taxon.php?Taxon=Ribes sanguineum </t>
  </si>
  <si>
    <t xml:space="preserve">http://biology.burke.washington.edu/herbarium/imagecollection/taxon.php?Taxon=Ribes triste </t>
  </si>
  <si>
    <t xml:space="preserve">http://biology.burke.washington.edu/herbarium/imagecollection/taxon.php?Taxon=Rorippa curvisiliqua </t>
  </si>
  <si>
    <t xml:space="preserve">http://biology.burke.washington.edu/herbarium/imagecollection/taxon.php?Taxon=Rorippa palustris </t>
  </si>
  <si>
    <t xml:space="preserve">http://biology.burke.washington.edu/herbarium/imagecollection/taxon.php?Taxon=Rosa nutkana </t>
  </si>
  <si>
    <t xml:space="preserve">http://biology.burke.washington.edu/herbarium/imagecollection/taxon.php?Taxon=Rubus lasiococcus </t>
  </si>
  <si>
    <t xml:space="preserve">http://biology.burke.washington.edu/herbarium/imagecollection/taxon.php?Taxon=Rubus leucodermis </t>
  </si>
  <si>
    <t xml:space="preserve">http://biology.burke.washington.edu/herbarium/imagecollection/taxon.php?Taxon=Rubus pedatus </t>
  </si>
  <si>
    <t xml:space="preserve">http://biology.burke.washington.edu/herbarium/imagecollection/taxon.php?Taxon=Rubus ursinus </t>
  </si>
  <si>
    <t xml:space="preserve">http://biology.burke.washington.edu/herbarium/imagecollection/taxon.php?Taxon=Rudbeckia hirta </t>
  </si>
  <si>
    <t xml:space="preserve">http://biology.burke.washington.edu/herbarium/imagecollection/taxon.php?Taxon=Rumex persicarioides </t>
  </si>
  <si>
    <t xml:space="preserve">http://biology.burke.washington.edu/herbarium/imagecollection/taxon.php?Taxon=Ruppia maritima </t>
  </si>
  <si>
    <t xml:space="preserve">http://biology.burke.washington.edu/herbarium/imagecollection/taxon.php?Taxon=Sagina decumbens </t>
  </si>
  <si>
    <t xml:space="preserve">http://biology.burke.washington.edu/herbarium/imagecollection/taxon.php?Taxon=Sagina maxima </t>
  </si>
  <si>
    <t xml:space="preserve">http://biology.burke.washington.edu/herbarium/imagecollection/taxon.php?Taxon=Sagittaria latifolia </t>
  </si>
  <si>
    <t xml:space="preserve">http://biology.burke.washington.edu/herbarium/imagecollection/taxon.php?Taxon=Salicornia depressa </t>
  </si>
  <si>
    <t xml:space="preserve">http://biology.burke.washington.edu/herbarium/imagecollection/taxon.php?Taxon=Salix barclayi </t>
  </si>
  <si>
    <t xml:space="preserve">http://biology.burke.washington.edu/herbarium/imagecollection/taxon.php?Taxon=Salix bebbiana </t>
  </si>
  <si>
    <t>http://biology.burke.washington.edu/herbarium/imagecollection/taxon.php?Taxon=Abies amabilis</t>
  </si>
  <si>
    <t>http://biology.burke.washington.edu/herbarium/imagecollection/taxon.php?Taxon=Abies grandis</t>
  </si>
  <si>
    <t>http://biology.burke.washington.edu/herbarium/imagecollection/taxon.php?Taxon=Abies lasiocarpa</t>
  </si>
  <si>
    <t>http://biology.burke.washington.edu/herbarium/imagecollection/taxon.php?Taxon=Abies procera</t>
  </si>
  <si>
    <t>http://biology.burke.washington.edu/herbarium/imagecollection/taxon.php?Taxon=Abronia latifolia</t>
  </si>
  <si>
    <t>http://biology.burke.washington.edu/herbarium/imagecollection/taxon.php?Taxon=Acer circinatum</t>
  </si>
  <si>
    <t>http://biology.burke.washington.edu/herbarium/imagecollection/taxon.php?Taxon=Acer glabrum</t>
  </si>
  <si>
    <t>http://biology.burke.washington.edu/herbarium/imagecollection/taxon.php?Taxon=Acer macrophyllum</t>
  </si>
  <si>
    <t>http://biology.burke.washington.edu/herbarium/imagecollection/taxon.php?Taxon=Achillea millefolium</t>
  </si>
  <si>
    <t>http://biology.burke.washington.edu/herbarium/imagecollection/taxon.php?Taxon=Achlys triphylla</t>
  </si>
  <si>
    <t>http://biology.burke.washington.edu/herbarium/imagecollection/taxon.php?Taxon=Actaea elata</t>
  </si>
  <si>
    <t>http://biology.burke.washington.edu/herbarium/imagecollection/taxon.php?Taxon=Actaea rubra</t>
  </si>
  <si>
    <t>http://biology.burke.washington.edu/herbarium/imagecollection/taxon.php?Taxon=Adenocaulon bicolor</t>
  </si>
  <si>
    <t>http://biology.burke.washington.edu/herbarium/imagecollection/taxon.php?Taxon=Adiantum aleuticum</t>
  </si>
  <si>
    <t xml:space="preserve">https://plants.usda.gov/core/profile?symbol=adpe </t>
  </si>
  <si>
    <t>http://biology.burke.washington.edu/herbarium/imagecollection/taxon.php?Taxon=Agastache urticifolia</t>
  </si>
  <si>
    <t>http://biology.burke.washington.edu/herbarium/imagecollection/taxon.php?Taxon=Agoseris grandiflora</t>
  </si>
  <si>
    <t>http://biology.burke.washington.edu/herbarium/imagecollection/taxon.php?Taxon=Agoseris heterophylla</t>
  </si>
  <si>
    <t>Photo</t>
  </si>
  <si>
    <t>Michaux's Wormwood</t>
  </si>
  <si>
    <t>Gayophytum diffusum</t>
  </si>
  <si>
    <t>http://biology.burke.washington.edu/herbarium/imagecollection/taxon.php?Taxon=Gayophytum diffusum</t>
  </si>
  <si>
    <t>Bolander's Groundsel</t>
  </si>
  <si>
    <t>http://biology.burke.washington.edu/herbarium/imagecollection/taxon.php?Taxon=Packera bolanderi</t>
  </si>
  <si>
    <t>Sarraceniaceae</t>
  </si>
  <si>
    <t>Tall Agoseris</t>
  </si>
  <si>
    <t>http://biology.burke.washington.edu/herbarium/imagecollection/taxon.php?Taxon=Agoseris%20elata</t>
  </si>
  <si>
    <t>http://biology.burke.washington.edu/herbarium/imagecollectionnew/taxon.php?Taxon=Agrostis%20exarata</t>
  </si>
  <si>
    <t>http://biology.burke.washington.edu/herbarium/imagecollectionnew/taxon.php?Taxon=Agrostis%20oregonensis</t>
  </si>
  <si>
    <t>http://biology.burke.washington.edu/herbarium/imagecollectionnew/taxon.php?Taxon=Agrostis%20pallens</t>
  </si>
  <si>
    <t>http://biology.burke.washington.edu/herbarium/imagecollection/taxon.php?Taxon=Agrostis%20scabra</t>
  </si>
  <si>
    <t>http://biology.burke.washington.edu/herbarium/imagecollectionnew/taxon.php?Taxon=Alisma%20triviale</t>
  </si>
  <si>
    <t>http://biology.burke.washington.edu/herbarium/imagecollectionnew/taxon.php?Taxon=Allium%20acuminatum</t>
  </si>
  <si>
    <t>http://biology.burke.washington.edu/herbarium/imagecollectionnew/taxon.php?Taxon=Allium%20cernuum</t>
  </si>
  <si>
    <t>http://biology.burke.washington.edu/herbarium/imagecollectionnew/taxon.php?Taxon=Allium%20crenulatum</t>
  </si>
  <si>
    <t>http://biology.burke.washington.edu/herbarium/imagecollectionnew/taxon.php?Taxon=Allium%20schoenoprasum</t>
  </si>
  <si>
    <t>http://biology.burke.washington.edu/herbarium/imagecollectionnew/taxon.php?Taxon=Alnus%20rhombifolia</t>
  </si>
  <si>
    <t>http://biology.burke.washington.edu/herbarium/imagecollectionnew/taxon.php?Taxon=Alnus%20rubra</t>
  </si>
  <si>
    <t>http://biology.burke.washington.edu/herbarium/imagecollectionnew/taxon.php?Taxon=Alnus%20viridis</t>
  </si>
  <si>
    <t>http://biology.burke.washington.edu/herbarium/imagecollectionnew/taxon.php?Taxon=Ambrosia%20chamissonis</t>
  </si>
  <si>
    <t>http://biology.burke.washington.edu/herbarium/imagecollectionnew/taxon.php?Taxon=Amsinckia%20lycopsoides</t>
  </si>
  <si>
    <t>http://biology.burke.washington.edu/herbarium/imagecollectionnew/taxon.php?Taxon=Amsinckia%20menziesii</t>
  </si>
  <si>
    <t>http://biology.burke.washington.edu/herbarium/imagecollectionnew/taxon.php?Taxon=Amsinckia%20spectabilis</t>
  </si>
  <si>
    <t>http://biology.burke.washington.edu/herbarium/imagecollectionnew/taxon.php?Taxon=Anaphalis%20margaritacea</t>
  </si>
  <si>
    <t>http://biology.burke.washington.edu/herbarium/imagecollectionnew/taxon.php?Taxon=Andromeda%20polifolia</t>
  </si>
  <si>
    <t>http://biology.burke.washington.edu/herbarium/imagecollectionnew/taxon.php?Taxon=Anemone%20deltoidea</t>
  </si>
  <si>
    <t>http://biology.burke.washington.edu/herbarium/imagecollectionnew/taxon.php?Taxon=Anemone%20lyallii</t>
  </si>
  <si>
    <t>http://biology.burke.washington.edu/herbarium/imagecollectionnew/taxon.php?Taxon=Anemone%20multifida</t>
  </si>
  <si>
    <t>http://biology.burke.washington.edu/herbarium/imagecollectionnew/taxon.php?Taxon=Anemone%20oregana</t>
  </si>
  <si>
    <t>http://biology.burke.washington.edu/herbarium/imagecollectionnew/taxon.php?Taxon=Angelica%20arguta</t>
  </si>
  <si>
    <t>http://biology.burke.washington.edu/herbarium/imagecollectionnew/taxon.php?Taxon=Angelica%20genuflexa</t>
  </si>
  <si>
    <t>http://biology.burke.washington.edu/herbarium/imagecollectionnew/taxon.php?Taxon=Angelica%20hendersonii</t>
  </si>
  <si>
    <t>http://biology.burke.washington.edu/herbarium/imagecollectionnew/taxon.php?Taxon=Angelica%20lucida</t>
  </si>
  <si>
    <t>http://biology.burke.washington.edu/herbarium/imagecollectionnew/taxon.php?Taxon=Anisocarpus%20madioides</t>
  </si>
  <si>
    <t>http://biology.burke.washington.edu/herbarium/imagecollectionnew/taxon.php?Taxon=Anticlea%20occidentalis</t>
  </si>
  <si>
    <t>http://biology.burke.washington.edu/herbarium/imagecollection/taxon.php?Taxon=Aquilegia%20formosa</t>
  </si>
  <si>
    <t>http://biology.burke.washington.edu/herbarium/imagecollectionnew/taxon.php?Taxon=Arabis%20eschscholtziana</t>
  </si>
  <si>
    <t>http://biology.burke.washington.edu/herbarium/imagecollectionnew/taxon.php?Taxon=Arbutus%20menziesii</t>
  </si>
  <si>
    <t>http://biology.burke.washington.edu/herbarium/imagecollectionnew/taxon.php?Taxon=Arceuthobium%20campylopodum</t>
  </si>
  <si>
    <t>http://biology.burke.washington.edu/herbarium/imagecollectionnew/taxon.php?Taxon=Arceuthobium%20tsugense</t>
  </si>
  <si>
    <t>http://biology.burke.washington.edu/herbarium/imagecollectionnew/taxon.php?Taxon=Arctostaphylos%20columbiana</t>
  </si>
  <si>
    <t>http://biology.burke.washington.edu/herbarium/imagecollectionnew/taxon.php?Taxon=Arctostaphylos%20uva-ursi</t>
  </si>
  <si>
    <t>http://biology.burke.washington.edu/herbarium/imagecollectionnew/taxon.php?Taxon=Armeria%20maritima</t>
  </si>
  <si>
    <t>http://biology.burke.washington.edu/herbarium/imagecollectionnew/taxon.php?Taxon=Arnica%20lanceolata</t>
  </si>
  <si>
    <t>http://biology.burke.washington.edu/herbarium/imagecollectionnew/taxon.php?Taxon=Sericocarpus%20rigidus</t>
  </si>
  <si>
    <t>http://biology.burke.washington.edu/herbarium/imagecollectionnew/taxon.php?Taxon=Arnica%20cordifolia</t>
  </si>
  <si>
    <t>http://biology.burke.washington.edu/herbarium/imagecollectionnew/taxon.php?Taxon=Athyrium%20filix-femina</t>
  </si>
  <si>
    <t>http://biology.burke.washington.edu/herbarium/imagecollectionnew/taxon.php?Taxon=Athysanus%20pusillus</t>
  </si>
  <si>
    <t>http://biology.burke.washington.edu/herbarium/imagecollectionnew/taxon.php?Taxon=Azolla%20filiculoides</t>
  </si>
  <si>
    <t>http://biology.burke.washington.edu/herbarium/imagecollectionnew/taxon.php?Taxon=Azolla%20microphylla</t>
  </si>
  <si>
    <t>http://biology.burke.washington.edu/herbarium/imagecollectionnew/taxon.php?Taxon=Balsamorhiza%20deltoidea</t>
  </si>
  <si>
    <t>http://biology.burke.washington.edu/herbarium/imagecollectionnew/taxon.php?Taxon=Mahonia%20aquifolium</t>
  </si>
  <si>
    <t>http://biology.burke.washington.edu/herbarium/imagecollectionnew/taxon.php?Taxon=Mahonia%20nervosa</t>
  </si>
  <si>
    <t>http://biology.burke.washington.edu/herbarium/imagecollectionnew/taxon.php?Taxon=Mahonia%20repens</t>
  </si>
  <si>
    <t>http://biology.burke.washington.edu/herbarium/imagecollectionnew/taxon.php?Taxon=Betula%20glandulosa</t>
  </si>
  <si>
    <t>http://biology.burke.washington.edu/herbarium/imagecollectionnew/taxon.php?Taxon=Betula%20occidentalis</t>
  </si>
  <si>
    <t>http://biology.burke.washington.edu/herbarium/imagecollectionnew/taxon.php?Taxon=Betula%20papyrifera</t>
  </si>
  <si>
    <t>http://biology.burke.washington.edu/herbarium/imagecollectionnew/taxon.php?Taxon=Betula%20pumila</t>
  </si>
  <si>
    <t>Bidens beckii</t>
  </si>
  <si>
    <t>http://biology.burke.washington.edu/herbarium/imagecollectionnew/taxon.php?Taxon=Bidens%20beckii</t>
  </si>
  <si>
    <t>http://biology.burke.washington.edu/herbarium/imagecollectionnew/taxon.php?Taxon=Bidens%20cernua</t>
  </si>
  <si>
    <t>http://biology.burke.washington.edu/herbarium/imagecollectionnew/taxon.php?Taxon=Bidens%20frondosa</t>
  </si>
  <si>
    <t>Bidens vulgata</t>
  </si>
  <si>
    <t>http://biology.burke.washington.edu/herbarium/imagecollectionnew/taxon.php?Taxon=Bidens%20vulgata</t>
  </si>
  <si>
    <t>http://biology.burke.washington.edu/herbarium/imagecollectionnew/taxon.php?Taxon=Struthiopteris%20spicant</t>
  </si>
  <si>
    <t>http://biology.burke.washington.edu/herbarium/imagecollectionnew/taxon.php?Taxon=Bromus%20sitchensis</t>
  </si>
  <si>
    <t>http://biology.burke.washington.edu/herbarium/imagecollectionnew/taxon.php?Taxon=Bromus%20sitchensis%20var.%20carinatus</t>
  </si>
  <si>
    <t>http://biology.burke.washington.edu/herbarium/imagecollectionnew/taxon.php?Taxon=Brodiaea%20coronaria</t>
  </si>
  <si>
    <t>http://biology.burke.washington.edu/herbarium/imagecollectionnew/taxon.php?Taxon=Boykinia%20occidentalis</t>
  </si>
  <si>
    <t>http://biology.burke.washington.edu/herbarium/imagecollectionnew/taxon.php?Taxon=Boykinia%20intermedia</t>
  </si>
  <si>
    <t>http://biology.burke.washington.edu/herbarium/imagecollectionnew/taxon.php?Taxon=Botrypus%20virginianus</t>
  </si>
  <si>
    <t>http://biology.burke.washington.edu/herbarium/imagecollectionnew/taxon.php?Taxon=Sceptridium%20multifidum</t>
  </si>
  <si>
    <t>http://biology.burke.washington.edu/herbarium/imagecollectionnew/taxon.php?Taxon=Botrychium%20minganense</t>
  </si>
  <si>
    <t>http://biology.burke.washington.edu/herbarium/imagecollectionnew/taxon.php?Taxon=Bolboschoenus%20maritimus</t>
  </si>
  <si>
    <t>http://biology.burke.washington.edu/herbarium/imagecollectionnew/taxon.php?Taxon=Cardamine%20angulata</t>
  </si>
  <si>
    <t>http://biology.burke.washington.edu/herbarium/imagecollectionnew/taxon.php?Taxon=Cardionema%20ramosissima</t>
  </si>
  <si>
    <t>http://biology.burke.washington.edu/herbarium/imagecollectionnew/taxon.php?Taxon=Cardamine%20pensylvanica</t>
  </si>
  <si>
    <t>http://biology.burke.washington.edu/herbarium/imagecollectionnew/taxon.php?Taxon=Cardamine%20oligosperma</t>
  </si>
  <si>
    <t>http://biology.burke.washington.edu/herbarium/imagecollectionnew/taxon.php?Taxon=Cardamine%20nuttallii</t>
  </si>
  <si>
    <t>http://biology.burke.washington.edu/herbarium/imagecollectionnew/taxon.php?Taxon=Cardamine%20breweri</t>
  </si>
  <si>
    <t>http://biology.burke.washington.edu/herbarium/imagecollectionnew/taxon.php?Taxon=Canadanthus%20modestus</t>
  </si>
  <si>
    <t>http://biology.burke.washington.edu/herbarium/imagecollectionnew/taxon.php?Taxon=Campanula%20scouleri</t>
  </si>
  <si>
    <t>http://biology.burke.washington.edu/herbarium/imagecollectionnew/taxon.php?Taxon=Campanula%20rotundifolia</t>
  </si>
  <si>
    <t>http://biology.burke.washington.edu/herbarium/imagecollectionnew/taxon.php?Taxon=Camissonia%20contorta</t>
  </si>
  <si>
    <t>http://biology.burke.washington.edu/herbarium/imagecollectionnew/taxon.php?Taxon=Camassia%20quamash</t>
  </si>
  <si>
    <t>http://biology.burke.washington.edu/herbarium/imagecollectionnew/taxon.php?Taxon=Camassia%20leichtlinii</t>
  </si>
  <si>
    <t>http://biology.burke.washington.edu/herbarium/imagecollectionnew/taxon.php?Taxon=Calypso%20bulbosa</t>
  </si>
  <si>
    <t>http://biology.burke.washington.edu/herbarium/imagecollectionnew/taxon.php?Taxon=Caltha%20palustris</t>
  </si>
  <si>
    <t>http://biology.burke.washington.edu/herbarium/imagecollectionnew/taxon.php?Taxon=Caltha%20leptosepala</t>
  </si>
  <si>
    <t>http://biology.burke.washington.edu/herbarium/imagecollectionnew/taxon.php?Taxon=Callitropsis%20nootkatensis</t>
  </si>
  <si>
    <t>http://biology.burke.washington.edu/herbarium/imagecollectionnew/taxon.php?Taxon=Callitriche%20palustris</t>
  </si>
  <si>
    <t>http://biology.burke.washington.edu/herbarium/imagecollectionnew/taxon.php?Taxon=Callitriche%20heterophylla</t>
  </si>
  <si>
    <t>http://biology.burke.washington.edu/herbarium/imagecollectionnew/taxon.php?Taxon=Calandrinia%20ciliata</t>
  </si>
  <si>
    <t>http://biology.burke.washington.edu/herbarium/imagecollectionnew/taxon.php?Taxon=Calamagrostis%20stricta</t>
  </si>
  <si>
    <t>http://biology.burke.washington.edu/herbarium/imagecollectionnew/taxon.php?Taxon=Calamagrostis%20nutkaensis</t>
  </si>
  <si>
    <t>http://biology.burke.washington.edu/herbarium/imagecollectionnew/taxon.php?Taxon=Calamagrostis%20canadensis</t>
  </si>
  <si>
    <t>http://biology.burke.washington.edu/herbarium/imagecollectionnew/taxon.php?Taxon=Cakile%20edentula</t>
  </si>
  <si>
    <t>Sharp-Tooth Angelica</t>
  </si>
  <si>
    <t>Abies amabilis</t>
  </si>
  <si>
    <t>Abies grandis</t>
  </si>
  <si>
    <t>Abies lasiocarpa</t>
  </si>
  <si>
    <t>Abies procera</t>
  </si>
  <si>
    <t>Abronia latifolia</t>
  </si>
  <si>
    <t>Abronia umbellata</t>
  </si>
  <si>
    <t>Acer circinatum</t>
  </si>
  <si>
    <t>Acer glabrum</t>
  </si>
  <si>
    <t>Acer macrophyllum</t>
  </si>
  <si>
    <t>Achillea millefolium</t>
  </si>
  <si>
    <t>Achlys triphylla</t>
  </si>
  <si>
    <t>Actaea elata</t>
  </si>
  <si>
    <t>Actaea rubra</t>
  </si>
  <si>
    <t>Adenocaulon bicolor</t>
  </si>
  <si>
    <t>Adiantum aleuticum</t>
  </si>
  <si>
    <t>Adiantum pedatum</t>
  </si>
  <si>
    <t>Agoseris apargioides</t>
  </si>
  <si>
    <t>Agoseris grandiflora</t>
  </si>
  <si>
    <t>Agoseris heterophylla</t>
  </si>
  <si>
    <t>Agoseris elata</t>
  </si>
  <si>
    <t>Agrostis exarata</t>
  </si>
  <si>
    <t>Agrostis oregonensis</t>
  </si>
  <si>
    <t>Agrostis pallens</t>
  </si>
  <si>
    <t>Agrostis scabra</t>
  </si>
  <si>
    <t>Alisma triviale</t>
  </si>
  <si>
    <t>Allium acuminatum</t>
  </si>
  <si>
    <t>Allium amplectens</t>
  </si>
  <si>
    <t>Allium cernuum</t>
  </si>
  <si>
    <t>Allium crenulatum</t>
  </si>
  <si>
    <t>Allium schoenoprasum</t>
  </si>
  <si>
    <t>Alnus incana</t>
  </si>
  <si>
    <t>Alnus rubra</t>
  </si>
  <si>
    <t>Alnus viridis</t>
  </si>
  <si>
    <t>Ambrosia chamissonis</t>
  </si>
  <si>
    <t>Amelanchier alnifolia</t>
  </si>
  <si>
    <t>Amsinckia lycopsoides</t>
  </si>
  <si>
    <t>Amsinckia menziesii</t>
  </si>
  <si>
    <t>Amsinckia spectabilis</t>
  </si>
  <si>
    <t>Anaphalis margaritacea</t>
  </si>
  <si>
    <t>Andromeda polifolia</t>
  </si>
  <si>
    <t>Anemone deltoidea</t>
  </si>
  <si>
    <t>Anemone lyallii</t>
  </si>
  <si>
    <t>Anemone multifida</t>
  </si>
  <si>
    <t>Anemone oregana</t>
  </si>
  <si>
    <t>Angelica arguta</t>
  </si>
  <si>
    <t>Angelica genuflexa</t>
  </si>
  <si>
    <t>Angelica lucida</t>
  </si>
  <si>
    <t>Apocynum androsaemifolium</t>
  </si>
  <si>
    <t>Apocynum cannabinum</t>
  </si>
  <si>
    <t>Aquilegia formosa</t>
  </si>
  <si>
    <t>Arbutus menziesii</t>
  </si>
  <si>
    <t>Arceuthobium campylopodum</t>
  </si>
  <si>
    <t>Arctostaphylos columbiana</t>
  </si>
  <si>
    <t>Arctostaphylos media</t>
  </si>
  <si>
    <t>Arctostaphylos uva-ursi</t>
  </si>
  <si>
    <t>Armeria maritima</t>
  </si>
  <si>
    <t>Arnica longifolia</t>
  </si>
  <si>
    <t>Artemisia campestris</t>
  </si>
  <si>
    <t>Artemisia ludoviciana</t>
  </si>
  <si>
    <t>Artemisia michauxiana</t>
  </si>
  <si>
    <t>Artemisia suksdorfii</t>
  </si>
  <si>
    <t>Aruncus dioicus</t>
  </si>
  <si>
    <t>Asarum caudatum</t>
  </si>
  <si>
    <t>Asclepias cordifolia</t>
  </si>
  <si>
    <t>Asclepias speciosa</t>
  </si>
  <si>
    <t>Aspidotis densa</t>
  </si>
  <si>
    <t>Asplenium trichomanes</t>
  </si>
  <si>
    <t>http://biology.burke.washington.edu/herbarium/imagecollectionnew/taxon.php?Taxon=Carex%20amplifolia</t>
  </si>
  <si>
    <t>http://biology.burke.washington.edu/herbarium/imagecollectionnew/taxon.php?Taxon=Carex%20viridula</t>
  </si>
  <si>
    <t>http://biology.burke.washington.edu/herbarium/imagecollectionnew/taxon.php?Taxon=Carex%20leptopoda</t>
  </si>
  <si>
    <t>http://biology.burke.washington.edu/herbarium/imagecollectionnew/taxon.php?Taxon=Carex%20aquatilis</t>
  </si>
  <si>
    <t>http://biology.burke.washington.edu/herbarium/imagecollectionnew/taxon.php?Taxon=Carex%20athrostachya</t>
  </si>
  <si>
    <t>http://biology.burke.washington.edu/herbarium/imagecollectionnew/taxon.php?Taxon=Carex%20canescens</t>
  </si>
  <si>
    <t>http://biology.burke.washington.edu/herbarium/imagecollectionnew/taxon.php?Taxon=Carex%20comosa</t>
  </si>
  <si>
    <t>http://biology.burke.washington.edu/herbarium/imagecollectionnew/taxon.php?Taxon=Carex%20cusickii</t>
  </si>
  <si>
    <t>http://biology.burke.washington.edu/herbarium/imagecollectionnew/taxon.php?Taxon=Carex%20densa</t>
  </si>
  <si>
    <t>http://biology.burke.washington.edu/herbarium/imagecollectionnew/taxon.php?Taxon=Carex%20deweyana</t>
  </si>
  <si>
    <t>http://biology.burke.washington.edu/herbarium/imagecollectionnew/taxon.php?Taxon=Carex%20echinata</t>
  </si>
  <si>
    <t>http://biology.burke.washington.edu/herbarium/imagecollectionnew/taxon.php?Taxon=Carex%20feta</t>
  </si>
  <si>
    <t>http://biology.burke.washington.edu/herbarium/imagecollectionnew/taxon.php?Taxon=Carex%20hendersonii</t>
  </si>
  <si>
    <t>http://biology.burke.washington.edu/herbarium/imagecollectionnew/taxon.php?Taxon=Carex%20inops</t>
  </si>
  <si>
    <t>http://biology.burke.washington.edu/herbarium/imagecollectionnew/taxon.php?Taxon=Carex%20interrupta</t>
  </si>
  <si>
    <t>http://biology.burke.washington.edu/herbarium/imagecollectionnew/taxon.php?Taxon=Carex%20lasiocarpa</t>
  </si>
  <si>
    <t>http://biology.burke.washington.edu/herbarium/imagecollectionnew/taxon.php?Taxon=Carex%20limosa</t>
  </si>
  <si>
    <t>http://biology.burke.washington.edu/herbarium/imagecollectionnew/taxon.php?Taxon=Carex%20lyngbyei</t>
  </si>
  <si>
    <t>http://biology.burke.washington.edu/herbarium/imagecollectionnew/taxon.php?Taxon=Carex%20macrocephala</t>
  </si>
  <si>
    <t>http://biology.burke.washington.edu/herbarium/imagecollectionnew/taxon.php?Taxon=Carex%20mertensii</t>
  </si>
  <si>
    <t>http://biology.burke.washington.edu/herbarium/imagecollectionnew/taxon.php?Taxon=Carex%20nudata</t>
  </si>
  <si>
    <t>Torrent Sedge</t>
  </si>
  <si>
    <t>http://biology.burke.washington.edu/herbarium/imagecollectionnew/taxon.php?Taxon=Carex%20obnupta</t>
  </si>
  <si>
    <t>http://biology.burke.washington.edu/herbarium/imagecollectionnew/taxon.php?Taxon=Carex%20pachystachya</t>
  </si>
  <si>
    <t>http://biology.burke.washington.edu/herbarium/imagecollectionnew/taxon.php?Taxon=Carex%20pansa</t>
  </si>
  <si>
    <t>http://biology.burke.washington.edu/herbarium/imagecollectionnew/taxon.php?Taxon=Carex%20pauciflora</t>
  </si>
  <si>
    <t>http://biology.burke.washington.edu/herbarium/imagecollectionnew/taxon.php?Taxon=Carex%20pellita</t>
  </si>
  <si>
    <t>http://biology.burke.washington.edu/herbarium/imagecollectionnew/taxon.php?Taxon=Carex%20pluriflora</t>
  </si>
  <si>
    <t>http://biology.burke.washington.edu/herbarium/imagecollectionnew/taxon.php?Taxon=Carex%20praticola</t>
  </si>
  <si>
    <t>http://biology.burke.washington.edu/herbarium/imagecollectionnew/taxon.php?Taxon=Carex%20rossii</t>
  </si>
  <si>
    <t>http://biology.burke.washington.edu/herbarium/imagecollectionnew/taxon.php?Taxon=Carex%20stipata</t>
  </si>
  <si>
    <t>http://biology.burke.washington.edu/herbarium/imagecollectionnew/taxon.php?Taxon=Carex%20stylosa</t>
  </si>
  <si>
    <t>http://biology.burke.washington.edu/herbarium/imagecollectionnew/taxon.php?Taxon=Carex%20tumulicola</t>
  </si>
  <si>
    <t>http://biology.burke.washington.edu/herbarium/imagecollectionnew/taxon.php?Taxon=Carex%20unilateralis</t>
  </si>
  <si>
    <t>http://biology.burke.washington.edu/herbarium/imagecollectionnew/taxon.php?Taxon=Carex%20utriculata</t>
  </si>
  <si>
    <t>http://biology.burke.washington.edu/herbarium/imagecollectionnew/taxon.php?Taxon=Carex%20vesicaria</t>
  </si>
  <si>
    <t>http://biology.burke.washington.edu/herbarium/imagecollectionnew/taxon.php?Taxon=Carex%20vulpinoidea</t>
  </si>
  <si>
    <t>http://biology.burke.washington.edu/herbarium/imagecollectionnew/taxon.php?Taxon=Cystopteris%20fragilis</t>
  </si>
  <si>
    <t>http://biology.burke.washington.edu/herbarium/imagecollectionnew/taxon.php?Taxon=Cyperus%20squarrosus</t>
  </si>
  <si>
    <t>http://biology.burke.washington.edu/herbarium/imagecollectionnew/taxon.php?Taxon=Cyperus%20erythrorhizos</t>
  </si>
  <si>
    <t>http://biology.burke.washington.edu/herbarium/imagecollectionnew/taxon.php?Taxon=Cyperus%20bipartitus</t>
  </si>
  <si>
    <t>http://biology.burke.washington.edu/herbarium/imagecollectionnew/taxon.php?Taxon=Cuscuta%20cephalanthi</t>
  </si>
  <si>
    <t>http://biology.burke.washington.edu/herbarium/imagecollectionnew/taxon.php?Taxon=Cryptogramma%20acrostichoides</t>
  </si>
  <si>
    <t>http://biology.burke.washington.edu/herbarium/imagecollectionnew/taxon.php?Taxon=Cryptantha%20intermedia</t>
  </si>
  <si>
    <t>http://biology.burke.washington.edu/herbarium/imagecollectionnew/taxon.php?Taxon=Crocidium%20multicaule</t>
  </si>
  <si>
    <t>http://biology.burke.washington.edu/herbarium/imagecollectionnew/taxon.php?Taxon=Crataegus%20douglasii</t>
  </si>
  <si>
    <t>http://biology.burke.washington.edu/herbarium/imagecollectionnew/taxon.php?Taxon=Crassula%20connata</t>
  </si>
  <si>
    <t>http://biology.burke.washington.edu/herbarium/imagecollectionnew/taxon.php?Taxon=Crassula%20aquatica</t>
  </si>
  <si>
    <t>http://biology.burke.washington.edu/herbarium/imagecollectionnew/taxon.php?Taxon=Corylus%20cornuta</t>
  </si>
  <si>
    <t>http://biology.burke.washington.edu/herbarium/imagecollectionnew/taxon.php?Taxon=Corydalis%20scouleri</t>
  </si>
  <si>
    <t>http://biology.burke.washington.edu/herbarium/imagecollectionnew/taxon.php?Taxon=Cornus%20unalaschkensis</t>
  </si>
  <si>
    <t>http://biology.burke.washington.edu/herbarium/imagecollectionnew/taxon.php?Taxon=Cornus%20stolonifera</t>
  </si>
  <si>
    <t>http://biology.burke.washington.edu/herbarium/imagecollectionnew/taxon.php?Taxon=Cornus%20nuttallii</t>
  </si>
  <si>
    <t>http://biology.burke.washington.edu/herbarium/imagecollectionnew/taxon.php?Taxon=Corallorhiza%20trifida</t>
  </si>
  <si>
    <t>http://biology.burke.washington.edu/herbarium/imagecollectionnew/taxon.php?Taxon=Corallorhiza%20striata</t>
  </si>
  <si>
    <t>http://biology.burke.washington.edu/herbarium/imagecollectionnew/taxon.php?Taxon=Corallorhiza%20maculata</t>
  </si>
  <si>
    <t>http://biology.burke.washington.edu/herbarium/imagecollectionnew/taxon.php?Taxon=Coptis%20laciniata</t>
  </si>
  <si>
    <t>http://biology.burke.washington.edu/herbarium/imagecollectionnew/taxon.php?Taxon=Coptis%20aspleniifolia</t>
  </si>
  <si>
    <t>http://biology.burke.washington.edu/herbarium/imagecollectionnew/taxon.php?Taxon=Conyza%20canadensis</t>
  </si>
  <si>
    <t>http://biology.burke.washington.edu/herbarium/imagecollectionnew/taxon.php?Taxon=Calystegia%20soldanella</t>
  </si>
  <si>
    <t>http://biology.burke.washington.edu/herbarium/imagecollectionnew/taxon.php?Taxon=Collomia%20linearis</t>
  </si>
  <si>
    <t>http://biology.burke.washington.edu/herbarium/imagecollectionnew/taxon.php?Taxon=Collomia%20heterophylla</t>
  </si>
  <si>
    <t>http://biology.burke.washington.edu/herbarium/imagecollectionnew/taxon.php?Taxon=Collomia%20grandiflora</t>
  </si>
  <si>
    <t>http://biology.burke.washington.edu/herbarium/imagecollectionnew/taxon.php?Taxon=Collinsia%20parviflora</t>
  </si>
  <si>
    <t>http://biology.burke.washington.edu/herbarium/imagecollectionnew/taxon.php?Taxon=Collinsia%20grandiflora</t>
  </si>
  <si>
    <t>http://biology.burke.washington.edu/herbarium/imagecollectionnew/taxon.php?Taxon=Cochlearia%20groenlandica</t>
  </si>
  <si>
    <t>http://biology.burke.washington.edu/herbarium/imagecollectionnew/taxon.php?Taxon=Clintonia%20uniflora</t>
  </si>
  <si>
    <t>http://biology.burke.washington.edu/herbarium/imagecollectionnew/taxon.php?Taxon=Clinopodium%20douglasii</t>
  </si>
  <si>
    <t>http://biology.burke.washington.edu/herbarium/imagecollectionnew/taxon.php?Taxon=Clematis%20ligusticifolia</t>
  </si>
  <si>
    <t>http://biology.burke.washington.edu/herbarium/imagecollectionnew/taxon.php?Taxon=Claytonia%20sibirica</t>
  </si>
  <si>
    <t>http://biology.burke.washington.edu/herbarium/imagecollectionnew/taxon.php?Taxon=Claytonia%20rubra</t>
  </si>
  <si>
    <t>http://biology.burke.washington.edu/herbarium/imagecollectionnew/taxon.php?Taxon=Claytonia%20perfoliata</t>
  </si>
  <si>
    <t>http://biology.burke.washington.edu/herbarium/imagecollectionnew/taxon.php?Taxon=Claytonia%20parviflora</t>
  </si>
  <si>
    <t>http://biology.burke.washington.edu/herbarium/imagecollectionnew/taxon.php?Taxon=Claytonia%20lanceolata</t>
  </si>
  <si>
    <t>http://biology.burke.washington.edu/herbarium/imagecollectionnew/taxon.php?Taxon=Clarkia%20purpurea</t>
  </si>
  <si>
    <t>http://biology.burke.washington.edu/herbarium/imagecollectionnew/taxon.php?Taxon=Clarkia%20gracilis</t>
  </si>
  <si>
    <t>http://biology.burke.washington.edu/herbarium/imagecollectionnew/taxon.php?Taxon=Clarkia%20amoena</t>
  </si>
  <si>
    <t>http://biology.burke.washington.edu/herbarium/imagecollectionnew/taxon.php?Taxon=Cirsium%20remotifolium</t>
  </si>
  <si>
    <t>http://biology.burke.washington.edu/herbarium/imagecollectionnew/taxon.php?Taxon=Cirsium%20edule</t>
  </si>
  <si>
    <t>http://biology.burke.washington.edu/herbarium/imagecollectionnew/taxon.php?Taxon=Cirsium%20brevistylum</t>
  </si>
  <si>
    <t>http://biology.burke.washington.edu/herbarium/imagecollectionnew/taxon.php?Taxon=Circaea%20alpina</t>
  </si>
  <si>
    <t>http://biology.burke.washington.edu/herbarium/imagecollectionnew/taxon.php?Taxon=Cinna%20latifolia</t>
  </si>
  <si>
    <t>http://biology.burke.washington.edu/herbarium/imagecollectionnew/taxon.php?Taxon=Cicuta%20douglasii</t>
  </si>
  <si>
    <t>http://biology.burke.washington.edu/herbarium/imagecollectionnew/taxon.php?Taxon=Cicuta%20bulbifera</t>
  </si>
  <si>
    <t>http://biology.burke.washington.edu/herbarium/imagecollectionnew/taxon.php?Taxon=Chrysosplenium%20glechomifolium</t>
  </si>
  <si>
    <t>http://biology.burke.washington.edu/herbarium/imagecollectionnew/taxon.php?Taxon=Chrysolepis%20chrysophylla</t>
  </si>
  <si>
    <t>http://biology.burke.washington.edu/herbarium/imagecollectionnew/taxon.php?Taxon=Chimaphila%20umbellata</t>
  </si>
  <si>
    <t>http://biology.burke.washington.edu/herbarium/imagecollectionnew/taxon.php?Taxon=Chimaphila%20menziesii</t>
  </si>
  <si>
    <t>http://biology.burke.washington.edu/herbarium/imagecollectionnew/taxon.php?Taxon=Oxybasis%20rubra</t>
  </si>
  <si>
    <t>http://biology.burke.washington.edu/herbarium/imagecollectionnew/taxon.php?Taxon=Chenopodium%20berlandieri</t>
  </si>
  <si>
    <t>http://biology.burke.washington.edu/herbarium/imagecollectionnew/taxon.php?Taxon=Myriopteris%20gracillima</t>
  </si>
  <si>
    <t>Myriopteris gracillima</t>
  </si>
  <si>
    <t>http://biology.burke.washington.edu/herbarium/imagecollectionnew/taxon.php?Taxon=Chamaenerion%20angustifolium</t>
  </si>
  <si>
    <t>http://biology.burke.washington.edu/herbarium/imagecollectionnew/taxon.php?Taxon=Ceratophyllum%20demersum</t>
  </si>
  <si>
    <t>http://biology.burke.washington.edu/herbarium/imagecollectionnew/taxon.php?Taxon=Cerastium%20arvense</t>
  </si>
  <si>
    <t>http://biology.burke.washington.edu/herbarium/imagecollectionnew/taxon.php?Taxon=Cephalanthera%20austiniae</t>
  </si>
  <si>
    <t>http://biology.burke.washington.edu/herbarium/imagecollectionnew/taxon.php?Taxon=Celtis%20reticulata</t>
  </si>
  <si>
    <t>http://biology.burke.washington.edu/herbarium/imagecollectionnew/taxon.php?Taxon=Ceanothus%20velutinus</t>
  </si>
  <si>
    <t>http://biology.burke.washington.edu/herbarium/imagecollectionnew/taxon.php?Taxon=Ceanothus%20sanguineus</t>
  </si>
  <si>
    <t>http://biology.burke.washington.edu/herbarium/imagecollectionnew/taxon.php?Taxon=Ceanothus%20prostratus</t>
  </si>
  <si>
    <t>http://biology.burke.washington.edu/herbarium/imagecollectionnew/taxon.php?Taxon=Ceanothus%20integerrimus</t>
  </si>
  <si>
    <t>http://biology.burke.washington.edu/herbarium/imagecollectionnew/taxon.php?Taxon=Castilleja%20miniata</t>
  </si>
  <si>
    <t>http://biology.burke.washington.edu/herbarium/imagecollectionnew/taxon.php?Taxon=Castilleja%20levisecta</t>
  </si>
  <si>
    <t>http://biology.burke.washington.edu/herbarium/imagecollectionnew/taxon.php?Taxon=Castilleja%20hispida</t>
  </si>
  <si>
    <t>http://biology.burke.washington.edu/herbarium/imagecollectionnew/taxon.php?Taxon=Castilleja%20attenuata</t>
  </si>
  <si>
    <t>http://biology.burke.washington.edu/herbarium/imagecollectionnew/taxon.php?Taxon=Castilleja%20ambigua</t>
  </si>
  <si>
    <t>Purple Godetia</t>
  </si>
  <si>
    <t>http://biology.burke.washington.edu/herbarium/imagecollectionnew/taxon.php?Taxon=Danthonia%20spicata</t>
  </si>
  <si>
    <t>http://biology.burke.washington.edu/herbarium/imagecollectionnew/taxon.php?Taxon=Danthonia%20californica</t>
  </si>
  <si>
    <t>http://biology.burke.washington.edu/herbarium/imagecollectionnew/taxon.php?Taxon=Dulichium%20arundinaceum</t>
  </si>
  <si>
    <t>http://biology.burke.washington.edu/herbarium/imagecollectionnew/taxon.php?Taxon=Dryopteris%20filix-mas</t>
  </si>
  <si>
    <t>http://biology.burke.washington.edu/herbarium/imagecollectionnew/taxon.php?Taxon=Dryopteris%20expansa</t>
  </si>
  <si>
    <t>http://biology.burke.washington.edu/herbarium/imagecollectionnew/taxon.php?Taxon=Dryopteris%20carthusiana</t>
  </si>
  <si>
    <t>http://biology.burke.washington.edu/herbarium/imagecollectionnew/taxon.php?Taxon=Dryopteris%20arguta</t>
  </si>
  <si>
    <t>http://biology.burke.washington.edu/herbarium/imagecollectionnew/taxon.php?Taxon=Drosera%20rotundifolia</t>
  </si>
  <si>
    <t>http://biology.burke.washington.edu/herbarium/imagecollectionnew/taxon.php?Taxon=Dodecatheon%20pulchellum</t>
  </si>
  <si>
    <t>http://biology.burke.washington.edu/herbarium/imagecollectionnew/taxon.php?Taxon=Dodecatheon%20jeffreyi</t>
  </si>
  <si>
    <t>http://biology.burke.washington.edu/herbarium/imagecollectionnew/taxon.php?Taxon=Dodecatheon%20hendersonii</t>
  </si>
  <si>
    <t>http://biology.burke.washington.edu/herbarium/imagecollectionnew/taxon.php?Taxon=Dodecatheon%20austrofrigidum</t>
  </si>
  <si>
    <t>http://biology.burke.washington.edu/herbarium/imagecollectionnew/taxon.php?Taxon=Distichlis%20spicata</t>
  </si>
  <si>
    <t>http://biology.burke.washington.edu/herbarium/imagecollectionnew/taxon.php?Taxon=Dichelostemma%20congestum</t>
  </si>
  <si>
    <t>http://biology.burke.washington.edu/herbarium/imagecollectionnew/taxon.php?Taxon=Dichanthelium%20acuminatum</t>
  </si>
  <si>
    <t>http://biology.burke.washington.edu/herbarium/imagecollectionnew/taxon.php?Taxon=Dicentra%20formosa</t>
  </si>
  <si>
    <t>http://biology.burke.washington.edu/herbarium/imagecollectionnew/taxon.php?Taxon=Deschampsia%20elongata</t>
  </si>
  <si>
    <t>http://biology.burke.washington.edu/herbarium/imagecollectionnew/taxon.php?Taxon=Deschampsia%20cespitosa</t>
  </si>
  <si>
    <t>http://biology.burke.washington.edu/herbarium/imagecollectionnew/taxon.php?Taxon=Delphinium%20trolliifolium</t>
  </si>
  <si>
    <t>http://biology.burke.washington.edu/herbarium/imagecollectionnew/taxon.php?Taxon=Delphinium%20nuttallii</t>
  </si>
  <si>
    <t>http://biology.burke.washington.edu/herbarium/imagecollectionnew/taxon.php?Taxon=Delphinium%20menziesii</t>
  </si>
  <si>
    <t>http://biology.burke.washington.edu/herbarium/imagecollectionnew/taxon.php?Taxon=Delphinium%20glaucum</t>
  </si>
  <si>
    <t>http://biology.burke.washington.edu/herbarium/imagecollectionnew/taxon.php?Taxon=Daucus%20pusillus</t>
  </si>
  <si>
    <t>http://biology.burke.washington.edu/herbarium/imagecollectionnew/taxon.php?Taxon=Datura%20wrightii</t>
  </si>
  <si>
    <t>http://biology.burke.washington.edu/herbarium/imagecollectionnew/taxon.php?Taxon=Dasiphora%20fruticosa</t>
  </si>
  <si>
    <t>http://biology.burke.washington.edu/herbarium/imagecollectionnew/taxon.php?Taxon=Danthonia%20intermedia</t>
  </si>
  <si>
    <t>http://biology.burke.washington.edu/herbarium/imagecollectionnew/taxon.php?Taxon=Urtica%20dioica</t>
  </si>
  <si>
    <t>http://biology.burke.washington.edu/herbarium/imagecollectionnew/taxon.php?Taxon=Utricularia%20gibba</t>
  </si>
  <si>
    <t>http://biology.burke.washington.edu/herbarium/imagecollectionnew/taxon.php?Taxon=Utricularia%20minor</t>
  </si>
  <si>
    <t>http://biology.burke.washington.edu/herbarium/imagecollectionnew/taxon.php?Taxon=Utricularia%20vulgaris</t>
  </si>
  <si>
    <t>http://biology.burke.washington.edu/herbarium/imagecollectionnew/taxon.php?Taxon=Vaccinium%20deliciosum</t>
  </si>
  <si>
    <t>http://biology.burke.washington.edu/herbarium/imagecollectionnew/taxon.php?Taxon=Vaccinium%20membranaceum</t>
  </si>
  <si>
    <t>http://biology.burke.washington.edu/herbarium/imagecollectionnew/taxon.php?Taxon=Vaccinium%20ovalifolium</t>
  </si>
  <si>
    <t>http://biology.burke.washington.edu/herbarium/imagecollectionnew/taxon.php?Taxon=Vaccinium%20ovatum</t>
  </si>
  <si>
    <t>http://biology.burke.washington.edu/herbarium/imagecollectionnew/taxon.php?Taxon=Vaccinium%20oxycoccos</t>
  </si>
  <si>
    <t>http://biology.burke.washington.edu/herbarium/imagecollectionnew/taxon.php?Taxon=Vaccinium%20parvifolium</t>
  </si>
  <si>
    <t>http://biology.burke.washington.edu/herbarium/imagecollectionnew/taxon.php?Taxon=Vaccinium%20uliginosum</t>
  </si>
  <si>
    <t>http://biology.burke.washington.edu/herbarium/imagecollectionnew/taxon.php?Taxon=Valeriana%20scouleri</t>
  </si>
  <si>
    <t>http://biology.burke.washington.edu/herbarium/imagecollectionnew/taxon.php?Taxon=Valeriana%20sitchensis</t>
  </si>
  <si>
    <t>http://biology.burke.washington.edu/herbarium/imagecollectionnew/taxon.php?Taxon=Vancouveria%20hexandra</t>
  </si>
  <si>
    <t>http://biology.burke.washington.edu/herbarium/imagecollectionnew/taxon.php?Taxon=Veratrum%20californicum</t>
  </si>
  <si>
    <t>http://biology.burke.washington.edu/herbarium/imagecollectionnew/taxon.php?Taxon=Veratrum%20viride</t>
  </si>
  <si>
    <t>http://biology.burke.washington.edu/herbarium/imagecollectionnew/taxon.php?Taxon=Verbena%20hastata</t>
  </si>
  <si>
    <t>http://biology.burke.washington.edu/herbarium/imagecollectionnew/taxon.php?Taxon=Veronica%20americana</t>
  </si>
  <si>
    <t>http://biology.burke.washington.edu/herbarium/imagecollectionnew/taxon.php?Taxon=Veronica%20peregrina</t>
  </si>
  <si>
    <t>http://biology.burke.washington.edu/herbarium/imagecollectionnew/taxon.php?Taxon=Veronica%20scutellata</t>
  </si>
  <si>
    <t>http://biology.burke.washington.edu/herbarium/imagecollectionnew/taxon.php?Taxon=Viburnum%20edule</t>
  </si>
  <si>
    <t>http://biology.burke.washington.edu/herbarium/imagecollectionnew/taxon.php?Taxon=Viburnum%20ellipticum</t>
  </si>
  <si>
    <t>http://biology.burke.washington.edu/herbarium/imagecollectionnew/taxon.php?Taxon=Viburnum%20opulus</t>
  </si>
  <si>
    <t>http://biology.burke.washington.edu/herbarium/imagecollectionnew/taxon.php?Taxon=Vicia%20americana</t>
  </si>
  <si>
    <t>http://biology.burke.washington.edu/herbarium/imagecollectionnew/taxon.php?Taxon=Vicia%20nigricans</t>
  </si>
  <si>
    <t>http://biology.burke.washington.edu/herbarium/imagecollectionnew/taxon.php?Taxon=Viola%20adunca</t>
  </si>
  <si>
    <t>http://biology.burke.washington.edu/herbarium/imagecollectionnew/taxon.php?Taxon=Viola%20canadensis</t>
  </si>
  <si>
    <t>http://biology.burke.washington.edu/herbarium/imagecollectionnew/taxon.php?Taxon=Viola%20glabella</t>
  </si>
  <si>
    <t>http://biology.burke.washington.edu/herbarium/imagecollectionnew/taxon.php?Taxon=Viola%20howellii</t>
  </si>
  <si>
    <t>http://biology.burke.washington.edu/herbarium/imagecollectionnew/taxon.php?Taxon=Viola%20langsdorffii</t>
  </si>
  <si>
    <t>http://biology.burke.washington.edu/herbarium/imagecollectionnew/taxon.php?Taxon=Viola%20orbiculata</t>
  </si>
  <si>
    <t>http://biology.burke.washington.edu/herbarium/imagecollectionnew/taxon.php?Taxon=Viola%20palustris</t>
  </si>
  <si>
    <t>http://biology.burke.washington.edu/herbarium/imagecollectionnew/taxon.php?Taxon=Viola%20sempervirens</t>
  </si>
  <si>
    <t>http://biology.burke.washington.edu/herbarium/imagecollectionnew/taxon.php?Taxon=Viola%20nuttallii</t>
  </si>
  <si>
    <t>http://biology.burke.washington.edu/herbarium/imagecollectionnew/taxon.php?Taxon=Vulpia%20microstachys</t>
  </si>
  <si>
    <t>http://biology.burke.washington.edu/herbarium/imagecollectionnew/taxon.php?Taxon=Woodsia%20oregana</t>
  </si>
  <si>
    <t>http://biology.burke.washington.edu/herbarium/imagecollectionnew/taxon.php?Taxon=Woodwardia%20fimbriata</t>
  </si>
  <si>
    <t>http://biology.burke.washington.edu/herbarium/imagecollectionnew/taxon.php?Taxon=Xanthium%20strumarium</t>
  </si>
  <si>
    <t>http://biology.burke.washington.edu/herbarium/imagecollectionnew/taxon.php?Taxon=Xerophyllum%20tenax</t>
  </si>
  <si>
    <t>http://biology.burke.washington.edu/herbarium/imagecollectionnew/taxon.php?Taxon=Yabea%20microcarpa</t>
  </si>
  <si>
    <t>http://biology.burke.washington.edu/herbarium/imagecollectionnew/taxon.php?Taxon=Zannichellia%20palustris</t>
  </si>
  <si>
    <t>http://biology.burke.washington.edu/herbarium/imagecollectionnew/taxon.php?Taxon=Eleocharis%20ovata</t>
  </si>
  <si>
    <t>http://biology.burke.washington.edu/herbarium/imagecollectionnew/taxon.php?Taxon=Eleocharis%20engelmannii</t>
  </si>
  <si>
    <t>http://biology.burke.washington.edu/herbarium/imagecollection/taxon.php?Taxon=Cypripedium%20montanum</t>
  </si>
  <si>
    <r>
      <t>Name</t>
    </r>
    <r>
      <rPr>
        <i/>
        <sz val="10"/>
        <rFont val="Arial"/>
        <family val="2"/>
      </rPr>
      <t xml:space="preserve"> (Burke URL)</t>
    </r>
  </si>
  <si>
    <t>http://biology.burke.washington.edu/herbarium/imagecollectionnew/taxon.php?Taxon=Zeltnera%20muehlenbergii</t>
  </si>
  <si>
    <t>http://biology.burke.washington.edu/herbarium/imagecollectionnew/taxon.php?Taxon=Toxicoscordion%20venenosum</t>
  </si>
  <si>
    <t>and crossreferenced to the old Hitchcock and Arthur Cronquist's Flora of the Pacific Northwest: An Illustrated Manual (University of Washington Press, 1976)</t>
  </si>
  <si>
    <t>Symphyotrichum hallii</t>
  </si>
  <si>
    <t>California Pitcher Plant</t>
  </si>
  <si>
    <t>Packera bolanderi</t>
  </si>
  <si>
    <t>Bolander's Ragwort</t>
  </si>
  <si>
    <t>Thinleaf Pea</t>
  </si>
  <si>
    <t>Giant Sequoia (non native)</t>
  </si>
  <si>
    <t>Redwood (non native)</t>
  </si>
  <si>
    <t>Sulpher Flower</t>
  </si>
  <si>
    <t>Torry's Willowherb</t>
  </si>
  <si>
    <t>Purple Coneflower (non-native)</t>
  </si>
  <si>
    <t>Oxybasis rubra</t>
  </si>
  <si>
    <t>Carex rostrata</t>
  </si>
  <si>
    <t>http://biology.burke.washington.edu/herbarium/imagecollectionnew/taxon.php?Taxon=Carex rostrata</t>
  </si>
  <si>
    <r>
      <t>ScientificName</t>
    </r>
    <r>
      <rPr>
        <i/>
        <sz val="10"/>
        <rFont val="Arial"/>
        <family val="2"/>
      </rPr>
      <t xml:space="preserve"> (USDA URL)</t>
    </r>
  </si>
  <si>
    <r>
      <t>Other Names</t>
    </r>
    <r>
      <rPr>
        <i/>
        <u/>
        <sz val="10"/>
        <color indexed="12"/>
        <rFont val="Arial"/>
        <family val="2"/>
      </rPr>
      <t xml:space="preserve"> (Wiki URL)</t>
    </r>
  </si>
  <si>
    <t xml:space="preserve">Seaside Agoseris </t>
  </si>
  <si>
    <t>http://biology.burke.washington.edu/herbarium/imagecollectionnew/taxon.php?Taxon=Allotropa virgata</t>
  </si>
  <si>
    <t>http://biology.burke.washington.edu/herbarium/imagecollectionnew/taxon.php?Taxon=Amelanchier alnifolia</t>
  </si>
  <si>
    <t>http://biology.burke.washington.edu/herbarium/imagecollectionnew/taxon.php?Taxon=Antennaria howellii</t>
  </si>
  <si>
    <t>http://biology.burke.washington.edu/herbarium/imagecollectionnew/taxon.php?Taxon=Antennaria racemosa</t>
  </si>
  <si>
    <t>http://biology.burke.washington.edu/herbarium/imagecollectionnew/taxon.php?Taxon=Turritis glabra</t>
  </si>
  <si>
    <t>http://biology.burke.washington.edu/herbarium/imagecollectionnew/taxon.php?Taxon=Typha angustifolia</t>
  </si>
  <si>
    <t>http://biology.burke.washington.edu/herbarium/imagecollectionnew/taxon.php?Taxon=Tsuga heterophylla</t>
  </si>
  <si>
    <t>http://biology.burke.washington.edu/herbarium/imagecollectionnew/taxon.php?Taxon=Triteleia hyacinthina</t>
  </si>
  <si>
    <t>http://biology.burke.washington.edu/herbarium/imagecollectionnew/taxon.php?Taxon=Trisetum canescens</t>
  </si>
  <si>
    <t>http://biology.burke.washington.edu/herbarium/imagecollectionnew/taxon.php?Taxon=Triphysaria pusilla</t>
  </si>
  <si>
    <t>https://www.calflora.org/cgi-bin/species_query.cgi?where-calrecnum=8126</t>
  </si>
  <si>
    <t>http://biology.burke.washington.edu/herbarium/imagecollectionnew/taxon.php?Taxon=Trillium ovatum</t>
  </si>
  <si>
    <t>http://biology.burke.washington.edu/herbarium/imagecollectionnew/taxon.php?Taxon=Triglochin maritima</t>
  </si>
  <si>
    <t>http://biology.burke.washington.edu/herbarium/imagecollectionnew/taxon.php?Taxon=Aspidotis densa</t>
  </si>
  <si>
    <t>http://biology.burke.washington.edu/herbarium/imagecollectionnew/taxon.php?Taxon=Asclepias speciosa</t>
  </si>
  <si>
    <t>http://biology.burke.washington.edu/herbarium/imagecollectionnew/results.php?Terms=asclepias&amp;Type=Names&amp;x=0&amp;y=0</t>
  </si>
  <si>
    <t>http://biology.burke.washington.edu/herbarium/imagecollectionnew/taxon.php?Taxon=Asarum caudatum</t>
  </si>
  <si>
    <t>http://biology.burke.washington.edu/herbarium/imagecollectionnew/taxon.php?Taxon=Aruncus dioicus</t>
  </si>
  <si>
    <t>http://biology.burke.washington.edu/herbarium/imagecollectionnew/taxon.php?Taxon=Artemisia suksdorfii</t>
  </si>
  <si>
    <t>http://biology.burke.washington.edu/herbarium/imagecollectionnew/taxon.php?Taxon=Artemisia michauxiana</t>
  </si>
  <si>
    <t>http://biology.burke.washington.edu/herbarium/imagecollectionnew/taxon.php?Taxon=Artemisia ludoviciana</t>
  </si>
  <si>
    <t>http://biology.burke.washington.edu/herbarium/imagecollectionnew/taxon.php?Taxon=Artemisia douglasiana</t>
  </si>
  <si>
    <t>http://biology.burke.washington.edu/herbarium/imagecollectionnew/taxon.php?Taxon=Artemisia campestris</t>
  </si>
  <si>
    <t>http://biology.burke.washington.edu/herbarium/imagecollectionnew/taxon.php?Taxon=Arnica longifolia</t>
  </si>
  <si>
    <t>http://biology.burke.washington.edu/herbarium/imagecollectionnew/taxon.php?Taxon=Barbarea orthoceras</t>
  </si>
  <si>
    <t>http://biology.burke.washington.edu/herbarium/imagecollectionnew/taxon.php?Taxon=Brasenia schreberi</t>
  </si>
  <si>
    <t>http://biology.burke.washington.edu/herbarium/imagecollectionnew/taxon.php?Taxon=Kopsiopsis hookeri</t>
  </si>
  <si>
    <t>http://biology.burke.washington.edu/herbarium/imagecollectionnew/taxon.php?Taxon=Symphyotrichum subspicatum</t>
  </si>
  <si>
    <t>http://biology.burke.washington.edu/herbarium/imagecollectionnew/taxon.php?Taxon=Symphyotrichum hallii</t>
  </si>
  <si>
    <t>https://plants.usda.gov/core/profile?symbol=Syla4</t>
  </si>
  <si>
    <t>http://biology.burke.washington.edu/herbarium/imagecollectionnew/taxon.php?Taxon=Symphyotrichum chilense</t>
  </si>
  <si>
    <t>http://biology.burke.washington.edu/herbarium/imagecollectionnew/taxon.php?Taxon=Symphyotrichum bracteolatum</t>
  </si>
  <si>
    <t>http://biology.burke.washington.edu/herbarium/imagecollectionnew/taxon.php?Taxon=Symphyotrichum boreale</t>
  </si>
  <si>
    <t>http://biology.burke.washington.edu/herbarium/imagecollectionnew/taxon.php?Taxon=Tsuga%20mertensiana</t>
  </si>
  <si>
    <t>http://biology.burke.washington.edu/herbarium/imagecollectionnew/taxon.php?Taxon=Trifolium wormskioldii</t>
  </si>
  <si>
    <t>http://biology.burke.washington.edu/herbarium/imagecollectionnew/taxon.php?Taxon=Trifolium willdenovii</t>
  </si>
  <si>
    <t>http://biology.burke.washington.edu/herbarium/imagecollectionnew/taxon.php?Taxon=Trifolium variegatum</t>
  </si>
  <si>
    <t>http://biology.burke.washington.edu/herbarium/imagecollectionnew/taxon.php?Taxon=Trifolium oliganthum</t>
  </si>
  <si>
    <t>http://biology.burke.washington.edu/herbarium/imagecollectionnew/taxon.php?Taxon=Trifolium microdon</t>
  </si>
  <si>
    <t>http://biology.burke.washington.edu/herbarium/imagecollectionnew/taxon.php?Taxon=Trifolium bifidum</t>
  </si>
  <si>
    <t>http://biology.burke.washington.edu/herbarium/imagecollectionnew/taxon.php?Taxon=Lysimachia latifolia</t>
  </si>
  <si>
    <t>http://biology.burke.washington.edu/herbarium/imagecollectionnew/taxon.php?Taxon=Lysimachia europaea</t>
  </si>
  <si>
    <t>http://biology.burke.washington.edu/herbarium/imagecollectionnew/taxon.php?Taxon=Trichophorum cespitosum</t>
  </si>
  <si>
    <t>http://biology.burke.washington.edu/herbarium/imagecollectionnew/taxon.php?Taxon=Trautvetteria caroliniensis</t>
  </si>
  <si>
    <t>http://biology.burke.washington.edu/herbarium/imagecollectionnew/taxon.php?Taxon=Toxicodendron radicans</t>
  </si>
  <si>
    <t>Western Poison Ivy</t>
  </si>
  <si>
    <t>http://biology.burke.washington.edu/herbarium/imagecollectionnew/taxon.php?Taxon=Toxicodendron diversilobum</t>
  </si>
  <si>
    <t>http://biology.burke.washington.edu/herbarium/imagecollectionnew/taxon.php?Taxon=Torreyochloa pallida</t>
  </si>
  <si>
    <t>http://biology.burke.washington.edu/herbarium/imagecollectionnew/taxon.php?Taxon=Tolmiea menziesii</t>
  </si>
  <si>
    <t>http://biology.burke.washington.edu/herbarium/imagecollectionnew/taxon.php?Taxon=Tiarella trifoliata</t>
  </si>
  <si>
    <t>http://biology.burke.washington.edu/herbarium/imagecollectionnew/taxon.php?Taxon=Thuja plicata</t>
  </si>
  <si>
    <t>http://biology.burke.washington.edu/herbarium/imagecollectionnew/taxon.php?Taxon=Oreopteris quelpaertensis</t>
  </si>
  <si>
    <t>http://biology.burke.washington.edu/herbarium/imagecollectionnew/taxon.php?Taxon=Thalictrum occidentale</t>
  </si>
  <si>
    <t>http://biology.burke.washington.edu/herbarium/imagecollectionnew/taxon.php?Taxon=Tellima grandiflora</t>
  </si>
  <si>
    <t>http://biology.burke.washington.edu/herbarium/imagecollectionnew/taxon.php?Taxon=Taxus brevifolia</t>
  </si>
  <si>
    <t>http://biology.burke.washington.edu/herbarium/imagecollectionnew/taxon.php?Taxon=Tanacetum bipinnatum</t>
  </si>
  <si>
    <t>http://biology.burke.washington.edu/herbarium/imagecollectionnew/taxon.php?Taxon=Synthyris reniformis</t>
  </si>
  <si>
    <t>http://biology.burke.washington.edu/herbarium/imagecollection/taxon.php?Taxon=Symphoricarpos mollis</t>
  </si>
  <si>
    <t>http://biology.burke.washington.edu/herbarium/imagecollection/taxon.php?Taxon=Symphoricarpos albus</t>
  </si>
  <si>
    <t xml:space="preserve">http://biology.burke.washington.edu/herbarium/imagecollection/taxon.php?Taxon=Suaeda calceoliformis </t>
  </si>
  <si>
    <t>http://biology.burke.washington.edu/herbarium/imagecollection/taxon.php?Taxon=Stuckenia pectinata</t>
  </si>
  <si>
    <t>http://biology.burke.washington.edu/herbarium/imagecollection/taxon.php?Taxon=Stuckenia filiformis</t>
  </si>
  <si>
    <t>http://biology.burke.washington.edu/herbarium/imagecollection/taxon.php?Taxon=Streptopus amplexifolius</t>
  </si>
  <si>
    <t>http://biology.burke.washington.edu/herbarium/imagecollectionnew/taxon.php?Taxon=Stellaria%20obtusa</t>
  </si>
  <si>
    <t>http://biology.burke.washington.edu/herbarium/imagecollectionnew/taxon.php?Taxon=Stellaria%20longipes</t>
  </si>
  <si>
    <t>http://biology.burke.washington.edu/herbarium/imagecollectionnew/taxon.php?Taxon=Stellaria%20longifolia</t>
  </si>
  <si>
    <t>http://biology.burke.washington.edu/herbarium/imagecollectionnew/taxon.php?Taxon=Stellaria%20crispa</t>
  </si>
  <si>
    <t>http://biology.burke.washington.edu/herbarium/imagecollectionnew/taxon.php?Taxon=Stellaria%20borealis</t>
  </si>
  <si>
    <t>plus BBG's favorties: Eugene Kozloff's Plants of Western WA and the Pecks' Manual of Higher Plants (that we've now used for 50+ years) plus the</t>
  </si>
  <si>
    <t xml:space="preserve"> Flower - soft stems, die off: (perennial) return … or via seeds (annuals)</t>
  </si>
  <si>
    <t>Wikipedia Links provided under: Wikipedia and Creative Commons Attribution Share-Alike; Burke referenced general URLs and others listed below in column headings.</t>
  </si>
  <si>
    <t>Bonhoeffer Botanical Garden's Goal:
growing almost all native Coastal, Cascade Slope and Puget Sound Trough flora for viewing by the next generation</t>
  </si>
  <si>
    <t>http://biology.burke.washington.edu/herbarium/imagecollectionnew/taxon.php?Taxon=Eleocharis palustris</t>
  </si>
  <si>
    <t>http://biology.burke.washington.edu/herbarium/imagecollection/taxon.php?Taxon=Elodea nuttallii</t>
  </si>
  <si>
    <t>http://biology.burke.washington.edu/herbarium/imagecollection/taxon.php?Taxon=Erythranthe%20alsinoides</t>
  </si>
  <si>
    <t>http://biology.burke.washington.edu/herbarium/imagecollection/taxon.php?Taxon=Erythranthe%20guttata</t>
  </si>
  <si>
    <t>http://biology.burke.washington.edu/herbarium/imagecollection/taxon.php?Taxon=Erythronium oregonum</t>
  </si>
  <si>
    <t>Joe-pye Weed</t>
  </si>
  <si>
    <t>http://biology.burke.washington.edu/herbarium/imagecollectionnew/taxon.php?Taxon=Gamochaeta ustulata</t>
  </si>
  <si>
    <t>http://biology.burke.washington.edu/herbarium/imagecollection/taxon.php?Taxon=Heuchera cylindrica</t>
  </si>
  <si>
    <t>http://biology.burke.washington.edu/herbarium/imagecollection/taxon.php?Taxon=Hierochloe odorata</t>
  </si>
  <si>
    <t>http://biology.burke.washington.edu/herbarium/imagecollection/taxon.php?Taxon=Impatiens ecornuta</t>
  </si>
  <si>
    <t>http://biology.burke.washington.edu/herbarium/imagecollection/taxon.php?Taxon=Juncus patens</t>
  </si>
  <si>
    <t>http://biology.burke.washington.edu/herbarium/imagecollection/taxon.php?Taxon=Lemna%20trisulca</t>
  </si>
  <si>
    <t>Turion Duckweed</t>
  </si>
  <si>
    <t>http://biology.burke.washington.edu/herbarium/imagecollectionnew/taxon.php?Taxon=Lepidium virginicum</t>
  </si>
  <si>
    <t>http://biology.burke.washington.edu/herbarium/imagecollection/taxon.php?Taxon=Hosackia rosea</t>
  </si>
  <si>
    <t>http://biology.burke.washington.edu/herbarium/imagecollection/taxon.php?Taxon=Hosackia%20crassifolia</t>
  </si>
  <si>
    <t>http://biology.burke.washington.edu/herbarium/imagecollection/taxon.php?Taxon=Malus fusca</t>
  </si>
  <si>
    <t>http://biology.burke.washington.edu/herbarium/imagecollectionnew/taxon.php?Taxon=Marah oregana</t>
  </si>
  <si>
    <t>https://en.wikipedia.org/wiki/Matteuccia</t>
  </si>
  <si>
    <t>Mentha spicata</t>
  </si>
  <si>
    <t>http://biology.burke.washington.edu/herbarium/imagecollection/taxon.php?Taxon=Mentha spicata</t>
  </si>
  <si>
    <t>http://biology.burke.washington.edu/herbarium/imagecollectionnew/taxon.php?Taxon=Micranthes integrifolia</t>
  </si>
  <si>
    <t>http://biology.burke.washington.edu/herbarium/imagecollectionnew/taxon.php?Taxon=Micranthes occidentalis</t>
  </si>
  <si>
    <t>http://biology.burke.washington.edu/herbarium/imagecollection/taxon.php?Taxon=Microseris laciniata</t>
  </si>
  <si>
    <t>http://biology.burke.washington.edu/herbarium/imagecollectionnew/taxon.php?Taxon=Microsteris gracilis</t>
  </si>
  <si>
    <t>http://biology.burke.washington.edu/herbarium/imagecollectionnew/taxon.php?Taxon=Sabulina macra</t>
  </si>
  <si>
    <t>Sabulina macra</t>
  </si>
  <si>
    <t>http://biology.burke.washington.edu/herbarium/imagecollectionnew/taxon.php?Taxon=Mitellastra caulescens</t>
  </si>
  <si>
    <t>Mitellastra caulescens</t>
  </si>
  <si>
    <t>Ozomelis trifida</t>
  </si>
  <si>
    <t>http://biology.burke.washington.edu/herbarium/imagecollectionnew/taxon.php?Taxon=Ozomelis trifida</t>
  </si>
  <si>
    <t>Slightstemmed Miterwort2</t>
  </si>
  <si>
    <t>http://biology.burke.washington.edu/herbarium/imagecollectionnew/taxon.php?Taxon=Moehringia lateriflora</t>
  </si>
  <si>
    <t>http://biology.burke.washington.edu/herbarium/imagecollectionnew/taxon.php?Taxon=Moehringia macrophylla</t>
  </si>
  <si>
    <t>http://biology.burke.washington.edu/herbarium/imagecollection/taxon.php?Taxon=Montia linearis</t>
  </si>
  <si>
    <t>http://biology.burke.washington.edu/herbarium/imagecollection/taxon.php?Taxon=Myrica gale</t>
  </si>
  <si>
    <t>Aphyllon fasciculata</t>
  </si>
  <si>
    <t>http://biology.burke.washington.edu/herbarium/imagecollection/taxon.php?Taxon=Aphyllon pinorum</t>
  </si>
  <si>
    <t>http://biology.burke.washington.edu/herbarium/imagecollection/taxon.php?Taxon=Aphyllon%20fasciculatum</t>
  </si>
  <si>
    <t>http://biology.burke.washington.edu/herbarium/imagecollection/taxon.php?Taxon=Aphyllon californicum</t>
  </si>
  <si>
    <t>Aphyllon pinorum</t>
  </si>
  <si>
    <t>http://biology.burke.washington.edu/herbarium/imagecollection/taxon.php?Taxon=Orthilia secunda</t>
  </si>
  <si>
    <t>http://biology.burke.washington.edu/herbarium/imagecollection/taxon.php?Taxon=Oxytropis campestris</t>
  </si>
  <si>
    <t>http://biology.burke.washington.edu/herbarium/imagecollectionnew/taxon.php?Taxon=Pectiantia breweri</t>
  </si>
  <si>
    <t>http://biology.burke.washington.edu/herbarium/imagecollectionnew/taxon.php?Taxon=Pectiantia ovalis</t>
  </si>
  <si>
    <t>http://biology.burke.washington.edu/herbarium/imagecollection/taxon.php?Taxon=Pedicularis groenlandica</t>
  </si>
  <si>
    <t>http://biology.burke.washington.edu/herbarium/imagecollection/taxon.php?Taxon=Perideridia montana</t>
  </si>
  <si>
    <t>Perideridia montana</t>
  </si>
  <si>
    <t>http://biology.burke.washington.edu/herbarium/imagecollectionnew/taxon.php?Taxon=Persicaria hydropiperoides</t>
  </si>
  <si>
    <t>http://biology.burke.washington.edu/herbarium/imagecollection/taxon.php?Taxon=Petasites frigidus</t>
  </si>
  <si>
    <t>http://biology.burke.washington.edu/herbarium/imagecollection/taxon.php?Taxon=Phacelia heterophylla</t>
  </si>
  <si>
    <t>http://biology.burke.washington.edu/herbarium/imagecollection/taxon.php?Taxon=Phacelia nemoralis</t>
  </si>
  <si>
    <t>Northern Fern</t>
  </si>
  <si>
    <t>Platanthera unalascensis</t>
  </si>
  <si>
    <t>http://biology.burke.washington.edu/herbarium/imagecollection/taxon.php?Taxon=Platanthera unalascensis</t>
  </si>
  <si>
    <t>http://biology.burke.washington.edu/herbarium/imagecollection/taxon.php?Taxon=Platanthera transversa</t>
  </si>
  <si>
    <t>http://biology.burke.washington.edu/herbarium/imagecollection/taxon.php?Taxon=Platanthera elongata</t>
  </si>
  <si>
    <t>http://biology.burke.washington.edu/herbarium/imagecollection/taxon.php?Taxon=Plantago macrocarpa</t>
  </si>
  <si>
    <t>http://biology.burke.washington.edu/herbarium/imagecollection/taxon.php?Taxon=Poa macrantha</t>
  </si>
  <si>
    <t>http://biology.burke.washington.edu/herbarium/imagecollection/taxon.php?Taxon=Poa paucispicula</t>
  </si>
  <si>
    <t>http://biology.burke.washington.edu/herbarium/imagecollection/taxon.php?Taxon=Polygonum%20douglasii</t>
  </si>
  <si>
    <t>http://biology.burke.washington.edu/herbarium/imagecollection/taxon.php?Taxon=Polygonum spergulariiforme</t>
  </si>
  <si>
    <t>http://biology.burke.washington.edu/herbarium/imagecollection/taxon.php?Taxon=Persicaria%20amphibia</t>
  </si>
  <si>
    <t>http://biology.burke.washington.edu/herbarium/imagecollection/taxon.php?Taxon=Polypodium scouleri</t>
  </si>
  <si>
    <t>http://www.fancyfrondsnursery.com/ferns/soft-shield-fern-polystichum-setiferum</t>
  </si>
  <si>
    <t>http://biology.burke.washington.edu/herbarium/imagecollectionnew/taxon.php?Taxon=Drymocallis glandulosa</t>
  </si>
  <si>
    <t>Drymocallis glandulosa</t>
  </si>
  <si>
    <t>Nabalus alatus</t>
  </si>
  <si>
    <t>http://biology.burke.washington.edu/herbarium/imagecollection/taxon.php?Taxon=Nabalus alatus</t>
  </si>
  <si>
    <t>http://biology.burke.washington.edu/herbarium/imagecollectionnew/taxon.php?Taxon=Pseudognaphalium stramineum</t>
  </si>
  <si>
    <t>http://biology.burke.washington.edu/herbarium/imagecollectionnew/taxon.php?Taxon=Pseudognaphalium thermale</t>
  </si>
  <si>
    <t>Halerpestes cymbalaria</t>
  </si>
  <si>
    <t>http://biology.burke.washington.edu/herbarium/imagecollection/taxon.php?Taxon=Rhododendron groenlandicum</t>
  </si>
  <si>
    <t>http://biology.burke.washington.edu/herbarium/imagecollection/taxon.php?Taxon=Rhododendron menziesii</t>
  </si>
  <si>
    <t>http://biology.burke.washington.edu/herbarium/imagecollection/taxon.php?Taxon=Rubus idaeus</t>
  </si>
  <si>
    <t>http://biology.burke.washington.edu/herbarium/imagecollection/taxon.php?Taxon=Rubus nutkanus</t>
  </si>
  <si>
    <t>Rubus nutkanus</t>
  </si>
  <si>
    <t>http://biology.burke.washington.edu/herbarium/imagecollection/taxon.php?Taxon=Salix%20commutata</t>
  </si>
  <si>
    <t>http://biology.burke.washington.edu/herbarium/imagecollection/taxon.php?Taxon=Salix%20cascadensis</t>
  </si>
  <si>
    <t>Gooding's Willow (non native)</t>
  </si>
  <si>
    <t>http://biology.burke.washington.edu/herbarium/imagecollection/taxon.php?Taxon=Salix%20prolixa</t>
  </si>
  <si>
    <t>http://biology.burke.washington.edu/herbarium/imagecollection/taxon.php?Taxon=Salix%20planifolia</t>
  </si>
  <si>
    <t>http://biology.burke.washington.edu/herbarium/imagecollection/taxon.php?Taxon=Salix%20pedicellaris</t>
  </si>
  <si>
    <t>https://plants.usda.gov/core/profile?symbol=SALE</t>
  </si>
  <si>
    <t>http://biology.burke.washington.edu/herbarium/imagecollection/taxon.php?Taxon=Salix%20lasiolepis</t>
  </si>
  <si>
    <t>http://biology.burke.washington.edu/herbarium/imagecollection/taxon.php?Taxon=Salix%20lasiandra</t>
  </si>
  <si>
    <t>http://biology.burke.washington.edu/herbarium/imagecollection/taxon.php?Taxon=Salix%20hookeriana</t>
  </si>
  <si>
    <t>http://biology.burke.washington.edu/herbarium/imagecollection/taxon.php?Taxon=Salix%20geyeriana</t>
  </si>
  <si>
    <t>http://biology.burke.washington.edu/herbarium/imagecollection/taxon.php?Taxon=Salix%20exigua</t>
  </si>
  <si>
    <t>http://biology.burke.washington.edu/herbarium/imagecollection/taxon.php?Taxon=Salix sessilifolia</t>
  </si>
  <si>
    <t>http://biology.burke.washington.edu/herbarium/imagecollection/taxon.php?Taxon=Salix sitchensis</t>
  </si>
  <si>
    <t>http://biology.burke.washington.edu/herbarium/imagecollectionnew/taxon.php?Taxon=Sambucus nigra</t>
  </si>
  <si>
    <t>http://biology.burke.washington.edu/herbarium/imagecollectionnew/taxon.php?Taxon=Sanguisorba menziesii</t>
  </si>
  <si>
    <t>http://biology.burke.washington.edu/herbarium/imagecollectionnew/taxon.php?Taxon=Sanguisorba officinalis</t>
  </si>
  <si>
    <t>http://biology.burke.washington.edu/herbarium/imagecollectionnew/taxon.php?Taxon=Sanicula bipinnatifida</t>
  </si>
  <si>
    <t>http://biology.burke.washington.edu/herbarium/imagecollectionnew/taxon.php?Taxon=Sanicula crassicaulis</t>
  </si>
  <si>
    <t>http://biology.burke.washington.edu/herbarium/imagecollectionnew/taxon.php?Taxon=Sanicula graveolens</t>
  </si>
  <si>
    <t>http://biology.burke.washington.edu/herbarium/imagecollectionnew/taxon.php?Taxon=Salicornia perennis</t>
  </si>
  <si>
    <t>http://biology.burke.washington.edu/herbarium/imagecollectionnew/taxon.php?Taxon=Saxifraga cespitosa</t>
  </si>
  <si>
    <t>http://biology.burke.washington.edu/herbarium/imagecollectionnew/taxon.php?Taxon=Saxifraga austromontana</t>
  </si>
  <si>
    <t>http://biology.burke.washington.edu/herbarium/imagecollectionnew/taxon.php?Taxon=Scheuchzeria palustris</t>
  </si>
  <si>
    <t>http://biology.burke.washington.edu/herbarium/imagecollectionnew/taxon.php?Taxon=Schoenoplectus pungens</t>
  </si>
  <si>
    <t>http://biology.burke.washington.edu/herbarium/imagecollectionnew/taxon.php?Taxon=Schoenoplectus subterminalis</t>
  </si>
  <si>
    <t>http://biology.burke.washington.edu/herbarium/imagecollectionnew/taxon.php?Taxon=Scirpus atrocinctus</t>
  </si>
  <si>
    <t>http://biology.burke.washington.edu/herbarium/imagecollectionnew/taxon.php?Taxon=Scirpus microcarpus</t>
  </si>
  <si>
    <t>http://biology.burke.washington.edu/herbarium/imagecollectionnew/taxon.php?Taxon=Scrophularia lanceolata</t>
  </si>
  <si>
    <t>http://biology.burke.washington.edu/herbarium/imagecollectionnew/taxon.php?Taxon=Scutellaria galericulata</t>
  </si>
  <si>
    <t>http://biology.burke.washington.edu/herbarium/imagecollection/taxon.php?Taxon=Scutellaria lateriflora</t>
  </si>
  <si>
    <t>http://biology.burke.washington.edu/herbarium/imagecollectionnew/taxon.php?Taxon=Sedum divergens</t>
  </si>
  <si>
    <t>http://biology.burke.washington.edu/herbarium/imagecollectionnew/taxon.php?Taxon=Sedum lanceolatum</t>
  </si>
  <si>
    <t>http://biology.burke.washington.edu/herbarium/imagecollectionnew/taxon.php?Taxon=Sedum oreganum</t>
  </si>
  <si>
    <t>http://biology.burke.washington.edu/herbarium/imagecollectionnew/taxon.php?Taxon=Sedum spathulifolium</t>
  </si>
  <si>
    <t>http://biology.burke.washington.edu/herbarium/imagecollectionnew/taxon.php?Taxon=Selaginella oregana</t>
  </si>
  <si>
    <t>http://biology.burke.washington.edu/herbarium/imagecollectionnew/taxon.php?Taxon=Selaginella wallacei</t>
  </si>
  <si>
    <t>http://biology.burke.washington.edu/herbarium/imagecollectionnew/taxon.php?Taxon=Sidalcea hendersonii</t>
  </si>
  <si>
    <t>http://biology.burke.washington.edu/herbarium/imagecollectionnew/taxon.php?Taxon=Sidalcea oregana</t>
  </si>
  <si>
    <t>http://biology.burke.washington.edu/herbarium/imagecollectionnew/taxon.php?Taxon=Silene antirrhina</t>
  </si>
  <si>
    <t>http://biology.burke.washington.edu/herbarium/imagecollectionnew/taxon.php?Taxon=Silene menziesii</t>
  </si>
  <si>
    <t>http://biology.burke.washington.edu/herbarium/imagecollectionnew/taxon.php?Taxon=Silene scouleri</t>
  </si>
  <si>
    <t>http://biology.burke.washington.edu/herbarium/imagecollectionnew/taxon.php?Taxon=Sisyrinchium idahoense</t>
  </si>
  <si>
    <t>http://biology.burke.washington.edu/herbarium/imagecollectionnew/taxon.php?Taxon=Sium suave</t>
  </si>
  <si>
    <t>http://biology.burke.washington.edu/herbarium/imagecollectionnew/taxon.php?Taxon=Solidago simplex</t>
  </si>
  <si>
    <t>http://biology.burke.washington.edu/herbarium/imagecollectionnew/taxon.php?Taxon=Solidago elongata</t>
  </si>
  <si>
    <t>http://biology.burke.washington.edu/herbarium/imagecollectionnew/taxon.php?Taxon=Sorbus scopulina</t>
  </si>
  <si>
    <t>http://biology.burke.washington.edu/herbarium/imagecollectionnew/taxon.php?Taxon=Sparganium emersum</t>
  </si>
  <si>
    <t>http://biology.burke.washington.edu/herbarium/imagecollectionnew/taxon.php?Taxon=Sparganium eurycarpum</t>
  </si>
  <si>
    <t>http://biology.burke.washington.edu/herbarium/imagecollectionnew/taxon.php?Taxon=Sparganium natans</t>
  </si>
  <si>
    <t>http://biology.burke.washington.edu/herbarium/imagecollectionnew/taxon.php?Taxon=Spergularia canadensis</t>
  </si>
  <si>
    <t>http://biology.burke.washington.edu/herbarium/imagecollectionnew/taxon.php?Taxon=Spergularia salina</t>
  </si>
  <si>
    <t>http://biology.burke.washington.edu/herbarium/imagecollectionnew/taxon.php?Taxon=Spiraea lucida</t>
  </si>
  <si>
    <t>http://biology.burke.washington.edu/herbarium/imagecollectionnew/taxon.php?Taxon=Spiraea pyramidata</t>
  </si>
  <si>
    <t>http://biology.burke.washington.edu/herbarium/imagecollectionnew/taxon.php?Taxon=Spiraea splendens</t>
  </si>
  <si>
    <t>http://biology.burke.washington.edu/herbarium/imagecollectionnew/taxon.php?Taxon=Spiranthes romanzoffiana</t>
  </si>
  <si>
    <t>http://biology.burke.washington.edu/herbarium/imagecollectionnew/taxon.php?Taxon=Stachys mexicana</t>
  </si>
  <si>
    <t>http://biology.burke.washington.edu/herbarium/imagecollectionnew/taxon.php?Taxon=Stachys rigida</t>
  </si>
  <si>
    <t>Range</t>
  </si>
  <si>
    <t>Bolandra oregana</t>
  </si>
  <si>
    <t>Regional Endemic</t>
  </si>
  <si>
    <t>Oregon yampah</t>
  </si>
  <si>
    <t>Perideridia oregana</t>
  </si>
  <si>
    <t>Pygmy water-lily</t>
  </si>
  <si>
    <t>Nymphaea tetragona</t>
  </si>
  <si>
    <t>Western yellow wood-sorrel</t>
  </si>
  <si>
    <t>Oxalis suksdorfii</t>
  </si>
  <si>
    <t>Local Endemic</t>
  </si>
  <si>
    <t>Sticky locoweed</t>
  </si>
  <si>
    <t>Seaside brookweed</t>
  </si>
  <si>
    <t>Samolus parviflorus</t>
  </si>
  <si>
    <t>Smooth goldfields</t>
  </si>
  <si>
    <t>Lasthenia glaberrima</t>
  </si>
  <si>
    <t>Sea-bluff bluegrass</t>
  </si>
  <si>
    <t>Chapparal broom</t>
  </si>
  <si>
    <t>Olympic saxifrage</t>
  </si>
  <si>
    <t>Micranthes tischii</t>
  </si>
  <si>
    <t>Pine-foot</t>
  </si>
  <si>
    <t>Pityopus californica</t>
  </si>
  <si>
    <t>Lax-flower bluegrass</t>
  </si>
  <si>
    <t>Poa laxiflora</t>
  </si>
  <si>
    <t>Clackamas corydalis</t>
  </si>
  <si>
    <t>Corydalis aquae-gelidae</t>
  </si>
  <si>
    <t>Victoria owl-clover</t>
  </si>
  <si>
    <t>Castilleja victoriae</t>
  </si>
  <si>
    <t>Lance-leaved draba</t>
  </si>
  <si>
    <t>Draba cana</t>
  </si>
  <si>
    <t>Marsh grass-of-Parnassus</t>
  </si>
  <si>
    <t>Grassyslope arctic sedge</t>
  </si>
  <si>
    <t>Carex anthoxanthea</t>
  </si>
  <si>
    <t>Coiled sedge</t>
  </si>
  <si>
    <t>Carex circinata</t>
  </si>
  <si>
    <t>Olympic fawn-lily</t>
  </si>
  <si>
    <t>Erythronium quinaultense</t>
  </si>
  <si>
    <t>Northern silverpuffs</t>
  </si>
  <si>
    <t>Microseris borealis</t>
  </si>
  <si>
    <t>Queen-of-the-forest</t>
  </si>
  <si>
    <t>Filipendula occidentalis</t>
  </si>
  <si>
    <t>Rose checkermallow</t>
  </si>
  <si>
    <t>Sidalcea virgata</t>
  </si>
  <si>
    <t>Chambers' paintbrush</t>
  </si>
  <si>
    <t>Castilleja chambersii</t>
  </si>
  <si>
    <t>Tree-clubmoss</t>
  </si>
  <si>
    <t>Dendrolycopodium dendroideum</t>
  </si>
  <si>
    <t>Oregon coyote-thistle</t>
  </si>
  <si>
    <t>Eryngium petiolatum</t>
  </si>
  <si>
    <t>Nuttall's quillwort</t>
  </si>
  <si>
    <t>Isoetes nuttallii</t>
  </si>
  <si>
    <t>Kincaid's lupine</t>
  </si>
  <si>
    <t>Tall penstemon</t>
  </si>
  <si>
    <t>Penstemon hesperius</t>
  </si>
  <si>
    <t>Nelson's checkermallow</t>
  </si>
  <si>
    <t>Sidalcea nelsoniana</t>
  </si>
  <si>
    <t>Narrow-leaf mule's-ears</t>
  </si>
  <si>
    <t>Wyethia angustifolia</t>
  </si>
  <si>
    <t>White adder's-mouth</t>
  </si>
  <si>
    <t>Floating-leaved bur-reed</t>
  </si>
  <si>
    <t>Sparganium fluctuans</t>
  </si>
  <si>
    <t>Idaho gooseberry</t>
  </si>
  <si>
    <t>Sidalcea hirtipes</t>
  </si>
  <si>
    <t>Flat-leaved bladderwort</t>
  </si>
  <si>
    <t>Utricularia intermedia</t>
  </si>
  <si>
    <t>Western ladies-tresses</t>
  </si>
  <si>
    <t>Spiranthes porrifolia</t>
  </si>
  <si>
    <t>Lowland toothcup</t>
  </si>
  <si>
    <t>Rotala ramosior</t>
  </si>
  <si>
    <t>http://biology.burke.washington.edu/herbarium/imagecollection/taxon.php?Taxon=Wyethia%20angustifolia</t>
  </si>
  <si>
    <t>California Compassplant</t>
  </si>
  <si>
    <t>Silvery Beachweed</t>
  </si>
  <si>
    <t>http://biology.burke.washington.edu/herbarium/imagecollectionnew/taxon.php?Taxon=Baccharis%20pilularis</t>
  </si>
  <si>
    <t>Baccharis pilularis</t>
  </si>
  <si>
    <t>Coyote Brush</t>
  </si>
  <si>
    <t>False Coolwort</t>
  </si>
  <si>
    <t>Northern False Coolwort</t>
  </si>
  <si>
    <t>http://biology.burke.washington.edu/herbarium/imagecollectionnew/taxon.php?Taxon=Bolandra%20oregana</t>
  </si>
  <si>
    <t>http://biology.burke.washington.edu/herbarium/imagecollectionnew/taxon.php?Taxon=Carex%20anthoxanthea</t>
  </si>
  <si>
    <t>Grassy Slope Sedge</t>
  </si>
  <si>
    <t>http://biology.burke.washington.edu/herbarium/imagecollectionnew/taxon.php?Taxon=Carex%20circinata</t>
  </si>
  <si>
    <t>http://biology.burke.washington.edu/herbarium/imagecollectionnew/taxon.php?Taxon=Castilleja%20chambersii</t>
  </si>
  <si>
    <t>http://biology.burke.washington.edu/herbarium/imagecollectionnew/taxon.php?Taxon=Castilleja%20victoriae</t>
  </si>
  <si>
    <t>http://biology.burke.washington.edu/herbarium/imagecollectionnew/taxon.php?Taxon=Collinsia%20sparsiflora</t>
  </si>
  <si>
    <t>Collinsia sparsiflora</t>
  </si>
  <si>
    <t>Marsh Corydalis</t>
  </si>
  <si>
    <t>http://biology.burke.washington.edu/herbarium/imagecollectionnew/taxon.php?Taxon=Corydalis%20aquae-gelidae</t>
  </si>
  <si>
    <t>Tree Groundpine</t>
  </si>
  <si>
    <t>http://biology.burke.washington.edu/herbarium/imagecollectionnew/taxon.php?Taxon=Dendrolycopodium%20dendroideum</t>
  </si>
  <si>
    <t>http://biology.burke.washington.edu/herbarium/imagecollectionnew/taxon.php?Taxon=Draba%20cana</t>
  </si>
  <si>
    <t>Lanceleaved Draba</t>
  </si>
  <si>
    <t>http://biology.burke.washington.edu/herbarium/imagecollectionnew/taxon.php?Taxon=Eryngium%20petiolatum</t>
  </si>
  <si>
    <t>Rush-Leaf Eryngo</t>
  </si>
  <si>
    <t>http://biology.burke.washington.edu/herbarium/imagecollectionnew/taxon.php?Taxon=Erythronium%20quinaultense</t>
  </si>
  <si>
    <t>Qunault Trout Lily</t>
  </si>
  <si>
    <t>http://biology.burke.washington.edu/herbarium/imagecollectionnew/taxon.php?Taxon=Filipendula%20occidentalis</t>
  </si>
  <si>
    <t>Queen of the Forest</t>
  </si>
  <si>
    <t>http://biology.burke.washington.edu/herbarium/imagecollection/taxon.php?Taxon=Glehnia%20leiocarpa</t>
  </si>
  <si>
    <t>http://biology.burke.washington.edu/herbarium/imagecollection/taxon.php?Taxon=Isoetes%20nuttallii</t>
  </si>
  <si>
    <t>http://biology.burke.washington.edu/herbarium/imagecollection/taxon.php?Taxon=Lasthenia%20glaberrima</t>
  </si>
  <si>
    <t>Smooth Lasthenia</t>
  </si>
  <si>
    <t>Lupinus oreganus</t>
  </si>
  <si>
    <t>http://biology.burke.washington.edu/herbarium/imagecollection/taxon.php?Taxon=Lupinus%20oreganus</t>
  </si>
  <si>
    <t>Oregon Lupine</t>
  </si>
  <si>
    <t>Malaxis monophyllos</t>
  </si>
  <si>
    <t>http://biology.burke.washington.edu/herbarium/imagecollectionnew/taxonmap.php?Taxon=Malaxis%20monophyllos&amp;SourcePage=taxon</t>
  </si>
  <si>
    <t>One-Leaved Malaxis</t>
  </si>
  <si>
    <t>Olympic Saxifrage</t>
  </si>
  <si>
    <t>http://biology.burke.washington.edu/herbarium/imagecollectionnew/taxon.php?Taxon=Micranthes%20tischii</t>
  </si>
  <si>
    <t>http://biology.burke.washington.edu/herbarium/imagecollection/taxon.php?Taxon=Microseris%20borealis</t>
  </si>
  <si>
    <t>Pygmy Water Lily</t>
  </si>
  <si>
    <t>http://biology.burke.washington.edu/herbarium/imagecollection/taxon.php?Taxon=Nymphaea%20tetragona</t>
  </si>
  <si>
    <t>Oenothera flava</t>
  </si>
  <si>
    <t>Yellow Evening Primrose</t>
  </si>
  <si>
    <t>http://biology.burke.washington.edu/herbarium/imagecollection/taxon.php?Taxon=Oenothera%20flava</t>
  </si>
  <si>
    <t>http://biology.burke.washington.edu/herbarium/imagecollection/taxon.php?Taxon=Oxalis%20suksdorfii</t>
  </si>
  <si>
    <t>Oxytropis borealis</t>
  </si>
  <si>
    <t>http://biology.burke.washington.edu/herbarium/imagecollection/taxon.php?Taxon=Oxytropis%20borealis</t>
  </si>
  <si>
    <t>Sticky Crazyweed</t>
  </si>
  <si>
    <t>Parnassia cirrata</t>
  </si>
  <si>
    <t>http://biology.burke.washington.edu/herbarium/imagecollection/taxon.php?Taxon=Parnassia%20cirrata</t>
  </si>
  <si>
    <t>http://biology.burke.washington.edu/herbarium/imagecollection/taxon.php?Taxon=Parnassia%20palustris</t>
  </si>
  <si>
    <t>Grass of Parnassus</t>
  </si>
  <si>
    <t>Parnassia palustris</t>
  </si>
  <si>
    <t>http://biology.burke.washington.edu/herbarium/imagecollection/taxon.php?Taxon=Penstemon%20hesperius</t>
  </si>
  <si>
    <t>Tall Beardtonque</t>
  </si>
  <si>
    <t>http://biology.burke.washington.edu/herbarium/imagecollection/taxon.php?Taxon=Perideridia%20oregana</t>
  </si>
  <si>
    <t>Squaw Potato</t>
  </si>
  <si>
    <t>http://biology.burke.washington.edu/herbarium/imagecollection/taxon.php?Taxon=Pityopus%20californicus</t>
  </si>
  <si>
    <t>http://biology.burke.washington.edu/herbarium/imagecollection/taxon.php?Taxon=Poa%20laxiflora</t>
  </si>
  <si>
    <t>Loose Flower Bluegrass</t>
  </si>
  <si>
    <t>Poa unilateralis</t>
  </si>
  <si>
    <t>http://biology.burke.washington.edu/herbarium/imagecollection/taxon.php?Taxon=Poa%20unilateralis</t>
  </si>
  <si>
    <t>Ribes oxyacanthoides</t>
  </si>
  <si>
    <t>http://biology.burke.washington.edu/herbarium/imagecollection/taxon.php?Taxon=Ribes%20oxyacanthoides</t>
  </si>
  <si>
    <t>http://biology.burke.washington.edu/herbarium/imagecollection/taxon.php?Taxon=Rotala%20ramosior</t>
  </si>
  <si>
    <t>Lythraceae</t>
  </si>
  <si>
    <t>Brookweed</t>
  </si>
  <si>
    <t>http://biology.burke.washington.edu/herbarium/imagecollection/taxon.php?Taxon=Samolus%20parviflorus</t>
  </si>
  <si>
    <t>http://biology.burke.washington.edu/herbarium/imagecollectionnew/taxon.php?Taxon=Sidalcea%20hirtipes</t>
  </si>
  <si>
    <t>http://biology.burke.washington.edu/herbarium/imagecollectionnew/taxon.php?Taxon=Sidalcea%20nelsoniana</t>
  </si>
  <si>
    <t>http://biology.burke.washington.edu/herbarium/imagecollectionnew/taxon.php?Taxon=Sidalcea%20virgata</t>
  </si>
  <si>
    <t>Virgate Checkermallow</t>
  </si>
  <si>
    <t>http://biology.burke.washington.edu/herbarium/imagecollectionnew/taxon.php?Taxon=Sparganium%20fluctuans</t>
  </si>
  <si>
    <t>Water Bur-Reed</t>
  </si>
  <si>
    <t>http://biology.burke.washington.edu/herbarium/imagecollectionnew/taxon.php?Taxon=Spiranthes%20porrifolia</t>
  </si>
  <si>
    <t>http://biology.burke.washington.edu/herbarium/imagecollectionnew/taxon.php?Taxon=Utricularia%20intermedia</t>
  </si>
  <si>
    <t>Coastal Areas</t>
  </si>
  <si>
    <t>Grass =</t>
  </si>
  <si>
    <t>Vine =</t>
  </si>
  <si>
    <t>Microsoft Excel does not lend itself</t>
  </si>
  <si>
    <t>well to step wise Cubic Spline Regression</t>
  </si>
  <si>
    <t>Estimated Extinction (in State of WA)</t>
  </si>
  <si>
    <t>Cascadia</t>
  </si>
  <si>
    <t>General Habitat</t>
  </si>
  <si>
    <t>Global</t>
  </si>
  <si>
    <t>Reported Rare Plant Status</t>
  </si>
  <si>
    <t>Photo'd</t>
  </si>
  <si>
    <t>That said, the columns below add years (via factor/measure weighting) to</t>
  </si>
  <si>
    <t>the Legler Intercept of 2004 in an ever evolving DeChaine Equation</t>
  </si>
  <si>
    <t>Habitat checks/BBG's List made from the UW's new Hitchcock and Arthur Cronquist's Flora of the Pacific Northwest: An Illustrated Manual (University of Washington Press 201x)</t>
  </si>
  <si>
    <t>WW#</t>
  </si>
  <si>
    <t>EW#</t>
  </si>
  <si>
    <t>AddFnd</t>
  </si>
  <si>
    <t>Visited</t>
  </si>
  <si>
    <t>WA</t>
  </si>
  <si>
    <t>1stRec</t>
  </si>
  <si>
    <t>LstRec</t>
  </si>
  <si>
    <t>Habitat</t>
  </si>
  <si>
    <t>http://biology.burke.washington.edu/herbarium/imagecollection/taxon.php?Taxon=Salix melanopsis</t>
  </si>
  <si>
    <t>http://biology.burke.washington.edu/herbarium/imagecollection/taxon.php?Taxon=Salix scouleriana</t>
  </si>
  <si>
    <t>http://biology.burke.washington.edu/herbarium/imagecollection/taxon.php?Taxon=Salix amygdaloides</t>
  </si>
  <si>
    <t>http://biology.burke.washington.edu/herbarium/imagecollectionnew/taxon.php?Taxon=Spiraea douglasii</t>
  </si>
  <si>
    <t>Rocky Mountain</t>
  </si>
  <si>
    <t>http://biology.burke.washington.edu/herbarium/imagecollection/taxon.php?Taxon=Rubus spectabilis</t>
  </si>
  <si>
    <t>https://en.wikipedia.org/wiki/Metasequoia_glyptostroboides</t>
  </si>
  <si>
    <t>http://biology.burke.washington.edu/herbarium/imagecollectionnew/taxon.php?Taxon=Stachys \cooleyae</t>
  </si>
  <si>
    <t>http://biology.burke.washington.edu/herbarium/imagecollection/taxon.php?Taxon=Morella californica</t>
  </si>
  <si>
    <t>http://biology.burke.washington.edu/herbarium/imagecollectionnew/taxon.php?Taxon=Sambucus racemosa</t>
  </si>
  <si>
    <t>Bog Labrador Tea</t>
  </si>
  <si>
    <t>https://en.wikipedia.org/wiki/Juniperus_maritima</t>
  </si>
  <si>
    <t>http://biology.burke.washington.edu/herbarium/imagecollectionnew/taxon.php?Taxon=Asplenium trichomanes</t>
  </si>
  <si>
    <t>Sedum divergens</t>
  </si>
  <si>
    <t>Cornus unalaschkensis</t>
  </si>
  <si>
    <t>Firethorn</t>
  </si>
  <si>
    <t>2018 SAM Project</t>
  </si>
  <si>
    <t>2019 SAM Project</t>
  </si>
  <si>
    <t>2020 SAM Project</t>
  </si>
  <si>
    <t>WA Flora Checklist</t>
  </si>
  <si>
    <t>North America</t>
  </si>
  <si>
    <t>Cascadia Plant Species Unique List</t>
  </si>
  <si>
    <t>Moist Open</t>
  </si>
  <si>
    <t>Moist Shady</t>
  </si>
  <si>
    <t>Bogs Ponds Streams</t>
  </si>
  <si>
    <t>Meadows Dry Open</t>
  </si>
  <si>
    <t>D</t>
  </si>
  <si>
    <t>A</t>
  </si>
  <si>
    <t>B</t>
  </si>
  <si>
    <t>C</t>
  </si>
  <si>
    <t>Herb</t>
  </si>
  <si>
    <t>Shrub</t>
  </si>
  <si>
    <t>Tree</t>
  </si>
  <si>
    <t>Seas</t>
  </si>
  <si>
    <t>Face</t>
  </si>
  <si>
    <t>Soil</t>
  </si>
  <si>
    <t>Ph</t>
  </si>
  <si>
    <t>Min</t>
  </si>
  <si>
    <t>Mean</t>
  </si>
  <si>
    <t>Max</t>
  </si>
  <si>
    <t>Temperatures</t>
  </si>
  <si>
    <t>Reported</t>
  </si>
  <si>
    <t>Exposure</t>
  </si>
  <si>
    <t>Normal</t>
  </si>
  <si>
    <t>Any All</t>
  </si>
  <si>
    <t>Mid</t>
  </si>
  <si>
    <t>Herb =</t>
  </si>
  <si>
    <t>Shrub =</t>
  </si>
  <si>
    <t>Tree =</t>
  </si>
  <si>
    <t>Fern =</t>
  </si>
  <si>
    <t>Sub-Alpine Slopes</t>
  </si>
  <si>
    <t>Legler Intercept</t>
  </si>
  <si>
    <t>Burke Oldest Photo</t>
  </si>
  <si>
    <t>WW Maximum #</t>
  </si>
  <si>
    <t>Burke Year Data</t>
  </si>
  <si>
    <t>Forest &amp; Understory</t>
  </si>
  <si>
    <t>MaxAge</t>
  </si>
  <si>
    <t>Season</t>
  </si>
  <si>
    <t>Interim Data Calculations</t>
  </si>
  <si>
    <t>2018 SAM</t>
  </si>
  <si>
    <t>Log</t>
  </si>
  <si>
    <t>ü</t>
  </si>
  <si>
    <t>GPops</t>
  </si>
  <si>
    <t>Rare Status</t>
  </si>
  <si>
    <t>Initial</t>
  </si>
  <si>
    <t>Pred</t>
  </si>
  <si>
    <t>Set</t>
  </si>
  <si>
    <t>Abund</t>
  </si>
  <si>
    <t>LRPhoto</t>
  </si>
  <si>
    <t>LBPhoto</t>
  </si>
  <si>
    <t>Adjusted</t>
  </si>
  <si>
    <t>Realities</t>
  </si>
  <si>
    <t>Pops</t>
  </si>
  <si>
    <t>B&amp;S</t>
  </si>
  <si>
    <t>Widesd</t>
  </si>
  <si>
    <t>3 or more sources cross referenced were required before inclusion in this list and before planting at BBG's unique location at the end of the Strait of Juan de Fuca.</t>
  </si>
  <si>
    <t>Color</t>
  </si>
  <si>
    <t>W</t>
  </si>
  <si>
    <t>copyright © 2019</t>
  </si>
  <si>
    <t>Elevation</t>
  </si>
  <si>
    <t>Low</t>
  </si>
  <si>
    <t>High</t>
  </si>
  <si>
    <t>Y</t>
  </si>
  <si>
    <t>P</t>
  </si>
  <si>
    <t>R</t>
  </si>
  <si>
    <t>G</t>
  </si>
  <si>
    <t>Plant Characteristics</t>
  </si>
  <si>
    <t>3 Years of SAM and Gardens' Data</t>
  </si>
  <si>
    <t>Group Weightings</t>
  </si>
  <si>
    <t>=</t>
  </si>
  <si>
    <t>(BD17+BE17+BG17+BH17)/4</t>
  </si>
  <si>
    <t>(BJ17+BK17)/2</t>
  </si>
  <si>
    <t>(BS17+BT17+BU17+BV17+BW17)/5</t>
  </si>
  <si>
    <t>(BO17+BP17+BQ17)/3</t>
  </si>
  <si>
    <t>= BBG</t>
  </si>
  <si>
    <t>starting with the premise that there will be coefficients, we just don't know what they are yet.</t>
  </si>
  <si>
    <t>MdRec</t>
  </si>
  <si>
    <t>~# WA Populations</t>
  </si>
  <si>
    <t>Shown</t>
  </si>
  <si>
    <t>Count</t>
  </si>
  <si>
    <t>Herbaria</t>
  </si>
  <si>
    <t>WTU Visual Distribution</t>
  </si>
  <si>
    <t>Darlingtonia californica</t>
  </si>
  <si>
    <t>Aconitum columbianum</t>
  </si>
  <si>
    <t>Agastache urticifolia</t>
  </si>
  <si>
    <t>Aphyllon californicum</t>
  </si>
  <si>
    <t>Callitropsis nootkatensis</t>
  </si>
  <si>
    <t>Elodea nuttalli</t>
  </si>
  <si>
    <t>Eriogonum umbellatum</t>
  </si>
  <si>
    <t>Linum lewisii</t>
  </si>
  <si>
    <t>Matteuccia struthiopteris</t>
  </si>
  <si>
    <t>Nuphar polysepala</t>
  </si>
  <si>
    <t>Polemonium pulcherrimum</t>
  </si>
  <si>
    <t>Subularia aquatica</t>
  </si>
  <si>
    <t>Toxicodendron radicans</t>
  </si>
  <si>
    <t xml:space="preserve"> Weather</t>
  </si>
  <si>
    <t>Latest ~Populations</t>
  </si>
  <si>
    <t>Allotropa virgata</t>
  </si>
  <si>
    <t>Anisocarpus madioides</t>
  </si>
  <si>
    <t>Antennaria howellii</t>
  </si>
  <si>
    <t>Antennaria racemosa</t>
  </si>
  <si>
    <t>Anticlea occidentalis</t>
  </si>
  <si>
    <t>Arceuthobium tsugense</t>
  </si>
  <si>
    <t>Arnica cordifolia</t>
  </si>
  <si>
    <t>Artemisia douglasiana</t>
  </si>
  <si>
    <t>Betula pumila</t>
  </si>
  <si>
    <t>Botrychium virginianum</t>
  </si>
  <si>
    <t>Bromus sitchensis</t>
  </si>
  <si>
    <t>Caltha palustris</t>
  </si>
  <si>
    <t>Camissonia contorta</t>
  </si>
  <si>
    <t>Canadanthus modestus</t>
  </si>
  <si>
    <t>Cardamine pensylvanica</t>
  </si>
  <si>
    <t>Cardionema ramosissima</t>
  </si>
  <si>
    <t>Carex canescens</t>
  </si>
  <si>
    <t>Carex lasiocarpa</t>
  </si>
  <si>
    <t>Carex leptopoda</t>
  </si>
  <si>
    <t>Carex pansa</t>
  </si>
  <si>
    <t>Carex rossii</t>
  </si>
  <si>
    <t>Castilleja ambigua</t>
  </si>
  <si>
    <t>Castilleja miniata</t>
  </si>
  <si>
    <t>Celtis reticulata</t>
  </si>
  <si>
    <t>Chenopodium berlandieri</t>
  </si>
  <si>
    <t>Cirsium edule</t>
  </si>
  <si>
    <t>Cirsium remotifolium</t>
  </si>
  <si>
    <t>Clarkia gracilis</t>
  </si>
  <si>
    <t>Claytonia sibirica</t>
  </si>
  <si>
    <t>Clinopodium douglasii</t>
  </si>
  <si>
    <t>Collomia linearis</t>
  </si>
  <si>
    <t>Corallorhiza trifida</t>
  </si>
  <si>
    <t>Cyperus bipartitus</t>
  </si>
  <si>
    <t>Delphinium nuttallii</t>
  </si>
  <si>
    <t>Delphinium trolliifolium</t>
  </si>
  <si>
    <t>Dichanthelium acuminatum</t>
  </si>
  <si>
    <t>Distichlis spicata</t>
  </si>
  <si>
    <t>Dodecatheon austrofrigidum</t>
  </si>
  <si>
    <t>Eleocharis engelmannii</t>
  </si>
  <si>
    <t>Eleocharis palustris</t>
  </si>
  <si>
    <t>Empetrum nigrum</t>
  </si>
  <si>
    <t>Epilobium ciliatum</t>
  </si>
  <si>
    <t>Epilobium minutum</t>
  </si>
  <si>
    <t>Erigeron compositus</t>
  </si>
  <si>
    <t>Erythranthe alsinoides</t>
  </si>
  <si>
    <t>Erythranthe dentata</t>
  </si>
  <si>
    <t>Erythranthe lewisii</t>
  </si>
  <si>
    <t>Erythranthe moschata</t>
  </si>
  <si>
    <t>Eucephalus engelmannii</t>
  </si>
  <si>
    <t>Eutrochium maculatum</t>
  </si>
  <si>
    <t>Festuca roemeri</t>
  </si>
  <si>
    <t>Gaillardia aristata</t>
  </si>
  <si>
    <t>Galium boreale</t>
  </si>
  <si>
    <t>Galium palustre</t>
  </si>
  <si>
    <t>Galium trifidum</t>
  </si>
  <si>
    <t>Gamochaeta ustulata</t>
  </si>
  <si>
    <t>Glyceria elata</t>
  </si>
  <si>
    <t>Grindelia hirsutula</t>
  </si>
  <si>
    <t>Honckenya peploides</t>
  </si>
  <si>
    <t>Huperzia miyoshiana</t>
  </si>
  <si>
    <t>Hypericum majus</t>
  </si>
  <si>
    <t>Impatiens ecornuta</t>
  </si>
  <si>
    <t>Impatiens noli-tangere</t>
  </si>
  <si>
    <t>Isoetes tenella</t>
  </si>
  <si>
    <t>Jaumea carnosa</t>
  </si>
  <si>
    <t>Juncus alpinoarticulatus</t>
  </si>
  <si>
    <t>Juncus brevicaudatus</t>
  </si>
  <si>
    <t>Juncus mertensianus</t>
  </si>
  <si>
    <t>Juncus patens</t>
  </si>
  <si>
    <t>Lactuca biennis</t>
  </si>
  <si>
    <t>Lathyrus japonicus</t>
  </si>
  <si>
    <t>Lathyrus littoralis</t>
  </si>
  <si>
    <t>Leersia oryzoides</t>
  </si>
  <si>
    <t>Lemna turionifera</t>
  </si>
  <si>
    <t>Lepidium virginicum</t>
  </si>
  <si>
    <t>Leptarrhena pyrolifolia</t>
  </si>
  <si>
    <t>Lewisia columbiana</t>
  </si>
  <si>
    <t>Lilaeopsis occidentalis</t>
  </si>
  <si>
    <t>Lonicera utahensis</t>
  </si>
  <si>
    <t>Lupinus microcarpus</t>
  </si>
  <si>
    <t>Micranthes ferruginea</t>
  </si>
  <si>
    <t>Micranthes integrifolia</t>
  </si>
  <si>
    <t>Micranthes occidentalis</t>
  </si>
  <si>
    <t>Micranthes oregana</t>
  </si>
  <si>
    <t>Microsteris gracilis</t>
  </si>
  <si>
    <t>Moehringia lateriflora</t>
  </si>
  <si>
    <t>Montia linearis</t>
  </si>
  <si>
    <t>Montia parvifolia</t>
  </si>
  <si>
    <t>Myriophyllum sibiricum</t>
  </si>
  <si>
    <t>Nuttallanthus texanus</t>
  </si>
  <si>
    <t>Orthilia secunda</t>
  </si>
  <si>
    <t>Parnassia fimbriata</t>
  </si>
  <si>
    <t>Pectiantia breweri</t>
  </si>
  <si>
    <t>Pectiantia ovalis</t>
  </si>
  <si>
    <t>Pedicularis groenlandica</t>
  </si>
  <si>
    <t>Persicaria amphibia</t>
  </si>
  <si>
    <t>Persicaria hydropiperoides</t>
  </si>
  <si>
    <t>Persicaria lapathifolia</t>
  </si>
  <si>
    <t>Plantago macrocarpa</t>
  </si>
  <si>
    <t>Platanthera orbiculata</t>
  </si>
  <si>
    <t>Polygonum spergulariiforme</t>
  </si>
  <si>
    <t>Pseudognaphalium stramineum</t>
  </si>
  <si>
    <t>Pseudognaphalium thermale</t>
  </si>
  <si>
    <t>Psilocarphus elatior</t>
  </si>
  <si>
    <t>Puccinellia nuttalliana</t>
  </si>
  <si>
    <t>Pyracantha coccinea</t>
  </si>
  <si>
    <t>Ranunculus sceleratus</t>
  </si>
  <si>
    <t>Rubus idaeus</t>
  </si>
  <si>
    <t>Rumex occidentalis</t>
  </si>
  <si>
    <t>Rumex persicarioides</t>
  </si>
  <si>
    <t>Salix barclayi</t>
  </si>
  <si>
    <t>Sambucus nigra</t>
  </si>
  <si>
    <t>Sarcocornia perennis</t>
  </si>
  <si>
    <t>Scheuchzeria palustris</t>
  </si>
  <si>
    <t>Schoenoplectus pungens</t>
  </si>
  <si>
    <t>Schoenoplectus tabernaemontani</t>
  </si>
  <si>
    <t>Scirpus atrocinctus</t>
  </si>
  <si>
    <t>Sericocarpus rigidus</t>
  </si>
  <si>
    <t>Spergularia salina</t>
  </si>
  <si>
    <t>Spiraea lucida</t>
  </si>
  <si>
    <t>Stachys mexicana</t>
  </si>
  <si>
    <t>Stellaria longipes</t>
  </si>
  <si>
    <t>Stellaria nitens</t>
  </si>
  <si>
    <t>Stellaria obtusa</t>
  </si>
  <si>
    <t>Stuckenia filiformis</t>
  </si>
  <si>
    <t>Suaeda calceoliformis</t>
  </si>
  <si>
    <t>Symphyotrichum bracteolatum</t>
  </si>
  <si>
    <t>Synthyris reniformis</t>
  </si>
  <si>
    <t>Tanacetum bipinnatum</t>
  </si>
  <si>
    <t>Thelypteris quelpaertensis</t>
  </si>
  <si>
    <t>Torreyochloa pallida</t>
  </si>
  <si>
    <t>Trifolium bifidum</t>
  </si>
  <si>
    <t>Trillium parviflorum</t>
  </si>
  <si>
    <t>Turritis glabra</t>
  </si>
  <si>
    <t>Utricularia gibba</t>
  </si>
  <si>
    <t>Utricularia vulgaris</t>
  </si>
  <si>
    <t>Valeriana scouleri</t>
  </si>
  <si>
    <t>Viburnum ellipticum</t>
  </si>
  <si>
    <t>Viola orbiculata</t>
  </si>
  <si>
    <t>Zeltnera muehlenbergii</t>
  </si>
  <si>
    <t>also Washington Native Plant Society Vascular Plant List, Snohomish County with the addition of names of plants in the UW and WSU herbariums prepared by Don Knoke, 2004.</t>
  </si>
  <si>
    <t>Types:Shrub - woody barked stems, &lt;20' high &amp; 2" often several stems</t>
  </si>
  <si>
    <t xml:space="preserve"> Flower-White = (W-xxx)Flower-Blue = (B-xxx)Flower-Red = (R-xxx)Flower-Pink = (P-xxx)Flower-Brown/Green = (G-xxx)Flower-Orange= (O-xxx)Flower-Yellow= (Y-xxx)</t>
  </si>
  <si>
    <t>Historic Native Plant Sites</t>
  </si>
  <si>
    <t>Slope</t>
  </si>
  <si>
    <t>Woolly Breeches</t>
  </si>
  <si>
    <t>Western Pearly Everlasting</t>
  </si>
  <si>
    <t>Howell's Pussytoes</t>
  </si>
  <si>
    <t>Hemlock Mistletoe</t>
  </si>
  <si>
    <t>Media Manzanita(x)</t>
  </si>
  <si>
    <t>Medium Manzanita</t>
  </si>
  <si>
    <t>Field Sagewort</t>
  </si>
  <si>
    <t>Salt-Marsh Bulrush</t>
  </si>
  <si>
    <t>Alaska Brome</t>
  </si>
  <si>
    <t>Quaker Bittercress</t>
  </si>
  <si>
    <t>Sandmat</t>
  </si>
  <si>
    <t>Woollyfruit Sedge</t>
  </si>
  <si>
    <t>Ross' Sedge</t>
  </si>
  <si>
    <t>Netleaf Hackberry</t>
  </si>
  <si>
    <t>Pitseed Goosefoot</t>
  </si>
  <si>
    <t>Slender Clarkia</t>
  </si>
  <si>
    <t>Siberian Springbeauty</t>
  </si>
  <si>
    <t>Yellow Coralroot</t>
  </si>
  <si>
    <t>Nuttall's Larkspur</t>
  </si>
  <si>
    <t>Poison Larkspur</t>
  </si>
  <si>
    <t>Tapered Rosette Grass</t>
  </si>
  <si>
    <t>Coastal Saltgrass</t>
  </si>
  <si>
    <t>Greene's Drymocallis</t>
  </si>
  <si>
    <t>Engelmann's Spikerush</t>
  </si>
  <si>
    <t>CommonWaterweed</t>
  </si>
  <si>
    <t>Black Crowberry</t>
  </si>
  <si>
    <t>Chaparral Willowherb</t>
  </si>
  <si>
    <t>Purple Monkey-Flower</t>
  </si>
  <si>
    <t>Engelmann's Aster</t>
  </si>
  <si>
    <t>Joepyeweed</t>
  </si>
  <si>
    <t>Roemer's Fescue</t>
  </si>
  <si>
    <t>http://biology.burke.washington.edu/herbarium/imagecollection/taxon.php?Taxon=Festuca roemeri</t>
  </si>
  <si>
    <t>Northern Bedstraw</t>
  </si>
  <si>
    <t>Common Marsh Bedstraw</t>
  </si>
  <si>
    <t>Small Bedstraw</t>
  </si>
  <si>
    <t>http://biology.burke.washington.edu/herbarium/imagecollection/taxon.php?Taxon=Gaultheria shallon</t>
  </si>
  <si>
    <t>Tall Mannagrass</t>
  </si>
  <si>
    <t>Gumweed</t>
  </si>
  <si>
    <t>Sea Purslane</t>
  </si>
  <si>
    <t>Fir Clubmoss</t>
  </si>
  <si>
    <t>Western Touch-Me-Not</t>
  </si>
  <si>
    <t>Narrow-Leaved Quillwort</t>
  </si>
  <si>
    <t>Narrow-Panicled Rush</t>
  </si>
  <si>
    <t>Common Rush</t>
  </si>
  <si>
    <t>Mertens' Rush</t>
  </si>
  <si>
    <t>Spreading Rush</t>
  </si>
  <si>
    <t>Marsh Pea</t>
  </si>
  <si>
    <t>Rice Cutgrass</t>
  </si>
  <si>
    <t>Tall Western Peppergrass</t>
  </si>
  <si>
    <t>Rocky Mountain Honeysuckle</t>
  </si>
  <si>
    <t>Chick Lupine</t>
  </si>
  <si>
    <t>Rusty Saxifrage</t>
  </si>
  <si>
    <t>WholeleafSaxifrage</t>
  </si>
  <si>
    <t>Western Saxifrage</t>
  </si>
  <si>
    <t>Oregon Saxifrage</t>
  </si>
  <si>
    <t>Slender Phlox</t>
  </si>
  <si>
    <t>Blunt-Leaf Sandwort</t>
  </si>
  <si>
    <t>Littleleaf Miner's-Lettuce</t>
  </si>
  <si>
    <t>Tiny Mousetail</t>
  </si>
  <si>
    <t>Small-Flowered Nemophila</t>
  </si>
  <si>
    <t>http://biology.burke.washington.edu/herbarium/imagecollection/taxon.php?Taxon=Nothochelone nemorosa</t>
  </si>
  <si>
    <t>Swamp Smartweed</t>
  </si>
  <si>
    <t>Pale Smartweed</t>
  </si>
  <si>
    <t>Spurry Knotweed</t>
  </si>
  <si>
    <t>Alaskan Fern(non native)</t>
  </si>
  <si>
    <t>http://biology.burke.washington.edu/herbarium/imagecollection/taxon.php?Taxon=Potamogeton zosteriformis</t>
  </si>
  <si>
    <t>Smith's Fairy Bells</t>
  </si>
  <si>
    <t>Tall Woollyheads</t>
  </si>
  <si>
    <t>Nuttall's Alkaligrass</t>
  </si>
  <si>
    <t>http://biology.burke.washington.edu/herbarium/imagecollection/taxon.php?Taxon=Rosa gymnocarpa</t>
  </si>
  <si>
    <t>American Red Raspberry</t>
  </si>
  <si>
    <t>Western Dock</t>
  </si>
  <si>
    <t>Beaked Ditch-Grass</t>
  </si>
  <si>
    <t>Slender Stitchwort</t>
  </si>
  <si>
    <t>Barclay's Willow</t>
  </si>
  <si>
    <t>Mackenzie's Willow</t>
  </si>
  <si>
    <t>Pacific Sanicle</t>
  </si>
  <si>
    <t>Tule</t>
  </si>
  <si>
    <t>Blackgirdle Bulrush</t>
  </si>
  <si>
    <t>Simplestem Bur-Reed</t>
  </si>
  <si>
    <t>Mexican Hedge-Nettle</t>
  </si>
  <si>
    <t>Long-Stalk Starwort</t>
  </si>
  <si>
    <t>Blunt-Sepaled Starwort</t>
  </si>
  <si>
    <t>Hall's Aster</t>
  </si>
  <si>
    <t>Few-Flowerered Clover</t>
  </si>
  <si>
    <t>Seaside Arrow-Grass</t>
  </si>
  <si>
    <t>Common Bladderwort</t>
  </si>
  <si>
    <t>Scouler's Valerian</t>
  </si>
  <si>
    <t>White Inside-Out-Flower</t>
  </si>
  <si>
    <t>Pioneer Violet</t>
  </si>
  <si>
    <t>Canary Violet</t>
  </si>
  <si>
    <t>Muhlenberg's Centaury</t>
  </si>
  <si>
    <t>Five Finger Maidenhair Fern (non-native)</t>
  </si>
  <si>
    <t>Lady Fern</t>
  </si>
  <si>
    <t>Rannoch Rush</t>
  </si>
  <si>
    <t>Age</t>
  </si>
  <si>
    <t xml:space="preserve"> Life</t>
  </si>
  <si>
    <t>http://biology.burke.washington.edu/herbarium/imagecollection/taxon.php?Taxon=Eriogonum umbellatum</t>
  </si>
  <si>
    <t>Potential Variables to Correlate / Use with Cubic Spline Regression Analyses to Predict an Extinction Year &amp; Migration Areas</t>
  </si>
  <si>
    <r>
      <t>DeChaine Equation: Year of Extinction = Intercept+</t>
    </r>
    <r>
      <rPr>
        <b/>
        <sz val="12"/>
        <color rgb="FFFF0000"/>
        <rFont val="Calibri"/>
        <family val="2"/>
        <scheme val="minor"/>
      </rPr>
      <t>Slope</t>
    </r>
    <r>
      <rPr>
        <b/>
        <sz val="12"/>
        <rFont val="Calibri"/>
        <family val="2"/>
        <scheme val="minor"/>
      </rPr>
      <t>*PresentYear)</t>
    </r>
  </si>
  <si>
    <t>Maximum</t>
  </si>
  <si>
    <t>=C21+1.*Year(j1) (Minimum = the Intercept)</t>
  </si>
  <si>
    <t>If Less than the Present Year then …</t>
  </si>
  <si>
    <t>Extinct</t>
  </si>
  <si>
    <r>
      <t>=C21+</t>
    </r>
    <r>
      <rPr>
        <i/>
        <sz val="11"/>
        <color rgb="FFFF0000"/>
        <rFont val="Calibri"/>
        <family val="2"/>
        <scheme val="minor"/>
      </rPr>
      <t>Slope</t>
    </r>
    <r>
      <rPr>
        <i/>
        <sz val="11"/>
        <rFont val="Calibri"/>
        <family val="2"/>
        <scheme val="minor"/>
      </rPr>
      <t>*Year(j1) … =IF(BE989&lt;Present Year, "Extinct?",BE989)</t>
    </r>
  </si>
  <si>
    <t>If Greater than the Year 3000 then …</t>
  </si>
  <si>
    <t>Abundant</t>
  </si>
  <si>
    <r>
      <t>=C21+</t>
    </r>
    <r>
      <rPr>
        <i/>
        <sz val="11"/>
        <color rgb="FFFF0000"/>
        <rFont val="Calibri"/>
        <family val="2"/>
        <scheme val="minor"/>
      </rPr>
      <t>Slope</t>
    </r>
    <r>
      <rPr>
        <i/>
        <sz val="11"/>
        <rFont val="Calibri"/>
        <family val="2"/>
        <scheme val="minor"/>
      </rPr>
      <t>*Year(j1) … A=IF(BB993&gt;3000, "Abundant",BB993)</t>
    </r>
  </si>
  <si>
    <t>Data Analyses</t>
  </si>
  <si>
    <t>Data Below is "all about" the "Slope"</t>
  </si>
  <si>
    <t>(next 1,000 years longer than the Roman Empire)</t>
  </si>
  <si>
    <t>Counts</t>
  </si>
  <si>
    <t>% of Pop</t>
  </si>
  <si>
    <r>
      <t>R</t>
    </r>
    <r>
      <rPr>
        <b/>
        <vertAlign val="superscript"/>
        <sz val="11"/>
        <rFont val="Calibri"/>
        <family val="2"/>
        <scheme val="minor"/>
      </rPr>
      <t>2</t>
    </r>
  </si>
  <si>
    <r>
      <t xml:space="preserve">Data Points </t>
    </r>
    <r>
      <rPr>
        <b/>
        <u/>
        <sz val="14"/>
        <rFont val="Calibri"/>
        <family val="2"/>
        <scheme val="minor"/>
      </rPr>
      <t xml:space="preserve">now exisitng </t>
    </r>
    <r>
      <rPr>
        <b/>
        <sz val="14"/>
        <rFont val="Calibri"/>
        <family val="2"/>
        <scheme val="minor"/>
      </rPr>
      <t xml:space="preserve">for an Extinction Model </t>
    </r>
    <r>
      <rPr>
        <i/>
        <sz val="12"/>
        <rFont val="Calibri"/>
        <family val="2"/>
        <scheme val="minor"/>
      </rPr>
      <t>(calculation of the Slope Coefficient between .0 and 1.0)</t>
    </r>
    <r>
      <rPr>
        <sz val="14"/>
        <color theme="0" tint="-0.499984740745262"/>
        <rFont val="Calibri"/>
        <family val="2"/>
        <scheme val="minor"/>
      </rPr>
      <t xml:space="preserve">
</t>
    </r>
    <r>
      <rPr>
        <i/>
        <sz val="11"/>
        <color theme="0" tint="-0.499984740745262"/>
        <rFont val="Calibri"/>
        <family val="2"/>
        <scheme val="minor"/>
      </rPr>
      <t>(default weighting pegged and will change after correlation/regression analyses)</t>
    </r>
  </si>
  <si>
    <t>2018 SAM Logged Visit Weighting</t>
  </si>
  <si>
    <t>SAM 2018 Visits to Herbaria Sites</t>
  </si>
  <si>
    <t>Notes/Example Variables</t>
  </si>
  <si>
    <t xml:space="preserve">  </t>
  </si>
  <si>
    <t># of Popuplations Visited</t>
  </si>
  <si>
    <t xml:space="preserve"> (f9+f10)/(f8+f10)</t>
  </si>
  <si>
    <t># of sites still with these plants</t>
  </si>
  <si>
    <t>/yr</t>
  </si>
  <si>
    <t>2018 SAM Photo Proof Weighting</t>
  </si>
  <si>
    <t># of new Populations Found elsewhere</t>
  </si>
  <si>
    <t>(2019 and 2020 SAM data will be summed as collected)</t>
  </si>
  <si>
    <t># of site population photos verifying</t>
  </si>
  <si>
    <t>f11/(f8+f10) … if not photo'd by SAM (3 yrs), BBG (15 yrs) +WNPS members .. Slope = 0.</t>
  </si>
  <si>
    <t>Ph, Min, Mean, Max,  Soils, Facing, Age</t>
  </si>
  <si>
    <t>2004 - Present Year - BBGardens Collection</t>
  </si>
  <si>
    <t>Unique Species Planted</t>
  </si>
  <si>
    <t>(Maximum of 10 to be logged)</t>
  </si>
  <si>
    <t>and now growing in the Gardens</t>
  </si>
  <si>
    <t>=((H18)/(H17))/10 … (if growing in Gardens, not Extinct)</t>
  </si>
  <si>
    <r>
      <t>SAM AND GARDENS' DATA DETERMINATIVE</t>
    </r>
    <r>
      <rPr>
        <i/>
        <sz val="11"/>
        <color rgb="FFC00000"/>
        <rFont val="Calibri"/>
        <family val="2"/>
        <scheme val="minor"/>
      </rPr>
      <t xml:space="preserve"> (after 2020) </t>
    </r>
    <r>
      <rPr>
        <b/>
        <sz val="11"/>
        <color rgb="FFC00000"/>
        <rFont val="Calibri"/>
        <family val="2"/>
        <scheme val="minor"/>
      </rPr>
      <t>AS TO AN EXTINCTION PREDICTION</t>
    </r>
  </si>
  <si>
    <t>Burke URL Records</t>
  </si>
  <si>
    <t>~1/2 of Burke photos, their median year</t>
  </si>
  <si>
    <t>OTHER DATA BELOW USED AS PREDICTIVE SUPPLEMENTS</t>
  </si>
  <si>
    <t>~1/2 of Burke photos, this the median photo year</t>
  </si>
  <si>
    <t>Burke Photo Values</t>
  </si>
  <si>
    <t>Most Recent Photo Year</t>
  </si>
  <si>
    <t>=((T29-1970)/(YEAR($o$1)-1970))</t>
  </si>
  <si>
    <t xml:space="preserve">Ph </t>
  </si>
  <si>
    <t>Earliest Photo Year</t>
  </si>
  <si>
    <t>=YEAR(j1)</t>
  </si>
  <si>
    <t>Herbaria Years' Values</t>
  </si>
  <si>
    <t>Herbaria (All) Records</t>
  </si>
  <si>
    <t>~# Populations in W WA (visual dot count)</t>
  </si>
  <si>
    <t xml:space="preserve">&gt;=Maximum </t>
  </si>
  <si>
    <t>~# Populations in E WA (visual dot count)</t>
  </si>
  <si>
    <t>Sub-Alpine, E WA weighted 10%</t>
  </si>
  <si>
    <t>~# of total populations in WA</t>
  </si>
  <si>
    <t>sum of W and E WA</t>
  </si>
  <si>
    <t>Year 1st Described</t>
  </si>
  <si>
    <t>&gt;=Minimum (2 older, oldest 1824)</t>
  </si>
  <si>
    <t>=YEAR($O$1)</t>
  </si>
  <si>
    <t>Year Last Found</t>
  </si>
  <si>
    <t>assume present year</t>
  </si>
  <si>
    <t>=((H28-C15)/(H29-H28))</t>
  </si>
  <si>
    <t>WA Rare Plant Value</t>
  </si>
  <si>
    <t>Restated WA State Rare Status</t>
  </si>
  <si>
    <t>=(h34/$H$39)</t>
  </si>
  <si>
    <t>Endangered</t>
  </si>
  <si>
    <t>Threatened</t>
  </si>
  <si>
    <t>Sensitive</t>
  </si>
  <si>
    <t>Trending to Extinction</t>
  </si>
  <si>
    <t>Abundant of No Concern</t>
  </si>
  <si>
    <t>=(h41/$H$46)</t>
  </si>
  <si>
    <t>Global Rare Plant Value</t>
  </si>
  <si>
    <t>Global WA State Rare Status</t>
  </si>
  <si>
    <t>#</t>
  </si>
  <si>
    <t>&gt; 0 and &lt; 5</t>
  </si>
  <si>
    <t>=&gt; 5 and &lt; 20</t>
  </si>
  <si>
    <t>=&gt; 20 and &lt; 80</t>
  </si>
  <si>
    <t>=&gt; 80 and &lt;250</t>
  </si>
  <si>
    <t>=&gt; 250</t>
  </si>
  <si>
    <t>Range Value</t>
  </si>
  <si>
    <t>Native Floristic Ranges</t>
  </si>
  <si>
    <t>=(H49+1)/($H$53+1)</t>
  </si>
  <si>
    <t xml:space="preserve"> (~county size area)</t>
  </si>
  <si>
    <t xml:space="preserve"> (~state size area)</t>
  </si>
  <si>
    <t xml:space="preserve"> (San Francisco Bay to Alaska)</t>
  </si>
  <si>
    <t>Western US north of desert areas</t>
  </si>
  <si>
    <t>=IF(M52="Local Endemic",".6",  IF(M52="Regional Endemic",".7",  IF(M52="Cascadia",".8",  IF(M52="Rocky Mountain",".9", IF(M52="North America","1.")))))</t>
  </si>
  <si>
    <t>Color Value</t>
  </si>
  <si>
    <t>Flower Color</t>
  </si>
  <si>
    <t>White</t>
  </si>
  <si>
    <t>=IF(L64="W",".94",IF(L64="Y",".95",IF(L64="O",".96",IF(L64="Y",".97",IF(L64="Y",".98",IF(L64="Y",".99",IF(L64="Y","1.00")))))</t>
  </si>
  <si>
    <t>Yellow</t>
  </si>
  <si>
    <t xml:space="preserve">=CORREL(IF(WEEKDAY(A1:A100)=2, B1:B100), IF(WEEKDAY(A1:A100)=2, C1:C100)) </t>
  </si>
  <si>
    <t>Orange</t>
  </si>
  <si>
    <t>O</t>
  </si>
  <si>
    <t>Red-Pink</t>
  </si>
  <si>
    <t>Purple-Blue</t>
  </si>
  <si>
    <t xml:space="preserve">Green </t>
  </si>
  <si>
    <t>Brown</t>
  </si>
  <si>
    <t>Plant Type Value</t>
  </si>
  <si>
    <t>assume all types as likely</t>
  </si>
  <si>
    <t>=IF(M56="Fern","1.",  IF(M56="Grass","1.",  IF(M56="Herb",".9",  IF(M56="Shrub","1.",   IF(M56="Tree","1.", IF(M56="Vine","1.")))))</t>
  </si>
  <si>
    <t>Season Type</t>
  </si>
  <si>
    <t>Season Abbreviation</t>
  </si>
  <si>
    <t>=IF(f64="A","1.",  IF(f64="B","2.",  IF(f64="C","4.",  IF(f64="D","3." ))))</t>
  </si>
  <si>
    <t>A - Annual</t>
  </si>
  <si>
    <t>B Biannual</t>
  </si>
  <si>
    <t>C Perennial Coniferous</t>
  </si>
  <si>
    <t>D Perennial Deciduous (most Herbs)</t>
  </si>
  <si>
    <t>Mode Max Age</t>
  </si>
  <si>
    <t>Plants Age Range</t>
  </si>
  <si>
    <t>Average Age</t>
  </si>
  <si>
    <t>Annuals</t>
  </si>
  <si>
    <t>Biannuals</t>
  </si>
  <si>
    <t>Maximum Age Value</t>
  </si>
  <si>
    <t>Max set at 200 (though conifers live longer)</t>
  </si>
  <si>
    <t>Habitat Value</t>
  </si>
  <si>
    <t>Bogs Ponds Sreams</t>
  </si>
  <si>
    <t>=IF(F74="Bogs Ponds Sreams",".96", IF(F74="Coastal Areas",".97",IF(F74="Meadows Dry Open",".96",IF(F74="Forest &amp; Understory",".97",IF(F74="Moist Open",".98",IF(F74="Moist Shady",".99",IF(F74="Sub-Alpine Slopes","1.")))))))</t>
  </si>
  <si>
    <r>
      <t>Range in Elevation</t>
    </r>
    <r>
      <rPr>
        <i/>
        <sz val="11"/>
        <rFont val="Calibri"/>
        <family val="2"/>
        <scheme val="minor"/>
      </rPr>
      <t xml:space="preserve"> (defaults shown)</t>
    </r>
  </si>
  <si>
    <t>Common Range in Feet</t>
  </si>
  <si>
    <t>value</t>
  </si>
  <si>
    <t>Temperature Value</t>
  </si>
  <si>
    <t>Range Mid, Mean, Max Temperatures</t>
  </si>
  <si>
    <t>°F</t>
  </si>
  <si>
    <t>For now set by the Habitat Range Values (Coastal, Sub-Alpine, etc.)</t>
  </si>
  <si>
    <t>Minimum Temperature (6 hours duration)</t>
  </si>
  <si>
    <t>=IF(F74="Bogs Ponds Sreams",".96", IF(F74="Coastal Areas",".97",IF(F74="Meadows Dry Open",".96",IF(F74="Forest Understory",".97",IF(F74="Moist Open",".98",IF(F74="Moist Shady",".99",IF(F74="Sub-Alpine Slopes","1.")))))))</t>
  </si>
  <si>
    <t xml:space="preserve">Mean </t>
  </si>
  <si>
    <t>Maximum Temperature (6 hours duration)</t>
  </si>
  <si>
    <t>Data Points for the Plant Map Migration Model</t>
  </si>
  <si>
    <t>Plant Population' Locations</t>
  </si>
  <si>
    <t>Coordinates</t>
  </si>
  <si>
    <t>Longitude</t>
  </si>
  <si>
    <t>Latitude</t>
  </si>
  <si>
    <t>Soils Value</t>
  </si>
  <si>
    <t>Favored Soil</t>
  </si>
  <si>
    <t>Clay</t>
  </si>
  <si>
    <t>=IF(F74="Clay",".96", IF(F74="Loam",".97",IF(F74="Peat",".96",IF(F74="Rocky",".97",IF(F74="Sand",".98",IF(F74="Serpentine",".99",IF(F74="Silt","1.")))))))</t>
  </si>
  <si>
    <t>Loam</t>
  </si>
  <si>
    <t>Peat</t>
  </si>
  <si>
    <t>Rocky</t>
  </si>
  <si>
    <t>Sand</t>
  </si>
  <si>
    <t>Serpentine</t>
  </si>
  <si>
    <t>Silt</t>
  </si>
  <si>
    <t>Generally Facing</t>
  </si>
  <si>
    <t>SW</t>
  </si>
  <si>
    <t>=IF(F74="SW",".96",IF(F74="NW",".97",IF(F74="NE",".98",IF(F74="SE",".99",IF(F74="Any ALL","1.0")))))</t>
  </si>
  <si>
    <t>NW</t>
  </si>
  <si>
    <t>NE</t>
  </si>
  <si>
    <t>SE</t>
  </si>
  <si>
    <t>Ph Value</t>
  </si>
  <si>
    <t>Mean Ph</t>
  </si>
  <si>
    <t>residual = NWAve-Plant Soil Mean Value</t>
  </si>
  <si>
    <t xml:space="preserve">Below NW </t>
  </si>
  <si>
    <t>and if negative change value</t>
  </si>
  <si>
    <t>&gt;6.5 to &lt;7.0</t>
  </si>
  <si>
    <t>NW Average = 6.75</t>
  </si>
  <si>
    <t>&gt;=7.0</t>
  </si>
  <si>
    <t>Voucher File Data Fields</t>
  </si>
  <si>
    <t>Species</t>
  </si>
  <si>
    <t>ORBIC Location</t>
  </si>
  <si>
    <t>WWB Accession # (For Vouchered Samples)</t>
  </si>
  <si>
    <t>CPNWH Accession #</t>
  </si>
  <si>
    <t>CPNWH Occurrence ID</t>
  </si>
  <si>
    <t>Record Year</t>
  </si>
  <si>
    <t>Found?</t>
  </si>
  <si>
    <t>State</t>
  </si>
  <si>
    <t>County</t>
  </si>
  <si>
    <t>Jurisdiction</t>
  </si>
  <si>
    <t>District</t>
  </si>
  <si>
    <t>Vouchered? (Include # of Samples)</t>
  </si>
  <si>
    <t>Elevation (ft)</t>
  </si>
  <si>
    <t>Accuracy (± ft)</t>
  </si>
  <si>
    <t>Datum</t>
  </si>
  <si>
    <t>GPS Type</t>
  </si>
  <si>
    <t>Date Collected</t>
  </si>
  <si>
    <t>Collection Number(s)</t>
  </si>
  <si>
    <t>Local Rarity</t>
  </si>
  <si>
    <t>Phenology</t>
  </si>
  <si>
    <t>Pop. Size</t>
  </si>
  <si>
    <t>Aspect</t>
  </si>
  <si>
    <t>Landform</t>
  </si>
  <si>
    <t xml:space="preserve">Native? </t>
  </si>
  <si>
    <t>Associated spp</t>
  </si>
  <si>
    <t>Locality</t>
  </si>
  <si>
    <t>Threats</t>
  </si>
  <si>
    <t>Extinction Year</t>
  </si>
  <si>
    <t xml:space="preserve"> Map Visual Populations</t>
  </si>
  <si>
    <t>Median Year</t>
  </si>
  <si>
    <t>Legler Median Year</t>
  </si>
  <si>
    <t>Present Year BBG or SAM</t>
  </si>
  <si>
    <t>Visual View of Plant Distributions</t>
  </si>
  <si>
    <t>Total Sites logged in all Herbaria</t>
  </si>
  <si>
    <t>count</t>
  </si>
  <si>
    <t>test line count</t>
  </si>
  <si>
    <t>Carex densa</t>
  </si>
  <si>
    <t>Cystopteris fragilis</t>
  </si>
  <si>
    <t>Woodsia oregana</t>
  </si>
  <si>
    <t>Alnus rhombifolia</t>
  </si>
  <si>
    <t>Angelica hendersonii</t>
  </si>
  <si>
    <t>Cardamine oligosperma</t>
  </si>
  <si>
    <t>Cardamine nuttallii</t>
  </si>
  <si>
    <t>Blechnum spicant</t>
  </si>
  <si>
    <t>Carex amplifolia</t>
  </si>
  <si>
    <t>Carex echinata</t>
  </si>
  <si>
    <t>Carex interrupta</t>
  </si>
  <si>
    <t>Carex unilateralis</t>
  </si>
  <si>
    <t>Carex vulpinoidea</t>
  </si>
  <si>
    <t>Castilleja attenuata</t>
  </si>
  <si>
    <t>Castilleja levisecta</t>
  </si>
  <si>
    <t>Ceanothus sanguineus</t>
  </si>
  <si>
    <t>Cephalanthera austiniae</t>
  </si>
  <si>
    <t>Chrysosplenium glechomifolium</t>
  </si>
  <si>
    <t>Claytonia parviflora</t>
  </si>
  <si>
    <t>Clematis ligusticifolia</t>
  </si>
  <si>
    <t>Cochlearia groenlandica</t>
  </si>
  <si>
    <t>Corydalis scouleri</t>
  </si>
  <si>
    <t>Crataegus douglasii</t>
  </si>
  <si>
    <t>Cyperus erythrorhizos</t>
  </si>
  <si>
    <t>Delphinium glaucum</t>
  </si>
  <si>
    <t>Dicentra formosa</t>
  </si>
  <si>
    <t>Drosera rotundifolia</t>
  </si>
  <si>
    <t>Dryopteris arguta</t>
  </si>
  <si>
    <t>Dryopteris expansa</t>
  </si>
  <si>
    <t>Elodea canadensis</t>
  </si>
  <si>
    <t>Epipactis gigantea</t>
  </si>
  <si>
    <t>Equisetum fluviatile</t>
  </si>
  <si>
    <t>Equisetum telmateia</t>
  </si>
  <si>
    <t>Erigeron speciosus</t>
  </si>
  <si>
    <t>Eriophorum chamissonis</t>
  </si>
  <si>
    <t>Erysimum capitatum</t>
  </si>
  <si>
    <t>Erythronium oregonum</t>
  </si>
  <si>
    <t>Fragaria virginiana</t>
  </si>
  <si>
    <t>Fraxinus latifolia</t>
  </si>
  <si>
    <t>Fritillaria affinis</t>
  </si>
  <si>
    <t>Galium triflorum</t>
  </si>
  <si>
    <t>Geranium bicknellii</t>
  </si>
  <si>
    <t>Geum macrophyllum</t>
  </si>
  <si>
    <t>Heuchera chlorantha</t>
  </si>
  <si>
    <t>Heuchera micrantha</t>
  </si>
  <si>
    <t>Hordeum depressum</t>
  </si>
  <si>
    <t>Huperzia occidentalis</t>
  </si>
  <si>
    <t>Isoetes occidentalis</t>
  </si>
  <si>
    <t>Juncus acuminatus</t>
  </si>
  <si>
    <t>Juncus oxymeris</t>
  </si>
  <si>
    <t>Koeleria macrantha</t>
  </si>
  <si>
    <t>Lilium columbianum</t>
  </si>
  <si>
    <t>Lithophragma parviflorum</t>
  </si>
  <si>
    <t>Lonicera hispidula</t>
  </si>
  <si>
    <t>Lonicera involucrata</t>
  </si>
  <si>
    <t>Lupinus littoralis</t>
  </si>
  <si>
    <t>Lupinus rivularis</t>
  </si>
  <si>
    <t>Madia elegans</t>
  </si>
  <si>
    <t>Maianthemum dilatatum</t>
  </si>
  <si>
    <t>Meconella oregana</t>
  </si>
  <si>
    <t>Mertensia platyphylla</t>
  </si>
  <si>
    <t>Moneses uniflora</t>
  </si>
  <si>
    <t>Myriophyllum hippuroides</t>
  </si>
  <si>
    <t>Myriophyllum verticillatum</t>
  </si>
  <si>
    <t>Navarretia intertexta</t>
  </si>
  <si>
    <t>Neottia cordata</t>
  </si>
  <si>
    <t>Nothochelone nemorosa</t>
  </si>
  <si>
    <t>Orthocarpus bracteosus</t>
  </si>
  <si>
    <t>Oxalis oregana</t>
  </si>
  <si>
    <t>Penstemon davidsonii</t>
  </si>
  <si>
    <t>Penstemon richardsonii</t>
  </si>
  <si>
    <t>Phacelia heterophylla</t>
  </si>
  <si>
    <t>Phacelia nemoralis</t>
  </si>
  <si>
    <t>Phlox diffusa</t>
  </si>
  <si>
    <t>Picea sitchensis</t>
  </si>
  <si>
    <t>Pinus ponderosa</t>
  </si>
  <si>
    <t>Plagiobothrys figuratus</t>
  </si>
  <si>
    <t>Plantago maritima</t>
  </si>
  <si>
    <t>Platanthera dilatata</t>
  </si>
  <si>
    <t>Platanthera elongata</t>
  </si>
  <si>
    <t>Platanthera transversa</t>
  </si>
  <si>
    <t>Polystichum andersonii</t>
  </si>
  <si>
    <t>Populus tremuloides</t>
  </si>
  <si>
    <t>Potamogeton foliosus</t>
  </si>
  <si>
    <t>Potamogeton gramineus</t>
  </si>
  <si>
    <t>Potamogeton illinoensis</t>
  </si>
  <si>
    <t>Potamogeton natans</t>
  </si>
  <si>
    <t>Potamogeton obtusifolius</t>
  </si>
  <si>
    <t>Potamogeton richardsonii</t>
  </si>
  <si>
    <t>Prosartes hookeri</t>
  </si>
  <si>
    <t>Pterospora andromedea</t>
  </si>
  <si>
    <t>Quercus garryana</t>
  </si>
  <si>
    <t>Ranunculus orthorhynchus</t>
  </si>
  <si>
    <t>Ranunculus uncinatus</t>
  </si>
  <si>
    <t>Rhynchospora alba</t>
  </si>
  <si>
    <t>Rorippa curvisiliqua</t>
  </si>
  <si>
    <t>Rubus ursinus</t>
  </si>
  <si>
    <t>Ruppia maritima</t>
  </si>
  <si>
    <t>Salix geyeriana</t>
  </si>
  <si>
    <t>Salix hookeriana</t>
  </si>
  <si>
    <t>Salix melanopsis</t>
  </si>
  <si>
    <t>Sanguisorba menziesii</t>
  </si>
  <si>
    <t>Saxifraga mertensiana</t>
  </si>
  <si>
    <t>Scirpus microcarpus</t>
  </si>
  <si>
    <t>Scrophularia lanceolata</t>
  </si>
  <si>
    <t>Sidalcea hendersonii</t>
  </si>
  <si>
    <t>Silene menziesii</t>
  </si>
  <si>
    <t>Sisyrinchium idahoense</t>
  </si>
  <si>
    <t>Sium suave</t>
  </si>
  <si>
    <t>Sparganium emersum</t>
  </si>
  <si>
    <t>Spiranthes romanzoffiana</t>
  </si>
  <si>
    <t>Trautvetteria caroliniensis</t>
  </si>
  <si>
    <t>Trichophorum cespitosum</t>
  </si>
  <si>
    <t>Trisetum canescens</t>
  </si>
  <si>
    <t>Tsuga heterophylla</t>
  </si>
  <si>
    <t>Tsuga mertensiana</t>
  </si>
  <si>
    <t>Valeriana sitchensis</t>
  </si>
  <si>
    <t>Veronica americana</t>
  </si>
  <si>
    <t>Carex inops</t>
  </si>
  <si>
    <t>Cicuta bulbifera</t>
  </si>
  <si>
    <t>Cicuta douglasii</t>
  </si>
  <si>
    <t>Crassula connata</t>
  </si>
  <si>
    <t>Cuscuta cephalanthi</t>
  </si>
  <si>
    <t>Gratiola neglecta</t>
  </si>
  <si>
    <t>Isolepis cernua</t>
  </si>
  <si>
    <t>Lobelia kalmii</t>
  </si>
  <si>
    <t>Montia dichotoma</t>
  </si>
  <si>
    <t>Montia fontana</t>
  </si>
  <si>
    <t>Salix prolixa</t>
  </si>
  <si>
    <t>Thuja plicata</t>
  </si>
  <si>
    <t>Viola howellii</t>
  </si>
  <si>
    <t>Ribes lobbii</t>
  </si>
  <si>
    <t>Stachys rigida</t>
  </si>
  <si>
    <t>Veratrum viride</t>
  </si>
  <si>
    <t>http://biology.burke.washington.edu/herbarium/imagecollectionnew/taxon.php?Taxon=Rumex%20occidentalis</t>
  </si>
  <si>
    <t>Hosackia crassifolia</t>
  </si>
  <si>
    <t>Lysimachia europaea</t>
  </si>
  <si>
    <t>Kopsiopsis hookeri</t>
  </si>
  <si>
    <t>Arnica lanceolata</t>
  </si>
  <si>
    <t>Hosackia rosea</t>
  </si>
  <si>
    <t>Calystegia soldanella</t>
  </si>
  <si>
    <t>Hosackia pinnata</t>
  </si>
  <si>
    <t>http://biology.burke.washington.edu/herbarium/imagecollection/taxon.php?Taxon=Lotus%20uliginosus</t>
  </si>
  <si>
    <t>Big Lotus</t>
  </si>
  <si>
    <t>Hierochloe odorata</t>
  </si>
  <si>
    <t>Lotus uliginousus</t>
  </si>
  <si>
    <t>= SAM18</t>
  </si>
  <si>
    <t>Line#'s</t>
  </si>
  <si>
    <t>SAM found, not yet in Gardens</t>
  </si>
  <si>
    <t>Growing in Gardens</t>
  </si>
  <si>
    <t>Once reported but not yet found</t>
  </si>
  <si>
    <t>Extinct&lt; 6Yrs?</t>
  </si>
  <si>
    <t>Leaf</t>
  </si>
  <si>
    <t>Arabis eschscholtziana</t>
  </si>
  <si>
    <t>http://biology.burke.washington.edu/herbarium/imagecollection/taxon.php?Taxon=Poa%20leptocoma</t>
  </si>
  <si>
    <t>Poa leptocoma</t>
  </si>
  <si>
    <t>Glehnia leiocarpa</t>
  </si>
  <si>
    <t>American Glehnia</t>
  </si>
  <si>
    <t>http://biology.burke.washington.edu/herbarium/imagecollection/taxon.php?Taxon=Lobelia%20kalmii</t>
  </si>
  <si>
    <t>= SAM19</t>
  </si>
  <si>
    <t>Amabilis Fir</t>
  </si>
  <si>
    <t>White Fir</t>
  </si>
  <si>
    <t>Subalpine Fir</t>
  </si>
  <si>
    <t>Red Fir</t>
  </si>
  <si>
    <t>Rocky Mountain Maple</t>
  </si>
  <si>
    <t>Oregon Maple</t>
  </si>
  <si>
    <t>Milfoil</t>
  </si>
  <si>
    <t xml:space="preserve">Deer's-Foot </t>
  </si>
  <si>
    <t>Red Baneberry</t>
  </si>
  <si>
    <t>Trailfinder</t>
  </si>
  <si>
    <t>Western Maidenhair</t>
  </si>
  <si>
    <t>Northern Maidenhair</t>
  </si>
  <si>
    <t>Spiked Bent</t>
  </si>
  <si>
    <t>Seashore Bent</t>
  </si>
  <si>
    <t>Hooker's Onion</t>
  </si>
  <si>
    <t>Paper Onion</t>
  </si>
  <si>
    <t>Wild Onion</t>
  </si>
  <si>
    <t>Scalloped Onion</t>
  </si>
  <si>
    <t>Chives</t>
  </si>
  <si>
    <t>Gray Alder</t>
  </si>
  <si>
    <t>Devil's Wood</t>
  </si>
  <si>
    <t>Monkshood</t>
  </si>
  <si>
    <t>California Alder</t>
  </si>
  <si>
    <t>http://biology.burke.washington.edu/herbarium/imagecollectionnew/taxon.php?Taxon=Alnus rhombifolia</t>
  </si>
  <si>
    <t>Green Alder</t>
  </si>
  <si>
    <t>Silver Bur Ragweed</t>
  </si>
  <si>
    <t>Western Serviceberry</t>
  </si>
  <si>
    <t>Small-Flowered Fiddleneck</t>
  </si>
  <si>
    <t>Rosemary</t>
  </si>
  <si>
    <t>Cut-Leaved Anemone</t>
  </si>
  <si>
    <t>Tarweed</t>
  </si>
  <si>
    <t>Slender Everlasting</t>
  </si>
  <si>
    <t>Red Columbine</t>
  </si>
  <si>
    <t>Arbutus</t>
  </si>
  <si>
    <t>Bristly Manzanita</t>
  </si>
  <si>
    <t>Bearberry</t>
  </si>
  <si>
    <t>http://biology.burke.washington.edu/herbarium/imagecollectionnew/taxon.php?Taxon=Arctostaphylos media</t>
  </si>
  <si>
    <t>Mountain Thrift</t>
  </si>
  <si>
    <t>Plumbaginaceae</t>
  </si>
  <si>
    <t>Heart-Leaf Leopardbane</t>
  </si>
  <si>
    <t>Bride's Feathers</t>
  </si>
  <si>
    <t>Ginger</t>
  </si>
  <si>
    <t>Milkweed</t>
  </si>
  <si>
    <t>Indian's Dream</t>
  </si>
  <si>
    <t>Spleenwort</t>
  </si>
  <si>
    <t>Northwestern Lady Fern</t>
  </si>
  <si>
    <t>Athyriaceae</t>
  </si>
  <si>
    <t>Salviniaceae</t>
  </si>
  <si>
    <t>Duckweed Fern</t>
  </si>
  <si>
    <t>Puget Balsamroot</t>
  </si>
  <si>
    <t>Holly-Leaf Oregon-Grape</t>
  </si>
  <si>
    <t>Dull Oregongrape</t>
  </si>
  <si>
    <t>Creeping Barberry</t>
  </si>
  <si>
    <t>Swamp Birch</t>
  </si>
  <si>
    <t>Water Birch</t>
  </si>
  <si>
    <t>Canoe Birch</t>
  </si>
  <si>
    <t>Dwarf Birch</t>
  </si>
  <si>
    <t>Moonwort</t>
  </si>
  <si>
    <t>Grape-Fern</t>
  </si>
  <si>
    <t>Rattlesnake Grapefern</t>
  </si>
  <si>
    <t xml:space="preserve">Coastal Brookfoam </t>
  </si>
  <si>
    <t>Coastal Brome</t>
  </si>
  <si>
    <t>Pacific Reedgrass</t>
  </si>
  <si>
    <t>Yellow-Cedar</t>
  </si>
  <si>
    <t>Elkslip</t>
  </si>
  <si>
    <t>Great Camus</t>
  </si>
  <si>
    <t>Small Camas</t>
  </si>
  <si>
    <t>Bluebell-Of-Scotland</t>
  </si>
  <si>
    <t>Few Flowered Aster</t>
  </si>
  <si>
    <t>Big Leaf Sedge</t>
  </si>
  <si>
    <t>Dewey Sedge</t>
  </si>
  <si>
    <t>Lyngbye Sedge</t>
  </si>
  <si>
    <t>Merten Sedge</t>
  </si>
  <si>
    <t>Slough'd Sedge</t>
  </si>
  <si>
    <t>Chamisso Sedge</t>
  </si>
  <si>
    <t>Woolly's Sedge</t>
  </si>
  <si>
    <t>Owl-Fruited Sedge</t>
  </si>
  <si>
    <t>One-Sided Sedge</t>
  </si>
  <si>
    <t>Inflated Sedge</t>
  </si>
  <si>
    <t>Harsh Indian Painbrush</t>
  </si>
  <si>
    <t>Scarlet Indian Paintbrush</t>
  </si>
  <si>
    <t>Deer Brush</t>
  </si>
  <si>
    <t>Squawcarpet</t>
  </si>
  <si>
    <t>Oregon Teatree</t>
  </si>
  <si>
    <t>Sticky Laurel</t>
  </si>
  <si>
    <t>Hackberry</t>
  </si>
  <si>
    <t>Lawson Cypress</t>
  </si>
  <si>
    <t>Common Fireweed</t>
  </si>
  <si>
    <t>Pipsissewa</t>
  </si>
  <si>
    <t>Douglas' Water-Hemlock</t>
  </si>
  <si>
    <t>Clustered Thistle</t>
  </si>
  <si>
    <t>Miners Lettuce</t>
  </si>
  <si>
    <t>Candy Flower</t>
  </si>
  <si>
    <t>Western Clematis</t>
  </si>
  <si>
    <t>Large Flowered Blue Eyed Mary</t>
  </si>
  <si>
    <t>Maiden Blue Eyed Mary</t>
  </si>
  <si>
    <t>Grand Collomia</t>
  </si>
  <si>
    <t>Western Flowering Dogwood</t>
  </si>
  <si>
    <t>Western Dogwood</t>
  </si>
  <si>
    <t>Dwarf Dogwood</t>
  </si>
  <si>
    <t>Scouler's Corydalis</t>
  </si>
  <si>
    <t>Pacific Hazelnut</t>
  </si>
  <si>
    <t>Douglas' Hawthorn</t>
  </si>
  <si>
    <t>Flatsedge</t>
  </si>
  <si>
    <t>Brittle Bladderfern</t>
  </si>
  <si>
    <t>California Wild Oat-Grass</t>
  </si>
  <si>
    <t>Timber Wild Oat-Grass</t>
  </si>
  <si>
    <t>Umbrella Plant</t>
  </si>
  <si>
    <t>Cystopteridaceae</t>
  </si>
  <si>
    <t>Potentilla</t>
  </si>
  <si>
    <t>Sacred Thorn Apple</t>
  </si>
  <si>
    <t>Mountain Larkspur</t>
  </si>
  <si>
    <t>Menzies' Larkspur</t>
  </si>
  <si>
    <t>Cow-Poison</t>
  </si>
  <si>
    <t>Beringian Hairgrass</t>
  </si>
  <si>
    <t>Slender Hair Grass</t>
  </si>
  <si>
    <t>Pacific Bleeding Heart</t>
  </si>
  <si>
    <t>Western Goldenrod</t>
  </si>
  <si>
    <t>Western Wahoo</t>
  </si>
  <si>
    <t>Engelmann Aster</t>
  </si>
  <si>
    <t>Oregon Fawn Lily</t>
  </si>
  <si>
    <t>Yellow Fawn Lilly</t>
  </si>
  <si>
    <t>Sticky Monkey-Flower</t>
  </si>
  <si>
    <t>Lewis' Monkeyflower</t>
  </si>
  <si>
    <t>Seep Monkeyflower</t>
  </si>
  <si>
    <t>Scarlet Monkey-flower</t>
  </si>
  <si>
    <t>Sanddune Wallflower</t>
  </si>
  <si>
    <t>Oregon Sunshine</t>
  </si>
  <si>
    <t>Russet Cottongrass</t>
  </si>
  <si>
    <t>Prairie Fleabane</t>
  </si>
  <si>
    <t>Splendid Fleabane</t>
  </si>
  <si>
    <t>Philadelphia Daisy</t>
  </si>
  <si>
    <t>Trifid Mountain Fleabane</t>
  </si>
  <si>
    <t>Great Horsetail</t>
  </si>
  <si>
    <t>Dutch Rush</t>
  </si>
  <si>
    <t>Field Horsetail</t>
  </si>
  <si>
    <t>Crowberry</t>
  </si>
  <si>
    <t>Blue Wildrye</t>
  </si>
  <si>
    <t>Squirrel Tail</t>
  </si>
  <si>
    <t>Ovate Spikerush</t>
  </si>
  <si>
    <t>Hedgehog Coneflower</t>
  </si>
  <si>
    <t>Worm Fern</t>
  </si>
  <si>
    <t>Shield Fern</t>
  </si>
  <si>
    <t>Spinulose Woodfern</t>
  </si>
  <si>
    <t>Coast Woodfern</t>
  </si>
  <si>
    <t>Sticky Cinquefoil</t>
  </si>
  <si>
    <t>Round Leaved Sundew</t>
  </si>
  <si>
    <t>Few Flowered Shooting Star</t>
  </si>
  <si>
    <t>Mosquito Bills</t>
  </si>
  <si>
    <t>Inland Saltgrass</t>
  </si>
  <si>
    <t>Northern Saitas</t>
  </si>
  <si>
    <t>Blue Bunchgrass</t>
  </si>
  <si>
    <t>Roemer Fescue</t>
  </si>
  <si>
    <t>Fescue</t>
  </si>
  <si>
    <t>Beach Strawberry</t>
  </si>
  <si>
    <t>Wood Strawberry</t>
  </si>
  <si>
    <t>Western Strawberry</t>
  </si>
  <si>
    <t>Ash</t>
  </si>
  <si>
    <t>Checker Lily</t>
  </si>
  <si>
    <t>Chocolate Lily</t>
  </si>
  <si>
    <t>Yelllowbells</t>
  </si>
  <si>
    <t>Blanket Flower</t>
  </si>
  <si>
    <t>Bedstraw</t>
  </si>
  <si>
    <t>Shallon</t>
  </si>
  <si>
    <t>Staff Gentian</t>
  </si>
  <si>
    <t>Largeleaf Avens</t>
  </si>
  <si>
    <t>Prairie Smoke</t>
  </si>
  <si>
    <t>Blue Thimble Flower</t>
  </si>
  <si>
    <t>Fowl Mannagrass</t>
  </si>
  <si>
    <t>Tall Manna Grass</t>
  </si>
  <si>
    <t>Green-Leaf Rattlesnake-Plantain</t>
  </si>
  <si>
    <t>Hairy Gumplant</t>
  </si>
  <si>
    <t>Western Oak Fern</t>
  </si>
  <si>
    <t>Common Sneezeweed</t>
  </si>
  <si>
    <t>Cowparsnip</t>
  </si>
  <si>
    <t>Tall Alumroot</t>
  </si>
  <si>
    <t>Alpine Heuchera</t>
  </si>
  <si>
    <t>Crevice Alumroot</t>
  </si>
  <si>
    <t>White Hawkweed</t>
  </si>
  <si>
    <t>Creambush</t>
  </si>
  <si>
    <t>Meadowbarley</t>
  </si>
  <si>
    <t>Firmoss</t>
  </si>
  <si>
    <t>Water Marshpennywort</t>
  </si>
  <si>
    <t>Pacificwaterleaf</t>
  </si>
  <si>
    <t>Rocky Mountain Iris</t>
  </si>
  <si>
    <t>Toughleaf Iris</t>
  </si>
  <si>
    <t>Quillwort</t>
  </si>
  <si>
    <t>Narrowleaf Quillwort</t>
  </si>
  <si>
    <t xml:space="preserve"> Low Club Rush</t>
  </si>
  <si>
    <t>Soft Rush</t>
  </si>
  <si>
    <t>Swordleaf Rush</t>
  </si>
  <si>
    <t>Ground Juniper</t>
  </si>
  <si>
    <t>Sea Side Juniper</t>
  </si>
  <si>
    <t>Sierra Juniper</t>
  </si>
  <si>
    <t>Prairie Junegrass</t>
  </si>
  <si>
    <t>Pinewoods Peavine</t>
  </si>
  <si>
    <t>Leafypea</t>
  </si>
  <si>
    <t>Beach Peavine</t>
  </si>
  <si>
    <t>Yellow Ryegrass</t>
  </si>
  <si>
    <t>Columbia Lily</t>
  </si>
  <si>
    <t>American Twinflower</t>
  </si>
  <si>
    <t>Lewis Flax</t>
  </si>
  <si>
    <t>Fernleaf Biscuitroot</t>
  </si>
  <si>
    <t>Indian Celery</t>
  </si>
  <si>
    <t>Spring Gold</t>
  </si>
  <si>
    <t>Western Trumpet Honeysuckle</t>
  </si>
  <si>
    <t>Hairy Honeysuckle</t>
  </si>
  <si>
    <t>Twinberry Honeysuckle</t>
  </si>
  <si>
    <t>Utah Honeysuckle</t>
  </si>
  <si>
    <t>Lutkea</t>
  </si>
  <si>
    <t>Sickle Keel Lupine</t>
  </si>
  <si>
    <t>Broadleaved Lupine</t>
  </si>
  <si>
    <t>Pacific Lupine</t>
  </si>
  <si>
    <t>Sea Shore Lupine</t>
  </si>
  <si>
    <t>Large Leaved Lupine</t>
  </si>
  <si>
    <t>Riverside Lupine</t>
  </si>
  <si>
    <t>Pacific Wood Rush</t>
  </si>
  <si>
    <t>Many Flowered Wood Rush</t>
  </si>
  <si>
    <t>Smallflowered Woodrush</t>
  </si>
  <si>
    <t>Grand Pine</t>
  </si>
  <si>
    <t>Rocky Mountain Redcedar</t>
  </si>
  <si>
    <t>Swamp Lantern</t>
  </si>
  <si>
    <t>Little Tarweed</t>
  </si>
  <si>
    <t>Two-Leaf False Solomon's-Seal</t>
  </si>
  <si>
    <t>Plumed Solomon's Seal</t>
  </si>
  <si>
    <t>Little False Solomon's Seal</t>
  </si>
  <si>
    <t>Pacific Crabapple</t>
  </si>
  <si>
    <t>Manroot</t>
  </si>
  <si>
    <t>Shuttlecock Fern</t>
  </si>
  <si>
    <t>Early Redwood</t>
  </si>
  <si>
    <t>Bog Saxifrage</t>
  </si>
  <si>
    <t>Slender-Phlox</t>
  </si>
  <si>
    <t>Star-shaped Mitrewort</t>
  </si>
  <si>
    <t>Little Leaf Miner's-Lettuce</t>
  </si>
  <si>
    <t>California Bayberry</t>
  </si>
  <si>
    <t>Bog Mrtyle</t>
  </si>
  <si>
    <t>Lace Lipfern</t>
  </si>
  <si>
    <t>Woodland BeardTongue</t>
  </si>
  <si>
    <t>Yellow Pond Lily</t>
  </si>
  <si>
    <t>Osoberry</t>
  </si>
  <si>
    <t>Indian Plum</t>
  </si>
  <si>
    <t>Pacific Water-Dropwort</t>
  </si>
  <si>
    <t>Purple-Eyed Grass</t>
  </si>
  <si>
    <t>Devil's Walking Stick</t>
  </si>
  <si>
    <t>Little Prickly Pear</t>
  </si>
  <si>
    <t>Sweetcicely</t>
  </si>
  <si>
    <t>Redwood-Sorrel</t>
  </si>
  <si>
    <t>Threeleaf Woodsorrel</t>
  </si>
  <si>
    <t>Three-Toothed Mitrewort</t>
  </si>
  <si>
    <t>Oregon Box</t>
  </si>
  <si>
    <t>Bull Elephant's-Head</t>
  </si>
  <si>
    <t>Taper Leaved Penstemon</t>
  </si>
  <si>
    <t>Beardtongue</t>
  </si>
  <si>
    <t>Creeping Penstemon</t>
  </si>
  <si>
    <t>Eggleaf Beardtongue</t>
  </si>
  <si>
    <t>Cut Leaf Beardtongue</t>
  </si>
  <si>
    <t>Coast Penstemon</t>
  </si>
  <si>
    <t>Gold Fern</t>
  </si>
  <si>
    <t>Gardner's Yampah</t>
  </si>
  <si>
    <t>Swamp Knotweed</t>
  </si>
  <si>
    <t>Palmate Coltsfoot</t>
  </si>
  <si>
    <t>http://biology.burke.washington.edu/herbarium/imagecollection/taxon.php?Taxon=Gilia capitata</t>
  </si>
  <si>
    <t>http://biology.burke.washington.edu/herbarium/imagecollectionnew/taxon.php?Taxon=Huperzia miyoshiana</t>
  </si>
  <si>
    <t>http://biology.burke.washington.edu/herbarium/imagecollectionnew/taxon.php?Taxon=Montia parvifolia</t>
  </si>
  <si>
    <t>http://biology.burke.washington.edu/herbarium/imagecollection/taxon.php?Taxon=Penstemon ovatus</t>
  </si>
  <si>
    <t>Virgate Phacelia</t>
  </si>
  <si>
    <t>http://www.burkemuseum.org/research-and-collections/botany-and-herbarium/collections/database/results.php?Genus=Abies&amp;Species=amabilis&amp;SourcePage=search.php&amp;IncludeSynonyms=Y&amp;SortBy=DESC&amp;SortOrder=Year</t>
  </si>
  <si>
    <t>https://plants.usda.gov/core/profile?symbol=ABAM</t>
  </si>
  <si>
    <t>http://www.burkemuseum.org/research-and-collections/botany-and-herbarium/collections/database/results.php?Genus=Abies&amp;Species=grandis&amp;SourcePage=search.php&amp;IncludeSynonyms=Y&amp;SortBy=DESC&amp;SortOrder=Year</t>
  </si>
  <si>
    <t>https://en.wikipedia.org/wiki/Abies_grandis</t>
  </si>
  <si>
    <t>https://plants.usda.gov/core/profile?symbol=ABGR</t>
  </si>
  <si>
    <t>http://www.burkemuseum.org/research-and-collections/botany-and-herbarium/collections/database/results.php?Genus=Abies&amp;Species=lasiocarpa&amp;SourcePage=search.php&amp;IncludeSynonyms=Y&amp;SortBy=DESC&amp;SortOrder=Year</t>
  </si>
  <si>
    <t>https://en.wikipedia.org/wiki/Abies_lasiocarpa</t>
  </si>
  <si>
    <t>https://plants.usda.gov/core/profile?symbol=ABLA</t>
  </si>
  <si>
    <t>Shining Angelica</t>
  </si>
  <si>
    <t>WTU URL</t>
  </si>
  <si>
    <t>Burke</t>
  </si>
  <si>
    <t>USDA</t>
  </si>
  <si>
    <t>WTU</t>
  </si>
  <si>
    <t xml:space="preserve">Wiki </t>
  </si>
  <si>
    <t>https://en.wikipedia.org/wiki/Abies_amabilis</t>
  </si>
  <si>
    <t>Burke URL</t>
  </si>
  <si>
    <t>USDA URL</t>
  </si>
  <si>
    <t>Wiki URL</t>
  </si>
  <si>
    <t>California Hedge-Parsley</t>
  </si>
  <si>
    <t>Clotbur</t>
  </si>
  <si>
    <t>Nuttall's Fescue</t>
  </si>
  <si>
    <t>Skullcap Speedwell</t>
  </si>
  <si>
    <t>Neckweed</t>
  </si>
  <si>
    <t>Blue Verbena</t>
  </si>
  <si>
    <t>Lesser Bladder-wort</t>
  </si>
  <si>
    <t>Intermediate Bladderwort</t>
  </si>
  <si>
    <t>Tower Mustard</t>
  </si>
  <si>
    <t>Tall False Oat</t>
  </si>
  <si>
    <t>Owl Clover</t>
  </si>
  <si>
    <t>Small-Flowered Wakerobin</t>
  </si>
  <si>
    <t>Springbank Clover</t>
  </si>
  <si>
    <t>White Tip Clover</t>
  </si>
  <si>
    <t>Valparaiso</t>
  </si>
  <si>
    <t>Valparaiso Clover</t>
  </si>
  <si>
    <t>Pinhole Clover</t>
  </si>
  <si>
    <t>Tufted Club Rush</t>
  </si>
  <si>
    <t>Wild Bugbane</t>
  </si>
  <si>
    <t>Weak Alkaligrass</t>
  </si>
  <si>
    <t>Camphor Tansy</t>
  </si>
  <si>
    <t>Snow Queen</t>
  </si>
  <si>
    <t>Northern Bog Aster</t>
  </si>
  <si>
    <t>Paiuteweed</t>
  </si>
  <si>
    <t>Sago Pondweed</t>
  </si>
  <si>
    <t>Shiny Starwort</t>
  </si>
  <si>
    <t>Long Leaf Starwort</t>
  </si>
  <si>
    <t>Starwort</t>
  </si>
  <si>
    <t>Creamy Ladies' Tresses</t>
  </si>
  <si>
    <t>Saltmarsh Sandspurry</t>
  </si>
  <si>
    <t>Least Bur-Reed</t>
  </si>
  <si>
    <t>Scouler's Catchfly</t>
  </si>
  <si>
    <t>Menzies' Catchfly</t>
  </si>
  <si>
    <t>Sleepy Catchfly</t>
  </si>
  <si>
    <t>Nelson's Checkerbloom</t>
  </si>
  <si>
    <t>Rigid White-Topped Aster</t>
  </si>
  <si>
    <t>Water Clubrush</t>
  </si>
  <si>
    <t>Common Threesquare</t>
  </si>
  <si>
    <t>Scheuchzeria</t>
  </si>
  <si>
    <t>Bear's-Foot Sanicle</t>
  </si>
  <si>
    <t>Pickleweed</t>
  </si>
  <si>
    <t>Western Pearlwort</t>
  </si>
  <si>
    <t>Slender Sandwort</t>
  </si>
  <si>
    <t>Seashore Dock</t>
  </si>
  <si>
    <t>Red Raspberry</t>
  </si>
  <si>
    <t>Lowland Rotala</t>
  </si>
  <si>
    <t>Canadian Gooseberry</t>
  </si>
  <si>
    <t>Spreading Currant</t>
  </si>
  <si>
    <t>White Beakrush</t>
  </si>
  <si>
    <t>Straight Beak Buttercup</t>
  </si>
  <si>
    <t>Macoun Buttercup</t>
  </si>
  <si>
    <t>Lesser Spearwort</t>
  </si>
  <si>
    <t>California Butter-cup</t>
  </si>
  <si>
    <t>Scarlet Firethorn</t>
  </si>
  <si>
    <t>Nuttall Alkaligrass</t>
  </si>
  <si>
    <t>Meadow Woollyheads</t>
  </si>
  <si>
    <t>Cudweed</t>
  </si>
  <si>
    <t>Cotton Batting Cudweed</t>
  </si>
  <si>
    <t>Robbins Pondweed</t>
  </si>
  <si>
    <t>Richardson Pondweed</t>
  </si>
  <si>
    <t>Loddon Pondweed</t>
  </si>
  <si>
    <t>Shining Pondweed</t>
  </si>
  <si>
    <t>Grass Leaved Pondweed</t>
  </si>
  <si>
    <t>Nuttal's Pondweed</t>
  </si>
  <si>
    <t>Fall Knotweed</t>
  </si>
  <si>
    <t>Austin's Knotweed</t>
  </si>
  <si>
    <t>Ocean Bluff Bluegrass</t>
  </si>
  <si>
    <t>Marsh Bluegrass</t>
  </si>
  <si>
    <t>Marsh Blue Grass</t>
  </si>
  <si>
    <t>Coastline Bluegrass</t>
  </si>
  <si>
    <t>Fringe Pinesap</t>
  </si>
  <si>
    <t>Short Spiral Rein Orchid</t>
  </si>
  <si>
    <t>Tall Rein Orchid</t>
  </si>
  <si>
    <t>Alaska Plantain</t>
  </si>
  <si>
    <t>Annual Plantain</t>
  </si>
  <si>
    <t>White For-get-me Not</t>
  </si>
  <si>
    <t>Fragrant Popcorn Flower</t>
  </si>
  <si>
    <t>Pine Foot</t>
  </si>
  <si>
    <t>Willow Weed</t>
  </si>
  <si>
    <t>Bog Stars</t>
  </si>
  <si>
    <t>Coastbite Goosefoot</t>
  </si>
  <si>
    <t>Sukdorf's Woodsorel</t>
  </si>
  <si>
    <t>Texas Toadflax</t>
  </si>
  <si>
    <t>Heart-Leaved Twayblade</t>
  </si>
  <si>
    <t>Littlefoot Nemophila</t>
  </si>
  <si>
    <t>Needleleaf Pincushionplant</t>
  </si>
  <si>
    <t>Purple Lettuce</t>
  </si>
  <si>
    <t>Verticillate Water-Milfoil</t>
  </si>
  <si>
    <t>Quito Watermilfoil</t>
  </si>
  <si>
    <t>Western Watermilfoil</t>
  </si>
  <si>
    <t>Least Mousetail</t>
  </si>
  <si>
    <t>Bay Forget-Me-Not</t>
  </si>
  <si>
    <t>Narrow-Leaved Montia</t>
  </si>
  <si>
    <t>Howell's Montia</t>
  </si>
  <si>
    <t>Branching Montia</t>
  </si>
  <si>
    <t>Large Leaved Sandwort</t>
  </si>
  <si>
    <t>Cut-Leaf Microseris</t>
  </si>
  <si>
    <t>Bog Microseris</t>
  </si>
  <si>
    <t>Western Lungwort</t>
  </si>
  <si>
    <t>Alaska Onion Grass</t>
  </si>
  <si>
    <t>Smith Melica Grass</t>
  </si>
  <si>
    <t>Chilean Tarplant</t>
  </si>
  <si>
    <t>Slender Tarweed</t>
  </si>
  <si>
    <t>Tufted Yellow Loosestrife</t>
  </si>
  <si>
    <t>Northern Starflower</t>
  </si>
  <si>
    <t>Wide-bannered Lupine</t>
  </si>
  <si>
    <t>Two Colored Lupine</t>
  </si>
  <si>
    <t xml:space="preserve">Large Trefoil  </t>
  </si>
  <si>
    <t>Brook Lobelia</t>
  </si>
  <si>
    <t>Awl-Leaf Mudwort</t>
  </si>
  <si>
    <t>Bicolor Leptosiphon</t>
  </si>
  <si>
    <t xml:space="preserve"> Idaho Peppergrass</t>
  </si>
  <si>
    <t>Ivy-Leaved Duckweek</t>
  </si>
  <si>
    <t>Redwood Pea</t>
  </si>
  <si>
    <t>Seaside Goldfields</t>
  </si>
  <si>
    <t>Vancouver Groundcone</t>
  </si>
  <si>
    <t>Pointed-Rush</t>
  </si>
  <si>
    <t>http://biology.burke.washington.edu/herbarium/imagecollectionnew/taxon.php?Taxon=Juncus brevicaudatus</t>
  </si>
  <si>
    <t>Narrow Panicled Rush</t>
  </si>
  <si>
    <t>Bolander Rush</t>
  </si>
  <si>
    <t>Northern Rush</t>
  </si>
  <si>
    <t>Fleshy Jaumea</t>
  </si>
  <si>
    <t>Nutals Quillwort</t>
  </si>
  <si>
    <t>Spurless Jewelweed</t>
  </si>
  <si>
    <t>Howellia</t>
  </si>
  <si>
    <t>Thicket Lotus</t>
  </si>
  <si>
    <t>Meadow Bird's-Foot Trefoil</t>
  </si>
  <si>
    <t>Thick Leaved Lotus</t>
  </si>
  <si>
    <t>Bobtail Barley</t>
  </si>
  <si>
    <t>Low Barley</t>
  </si>
  <si>
    <t>Seaside Sandplant</t>
  </si>
  <si>
    <t>Mare's-Tail</t>
  </si>
  <si>
    <t>Northern Sweetgrass</t>
  </si>
  <si>
    <t>Scouler's Hawkweed</t>
  </si>
  <si>
    <t>OppositeLeaf Tarweed</t>
  </si>
  <si>
    <t>American Hedge-Hyssop</t>
  </si>
  <si>
    <t>Bractless Hedge-hyssop</t>
  </si>
  <si>
    <t>Common Blue Cup</t>
  </si>
  <si>
    <t>Carolina Geranium</t>
  </si>
  <si>
    <t>Bicknell's Geranium</t>
  </si>
  <si>
    <t>Marsh Bedstraw</t>
  </si>
  <si>
    <t>Oregon Bed-straw</t>
  </si>
  <si>
    <t>Toothleaf Monkeyflower</t>
  </si>
  <si>
    <t>Slender Cottonsedge</t>
  </si>
  <si>
    <t>Marsh Horse-ail</t>
  </si>
  <si>
    <t>Glaucus Willowherb</t>
  </si>
  <si>
    <t>Denseflower Willowherb</t>
  </si>
  <si>
    <t>Autumn Willowherb</t>
  </si>
  <si>
    <t>Nuttall's Waterweed</t>
  </si>
  <si>
    <t>Blunt Spikerush</t>
  </si>
  <si>
    <t>Rosette Grass</t>
  </si>
  <si>
    <t>Rattlesnake Weed</t>
  </si>
  <si>
    <t>Awned Cyperus</t>
  </si>
  <si>
    <t>Shining Flatsedge</t>
  </si>
  <si>
    <t>River Dodder</t>
  </si>
  <si>
    <t>Clearwater Cryptantha</t>
  </si>
  <si>
    <t>Erect Pygmy-Weed</t>
  </si>
  <si>
    <t>Common Pygmyweed</t>
  </si>
  <si>
    <t>Three-Leaflet Goldthread</t>
  </si>
  <si>
    <t>Canadian Horseweed</t>
  </si>
  <si>
    <t>Narrow-Leaf Collomia</t>
  </si>
  <si>
    <t>Variableleaf Collomia</t>
  </si>
  <si>
    <t>Oregon-Tea</t>
  </si>
  <si>
    <t>Reedgrass</t>
  </si>
  <si>
    <t>Pacific Golden Saxifrage</t>
  </si>
  <si>
    <t>Lambsquarters</t>
  </si>
  <si>
    <t>Snow Orchid</t>
  </si>
  <si>
    <t>Victoria's Paintbrush</t>
  </si>
  <si>
    <t>Valley Tassels</t>
  </si>
  <si>
    <t>Johnny-Nip</t>
  </si>
  <si>
    <t>Fox's Sedge</t>
  </si>
  <si>
    <t>Ross Sedge</t>
  </si>
  <si>
    <t>Meadow Sedge</t>
  </si>
  <si>
    <t>Greenfruited Sedge</t>
  </si>
  <si>
    <t>Prickly Sedge</t>
  </si>
  <si>
    <t>Cusick Sedge</t>
  </si>
  <si>
    <t>Coiled-sedge</t>
  </si>
  <si>
    <t>Sandcarpet</t>
  </si>
  <si>
    <t>Pennsylvania Bittercress</t>
  </si>
  <si>
    <t>Umbellate Bittercress</t>
  </si>
  <si>
    <t>Slender Toothwort</t>
  </si>
  <si>
    <t>Brewer Bittercress</t>
  </si>
  <si>
    <t>Angle-Leaved Bittercress</t>
  </si>
  <si>
    <t>Plains Evening-Primrose</t>
  </si>
  <si>
    <t>Seaside Morning-Glory</t>
  </si>
  <si>
    <t>Crown Brodiaea</t>
  </si>
  <si>
    <t>Cosmopolitan Bulrush</t>
  </si>
  <si>
    <t>Western Sticktight</t>
  </si>
  <si>
    <t>Wormwood</t>
  </si>
  <si>
    <t>Silky Field Wormwood</t>
  </si>
  <si>
    <t>Lanceleaf Arnica</t>
  </si>
  <si>
    <t>Hemlock Dwarf Mistletoe</t>
  </si>
  <si>
    <t>Western Dwarf-Mistletoe</t>
  </si>
  <si>
    <t>Hairy Rock-cress</t>
  </si>
  <si>
    <t>Indianhemp</t>
  </si>
  <si>
    <t>Pine Forest Broomrape</t>
  </si>
  <si>
    <t>Clustered Broom-rape</t>
  </si>
  <si>
    <t>Everlasting Pussytoes</t>
  </si>
  <si>
    <t>Seacoast Angelica</t>
  </si>
  <si>
    <t>Henderson Angelica</t>
  </si>
  <si>
    <t>White Anemone</t>
  </si>
  <si>
    <t>Rough Bentgrass</t>
  </si>
  <si>
    <t>Bigflower Agoseris</t>
  </si>
  <si>
    <t>Woolly Goat Chicory</t>
  </si>
  <si>
    <t>Beach Sand Verbena</t>
  </si>
  <si>
    <t>Monterey Centaury</t>
  </si>
  <si>
    <t>Horned-Pondweed</t>
  </si>
  <si>
    <t>Alaskan Violet</t>
  </si>
  <si>
    <t>Canada Violet</t>
  </si>
  <si>
    <t>Northern Valeriana</t>
  </si>
  <si>
    <t>Valerian</t>
  </si>
  <si>
    <t>Greater Bladderwort</t>
  </si>
  <si>
    <t>Lesser Reedmacee</t>
  </si>
  <si>
    <t>Salt Marsh Clover</t>
  </si>
  <si>
    <t>http://biology.burke.washington.edu/herbarium/imagecollectionnew/taxon.php?Taxon=Subularia aquatica</t>
  </si>
  <si>
    <t>Subularia Aquatica</t>
  </si>
  <si>
    <t>Slender Leaved Pondweed</t>
  </si>
  <si>
    <t>Goldie's Starwort</t>
  </si>
  <si>
    <t>Curled Starwort</t>
  </si>
  <si>
    <t>Lady's Tresses</t>
  </si>
  <si>
    <t>Broad Bur-Reed</t>
  </si>
  <si>
    <t>Hooded Skullcap</t>
  </si>
  <si>
    <t>Panicled Bulrush</t>
  </si>
  <si>
    <t>Tufted Alpine Saxifrage</t>
  </si>
  <si>
    <t>Chickenclaws</t>
  </si>
  <si>
    <t>Sierra Sanicle</t>
  </si>
  <si>
    <t>Great Burnet</t>
  </si>
  <si>
    <t xml:space="preserve">Great Burnet </t>
  </si>
  <si>
    <t>Thick Stemmed Pearlwort</t>
  </si>
  <si>
    <t>Widgeongrass</t>
  </si>
  <si>
    <t>Marsh Yellow Cress</t>
  </si>
  <si>
    <t>Californian Azalea</t>
  </si>
  <si>
    <t>Little Buttercup</t>
  </si>
  <si>
    <t>Celery-Leaved Buttercup</t>
  </si>
  <si>
    <t>White Water Crowfoot</t>
  </si>
  <si>
    <t>Large Pyrola</t>
  </si>
  <si>
    <t>Woodland Pinedrops</t>
  </si>
  <si>
    <t>Slender Woolly Marbles</t>
  </si>
  <si>
    <t>Eelgrass Pondweed</t>
  </si>
  <si>
    <t>Blunt-Leaved Pondweed</t>
  </si>
  <si>
    <t>Leafy Pond-weed</t>
  </si>
  <si>
    <t>Imbricate Sword Fern</t>
  </si>
  <si>
    <t>California Sword Fern</t>
  </si>
  <si>
    <t>Great Polemonium</t>
  </si>
  <si>
    <t>Sandburg Bluegrass</t>
  </si>
  <si>
    <t>Large Flowered Bluegrass</t>
  </si>
  <si>
    <t>Canyon Orchid</t>
  </si>
  <si>
    <t>Large Round-Leaf Orchid</t>
  </si>
  <si>
    <t>White Flowered Bog Orchid</t>
  </si>
  <si>
    <t>Small Bog Orchid</t>
  </si>
  <si>
    <t>Goose Tongue</t>
  </si>
  <si>
    <t>Spreading-Phlox</t>
  </si>
  <si>
    <t>False Smartweed</t>
  </si>
  <si>
    <t>Coastal Bishop's Cap</t>
  </si>
  <si>
    <t>Feathery Bishop's-Cap</t>
  </si>
  <si>
    <t>Locoweed</t>
  </si>
  <si>
    <t>Rosy Owl's Clover</t>
  </si>
  <si>
    <t>One-Sided Pyrola</t>
  </si>
  <si>
    <t>Northern Adderstongue</t>
  </si>
  <si>
    <t>Smallflower Nemophila</t>
  </si>
  <si>
    <t>Skunkbush</t>
  </si>
  <si>
    <t>American Milfoil</t>
  </si>
  <si>
    <t>Pinesap</t>
  </si>
  <si>
    <t>Single Delight</t>
  </si>
  <si>
    <t>Redwool Saxifrage</t>
  </si>
  <si>
    <t>Whole Leaf Saxifrage</t>
  </si>
  <si>
    <t>Russethair Saxifrage</t>
  </si>
  <si>
    <t>Bog Bean</t>
  </si>
  <si>
    <t>American Corn Mint</t>
  </si>
  <si>
    <t>White Meconella</t>
  </si>
  <si>
    <t>Stinking Tarweed</t>
  </si>
  <si>
    <t>Autumn Showy Tarweed</t>
  </si>
  <si>
    <t>Bog Clubmoss</t>
  </si>
  <si>
    <t>False Loosestrife</t>
  </si>
  <si>
    <t>Dortmann's Cardinalflower</t>
  </si>
  <si>
    <t>Prairie Starflower</t>
  </si>
  <si>
    <t>Moist Bank Pimpernel</t>
  </si>
  <si>
    <t>Western Lilaeopsis</t>
  </si>
  <si>
    <t>Celery-Leaf Wild Lovage</t>
  </si>
  <si>
    <t>Columbia Lewisia</t>
  </si>
  <si>
    <t>Pearleaf</t>
  </si>
  <si>
    <t>Water Lentil</t>
  </si>
  <si>
    <t>Lesser Duckweed</t>
  </si>
  <si>
    <t>Cutgrass</t>
  </si>
  <si>
    <t>Pacific-Pea</t>
  </si>
  <si>
    <t>Marsh Peavine</t>
  </si>
  <si>
    <t>Cusick's Pea</t>
  </si>
  <si>
    <t>Wild Blue Lettuce</t>
  </si>
  <si>
    <t>Poverty Rush</t>
  </si>
  <si>
    <t>Sharp-Fruited Rush</t>
  </si>
  <si>
    <t>Touch-Me-Not</t>
  </si>
  <si>
    <t>Saint Johnswort</t>
  </si>
  <si>
    <t>Tinker's Penny</t>
  </si>
  <si>
    <t>Western Fir Moss</t>
  </si>
  <si>
    <t>Leafy Goldenaster</t>
  </si>
  <si>
    <t>Oregon False Goldenaster</t>
  </si>
  <si>
    <t>Gnome Plant</t>
  </si>
  <si>
    <t>Sunflower</t>
  </si>
  <si>
    <t>Seaside Buttercup</t>
  </si>
  <si>
    <t>American Manna</t>
  </si>
  <si>
    <t>Western Geranium</t>
  </si>
  <si>
    <t>Felwort</t>
  </si>
  <si>
    <t>Spreading Ground Smoke</t>
  </si>
  <si>
    <t>Sweet Sented Bedstraw</t>
  </si>
  <si>
    <t>Three-Petal Bedstraw</t>
  </si>
  <si>
    <t>Goose-Grass</t>
  </si>
  <si>
    <t>Mahogany Fawn-Lily</t>
  </si>
  <si>
    <t>Chickweed Monkey-Flower</t>
  </si>
  <si>
    <t>Alaskan Scouring-Rush</t>
  </si>
  <si>
    <t>River Horsetail</t>
  </si>
  <si>
    <t>Giant Hellebore</t>
  </si>
  <si>
    <t>Smallflower Willowherb</t>
  </si>
  <si>
    <t>Ciliate Willowherb</t>
  </si>
  <si>
    <t>Dwarf Spikerush</t>
  </si>
  <si>
    <t>Creeping Spikerush</t>
  </si>
  <si>
    <t>Needle Spikerush</t>
  </si>
  <si>
    <t>Frigid Shooting Star</t>
  </si>
  <si>
    <t>Upland Larkspur</t>
  </si>
  <si>
    <t>Poverty Wild Oat-Grass</t>
  </si>
  <si>
    <t>Mocasin Flower</t>
  </si>
  <si>
    <t>Common Spring-Gold</t>
  </si>
  <si>
    <t>Early Coralroot</t>
  </si>
  <si>
    <t>Hooded Coral Root</t>
  </si>
  <si>
    <t>Summer Coralroot</t>
  </si>
  <si>
    <t>Bride's Bonnet</t>
  </si>
  <si>
    <t>Redstem Springbeauty</t>
  </si>
  <si>
    <t>Small Leaved Claytonia</t>
  </si>
  <si>
    <t>Western Springbeauty</t>
  </si>
  <si>
    <t>Winecup Clarkia</t>
  </si>
  <si>
    <t>Slender Gracilis</t>
  </si>
  <si>
    <t>Weak Thistle</t>
  </si>
  <si>
    <t>Bulbous Water Hemlock</t>
  </si>
  <si>
    <t>Little Prince's Pine</t>
  </si>
  <si>
    <t>Golden Paintbrush</t>
  </si>
  <si>
    <t>Rostrate Sedge</t>
  </si>
  <si>
    <t>Splitawn Sedge</t>
  </si>
  <si>
    <t>Variegated Sedge</t>
  </si>
  <si>
    <t>Bottle Sedge</t>
  </si>
  <si>
    <t>Many Flower Sedge</t>
  </si>
  <si>
    <t>Few Flowered Sedge</t>
  </si>
  <si>
    <t>Sand Sedge</t>
  </si>
  <si>
    <t>Dune Sedge</t>
  </si>
  <si>
    <t>Shore Sedge</t>
  </si>
  <si>
    <t>Slender Sedge</t>
  </si>
  <si>
    <t>Western Oak Sedge</t>
  </si>
  <si>
    <t>Henderson Sedge</t>
  </si>
  <si>
    <t>Green Sheath Sedge</t>
  </si>
  <si>
    <t>Densesedge</t>
  </si>
  <si>
    <t>Bearded Sedge</t>
  </si>
  <si>
    <t>Grey Sedge</t>
  </si>
  <si>
    <t>Scouler's Harebell</t>
  </si>
  <si>
    <t>Venus Slipper</t>
  </si>
  <si>
    <t>Vernal Water-Starwort</t>
  </si>
  <si>
    <t>Redmaids</t>
  </si>
  <si>
    <t>Bluejoint Reedgrass</t>
  </si>
  <si>
    <t>American Sea Rocket</t>
  </si>
  <si>
    <t>Brome</t>
  </si>
  <si>
    <t>Water Shield</t>
  </si>
  <si>
    <t>Greater Boykinia</t>
  </si>
  <si>
    <t>Sticktight</t>
  </si>
  <si>
    <t>Bur Marigold</t>
  </si>
  <si>
    <t>Water Marigold</t>
  </si>
  <si>
    <t>American Yellowrocket</t>
  </si>
  <si>
    <t>Mexican Water-Fern</t>
  </si>
  <si>
    <t>Common Sandweed</t>
  </si>
  <si>
    <t>Heartleaf Milkweed</t>
  </si>
  <si>
    <t>Suksdorf's Sagewort</t>
  </si>
  <si>
    <t>Prarie Sage</t>
  </si>
  <si>
    <t>Douglas Mugwort</t>
  </si>
  <si>
    <t>Seep Spring Arnica</t>
  </si>
  <si>
    <t>Bitter Dogbane</t>
  </si>
  <si>
    <t>Mission Bells</t>
  </si>
  <si>
    <t>Western Wood Anemone</t>
  </si>
  <si>
    <t>Angelica</t>
  </si>
  <si>
    <t>Thimbleweed</t>
  </si>
  <si>
    <t>Seaside Fiddleneck</t>
  </si>
  <si>
    <t>Bugloss Fiddleneck</t>
  </si>
  <si>
    <t>Candystick</t>
  </si>
  <si>
    <t>Northern Water Plantain</t>
  </si>
  <si>
    <t>Oregon Bent Grass</t>
  </si>
  <si>
    <t>Mountain Dandelion</t>
  </si>
  <si>
    <t>Tall Goat-chicory</t>
  </si>
  <si>
    <t>Bugbane</t>
  </si>
  <si>
    <t>Yellow Sand-Verbena</t>
  </si>
  <si>
    <t>Meadow Death Camus</t>
  </si>
  <si>
    <t>Western Turkeybeard</t>
  </si>
  <si>
    <t>Giant Chain Fern</t>
  </si>
  <si>
    <t>Oregon Cliff Fern</t>
  </si>
  <si>
    <t>Redwood Violet</t>
  </si>
  <si>
    <t>Upland Violet</t>
  </si>
  <si>
    <t>Alpine Marsh Violet</t>
  </si>
  <si>
    <t>Evergreen Yellow Violet</t>
  </si>
  <si>
    <t>Howell's Pansy</t>
  </si>
  <si>
    <t>Smooth Woodland Violet</t>
  </si>
  <si>
    <t>Western Blue Verbena</t>
  </si>
  <si>
    <t>Giant Vetch</t>
  </si>
  <si>
    <t>Purple Vetch</t>
  </si>
  <si>
    <t>Cranberry-Tree</t>
  </si>
  <si>
    <t>Western Blackhaw</t>
  </si>
  <si>
    <t>Squashberry</t>
  </si>
  <si>
    <t>American-Brooklime</t>
  </si>
  <si>
    <t>American Wild Hellebore</t>
  </si>
  <si>
    <t>California Wild Hellebore</t>
  </si>
  <si>
    <t>Bog Bilberry</t>
  </si>
  <si>
    <t>Redhuckleberry</t>
  </si>
  <si>
    <t>Swamp Cranberry</t>
  </si>
  <si>
    <t>California Huckleberry</t>
  </si>
  <si>
    <t>Alaska Blueberry</t>
  </si>
  <si>
    <t>Square-Twig Blueberry</t>
  </si>
  <si>
    <t>Cascade Blueberry</t>
  </si>
  <si>
    <t>Nettle</t>
  </si>
  <si>
    <t>Broad-Leaf Cattail</t>
  </si>
  <si>
    <t>Black Hemlock</t>
  </si>
  <si>
    <t>Pacific Hemlock</t>
  </si>
  <si>
    <t>Fool's-Onion</t>
  </si>
  <si>
    <t>Venus Looking-Glass</t>
  </si>
  <si>
    <t>Wakerobin</t>
  </si>
  <si>
    <t>Indian Potato</t>
  </si>
  <si>
    <t>Western Poison-Oak</t>
  </si>
  <si>
    <t>Youth-On-Age</t>
  </si>
  <si>
    <t>Cut-Leaved Foamflower</t>
  </si>
  <si>
    <t>Canoe Cedar</t>
  </si>
  <si>
    <t>Golden Pea</t>
  </si>
  <si>
    <t>Mountain Fern</t>
  </si>
  <si>
    <t>Western Meadowrue</t>
  </si>
  <si>
    <t>Fragrant Fringecup</t>
  </si>
  <si>
    <t>Pacific Yew</t>
  </si>
  <si>
    <t>Douglas's Aster</t>
  </si>
  <si>
    <t>Starved Aster</t>
  </si>
  <si>
    <t>Common California Aster</t>
  </si>
  <si>
    <t>Western Meadow Aster</t>
  </si>
  <si>
    <t>Creeping Snowberry</t>
  </si>
  <si>
    <t>Common Snowberry</t>
  </si>
  <si>
    <t>Claspleaf Twistedstalk</t>
  </si>
  <si>
    <t>Rigid Hedgenettle</t>
  </si>
  <si>
    <t>Coastal Hedgenettle</t>
  </si>
  <si>
    <t>Shinyleaf Spirea</t>
  </si>
  <si>
    <t>Douglas Hardhack</t>
  </si>
  <si>
    <t>Mountain Spirea</t>
  </si>
  <si>
    <t>Northern Sand Sperry</t>
  </si>
  <si>
    <t>Narrowleaf Bur-Reed</t>
  </si>
  <si>
    <t>Western Mountain Ash</t>
  </si>
  <si>
    <t>Greene's Mountain Ash</t>
  </si>
  <si>
    <t>Sticky Goldenrod</t>
  </si>
  <si>
    <t>Rocky Mountain Goldenrod</t>
  </si>
  <si>
    <t>Hemlock Water parsnip</t>
  </si>
  <si>
    <t>Blue-Eyed Grass</t>
  </si>
  <si>
    <t>Yellow Eyed Grass</t>
  </si>
  <si>
    <t>Meadow Checkermallow</t>
  </si>
  <si>
    <t>Henderson's Sidalacea</t>
  </si>
  <si>
    <t>Meadow Sidalcea</t>
  </si>
  <si>
    <t>Soapberry</t>
  </si>
  <si>
    <t>Giant Redwood</t>
  </si>
  <si>
    <t>Coast Redwood</t>
  </si>
  <si>
    <t>Wallace's Selaginella</t>
  </si>
  <si>
    <t>Festoon Spikemoss</t>
  </si>
  <si>
    <t>Broad Leaved Stonecrop</t>
  </si>
  <si>
    <t>Oregon Stone Crop</t>
  </si>
  <si>
    <t>Island Stonecrop</t>
  </si>
  <si>
    <t>Pacific Stonecrop</t>
  </si>
  <si>
    <t>Madweed</t>
  </si>
  <si>
    <t>Lance Leaf Figwort</t>
  </si>
  <si>
    <t>Great Bulrush</t>
  </si>
  <si>
    <t>Water Bull Rush</t>
  </si>
  <si>
    <t>Wood Saxifrage</t>
  </si>
  <si>
    <t>Snakeroot</t>
  </si>
  <si>
    <t>Purple Black-Snakeroot</t>
  </si>
  <si>
    <t>Red Berried Elder</t>
  </si>
  <si>
    <t>Blue Elder</t>
  </si>
  <si>
    <t>Soft-Leaved Sandbar Willow</t>
  </si>
  <si>
    <t>Scouler Willow</t>
  </si>
  <si>
    <t>Heartleaf Willow</t>
  </si>
  <si>
    <t>Tea-Leaved Willow</t>
  </si>
  <si>
    <t>Swamp Willow</t>
  </si>
  <si>
    <t>River Willow</t>
  </si>
  <si>
    <t>Lemmon Willow</t>
  </si>
  <si>
    <t>Shining Willow</t>
  </si>
  <si>
    <t>Coastal Willow</t>
  </si>
  <si>
    <t>Gooding's Black Willow</t>
  </si>
  <si>
    <t>Silver Willow</t>
  </si>
  <si>
    <t>Slender Sandbar Willow</t>
  </si>
  <si>
    <t>Under-Green Willow</t>
  </si>
  <si>
    <t>Gray Willow</t>
  </si>
  <si>
    <t>Barclay Willow</t>
  </si>
  <si>
    <t>Peachleaf Willow</t>
  </si>
  <si>
    <t>Duck Potato</t>
  </si>
  <si>
    <t>Westerndock</t>
  </si>
  <si>
    <t>Coneflower</t>
  </si>
  <si>
    <t>Brown Betty</t>
  </si>
  <si>
    <t>Wild Blackberry</t>
  </si>
  <si>
    <t>Salmon Berry</t>
  </si>
  <si>
    <t>Strawberryleaf Raspberry</t>
  </si>
  <si>
    <t>Thimble Berry</t>
  </si>
  <si>
    <t>Black Raspberry</t>
  </si>
  <si>
    <t>Swamp Rose</t>
  </si>
  <si>
    <t>Roughfruit Berry</t>
  </si>
  <si>
    <t>Bristly Rose</t>
  </si>
  <si>
    <t>Baldhip Rose</t>
  </si>
  <si>
    <t>Wild Red Currant</t>
  </si>
  <si>
    <t>Flowering Currant</t>
  </si>
  <si>
    <t>Pioneer Gooseberry</t>
  </si>
  <si>
    <t>Prickly Currant</t>
  </si>
  <si>
    <t>Spreading Gooseberry</t>
  </si>
  <si>
    <t>Squaw Currant</t>
  </si>
  <si>
    <t>Blue Currant</t>
  </si>
  <si>
    <t>Buffalo Currant</t>
  </si>
  <si>
    <t>White Sumac</t>
  </si>
  <si>
    <t>False Huckleberry</t>
  </si>
  <si>
    <t>Western Rhododendron</t>
  </si>
  <si>
    <t>Pacific Labrador Tea</t>
  </si>
  <si>
    <t>Trapper's Tea</t>
  </si>
  <si>
    <t>Cascade Azalea</t>
  </si>
  <si>
    <t>Hayrattle</t>
  </si>
  <si>
    <t>Cascara</t>
  </si>
  <si>
    <t>Buttercup</t>
  </si>
  <si>
    <t>Oregon White Oak</t>
  </si>
  <si>
    <t>White-Veined Shinleaf</t>
  </si>
  <si>
    <t>Greenish Wintergreen</t>
  </si>
  <si>
    <t>Northern Bracken</t>
  </si>
  <si>
    <t>Oregon Pine</t>
  </si>
  <si>
    <t>Western Chokecherry</t>
  </si>
  <si>
    <t>Oregon Cherry</t>
  </si>
  <si>
    <t>Largeflower Fairybells</t>
  </si>
  <si>
    <t>Narrow Leaved Mint</t>
  </si>
  <si>
    <t>Drops-Of-Gold</t>
  </si>
  <si>
    <t>Purple Cinquefoil</t>
  </si>
  <si>
    <t>Graceful Cinquefoil</t>
  </si>
  <si>
    <t>Drummond Cinquefoil</t>
  </si>
  <si>
    <t>Pacific Cinquefoil</t>
  </si>
  <si>
    <t>Broad Leaved Pondweed</t>
  </si>
  <si>
    <t>Largeleaf Pondweed</t>
  </si>
  <si>
    <t>Northern Black Cottonwood</t>
  </si>
  <si>
    <t>Trembling Aspen</t>
  </si>
  <si>
    <t>Alaska Fern</t>
  </si>
  <si>
    <t>Western Sword Fern</t>
  </si>
  <si>
    <t>Vancouver Holly Fern</t>
  </si>
  <si>
    <t>Leatherleaf Fern</t>
  </si>
  <si>
    <t>Polypody</t>
  </si>
  <si>
    <t>Sweet Root</t>
  </si>
  <si>
    <t>Black Knotweed</t>
  </si>
  <si>
    <t>Nodding False Semaphoregrass</t>
  </si>
  <si>
    <t>Rosy Plectritis</t>
  </si>
  <si>
    <t>Western Yellow Pine</t>
  </si>
  <si>
    <t>Silver Pine</t>
  </si>
  <si>
    <t>Lodgepole Pine</t>
  </si>
  <si>
    <t>Shore Pine</t>
  </si>
  <si>
    <t>Pitch Pine</t>
  </si>
  <si>
    <t>White Spruce</t>
  </si>
  <si>
    <t>Spruce</t>
  </si>
  <si>
    <t>Pacific Ninebark</t>
  </si>
  <si>
    <t>Lewis' Mock-Orange</t>
  </si>
  <si>
    <t>Long Beech Fern</t>
  </si>
  <si>
    <t>Bristly Phacelia</t>
  </si>
  <si>
    <t>Farewell-To-Spring</t>
  </si>
  <si>
    <t>K-00</t>
  </si>
  <si>
    <t>http://biology.burke.washington.edu/herbarium/imagecollectionnew/taxon.php?Taxon=Triodanis%20perfoliata</t>
  </si>
  <si>
    <t>http://biology.burke.washington.edu/herbarium/imagecollectionnew/results.php?Terms=trillium&amp;Type=Names&amp;x=0&amp;y=0</t>
  </si>
  <si>
    <t>http://biology.burke.washington.edu/herbarium/imagecollectionnew/taxon.php?Taxon=Stellaria nitens</t>
  </si>
  <si>
    <t>http://biology.burke.washington.edu/herbarium/imagecollectionnew/taxon.php?Taxon=Sanicula arctopoides</t>
  </si>
  <si>
    <t>http://biology.burke.washington.edu/herbarium/imagecollectionnew/taxon.php?Taxon=Psilocarphus elatior</t>
  </si>
  <si>
    <t>http://biology.burke.washington.edu/herbarium/imagecollectionnew/taxon.php?Taxon=Lupinus microcarpus</t>
  </si>
  <si>
    <t>http://biology.burke.washington.edu/herbarium/imagecollection/taxon.php?Taxon=Hosackia pinnata</t>
  </si>
  <si>
    <t>http://biology.burke.washington.edu/herbarium/imagecollectionnew/taxon.php?Taxon=Honckenya peploides</t>
  </si>
  <si>
    <t>Santalaceae</t>
  </si>
  <si>
    <t>Pterospora</t>
  </si>
  <si>
    <t>http://biology.burke.washington.edu/herbarium/imagecollection/taxon.php?Taxon=Parnassia fimbriata</t>
  </si>
  <si>
    <t>http://biology.burke.washington.edu/herbarium/imagecollectionnew/taxon.php?Taxon=Micranthes ferruginea</t>
  </si>
  <si>
    <t>http://biology.burke.washington.edu/herbarium/imagecollectionnew/taxon.php?Taxon=Menyanthes trifoliata</t>
  </si>
  <si>
    <t>http://biology.burke.washington.edu/herbarium/imagecollectionnew/taxon.php?Taxon=Lonicera conjugialis</t>
  </si>
  <si>
    <t>Linderniaceae</t>
  </si>
  <si>
    <t>http://biology.burke.washington.edu/herbarium/imagecollection/taxon.php?Taxon=Halerpestes cymbalaria</t>
  </si>
  <si>
    <t>Cabombaceae</t>
  </si>
  <si>
    <t>http://biology.burke.washington.edu/herbarium/imagecollection/taxon.php?Taxon=Apocynum androsaemifolium</t>
  </si>
  <si>
    <t>Woodsiaceae</t>
  </si>
  <si>
    <t>http://biology.burke.washington.edu/herbarium/imagecollectionnew/taxon.php?Taxon=Typha latifolia</t>
  </si>
  <si>
    <t>Lysimachia latifolia</t>
  </si>
  <si>
    <t>Thelypteridaceae</t>
  </si>
  <si>
    <t>http://biology.burke.washington.edu/herbarium/imagecollectionnew/taxon.php?Taxon=Sorbus%20sitchensis</t>
  </si>
  <si>
    <t>http://biology.burke.washington.edu/herbarium/imagecollectionnew/taxon.php?Taxon=Sparganium angustifolium</t>
  </si>
  <si>
    <t>http://biology.burke.washington.edu/herbarium/imagecollectionnew/taxon.php?Taxon=Sisyrinchium californicum</t>
  </si>
  <si>
    <t>http://biology.burke.washington.edu/herbarium/imagecollectionnew/taxon.php?Taxon=Shepherdia%20canadensis</t>
  </si>
  <si>
    <t>http://biology.burke.washington.edu/herbarium/imagecollectionnew/taxon.php?Taxon=Sidalcea campestris</t>
  </si>
  <si>
    <t>http://biology.burke.washington.edu/herbarium/imagecollectionnew/taxon.php?Taxon=Schoenoplectus tabernaemontani</t>
  </si>
  <si>
    <t>http://biology.burke.washington.edu/herbarium/imagecollectionnew/taxon.php?Taxon=Schoenoplectus acutus</t>
  </si>
  <si>
    <t>http://biology.burke.washington.edu/herbarium/imagecollectionnew/taxon.php?Taxon=Saxifraga mertensiana</t>
  </si>
  <si>
    <t>http://biology.burke.washington.edu/herbarium/imagecollection/taxon.php?Taxon=Rosa pisocarpa</t>
  </si>
  <si>
    <t>Thelpteridaceae</t>
  </si>
  <si>
    <t>Shortscale Sedge</t>
  </si>
  <si>
    <t>Small Nightshade</t>
  </si>
  <si>
    <t>Blue Eyed Mary</t>
  </si>
  <si>
    <t>Spleenwort Goldthread</t>
  </si>
  <si>
    <t>Tall Shooting Star</t>
  </si>
  <si>
    <t>Spoon-Leaved Everlasting</t>
  </si>
  <si>
    <t>Willamette Gumweed</t>
  </si>
  <si>
    <t>Canadian St. Johnswort</t>
  </si>
  <si>
    <t>Flowered Indian Pipe</t>
  </si>
  <si>
    <t>Dwarf Plantain Buttercup</t>
  </si>
  <si>
    <t>Clasping Looking-Glass</t>
  </si>
  <si>
    <t>Hairy Checkermallow</t>
  </si>
  <si>
    <t>Columbian White Aster</t>
  </si>
  <si>
    <t>Rabbit-Tobacco</t>
  </si>
  <si>
    <t>Long-tubed primrose</t>
  </si>
  <si>
    <t>Lesser Orchid</t>
  </si>
  <si>
    <t>Smal Forget-Me-Not</t>
  </si>
  <si>
    <t>Double Honeysuckle</t>
  </si>
  <si>
    <t>Many-Flower Indian Pipe</t>
  </si>
  <si>
    <t>Water-Starwort</t>
  </si>
  <si>
    <t>Swollen Bladderwort</t>
  </si>
  <si>
    <t>Mountain Chickweed</t>
  </si>
  <si>
    <t>Bristly Checkermallow</t>
  </si>
  <si>
    <t>Creeping Spearwort</t>
  </si>
  <si>
    <t>Horizontal Rein Orchid</t>
  </si>
  <si>
    <t>Fringed Grass</t>
  </si>
  <si>
    <t>Cascade Grass</t>
  </si>
  <si>
    <t>Water Miner's-Lettuce</t>
  </si>
  <si>
    <t>American Horehound</t>
  </si>
  <si>
    <t>Yellowseed Pimpernel</t>
  </si>
  <si>
    <t>Dense Willowherb</t>
  </si>
  <si>
    <t>Mountain Waterweed</t>
  </si>
  <si>
    <t xml:space="preserve">Bulb Water-Hemlock </t>
  </si>
  <si>
    <t>Flowered Blue-eyed Mary</t>
  </si>
  <si>
    <t>WWU SAM Project with summer students visiting sites indentified from Herbaria Records</t>
  </si>
  <si>
    <t>Totals in Gardens / Found / Not Found</t>
  </si>
  <si>
    <t>Extincts</t>
  </si>
  <si>
    <t>When Extinct</t>
  </si>
  <si>
    <t>Extinction's slope: &gt;=1 … &lt;1 … 0</t>
  </si>
  <si>
    <t>Total:</t>
  </si>
  <si>
    <t>https://plants.usda.gov/core/profile?symbol=ABPR</t>
  </si>
  <si>
    <t>https://plants.usda.gov/core/profile?symbol=ABLA2</t>
  </si>
  <si>
    <t>https://plants.usda.gov/core/profile?symbol=ABUM</t>
  </si>
  <si>
    <t>https://plants.usda.gov/core/profile?symbol=ACCI</t>
  </si>
  <si>
    <t>https://plants.usda.gov/core/profile?symbol=ACGL</t>
  </si>
  <si>
    <t>https://plants.usda.gov/core/profile?symbol=acma3</t>
  </si>
  <si>
    <t>https://plants.usda.gov/core/profile?symbol=ACMI2</t>
  </si>
  <si>
    <t>https://plants.usda.gov/core/profile?symbol=ACTR</t>
  </si>
  <si>
    <t>https://plants.usda.gov/core/profile?symbol=acco4</t>
  </si>
  <si>
    <t>https://plants.usda.gov/core/profile?symbol=acel4</t>
  </si>
  <si>
    <t>https://plants.usda.gov/core/profile?symbol=ACRU2</t>
  </si>
  <si>
    <t>https://plants.usda.gov/core/profile?symbol=ADBI</t>
  </si>
  <si>
    <t>https://plants.usda.gov/core/profile?symbol=ADAL</t>
  </si>
  <si>
    <t>https://plants.usda.gov/core/profile?symbol=adpe</t>
  </si>
  <si>
    <t>https://plants.usda.gov/core/profile?symbol=AGFO</t>
  </si>
  <si>
    <t>https://plants.usda.gov/core/profile?symbol=AGAP2</t>
  </si>
  <si>
    <t>https://plants.usda.gov/core/profile?symbol=AGEL</t>
  </si>
  <si>
    <t>https://plants.usda.gov/core/profile?symbol=AGGR#</t>
  </si>
  <si>
    <t>https://plants.usda.gov/core/profile?symbol=AGHE2</t>
  </si>
  <si>
    <t>https://plants.usda.gov/core/profile?symbol=AGEX</t>
  </si>
  <si>
    <t>https://plants.usda.gov/core/profile?symbol=AGOR</t>
  </si>
  <si>
    <t>https://plants.usda.gov/core/profile?symbol=AGPA8</t>
  </si>
  <si>
    <t>https://plants.usda.gov/core/profile?symbol=ALTR7</t>
  </si>
  <si>
    <t>https://plants.usda.gov/core/profile?symbol=AGSC5</t>
  </si>
  <si>
    <t>https://plants.usda.gov/core/profile?symbol=suca2</t>
  </si>
  <si>
    <t>https://plants.usda.gov/core/profile?symbol=ALAM2</t>
  </si>
  <si>
    <t>https://plants.usda.gov/core/profile?symbol=ALCE2</t>
  </si>
  <si>
    <t>https://plants.usda.gov/core/profile?symbol=ALCR4</t>
  </si>
  <si>
    <t>https://plants.usda.gov/core/profile?symbol=ALSC</t>
  </si>
  <si>
    <t>https://plants.usda.gov/core/profile?symbol=ALVI2</t>
  </si>
  <si>
    <t>https://plants.usda.gov/core/profile?symbol=ALINT</t>
  </si>
  <si>
    <t>https://plants.usda.gov/core/profile?symbol=ALRH2</t>
  </si>
  <si>
    <t>https://plants.usda.gov/core/profile?symbol=ALRU2</t>
  </si>
  <si>
    <t>https://plants.usda.gov/core/profile?symbol=ALVIS</t>
  </si>
  <si>
    <t>https://plants.usda.gov/core/profile?symbol=AMCH4</t>
  </si>
  <si>
    <t>https://plants.usda.gov/core/profile?symbol=AMALH</t>
  </si>
  <si>
    <t>https://plants.usda.gov/core/profile?symbol=AMLY</t>
  </si>
  <si>
    <t>https://plants.usda.gov/core/profile?symbol=AMMEM2</t>
  </si>
  <si>
    <t>https://plants.usda.gov/core/profile?symbol=AMSP3</t>
  </si>
  <si>
    <t>https://plants.usda.gov/core/profile?symbol=ANMA</t>
  </si>
  <si>
    <t>https://plants.usda.gov/core/profile?symbol=ANPO</t>
  </si>
  <si>
    <t>https://plants.usda.gov/core/profile?symbol=ANDE3</t>
  </si>
  <si>
    <t>https://plants.usda.gov/core/profile?symbol=ANDR</t>
  </si>
  <si>
    <t>https://plants.usda.gov/core/profile?symbol=ANMU</t>
  </si>
  <si>
    <t>https://plants.usda.gov/core/profile?symbol=ANOR</t>
  </si>
  <si>
    <t>https://plants.usda.gov/core/profile?symbol=ANAR3</t>
  </si>
  <si>
    <t>https://plants.usda.gov/core/profile?symbol=ANGE2</t>
  </si>
  <si>
    <t>https://plants.usda.gov/core/profile?symbol=ANHE</t>
  </si>
  <si>
    <t>https://plants.usda.gov/core/profile?symbol=ANLU</t>
  </si>
  <si>
    <t>https://plants.usda.gov/core/profile?symbol=ANMA26</t>
  </si>
  <si>
    <t>https://www.plants.usda.gov/core/profile?symbol=ANHO</t>
  </si>
  <si>
    <t>https://plants.usda.gov/core/profile?symbol=ANRA</t>
  </si>
  <si>
    <t>https://plants.usda.gov/core/profile?symbol=STOC</t>
  </si>
  <si>
    <t>https://plants.usda.gov/core/profile?symbol=ORCA2</t>
  </si>
  <si>
    <t>https://plants.usda.gov/core/profile?symbol=ORFA</t>
  </si>
  <si>
    <t>https://plants.usda.gov/core/profile?symbol=ORPI2</t>
  </si>
  <si>
    <t>https://plants.usda.gov/core/profile?symbol=APAN2</t>
  </si>
  <si>
    <t>https://plants.usda.gov/core/profile?symbol=APCA</t>
  </si>
  <si>
    <t>https://plants.usda.gov/core/profile?symbol=AQFO</t>
  </si>
  <si>
    <t>https://plants.usda.gov/core/profile?symbol=ARHI</t>
  </si>
  <si>
    <t>https://plants.usda.gov/core/profile?symbol=ARME</t>
  </si>
  <si>
    <t>https://plants.usda.gov/core/profile?symbol=ARCA3</t>
  </si>
  <si>
    <t>https://plants.usda.gov/core/profile?symbol=ARTS</t>
  </si>
  <si>
    <t>https://plants.usda.gov/core/profile?symbol=ARCO3</t>
  </si>
  <si>
    <t>https://plants.usda.gov/core/profile?symbol=ARME7</t>
  </si>
  <si>
    <t>https://plants.usda.gov/core/profile?symbol=ARUV</t>
  </si>
  <si>
    <t>https://plants.usda.gov/core/profile?symbol=ARMA6</t>
  </si>
  <si>
    <t>https://plants.usda.gov/core/profile?symbol=ARCO9</t>
  </si>
  <si>
    <t>https://plants.usda.gov/core/profile?symbol=aram2</t>
  </si>
  <si>
    <t>https://plants.usda.gov/core/profile?symbol=ARLO6</t>
  </si>
  <si>
    <t>https://plants.usda.gov/core/profile?symbol=ARCA12</t>
  </si>
  <si>
    <t>https://plants.usda.gov/core/profile?symbol=ARDO3</t>
  </si>
  <si>
    <t>https://plants.usda.gov/core/profile?symbol=ARLU</t>
  </si>
  <si>
    <t>https://plants.usda.gov/core/profile?symbol=ARMI4</t>
  </si>
  <si>
    <t>https://plants.usda.gov/core/profile?symbol=ARDI8</t>
  </si>
  <si>
    <t>https://plants.usda.gov/core/profile?symbol=ASCA2</t>
  </si>
  <si>
    <t>https://plants.usda.gov/core/profile?symbol=ASCO</t>
  </si>
  <si>
    <t>https://plants.usda.gov/core/profile?symbol=ASSP</t>
  </si>
  <si>
    <t>https://plants.usda.gov/core/profile?symbol=ASDE6</t>
  </si>
  <si>
    <t>https://plants.usda.gov/core/profile?symbol=ASTR2</t>
  </si>
  <si>
    <t>https://plants.usda.gov/core/profile?symbol=ATFI</t>
  </si>
  <si>
    <t>https://plants.usda.gov/core/profile?symbol=ATPU</t>
  </si>
  <si>
    <t>https://plants.usda.gov/core/profile?symbol=AZFI</t>
  </si>
  <si>
    <t>https://plants.usda.gov/core/profile?symbol=AZME</t>
  </si>
  <si>
    <t>https://plants.usda.gov/core/profile?symbol=BACCH</t>
  </si>
  <si>
    <t>https://plants.usda.gov/core/profile?symbol=BADE2</t>
  </si>
  <si>
    <t>https://plants.usda.gov/core/profile?symbol=BAOR</t>
  </si>
  <si>
    <t>https://plants.usda.gov/core/profile?symbol=MAAQ2</t>
  </si>
  <si>
    <t>https://plants.usda.gov/core/profile?symbol=MANE2</t>
  </si>
  <si>
    <t>https://plants.usda.gov/core/profile?symbol=MARE11</t>
  </si>
  <si>
    <t>https://plants.usda.gov/core/profile?symbol=BEGL</t>
  </si>
  <si>
    <t>https://plants.usda.gov/core/profile?symbol=BEOC2</t>
  </si>
  <si>
    <t>https://plants.usda.gov/core/profile?symbol=BEPA</t>
  </si>
  <si>
    <t>https://plants.usda.gov/core/profile?symbol=bepu4</t>
  </si>
  <si>
    <t>https://plants.usda.gov/core/profile?symbol=BIBE2</t>
  </si>
  <si>
    <t>https://plants.usda.gov/core/profile?symbol=BICE</t>
  </si>
  <si>
    <t>https://plants.usda.gov/core/profile?symbol=BIFR</t>
  </si>
  <si>
    <t>https://plants.usda.gov/core/profile?symbol=BIVU</t>
  </si>
  <si>
    <t>https://plants.usda.gov/core/profile?symbol=BLSP</t>
  </si>
  <si>
    <t>https://plants.usda.gov/core/profile?symbol=BOOR</t>
  </si>
  <si>
    <t>https://plants.usda.gov/core/profile?symbol=BOMA7</t>
  </si>
  <si>
    <t>https://plants.usda.gov/core/profile?symbol=BOMI</t>
  </si>
  <si>
    <t>https://plants.usda.gov/core/profile?symbol=BOMU</t>
  </si>
  <si>
    <t>https://plants.usda.gov/core/profile?symbol=bovi</t>
  </si>
  <si>
    <t>https://plants.usda.gov/core/profile?symbol=BOIN4</t>
  </si>
  <si>
    <t>https://plants.usda.gov/core/profile?symbol=BOOC2</t>
  </si>
  <si>
    <t>https://plants.usda.gov/core/profile?symbol=BRSC</t>
  </si>
  <si>
    <t>https://plants.usda.gov/core/profile?symbol=BRCO3</t>
  </si>
  <si>
    <t>https://plants.usda.gov/core/profile?symbol=BRCA5</t>
  </si>
  <si>
    <t>https://plants.usda.gov/core/profile?symbol=BRSI</t>
  </si>
  <si>
    <t>https://plants.usda.gov/core/profile?symbol=CAED</t>
  </si>
  <si>
    <t>https://plants.usda.gov/core/profile?symbol=CACA4</t>
  </si>
  <si>
    <t>https://plants.usda.gov/core/profile?symbol=CANU</t>
  </si>
  <si>
    <t>https://plants.usda.gov/core/profile?symbol=CAST36</t>
  </si>
  <si>
    <t>https://plants.usda.gov/core/profile?symbol=CACI2</t>
  </si>
  <si>
    <t>https://plants.usda.gov/core/profile?symbol=CAHEH</t>
  </si>
  <si>
    <t>https://plants.usda.gov/core/profile?symbol=CAPA52</t>
  </si>
  <si>
    <t>https://plants.usda.gov/core/profile?symbol=CUNO</t>
  </si>
  <si>
    <t>https://plants.usda.gov/core/profile?symbol=CALE4</t>
  </si>
  <si>
    <t>https://plants.usda.gov/core/profile?symbol=capa5</t>
  </si>
  <si>
    <t>https://plants.usda.gov/core/profile?symbol=CABU</t>
  </si>
  <si>
    <t>https://plants.usda.gov/core/profile?symbol=caso2</t>
  </si>
  <si>
    <t>https://plants.usda.gov/core/profile?symbol=CALES2</t>
  </si>
  <si>
    <t>https://plants.usda.gov/core/profile?symbol=CAQU2</t>
  </si>
  <si>
    <t>https://plants.usda.gov/core/profile?symbol=caco34</t>
  </si>
  <si>
    <t>https://plants.usda.gov/core/profile?symbol=CARO2</t>
  </si>
  <si>
    <t>https://plants.usda.gov/core/profile?symbol=CASC7</t>
  </si>
  <si>
    <t>https://plants.usda.gov/core/profile?symbol=CAMO32</t>
  </si>
  <si>
    <t>https://plants.usda.gov/core/profile?symbol=CAAN5</t>
  </si>
  <si>
    <t>https://plants.usda.gov/core/profile?symbol=CABR6</t>
  </si>
  <si>
    <t>https://plants.usda.gov/core/profile?symbol=CANU17</t>
  </si>
  <si>
    <t>https://plants.usda.gov/core/profile?symbol=CAOL</t>
  </si>
  <si>
    <t>https://plants.usda.gov/core/profile?symbol=cape3</t>
  </si>
  <si>
    <t>https://plants.usda.gov/core/profile?symbol=CARA3</t>
  </si>
  <si>
    <t>https://plants.usda.gov/core/profile?symbol=CAAM10</t>
  </si>
  <si>
    <t>https://plants.usda.gov/core/profile?symbol=CAAN10</t>
  </si>
  <si>
    <t>https://plants.usda.gov/core/profile?symbol=CAAQ</t>
  </si>
  <si>
    <t>https://plants.usda.gov/core/profile?symbol=CAAT3</t>
  </si>
  <si>
    <t>https://plants.usda.gov/core/profile?symbol=CACA11</t>
  </si>
  <si>
    <t>https://plants.usda.gov/core/profile?symbol=CACI5</t>
  </si>
  <si>
    <t>https://plants.usda.gov/core/profile?symbol=CACO8</t>
  </si>
  <si>
    <t>https://plants.usda.gov/core/profile?symbol=CACU5</t>
  </si>
  <si>
    <t>https://plants.usda.gov/core/profile?symbol=CADE8</t>
  </si>
  <si>
    <t>https://plants.usda.gov/core/profile?symbol=CADE9</t>
  </si>
  <si>
    <t>https://plants.usda.gov/core/profile?symbol=CAEC</t>
  </si>
  <si>
    <t>https://plants.usda.gov/core/profile?symbol=CAFE4</t>
  </si>
  <si>
    <t>https://plants.usda.gov/core/profile?symbol=CAHE7</t>
  </si>
  <si>
    <t>https://plants.usda.gov/core/profile?symbol=CAIN9</t>
  </si>
  <si>
    <t>https://plants.usda.gov/core/profile?symbol=CAIN17</t>
  </si>
  <si>
    <t>https://plants.usda.gov/core/profile?symbol=CALA11</t>
  </si>
  <si>
    <t>https://plants.usda.gov/core/profile?symbol=CALE24</t>
  </si>
  <si>
    <t>https://plants.usda.gov/core/profile?symbol=CALI7</t>
  </si>
  <si>
    <t>https://plants.usda.gov/core/profile?symbol=CALY3</t>
  </si>
  <si>
    <t>https://plants.usda.gov/core/profile?symbol=CAMA10</t>
  </si>
  <si>
    <t>https://plants.usda.gov/core/profile?symbol=CAME6</t>
  </si>
  <si>
    <t>https://plants.usda.gov/core/profile?symbol=CAOB3</t>
  </si>
  <si>
    <t>https://plants.usda.gov/core/profile?symbol=CAPA14</t>
  </si>
  <si>
    <t>https://plants.usda.gov/core/profile?symbol=capa16</t>
  </si>
  <si>
    <t>https://plants.usda.gov/core/profile?symbol=CAPA19</t>
  </si>
  <si>
    <t>https://plants.usda.gov/core/profile?symbol=CAPE42</t>
  </si>
  <si>
    <t>https://plants.usda.gov/core/profile?symbol=CAPL6</t>
  </si>
  <si>
    <t>https://plants.usda.gov/core/profile?symbol=CAPR7</t>
  </si>
  <si>
    <t>https://plants.usda.gov/core/profile?symbol=CARO5</t>
  </si>
  <si>
    <t>https://plants.usda.gov/core/profile?symbol=CARO6</t>
  </si>
  <si>
    <t>https://plants.usda.gov/core/profile?symbol=CAST5</t>
  </si>
  <si>
    <t>https://plants.usda.gov/core/profile?symbol=CAST10</t>
  </si>
  <si>
    <t>https://plants.usda.gov/core/profile?symbol=CATU3</t>
  </si>
  <si>
    <t>https://plants.usda.gov/core/profile?symbol=CAUN3</t>
  </si>
  <si>
    <t>https://plants.usda.gov/core/profile?symbol=CAUT</t>
  </si>
  <si>
    <t>https://plants.usda.gov/core/profile?symbol=CAVE6</t>
  </si>
  <si>
    <t>https://plants.usda.gov/core/profile?symbol=CAVU2</t>
  </si>
  <si>
    <t>https://plants.usda.gov/core/profile?symbol=CAAMA3</t>
  </si>
  <si>
    <t>https://plants.usda.gov/core/profile?symbol=CAAT25</t>
  </si>
  <si>
    <t>https://plants.usda.gov/core/profile?symbol=CACH40</t>
  </si>
  <si>
    <t>https://plants.usda.gov/core/profile?symbol=CAHI9</t>
  </si>
  <si>
    <t>https://plants.usda.gov/core/profile?symbol=CAVI5</t>
  </si>
  <si>
    <t>https://plants.usda.gov/core/profile?symbol=CALE27</t>
  </si>
  <si>
    <t>https://plants.usda.gov/core/profile?symbol=cami12</t>
  </si>
  <si>
    <t>https://plants.usda.gov/core/profile?symbol=CAVI6</t>
  </si>
  <si>
    <t>https://plants.usda.gov/core/profile?symbol=CEIN3</t>
  </si>
  <si>
    <t>https://plants.usda.gov/core/profile?symbol=CEPR</t>
  </si>
  <si>
    <t>https://plants.usda.gov/core/profile?symbol=CESA</t>
  </si>
  <si>
    <t>https://plants.usda.gov/core/profile?symbol=CEVE</t>
  </si>
  <si>
    <t>https://plants.usda.gov/core/profile?symbol=celar</t>
  </si>
  <si>
    <t>https://plants.usda.gov/core/profile?symbol=CEAU</t>
  </si>
  <si>
    <t>https://plants.usda.gov/core/profile?symbol=CEAR4</t>
  </si>
  <si>
    <t>https://plants.usda.gov/core/profile?symbol=CEDE4</t>
  </si>
  <si>
    <t>https://plants.usda.gov/core/profile?symbol=chla</t>
  </si>
  <si>
    <t>https://plants.usda.gov/core/profile?symbol=CHANA2</t>
  </si>
  <si>
    <t>https://plants.usda.gov/core/profile?symbol=CHBE4</t>
  </si>
  <si>
    <t>https://plants.usda.gov/core/profile?symbol=CHME</t>
  </si>
  <si>
    <t>https://plants.usda.gov/core/profile?symbol=CHUM</t>
  </si>
  <si>
    <t>https://plants.usda.gov/core/profile?symbol=CHCH7</t>
  </si>
  <si>
    <t>https://plants.usda.gov/core/profile?symbol=CHGL5</t>
  </si>
  <si>
    <t>https://plants.usda.gov/core/profile?symbol=CIBU</t>
  </si>
  <si>
    <t>https://plants.usda.gov/core/profile?symbol=CIDO</t>
  </si>
  <si>
    <t>https://plants.usda.gov/core/profile?symbol=CILA2</t>
  </si>
  <si>
    <t>https://plants.usda.gov/core/profile?symbol=CIAL</t>
  </si>
  <si>
    <t>https://plants.usda.gov/core/profile?symbol=CIBR2</t>
  </si>
  <si>
    <t>https://plants.usda.gov/core/profile?symbol=CIED</t>
  </si>
  <si>
    <t>https://plants.usda.gov/core/profile?symbol=CIRE</t>
  </si>
  <si>
    <t>https://plants.usda.gov/core/profile?symbol=CLAM</t>
  </si>
  <si>
    <t>https://plants.usda.gov/core/profile?symbol=CLGR</t>
  </si>
  <si>
    <t>https://plants.usda.gov/core/profile?symbol=CLPU2</t>
  </si>
  <si>
    <t>https://plants.usda.gov/core/profile?symbol=CLLAC</t>
  </si>
  <si>
    <t>https://plants.usda.gov/core/profile?symbol=CLPA5</t>
  </si>
  <si>
    <t>https://plants.usda.gov/core/profile?symbol=CLPE</t>
  </si>
  <si>
    <t>https://plants.usda.gov/core/profile?symbol=CLRU2</t>
  </si>
  <si>
    <t>https://plants.usda.gov/core/profile?symbol=CLSIS</t>
  </si>
  <si>
    <t>https://plants.usda.gov/core/profile?symbol=CLLI2</t>
  </si>
  <si>
    <t>https://plants.usda.gov/core/profile?symbol=cldo2</t>
  </si>
  <si>
    <t>https://plants.usda.gov/core/profile?symbol=CLUN2</t>
  </si>
  <si>
    <t>https://plants.usda.gov/core/profile?symbol=COGR6</t>
  </si>
  <si>
    <t>https://plants.usda.gov/core/profile?symbol=COGR2</t>
  </si>
  <si>
    <t>https://plants.usda.gov/core/profile?symbol=COPA3</t>
  </si>
  <si>
    <t>https://plants.usda.gov/core/profile?symbol=COSP</t>
  </si>
  <si>
    <t>https://plants.usda.gov/core/profile?symbol=COGR4</t>
  </si>
  <si>
    <t>https://plants.usda.gov/core/profile?symbol=coli2</t>
  </si>
  <si>
    <t>https://plants.usda.gov/core/profile?symbol=COHE2</t>
  </si>
  <si>
    <t>https://plants.usda.gov/core/profile?symbol=COCA5</t>
  </si>
  <si>
    <t>https://plants.usda.gov/core/profile?symbol=COAS</t>
  </si>
  <si>
    <t>https://plants.usda.gov/core/profile?symbol=COLA3</t>
  </si>
  <si>
    <t>https://plants.usda.gov/core/profile?symbol=COMA25</t>
  </si>
  <si>
    <t>https://plants.usda.gov/core/profile?symbol=COST19</t>
  </si>
  <si>
    <t>https://plants.usda.gov/core/profile?symbol=cotr18</t>
  </si>
  <si>
    <t>https://plants.usda.gov/core/profile?symbol=CONU4</t>
  </si>
  <si>
    <t>https://plants.usda.gov/core/profile?symbol=COSES</t>
  </si>
  <si>
    <t>https://plants.usda.gov/core/profile?symbol=COUN</t>
  </si>
  <si>
    <t>https://plants.usda.gov/core/profile?symbol=COSC4</t>
  </si>
  <si>
    <t>https://plants.usda.gov/core/profile?symbol=COCAA</t>
  </si>
  <si>
    <t>https://plants.usda.gov/core/profile?symbol=COCOC2</t>
  </si>
  <si>
    <t>https://plants.usda.gov/core/profile?symbol=CRAQ</t>
  </si>
  <si>
    <t>https://plants.usda.gov/core/profile?symbol=CRCO34</t>
  </si>
  <si>
    <t>https://plants.usda.gov/core/profile?symbol=CRDO2</t>
  </si>
  <si>
    <t>https://plants.usda.gov/core/profile?symbol=CRMU</t>
  </si>
  <si>
    <t>https://plants.usda.gov/core/profile?symbol=CRIN8</t>
  </si>
  <si>
    <t>https://plants.usda.gov/core/profile?symbol=CRAC3</t>
  </si>
  <si>
    <t>https://plants.usda.gov/core/profile?symbol=CUCE</t>
  </si>
  <si>
    <t>https://plants.usda.gov/core/profile?symbol=cybi6</t>
  </si>
  <si>
    <t>https://plants.usda.gov/core/profile?symbol=CYER2</t>
  </si>
  <si>
    <t>https://plants.usda.gov/core/profile?symbol=CYSQ</t>
  </si>
  <si>
    <t>https://plants.usda.gov/core/profile?symbol=CYMO2</t>
  </si>
  <si>
    <t>https://plants.usda.gov/core/profile?symbol=CYFR2</t>
  </si>
  <si>
    <t>https://plants.usda.gov/core/profile?symbol=DACA3</t>
  </si>
  <si>
    <t>https://plants.usda.gov/core/profile?symbol=DAIN</t>
  </si>
  <si>
    <t>https://plants.usda.gov/core/profile?symbol=DASP2</t>
  </si>
  <si>
    <t>https://plants.usda.gov/core/profile?symbol=DACA5</t>
  </si>
  <si>
    <t>https://plants.usda.gov/core/profile?symbol=DAPE</t>
  </si>
  <si>
    <t>https://plants.usda.gov/core/profile?symbol=DAFR6</t>
  </si>
  <si>
    <t>https://plants.usda.gov/core/profile?symbol=dawr2</t>
  </si>
  <si>
    <t>https://plants.usda.gov/core/profile?symbol=DAPU3</t>
  </si>
  <si>
    <t>https://plants.usda.gov/core/profile?symbol=DEGL3</t>
  </si>
  <si>
    <t>https://plants.usda.gov/core/profile?symbol=DEME</t>
  </si>
  <si>
    <t>https://plants.usda.gov/core/profile?symbol=DENU3</t>
  </si>
  <si>
    <t>https://plants.usda.gov/core/profile?symbol=DETR2</t>
  </si>
  <si>
    <t>https://plants.usda.gov/core/profile?symbol=LYDE</t>
  </si>
  <si>
    <t>https://plants.usda.gov/core/profile?symbol=DECE</t>
  </si>
  <si>
    <t>https://plants.usda.gov/core/profile?symbol=DEEL</t>
  </si>
  <si>
    <t>https://plants.usda.gov/core/profile?symbol=DIFO</t>
  </si>
  <si>
    <t>https://plants.usda.gov/core/profile?symbol=diac2</t>
  </si>
  <si>
    <t>https://plants.usda.gov/core/profile?symbol=DICO19</t>
  </si>
  <si>
    <t>https://plants.usda.gov/core/profile?symbol=DISP</t>
  </si>
  <si>
    <t>https://plants.usda.gov/core/profile?symbol=DOHE</t>
  </si>
  <si>
    <t>https://plants.usda.gov/core/profile?symbol=DOAU</t>
  </si>
  <si>
    <t>https://plants.usda.gov/core/profile?symbol=DOJE</t>
  </si>
  <si>
    <t>https://plants.usda.gov/core/profile?symbol=DOPU</t>
  </si>
  <si>
    <t>https://plants.usda.gov/core/profile?symbol=DRBRC</t>
  </si>
  <si>
    <t>https://plants.usda.gov/core/profile?symbol=DRRO</t>
  </si>
  <si>
    <t>https://plants.usda.gov/core/profile?symbol=POGL9</t>
  </si>
  <si>
    <t>https://plants.usda.gov/core/profile?symbol=DRAR3</t>
  </si>
  <si>
    <t>https://plants.usda.gov/core/profile?symbol=DRCA11</t>
  </si>
  <si>
    <t>https://plants.usda.gov/core/profile?symbol=DREX2</t>
  </si>
  <si>
    <t>https://plants.usda.gov/core/profile?symbol=DRFI2</t>
  </si>
  <si>
    <t>https://plants.usda.gov/core/profile?symbol=DUAR3</t>
  </si>
  <si>
    <t>https://plants.usda.gov/core/profile?symbol=ecpu</t>
  </si>
  <si>
    <t>https://plants.usda.gov/core/profile?symbol=ELAC</t>
  </si>
  <si>
    <t>https://plants.usda.gov/core/profile?symbol=ELEN</t>
  </si>
  <si>
    <t>https://plants.usda.gov/core/profile?symbol=ELOV</t>
  </si>
  <si>
    <t>https://plants.usda.gov/core/profile?symbol=elpa3</t>
  </si>
  <si>
    <t>https://plants.usda.gov/core/profile?symbol=ELPA5</t>
  </si>
  <si>
    <t>https://plants.usda.gov/core/profile?symbol=ELCA7</t>
  </si>
  <si>
    <t>https://plants.usda.gov/core/profile?symbol=elnu2</t>
  </si>
  <si>
    <t>https://plants.usda.gov/core/profile?symbol=ELEL5</t>
  </si>
  <si>
    <t>https://plants.usda.gov/core/profile?symbol=ELGL</t>
  </si>
  <si>
    <t>https://plants.usda.gov/core/profile?symbol=EMNI</t>
  </si>
  <si>
    <t>https://plants.usda.gov/core/profile?symbol=EPBR3</t>
  </si>
  <si>
    <t>https://plants.usda.gov/core/profile?symbol=EPCI</t>
  </si>
  <si>
    <t>https://plants.usda.gov/core/profile?symbol=EPDE4</t>
  </si>
  <si>
    <t>https://plants.usda.gov/core/profile?symbol=EPGL</t>
  </si>
  <si>
    <t>https://plants.usda.gov/core/profile?symbol=EPMI</t>
  </si>
  <si>
    <t>https://plants.usda.gov/core/profile?symbol=EPTO4</t>
  </si>
  <si>
    <t>https://plants.usda.gov/core/profile?symbol=EPGI</t>
  </si>
  <si>
    <t>https://plants.usda.gov/core/profile?symbol=EQAR</t>
  </si>
  <si>
    <t>https://plants.usda.gov/core/profile?symbol=EQFL</t>
  </si>
  <si>
    <t>https://plants.usda.gov/core/profile?symbol=EQHY</t>
  </si>
  <si>
    <t>https://plants.usda.gov/core/profile?symbol=EQPA</t>
  </si>
  <si>
    <t>https://plants.usda.gov/core/profile?symbol=EQTE</t>
  </si>
  <si>
    <t>https://plants.usda.gov/core/profile?symbol=EQVA</t>
  </si>
  <si>
    <t>https://plants.usda.gov/core/profile?symbol=erco4</t>
  </si>
  <si>
    <t>https://plants.usda.gov/core/profile?symbol=ERPH</t>
  </si>
  <si>
    <t>https://plants.usda.gov/core/profile?symbol=ERSP4</t>
  </si>
  <si>
    <t>https://plants.usda.gov/core/profile?symbol=ERST3</t>
  </si>
  <si>
    <t>https://plants.usda.gov/core/profile?symbol=ERUM</t>
  </si>
  <si>
    <t>https://plants.usda.gov/core/profile?symbol=ERCH7</t>
  </si>
  <si>
    <t>https://plants.usda.gov/core/profile?symbol=ERGR8</t>
  </si>
  <si>
    <t>https://plants.usda.gov/core/profile?symbol=ERLA6</t>
  </si>
  <si>
    <t>https://plants.usda.gov/core/profile?symbol=ERPE7</t>
  </si>
  <si>
    <t>https://plants.usda.gov/core/profile?symbol=ERCA14</t>
  </si>
  <si>
    <t>https://plants.usda.gov/core/profile?symbol=MIAL3</t>
  </si>
  <si>
    <t>https://plants.usda.gov/core/profile?symbol=MICA3</t>
  </si>
  <si>
    <t>https://plants.usda.gov/core/profile?symbol=MIDE3</t>
  </si>
  <si>
    <t>https://plants.usda.gov/core/profile?symbol=MILE2</t>
  </si>
  <si>
    <t>https://plants.usda.gov/core/profile?symbol=MIMO3</t>
  </si>
  <si>
    <t>https://plants.usda.gov/core/profile?symbol=ERGR9</t>
  </si>
  <si>
    <t>https://plants.usda.gov/core/profile?symbol=EROR4</t>
  </si>
  <si>
    <t>https://plants.usda.gov/core/profile?symbol=ERQU4</t>
  </si>
  <si>
    <t>https://plants.usda.gov/core/profile?symbol=ERRE5</t>
  </si>
  <si>
    <t>https://plants.usda.gov/core/profile?symbol=EUEN</t>
  </si>
  <si>
    <t>https://plants.usda.gov/core/profile?symbol=EUOC8</t>
  </si>
  <si>
    <t>https://plants.usda.gov/core/profile?symbol=EUOC4</t>
  </si>
  <si>
    <t>https://plants.usda.gov/core/profile?symbol=EUMA9</t>
  </si>
  <si>
    <t>https://plants.usda.gov/core/profile?symbol=FEID</t>
  </si>
  <si>
    <t>https://plants.usda.gov/core/profile?symbol=FEOC</t>
  </si>
  <si>
    <t>https://plants.usda.gov/core/profile?symbol=FEIDR2</t>
  </si>
  <si>
    <t>https://plants.usda.gov/core/profile?symbol=FERU2</t>
  </si>
  <si>
    <t>https://plants.usda.gov/core/profile?symbol=FIOC</t>
  </si>
  <si>
    <t>https://plants.usda.gov/core/profile?symbol=FRCH</t>
  </si>
  <si>
    <t>https://plants.usda.gov/core/profile?symbol=FRVE</t>
  </si>
  <si>
    <t>https://plants.usda.gov/core/profile?symbol=FRVI</t>
  </si>
  <si>
    <t>https://plants.usda.gov/core/profile?symbol=FRLA</t>
  </si>
  <si>
    <t>https://plants.usda.gov/core/profile?symbol=FRAF2</t>
  </si>
  <si>
    <t>https://plants.usda.gov/core/profile?symbol=FRCA5</t>
  </si>
  <si>
    <t>https://plants.usda.gov/core/profile?symbol=FRPU2</t>
  </si>
  <si>
    <t>https://plants.usda.gov/core/profile?symbol=gaar</t>
  </si>
  <si>
    <t>https://plants.usda.gov/core/profile?symbol=GAAP2</t>
  </si>
  <si>
    <t>https://plants.usda.gov/core/profile?symbol=gabo2</t>
  </si>
  <si>
    <t>https://plants.usda.gov/core/profile?symbol=GAOR</t>
  </si>
  <si>
    <t>https://plants.usda.gov/core/profile?symbol=gapa3</t>
  </si>
  <si>
    <t>https://plants.usda.gov/core/profile?symbol=GATR2</t>
  </si>
  <si>
    <t>https://plants.usda.gov/core/profile?symbol=GATR3</t>
  </si>
  <si>
    <t>https://plants.usda.gov/core/profile?symbol=GAUS</t>
  </si>
  <si>
    <t>https://plants.usda.gov/core/profile?symbol=GASH</t>
  </si>
  <si>
    <t>https://plants.usda.gov/core/profile?symbol=GADI2</t>
  </si>
  <si>
    <t>https://plants.usda.gov/core/profile?symbol=GESC</t>
  </si>
  <si>
    <t>https://plants.usda.gov/core/profile?symbol=GEAM3</t>
  </si>
  <si>
    <t>https://plants.usda.gov/core/profile?symbol=GEBI2</t>
  </si>
  <si>
    <t>https://plants.usda.gov/core/profile?symbol=GECA5</t>
  </si>
  <si>
    <t>https://plants.usda.gov/core/profile?symbol=GEOR2</t>
  </si>
  <si>
    <t>https://plants.usda.gov/core/profile?symbol=GEMA4</t>
  </si>
  <si>
    <t>https://plants.usda.gov/core/profile?symbol=getr</t>
  </si>
  <si>
    <t>https://plants.usda.gov/core/profile?symbol=GICA5</t>
  </si>
  <si>
    <t>https://plants.usda.gov/core/profile?symbol=GISP3</t>
  </si>
  <si>
    <t>https://plants.usda.gov/core/profile?symbol=GLLI</t>
  </si>
  <si>
    <t>https://plants.usda.gov/core/profile?symbol=GLST</t>
  </si>
  <si>
    <t>https://plants.usda.gov/core/profile?symbol=GLGR</t>
  </si>
  <si>
    <t>https://plants.usda.gov/core/profile?symbol=GOOB2</t>
  </si>
  <si>
    <t>https://plants.usda.gov/core/profile?symbol=GREB</t>
  </si>
  <si>
    <t>https://plants.usda.gov/core/profile?symbol=GRNE</t>
  </si>
  <si>
    <t>https://plants.usda.gov/core/profile?symbol=GRHI</t>
  </si>
  <si>
    <t>https://plants.usda.gov/core/profile?symbol=GRIN</t>
  </si>
  <si>
    <t>https://plants.usda.gov/core/profile?symbol=GYDR</t>
  </si>
  <si>
    <t>https://plants.usda.gov/core/profile?symbol=RACY</t>
  </si>
  <si>
    <t>https://plants.usda.gov/core/profile?symbol=HEAU</t>
  </si>
  <si>
    <t>https://plants.usda.gov/core/profile?symbol=HEAN3</t>
  </si>
  <si>
    <t>https://plants.usda.gov/core/profile?symbol=HECO6</t>
  </si>
  <si>
    <t>https://plants.usda.gov/core/profile?symbol=HEMI20</t>
  </si>
  <si>
    <t>https://plants.usda.gov/core/profile?symbol=HERAC</t>
  </si>
  <si>
    <t>https://plants.usda.gov/core/profile?symbol=HEOR2</t>
  </si>
  <si>
    <t>https://plants.usda.gov/core/profile?symbol=HEVI4</t>
  </si>
  <si>
    <t>https://plants.usda.gov/core/profile?symbol=HECH</t>
  </si>
  <si>
    <t>https://plants.usda.gov/core/profile?symbol=HEGL5</t>
  </si>
  <si>
    <t>https://plants.usda.gov/core/profile?symbol=HEMIM2</t>
  </si>
  <si>
    <t>https://plants.usda.gov/core/profile?symbol=HIAL2</t>
  </si>
  <si>
    <t>https://plants.usda.gov/core/profile?symbol=HISC2</t>
  </si>
  <si>
    <t>https://plants.usda.gov/core/profile?symbol=HIHI</t>
  </si>
  <si>
    <t>https://plants.usda.gov/core/profile?symbol=HIVU2</t>
  </si>
  <si>
    <t>https://plants.usda.gov/core/profile?symbol=HODI</t>
  </si>
  <si>
    <t>https://plants.usda.gov/core/profile?symbol=HOPE</t>
  </si>
  <si>
    <t>https://plants.usda.gov/core/profile?symbol=HOBR2</t>
  </si>
  <si>
    <t>https://plants.usda.gov/core/profile?symbol=HODE2</t>
  </si>
  <si>
    <t>https://plants.usda.gov/core/profile?symbol=HOJU</t>
  </si>
  <si>
    <t>https://plants.usda.gov/core/profile?symbol=LOCR</t>
  </si>
  <si>
    <t>https://plants.usda.gov/core/profile?symbol=LOPI2</t>
  </si>
  <si>
    <t>https://plants.usda.gov/core/profile?symbol=LOAB</t>
  </si>
  <si>
    <t>https://plants.usda.gov/core/profile?symbol=HOAQ</t>
  </si>
  <si>
    <t>https://plants.usda.gov/core/profile?symbol=HUMI</t>
  </si>
  <si>
    <t>https://plants.usda.gov/core/profile?symbol=HUOC</t>
  </si>
  <si>
    <t>https://plants.usda.gov/core/profile?symbol=HYRA</t>
  </si>
  <si>
    <t>https://plants.usda.gov/core/profile?symbol=HYTE</t>
  </si>
  <si>
    <t>https://plants.usda.gov/core/profile?symbol=HYAN2</t>
  </si>
  <si>
    <t>https://plants.usda.gov/core/profile?symbol=HYMA2</t>
  </si>
  <si>
    <t>https://plants.usda.gov/core/profile?symbol=HYSC5</t>
  </si>
  <si>
    <t>https://plants.usda.gov/core/profile?symbol=IMEC2</t>
  </si>
  <si>
    <t>https://plants.usda.gov/core/profile?symbol=IMNO</t>
  </si>
  <si>
    <t>https://plants.usda.gov/core/profile?symbol=IRMI</t>
  </si>
  <si>
    <t>https://plants.usda.gov/core/profile?symbol=IRTE</t>
  </si>
  <si>
    <t>https://plants.usda.gov/core/profile?symbol=ISNU</t>
  </si>
  <si>
    <t>https://plants.usda.gov/core/profile?symbol=ISOC</t>
  </si>
  <si>
    <t>https://plants.usda.gov/core/profile?symbol=ISBR4</t>
  </si>
  <si>
    <t>https://plants.usda.gov/core/profile?symbol=ISCE</t>
  </si>
  <si>
    <t>https://plants.usda.gov/core/profile?symbol=JACA4</t>
  </si>
  <si>
    <t>https://plants.usda.gov/core/profile?symbol=JUAC</t>
  </si>
  <si>
    <t>https://plants.usda.gov/core/profile?symbol=JUAL4</t>
  </si>
  <si>
    <t>https://plants.usda.gov/core/profile?symbol=JUBO</t>
  </si>
  <si>
    <t>https://plants.usda.gov/core/profile?symbol=JUBR4</t>
  </si>
  <si>
    <t>https://plants.usda.gov/core/profile?symbol=JUEF</t>
  </si>
  <si>
    <t>https://plants.usda.gov/core/profile?symbol=JUEN</t>
  </si>
  <si>
    <t>https://plants.usda.gov/core/profile?symbol=JUME3</t>
  </si>
  <si>
    <t>https://plants.usda.gov/core/profile?symbol=JUOX</t>
  </si>
  <si>
    <t>https://plants.usda.gov/core/profile?symbol=JUPA2</t>
  </si>
  <si>
    <t>https://plants.usda.gov/core/profile?symbol=JUSU3</t>
  </si>
  <si>
    <t>https://plants.usda.gov/core/profile?symbol=JUTE</t>
  </si>
  <si>
    <t>https://plants.usda.gov/core/profile?symbol=JUCO6</t>
  </si>
  <si>
    <t>https://plants.usda.gov/core/profile?symbol=JUMA10</t>
  </si>
  <si>
    <t>https://plants.usda.gov/core/profile?symbol=JUOC</t>
  </si>
  <si>
    <t>https://plants.usda.gov/core/profile?symbol=JUSC2</t>
  </si>
  <si>
    <t>https://plants.usda.gov/core/profile?symbol=KOMA</t>
  </si>
  <si>
    <t>https://plants.usda.gov/core/profile?symbol=LABI</t>
  </si>
  <si>
    <t>https://plants.usda.gov/core/profile?symbol=LAOC</t>
  </si>
  <si>
    <t>https://plants.usda.gov/core/profile?symbol=LAGL3</t>
  </si>
  <si>
    <t>https://plants.usda.gov/core/profile?symbol=LAMA8</t>
  </si>
  <si>
    <t>https://plants.usda.gov/core/profile?symbol=LAHO2</t>
  </si>
  <si>
    <t>https://plants.usda.gov/core/profile?symbol=laja</t>
  </si>
  <si>
    <t>https://plants.usda.gov/core/profile?symbol=lali2</t>
  </si>
  <si>
    <t>https://plants.usda.gov/core/profile?symbol=LANE3</t>
  </si>
  <si>
    <t>https://plants.usda.gov/core/profile?symbol=LAPA4</t>
  </si>
  <si>
    <t>https://plants.usda.gov/core/profile?symbol=LAPO3</t>
  </si>
  <si>
    <t>https://plants.usda.gov/core/profile?symbol=LATO</t>
  </si>
  <si>
    <t>https://plants.usda.gov/core/profile?symbol=LAVE2</t>
  </si>
  <si>
    <t>https://plants.usda.gov/core/profile?symbol=LEOR#tabImages</t>
  </si>
  <si>
    <t>https://plants.usda.gov/core/profile?symbol=LEMI3</t>
  </si>
  <si>
    <t>https://plants.usda.gov/core/profile?symbol=LETR</t>
  </si>
  <si>
    <t>https://plants.usda.gov/core/profile?symbol=LETU2</t>
  </si>
  <si>
    <t>https://plants.usda.gov/core/profile?symbol=levi3</t>
  </si>
  <si>
    <t>https://plants.usda.gov/core/profile?symbol=LEPY</t>
  </si>
  <si>
    <t>https://plants.usda.gov/core/profile?symbol=LEBI8</t>
  </si>
  <si>
    <t>https://plants.usda.gov/core/profile?symbol=LECO3</t>
  </si>
  <si>
    <t>https://plants.usda.gov/core/profile?symbol=LERE7</t>
  </si>
  <si>
    <t>https://plants.usda.gov/core/profile?symbol=LEMOM2</t>
  </si>
  <si>
    <t>https://plants.usda.gov/core/profile?symbol=LIAP</t>
  </si>
  <si>
    <t>https://plants.usda.gov/core/profile?symbol=LIOC</t>
  </si>
  <si>
    <t>https://plants.usda.gov/core/profile?symbol=LICO</t>
  </si>
  <si>
    <t>https://plants.usda.gov/core/profile?symbol=LIAQ</t>
  </si>
  <si>
    <t>https://plants.usda.gov/core/profile?symbol=LIDU</t>
  </si>
  <si>
    <t>https://plants.usda.gov/core/profile?symbol=LIBO3</t>
  </si>
  <si>
    <t>https://plants.usda.gov/core/profile?symbol=lile3</t>
  </si>
  <si>
    <t>https://plants.usda.gov/core/profile?symbol=LIPA5</t>
  </si>
  <si>
    <t>https://plants.usda.gov/core/profile?symbol=LODO</t>
  </si>
  <si>
    <t>https://plants.usda.gov/core/profile?symbol=LOKA</t>
  </si>
  <si>
    <t>https://plants.usda.gov/core/profile?symbol=LODI</t>
  </si>
  <si>
    <t>https://plants.usda.gov/core/profile?symbol=LONU2</t>
  </si>
  <si>
    <t>https://plants.usda.gov/core/profile?symbol=LOUT</t>
  </si>
  <si>
    <t>https://plants.usda.gov/core/profile?symbol=LOCI3</t>
  </si>
  <si>
    <t>https://plants.usda.gov/core/profile?symbol=LOCO5</t>
  </si>
  <si>
    <t>https://plants.usda.gov/core/profile?symbol=LOHI2</t>
  </si>
  <si>
    <t>https://plants.usda.gov/core/profile?symbol=LOIN5</t>
  </si>
  <si>
    <t>https://plants.usda.gov/core/profile?symbol=lout2</t>
  </si>
  <si>
    <t>https://plants.usda.gov/core/profile?symbol=LOFO2</t>
  </si>
  <si>
    <t>https://plants.usda.gov/core/profile?symbol=LUPA</t>
  </si>
  <si>
    <t>https://plants.usda.gov/core/profile?symbol=LUPE</t>
  </si>
  <si>
    <t>https://plants.usda.gov/core/profile?symbol=LUAL3</t>
  </si>
  <si>
    <t>https://plants.usda.gov/core/profile?symbol=LUBI</t>
  </si>
  <si>
    <t>https://plants.usda.gov/core/profile?symbol=LULA4</t>
  </si>
  <si>
    <t>https://plants.usda.gov/core/profile?symbol=LULE2</t>
  </si>
  <si>
    <t>https://plants.usda.gov/core/profile?symbol=LULI2</t>
  </si>
  <si>
    <t>https://plants.usda.gov/core/profile?symbol=LUDED</t>
  </si>
  <si>
    <t>https://plants.usda.gov/core/profile?symbol=LUOR</t>
  </si>
  <si>
    <t>https://plants.usda.gov/core/profile?symbol=LUPO2</t>
  </si>
  <si>
    <t>https://plants.usda.gov/core/profile?symbol=LURI</t>
  </si>
  <si>
    <t>https://plants.usda.gov/core/profile?symbol=LUCO6</t>
  </si>
  <si>
    <t>https://plants.usda.gov/core/profile?symbol=LUMU2</t>
  </si>
  <si>
    <t>https://plants.usda.gov/core/profile?symbol=LUPA4</t>
  </si>
  <si>
    <t>https://plants.usda.gov/core/profile?symbol=LYIN2</t>
  </si>
  <si>
    <t>https://plants.usda.gov/core/profile?symbol=LYCL</t>
  </si>
  <si>
    <t>https://plants.usda.gov/core/profile?symbol=LYAM</t>
  </si>
  <si>
    <t>https://plants.usda.gov/core/profile?symbol=LYUN</t>
  </si>
  <si>
    <t>https://plants.usda.gov/core/profile?symbol=LYAM3</t>
  </si>
  <si>
    <t>https://plants.usda.gov/core/profile?symbol=TREU</t>
  </si>
  <si>
    <t>https://plants.usda.gov/core/profile?symbol=TRBOL</t>
  </si>
  <si>
    <t>https://plants.usda.gov/core/profile?symbol=LYTH2</t>
  </si>
  <si>
    <t>https://plants.usda.gov/core/profile?symbol=MAEL</t>
  </si>
  <si>
    <t>https://plants.usda.gov/core/profile?symbol=MAEX</t>
  </si>
  <si>
    <t>https://plants.usda.gov/core/profile?symbol=MAGL2</t>
  </si>
  <si>
    <t>https://plants.usda.gov/core/profile?symbol=MAGR3</t>
  </si>
  <si>
    <t>https://plants.usda.gov/core/profile?symbol=MASA</t>
  </si>
  <si>
    <t>https://plants.usda.gov/core/profile?symbol=MADI</t>
  </si>
  <si>
    <t>https://plants.usda.gov/core/profile?symbol=MARA7</t>
  </si>
  <si>
    <t>https://plants.usda.gov/core/profile?symbol=MAST4</t>
  </si>
  <si>
    <t>https://plants.usda.gov/core/profile?symbol=MAMO9</t>
  </si>
  <si>
    <t>https://plants.usda.gov/core/profile?symbol=MAFU</t>
  </si>
  <si>
    <t>https://plants.usda.gov/core/profile?symbol=MAOR3</t>
  </si>
  <si>
    <t>https://plants.usda.gov/core/profile?symbol=MAST</t>
  </si>
  <si>
    <t>https://plants.usda.gov/core/profile?symbol=MEOR</t>
  </si>
  <si>
    <t>https://plants.usda.gov/core/profile?symbol=MESM</t>
  </si>
  <si>
    <t>https://plants.usda.gov/core/profile?symbol=MESU</t>
  </si>
  <si>
    <t>https://plants.usda.gov/core/profile?symbol=MEAR4</t>
  </si>
  <si>
    <t>https://plants.usda.gov/core/profile?symbol=METR3</t>
  </si>
  <si>
    <t>https://plants.usda.gov/core/profile?symbol=MEPL</t>
  </si>
  <si>
    <t>https://plants.usda.gov/core/profile?symbol=SAFE</t>
  </si>
  <si>
    <t>https://plants.usda.gov/core/profile?symbol=sain4</t>
  </si>
  <si>
    <t>https://plants.usda.gov/core/profile?symbol=SAOC4</t>
  </si>
  <si>
    <t>https://plants.usda.gov/core/profile?symbol=SAOR2</t>
  </si>
  <si>
    <t>https://plants.usda.gov/core/profile?symbol=SATO2</t>
  </si>
  <si>
    <t>https://plants.usda.gov/core/profile?symbol=MIBO</t>
  </si>
  <si>
    <t>https://plants.usda.gov/core/profile?symbol=MILA</t>
  </si>
  <si>
    <t>https://plants.usda.gov/core/profile?symbol=MIGR</t>
  </si>
  <si>
    <t>https://plants.usda.gov/core/profile?symbol=MICA5</t>
  </si>
  <si>
    <t>https://plants.usda.gov/core/profile?symbol=MOLA6</t>
  </si>
  <si>
    <t>https://plants.usda.gov/core/profile?symbol=MOMA3</t>
  </si>
  <si>
    <t>https://plants.usda.gov/core/profile?symbol=MOUN2</t>
  </si>
  <si>
    <t>https://plants.usda.gov/core/profile?symbol=MOHY3</t>
  </si>
  <si>
    <t>https://plants.usda.gov/core/profile?symbol=MOUN3</t>
  </si>
  <si>
    <t>https://plants.usda.gov/core/profile?symbol=MODI2</t>
  </si>
  <si>
    <t>https://plants.usda.gov/core/profile?symbol=MODI3</t>
  </si>
  <si>
    <t>https://plants.usda.gov/core/profile?symbol=MOFO</t>
  </si>
  <si>
    <t>https://plants.usda.gov/core/profile?symbol=MOHO</t>
  </si>
  <si>
    <t>https://plants.usda.gov/core/profile?symbol=moli4</t>
  </si>
  <si>
    <t>https://plants.usda.gov/core/profile?symbol=MOPA2</t>
  </si>
  <si>
    <t>https://plants.usda.gov/core/profile?symbol=MYLA</t>
  </si>
  <si>
    <t>https://plants.usda.gov/core/profile?symbol=MYMI2</t>
  </si>
  <si>
    <t>https://plants.usda.gov/core/profile?symbol=MOCA6</t>
  </si>
  <si>
    <t>https://plants.usda.gov/core/profile?symbol=MYGA</t>
  </si>
  <si>
    <t>https://plants.usda.gov/core/profile?symbol=MYHI</t>
  </si>
  <si>
    <t>https://plants.usda.gov/core/profile?symbol=MYQU</t>
  </si>
  <si>
    <t>https://plants.usda.gov/core/profile?symbol=mysi</t>
  </si>
  <si>
    <t>https://plants.usda.gov/core/profile?symbol=MYVE3</t>
  </si>
  <si>
    <t>https://plants.usda.gov/core/profile?symbol=CHGR</t>
  </si>
  <si>
    <t>https://plants.usda.gov/core/profile?symbol=PRAL</t>
  </si>
  <si>
    <t>https://plants.usda.gov/core/profile?symbol=NAFL</t>
  </si>
  <si>
    <t>https://plants.usda.gov/core/profile?symbol=NAIN2</t>
  </si>
  <si>
    <t>https://plants.usda.gov/core/profile?symbol=NASQ</t>
  </si>
  <si>
    <t>https://plants.usda.gov/core/profile?symbol=NEPA</t>
  </si>
  <si>
    <t>https://plants.usda.gov/core/profile?symbol=NEPE</t>
  </si>
  <si>
    <t>https://plants.usda.gov/core/profile?symbol=LICO6</t>
  </si>
  <si>
    <t>https://plants.usda.gov/core/profile?symbol=NONE3</t>
  </si>
  <si>
    <t>https://plants.usda.gov/core/profile?symbol=NULUP</t>
  </si>
  <si>
    <t>https://plants.usda.gov/core/profile?symbol=NUTE</t>
  </si>
  <si>
    <t>https://plants.usda.gov/core/profile?symbol=NYTE</t>
  </si>
  <si>
    <t>https://plants.usda.gov/core/profile?symbol=OECE</t>
  </si>
  <si>
    <t>https://plants.usda.gov/core/profile?symbol=OESA</t>
  </si>
  <si>
    <t>https://plants.usda.gov/core/profile?symbol=OEFL</t>
  </si>
  <si>
    <t>https://plants.usda.gov/core/profile?symbol=OLDO</t>
  </si>
  <si>
    <t>https://plants.usda.gov/core/profile?symbol=OPPU3</t>
  </si>
  <si>
    <t>https://plants.usda.gov/core/profile?symbol=OPHO</t>
  </si>
  <si>
    <t>https://plants.usda.gov/core/profile?symbol=OPFR</t>
  </si>
  <si>
    <t>https://plants.usda.gov/core/profile?symbol=ORSE</t>
  </si>
  <si>
    <t>https://plants.usda.gov/core/profile?symbol=ORBR</t>
  </si>
  <si>
    <t>https://plants.usda.gov/core/profile?symbol=OSBE</t>
  </si>
  <si>
    <t>https://plants.usda.gov/core/profile?symbol=OSPU</t>
  </si>
  <si>
    <t>https://plants.usda.gov/core/profile?symbol=OXOR</t>
  </si>
  <si>
    <t>https://plants.usda.gov/core/profile?symbol=OXSU</t>
  </si>
  <si>
    <t>https://plants.usda.gov/core/profile?symbol=OXTR</t>
  </si>
  <si>
    <t>https://plants.usda.gov/core/profile?symbol=CHRU</t>
  </si>
  <si>
    <t>https://plants.usda.gov/core/profile?symbol=OXBO</t>
  </si>
  <si>
    <t>https://plants.usda.gov/core/profile?symbol=OXCA4</t>
  </si>
  <si>
    <t>https://plants.usda.gov/core/profile?symbol=MITRT</t>
  </si>
  <si>
    <t>https://plants.usda.gov/core/profile?symbol=PABO6</t>
  </si>
  <si>
    <t>https://plants.usda.gov/core/profile?symbol=PACI2</t>
  </si>
  <si>
    <t>https://plants.usda.gov/core/profile?symbol=PAFI3</t>
  </si>
  <si>
    <t>https://plants.usda.gov/core/profile?symbol=PAPA8</t>
  </si>
  <si>
    <t>https://plants.usda.gov/core/profile?symbol=PAMY</t>
  </si>
  <si>
    <t>https://plants.usda.gov/core/profile?symbol=MIBR6</t>
  </si>
  <si>
    <t>https://plants.usda.gov/core/profile?symbol=MIOV</t>
  </si>
  <si>
    <t>https://plants.usda.gov/core/profile?symbol=pegr2</t>
  </si>
  <si>
    <t>https://plants.usda.gov/core/profile?symbol=PEAT3</t>
  </si>
  <si>
    <t>https://plants.usda.gov/core/profile?symbol=PECA16</t>
  </si>
  <si>
    <t>https://plants.usda.gov/core/profile?symbol=PEDA2</t>
  </si>
  <si>
    <t>https://plants.usda.gov/core/profile?symbol=PERYR</t>
  </si>
  <si>
    <t>https://plants.usda.gov/core/profile?symbol=PEOV2</t>
  </si>
  <si>
    <t>https://plants.usda.gov/core/profile?symbol=PERI</t>
  </si>
  <si>
    <t>https://plants.usda.gov/core/profile?symbol=PESE5</t>
  </si>
  <si>
    <t>https://plants.usda.gov/core/profile?symbol=PETR7</t>
  </si>
  <si>
    <t>https://plants.usda.gov/core/profile?symbol=PEOR6</t>
  </si>
  <si>
    <t>https://plants.usda.gov/core/profile?symbol=POAME</t>
  </si>
  <si>
    <t>https://plants.usda.gov/core/profile?symbol=POHY2</t>
  </si>
  <si>
    <t>https://plants.usda.gov/core/profile?symbol=pola4</t>
  </si>
  <si>
    <t>https://plants.usda.gov/core/profile?symbol=PEFR5</t>
  </si>
  <si>
    <t>https://plants.usda.gov/core/profile?symbol=PHHE2</t>
  </si>
  <si>
    <t>https://plants.usda.gov/core/profile?symbol=PHNE2</t>
  </si>
  <si>
    <t>https://plants.usda.gov/core/profile?symbol=PHCO24</t>
  </si>
  <si>
    <t>https://plants.usda.gov/core/profile?symbol=PHLE4</t>
  </si>
  <si>
    <t>https://plants.usda.gov/core/profile?symbol=PHDI3</t>
  </si>
  <si>
    <t>https://plants.usda.gov/core/profile?symbol=PHCA11</t>
  </si>
  <si>
    <t>https://plants.usda.gov/core/profile?symbol=PIENE</t>
  </si>
  <si>
    <t>https://plants.usda.gov/core/profile?symbol=PISI</t>
  </si>
  <si>
    <t>https://plants.usda.gov/core/profile?symbol=PIAL</t>
  </si>
  <si>
    <t>https://plants.usda.gov/core/profile?symbol=PICOC</t>
  </si>
  <si>
    <t>https://plants.usda.gov/core/profile?symbol=PIMO3</t>
  </si>
  <si>
    <t>https://plants.usda.gov/core/profile?symbol=PIPO</t>
  </si>
  <si>
    <t>https://plants.usda.gov/core/profile?symbol=PICA9</t>
  </si>
  <si>
    <t>https://plants.usda.gov/core/profile?symbol=PLFI</t>
  </si>
  <si>
    <t>https://plants.usda.gov/core/profile?symbol=PLSC2</t>
  </si>
  <si>
    <t>https://plants.usda.gov/core/profile?symbol=PLEL</t>
  </si>
  <si>
    <t>https://plants.usda.gov/core/profile?symbol=PLMA</t>
  </si>
  <si>
    <t>https://plants.usda.gov/core/profile?symbol=PLMA3</t>
  </si>
  <si>
    <t>https://plants.usda.gov/core/profile?symbol=PLCH3</t>
  </si>
  <si>
    <t>https://plants.usda.gov/core/profile?symbol=PLDI3</t>
  </si>
  <si>
    <t>https://plants.usda.gov/core/profile?symbol=PIEL4</t>
  </si>
  <si>
    <t>https://plants.usda.gov/core/profile?symbol=PLOR4</t>
  </si>
  <si>
    <t>https://plants.usda.gov/core/profile?symbol=PLST4</t>
  </si>
  <si>
    <t>https://plants.usda.gov/core/profile?symbol=PITR3</t>
  </si>
  <si>
    <t>https://plants.usda.gov/core/profile?symbol=PIUN3</t>
  </si>
  <si>
    <t>https://plants.usda.gov/core/profile?symbol=PLCO4</t>
  </si>
  <si>
    <t>https://plants.usda.gov/core/profile?symbol=PLFI2</t>
  </si>
  <si>
    <t>https://plants.usda.gov/core/profile?symbol=PLRE2</t>
  </si>
  <si>
    <t>https://plants.usda.gov/core/profile?symbol=POCO2</t>
  </si>
  <si>
    <t>https://plants.usda.gov/core/profile?symbol=POLA3</t>
  </si>
  <si>
    <t>https://plants.usda.gov/core/profile?symbol=POLE2</t>
  </si>
  <si>
    <t>https://plants.usda.gov/core/profile?symbol=POMA26</t>
  </si>
  <si>
    <t>https://plants.usda.gov/core/profile?symbol=POPA26</t>
  </si>
  <si>
    <t>https://plants.usda.gov/core/profile?symbol=POUN</t>
  </si>
  <si>
    <t>https://plants.usda.gov/core/profile?symbol=POCA4</t>
  </si>
  <si>
    <t>https://plants.usda.gov/core/profile?symbol=popu3</t>
  </si>
  <si>
    <t>https://plants.usda.gov/core/profile?symbol=PODO4</t>
  </si>
  <si>
    <t>https://plants.usda.gov/core/profile?symbol=POPA7</t>
  </si>
  <si>
    <t>https://plants.usda.gov/core/profile?symbol=PODOS2</t>
  </si>
  <si>
    <t>https://plants.usda.gov/core/profile?symbol=POGL8</t>
  </si>
  <si>
    <t>https://plants.usda.gov/core/profile?symbol=POHE3</t>
  </si>
  <si>
    <t>https://plants.usda.gov/core/profile?symbol=POSC4</t>
  </si>
  <si>
    <t>https://plants.usda.gov/core/profile?symbol=POAN2</t>
  </si>
  <si>
    <t>https://plants.usda.gov/core/profile?symbol=POCA25</t>
  </si>
  <si>
    <t>https://plants.usda.gov/core/profile?symbol=POIM</t>
  </si>
  <si>
    <t>https://plants.usda.gov/core/profile?symbol=POMU</t>
  </si>
  <si>
    <t>https://plants.usda.gov/core/profile?symbol=POSE5</t>
  </si>
  <si>
    <t>https://plants.usda.gov/core/profile?symbol=POTR5</t>
  </si>
  <si>
    <t>https://plants.usda.gov/core/profile?symbol=POBAT</t>
  </si>
  <si>
    <t>https://plants.usda.gov/core/profile?symbol=POAM5</t>
  </si>
  <si>
    <t>https://plants.usda.gov/core/profile?symbol=POEP2</t>
  </si>
  <si>
    <t>https://plants.usda.gov/core/profile?symbol=POFO3</t>
  </si>
  <si>
    <t>https://plants.usda.gov/core/profile?symbol=POIL</t>
  </si>
  <si>
    <t>https://plants.usda.gov/core/profile?symbol=PONA4</t>
  </si>
  <si>
    <t>https://plants.usda.gov/core/profile?symbol=PONO2</t>
  </si>
  <si>
    <t>https://plants.usda.gov/core/profile?symbol=POOB2</t>
  </si>
  <si>
    <t>https://plants.usda.gov/core/profile?symbol=POPU7</t>
  </si>
  <si>
    <t>https://plants.usda.gov/core/profile?symbol=PORI2</t>
  </si>
  <si>
    <t>https://plants.usda.gov/core/profile?symbol=PORO2</t>
  </si>
  <si>
    <t>https://plants.usda.gov/core/profile?symbol=POZO</t>
  </si>
  <si>
    <t>https://plants.usda.gov/core/profile?symbol=ARAN7</t>
  </si>
  <si>
    <t>https://plants.usda.gov/core/profile?symbol=PODR</t>
  </si>
  <si>
    <t>https://plants.usda.gov/core/profile?symbol=POGR9</t>
  </si>
  <si>
    <t>https://plants.usda.gov/core/profile?symbol=COPA28</t>
  </si>
  <si>
    <t>https://plants.usda.gov/core/profile?symbol=PRHO2</t>
  </si>
  <si>
    <t>https://plants.usda.gov/core/profile?symbol=PRSM</t>
  </si>
  <si>
    <t>https://plants.usda.gov/core/profile?symbol=PRVU</t>
  </si>
  <si>
    <t>https://plants.usda.gov/core/profile?symbol=PREM</t>
  </si>
  <si>
    <t>https://plants.usda.gov/core/profile?symbol=PRVID</t>
  </si>
  <si>
    <t>https://plants.usda.gov/core/profile?symbol=PSST7</t>
  </si>
  <si>
    <t>https://plants.usda.gov/core/profile?symbol=PSEUD43</t>
  </si>
  <si>
    <t>https://plants.usda.gov/core/profile?symbol=PSME</t>
  </si>
  <si>
    <t>https://plants.usda.gov/core/profile?symbol=PSEL</t>
  </si>
  <si>
    <t>https://plants.usda.gov/core/profile?symbol=PSTE</t>
  </si>
  <si>
    <t>https://plants.usda.gov/core/profile?symbol=PTAQ</t>
  </si>
  <si>
    <t>https://plants.usda.gov/core/profile?symbol=PTAN2</t>
  </si>
  <si>
    <t>https://plants.usda.gov/core/profile?symbol=PUNU2</t>
  </si>
  <si>
    <t>https://plants.usda.gov/core/profile?symbol=PYCO2</t>
  </si>
  <si>
    <t>https://plants.usda.gov/core/profile?symbol=PYAS</t>
  </si>
  <si>
    <t>https://plants.usda.gov/core/profile?symbol=PYCH</t>
  </si>
  <si>
    <t>https://plants.usda.gov/core/profile?symbol=PYPI2</t>
  </si>
  <si>
    <t>https://plants.usda.gov/core/profile?symbol=QUGA4</t>
  </si>
  <si>
    <t>https://plants.usda.gov/core/profile?symbol=RAAL</t>
  </si>
  <si>
    <t>https://plants.usda.gov/core/profile?symbol=RAAQ</t>
  </si>
  <si>
    <t>https://plants.usda.gov/core/profile?symbol=RACA2</t>
  </si>
  <si>
    <t>https://plants.usda.gov/core/profile?symbol=RAFL2</t>
  </si>
  <si>
    <t>https://plants.usda.gov/core/profile?symbol=RAMA2</t>
  </si>
  <si>
    <t>https://plants.usda.gov/core/profile?symbol=RAOC</t>
  </si>
  <si>
    <t>https://plants.usda.gov/core/profile?symbol=RAORO</t>
  </si>
  <si>
    <t>https://plants.usda.gov/core/profile?symbol=rasc3</t>
  </si>
  <si>
    <t>https://plants.usda.gov/core/profile?symbol=RAUN</t>
  </si>
  <si>
    <t>https://plants.usda.gov/core/profile?symbol=FRPU7</t>
  </si>
  <si>
    <t>https://plants.usda.gov/core/profile?symbol=RHMI13</t>
  </si>
  <si>
    <t>https://plants.usda.gov/core/profile?symbol=RHAL2</t>
  </si>
  <si>
    <t>https://plants.usda.gov/core/profile?symbol=LECO8</t>
  </si>
  <si>
    <t>https://plants.usda.gov/core/profile?symbol=LEGR</t>
  </si>
  <si>
    <t>https://plants.usda.gov/core/profile?symbol=RHMA3</t>
  </si>
  <si>
    <t>https://plants.usda.gov/core/profile?symbol=MEFE</t>
  </si>
  <si>
    <t>https://plants.usda.gov/core/profile?symbol=rhoc</t>
  </si>
  <si>
    <t>https://plants.usda.gov/core/profile?symbol=RHGL</t>
  </si>
  <si>
    <t>https://plants.usda.gov/core/profile?symbol=RHAL3</t>
  </si>
  <si>
    <t>https://plants.usda.gov/core/profile?symbol=RIAC</t>
  </si>
  <si>
    <t>https://plants.usda.gov/core/profile?symbol=RIAUA</t>
  </si>
  <si>
    <t>https://plants.usda.gov/core/profile?symbol=RIBR</t>
  </si>
  <si>
    <t>https://plants.usda.gov/core/profile?symbol=RICE</t>
  </si>
  <si>
    <t>https://plants.usda.gov/core/profile?symbol=RIDI</t>
  </si>
  <si>
    <t>https://plants.usda.gov/core/profile?symbol=RILA</t>
  </si>
  <si>
    <t>https://plants.usda.gov/core/profile?symbol=RILA3</t>
  </si>
  <si>
    <t>https://plants.usda.gov/core/profile?symbol=RILO</t>
  </si>
  <si>
    <t>https://plants.usda.gov/core/profile?symbol=RIOX</t>
  </si>
  <si>
    <t>https://plants.usda.gov/core/profile?symbol=RISA</t>
  </si>
  <si>
    <t>https://plants.usda.gov/core/profile?symbol=RITR</t>
  </si>
  <si>
    <t>https://plants.usda.gov/core/profile?symbol=ROCU</t>
  </si>
  <si>
    <t>https://plants.usda.gov/core/profile?symbol=ROPA2</t>
  </si>
  <si>
    <t>https://plants.usda.gov/core/profile?symbol=ROGY</t>
  </si>
  <si>
    <t>https://plants.usda.gov/core/profile?symbol=RONU</t>
  </si>
  <si>
    <t>https://plants.usda.gov/core/profile?symbol=ROPI2</t>
  </si>
  <si>
    <t>https://plants.usda.gov/core/profile?symbol=RORA</t>
  </si>
  <si>
    <t>https://plants.usda.gov/core/profile?symbol=RUID</t>
  </si>
  <si>
    <t>https://plants.usda.gov/core/profile?symbol=RULA2</t>
  </si>
  <si>
    <t>https://plants.usda.gov/core/profile?symbol=RULE</t>
  </si>
  <si>
    <t>https://plants.usda.gov/core/profile?symbol=RUPA</t>
  </si>
  <si>
    <t>https://plants.usda.gov/core/profile?symbol=RUPE</t>
  </si>
  <si>
    <t>https://plants.usda.gov/core/profile?symbol=RUSP</t>
  </si>
  <si>
    <t>https://plants.usda.gov/core/profile?symbol=RUUR</t>
  </si>
  <si>
    <t>https://plants.usda.gov/core/profile?symbol=ruhi2</t>
  </si>
  <si>
    <t>https://plants.usda.gov/core/profile?symbol=RUOC2</t>
  </si>
  <si>
    <t>https://plants.usda.gov/core/profile?symbol=RUAQF</t>
  </si>
  <si>
    <t>https://plants.usda.gov/core/profile?symbol=RUMA4</t>
  </si>
  <si>
    <t>https://plants.usda.gov/core/profile?symbol=RUMA5</t>
  </si>
  <si>
    <t>https://plants.usda.gov/core/profile?symbol=MITE2</t>
  </si>
  <si>
    <t>https://plants.usda.gov/core/profile?symbol=SADE</t>
  </si>
  <si>
    <t>https://plants.usda.gov/core/profile?symbol=SAMA6</t>
  </si>
  <si>
    <t>https://plants.usda.gov/core/profile?symbol=SALA2</t>
  </si>
  <si>
    <t>https://plants.usda.gov/core/profile?symbol=SADE10</t>
  </si>
  <si>
    <t>https://plants.usda.gov/core/profile?symbol=SAAM2</t>
  </si>
  <si>
    <t>https://plants.usda.gov/core/profile?symbol=saba3</t>
  </si>
  <si>
    <t>https://plants.usda.gov/core/profile?symbol=SABE2</t>
  </si>
  <si>
    <t>https://plants.usda.gov/core/profile?symbol=SACA6</t>
  </si>
  <si>
    <t>https://plants.usda.gov/core/profile?symbol=SACO2</t>
  </si>
  <si>
    <t>https://plants.usda.gov/core/profile?symbol=SAEX</t>
  </si>
  <si>
    <t>https://plants.usda.gov/core/profile?symbol=SAGE2</t>
  </si>
  <si>
    <t>https://plants.usda.gov/core/profile?symbol=SAGO</t>
  </si>
  <si>
    <t>https://plants.usda.gov/core/profile?symbol=SAHO</t>
  </si>
  <si>
    <t>https://plants.usda.gov/core/profile?symbol=SALUL</t>
  </si>
  <si>
    <t>https://plants.usda.gov/core/profile?symbol=SALA6</t>
  </si>
  <si>
    <t>https://plants.usda.gov/core/profile?symbol=SAME2</t>
  </si>
  <si>
    <t>https://plants.usda.gov/core/profile?symbol=SAPE2</t>
  </si>
  <si>
    <t>https://plants.usda.gov/core/profile?symbol=SAPL2</t>
  </si>
  <si>
    <t>https://plants.usda.gov/core/profile?symbol=SAPR3</t>
  </si>
  <si>
    <t>https://plants.usda.gov/core/profile?symbol=SASC</t>
  </si>
  <si>
    <t>https://plants.usda.gov/core/profile?symbol=SASE3</t>
  </si>
  <si>
    <t>https://plants.usda.gov/core/profile?symbol=SASI2</t>
  </si>
  <si>
    <t>https://plants.usda.gov/core/profile?symbol=SANIC5</t>
  </si>
  <si>
    <t>https://plants.usda.gov/core/profile?symbol=SARA2</t>
  </si>
  <si>
    <t>https://plants.usda.gov/core/profile?symbol=SAVAP</t>
  </si>
  <si>
    <t>https://plants.usda.gov/core/profile?symbol=SAME6</t>
  </si>
  <si>
    <t>https://plants.usda.gov/core/profile?symbol=SAOF3</t>
  </si>
  <si>
    <t>https://plants.usda.gov/core/profile?symbol=SAAR9</t>
  </si>
  <si>
    <t>https://plants.usda.gov/core/profile?symbol=SABI3</t>
  </si>
  <si>
    <t>https://plants.usda.gov/core/profile?symbol=SACR2</t>
  </si>
  <si>
    <t>https://plants.usda.gov/core/profile?symbol=SAGR5</t>
  </si>
  <si>
    <t>https://plants.usda.gov/core/profile?symbol=SAPE11</t>
  </si>
  <si>
    <t>https://plants.usda.gov/core/profile?symbol=sabr6</t>
  </si>
  <si>
    <t>https://plants.usda.gov/core/profile?symbol=SACA50</t>
  </si>
  <si>
    <t>https://plants.usda.gov/core/profile?symbol=SAME7</t>
  </si>
  <si>
    <t>https://plants.usda.gov/core/profile?symbol=SCPA2</t>
  </si>
  <si>
    <t>https://plants.usda.gov/core/profile?symbol=SCACO2</t>
  </si>
  <si>
    <t>https://plants.usda.gov/core/profile?symbol=scpu10</t>
  </si>
  <si>
    <t>https://plants.usda.gov/core/profile?symbol=SCSU10</t>
  </si>
  <si>
    <t>https://plants.usda.gov/core/profile?symbol=SCTA2</t>
  </si>
  <si>
    <t>https://plants.usda.gov/core/profile?symbol=SCAT4</t>
  </si>
  <si>
    <t>https://plants.usda.gov/core/profile?symbol=SCMI2</t>
  </si>
  <si>
    <t>https://plants.usda.gov/core/profile?symbol=SCLA</t>
  </si>
  <si>
    <t>https://plants.usda.gov/core/profile?symbol=SCGA</t>
  </si>
  <si>
    <t>https://plants.usda.gov/core/profile?symbol=SCLA2</t>
  </si>
  <si>
    <t>https://plants.usda.gov/core/profile?symbol=SEDI</t>
  </si>
  <si>
    <t>https://plants.usda.gov/core/profile?symbol=SELA</t>
  </si>
  <si>
    <t>https://plants.usda.gov/core/profile?symbol=SEOR</t>
  </si>
  <si>
    <t>https://plants.usda.gov/core/profile?symbol=SESP</t>
  </si>
  <si>
    <t>https://plants.usda.gov/core/profile?symbol=SEOR3</t>
  </si>
  <si>
    <t>https://plants.usda.gov/core/profile?symbol=SEWA</t>
  </si>
  <si>
    <t>https://plants.usda.gov/core/profile?symbol=SEGI2</t>
  </si>
  <si>
    <t>https://plants.usda.gov/core/profile?symbol=SESE3</t>
  </si>
  <si>
    <t>https://plants.usda.gov/core/profile?symbol=SERI4</t>
  </si>
  <si>
    <t>https://plants.usda.gov/core/profile?symbol=SHCA</t>
  </si>
  <si>
    <t>https://plants.usda.gov/core/profile?symbol=SICA2</t>
  </si>
  <si>
    <t>https://plants.usda.gov/core/profile?symbol=SIHE4</t>
  </si>
  <si>
    <t>https://plants.usda.gov/core/profile?symbol=SIHI3</t>
  </si>
  <si>
    <t>https://plants.usda.gov/core/profile?symbol=SINE2</t>
  </si>
  <si>
    <t>https://plants.usda.gov/core/profile?symbol=SIOR</t>
  </si>
  <si>
    <t>https://plants.usda.gov/core/profile?symbol=SIMAV</t>
  </si>
  <si>
    <t>https://plants.usda.gov/core/profile?symbol=SIAN2</t>
  </si>
  <si>
    <t>https://plants.usda.gov/core/profile?symbol=SIME</t>
  </si>
  <si>
    <t>https://plants.usda.gov/core/profile?symbol=SISC7</t>
  </si>
  <si>
    <t>https://plants.usda.gov/core/profile?symbol=SICA8</t>
  </si>
  <si>
    <t>https://plants.usda.gov/core/profile?symbol=SIID</t>
  </si>
  <si>
    <t>https://plants.usda.gov/core/profile?symbol=SISU2</t>
  </si>
  <si>
    <t>https://plants.usda.gov/core/profile?symbol=SOCA6</t>
  </si>
  <si>
    <t>https://plants.usda.gov/core/profile?symbol=SOSI3</t>
  </si>
  <si>
    <t>https://plants.usda.gov/core/profile?symbol=SOSCC</t>
  </si>
  <si>
    <t>https://plants.usda.gov/core/profile?symbol=SOSIS2</t>
  </si>
  <si>
    <t>https://plants.usda.gov/core/profile?symbol=SPAN2</t>
  </si>
  <si>
    <t>https://plants.usda.gov/core/profile?symbol=SPEM2</t>
  </si>
  <si>
    <t>https://plants.usda.gov/core/profile?symbol=SPEU</t>
  </si>
  <si>
    <t>https://plants.usda.gov/core/profile?symbol=SPFL</t>
  </si>
  <si>
    <t>https://plants.usda.gov/core/profile?symbol=SPNA</t>
  </si>
  <si>
    <t>https://plants.usda.gov/core/profile?symbol=SPCA3</t>
  </si>
  <si>
    <t>https://plants.usda.gov/core/profile?symbol=SPSA5</t>
  </si>
  <si>
    <t>https://plants.usda.gov/core/profile?symbol=SPSPS</t>
  </si>
  <si>
    <t>https://plants.usda.gov/core/profile?symbol=SPDO</t>
  </si>
  <si>
    <t>https://plants.usda.gov/core/profile?symbol=SPLU5</t>
  </si>
  <si>
    <t>https://plants.usda.gov/core/profile?symbol=SPPY</t>
  </si>
  <si>
    <t>https://plants.usda.gov/core/profile?symbol=SPPO7</t>
  </si>
  <si>
    <t>https://plants.usda.gov/core/profile?symbol=SPRO</t>
  </si>
  <si>
    <t>https://plants.usda.gov/core/profile?symbol=STCHC3</t>
  </si>
  <si>
    <t>https://plants.usda.gov/core/profile?symbol=STME</t>
  </si>
  <si>
    <t>https://plants.usda.gov/core/profile?symbol=STRI</t>
  </si>
  <si>
    <t>https://plants.usda.gov/core/profile?symbol=STBO3</t>
  </si>
  <si>
    <t>https://plants.usda.gov/core/profile?symbol=STCR2</t>
  </si>
  <si>
    <t>https://plants.usda.gov/core/profile?symbol=STLO</t>
  </si>
  <si>
    <t>https://plants.usda.gov/core/profile?symbol=stlo2</t>
  </si>
  <si>
    <t>https://plants.usda.gov/core/profile?symbol=STNI</t>
  </si>
  <si>
    <t>https://plants.usda.gov/core/profile?symbol=STOB</t>
  </si>
  <si>
    <t>https://plants.usda.gov/core/profile?symbol=STAM2</t>
  </si>
  <si>
    <t>https://plants.usda.gov/core/profile?symbol=STFIF</t>
  </si>
  <si>
    <t>https://plants.usda.gov/core/profile?symbol=STPE15</t>
  </si>
  <si>
    <t>https://plants.usda.gov/core/profile?symbol=SUAQ</t>
  </si>
  <si>
    <t>https://plants.usda.gov/core/profile?symbol=SYAL</t>
  </si>
  <si>
    <t>https://plants.usda.gov/core/profile?symbol=SYHE</t>
  </si>
  <si>
    <t>https://plants.usda.gov/core/profile?symbol=SYBO2</t>
  </si>
  <si>
    <t>https://plants.usda.gov/core/profile?symbol=SYEA2</t>
  </si>
  <si>
    <t>https://plants.usda.gov/core/profile?symbol=SYCH4</t>
  </si>
  <si>
    <t>https://plants.usda.gov/core/profile?symbol=SYHA</t>
  </si>
  <si>
    <t>https://plants.usda.gov/core/profile?symbol=SYLA4</t>
  </si>
  <si>
    <t>https://plants.usda.gov/core/profile?symbol=SYSU4</t>
  </si>
  <si>
    <t>https://plants.usda.gov/core/profile?symbol=SYRE</t>
  </si>
  <si>
    <t>https://plants.usda.gov/core/profile?symbol=TABI</t>
  </si>
  <si>
    <t>https://plants.usda.gov/core/profile?symbol=TABR2</t>
  </si>
  <si>
    <t>https://plants.usda.gov/core/profile?symbol=TEGR2</t>
  </si>
  <si>
    <t>https://plants.usda.gov/core/profile?symbol=THOC</t>
  </si>
  <si>
    <t>https://plants.usda.gov/core/profile?symbol=THQU2</t>
  </si>
  <si>
    <t>https://plants.usda.gov/core/profile?symbol=THMO6</t>
  </si>
  <si>
    <t>https://plants.usda.gov/core/profile?symbol=THPL</t>
  </si>
  <si>
    <t>https://plants.usda.gov/core/profile?symbol=TITR</t>
  </si>
  <si>
    <t>https://plants.usda.gov/core/profile?symbol=TOME</t>
  </si>
  <si>
    <t>https://plants.usda.gov/core/profile?symbol=TOPA6</t>
  </si>
  <si>
    <t>https://plants.usda.gov/core/profile?symbol=TODI</t>
  </si>
  <si>
    <t>https://plants.usda.gov/core/profile?symbol=TORY</t>
  </si>
  <si>
    <t>https://plants.usda.gov/core/profile?symbol=TRCA</t>
  </si>
  <si>
    <t>https://plants.usda.gov/core/profile?symbol=TRCE3</t>
  </si>
  <si>
    <t>https://plants.usda.gov/core/profile?symbol=TRMI5</t>
  </si>
  <si>
    <t>https://plants.usda.gov/core/profile?symbol=TROL</t>
  </si>
  <si>
    <t>https://plants.usda.gov/core/profile?symbol=TRVA</t>
  </si>
  <si>
    <t>https://plants.usda.gov/core/profile?symbol=TRWI3</t>
  </si>
  <si>
    <t>https://plants.usda.gov/core/profile?symbol=TRWO</t>
  </si>
  <si>
    <t>https://plants.usda.gov/core/profile?symbol=TRBI</t>
  </si>
  <si>
    <t>https://plants.usda.gov/core/profile?symbol=TRMA20</t>
  </si>
  <si>
    <t>https://plants.usda.gov/core/profile?symbol=TROV2</t>
  </si>
  <si>
    <t>https://plants.usda.gov/core/profile?symbol=TRALP</t>
  </si>
  <si>
    <t>https://plants.usda.gov/core/profile?symbol=TRBI2</t>
  </si>
  <si>
    <t>https://plants.usda.gov/core/profile?symbol=TRPE4</t>
  </si>
  <si>
    <t>https://plants.usda.gov/core/profile?symbol=TRPU16</t>
  </si>
  <si>
    <t>https://plants.usda.gov/core/profile?symbol=TRCA21</t>
  </si>
  <si>
    <t>https://plants.usda.gov/core/profile?symbol=TRHY3</t>
  </si>
  <si>
    <t>https://plants.usda.gov/core/profile?symbol=TSHE</t>
  </si>
  <si>
    <t>https://plants.usda.gov/core/profile?symbol=TSME</t>
  </si>
  <si>
    <t>https://plants.usda.gov/core/profile?symbol=ARGL</t>
  </si>
  <si>
    <t>https://plants.usda.gov/core/profile?symbol=TYAN</t>
  </si>
  <si>
    <t>https://plants.usda.gov/core/profile?symbol=TYLA</t>
  </si>
  <si>
    <t>https://plants.usda.gov/core/profile?symbol=URDI</t>
  </si>
  <si>
    <t>https://plants.usda.gov/core/profile?symbol=utgi</t>
  </si>
  <si>
    <t>https://plants.usda.gov/core/profile?symbol=UTIN2</t>
  </si>
  <si>
    <t>https://plants.usda.gov/core/profile?symbol=UTMI</t>
  </si>
  <si>
    <t>https://plants.usda.gov/core/profile?symbol=UTMA</t>
  </si>
  <si>
    <t>https://plants.usda.gov/core/profile?symbol=VADE</t>
  </si>
  <si>
    <t>https://plants.usda.gov/core/profile?symbol=VAME</t>
  </si>
  <si>
    <t>https://plants.usda.gov/core/profile?symbol=VAOV</t>
  </si>
  <si>
    <t>https://plants.usda.gov/core/profile?symbol=VAOV2</t>
  </si>
  <si>
    <t>https://plants.usda.gov/core/profile?symbol=VAOX</t>
  </si>
  <si>
    <t>https://plants.usda.gov/core/profile?symbol=VAPA</t>
  </si>
  <si>
    <t>https://plants.usda.gov/core/profile?symbol=VAUL</t>
  </si>
  <si>
    <t>https://plants.usda.gov/core/profile?symbol=VASC2</t>
  </si>
  <si>
    <t>https://plants.usda.gov/core/profile?symbol=VASI</t>
  </si>
  <si>
    <t>https://plants.usda.gov/core/profile?symbol=VAHE</t>
  </si>
  <si>
    <t>https://plants.usda.gov/core/profile?symbol=VECA2</t>
  </si>
  <si>
    <t>https://plants.usda.gov/core/profile?symbol=VEVI</t>
  </si>
  <si>
    <t>https://plants.usda.gov/core/profile?symbol=VEHA2</t>
  </si>
  <si>
    <t>https://plants.usda.gov/core/profile?symbol=VEAM2</t>
  </si>
  <si>
    <t>https://plants.usda.gov/core/profile?symbol=VEPE2</t>
  </si>
  <si>
    <t>https://plants.usda.gov/core/profile?symbol=VESC2</t>
  </si>
  <si>
    <t>https://plants.usda.gov/core/profile?symbol=VIED</t>
  </si>
  <si>
    <t>https://plants.usda.gov/core/profile?symbol=VIEL</t>
  </si>
  <si>
    <t>https://plants.usda.gov/core/profile?symbol=VIOPA2</t>
  </si>
  <si>
    <t>https://plants.usda.gov/core/profile?symbol=VIAM</t>
  </si>
  <si>
    <t>https://plants.usda.gov/core/profile?symbol=VINI81</t>
  </si>
  <si>
    <t>https://plants.usda.gov/core/profile?symbol=VIAD</t>
  </si>
  <si>
    <t>https://plants.usda.gov/core/profile?symbol=VICAR</t>
  </si>
  <si>
    <t>https://plants.usda.gov/core/profile?symbol=VIGL</t>
  </si>
  <si>
    <t>https://plants.usda.gov/core/profile?symbol=VIHO</t>
  </si>
  <si>
    <t>https://plants.usda.gov/core/profile?symbol=VILA6</t>
  </si>
  <si>
    <t>https://plants.usda.gov/core/profile?symbol=VIOR</t>
  </si>
  <si>
    <t>https://plants.usda.gov/core/profile?symbol=VIPA4</t>
  </si>
  <si>
    <t>https://plants.usda.gov/core/profile?symbol=VIPRP</t>
  </si>
  <si>
    <t>https://plants.usda.gov/core/profile?symbol=VISE3</t>
  </si>
  <si>
    <t>https://plants.usda.gov/core/profile?symbol=VUMI</t>
  </si>
  <si>
    <t>https://plants.usda.gov/core/profile?symbol=WOOR</t>
  </si>
  <si>
    <t>https://plants.usda.gov/core/profile?symbol=WOFI</t>
  </si>
  <si>
    <t>https://plants.usda.gov/core/profile?symbol=WYAM</t>
  </si>
  <si>
    <t>https://plants.usda.gov/core/profile?symbol=XAST</t>
  </si>
  <si>
    <t>https://plants.usda.gov/core/profile?symbol=XETE</t>
  </si>
  <si>
    <t>https://plants.usda.gov/core/profile?symbol=YAMI</t>
  </si>
  <si>
    <t>https://plants.usda.gov/core/profile?symbol=ZAPA</t>
  </si>
  <si>
    <t>https://plants.usda.gov/core/profile?symbol=CEMU2</t>
  </si>
  <si>
    <t>https://plants.usda.gov/core/profile?symbol=ZIVE</t>
  </si>
  <si>
    <t>https://plants.usda.gov/core/profile?symbol=BOHO</t>
  </si>
  <si>
    <t>https://plants.usda.gov/core/profile?symbol=PEGAB</t>
  </si>
  <si>
    <t>https://en.wikipedia.org/wiki/Abies_procera</t>
  </si>
  <si>
    <t>https://en.wikipedia.org/wiki/Abronia_latifolia</t>
  </si>
  <si>
    <t>https://en.wikipedia.org/wiki/Abronia_umbellata</t>
  </si>
  <si>
    <t>https://en.wikipedia.org/wiki/Acer_circinatum</t>
  </si>
  <si>
    <t>https://en.wikipedia.org/wiki/Acer_glabrum</t>
  </si>
  <si>
    <t>https://en.wikipedia.org/wiki/Acer_macrophyllum</t>
  </si>
  <si>
    <t>https://en.wikipedia.org/wiki/Achlys_triphylla</t>
  </si>
  <si>
    <t>https://en.wikipedia.org/wiki/Aconitum_columbianum</t>
  </si>
  <si>
    <t>https://en.wikipedia.org/wiki/Actaea_elata</t>
  </si>
  <si>
    <t>https://en.wikipedia.org/wiki/Actaea_rubra</t>
  </si>
  <si>
    <t>https://en.wikipedia.org/wiki/Adenocaulon_bicolor</t>
  </si>
  <si>
    <t>https://en.wikipedia.org/wiki/Adiantum_aleuticum</t>
  </si>
  <si>
    <t>https://en.wikipedia.org/wiki/Adiantum_pedatum</t>
  </si>
  <si>
    <t>https://en.wikipedia.org/wiki/Agastache</t>
  </si>
  <si>
    <t>https://en.wikipedia.org/wiki/Agoseris_apargioides</t>
  </si>
  <si>
    <t>https://en.wikipedia.org/wiki/Agoseris_glauca</t>
  </si>
  <si>
    <t>https://en.wikipedia.org/wiki/Agoseris_grandiflora</t>
  </si>
  <si>
    <t>https://en.wikipedia.org/wiki/Agoseris_heterophylla</t>
  </si>
  <si>
    <t>https://en.wikipedia.org/wiki/Agrostis_exarata</t>
  </si>
  <si>
    <t>https://en.wikipedia.org/wiki/Agrostis_oregonensis</t>
  </si>
  <si>
    <t>https://en.wikipedia.org/wiki/Agrostis_scabra</t>
  </si>
  <si>
    <t>https://en.wikipedia.org/wiki/Agrostis_pallens</t>
  </si>
  <si>
    <t>https://en.wikipedia.org/wiki/Allium_acuminatum</t>
  </si>
  <si>
    <t>https://en.wikipedia.org/wiki/Allium_amplectens</t>
  </si>
  <si>
    <t>https://en.wikipedia.org/wiki/Allium_cernuum</t>
  </si>
  <si>
    <t>https://en.wikipedia.org/wiki/Allium_crenulatum</t>
  </si>
  <si>
    <t>https://en.wikipedia.org/wiki/Chives</t>
  </si>
  <si>
    <t>https://en.wikipedia.org/wiki/Allotropa</t>
  </si>
  <si>
    <t>https://en.wikipedia.org/wiki/Alnus_incana</t>
  </si>
  <si>
    <t>https://en.wikipedia.org/wiki/Alnus_rhombifolia</t>
  </si>
  <si>
    <t>https://en.wikipedia.org/wiki/Alnus_rubra</t>
  </si>
  <si>
    <t>https://en.wikipedia.org/wiki/Alnus_viridis</t>
  </si>
  <si>
    <t>https://en.wikipedia.org/wiki/Ambrosia_chamissonis</t>
  </si>
  <si>
    <t>https://en.wikipedia.org/wiki/Amelanchier_alnifolia</t>
  </si>
  <si>
    <t>https://en.wikipedia.org/wiki/Amsinckia_lycopsoides</t>
  </si>
  <si>
    <t>https://en.wikipedia.org/wiki/Amsinckia_menziesii</t>
  </si>
  <si>
    <t>https://en.wikipedia.org/wiki/Amsinckia_spectabilis</t>
  </si>
  <si>
    <t>https://en.wikipedia.org/wiki/Anaphalis_margaritacea</t>
  </si>
  <si>
    <t>https://en.wikipedia.org/wiki/Andromeda_polifolia</t>
  </si>
  <si>
    <t>https://en.wikipedia.org/wiki/Anemone_deltoidea</t>
  </si>
  <si>
    <t>https://species.wikimedia.org/wiki/Anemone_lyallii</t>
  </si>
  <si>
    <t>https://en.wikipedia.org/wiki/Anemone_multifida</t>
  </si>
  <si>
    <t>https://en.wikipedia.org/wiki/Anemone_oregana</t>
  </si>
  <si>
    <t>https://en.wikipedia.org/wiki/Angelica_arguta</t>
  </si>
  <si>
    <t>https://en.wikipedia.org/wiki/Angelica_genuflexa</t>
  </si>
  <si>
    <t>https://en.wikipedia.org/wiki/Angelica_hendersonii</t>
  </si>
  <si>
    <t>https://en.wikipedia.org/wiki/Angelica_lucida</t>
  </si>
  <si>
    <t>https://en.wikipedia.org/wiki/Anisocarpus_madioides</t>
  </si>
  <si>
    <t>https://en.wikipedia.org/wiki/Antennaria_howellii</t>
  </si>
  <si>
    <t>https://en.wikipedia.org/wiki/Antennaria_racemosa</t>
  </si>
  <si>
    <t>https://en.wikipedia.org/wiki/Anticlea_occidentalis</t>
  </si>
  <si>
    <t>https://en.wikipedia.org/wiki/Aphyllon_californicum</t>
  </si>
  <si>
    <t>https://en.wikipedia.org/wiki/Aphyllon_fasciculata</t>
  </si>
  <si>
    <t>https://en.wikipedia.org/wiki/Aphyllon_pinorum</t>
  </si>
  <si>
    <t>https://en.wikipedia.org/wiki/Apocynum_androsaemifolium</t>
  </si>
  <si>
    <t>https://en.wikipedia.org/wiki/Apocynum_cannabinum</t>
  </si>
  <si>
    <t>https://en.wikipedia.org/wiki/Aquilegia_formosa</t>
  </si>
  <si>
    <t>https://en.wikipedia.org/wiki/Arabis_eschscholtziana</t>
  </si>
  <si>
    <t>https://en.wikipedia.org/wiki/Arbutus_menziesii</t>
  </si>
  <si>
    <t>https://en.wikipedia.org/wiki/Arceuthobium_campylopodum</t>
  </si>
  <si>
    <t>https://en.wikipedia.org/wiki/Arceuthobium_tsugense</t>
  </si>
  <si>
    <t>https://en.wikipedia.org/wiki/Arctostaphylos_columbiana</t>
  </si>
  <si>
    <t>https://en.wikipedia.org/wiki/Arctostaphylos_media</t>
  </si>
  <si>
    <t>https://en.wikipedia.org/wiki/Arctostaphylos_uva-ursi</t>
  </si>
  <si>
    <t>https://en.wikipedia.org/wiki/Armeria_maritima</t>
  </si>
  <si>
    <t>https://en.wikipedia.org/wiki/Arnica_cordifolia</t>
  </si>
  <si>
    <t>https://en.wikipedia.org/wiki/Arnica_lanceolata</t>
  </si>
  <si>
    <t>https://en.wikipedia.org/wiki/Arnica_longifolia</t>
  </si>
  <si>
    <t>https://en.wikipedia.org/wiki/Artemisia_campestris</t>
  </si>
  <si>
    <t>https://en.wikipedia.org/wiki/Artemisia_douglasiana</t>
  </si>
  <si>
    <t>https://en.wikipedia.org/wiki/Artemisia_ludoviciana</t>
  </si>
  <si>
    <t>https://en.wikipedia.org/wiki/Artemisia_michauxiana</t>
  </si>
  <si>
    <t>https://en.wikipedia.org/wiki/Artemisia_suksdorfii</t>
  </si>
  <si>
    <t>https://en.wikipedia.org/wiki/Aruncus_dioicus</t>
  </si>
  <si>
    <t>https://en.wikipedia.org/wiki/Asarum_caudatum</t>
  </si>
  <si>
    <t>https://en.wikipedia.org/wiki/Asclepias_cordifolia</t>
  </si>
  <si>
    <t>https://en.wikipedia.org/wiki/Asclepias_speciosa</t>
  </si>
  <si>
    <t>https://en.wikipedia.org/wiki/Aspidotis_densa</t>
  </si>
  <si>
    <t>https://en.wikipedia.org/wiki/Asplenium_trichomanes</t>
  </si>
  <si>
    <t>https://en.wikipedia.org/wiki/Athyrium_filix-femina</t>
  </si>
  <si>
    <t>https://en.wikipedia.org/wiki/Athysanus_pusillus</t>
  </si>
  <si>
    <t>https://en.wikipedia.org/wiki/Azolla_filiculoides</t>
  </si>
  <si>
    <t>https://en.wikipedia.org/wiki/Azolla_mexicana</t>
  </si>
  <si>
    <t>https://en.wikipedia.org/wiki/Baccharis_pilularis</t>
  </si>
  <si>
    <t>https://en.wikipedia.org/wiki/Balsamorhiza_deltoidea</t>
  </si>
  <si>
    <t>https://en.wikipedia.org/wiki/Barbarea_orthoceras</t>
  </si>
  <si>
    <t>https://en.wikipedia.org/wiki/Berberis_aquifolium</t>
  </si>
  <si>
    <t>https://en.wikipedia.org/wiki/Berberis_nervosa</t>
  </si>
  <si>
    <t>https://en.wikipedia.org/wiki/Berberis_repens</t>
  </si>
  <si>
    <t>https://en.wikipedia.org/wiki/Betula_glandulosa</t>
  </si>
  <si>
    <t>https://en.wikipedia.org/wiki/Betula_occidentalis</t>
  </si>
  <si>
    <t>https://en.wikipedia.org/wiki/Betula_papyrifera</t>
  </si>
  <si>
    <t>https://en.wikipedia.org/wiki/Betula_pumila</t>
  </si>
  <si>
    <t>https://en.wikipedia.org/wiki/Bidens_beckii</t>
  </si>
  <si>
    <t>https://en.wikipedia.org/wiki/Bidens_cernua</t>
  </si>
  <si>
    <t>https://en.wikipedia.org/wiki/Bidens_frondosa</t>
  </si>
  <si>
    <t>https://en.wikipedia.org/wiki/Bidens_vulgata</t>
  </si>
  <si>
    <t>https://en.wikipedia.org/wiki/Blechnum_spicant</t>
  </si>
  <si>
    <t>https://en.wikipedia.org/wiki/Bolandra_oregana</t>
  </si>
  <si>
    <t>https://en.wikipedia.org/wiki/Bolboschoenus_maritimus</t>
  </si>
  <si>
    <t>https://en.wikipedia.org/wiki/Botrychium_minganense</t>
  </si>
  <si>
    <t>https://en.wikipedia.org/wiki/Botrychium_multifidum</t>
  </si>
  <si>
    <t>https://en.wikipedia.org/wiki/Botrychium_virginianum</t>
  </si>
  <si>
    <t>https://en.wikipedia.org/wiki/Boykinia_intermedia</t>
  </si>
  <si>
    <t>https://en.wikipedia.org/wiki/Boykinia_occidentalis</t>
  </si>
  <si>
    <t>https://en.wikipedia.org/wiki/Brasenia_schreberi</t>
  </si>
  <si>
    <t>https://en.wikipedia.org/wiki/Brodiaea_coronaria</t>
  </si>
  <si>
    <t>https://en.wikipedia.org/wiki/Bromus_carinatus</t>
  </si>
  <si>
    <t>https://en.wikipedia.org/wiki/Bromus_sitchensis</t>
  </si>
  <si>
    <t>https://en.wikipedia.org/wiki/Cakile_edentula</t>
  </si>
  <si>
    <t>https://en.wikipedia.org/wiki/Calamagrostis_canadensis</t>
  </si>
  <si>
    <t>https://en.wikipedia.org/wiki/Calamagrostis_nutkaensis</t>
  </si>
  <si>
    <t>https://en.wikipedia.org/wiki/Calamagrostis_stricta</t>
  </si>
  <si>
    <t>https://en.wikipedia.org/wiki/Calandrinia_ciliata</t>
  </si>
  <si>
    <t>https://en.wikipedia.org/wiki/Callitriche_heterophylla</t>
  </si>
  <si>
    <t>https://en.wikipedia.org/wiki/Callitriche_palustris</t>
  </si>
  <si>
    <t>https://en.wikipedia.org/wiki/Callitropsis_nootkatensis</t>
  </si>
  <si>
    <t>https://en.wikipedia.org/wiki/Caltha_leptosepala</t>
  </si>
  <si>
    <t>https://en.wikipedia.org/wiki/Caltha_palustris</t>
  </si>
  <si>
    <t>https://en.wikipedia.org/wiki/Calypso_bulbosa</t>
  </si>
  <si>
    <t>https://en.wikipedia.org/wiki/Calystegia_soldanella</t>
  </si>
  <si>
    <t>https://en.wikipedia.org/wiki/Camassia_leichtlinii</t>
  </si>
  <si>
    <t>https://en.wikipedia.org/wiki/Camassia_quamash</t>
  </si>
  <si>
    <t>https://en.wikipedia.org/wiki/Camissonia_contorta</t>
  </si>
  <si>
    <t>https://en.wikipedia.org/wiki/Campanula_rotundifolia</t>
  </si>
  <si>
    <t>https://en.wikipedia.org/wiki/Campanula_scouleri</t>
  </si>
  <si>
    <t>https://en.wikipedia.org/wiki/Canadanthus_modestus</t>
  </si>
  <si>
    <t>https://en.wikipedia.org/wiki/Cardamine_angulata</t>
  </si>
  <si>
    <t>https://en.wikipedia.org/wiki/Cardamine_breweri</t>
  </si>
  <si>
    <t>https://en.wikipedia.org/wiki/Cardamine_nuttallii</t>
  </si>
  <si>
    <t>https://en.wikipedia.org/wiki/Cardamine_oligosperma</t>
  </si>
  <si>
    <t>https://en.wikipedia.org/wiki/Cardamine_pensylvanica</t>
  </si>
  <si>
    <t>https://en.wikipedia.org/wiki/Cardionema_ramosissima</t>
  </si>
  <si>
    <t>https://en.wikipedia.org/wiki/Carex_amplifolia</t>
  </si>
  <si>
    <t>https://en.wikipedia.org/wiki/Carex_anthoxanthea</t>
  </si>
  <si>
    <t>https://en.wikipedia.org/wiki/Carex_aquatilis</t>
  </si>
  <si>
    <t>https://en.wikipedia.org/wiki/Carex_athrostachya</t>
  </si>
  <si>
    <t>https://en.wikipedia.org/wiki/Carex_canescens</t>
  </si>
  <si>
    <t>https://en.wikipedia.org/wiki/Carex_circinata</t>
  </si>
  <si>
    <t>https://en.wikipedia.org/wiki/Carex_comosa</t>
  </si>
  <si>
    <t>https://en.wikipedia.org/wiki/Carex_cusickii</t>
  </si>
  <si>
    <t>https://en.wikipedia.org/wiki/Carex_densa</t>
  </si>
  <si>
    <t>https://en.wikipedia.org/wiki/Carex_deweyana</t>
  </si>
  <si>
    <t>https://en.wikipedia.org/wiki/Carex_echinata</t>
  </si>
  <si>
    <t>https://en.wikipedia.org/wiki/Carex_feta</t>
  </si>
  <si>
    <t>https://en.wikipedia.org/wiki/Carex_hendersonii</t>
  </si>
  <si>
    <t>https://en.wikipedia.org/wiki/Carex_inops</t>
  </si>
  <si>
    <t>https://en.wikipedia.org/wiki/Carex_interrupta</t>
  </si>
  <si>
    <t>https://en.wikipedia.org/wiki/Carex_lasiocarpa</t>
  </si>
  <si>
    <t>https://en.wikipedia.org/wiki/Carex_leptopoda</t>
  </si>
  <si>
    <t>https://en.wikipedia.org/wiki/Carex_limosa</t>
  </si>
  <si>
    <t>https://en.wikipedia.org/wiki/Carex_lyngbyei</t>
  </si>
  <si>
    <t>https://en.wikipedia.org/wiki/Carex_macrocephala</t>
  </si>
  <si>
    <t>https://en.wikipedia.org/wiki/Carex_mertensii</t>
  </si>
  <si>
    <t>https://en.wikipedia.org/wiki/Carex_nudata</t>
  </si>
  <si>
    <t>https://en.wikipedia.org/wiki/Carex_obnupta</t>
  </si>
  <si>
    <t>https://en.wikipedia.org/wiki/Carex_pachystachya</t>
  </si>
  <si>
    <t>https://en.wikipedia.org/wiki/Carex_pansa</t>
  </si>
  <si>
    <t>https://en.wikipedia.org/wiki/Carex_pauciflora</t>
  </si>
  <si>
    <t>https://en.wikipedia.org/wiki/Carex_pellita</t>
  </si>
  <si>
    <t>https://en.wikipedia.org/wiki/Carex_pluriflora</t>
  </si>
  <si>
    <t>https://en.wikipedia.org/wiki/Carex_praticola</t>
  </si>
  <si>
    <t>https://en.wikipedia.org/wiki/Carex_rossii</t>
  </si>
  <si>
    <t>https://en.wikipedia.org/wiki/Carex_rostrata</t>
  </si>
  <si>
    <t>https://en.wikipedia.org/wiki/Carex_stipata</t>
  </si>
  <si>
    <t>https://en.wikipedia.org/wiki/Carex_stylosa</t>
  </si>
  <si>
    <t>https://en.wikipedia.org/wiki/Carex_tumulicola</t>
  </si>
  <si>
    <t>https://en.wikipedia.org/wiki/Carex_unilateralis</t>
  </si>
  <si>
    <t>https://en.wikipedia.org/wiki/Carex_utriculata</t>
  </si>
  <si>
    <t>https://en.wikipedia.org/wiki/Carex_vesicaria</t>
  </si>
  <si>
    <t>https://en.wikipedia.org/wiki/Carex_viridula</t>
  </si>
  <si>
    <t>https://en.wikipedia.org/wiki/Carex_vulpinoidea</t>
  </si>
  <si>
    <t>https://en.wikipedia.org/wiki/Castilleja_ambigua</t>
  </si>
  <si>
    <t>https://en.wikipedia.org/wiki/Castilleja_attenuata</t>
  </si>
  <si>
    <t>https://en.wikipedia.org/wiki/Castilleja_chambersii</t>
  </si>
  <si>
    <t>https://en.wikipedia.org/wiki/Castilleja_hispida</t>
  </si>
  <si>
    <t>https://en.wikipedia.org/wiki/Castilleja_levisecta</t>
  </si>
  <si>
    <t>https://en.wikipedia.org/wiki/Castilleja_miniata</t>
  </si>
  <si>
    <t>https://en.wikipedia.org/wiki/Castilleja_victoriae</t>
  </si>
  <si>
    <t>https://en.wikipedia.org/wiki/Ceanothus_integerrimus</t>
  </si>
  <si>
    <t>https://en.wikipedia.org/wiki/Ceanothus_prostratus</t>
  </si>
  <si>
    <t>https://en.wikipedia.org/wiki/Ceanothus_sanguineus</t>
  </si>
  <si>
    <t>https://en.wikipedia.org/wiki/Ceanothus_velutinus</t>
  </si>
  <si>
    <t>https://en.wikipedia.org/wiki/Celtis_reticulata</t>
  </si>
  <si>
    <t>https://en.wikipedia.org/wiki/Cephalanthera_austiniae</t>
  </si>
  <si>
    <t>https://en.wikipedia.org/wiki/Cerastium_arvense</t>
  </si>
  <si>
    <t>https://en.wikipedia.org/wiki/Ceratophyllum_demersum</t>
  </si>
  <si>
    <t>https://en.wikipedia.org/wiki/Chamaecyparis_lawsoniana</t>
  </si>
  <si>
    <t>https://en.wikipedia.org/wiki/Chamaenerion_augustifolium</t>
  </si>
  <si>
    <t>https://en.wikipedia.org/wiki/Chenopodium_berlandieri</t>
  </si>
  <si>
    <t>https://en.wikipedia.org/wiki/Chimaphila_menziesii</t>
  </si>
  <si>
    <t>https://en.wikipedia.org/wiki/Chimaphila_umbellata</t>
  </si>
  <si>
    <t>https://en.wikipedia.org/wiki/Chrysolepis_chrysophylla</t>
  </si>
  <si>
    <t>https://en.wikipedia.org/wiki/Chrysosplenium_glechomifolium</t>
  </si>
  <si>
    <t>https://en.wikipedia.org/wiki/Cicuta_bulbifera</t>
  </si>
  <si>
    <t>https://en.wikipedia.org/wiki/Cicuta_douglasii</t>
  </si>
  <si>
    <t>https://en.wikipedia.org/wiki/Cinna_latifolia</t>
  </si>
  <si>
    <t>https://en.wikipedia.org/wiki/Circaea_alpina</t>
  </si>
  <si>
    <t>https://en.wikipedia.org/wiki/Cirsium_brevistylum</t>
  </si>
  <si>
    <t>https://en.wikipedia.org/wiki/Cirsium_edule</t>
  </si>
  <si>
    <t>https://en.wikipedia.org/wiki/Cirsium_remotifolium</t>
  </si>
  <si>
    <t>https://en.wikipedia.org/wiki/Clarkia_amoena</t>
  </si>
  <si>
    <t>https://en.wikipedia.org/wiki/Clarkia_gracilis</t>
  </si>
  <si>
    <t>https://en.wikipedia.org/wiki/Clarkia_purpurea</t>
  </si>
  <si>
    <t>https://en.wikipedia.org/wiki/Claytonia_lanceolata</t>
  </si>
  <si>
    <t>https://en.wikipedia.org/wiki/Claytonia_parviflora</t>
  </si>
  <si>
    <t>https://en.wikipedia.org/wiki/Claytonia_perfoliata</t>
  </si>
  <si>
    <t>https://en.wikipedia.org/wiki/Claytonia_rubra</t>
  </si>
  <si>
    <t>https://en.wikipedia.org/wiki/Claytonia_sibirica</t>
  </si>
  <si>
    <t>https://en.wikipedia.org/wiki/Clematis_ligusticifolia</t>
  </si>
  <si>
    <t>https://en.wikipedia.org/wiki/Clinopodium_douglasii</t>
  </si>
  <si>
    <t>https://en.wikipedia.org/wiki/Clintonia_uniflora</t>
  </si>
  <si>
    <t>https://en.wikipedia.org/wiki/Cochlearia_groenlandica</t>
  </si>
  <si>
    <t>https://en.wikipedia.org/wiki/Collinsia_grandiflora</t>
  </si>
  <si>
    <t>https://en.wikipedia.org/wiki/Collinsia_parviflora</t>
  </si>
  <si>
    <t>https://en.wikipedia.org/wiki/Collinsia_sparsiflora</t>
  </si>
  <si>
    <t>https://en.wikipedia.org/wiki/Collomia_grandiflora</t>
  </si>
  <si>
    <t>https://en.wikipedia.org/wiki/Collomia_heterophylla</t>
  </si>
  <si>
    <t>https://en.wikipedia.org/wiki/Collomia_linearis</t>
  </si>
  <si>
    <t>https://en.wikipedia.org/wiki/Conyza_canadensis</t>
  </si>
  <si>
    <t>https://en.wikipedia.org/wiki/Coptis_aspleniifolia</t>
  </si>
  <si>
    <t>https://en.wikipedia.org/wiki/Coptis_laciniata</t>
  </si>
  <si>
    <t>https://en.wikipedia.org/wiki/Corallorhiza_maculata</t>
  </si>
  <si>
    <t>https://en.wikipedia.org/wiki/Corallorhiza_striata</t>
  </si>
  <si>
    <t>https://en.wikipedia.org/wiki/Corallorhiza_trifida</t>
  </si>
  <si>
    <t>https://en.wikipedia.org/wiki/Cornus_nuttallii</t>
  </si>
  <si>
    <t>https://en.wikipedia.org/wiki/Cornus_sericea</t>
  </si>
  <si>
    <t>https://en.wikipedia.org/wiki/Cornus_unalaschkensis</t>
  </si>
  <si>
    <t>https://en.wikipedia.org/wiki/Corydalis_aquae-gelidae</t>
  </si>
  <si>
    <t>https://en.wikipedia.org/wiki/Corydalis_scouleri</t>
  </si>
  <si>
    <t>https://en.wikipedia.org/wiki/Corylus_cornuta</t>
  </si>
  <si>
    <t>https://en.wikipedia.org/wiki/Crassula_aquatica</t>
  </si>
  <si>
    <t>https://en.wikipedia.org/wiki/Crassula_connata</t>
  </si>
  <si>
    <t>https://en.wikipedia.org/wiki/Crataegus_douglasii</t>
  </si>
  <si>
    <t>https://en.wikipedia.org/wiki/Crocidium_multicaule</t>
  </si>
  <si>
    <t>https://en.wikipedia.org/wiki/Cryptantha_intermedia</t>
  </si>
  <si>
    <t>https://en.wikipedia.org/wiki/Cryptogramma_acrostichoides</t>
  </si>
  <si>
    <t>https://en.wikipedia.org/wiki/Cuscuta_cephalanthi</t>
  </si>
  <si>
    <t>https://en.wikipedia.org/wiki/Cyperus_bipartitus</t>
  </si>
  <si>
    <t>https://en.wikipedia.org/wiki/Cyperus_erythrorhizos</t>
  </si>
  <si>
    <t>https://en.wikipedia.org/wiki/Cyperus_squarrosus</t>
  </si>
  <si>
    <t>https://en.wikipedia.org/wiki/Cypripedium_montanum</t>
  </si>
  <si>
    <t>https://en.wikipedia.org/wiki/Cystopteris_fragilis</t>
  </si>
  <si>
    <t>https://en.wikipedia.org/wiki/Danthonia_californica</t>
  </si>
  <si>
    <t>https://en.wikipedia.org/wiki/Danthonia_intermedia</t>
  </si>
  <si>
    <t>https://en.wikipedia.org/wiki/Danthonia_spicata</t>
  </si>
  <si>
    <t>https://en.wikipedia.org/wiki/Darlingtonia_californica</t>
  </si>
  <si>
    <t>https://en.wikipedia.org/wiki/Darmera_peltata</t>
  </si>
  <si>
    <t>https://en.wikipedia.org/wiki/Dasiphora_fruticosa</t>
  </si>
  <si>
    <t>https://en.wikipedia.org/wiki/Datura_wrightii</t>
  </si>
  <si>
    <t>https://en.wikipedia.org/wiki/Daucus_pusillus</t>
  </si>
  <si>
    <t>https://en.wikipedia.org/wiki/Delphinium_glaucum</t>
  </si>
  <si>
    <t>https://en.wikipedia.org/wiki/Delphinium_menziesii</t>
  </si>
  <si>
    <t>https://en.wikipedia.org/wiki/Delphinium_nuttallii</t>
  </si>
  <si>
    <t>https://en.wikipedia.org/wiki/Delphinium_trolliifolium</t>
  </si>
  <si>
    <t>https://en.wikipedia.org/wiki/Dendrolycopodium_dendroideum</t>
  </si>
  <si>
    <t>https://en.wikipedia.org/wiki/Deschampsia_cespitosa</t>
  </si>
  <si>
    <t>https://en.wikipedia.org/wiki/Deschampsia_elongata</t>
  </si>
  <si>
    <t>https://en.wikipedia.org/wiki/Dicentra_formosa</t>
  </si>
  <si>
    <t>https://en.wikipedia.org/wiki/Dichanthelium_acuminatum</t>
  </si>
  <si>
    <t>https://en.wikipedia.org/wiki/Dichelostemma_congestum</t>
  </si>
  <si>
    <t>https://en.wikipedia.org/wiki/Distichlis_spicata</t>
  </si>
  <si>
    <t>https://en.wikipedia.org/wiki/Dodecatheon_austrofrigidum</t>
  </si>
  <si>
    <t>https://en.wikipedia.org/wiki/Dodecatheon_hendersonii</t>
  </si>
  <si>
    <t>https://en.wikipedia.org/wiki/Dodecatheon_jeffreyi</t>
  </si>
  <si>
    <t>https://en.wikipedia.org/wiki/Dodecatheon_pulchellum</t>
  </si>
  <si>
    <t>https://en.wikipedia.org/wiki/Draba_cana</t>
  </si>
  <si>
    <t>https://en.wikipedia.org/wiki/Drosera_rotundifolia</t>
  </si>
  <si>
    <t>https://en.wikipedia.org/wiki/Drymocallis_glandulosa</t>
  </si>
  <si>
    <t>https://en.wikipedia.org/wiki/Dryopteris_arguta</t>
  </si>
  <si>
    <t>https://en.wikipedia.org/wiki/Dryopteris_carthusiana</t>
  </si>
  <si>
    <t>https://en.wikipedia.org/wiki/Dryopteris_expansa</t>
  </si>
  <si>
    <t>https://en.wikipedia.org/wiki/Dryopteris_filix-mas</t>
  </si>
  <si>
    <t>https://en.wikipedia.org/wiki/Dulichium_arundinaceum</t>
  </si>
  <si>
    <t>https://en.wikipedia.org/wiki/Echinacea_purpurea</t>
  </si>
  <si>
    <t>https://en.wikipedia.org/wiki/Eleocharis_acicularis</t>
  </si>
  <si>
    <t>https://en.wikipedia.org/wiki/Eleocharis_engelmannii</t>
  </si>
  <si>
    <t>https://en.wikipedia.org/wiki/Eleocharis_ovata</t>
  </si>
  <si>
    <t>https://en.wikipedia.org/wiki/Eleocharis_palustris</t>
  </si>
  <si>
    <t>https://en.wikipedia.org/wiki/Eleocharis_parvula</t>
  </si>
  <si>
    <t>https://en.wikipedia.org/wiki/Elodea_canadensis</t>
  </si>
  <si>
    <t>https://en.wikipedia.org/wiki/Elodea_nuttalli</t>
  </si>
  <si>
    <t>https://en.wikipedia.org/wiki/Elymus_elymoides</t>
  </si>
  <si>
    <t>https://en.wikipedia.org/wiki/Elymus_glaucus</t>
  </si>
  <si>
    <t>https://en.wikipedia.org/wiki/Empetrum_nigrum</t>
  </si>
  <si>
    <t>https://en.wikipedia.org/wiki/Epilobium_brachycarpum</t>
  </si>
  <si>
    <t>https://en.wikipedia.org/wiki/Epilobium_ciliatum</t>
  </si>
  <si>
    <t>https://en.wikipedia.org/wiki/Epilobium_densiflorum</t>
  </si>
  <si>
    <t>https://en.wikipedia.org/wiki/Epilobium_glaberrimum</t>
  </si>
  <si>
    <t>https://en.wikipedia.org/wiki/Epilobium_minutum</t>
  </si>
  <si>
    <t>https://en.wikipedia.org/wiki/Epilobium_torreyi</t>
  </si>
  <si>
    <t>https://en.wikipedia.org/wiki/Epipactis_gigantea</t>
  </si>
  <si>
    <t>https://en.wikipedia.org/wiki/Equisetum_arvense</t>
  </si>
  <si>
    <t>https://en.wikipedia.org/wiki/Equisetum_fluviatile</t>
  </si>
  <si>
    <t>https://en.wikipedia.org/wiki/Equisetum_hyemale</t>
  </si>
  <si>
    <t>https://en.wikipedia.org/wiki/Equisetum_palustre</t>
  </si>
  <si>
    <t>https://en.wikipedia.org/wiki/Equisetum_telmateia</t>
  </si>
  <si>
    <t>https://en.wikipedia.org/wiki/Equisetum_variegatum</t>
  </si>
  <si>
    <t>https://en.wikipedia.org/wiki/Erigeron_compositus</t>
  </si>
  <si>
    <t>https://en.wikipedia.org/wiki/Erigeron_philadelphicus</t>
  </si>
  <si>
    <t>https://en.wikipedia.org/wiki/Erigeron_speciosus</t>
  </si>
  <si>
    <t>https://en.wikipedia.org/wiki/Erigeron_strigosus</t>
  </si>
  <si>
    <t>https://en.wikipedia.org/wiki/Eriogonum_umbellatum</t>
  </si>
  <si>
    <t>https://en.wikipedia.org/wiki/Eriophorum_chamissonis</t>
  </si>
  <si>
    <t>https://en.wikipedia.org/wiki/Eriophorum_gracile</t>
  </si>
  <si>
    <t>https://en.wikipedia.org/wiki/Eriophyllum_lanatum</t>
  </si>
  <si>
    <t>https://en.wikipedia.org/wiki/Eryngium_petiolatum</t>
  </si>
  <si>
    <t>https://en.wikipedia.org/wiki/Erysimum_capitatum</t>
  </si>
  <si>
    <t>https://en.wikipedia.org/wiki/Erythranthe_alsinoides</t>
  </si>
  <si>
    <t>https://en.wikipedia.org/wiki/Erythranthe_cardinalis</t>
  </si>
  <si>
    <t>https://en.wikipedia.org/wiki/Erythranthe_dentata</t>
  </si>
  <si>
    <t>https://en.wikipedia.org/wiki/Erythranthe_guttata</t>
  </si>
  <si>
    <t>https://en.wikipedia.org/wiki/Erythranthe_lewisii</t>
  </si>
  <si>
    <t>https://en.wikipedia.org/wiki/Erythranthe_moschata</t>
  </si>
  <si>
    <t>https://en.wikipedia.org/wiki/Erythronium_grandiflorum</t>
  </si>
  <si>
    <t>https://en.wikipedia.org/wiki/Erythronium_oregonum</t>
  </si>
  <si>
    <t>https://en.wikipedia.org/wiki/Erythronium_quinaultense</t>
  </si>
  <si>
    <t>https://en.wikipedia.org/wiki/Erythronium_revolutum</t>
  </si>
  <si>
    <t>https://en.wikipedia.org/wiki/Eucephalus_engelmannii</t>
  </si>
  <si>
    <t>https://en.wikipedia.org/wiki/Euonymus_occidentalis</t>
  </si>
  <si>
    <t>https://en.wikipedia.org/wiki/Euthamia_occidentalis</t>
  </si>
  <si>
    <t>https://en.wikipedia.org/wiki/Eutrochium_maculatum</t>
  </si>
  <si>
    <t>https://en.wikipedia.org/wiki/Festuca_idahoensis</t>
  </si>
  <si>
    <t>https://en.wikipedia.org/wiki/Festuca_occidentalis</t>
  </si>
  <si>
    <t>https://en.wikipedia.org/wiki/Festuca_roemeri</t>
  </si>
  <si>
    <t>https://en.wikipedia.org/wiki/Festuca_rubra</t>
  </si>
  <si>
    <t>https://en.wikipedia.org/wiki/Filipendula_occidentalis</t>
  </si>
  <si>
    <t>https://en.wikipedia.org/wiki/Fragaria_chiloensis</t>
  </si>
  <si>
    <t>https://en.wikipedia.org/wiki/Fragaria_vesca</t>
  </si>
  <si>
    <t>https://en.wikipedia.org/wiki/Fragaria_virginiana</t>
  </si>
  <si>
    <t>https://en.wikipedia.org/wiki/Fraxinus_latifolia</t>
  </si>
  <si>
    <t>https://en.wikipedia.org/wiki/Fritillaria_affinis</t>
  </si>
  <si>
    <t>https://en.wikipedia.org/wiki/Fritillaria_camschatcensis</t>
  </si>
  <si>
    <t>https://en.wikipedia.org/wiki/Fritillaria_pudica</t>
  </si>
  <si>
    <t>https://en.wikipedia.org/wiki/Gaillardia_aristata</t>
  </si>
  <si>
    <t>https://en.wikipedia.org/wiki/Galium_aparine</t>
  </si>
  <si>
    <t>https://en.wikipedia.org/wiki/Galium_boreale</t>
  </si>
  <si>
    <t>https://en.wikipedia.org/wiki/Galium_oreganum</t>
  </si>
  <si>
    <t>https://en.wikipedia.org/wiki/Galium_palustre</t>
  </si>
  <si>
    <t>https://en.wikipedia.org/wiki/Galium_trifidum</t>
  </si>
  <si>
    <t>https://en.wikipedia.org/wiki/Galium_triflorum</t>
  </si>
  <si>
    <t>https://en.wikipedia.org/wiki/Gamochaeta_ustulata</t>
  </si>
  <si>
    <t>https://en.wikipedia.org/wiki/Gaultheria_shallon</t>
  </si>
  <si>
    <t>https://en.wikipedia.org/wiki/Gayophytum_diffusum</t>
  </si>
  <si>
    <t>https://en.wikipedia.org/wiki/Gentiana_sceptrum</t>
  </si>
  <si>
    <t>https://en.wikipedia.org/wiki/Gentianella_amarella</t>
  </si>
  <si>
    <t>https://en.wikipedia.org/wiki/Geranium_bicknellii</t>
  </si>
  <si>
    <t>https://en.wikipedia.org/wiki/Geranium_carolinianum</t>
  </si>
  <si>
    <t>https://en.wikipedia.org/wiki/Geranium_oreganum</t>
  </si>
  <si>
    <t>https://en.wikipedia.org/wiki/Geum_macrophyllum</t>
  </si>
  <si>
    <t>https://en.wikipedia.org/wiki/Geum_triflorum</t>
  </si>
  <si>
    <t>https://en.wikipedia.org/wiki/Gilia_capitata</t>
  </si>
  <si>
    <t>https://en.wikipedia.org/wiki/Githopsis_specularioides</t>
  </si>
  <si>
    <t>https://en.wikipedia.org/wiki/Glehnia_leiocarpa</t>
  </si>
  <si>
    <t>https://en.wikipedia.org/wiki/Glyceria_elata</t>
  </si>
  <si>
    <t>https://en.wikipedia.org/wiki/Glyceria_grandis</t>
  </si>
  <si>
    <t>https://en.wikipedia.org/wiki/Glyceria_striata</t>
  </si>
  <si>
    <t>https://en.wikipedia.org/wiki/Goodyera_oblongifolia</t>
  </si>
  <si>
    <t>https://en.wikipedia.org/wiki/Gratiola_ebracteata</t>
  </si>
  <si>
    <t>https://en.wikipedia.org/wiki/Gratiola_neglecta</t>
  </si>
  <si>
    <t>https://en.wikipedia.org/wiki/Grindelia_hirsutula</t>
  </si>
  <si>
    <t>https://en.wikipedia.org/wiki/Grindelia_integrifolia</t>
  </si>
  <si>
    <t>https://en.wikipedia.org/wiki/Gymnocarpium_dryopteris</t>
  </si>
  <si>
    <t>https://en.wikipedia.org/wiki/Halerpestes_cymbalaria</t>
  </si>
  <si>
    <t>https://en.wikipedia.org/wiki/Helenium_autumnale</t>
  </si>
  <si>
    <t>https://en.wikipedia.org/wiki/Helianthus_annuus</t>
  </si>
  <si>
    <t>https://en.wikipedia.org/wiki/Hemitomes_congestum</t>
  </si>
  <si>
    <t>https://en.wikipedia.org/wiki/Hemizonella_minima</t>
  </si>
  <si>
    <t>https://en.wikipedia.org/wiki/Heracleum_maximum</t>
  </si>
  <si>
    <t>https://en.wikipedia.org/wiki/Heterotheca_oregona</t>
  </si>
  <si>
    <t>https://en.wikipedia.org/wiki/Heterotheca_villosa</t>
  </si>
  <si>
    <t>https://en.wikipedia.org/wiki/Heuchera_chlorantha</t>
  </si>
  <si>
    <t>https://en.wikipedia.org/wiki/Heuchera_cylindrica</t>
  </si>
  <si>
    <t>https://en.wikipedia.org/wiki/Heuchera_glabra</t>
  </si>
  <si>
    <t>https://en.wikipedia.org/wiki/Heuchera_micrantha</t>
  </si>
  <si>
    <t>https://en.wikipedia.org/wiki/Hieracium_albiflorum</t>
  </si>
  <si>
    <t>https://en.wikipedia.org/wiki/Hieracium_scouleri</t>
  </si>
  <si>
    <t>https://en.wikipedia.org/wiki/Hierochloe_odorata</t>
  </si>
  <si>
    <t>https://en.wikipedia.org/wiki/Hippuris_vulgaris</t>
  </si>
  <si>
    <t>https://en.wikipedia.org/wiki/Holodiscus_discolor</t>
  </si>
  <si>
    <t>https://en.wikipedia.org/wiki/Honckenya_peploides</t>
  </si>
  <si>
    <t>https://en.wikipedia.org/wiki/Hordeum_brachyantherum</t>
  </si>
  <si>
    <t>https://en.wikipedia.org/wiki/Hordeum_depressum</t>
  </si>
  <si>
    <t>https://en.wikipedia.org/wiki/Hordeum_jubatum</t>
  </si>
  <si>
    <t>https://en.wikipedia.org/wiki/Hosackia_crassifolia</t>
  </si>
  <si>
    <t>https://en.wikipedia.org/wiki/Hosackia_pinnata</t>
  </si>
  <si>
    <t>https://en.wikipedia.org/wiki/Hosackia_rosea</t>
  </si>
  <si>
    <t>https://en.wikipedia.org/wiki/Howellia_aquatilis</t>
  </si>
  <si>
    <t>https://en.wikipedia.org/wiki/Huperzia_miyoshiana</t>
  </si>
  <si>
    <t>https://en.wikipedia.org/wiki/Huperzia_occidentalis</t>
  </si>
  <si>
    <t>https://en.wikipedia.org/wiki/Hydrocotyle_ranunculoides</t>
  </si>
  <si>
    <t>https://en.wikipedia.org/wiki/Hydrophyllum_tenuipes</t>
  </si>
  <si>
    <t>https://en.wikipedia.org/wiki/Hypericum_anagalloides</t>
  </si>
  <si>
    <t>https://en.wikipedia.org/wiki/Hypericum_majus</t>
  </si>
  <si>
    <t>https://en.wikipedia.org/wiki/Hypericum_scouleri</t>
  </si>
  <si>
    <t>https://en.wikipedia.org/wiki/Impatiens_ecornuta</t>
  </si>
  <si>
    <t>https://en.wikipedia.org/wiki/Impatiens_noli-tangere</t>
  </si>
  <si>
    <t>https://en.wikipedia.org/wiki/Iris_missouriensis</t>
  </si>
  <si>
    <t>https://en.wikipedia.org/wiki/Iris_tenax</t>
  </si>
  <si>
    <t>https://en.wikipedia.org/wiki/Isoetes_nuttallii</t>
  </si>
  <si>
    <t>https://en.wikipedia.org/wiki/Isoetes_occidentalis</t>
  </si>
  <si>
    <t>https://en.wikipedia.org/wiki/Isoetes_tenella</t>
  </si>
  <si>
    <t>https://en.wikipedia.org/wiki/Isolepis_cernua</t>
  </si>
  <si>
    <t>https://en.wikipedia.org/wiki/Jaumea_carnosa</t>
  </si>
  <si>
    <t>https://en.wikipedia.org/wiki/Juncus_acuminatus</t>
  </si>
  <si>
    <t>https://en.wikipedia.org/wiki/Juncus_alpinoarticulatus</t>
  </si>
  <si>
    <t>https://en.wikipedia.org/wiki/Juncus_bolanderi</t>
  </si>
  <si>
    <t>https://en.wikipedia.org/wiki/Juncus_brevicaudatus</t>
  </si>
  <si>
    <t>https://en.wikipedia.org/wiki/Juncus_effusus</t>
  </si>
  <si>
    <t>https://en.wikipedia.org/wiki/Juncus_ensifolius</t>
  </si>
  <si>
    <t>https://en.wikipedia.org/wiki/Juncus_mertensianus</t>
  </si>
  <si>
    <t>https://en.wikipedia.org/wiki/Juncus_oxymeris</t>
  </si>
  <si>
    <t>https://en.wikipedia.org/wiki/Juncus_patens</t>
  </si>
  <si>
    <t>https://en.wikipedia.org/wiki/Juncus_supiniformis</t>
  </si>
  <si>
    <t>https://en.wikipedia.org/wiki/Juncus_tenuis</t>
  </si>
  <si>
    <t>https://en.wikipedia.org/wiki/Juniperus_communis</t>
  </si>
  <si>
    <t>https://en.wikipedia.org/wiki/Juniperus_occidentalis</t>
  </si>
  <si>
    <t>https://en.wikipedia.org/wiki/Juniperus_scopulorum</t>
  </si>
  <si>
    <t>https://en.wikipedia.org/wiki/Koeleria_macrantha</t>
  </si>
  <si>
    <t>https://en.wikipedia.org/wiki/Kopsiopsis_hookeri</t>
  </si>
  <si>
    <t>https://en.wikipedia.org/wiki/Lactuca_biennis</t>
  </si>
  <si>
    <t>https://en.wikipedia.org/wiki/Larix_occidentalis</t>
  </si>
  <si>
    <t>https://en.wikipedia.org/wiki/Lasthenia_glaberrima</t>
  </si>
  <si>
    <t>https://en.wikipedia.org/wiki/Lasthenia_maritima</t>
  </si>
  <si>
    <t>https://en.wikipedia.org/wiki/Lathyrus_holochlorus</t>
  </si>
  <si>
    <t>https://en.wikipedia.org/wiki/Lathyrus_japonicus</t>
  </si>
  <si>
    <t>https://en.wikipedia.org/wiki/Lathyrus_littoralis</t>
  </si>
  <si>
    <t>https://en.wikipedia.org/wiki/Lathyrus_nevadensis</t>
  </si>
  <si>
    <t>https://en.wikipedia.org/wiki/Lathyrus_palustris</t>
  </si>
  <si>
    <t>https://en.wikipedia.org/wiki/Lathyrus_polyphyllus</t>
  </si>
  <si>
    <t>https://en.wikipedia.org/wiki/Lathyrus_torreyi</t>
  </si>
  <si>
    <t>https://en.wikipedia.org/wiki/Lathyrus_vestitus</t>
  </si>
  <si>
    <t>https://en.wikipedia.org/wiki/Leersia_oryzoides</t>
  </si>
  <si>
    <t>https://en.wikipedia.org/wiki/Lemna_minor</t>
  </si>
  <si>
    <t>https://en.wikipedia.org/wiki/Lemna_trisulca</t>
  </si>
  <si>
    <t>https://en.wikipedia.org/wiki/Lemna_turionifera</t>
  </si>
  <si>
    <t>https://en.wikipedia.org/wiki/Lepidium_virginicum</t>
  </si>
  <si>
    <t>https://en.wikipedia.org/wiki/Leptarrhena_pyrolifolia</t>
  </si>
  <si>
    <t>https://en.wikipedia.org/wiki/Leptosiphon_bicolor</t>
  </si>
  <si>
    <t>https://en.wikipedia.org/wiki/Lewisia_columbiana</t>
  </si>
  <si>
    <t>https://en.wikipedia.org/wiki/Lewisia_rediviva</t>
  </si>
  <si>
    <t>https://en.wikipedia.org/wiki/Leymus_mollis</t>
  </si>
  <si>
    <t>https://en.wikipedia.org/wiki/Ligusticum_apiifolium</t>
  </si>
  <si>
    <t>https://en.wikipedia.org/wiki/Lilaeopsis_occidentalis</t>
  </si>
  <si>
    <t>https://en.wikipedia.org/wiki/Lilium_columbianum</t>
  </si>
  <si>
    <t>https://en.wikipedia.org/wiki/Limosella_aquatica</t>
  </si>
  <si>
    <t>https://en.wikipedia.org/wiki/Lindernia_dubia</t>
  </si>
  <si>
    <t>https://en.wikipedia.org/wiki/Linnaea_borealis</t>
  </si>
  <si>
    <t>https://en.wikipedia.org/wiki/Linum_lewisii</t>
  </si>
  <si>
    <t>https://en.wikipedia.org/wiki/Lithophragma_parviflorum</t>
  </si>
  <si>
    <t>https://en.wikipedia.org/wiki/Lobelia_dortmanna</t>
  </si>
  <si>
    <t>https://en.wikipedia.org/wiki/Lobelia_kalmii</t>
  </si>
  <si>
    <t>https://en.wikipedia.org/wiki/Lomatium_dissectum</t>
  </si>
  <si>
    <t>https://en.wikipedia.org/wiki/Lomatium_nudicaule</t>
  </si>
  <si>
    <t>https://en.wikipedia.org/wiki/Lomatium_utriculatum</t>
  </si>
  <si>
    <t>https://en.wikipedia.org/wiki/Lonicera_ciliosa</t>
  </si>
  <si>
    <t>https://en.wikipedia.org/wiki/Lonicera_conjugialis</t>
  </si>
  <si>
    <t>https://en.wikipedia.org/wiki/Lonicera_hispidula</t>
  </si>
  <si>
    <t>https://en.wikipedia.org/wiki/Lonicera_involucrata</t>
  </si>
  <si>
    <t>https://en.wikipedia.org/wiki/Lonicera_utahensis</t>
  </si>
  <si>
    <t>https://en.wikipedia.org/wiki/Lotus_uliginousus</t>
  </si>
  <si>
    <t>https://en.wikipedia.org/wiki/Ludwigia_palustris</t>
  </si>
  <si>
    <t>https://en.wikipedia.org/wiki/Luetkea_pectinata</t>
  </si>
  <si>
    <t>https://en.wikipedia.org/wiki/Lupinus_albicaulis</t>
  </si>
  <si>
    <t>https://en.wikipedia.org/wiki/Lupinus_bicolor</t>
  </si>
  <si>
    <t>https://en.wikipedia.org/wiki/Lupinus_latifolius</t>
  </si>
  <si>
    <t>https://en.wikipedia.org/wiki/Lupinus_lepidus</t>
  </si>
  <si>
    <t>https://en.wikipedia.org/wiki/Lupinus_littoralis</t>
  </si>
  <si>
    <t>https://en.wikipedia.org/wiki/Lupinus_microcarpus</t>
  </si>
  <si>
    <t>https://en.wikipedia.org/wiki/Lupinus_oreganus</t>
  </si>
  <si>
    <t>https://en.wikipedia.org/wiki/Lupinus_polyphyllus</t>
  </si>
  <si>
    <t>https://en.wikipedia.org/wiki/Lupinus_rivularis</t>
  </si>
  <si>
    <t>https://en.wikipedia.org/wiki/Luzula_comosa</t>
  </si>
  <si>
    <t>https://en.wikipedia.org/wiki/Luzula_multiflora</t>
  </si>
  <si>
    <t>https://en.wikipedia.org/wiki/Luzula_parviflora</t>
  </si>
  <si>
    <t>https://en.wikipedia.org/wiki/Lycopodiella_inundata</t>
  </si>
  <si>
    <t>https://en.wikipedia.org/wiki/Lycopodium_clavatum</t>
  </si>
  <si>
    <t>https://en.wikipedia.org/wiki/Lycopus_americanus</t>
  </si>
  <si>
    <t>https://en.wikipedia.org/wiki/Lycopus_uniflorus</t>
  </si>
  <si>
    <t>https://en.wikipedia.org/wiki/Lysichiton_americanus</t>
  </si>
  <si>
    <t>https://en.wikipedia.org/wiki/Lysimachia_europaea</t>
  </si>
  <si>
    <t>https://en.wikipedia.org/wiki/Lysimachia_latifolia</t>
  </si>
  <si>
    <t>https://en.wikipedia.org/wiki/Lysimachia_thyrsiflora</t>
  </si>
  <si>
    <t>https://en.wikipedia.org/wiki/Madia_elegans</t>
  </si>
  <si>
    <t>https://en.wikipedia.org/wiki/Madia_exigua</t>
  </si>
  <si>
    <t>https://en.wikipedia.org/wiki/Madia_glomerata</t>
  </si>
  <si>
    <t>https://en.wikipedia.org/wiki/Madia_gracilis</t>
  </si>
  <si>
    <t>https://en.wikipedia.org/wiki/Madia_sativa</t>
  </si>
  <si>
    <t>https://en.wikipedia.org/wiki/Maianthemum_dilatatum</t>
  </si>
  <si>
    <t>https://en.wikipedia.org/wiki/Maianthemum_racemosum</t>
  </si>
  <si>
    <t>https://en.wikipedia.org/wiki/Maianthemum_stellatum</t>
  </si>
  <si>
    <t>https://en.wikipedia.org/wiki/Malaxis_monophyllos</t>
  </si>
  <si>
    <t>https://en.wikipedia.org/wiki/Malus_fusca</t>
  </si>
  <si>
    <t>https://en.wikipedia.org/wiki/Marah_oreganus</t>
  </si>
  <si>
    <t>https://en.wikipedia.org/wiki/Matteuccia_struthiopteris</t>
  </si>
  <si>
    <t>https://en.wikipedia.org/wiki/Meconella_oregana</t>
  </si>
  <si>
    <t>https://en.wikipedia.org/wiki/Melica_smithii</t>
  </si>
  <si>
    <t>https://en.wikipedia.org/wiki/Melica_subulata</t>
  </si>
  <si>
    <t>https://en.wikipedia.org/wiki/Mentha_spicata</t>
  </si>
  <si>
    <t>https://en.wikipedia.org/wiki/Menyanthes_trifoliata</t>
  </si>
  <si>
    <t>https://en.wikipedia.org/wiki/Mertensia_platyphylla</t>
  </si>
  <si>
    <t>https://en.wikipedia.org/wiki/Micranthes_ferruginea</t>
  </si>
  <si>
    <t>https://en.wikipedia.org/wiki/Micranthes_integrifolia</t>
  </si>
  <si>
    <t>https://en.wikipedia.org/wiki/Micranthes_occidentalis</t>
  </si>
  <si>
    <t>https://en.wikipedia.org/wiki/Micranthes_oregana</t>
  </si>
  <si>
    <t>https://en.wikipedia.org/wiki/Micranthes_tischii</t>
  </si>
  <si>
    <t>https://en.wikipedia.org/wiki/Microseris_borealis</t>
  </si>
  <si>
    <t>https://en.wikipedia.org/wiki/Microseris_laciniata</t>
  </si>
  <si>
    <t>https://en.wikipedia.org/wiki/Microsteris_gracilis</t>
  </si>
  <si>
    <t>https://en.wikipedia.org/wiki/Mitellastra_caulescens</t>
  </si>
  <si>
    <t>https://en.wikipedia.org/wiki/Moehringia_lateriflora</t>
  </si>
  <si>
    <t>https://en.wikipedia.org/wiki/Moehringia_macrophylla</t>
  </si>
  <si>
    <t>https://en.wikipedia.org/wiki/Moneses_uniflora</t>
  </si>
  <si>
    <t>https://en.wikipedia.org/wiki/Monotropa_hypopitys</t>
  </si>
  <si>
    <t>https://en.wikipedia.org/wiki/Monotropa_uniflora</t>
  </si>
  <si>
    <t>https://en.wikipedia.org/wiki/Montia_dichotoma</t>
  </si>
  <si>
    <t>https://en.wikipedia.org/wiki/Montia_diffusa</t>
  </si>
  <si>
    <t>https://en.wikipedia.org/wiki/Montia_fontana</t>
  </si>
  <si>
    <t>https://en.wikipedia.org/wiki/Montia_howellii</t>
  </si>
  <si>
    <t>https://en.wikipedia.org/wiki/Montia_linearis</t>
  </si>
  <si>
    <t>https://en.wikipedia.org/wiki/Montia_parvifolia</t>
  </si>
  <si>
    <t>https://en.wikipedia.org/wiki/Myosotis_laxa</t>
  </si>
  <si>
    <t>https://en.wikipedia.org/wiki/Myosurus_minimus</t>
  </si>
  <si>
    <t>https://en.wikipedia.org/wiki/Myrica_californica</t>
  </si>
  <si>
    <t>https://en.wikipedia.org/wiki/Myrica_gale</t>
  </si>
  <si>
    <t>https://en.wikipedia.org/wiki/Myriophyllum_hippuroides</t>
  </si>
  <si>
    <t>https://en.wikipedia.org/wiki/Myriophyllum_quitense</t>
  </si>
  <si>
    <t>https://en.wikipedia.org/wiki/Myriophyllum_sibiricum</t>
  </si>
  <si>
    <t>https://en.wikipedia.org/wiki/Myriophyllum_verticillatum</t>
  </si>
  <si>
    <t>https://en.wikipedia.org/wiki/Myriopteris_gracillima</t>
  </si>
  <si>
    <t>https://en.wikipedia.org/wiki/Nabalus_alatus</t>
  </si>
  <si>
    <t>https://en.wikipedia.org/wiki/Najas_flexilis</t>
  </si>
  <si>
    <t>https://en.wikipedia.org/wiki/Navarretia_intertexta</t>
  </si>
  <si>
    <t>https://en.wikipedia.org/wiki/Navarretia_squarrosa</t>
  </si>
  <si>
    <t>https://en.wikipedia.org/wiki/Nemophila_parviflora</t>
  </si>
  <si>
    <t>https://en.wikipedia.org/wiki/Nemophila_pedunculata</t>
  </si>
  <si>
    <t>https://en.wikipedia.org/wiki/Neottia_cordata</t>
  </si>
  <si>
    <t>https://en.wikipedia.org/wiki/Nothochelone_nemorosa</t>
  </si>
  <si>
    <t>https://en.wikipedia.org/wiki/Nuphar_polysepala</t>
  </si>
  <si>
    <t>https://en.wikipedia.org/wiki/Nuttallanthus_texanus</t>
  </si>
  <si>
    <t>https://en.wikipedia.org/wiki/Nymphaea_tetragona</t>
  </si>
  <si>
    <t>https://en.wikipedia.org/wiki/Oemleria_cerasiformis</t>
  </si>
  <si>
    <t>https://en.wikipedia.org/wiki/Oenanthe_sarmentosa</t>
  </si>
  <si>
    <t>https://en.wikipedia.org/wiki/Oenothera_flava</t>
  </si>
  <si>
    <t>https://en.wikipedia.org/wiki/Olsynium_douglasii</t>
  </si>
  <si>
    <t>https://en.wikipedia.org/wiki/Ophioglossum_pusillum</t>
  </si>
  <si>
    <t>https://en.wikipedia.org/wiki/Oplopanax_horridus</t>
  </si>
  <si>
    <t>https://en.wikipedia.org/wiki/Opuntia_fragilis</t>
  </si>
  <si>
    <t>https://en.wikipedia.org/wiki/Orthilia_secunda</t>
  </si>
  <si>
    <t>https://en.wikipedia.org/wiki/Orthocarpus_bracteosus</t>
  </si>
  <si>
    <t>https://en.wikipedia.org/wiki/Osmorhiza_berteroi</t>
  </si>
  <si>
    <t>https://en.wikipedia.org/wiki/Osmorhiza_purpurea</t>
  </si>
  <si>
    <t>https://en.wikipedia.org/wiki/Oxalis_oregana</t>
  </si>
  <si>
    <t>https://en.wikipedia.org/wiki/Oxalis_suksdorfii</t>
  </si>
  <si>
    <t>https://en.wikipedia.org/wiki/Oxalis_trilliifolia</t>
  </si>
  <si>
    <t>https://en.wikipedia.org/wiki/Oxybasis_rubra</t>
  </si>
  <si>
    <t>https://en.wikipedia.org/wiki/Oxytropis_borealis</t>
  </si>
  <si>
    <t>https://en.wikipedia.org/wiki/Oxytropis_campestris</t>
  </si>
  <si>
    <t>https://en.wikipedia.org/wiki/Ozomelis_trifida</t>
  </si>
  <si>
    <t>https://en.wikipedia.org/wiki/Packera_bolanderi</t>
  </si>
  <si>
    <t>https://en.wikipedia.org/wiki/Parnassia_cirrata</t>
  </si>
  <si>
    <t>https://en.wikipedia.org/wiki/Parnassia_fimbriata</t>
  </si>
  <si>
    <t>https://en.wikipedia.org/wiki/Parnassia_palustris</t>
  </si>
  <si>
    <t>https://en.wikipedia.org/wiki/Paxistima_myrsinites</t>
  </si>
  <si>
    <t>https://en.wikipedia.org/wiki/Pectiantia_breweri</t>
  </si>
  <si>
    <t>https://en.wikipedia.org/wiki/Pectiantia_ovalis</t>
  </si>
  <si>
    <t>https://en.wikipedia.org/wiki/Pedicularis_groenlandica</t>
  </si>
  <si>
    <t>https://en.wikipedia.org/wiki/Penstemon_attenuatus</t>
  </si>
  <si>
    <t>https://en.wikipedia.org/wiki/Penstemon_cardwellii</t>
  </si>
  <si>
    <t>https://en.wikipedia.org/wiki/Penstemon_davidsonii</t>
  </si>
  <si>
    <t>https://en.wikipedia.org/wiki/Penstemon_hesperius</t>
  </si>
  <si>
    <t>https://en.wikipedia.org/wiki/Penstemon_ovatus</t>
  </si>
  <si>
    <t>https://en.wikipedia.org/wiki/Penstemon_richardsonii</t>
  </si>
  <si>
    <t>https://en.wikipedia.org/wiki/Penstemon_serrulatus</t>
  </si>
  <si>
    <t>https://en.wikipedia.org/wiki/Pentagramma_triangularis</t>
  </si>
  <si>
    <t>https://en.wikipedia.org/wiki/Perideridia_montana</t>
  </si>
  <si>
    <t>https://en.wikipedia.org/wiki/Perideridia_oregana</t>
  </si>
  <si>
    <t>https://en.wikipedia.org/wiki/Persicaria_amphibia</t>
  </si>
  <si>
    <t>https://en.wikipedia.org/wiki/Persicaria_hydropiperoides</t>
  </si>
  <si>
    <t>https://en.wikipedia.org/wiki/Persicaria_lapathifolia</t>
  </si>
  <si>
    <t>https://en.wikipedia.org/wiki/Petasites_frigilus</t>
  </si>
  <si>
    <t>https://en.wikipedia.org/wiki/Phacelia_heterophylla</t>
  </si>
  <si>
    <t>https://en.wikipedia.org/wiki/Phacelia_nemoralis</t>
  </si>
  <si>
    <t>https://en.wikipedia.org/wiki/Phegopteris_connectilis</t>
  </si>
  <si>
    <t>https://en.wikipedia.org/wiki/Philadelphus_lewisii</t>
  </si>
  <si>
    <t>https://en.wikipedia.org/wiki/Phlox_diffusa</t>
  </si>
  <si>
    <t>https://en.wikipedia.org/wiki/Physocarpus_capitatus</t>
  </si>
  <si>
    <t>https://en.wikipedia.org/wiki/Picea_engelmannii</t>
  </si>
  <si>
    <t>https://en.wikipedia.org/wiki/Picea_sitchensis</t>
  </si>
  <si>
    <t>https://en.wikipedia.org/wiki/Pinus_albicaulis</t>
  </si>
  <si>
    <t>https://en.wikipedia.org/wiki/Pinus_contorta</t>
  </si>
  <si>
    <t>https://en.wikipedia.org/wiki/Pinus_monticola</t>
  </si>
  <si>
    <t>https://en.wikipedia.org/wiki/Pinus_ponderosa</t>
  </si>
  <si>
    <t>https://en.wikipedia.org/wiki/Pityopus_californica</t>
  </si>
  <si>
    <t>https://en.wikipedia.org/wiki/Plagiobothrys_figuratus</t>
  </si>
  <si>
    <t>https://en.wikipedia.org/wiki/Plagiobothrys_scouleri</t>
  </si>
  <si>
    <t>https://en.wikipedia.org/wiki/Plantago_elongata</t>
  </si>
  <si>
    <t>https://en.wikipedia.org/wiki/Plantago_macrocarpa</t>
  </si>
  <si>
    <t>https://en.wikipedia.org/wiki/Plantago_maritima</t>
  </si>
  <si>
    <t>https://en.wikipedia.org/wiki/Platanthera_chorisiana</t>
  </si>
  <si>
    <t>https://en.wikipedia.org/wiki/Platanthera_dilatata</t>
  </si>
  <si>
    <t>https://en.wikipedia.org/wiki/Platanthera_elongata</t>
  </si>
  <si>
    <t>https://en.wikipedia.org/wiki/Platanthera_orbiculata</t>
  </si>
  <si>
    <t>https://en.wikipedia.org/wiki/Platanthera_stricta</t>
  </si>
  <si>
    <t>https://en.wikipedia.org/wiki/Platanthera_transversa</t>
  </si>
  <si>
    <t>https://en.wikipedia.org/wiki/Platanthera_unalascensis</t>
  </si>
  <si>
    <t>https://en.wikipedia.org/wiki/Plectritis_congesta</t>
  </si>
  <si>
    <t>https://en.wikipedia.org/wiki/Pleuricospora_fimbriolata</t>
  </si>
  <si>
    <t>https://en.wikipedia.org/wiki/Pleuropogon_refractus</t>
  </si>
  <si>
    <t>https://en.wikipedia.org/wiki/Poa_confinis</t>
  </si>
  <si>
    <t>https://en.wikipedia.org/wiki/Poa_laxiflora</t>
  </si>
  <si>
    <t>https://en.wikipedia.org/wiki/Poa_leptocoma</t>
  </si>
  <si>
    <t>https://en.wikipedia.org/wiki/Poa_macrantha</t>
  </si>
  <si>
    <t>https://en.wikipedia.org/wiki/Poa_paucispicula</t>
  </si>
  <si>
    <t>https://en.wikipedia.org/wiki/Poa_unilateralis</t>
  </si>
  <si>
    <t>https://en.wikipedia.org/wiki/Polemonium_carneum</t>
  </si>
  <si>
    <t>https://en.wikipedia.org/wiki/Polemonium_pulcherrimum</t>
  </si>
  <si>
    <t>https://en.wikipedia.org/wiki/Polygonum_douglasii</t>
  </si>
  <si>
    <t>https://en.wikipedia.org/wiki/Polygonum_paronychia</t>
  </si>
  <si>
    <t>https://en.wikipedia.org/wiki/Polygonum_spergulariiforme</t>
  </si>
  <si>
    <t>https://en.wikipedia.org/wiki/Polypodium_glycyrrhiza</t>
  </si>
  <si>
    <t>https://en.wikipedia.org/wiki/Polypodium_hesperium</t>
  </si>
  <si>
    <t>https://en.wikipedia.org/wiki/Polypodium_scouleri</t>
  </si>
  <si>
    <t>https://en.wikipedia.org/wiki/Polystichum_andersonii</t>
  </si>
  <si>
    <t>https://en.wikipedia.org/wiki/Polystichum_californicum</t>
  </si>
  <si>
    <t>https://en.wikipedia.org/wiki/Polystichum_imbricans</t>
  </si>
  <si>
    <t>https://en.wikipedia.org/wiki/Polystichum_munitum</t>
  </si>
  <si>
    <t>https://en.wikipedia.org/wiki/Polystichum_setiferum</t>
  </si>
  <si>
    <t>https://en.wikipedia.org/wiki/Populus_tremuloides</t>
  </si>
  <si>
    <t>https://en.wikipedia.org/wiki/Populus_trichocarpa</t>
  </si>
  <si>
    <t>https://en.wikipedia.org/wiki/Potamogeton_amplifolius</t>
  </si>
  <si>
    <t>https://en.wikipedia.org/wiki/Potamogeton_epihydrus</t>
  </si>
  <si>
    <t>https://en.wikipedia.org/wiki/Potamogeton_foliosus</t>
  </si>
  <si>
    <t>https://en.wikipedia.org/wiki/Potamogeton_gramineus</t>
  </si>
  <si>
    <t>https://en.wikipedia.org/wiki/Potamogeton_illinoensis</t>
  </si>
  <si>
    <t>https://en.wikipedia.org/wiki/Potamogeton_natans</t>
  </si>
  <si>
    <t>https://en.wikipedia.org/wiki/Potamogeton_nodosus</t>
  </si>
  <si>
    <t>https://en.wikipedia.org/wiki/Potamogeton_obtusifolius</t>
  </si>
  <si>
    <t>https://en.wikipedia.org/wiki/Potamogeton_pusillus</t>
  </si>
  <si>
    <t>https://en.wikipedia.org/wiki/Potamogeton_richardsonii</t>
  </si>
  <si>
    <t>https://en.wikipedia.org/wiki/Potamogeton_robbinsii</t>
  </si>
  <si>
    <t>https://en.wikipedia.org/wiki/Potamogeton_zosteriformis</t>
  </si>
  <si>
    <t>https://en.wikipedia.org/wiki/Potentilla_anserina</t>
  </si>
  <si>
    <t>https://en.wikipedia.org/wiki/Potentilla_drummondii</t>
  </si>
  <si>
    <t>https://en.wikipedia.org/wiki/Potentilla_gracilis</t>
  </si>
  <si>
    <t>https://en.wikipedia.org/wiki/Potentilla_palustris</t>
  </si>
  <si>
    <t>https://en.wikipedia.org/wiki/Prosartes_hookeri</t>
  </si>
  <si>
    <t>https://en.wikipedia.org/wiki/Prosartes_smithii</t>
  </si>
  <si>
    <t>https://en.wikipedia.org/wiki/Prunella_vulgaris</t>
  </si>
  <si>
    <t>https://en.wikipedia.org/wiki/Prunus_emarginata</t>
  </si>
  <si>
    <t>https://en.wikipedia.org/wiki/Prunus_virginiana</t>
  </si>
  <si>
    <t>https://en.wikipedia.org/wiki/Pseudognaphalium_stramineum</t>
  </si>
  <si>
    <t>https://en.wikipedia.org/wiki/Pseudognaphalium_thermale</t>
  </si>
  <si>
    <t>https://en.wikipedia.org/wiki/Pseudotsuga_menziesii</t>
  </si>
  <si>
    <t>https://en.wikipedia.org/wiki/Psilocarphus_elatior</t>
  </si>
  <si>
    <t>https://en.wikipedia.org/wiki/Psilocarphus_tenellus</t>
  </si>
  <si>
    <t>https://en.wikipedia.org/wiki/Pteridium_aquilinum</t>
  </si>
  <si>
    <t>https://en.wikipedia.org/wiki/Pterospora_andromedea</t>
  </si>
  <si>
    <t>https://en.wikipedia.org/wiki/Puccinellia_nuttalliana</t>
  </si>
  <si>
    <t>https://en.wikipedia.org/wiki/Pyracantha_coccinea</t>
  </si>
  <si>
    <t>https://en.wikipedia.org/wiki/Pyrola_asarifolia</t>
  </si>
  <si>
    <t>https://en.wikipedia.org/wiki/Pyrola_chlorantha</t>
  </si>
  <si>
    <t>https://en.wikipedia.org/wiki/Pyrola_picta</t>
  </si>
  <si>
    <t>https://en.wikipedia.org/wiki/Quercus_garryana</t>
  </si>
  <si>
    <t>https://en.wikipedia.org/wiki/Ranunculus_alismifolius</t>
  </si>
  <si>
    <t>https://en.wikipedia.org/wiki/Ranunculus_aquatilis</t>
  </si>
  <si>
    <t>https://en.wikipedia.org/wiki/Ranunculus_californicus</t>
  </si>
  <si>
    <t>https://en.wikipedia.org/wiki/Ranunculus_flammula</t>
  </si>
  <si>
    <t>https://en.wikipedia.org/wiki/Ranunculus_macounii</t>
  </si>
  <si>
    <t>https://en.wikipedia.org/wiki/Ranunculus_occidentalis</t>
  </si>
  <si>
    <t>https://en.wikipedia.org/wiki/Ranunculus_orthorhynchus</t>
  </si>
  <si>
    <t>https://en.wikipedia.org/wiki/Ranunculus_sceleratus</t>
  </si>
  <si>
    <t>https://en.wikipedia.org/wiki/Ranunculus_uncinatus</t>
  </si>
  <si>
    <t>https://en.wikipedia.org/wiki/Rhamnus_purshiana</t>
  </si>
  <si>
    <t>https://en.wikipedia.org/wiki/Rhinanthus_minor</t>
  </si>
  <si>
    <t>https://en.wikipedia.org/wiki/Rhododendron_albiflorum</t>
  </si>
  <si>
    <t>https://en.wikipedia.org/wiki/Rhododendron_columbianum</t>
  </si>
  <si>
    <t>https://en.wikipedia.org/wiki/Rhododendron_groenlandicum</t>
  </si>
  <si>
    <t>https://en.wikipedia.org/wiki/Rhododendron_macrophyllum</t>
  </si>
  <si>
    <t>https://en.wikipedia.org/wiki/Rhododendron_menziesii</t>
  </si>
  <si>
    <t>https://en.wikipedia.org/wiki/Rhus_glabra</t>
  </si>
  <si>
    <t>https://en.wikipedia.org/wiki/Rhynchospora_alba</t>
  </si>
  <si>
    <t>https://en.wikipedia.org/wiki/Ribes_acerifolium</t>
  </si>
  <si>
    <t>https://en.wikipedia.org/wiki/Ribes_aureum</t>
  </si>
  <si>
    <t>https://en.wikipedia.org/wiki/Ribes_bracteosum</t>
  </si>
  <si>
    <t>https://en.wikipedia.org/wiki/Ribes_cereum</t>
  </si>
  <si>
    <t>https://en.wikipedia.org/wiki/Ribes_divaricatum</t>
  </si>
  <si>
    <t>https://en.wikipedia.org/wiki/Ribes_lacustre</t>
  </si>
  <si>
    <t>https://en.wikipedia.org/wiki/Ribes_laxiflorum</t>
  </si>
  <si>
    <t>https://en.wikipedia.org/wiki/Ribes_lobbii</t>
  </si>
  <si>
    <t>https://en.wikipedia.org/wiki/Ribes_oxyacanthoides</t>
  </si>
  <si>
    <t>https://en.wikipedia.org/wiki/Ribes_sanguineum</t>
  </si>
  <si>
    <t>https://en.wikipedia.org/wiki/Ribes_triste</t>
  </si>
  <si>
    <t>https://en.wikipedia.org/wiki/Rorippa_curvisiliqua</t>
  </si>
  <si>
    <t>https://en.wikipedia.org/wiki/Rorippa_palustris</t>
  </si>
  <si>
    <t>https://en.wikipedia.org/wiki/Rosa_gymnocarpa</t>
  </si>
  <si>
    <t>https://en.wikipedia.org/wiki/Rosa_nutkana</t>
  </si>
  <si>
    <t>https://en.wikipedia.org/wiki/Rosa_pisocarpa</t>
  </si>
  <si>
    <t>https://en.wikipedia.org/wiki/Rotala_ramosior</t>
  </si>
  <si>
    <t>https://en.wikipedia.org/wiki/Rubus_idaeus</t>
  </si>
  <si>
    <t>https://en.wikipedia.org/wiki/Rubus_lasiococcus</t>
  </si>
  <si>
    <t>https://en.wikipedia.org/wiki/Rubus_leucodermis</t>
  </si>
  <si>
    <t>https://en.wikipedia.org/wiki/Rubus_nutkanus</t>
  </si>
  <si>
    <t>https://en.wikipedia.org/wiki/Rubus_pedatus</t>
  </si>
  <si>
    <t>https://en.wikipedia.org/wiki/Rubus_spectabilis</t>
  </si>
  <si>
    <t>https://en.wikipedia.org/wiki/Rubus_ursinus</t>
  </si>
  <si>
    <t>https://en.wikipedia.org/wiki/Rudbeckia_hirta</t>
  </si>
  <si>
    <t>https://en.wikipedia.org/wiki/Rudbeckia_occidentalis</t>
  </si>
  <si>
    <t>https://en.wikipedia.org/wiki/Rumex_occidentalis</t>
  </si>
  <si>
    <t>https://en.wikipedia.org/wiki/Rumex_persicarioides</t>
  </si>
  <si>
    <t>https://en.wikipedia.org/wiki/Ruppia_maritima</t>
  </si>
  <si>
    <t>https://en.wikipedia.org/wiki/Sabulina_macra</t>
  </si>
  <si>
    <t>https://en.wikipedia.org/wiki/Sagina_decumbens</t>
  </si>
  <si>
    <t>https://en.wikipedia.org/wiki/Sagina_maxima</t>
  </si>
  <si>
    <t>https://en.wikipedia.org/wiki/Sagittaria_latifolia</t>
  </si>
  <si>
    <t>https://en.wikipedia.org/wiki/Salicornia_depressa</t>
  </si>
  <si>
    <t>https://en.wikipedia.org/wiki/Salix_amygdaloides</t>
  </si>
  <si>
    <t>https://en.wikipedia.org/wiki/Salix_barclayi</t>
  </si>
  <si>
    <t>https://en.wikipedia.org/wiki/Salix_bebbiana</t>
  </si>
  <si>
    <t>https://en.wikipedia.org/wiki/Salix_cascadensis</t>
  </si>
  <si>
    <t>https://en.wikipedia.org/wiki/Salix_commutata</t>
  </si>
  <si>
    <t>https://en.wikipedia.org/wiki/Salix_exigua</t>
  </si>
  <si>
    <t>https://en.wikipedia.org/wiki/Salix_geyeriana</t>
  </si>
  <si>
    <t>https://en.wikipedia.org/wiki/Salix_hookeriana</t>
  </si>
  <si>
    <t>https://en.wikipedia.org/wiki/Salix_lasiandra</t>
  </si>
  <si>
    <t>https://en.wikipedia.org/wiki/Salix_lasiolepis</t>
  </si>
  <si>
    <t>https://en.wikipedia.org/wiki/Salix_lemmonii</t>
  </si>
  <si>
    <t>https://en.wikipedia.org/wiki/Salix_melanopsis</t>
  </si>
  <si>
    <t>https://en.wikipedia.org/wiki/Salix_pedicellaris</t>
  </si>
  <si>
    <t>https://en.wikipedia.org/wiki/Salix_planifolia</t>
  </si>
  <si>
    <t>https://en.wikipedia.org/wiki/Salix_prolixa</t>
  </si>
  <si>
    <t>https://en.wikipedia.org/wiki/Salix_scouleriana</t>
  </si>
  <si>
    <t>https://en.wikipedia.org/wiki/Salix_sessilifolia</t>
  </si>
  <si>
    <t>https://en.wikipedia.org/wiki/Salix_sitchensis</t>
  </si>
  <si>
    <t>https://en.wikipedia.org/wiki/Sambucus_nigra</t>
  </si>
  <si>
    <t>https://en.wikipedia.org/wiki/Sambucus_racemosa</t>
  </si>
  <si>
    <t>https://en.wikipedia.org/wiki/Samolus_parviflorus</t>
  </si>
  <si>
    <t>https://en.wikipedia.org/wiki/Sanguisorba_menziesii</t>
  </si>
  <si>
    <t>https://en.wikipedia.org/wiki/Sanguisorba_officinalis</t>
  </si>
  <si>
    <t>https://en.wikipedia.org/wiki/Sanicula_arctopoides</t>
  </si>
  <si>
    <t>https://en.wikipedia.org/wiki/Sanicula_bipinnatifida</t>
  </si>
  <si>
    <t>https://en.wikipedia.org/wiki/Sanicula_crassicaulis</t>
  </si>
  <si>
    <t>https://en.wikipedia.org/wiki/Sanicula_graveolens</t>
  </si>
  <si>
    <t>https://en.wikipedia.org/wiki/Sarcocornia_perennis</t>
  </si>
  <si>
    <t>https://en.wikipedia.org/wiki/Saxifraga_bronchialis</t>
  </si>
  <si>
    <t>https://en.wikipedia.org/wiki/Saxifraga_cespitosa</t>
  </si>
  <si>
    <t>https://en.wikipedia.org/wiki/Saxifraga_mertensiana</t>
  </si>
  <si>
    <t>https://en.wikipedia.org/wiki/Scheuchzeria_palustris</t>
  </si>
  <si>
    <t>https://en.wikipedia.org/wiki/Schoenoplectus_acutus</t>
  </si>
  <si>
    <t>https://en.wikipedia.org/wiki/Schoenoplectus_pungens</t>
  </si>
  <si>
    <t>https://en.wikipedia.org/wiki/Schoenoplectus_subterminalis</t>
  </si>
  <si>
    <t>https://en.wikipedia.org/wiki/Schoenoplectus_tabernaemontani</t>
  </si>
  <si>
    <t>https://en.wikipedia.org/wiki/Scirpus_atrocinctus</t>
  </si>
  <si>
    <t>https://en.wikipedia.org/wiki/Scirpus_microcarpus</t>
  </si>
  <si>
    <t>https://en.wikipedia.org/wiki/Scrophularia_lanceolata</t>
  </si>
  <si>
    <t>https://en.wikipedia.org/wiki/Scutellaria_galericulata</t>
  </si>
  <si>
    <t>https://en.wikipedia.org/wiki/Scutellaria_lateriflora</t>
  </si>
  <si>
    <t>https://en.wikipedia.org/wiki/Sedum_divergens</t>
  </si>
  <si>
    <t>https://en.wikipedia.org/wiki/Sedum_lanceolatum</t>
  </si>
  <si>
    <t>https://en.wikipedia.org/wiki/Sedum_oreganum</t>
  </si>
  <si>
    <t>https://en.wikipedia.org/wiki/Sedum_spathulifolium</t>
  </si>
  <si>
    <t>https://en.wikipedia.org/wiki/Selaginella_oregana</t>
  </si>
  <si>
    <t>https://en.wikipedia.org/wiki/Selaginella_wallacei</t>
  </si>
  <si>
    <t>https://en.wikipedia.org/wiki/Sequoiadendron_giganteum</t>
  </si>
  <si>
    <t>https://en.wikipedia.org/wiki/Sericocarpus_rigidus</t>
  </si>
  <si>
    <t>https://en.wikipedia.org/wiki/Shepherdia_canadensis</t>
  </si>
  <si>
    <t>https://en.wikipedia.org/wiki/Sidalcea_campestris</t>
  </si>
  <si>
    <t>https://en.wikipedia.org/wiki/Sidalcea_hendersonii</t>
  </si>
  <si>
    <t>https://en.wikipedia.org/wiki/Sidalcea_hirtipes</t>
  </si>
  <si>
    <t>https://en.wikipedia.org/wiki/Sidalcea_nelsoniana</t>
  </si>
  <si>
    <t>https://en.wikipedia.org/wiki/Sidalcea_oregana</t>
  </si>
  <si>
    <t>https://en.wikipedia.org/wiki/Sidalcea_virgata</t>
  </si>
  <si>
    <t>https://en.wikipedia.org/wiki/Silene_antirrhina</t>
  </si>
  <si>
    <t>https://en.wikipedia.org/wiki/Silene_menziesii</t>
  </si>
  <si>
    <t>https://en.wikipedia.org/wiki/Silene_scouleri</t>
  </si>
  <si>
    <t>https://en.wikipedia.org/wiki/Sisyrinchium_californicum</t>
  </si>
  <si>
    <t>https://en.wikipedia.org/wiki/Sisyrinchium_idahoense</t>
  </si>
  <si>
    <t>https://en.wikipedia.org/wiki/Sium_suave</t>
  </si>
  <si>
    <t>https://en.wikipedia.org/wiki/Solidago_canadensis</t>
  </si>
  <si>
    <t>https://en.wikipedia.org/wiki/Solidago_simplex</t>
  </si>
  <si>
    <t>https://en.wikipedia.org/wiki/Sorbus_scopulina</t>
  </si>
  <si>
    <t>https://en.wikipedia.org/wiki/Sorbus_sitchensis</t>
  </si>
  <si>
    <t>https://en.wikipedia.org/wiki/Sparganium_angustifolium</t>
  </si>
  <si>
    <t>https://en.wikipedia.org/wiki/Sparganium_emersum</t>
  </si>
  <si>
    <t>https://en.wikipedia.org/wiki/Sparganium_eurycarpum</t>
  </si>
  <si>
    <t>https://en.wikipedia.org/wiki/Sparganium_fluctuans</t>
  </si>
  <si>
    <t>https://en.wikipedia.org/wiki/Sparganium_natans</t>
  </si>
  <si>
    <t>https://en.wikipedia.org/wiki/Spergularia_canadensis</t>
  </si>
  <si>
    <t>https://en.wikipedia.org/wiki/Spergularia_salina</t>
  </si>
  <si>
    <t>https://en.wikipedia.org/wiki/Spiraea_densiflora</t>
  </si>
  <si>
    <t>https://en.wikipedia.org/wiki/Spiraea_douglasii</t>
  </si>
  <si>
    <t>https://en.wikipedia.org/wiki/Spiraea_lucida</t>
  </si>
  <si>
    <t>https://en.wikipedia.org/wiki/Spiraea_pyramidata</t>
  </si>
  <si>
    <t>https://en.wikipedia.org/wiki/Spiranthes_porrifolia</t>
  </si>
  <si>
    <t>https://en.wikipedia.org/wiki/Spiranthes_romanzoffiana</t>
  </si>
  <si>
    <t>https://en.wikipedia.org/wiki/Stachys_cooleyae</t>
  </si>
  <si>
    <t>https://en.wikipedia.org/wiki/Stachys_mexicana</t>
  </si>
  <si>
    <t>https://en.wikipedia.org/wiki/Stachys_rigida</t>
  </si>
  <si>
    <t>https://en.wikipedia.org/wiki/Stellaria_borealis</t>
  </si>
  <si>
    <t>https://en.wikipedia.org/wiki/Stellaria_crispa</t>
  </si>
  <si>
    <t>https://en.wikipedia.org/wiki/Stellaria_longifolia</t>
  </si>
  <si>
    <t>https://en.wikipedia.org/wiki/Stellaria_longipes</t>
  </si>
  <si>
    <t>https://en.wikipedia.org/wiki/Stellaria_nitens</t>
  </si>
  <si>
    <t>https://en.wikipedia.org/wiki/Stellaria_obtusa</t>
  </si>
  <si>
    <t>https://en.wikipedia.org/wiki/Streptopus_amplexifolius</t>
  </si>
  <si>
    <t>https://en.wikipedia.org/wiki/Stuckenia_filiformis</t>
  </si>
  <si>
    <t>https://en.wikipedia.org/wiki/Stuckenia_pectinata</t>
  </si>
  <si>
    <t>https://en.wikipedia.org/wiki/Suaeda_calceoliformis</t>
  </si>
  <si>
    <t>https://en.wikipedia.org/wiki/Subularia_aquatica</t>
  </si>
  <si>
    <t>https://en.wikipedia.org/wiki/Symphoricarpos_albus</t>
  </si>
  <si>
    <t>https://en.wikipedia.org/wiki/Symphoricarpos_mollis</t>
  </si>
  <si>
    <t>https://en.wikipedia.org/wiki/Symphyotrichum_boreale</t>
  </si>
  <si>
    <t>https://en.wikipedia.org/wiki/Symphyotrichum_bracteolatum</t>
  </si>
  <si>
    <t>https://en.wikipedia.org/wiki/Symphyotrichum_chilense</t>
  </si>
  <si>
    <t>https://en.wikipedia.org/wiki/Symphyotrichum_hallii</t>
  </si>
  <si>
    <t>https://en.wikipedia.org/wiki/Symphyotrichum_lateriflorum</t>
  </si>
  <si>
    <t>https://en.wikipedia.org/wiki/Symphyotrichum_subspicatum</t>
  </si>
  <si>
    <t>https://en.wikipedia.org/wiki/Synthyris_reniformis</t>
  </si>
  <si>
    <t>https://en.wikipedia.org/wiki/Tanacetum_bipinnatum</t>
  </si>
  <si>
    <t>https://en.wikipedia.org/wiki/Taxus_brevifolia</t>
  </si>
  <si>
    <t>https://en.wikipedia.org/wiki/Tellima_grandiflora</t>
  </si>
  <si>
    <t>https://en.wikipedia.org/wiki/Thalictrum_occidentale</t>
  </si>
  <si>
    <t>https://en.wikipedia.org/wiki/Thelypteris_quelpaertensis</t>
  </si>
  <si>
    <t>https://en.wikipedia.org/wiki/Thermopsis_montana</t>
  </si>
  <si>
    <t>https://en.wikipedia.org/wiki/Thuja_plicata</t>
  </si>
  <si>
    <t>https://en.wikipedia.org/wiki/Tiarella_trifoliata</t>
  </si>
  <si>
    <t>https://en.wikipedia.org/wiki/Tolmiea_menziesii</t>
  </si>
  <si>
    <t>https://en.wikipedia.org/wiki/Torreyochloa_pallida</t>
  </si>
  <si>
    <t>https://en.wikipedia.org/wiki/Toxicodendron_diversilobum</t>
  </si>
  <si>
    <t>https://en.wikipedia.org/wiki/Toxicodendron_radicans</t>
  </si>
  <si>
    <t>https://en.wikipedia.org/wiki/Trautvetteria_caroliniensis</t>
  </si>
  <si>
    <t>https://en.wikipedia.org/wiki/Trichophorum_cespitosum</t>
  </si>
  <si>
    <t>https://en.wikipedia.org/wiki/Trifolium_bifidum</t>
  </si>
  <si>
    <t>https://en.wikipedia.org/wiki/Trifolium_microdon</t>
  </si>
  <si>
    <t>https://en.wikipedia.org/wiki/Trifolium_oliganthum</t>
  </si>
  <si>
    <t>https://en.wikipedia.org/wiki/Trifolium_variegatum</t>
  </si>
  <si>
    <t>https://en.wikipedia.org/wiki/Trifolium_willdenovii</t>
  </si>
  <si>
    <t>https://en.wikipedia.org/wiki/Trifolium_wormskioldii</t>
  </si>
  <si>
    <t>https://en.wikipedia.org/wiki/Triglochin_maritima</t>
  </si>
  <si>
    <t>https://en.wikipedia.org/wiki/Trillium_ovatum</t>
  </si>
  <si>
    <t>https://en.wikipedia.org/wiki/Trillium_parviflorum</t>
  </si>
  <si>
    <t>https://en.wikipedia.org/wiki/Triodanis_biflora</t>
  </si>
  <si>
    <t>https://en.wikipedia.org/wiki/Triodanis_perfoliata</t>
  </si>
  <si>
    <t>https://en.wikipedia.org/wiki/Triphysaria_pusilla</t>
  </si>
  <si>
    <t>https://en.wikipedia.org/wiki/Trisetum_canescens</t>
  </si>
  <si>
    <t>https://en.wikipedia.org/wiki/Triteleia_hyacinthina</t>
  </si>
  <si>
    <t>https://en.wikipedia.org/wiki/Tsuga_heterophylla</t>
  </si>
  <si>
    <t>https://en.wikipedia.org/wiki/Tsuga_mertensiana</t>
  </si>
  <si>
    <t>https://en.wikipedia.org/wiki/Turritis_glabra</t>
  </si>
  <si>
    <t>https://en.wikipedia.org/wiki/Typha_angustifolia</t>
  </si>
  <si>
    <t>https://en.wikipedia.org/wiki/Typha_latifolia</t>
  </si>
  <si>
    <t>https://en.wikipedia.org/wiki/Urtica_dioica</t>
  </si>
  <si>
    <t>https://en.wikipedia.org/wiki/Utricularia_gibba</t>
  </si>
  <si>
    <t>https://en.wikipedia.org/wiki/Utricularia_intermedia</t>
  </si>
  <si>
    <t>https://en.wikipedia.org/wiki/Utricularia_minor</t>
  </si>
  <si>
    <t>https://en.wikipedia.org/wiki/Utricularia_vulgaris</t>
  </si>
  <si>
    <t>https://en.wikipedia.org/wiki/Vaccinium_deliciosum</t>
  </si>
  <si>
    <t>https://en.wikipedia.org/wiki/Vaccinium_membranaceum</t>
  </si>
  <si>
    <t>https://en.wikipedia.org/wiki/Vaccinium_ovalifolium</t>
  </si>
  <si>
    <t>https://en.wikipedia.org/wiki/Vaccinium_ovatum</t>
  </si>
  <si>
    <t>https://en.wikipedia.org/wiki/Vaccinium_oxycoccos</t>
  </si>
  <si>
    <t>https://en.wikipedia.org/wiki/Vaccinium_parvifolium</t>
  </si>
  <si>
    <t>https://en.wikipedia.org/wiki/Vaccinium_uliginosum</t>
  </si>
  <si>
    <t>https://en.wikipedia.org/wiki/Valeriana_scouleri</t>
  </si>
  <si>
    <t>https://en.wikipedia.org/wiki/Valeriana_sitchensis</t>
  </si>
  <si>
    <t>https://en.wikipedia.org/wiki/Vancouveria_hexandra</t>
  </si>
  <si>
    <t>https://en.wikipedia.org/wiki/Veratrum_californicum</t>
  </si>
  <si>
    <t>https://en.wikipedia.org/wiki/Veratrum_viride</t>
  </si>
  <si>
    <t>https://en.wikipedia.org/wiki/Verbena_hastata</t>
  </si>
  <si>
    <t>https://en.wikipedia.org/wiki/Veronica_americana</t>
  </si>
  <si>
    <t>https://en.wikipedia.org/wiki/Veronica_peregrina</t>
  </si>
  <si>
    <t>https://en.wikipedia.org/wiki/Veronica_scutellata</t>
  </si>
  <si>
    <t>https://en.wikipedia.org/wiki/Viburnum_edule</t>
  </si>
  <si>
    <t>https://en.wikipedia.org/wiki/Viburnum_ellipticum</t>
  </si>
  <si>
    <t>https://en.wikipedia.org/wiki/Viburnum_opulus</t>
  </si>
  <si>
    <t>https://en.wikipedia.org/wiki/Vicia_americana</t>
  </si>
  <si>
    <t>https://en.wikipedia.org/wiki/Vicia_nigricans</t>
  </si>
  <si>
    <t>https://en.wikipedia.org/wiki/Viola_adunca</t>
  </si>
  <si>
    <t>https://en.wikipedia.org/wiki/Viola_canadensis</t>
  </si>
  <si>
    <t>https://en.wikipedia.org/wiki/Viola_glabella</t>
  </si>
  <si>
    <t>https://en.wikipedia.org/wiki/Viola_howellii</t>
  </si>
  <si>
    <t>https://en.wikipedia.org/wiki/Viola_langsdorfii</t>
  </si>
  <si>
    <t>https://en.wikipedia.org/wiki/Viola_orbiculata</t>
  </si>
  <si>
    <t>https://en.wikipedia.org/wiki/Viola_palustris</t>
  </si>
  <si>
    <t>https://en.wikipedia.org/wiki/Viola_praemorsa</t>
  </si>
  <si>
    <t>https://en.wikipedia.org/wiki/Viola_sempervirens</t>
  </si>
  <si>
    <t>https://en.wikipedia.org/wiki/Vulpia_microstachys</t>
  </si>
  <si>
    <t>https://en.wikipedia.org/wiki/Woodsia_oregana</t>
  </si>
  <si>
    <t>https://en.wikipedia.org/wiki/Woodwardia_fimbriata</t>
  </si>
  <si>
    <t>https://en.wikipedia.org/wiki/Wyethia_angustifolia</t>
  </si>
  <si>
    <t>https://en.wikipedia.org/wiki/Xanthium_strumarium</t>
  </si>
  <si>
    <t>https://en.wikipedia.org/wiki/Xerophyllum_tenax</t>
  </si>
  <si>
    <t>https://en.wikipedia.org/wiki/Yabea_microcarpa</t>
  </si>
  <si>
    <t>https://en.wikipedia.org/wiki/Zannichellia_palustris</t>
  </si>
  <si>
    <t>https://en.wikipedia.org/wiki/Zeltnera_muehlenbergii</t>
  </si>
  <si>
    <t>https://en.wikipedia.org/wiki/Zygadenus_venenosus</t>
  </si>
  <si>
    <t>https://en.wikipedia.org/wiki/</t>
  </si>
  <si>
    <t>http://www.burkemuseum.org/research-and-collections/botany-and-herbarium/collections/database/results.php?Genus=Abies&amp;Species=procera&amp;SourcePage=search.php&amp;IncludeSynonyms=Y&amp;SortBy=DESC&amp;SortOrder=Year</t>
  </si>
  <si>
    <t>http://www.burkemuseum.org/research-and-collections/botany-and-herbarium/collections/database/results.php?Genus=Abronia&amp;Species=latifolia&amp;SourcePage=search.php&amp;IncludeSynonyms=Y&amp;SortBy=DESC&amp;SortOrder=Year</t>
  </si>
  <si>
    <t>http://www.burkemuseum.org/research-and-collections/botany-and-herbarium/collections/database/results.php?Genus=Abronia&amp;Species=umbellata&amp;SourcePage=search.php&amp;IncludeSynonyms=Y&amp;SortBy=DESC&amp;SortOrder=Year</t>
  </si>
  <si>
    <t>http://www.burkemuseum.org/research-and-collections/botany-and-herbarium/collections/database/results.php?Genus=Acer&amp;Species=circinatum&amp;SourcePage=search.php&amp;IncludeSynonyms=Y&amp;SortBy=DESC&amp;SortOrder=Year</t>
  </si>
  <si>
    <t>http://www.burkemuseum.org/research-and-collections/botany-and-herbarium/collections/database/results.php?Genus=Acer&amp;Species=glabrum&amp;SourcePage=search.php&amp;IncludeSynonyms=Y&amp;SortBy=DESC&amp;SortOrder=Year</t>
  </si>
  <si>
    <t>http://www.burkemuseum.org/research-and-collections/botany-and-herbarium/collections/database/results.php?Genus=Acer&amp;Species=macrophyllum&amp;SourcePage=search.php&amp;IncludeSynonyms=Y&amp;SortBy=DESC&amp;SortOrder=Year</t>
  </si>
  <si>
    <t>http://www.burkemuseum.org/research-and-collections/botany-and-herbarium/collections/database/results.php?Genus=Achillea&amp;Species=millefolium&amp;SourcePage=search.php&amp;IncludeSynonyms=Y&amp;SortBy=DESC&amp;SortOrder=Year</t>
  </si>
  <si>
    <t>http://www.burkemuseum.org/research-and-collections/botany-and-herbarium/collections/database/results.php?Genus=Achlys&amp;Species=triphylla&amp;SourcePage=search.php&amp;IncludeSynonyms=Y&amp;SortBy=DESC&amp;SortOrder=Year</t>
  </si>
  <si>
    <t>http://www.burkemuseum.org/research-and-collections/botany-and-herbarium/collections/database/results.php?Genus=Aconitum&amp;Species=columbianum&amp;SourcePage=search.php&amp;IncludeSynonyms=Y&amp;SortBy=DESC&amp;SortOrder=Year</t>
  </si>
  <si>
    <t>http://www.burkemuseum.org/research-and-collections/botany-and-herbarium/collections/database/results.php?Genus=Actaea&amp;Species=elata&amp;SourcePage=search.php&amp;IncludeSynonyms=Y&amp;SortBy=DESC&amp;SortOrder=Year</t>
  </si>
  <si>
    <t>http://www.burkemuseum.org/research-and-collections/botany-and-herbarium/collections/database/results.php?Genus=Actaea&amp;Species=rubra&amp;SourcePage=search.php&amp;IncludeSynonyms=Y&amp;SortBy=DESC&amp;SortOrder=Year</t>
  </si>
  <si>
    <t>http://www.burkemuseum.org/research-and-collections/botany-and-herbarium/collections/database/results.php?Genus=Adenocaulon&amp;Species=bicolor&amp;SourcePage=search.php&amp;IncludeSynonyms=Y&amp;SortBy=DESC&amp;SortOrder=Year</t>
  </si>
  <si>
    <t>http://www.burkemuseum.org/research-and-collections/botany-and-herbarium/collections/database/results.php?Genus=Adiantum&amp;Species=aleuticum&amp;SourcePage=search.php&amp;IncludeSynonyms=Y&amp;SortBy=DESC&amp;SortOrder=Year</t>
  </si>
  <si>
    <t>http://www.burkemuseum.org/research-and-collections/botany-and-herbarium/collections/database/results.php?Genus=Adiantum&amp;Species=pedatum&amp;SourcePage=search.php&amp;IncludeSynonyms=Y&amp;SortBy=DESC&amp;SortOrder=Year</t>
  </si>
  <si>
    <t>http://www.burkemuseum.org/research-and-collections/botany-and-herbarium/collections/database/results.php?Genus=Agastache&amp;Species=urticifolia&amp;SourcePage=search.php&amp;IncludeSynonyms=Y&amp;SortBy=DESC&amp;SortOrder=Year</t>
  </si>
  <si>
    <t>http://www.burkemuseum.org/research-and-collections/botany-and-herbarium/collections/database/results.php?Genus=Agoseris&amp;Species=apargioides&amp;SourcePage=search.php&amp;IncludeSynonyms=Y&amp;SortBy=DESC&amp;SortOrder=Year</t>
  </si>
  <si>
    <t>http://www.burkemuseum.org/research-and-collections/botany-and-herbarium/collections/database/results.php?Genus=Agoseris&amp;Species=elata&amp;SourcePage=search.php&amp;IncludeSynonyms=Y&amp;SortBy=DESC&amp;SortOrder=Year</t>
  </si>
  <si>
    <t>http://www.burkemuseum.org/research-and-collections/botany-and-herbarium/collections/database/results.php?Genus=Agoseris&amp;Species=grandiflora&amp;SourcePage=search.php&amp;IncludeSynonyms=Y&amp;SortBy=DESC&amp;SortOrder=Year</t>
  </si>
  <si>
    <t>http://www.burkemuseum.org/research-and-collections/botany-and-herbarium/collections/database/results.php?Genus=Agoseris&amp;Species=heterophylla&amp;SourcePage=search.php&amp;IncludeSynonyms=Y&amp;SortBy=DESC&amp;SortOrder=Year</t>
  </si>
  <si>
    <t>http://www.burkemuseum.org/research-and-collections/botany-and-herbarium/collections/database/results.php?Genus=Agrostis&amp;Species=exarata&amp;SourcePage=search.php&amp;IncludeSynonyms=Y&amp;SortBy=DESC&amp;SortOrder=Year</t>
  </si>
  <si>
    <t>http://www.burkemuseum.org/research-and-collections/botany-and-herbarium/collections/database/results.php?Genus=Agrostis&amp;Species=oregonensis&amp;SourcePage=search.php&amp;IncludeSynonyms=Y&amp;SortBy=DESC&amp;SortOrder=Year</t>
  </si>
  <si>
    <t>http://www.burkemuseum.org/research-and-collections/botany-and-herbarium/collections/database/results.php?Genus=Agrostis&amp;Species=pallens&amp;SourcePage=search.php&amp;IncludeSynonyms=Y&amp;SortBy=DESC&amp;SortOrder=Year</t>
  </si>
  <si>
    <t>http://www.burkemuseum.org/research-and-collections/botany-and-herbarium/collections/database/results.php?Genus=Agrostis&amp;Species=scabra&amp;SourcePage=search.php&amp;IncludeSynonyms=Y&amp;SortBy=DESC&amp;SortOrder=Year</t>
  </si>
  <si>
    <t>http://www.burkemuseum.org/research-and-collections/botany-and-herbarium/collections/database/results.php?Genus=Alisma&amp;Species=triviale&amp;SourcePage=search.php&amp;IncludeSynonyms=Y&amp;SortBy=DESC&amp;SortOrder=Year</t>
  </si>
  <si>
    <t>http://www.burkemuseum.org/research-and-collections/botany-and-herbarium/collections/database/results.php?Genus=Allium&amp;Species=acuminatum&amp;SourcePage=search.php&amp;IncludeSynonyms=Y&amp;SortBy=DESC&amp;SortOrder=Year</t>
  </si>
  <si>
    <t>http://www.burkemuseum.org/research-and-collections/botany-and-herbarium/collections/database/results.php?Genus=Allium&amp;Species=amplectens&amp;SourcePage=search.php&amp;IncludeSynonyms=Y&amp;SortBy=DESC&amp;SortOrder=Year</t>
  </si>
  <si>
    <t>http://www.burkemuseum.org/research-and-collections/botany-and-herbarium/collections/database/results.php?Genus=Allium&amp;Species=cernuum&amp;SourcePage=search.php&amp;IncludeSynonyms=Y&amp;SortBy=DESC&amp;SortOrder=Year</t>
  </si>
  <si>
    <t>http://www.burkemuseum.org/research-and-collections/botany-and-herbarium/collections/database/results.php?Genus=Allium&amp;Species=crenulatum&amp;SourcePage=search.php&amp;IncludeSynonyms=Y&amp;SortBy=DESC&amp;SortOrder=Year</t>
  </si>
  <si>
    <t>http://www.burkemuseum.org/research-and-collections/botany-and-herbarium/collections/database/results.php?Genus=Allium&amp;Species=schoenoprasum&amp;SourcePage=search.php&amp;IncludeSynonyms=Y&amp;SortBy=DESC&amp;SortOrder=Year</t>
  </si>
  <si>
    <t>http://www.burkemuseum.org/research-and-collections/botany-and-herbarium/collections/database/results.php?Genus=Allotropa&amp;Species=virgata&amp;SourcePage=search.php&amp;IncludeSynonyms=Y&amp;SortBy=DESC&amp;SortOrder=Year</t>
  </si>
  <si>
    <t>http://www.burkemuseum.org/research-and-collections/botany-and-herbarium/collections/database/results.php?Genus=Alnus&amp;Species=incana&amp;SourcePage=search.php&amp;IncludeSynonyms=Y&amp;SortBy=DESC&amp;SortOrder=Year</t>
  </si>
  <si>
    <t>http://www.burkemuseum.org/research-and-collections/botany-and-herbarium/collections/database/results.php?Genus=Alnus&amp;Species=rhombifolia&amp;SourcePage=search.php&amp;IncludeSynonyms=Y&amp;SortBy=DESC&amp;SortOrder=Year</t>
  </si>
  <si>
    <t>http://www.burkemuseum.org/research-and-collections/botany-and-herbarium/collections/database/results.php?Genus=Alnus&amp;Species=rubra&amp;SourcePage=search.php&amp;IncludeSynonyms=Y&amp;SortBy=DESC&amp;SortOrder=Year</t>
  </si>
  <si>
    <t>http://www.burkemuseum.org/research-and-collections/botany-and-herbarium/collections/database/results.php?Genus=Alnus&amp;Species=viridis&amp;SourcePage=search.php&amp;IncludeSynonyms=Y&amp;SortBy=DESC&amp;SortOrder=Year</t>
  </si>
  <si>
    <t>http://www.burkemuseum.org/research-and-collections/botany-and-herbarium/collections/database/results.php?Genus=Ambrosia&amp;Species=chamissonis&amp;SourcePage=search.php&amp;IncludeSynonyms=Y&amp;SortBy=DESC&amp;SortOrder=Year</t>
  </si>
  <si>
    <t>http://www.burkemuseum.org/research-and-collections/botany-and-herbarium/collections/database/results.php?Genus=Amelanchier&amp;Species=alnifolia&amp;SourcePage=search.php&amp;IncludeSynonyms=Y&amp;SortBy=DESC&amp;SortOrder=Year</t>
  </si>
  <si>
    <t>http://www.burkemuseum.org/research-and-collections/botany-and-herbarium/collections/database/results.php?Genus=Amsinckia&amp;Species=lycopsoides&amp;SourcePage=search.php&amp;IncludeSynonyms=Y&amp;SortBy=DESC&amp;SortOrder=Year</t>
  </si>
  <si>
    <t>http://www.burkemuseum.org/research-and-collections/botany-and-herbarium/collections/database/results.php?Genus=Amsinckia&amp;Species=menziesii&amp;SourcePage=search.php&amp;IncludeSynonyms=Y&amp;SortBy=DESC&amp;SortOrder=Year</t>
  </si>
  <si>
    <t>http://www.burkemuseum.org/research-and-collections/botany-and-herbarium/collections/database/results.php?Genus=Amsinckia&amp;Species=spectabilis&amp;SourcePage=search.php&amp;IncludeSynonyms=Y&amp;SortBy=DESC&amp;SortOrder=Year</t>
  </si>
  <si>
    <t>http://www.burkemuseum.org/research-and-collections/botany-and-herbarium/collections/database/results.php?Genus=Anaphalis&amp;Species=margaritacea&amp;SourcePage=search.php&amp;IncludeSynonyms=Y&amp;SortBy=DESC&amp;SortOrder=Year</t>
  </si>
  <si>
    <t>http://www.burkemuseum.org/research-and-collections/botany-and-herbarium/collections/database/results.php?Genus=Andromeda&amp;Species=polifolia&amp;SourcePage=search.php&amp;IncludeSynonyms=Y&amp;SortBy=DESC&amp;SortOrder=Year</t>
  </si>
  <si>
    <t>http://www.burkemuseum.org/research-and-collections/botany-and-herbarium/collections/database/results.php?Genus=Anemone&amp;Species=deltoidea&amp;SourcePage=search.php&amp;IncludeSynonyms=Y&amp;SortBy=DESC&amp;SortOrder=Year</t>
  </si>
  <si>
    <t>http://www.burkemuseum.org/research-and-collections/botany-and-herbarium/collections/database/results.php?Genus=Anemone&amp;Species=lyallii&amp;SourcePage=search.php&amp;IncludeSynonyms=Y&amp;SortBy=DESC&amp;SortOrder=Year</t>
  </si>
  <si>
    <t>http://www.burkemuseum.org/research-and-collections/botany-and-herbarium/collections/database/results.php?Genus=Anemone&amp;Species=multifida&amp;SourcePage=search.php&amp;IncludeSynonyms=Y&amp;SortBy=DESC&amp;SortOrder=Year</t>
  </si>
  <si>
    <t>http://www.burkemuseum.org/research-and-collections/botany-and-herbarium/collections/database/results.php?Genus=Anemone&amp;Species=oregana&amp;SourcePage=search.php&amp;IncludeSynonyms=Y&amp;SortBy=DESC&amp;SortOrder=Year</t>
  </si>
  <si>
    <t>http://www.burkemuseum.org/research-and-collections/botany-and-herbarium/collections/database/results.php?Genus=Angelica&amp;Species=arguta&amp;SourcePage=search.php&amp;IncludeSynonyms=Y&amp;SortBy=DESC&amp;SortOrder=Year</t>
  </si>
  <si>
    <t>http://www.burkemuseum.org/research-and-collections/botany-and-herbarium/collections/database/results.php?Genus=Angelica&amp;Species=genuflexa&amp;SourcePage=search.php&amp;IncludeSynonyms=Y&amp;SortBy=DESC&amp;SortOrder=Year</t>
  </si>
  <si>
    <t>http://www.burkemuseum.org/research-and-collections/botany-and-herbarium/collections/database/results.php?Genus=Angelica&amp;Species=hendersonii&amp;SourcePage=search.php&amp;IncludeSynonyms=Y&amp;SortBy=DESC&amp;SortOrder=Year</t>
  </si>
  <si>
    <t>http://www.burkemuseum.org/research-and-collections/botany-and-herbarium/collections/database/results.php?Genus=Angelica&amp;Species=lucida&amp;SourcePage=search.php&amp;IncludeSynonyms=Y&amp;SortBy=DESC&amp;SortOrder=Year</t>
  </si>
  <si>
    <t>http://www.burkemuseum.org/research-and-collections/botany-and-herbarium/collections/database/results.php?Genus=Anisocarpus&amp;Species=madioides&amp;SourcePage=search.php&amp;IncludeSynonyms=Y&amp;SortBy=DESC&amp;SortOrder=Year</t>
  </si>
  <si>
    <t>http://www.burkemuseum.org/research-and-collections/botany-and-herbarium/collections/database/results.php?Genus=Antennaria&amp;Species=howellii&amp;SourcePage=search.php&amp;IncludeSynonyms=Y&amp;SortBy=DESC&amp;SortOrder=Year</t>
  </si>
  <si>
    <t>http://www.burkemuseum.org/research-and-collections/botany-and-herbarium/collections/database/results.php?Genus=Antennaria&amp;Species=racemosa&amp;SourcePage=search.php&amp;IncludeSynonyms=Y&amp;SortBy=DESC&amp;SortOrder=Year</t>
  </si>
  <si>
    <t>http://www.burkemuseum.org/research-and-collections/botany-and-herbarium/collections/database/results.php?Genus=Anticlea&amp;Species=occidentalis&amp;SourcePage=search.php&amp;IncludeSynonyms=Y&amp;SortBy=DESC&amp;SortOrder=Year</t>
  </si>
  <si>
    <t>http://www.burkemuseum.org/research-and-collections/botany-and-herbarium/collections/database/results.php?Genus=Aphyllon&amp;Species=californicum&amp;SourcePage=search.php&amp;IncludeSynonyms=Y&amp;SortBy=DESC&amp;SortOrder=Year</t>
  </si>
  <si>
    <t>http://www.burkemuseum.org/research-and-collections/botany-and-herbarium/collections/database/results.php?Genus=Aphyllon&amp;Species=fasciculata&amp;SourcePage=search.php&amp;IncludeSynonyms=Y&amp;SortBy=DESC&amp;SortOrder=Year</t>
  </si>
  <si>
    <t>http://www.burkemuseum.org/research-and-collections/botany-and-herbarium/collections/database/results.php?Genus=Aphyllon&amp;Species=pinorum&amp;SourcePage=search.php&amp;IncludeSynonyms=Y&amp;SortBy=DESC&amp;SortOrder=Year</t>
  </si>
  <si>
    <t>http://www.burkemuseum.org/research-and-collections/botany-and-herbarium/collections/database/results.php?Genus=Apocynum&amp;Species=androsaemifolium&amp;SourcePage=search.php&amp;IncludeSynonyms=Y&amp;SortBy=DESC&amp;SortOrder=Year</t>
  </si>
  <si>
    <t>http://www.burkemuseum.org/research-and-collections/botany-and-herbarium/collections/database/results.php?Genus=Apocynum&amp;Species=cannabinum&amp;SourcePage=search.php&amp;IncludeSynonyms=Y&amp;SortBy=DESC&amp;SortOrder=Year</t>
  </si>
  <si>
    <t>http://www.burkemuseum.org/research-and-collections/botany-and-herbarium/collections/database/results.php?Genus=Aquilegia&amp;Species=formosa&amp;SourcePage=search.php&amp;IncludeSynonyms=Y&amp;SortBy=DESC&amp;SortOrder=Year</t>
  </si>
  <si>
    <t>http://www.burkemuseum.org/research-and-collections/botany-and-herbarium/collections/database/results.php?Genus=Arabis&amp;Species=eschscholtziana&amp;SourcePage=search.php&amp;IncludeSynonyms=Y&amp;SortBy=DESC&amp;SortOrder=Year</t>
  </si>
  <si>
    <t>http://www.burkemuseum.org/research-and-collections/botany-and-herbarium/collections/database/results.php?Genus=Arbutus&amp;Species=menziesii&amp;SourcePage=search.php&amp;IncludeSynonyms=Y&amp;SortBy=DESC&amp;SortOrder=Year</t>
  </si>
  <si>
    <t>http://www.burkemuseum.org/research-and-collections/botany-and-herbarium/collections/database/results.php?Genus=Arceuthobium&amp;Species=campylopodum&amp;SourcePage=search.php&amp;IncludeSynonyms=Y&amp;SortBy=DESC&amp;SortOrder=Year</t>
  </si>
  <si>
    <t>http://www.burkemuseum.org/research-and-collections/botany-and-herbarium/collections/database/results.php?Genus=Arceuthobium&amp;Species=tsugense&amp;SourcePage=search.php&amp;IncludeSynonyms=Y&amp;SortBy=DESC&amp;SortOrder=Year</t>
  </si>
  <si>
    <t>http://www.burkemuseum.org/research-and-collections/botany-and-herbarium/collections/database/results.php?Genus=Arctostaphylos&amp;Species=columbiana&amp;SourcePage=search.php&amp;IncludeSynonyms=Y&amp;SortBy=DESC&amp;SortOrder=Year</t>
  </si>
  <si>
    <t>http://www.burkemuseum.org/research-and-collections/botany-and-herbarium/collections/database/results.php?Genus=Arctostaphylos&amp;Species=media&amp;SourcePage=search.php&amp;IncludeSynonyms=Y&amp;SortBy=DESC&amp;SortOrder=Year</t>
  </si>
  <si>
    <t>http://www.burkemuseum.org/research-and-collections/botany-and-herbarium/collections/database/results.php?Genus=Arctostaphylos&amp;Species=uva-ursi&amp;SourcePage=search.php&amp;IncludeSynonyms=Y&amp;SortBy=DESC&amp;SortOrder=Year</t>
  </si>
  <si>
    <t>http://www.burkemuseum.org/research-and-collections/botany-and-herbarium/collections/database/results.php?Genus=Armeria&amp;Species=maritima&amp;SourcePage=search.php&amp;IncludeSynonyms=Y&amp;SortBy=DESC&amp;SortOrder=Year</t>
  </si>
  <si>
    <t>http://www.burkemuseum.org/research-and-collections/botany-and-herbarium/collections/database/results.php?Genus=Arnica&amp;Species=cordifolia&amp;SourcePage=search.php&amp;IncludeSynonyms=Y&amp;SortBy=DESC&amp;SortOrder=Year</t>
  </si>
  <si>
    <t>http://www.burkemuseum.org/research-and-collections/botany-and-herbarium/collections/database/results.php?Genus=Arnica&amp;Species=lanceolata&amp;SourcePage=search.php&amp;IncludeSynonyms=Y&amp;SortBy=DESC&amp;SortOrder=Year</t>
  </si>
  <si>
    <t>http://www.burkemuseum.org/research-and-collections/botany-and-herbarium/collections/database/results.php?Genus=Arnica&amp;Species=longifolia&amp;SourcePage=search.php&amp;IncludeSynonyms=Y&amp;SortBy=DESC&amp;SortOrder=Year</t>
  </si>
  <si>
    <t>http://www.burkemuseum.org/research-and-collections/botany-and-herbarium/collections/database/results.php?Genus=Artemisia&amp;Species=campestris&amp;SourcePage=search.php&amp;IncludeSynonyms=Y&amp;SortBy=DESC&amp;SortOrder=Year</t>
  </si>
  <si>
    <t>http://www.burkemuseum.org/research-and-collections/botany-and-herbarium/collections/database/results.php?Genus=Artemisia&amp;Species=douglasiana&amp;SourcePage=search.php&amp;IncludeSynonyms=Y&amp;SortBy=DESC&amp;SortOrder=Year</t>
  </si>
  <si>
    <t>http://www.burkemuseum.org/research-and-collections/botany-and-herbarium/collections/database/results.php?Genus=Artemisia&amp;Species=ludoviciana&amp;SourcePage=search.php&amp;IncludeSynonyms=Y&amp;SortBy=DESC&amp;SortOrder=Year</t>
  </si>
  <si>
    <t>http://www.burkemuseum.org/research-and-collections/botany-and-herbarium/collections/database/results.php?Genus=Artemisia&amp;Species=michauxiana&amp;SourcePage=search.php&amp;IncludeSynonyms=Y&amp;SortBy=DESC&amp;SortOrder=Year</t>
  </si>
  <si>
    <t>http://www.burkemuseum.org/research-and-collections/botany-and-herbarium/collections/database/results.php?Genus=Artemisia&amp;Species=suksdorfii&amp;SourcePage=search.php&amp;IncludeSynonyms=Y&amp;SortBy=DESC&amp;SortOrder=Year</t>
  </si>
  <si>
    <t>http://www.burkemuseum.org/research-and-collections/botany-and-herbarium/collections/database/results.php?Genus=Aruncus&amp;Species=dioicus&amp;SourcePage=search.php&amp;IncludeSynonyms=Y&amp;SortBy=DESC&amp;SortOrder=Year</t>
  </si>
  <si>
    <t>http://www.burkemuseum.org/research-and-collections/botany-and-herbarium/collections/database/results.php?Genus=Asarum&amp;Species=caudatum&amp;SourcePage=search.php&amp;IncludeSynonyms=Y&amp;SortBy=DESC&amp;SortOrder=Year</t>
  </si>
  <si>
    <t>http://www.burkemuseum.org/research-and-collections/botany-and-herbarium/collections/database/results.php?Genus=Asclepias&amp;Species=cordifolia&amp;SourcePage=search.php&amp;IncludeSynonyms=Y&amp;SortBy=DESC&amp;SortOrder=Year</t>
  </si>
  <si>
    <t>http://www.burkemuseum.org/research-and-collections/botany-and-herbarium/collections/database/results.php?Genus=Asclepias&amp;Species=speciosa&amp;SourcePage=search.php&amp;IncludeSynonyms=Y&amp;SortBy=DESC&amp;SortOrder=Year</t>
  </si>
  <si>
    <t>http://www.burkemuseum.org/research-and-collections/botany-and-herbarium/collections/database/results.php?Genus=Aspidotis&amp;Species=densa&amp;SourcePage=search.php&amp;IncludeSynonyms=Y&amp;SortBy=DESC&amp;SortOrder=Year</t>
  </si>
  <si>
    <t>http://www.burkemuseum.org/research-and-collections/botany-and-herbarium/collections/database/results.php?Genus=Asplenium&amp;Species=trichomanes&amp;SourcePage=search.php&amp;IncludeSynonyms=Y&amp;SortBy=DESC&amp;SortOrder=Year</t>
  </si>
  <si>
    <t>http://www.burkemuseum.org/research-and-collections/botany-and-herbarium/collections/database/results.php?Genus=Athyrium&amp;Species=filix-femina&amp;SourcePage=search.php&amp;IncludeSynonyms=Y&amp;SortBy=DESC&amp;SortOrder=Year</t>
  </si>
  <si>
    <t>http://www.burkemuseum.org/research-and-collections/botany-and-herbarium/collections/database/results.php?Genus=Athysanus&amp;Species=pusillus&amp;SourcePage=search.php&amp;IncludeSynonyms=Y&amp;SortBy=DESC&amp;SortOrder=Year</t>
  </si>
  <si>
    <t>http://www.burkemuseum.org/research-and-collections/botany-and-herbarium/collections/database/results.php?Genus=Azolla&amp;Species=filiculoides&amp;SourcePage=search.php&amp;IncludeSynonyms=Y&amp;SortBy=DESC&amp;SortOrder=Year</t>
  </si>
  <si>
    <t>http://www.burkemuseum.org/research-and-collections/botany-and-herbarium/collections/database/results.php?Genus=Azolla&amp;Species=mexicana&amp;SourcePage=search.php&amp;IncludeSynonyms=Y&amp;SortBy=DESC&amp;SortOrder=Year</t>
  </si>
  <si>
    <t>http://www.burkemuseum.org/research-and-collections/botany-and-herbarium/collections/database/results.php?Genus=Baccharis&amp;Species=pilularis&amp;SourcePage=search.php&amp;IncludeSynonyms=Y&amp;SortBy=DESC&amp;SortOrder=Year</t>
  </si>
  <si>
    <t>http://www.burkemuseum.org/research-and-collections/botany-and-herbarium/collections/database/results.php?Genus=Balsamorhiza&amp;Species=deltoidea&amp;SourcePage=search.php&amp;IncludeSynonyms=Y&amp;SortBy=DESC&amp;SortOrder=Year</t>
  </si>
  <si>
    <t>http://www.burkemuseum.org/research-and-collections/botany-and-herbarium/collections/database/results.php?Genus=Barbarea&amp;Species=orthoceras&amp;SourcePage=search.php&amp;IncludeSynonyms=Y&amp;SortBy=DESC&amp;SortOrder=Year</t>
  </si>
  <si>
    <t>http://www.burkemuseum.org/research-and-collections/botany-and-herbarium/collections/database/results.php?Genus=Berberis&amp;Species=aquifolium&amp;SourcePage=search.php&amp;IncludeSynonyms=Y&amp;SortBy=DESC&amp;SortOrder=Year</t>
  </si>
  <si>
    <t>http://www.burkemuseum.org/research-and-collections/botany-and-herbarium/collections/database/results.php?Genus=Berberis&amp;Species=nervosa&amp;SourcePage=search.php&amp;IncludeSynonyms=Y&amp;SortBy=DESC&amp;SortOrder=Year</t>
  </si>
  <si>
    <t>http://www.burkemuseum.org/research-and-collections/botany-and-herbarium/collections/database/results.php?Genus=Berberis&amp;Species=repens&amp;SourcePage=search.php&amp;IncludeSynonyms=Y&amp;SortBy=DESC&amp;SortOrder=Year</t>
  </si>
  <si>
    <t>http://www.burkemuseum.org/research-and-collections/botany-and-herbarium/collections/database/results.php?Genus=Betula&amp;Species=glandulosa&amp;SourcePage=search.php&amp;IncludeSynonyms=Y&amp;SortBy=DESC&amp;SortOrder=Year</t>
  </si>
  <si>
    <t>http://www.burkemuseum.org/research-and-collections/botany-and-herbarium/collections/database/results.php?Genus=Betula&amp;Species=occidentalis&amp;SourcePage=search.php&amp;IncludeSynonyms=Y&amp;SortBy=DESC&amp;SortOrder=Year</t>
  </si>
  <si>
    <t>http://www.burkemuseum.org/research-and-collections/botany-and-herbarium/collections/database/results.php?Genus=Betula&amp;Species=papyrifera&amp;SourcePage=search.php&amp;IncludeSynonyms=Y&amp;SortBy=DESC&amp;SortOrder=Year</t>
  </si>
  <si>
    <t>http://www.burkemuseum.org/research-and-collections/botany-and-herbarium/collections/database/results.php?Genus=Betula&amp;Species=pumila&amp;SourcePage=search.php&amp;IncludeSynonyms=Y&amp;SortBy=DESC&amp;SortOrder=Year</t>
  </si>
  <si>
    <t>http://www.burkemuseum.org/research-and-collections/botany-and-herbarium/collections/database/results.php?Genus=Bidens&amp;Species=beckii&amp;SourcePage=search.php&amp;IncludeSynonyms=Y&amp;SortBy=DESC&amp;SortOrder=Year</t>
  </si>
  <si>
    <t>http://www.burkemuseum.org/research-and-collections/botany-and-herbarium/collections/database/results.php?Genus=Bidens&amp;Species=cernua&amp;SourcePage=search.php&amp;IncludeSynonyms=Y&amp;SortBy=DESC&amp;SortOrder=Year</t>
  </si>
  <si>
    <t>http://www.burkemuseum.org/research-and-collections/botany-and-herbarium/collections/database/results.php?Genus=Bidens&amp;Species=frondosa&amp;SourcePage=search.php&amp;IncludeSynonyms=Y&amp;SortBy=DESC&amp;SortOrder=Year</t>
  </si>
  <si>
    <t>http://www.burkemuseum.org/research-and-collections/botany-and-herbarium/collections/database/results.php?Genus=Bidens&amp;Species=vulgata&amp;SourcePage=search.php&amp;IncludeSynonyms=Y&amp;SortBy=DESC&amp;SortOrder=Year</t>
  </si>
  <si>
    <t>http://www.burkemuseum.org/research-and-collections/botany-and-herbarium/collections/database/results.php?Genus=Blechnum&amp;Species=spicant&amp;SourcePage=search.php&amp;IncludeSynonyms=Y&amp;SortBy=DESC&amp;SortOrder=Year</t>
  </si>
  <si>
    <t>http://www.burkemuseum.org/research-and-collections/botany-and-herbarium/collections/database/results.php?Genus=Bolandra&amp;Species=oregana&amp;SourcePage=search.php&amp;IncludeSynonyms=Y&amp;SortBy=DESC&amp;SortOrder=Year</t>
  </si>
  <si>
    <t>http://www.burkemuseum.org/research-and-collections/botany-and-herbarium/collections/database/results.php?Genus=Bolboschoenus&amp;Species=maritimus&amp;SourcePage=search.php&amp;IncludeSynonyms=Y&amp;SortBy=DESC&amp;SortOrder=Year</t>
  </si>
  <si>
    <t>http://www.burkemuseum.org/research-and-collections/botany-and-herbarium/collections/database/results.php?Genus=Botrychium&amp;Species=minganense&amp;SourcePage=search.php&amp;IncludeSynonyms=Y&amp;SortBy=DESC&amp;SortOrder=Year</t>
  </si>
  <si>
    <t>http://www.burkemuseum.org/research-and-collections/botany-and-herbarium/collections/database/results.php?Genus=Botrychium&amp;Species=multifidum&amp;SourcePage=search.php&amp;IncludeSynonyms=Y&amp;SortBy=DESC&amp;SortOrder=Year</t>
  </si>
  <si>
    <t>http://www.burkemuseum.org/research-and-collections/botany-and-herbarium/collections/database/results.php?Genus=Botrychium&amp;Species=virginianum&amp;SourcePage=search.php&amp;IncludeSynonyms=Y&amp;SortBy=DESC&amp;SortOrder=Year</t>
  </si>
  <si>
    <t>http://www.burkemuseum.org/research-and-collections/botany-and-herbarium/collections/database/results.php?Genus=Boykinia&amp;Species=intermedia&amp;SourcePage=search.php&amp;IncludeSynonyms=Y&amp;SortBy=DESC&amp;SortOrder=Year</t>
  </si>
  <si>
    <t>http://www.burkemuseum.org/research-and-collections/botany-and-herbarium/collections/database/results.php?Genus=Boykinia&amp;Species=occidentalis&amp;SourcePage=search.php&amp;IncludeSynonyms=Y&amp;SortBy=DESC&amp;SortOrder=Year</t>
  </si>
  <si>
    <t>http://www.burkemuseum.org/research-and-collections/botany-and-herbarium/collections/database/results.php?Genus=Brasenia&amp;Species=schreberi&amp;SourcePage=search.php&amp;IncludeSynonyms=Y&amp;SortBy=DESC&amp;SortOrder=Year</t>
  </si>
  <si>
    <t>http://www.burkemuseum.org/research-and-collections/botany-and-herbarium/collections/database/results.php?Genus=Brodiaea&amp;Species=coronaria&amp;SourcePage=search.php&amp;IncludeSynonyms=Y&amp;SortBy=DESC&amp;SortOrder=Year</t>
  </si>
  <si>
    <t>http://www.burkemuseum.org/research-and-collections/botany-and-herbarium/collections/database/results.php?Genus=Bromus&amp;Species=carinatus&amp;SourcePage=search.php&amp;IncludeSynonyms=Y&amp;SortBy=DESC&amp;SortOrder=Year</t>
  </si>
  <si>
    <t>http://www.burkemuseum.org/research-and-collections/botany-and-herbarium/collections/database/results.php?Genus=Bromus&amp;Species=sitchensis&amp;SourcePage=search.php&amp;IncludeSynonyms=Y&amp;SortBy=DESC&amp;SortOrder=Year</t>
  </si>
  <si>
    <t>http://www.burkemuseum.org/research-and-collections/botany-and-herbarium/collections/database/results.php?Genus=Cakile&amp;Species=edentula&amp;SourcePage=search.php&amp;IncludeSynonyms=Y&amp;SortBy=DESC&amp;SortOrder=Year</t>
  </si>
  <si>
    <t>http://www.burkemuseum.org/research-and-collections/botany-and-herbarium/collections/database/results.php?Genus=Calamagrostis&amp;Species=canadensis&amp;SourcePage=search.php&amp;IncludeSynonyms=Y&amp;SortBy=DESC&amp;SortOrder=Year</t>
  </si>
  <si>
    <t>http://www.burkemuseum.org/research-and-collections/botany-and-herbarium/collections/database/results.php?Genus=Calamagrostis&amp;Species=nutkaensis&amp;SourcePage=search.php&amp;IncludeSynonyms=Y&amp;SortBy=DESC&amp;SortOrder=Year</t>
  </si>
  <si>
    <t>http://www.burkemuseum.org/research-and-collections/botany-and-herbarium/collections/database/results.php?Genus=Calamagrostis&amp;Species=stricta&amp;SourcePage=search.php&amp;IncludeSynonyms=Y&amp;SortBy=DESC&amp;SortOrder=Year</t>
  </si>
  <si>
    <t>http://www.burkemuseum.org/research-and-collections/botany-and-herbarium/collections/database/results.php?Genus=Calandrinia&amp;Species=ciliata&amp;SourcePage=search.php&amp;IncludeSynonyms=Y&amp;SortBy=DESC&amp;SortOrder=Year</t>
  </si>
  <si>
    <t>http://www.burkemuseum.org/research-and-collections/botany-and-herbarium/collections/database/results.php?Genus=Callitriche&amp;Species=heterophylla&amp;SourcePage=search.php&amp;IncludeSynonyms=Y&amp;SortBy=DESC&amp;SortOrder=Year</t>
  </si>
  <si>
    <t>http://www.burkemuseum.org/research-and-collections/botany-and-herbarium/collections/database/results.php?Genus=Callitriche&amp;Species=palustris&amp;SourcePage=search.php&amp;IncludeSynonyms=Y&amp;SortBy=DESC&amp;SortOrder=Year</t>
  </si>
  <si>
    <t>http://www.burkemuseum.org/research-and-collections/botany-and-herbarium/collections/database/results.php?Genus=Callitropsis&amp;Species=nootkatensis&amp;SourcePage=search.php&amp;IncludeSynonyms=Y&amp;SortBy=DESC&amp;SortOrder=Year</t>
  </si>
  <si>
    <t>http://www.burkemuseum.org/research-and-collections/botany-and-herbarium/collections/database/results.php?Genus=Caltha&amp;Species=leptosepala&amp;SourcePage=search.php&amp;IncludeSynonyms=Y&amp;SortBy=DESC&amp;SortOrder=Year</t>
  </si>
  <si>
    <t>http://www.burkemuseum.org/research-and-collections/botany-and-herbarium/collections/database/results.php?Genus=Caltha&amp;Species=palustris&amp;SourcePage=search.php&amp;IncludeSynonyms=Y&amp;SortBy=DESC&amp;SortOrder=Year</t>
  </si>
  <si>
    <t>http://www.burkemuseum.org/research-and-collections/botany-and-herbarium/collections/database/results.php?Genus=Calypso&amp;Species=bulbosa&amp;SourcePage=search.php&amp;IncludeSynonyms=Y&amp;SortBy=DESC&amp;SortOrder=Year</t>
  </si>
  <si>
    <t>http://www.burkemuseum.org/research-and-collections/botany-and-herbarium/collections/database/results.php?Genus=Calystegia&amp;Species=soldanella&amp;SourcePage=search.php&amp;IncludeSynonyms=Y&amp;SortBy=DESC&amp;SortOrder=Year</t>
  </si>
  <si>
    <t>http://www.burkemuseum.org/research-and-collections/botany-and-herbarium/collections/database/results.php?Genus=Camassia&amp;Species=leichtlinii&amp;SourcePage=search.php&amp;IncludeSynonyms=Y&amp;SortBy=DESC&amp;SortOrder=Year</t>
  </si>
  <si>
    <t>http://www.burkemuseum.org/research-and-collections/botany-and-herbarium/collections/database/results.php?Genus=Camassia&amp;Species=quamash&amp;SourcePage=search.php&amp;IncludeSynonyms=Y&amp;SortBy=DESC&amp;SortOrder=Year</t>
  </si>
  <si>
    <t>http://www.burkemuseum.org/research-and-collections/botany-and-herbarium/collections/database/results.php?Genus=Camissonia&amp;Species=contorta&amp;SourcePage=search.php&amp;IncludeSynonyms=Y&amp;SortBy=DESC&amp;SortOrder=Year</t>
  </si>
  <si>
    <t>http://www.burkemuseum.org/research-and-collections/botany-and-herbarium/collections/database/results.php?Genus=Campanula&amp;Species=rotundifolia&amp;SourcePage=search.php&amp;IncludeSynonyms=Y&amp;SortBy=DESC&amp;SortOrder=Year</t>
  </si>
  <si>
    <t>http://www.burkemuseum.org/research-and-collections/botany-and-herbarium/collections/database/results.php?Genus=Campanula&amp;Species=scouleri&amp;SourcePage=search.php&amp;IncludeSynonyms=Y&amp;SortBy=DESC&amp;SortOrder=Year</t>
  </si>
  <si>
    <t>http://www.burkemuseum.org/research-and-collections/botany-and-herbarium/collections/database/results.php?Genus=Canadanthus&amp;Species=modestus&amp;SourcePage=search.php&amp;IncludeSynonyms=Y&amp;SortBy=DESC&amp;SortOrder=Year</t>
  </si>
  <si>
    <t>http://www.burkemuseum.org/research-and-collections/botany-and-herbarium/collections/database/results.php?Genus=Cardamine&amp;Species=angulata&amp;SourcePage=search.php&amp;IncludeSynonyms=Y&amp;SortBy=DESC&amp;SortOrder=Year</t>
  </si>
  <si>
    <t>http://www.burkemuseum.org/research-and-collections/botany-and-herbarium/collections/database/results.php?Genus=Cardamine&amp;Species=breweri&amp;SourcePage=search.php&amp;IncludeSynonyms=Y&amp;SortBy=DESC&amp;SortOrder=Year</t>
  </si>
  <si>
    <t>http://www.burkemuseum.org/research-and-collections/botany-and-herbarium/collections/database/results.php?Genus=Cardamine&amp;Species=nuttallii&amp;SourcePage=search.php&amp;IncludeSynonyms=Y&amp;SortBy=DESC&amp;SortOrder=Year</t>
  </si>
  <si>
    <t>http://www.burkemuseum.org/research-and-collections/botany-and-herbarium/collections/database/results.php?Genus=Cardamine&amp;Species=oligosperma&amp;SourcePage=search.php&amp;IncludeSynonyms=Y&amp;SortBy=DESC&amp;SortOrder=Year</t>
  </si>
  <si>
    <t>http://www.burkemuseum.org/research-and-collections/botany-and-herbarium/collections/database/results.php?Genus=Cardamine&amp;Species=pensylvanica&amp;SourcePage=search.php&amp;IncludeSynonyms=Y&amp;SortBy=DESC&amp;SortOrder=Year</t>
  </si>
  <si>
    <t>http://www.burkemuseum.org/research-and-collections/botany-and-herbarium/collections/database/results.php?Genus=Cardionema&amp;Species=ramosissima&amp;SourcePage=search.php&amp;IncludeSynonyms=Y&amp;SortBy=DESC&amp;SortOrder=Year</t>
  </si>
  <si>
    <t>http://www.burkemuseum.org/research-and-collections/botany-and-herbarium/collections/database/results.php?Genus=Carex&amp;Species=amplifolia&amp;SourcePage=search.php&amp;IncludeSynonyms=Y&amp;SortBy=DESC&amp;SortOrder=Year</t>
  </si>
  <si>
    <t>http://www.burkemuseum.org/research-and-collections/botany-and-herbarium/collections/database/results.php?Genus=Carex&amp;Species=anthoxanthea&amp;SourcePage=search.php&amp;IncludeSynonyms=Y&amp;SortBy=DESC&amp;SortOrder=Year</t>
  </si>
  <si>
    <t>http://www.burkemuseum.org/research-and-collections/botany-and-herbarium/collections/database/results.php?Genus=Carex&amp;Species=aquatilis&amp;SourcePage=search.php&amp;IncludeSynonyms=Y&amp;SortBy=DESC&amp;SortOrder=Year</t>
  </si>
  <si>
    <t>http://www.burkemuseum.org/research-and-collections/botany-and-herbarium/collections/database/results.php?Genus=Carex&amp;Species=athrostachya&amp;SourcePage=search.php&amp;IncludeSynonyms=Y&amp;SortBy=DESC&amp;SortOrder=Year</t>
  </si>
  <si>
    <t>http://www.burkemuseum.org/research-and-collections/botany-and-herbarium/collections/database/results.php?Genus=Carex&amp;Species=canescens&amp;SourcePage=search.php&amp;IncludeSynonyms=Y&amp;SortBy=DESC&amp;SortOrder=Year</t>
  </si>
  <si>
    <t>http://www.burkemuseum.org/research-and-collections/botany-and-herbarium/collections/database/results.php?Genus=Carex&amp;Species=circinata&amp;SourcePage=search.php&amp;IncludeSynonyms=Y&amp;SortBy=DESC&amp;SortOrder=Year</t>
  </si>
  <si>
    <t>http://www.burkemuseum.org/research-and-collections/botany-and-herbarium/collections/database/results.php?Genus=Carex&amp;Species=comosa&amp;SourcePage=search.php&amp;IncludeSynonyms=Y&amp;SortBy=DESC&amp;SortOrder=Year</t>
  </si>
  <si>
    <t>http://www.burkemuseum.org/research-and-collections/botany-and-herbarium/collections/database/results.php?Genus=Carex&amp;Species=cusickii&amp;SourcePage=search.php&amp;IncludeSynonyms=Y&amp;SortBy=DESC&amp;SortOrder=Year</t>
  </si>
  <si>
    <t>http://www.burkemuseum.org/research-and-collections/botany-and-herbarium/collections/database/results.php?Genus=Carex&amp;Species=densa&amp;SourcePage=search.php&amp;IncludeSynonyms=Y&amp;SortBy=DESC&amp;SortOrder=Year</t>
  </si>
  <si>
    <t>http://www.burkemuseum.org/research-and-collections/botany-and-herbarium/collections/database/results.php?Genus=Carex&amp;Species=deweyana&amp;SourcePage=search.php&amp;IncludeSynonyms=Y&amp;SortBy=DESC&amp;SortOrder=Year</t>
  </si>
  <si>
    <t>http://www.burkemuseum.org/research-and-collections/botany-and-herbarium/collections/database/results.php?Genus=Carex&amp;Species=echinata&amp;SourcePage=search.php&amp;IncludeSynonyms=Y&amp;SortBy=DESC&amp;SortOrder=Year</t>
  </si>
  <si>
    <t>http://www.burkemuseum.org/research-and-collections/botany-and-herbarium/collections/database/results.php?Genus=Carex&amp;Species=feta&amp;SourcePage=search.php&amp;IncludeSynonyms=Y&amp;SortBy=DESC&amp;SortOrder=Year</t>
  </si>
  <si>
    <t>http://www.burkemuseum.org/research-and-collections/botany-and-herbarium/collections/database/results.php?Genus=Carex&amp;Species=hendersonii&amp;SourcePage=search.php&amp;IncludeSynonyms=Y&amp;SortBy=DESC&amp;SortOrder=Year</t>
  </si>
  <si>
    <t>http://www.burkemuseum.org/research-and-collections/botany-and-herbarium/collections/database/results.php?Genus=Carex&amp;Species=inops&amp;SourcePage=search.php&amp;IncludeSynonyms=Y&amp;SortBy=DESC&amp;SortOrder=Year</t>
  </si>
  <si>
    <t>http://www.burkemuseum.org/research-and-collections/botany-and-herbarium/collections/database/results.php?Genus=Carex&amp;Species=interrupta&amp;SourcePage=search.php&amp;IncludeSynonyms=Y&amp;SortBy=DESC&amp;SortOrder=Year</t>
  </si>
  <si>
    <t>http://www.burkemuseum.org/research-and-collections/botany-and-herbarium/collections/database/results.php?Genus=Carex&amp;Species=lasiocarpa&amp;SourcePage=search.php&amp;IncludeSynonyms=Y&amp;SortBy=DESC&amp;SortOrder=Year</t>
  </si>
  <si>
    <t>http://www.burkemuseum.org/research-and-collections/botany-and-herbarium/collections/database/results.php?Genus=Carex&amp;Species=leptopoda&amp;SourcePage=search.php&amp;IncludeSynonyms=Y&amp;SortBy=DESC&amp;SortOrder=Year</t>
  </si>
  <si>
    <t>http://www.burkemuseum.org/research-and-collections/botany-and-herbarium/collections/database/results.php?Genus=Carex&amp;Species=limosa&amp;SourcePage=search.php&amp;IncludeSynonyms=Y&amp;SortBy=DESC&amp;SortOrder=Year</t>
  </si>
  <si>
    <t>http://www.burkemuseum.org/research-and-collections/botany-and-herbarium/collections/database/results.php?Genus=Carex&amp;Species=lyngbyei&amp;SourcePage=search.php&amp;IncludeSynonyms=Y&amp;SortBy=DESC&amp;SortOrder=Year</t>
  </si>
  <si>
    <t>http://www.burkemuseum.org/research-and-collections/botany-and-herbarium/collections/database/results.php?Genus=Carex&amp;Species=macrocephala&amp;SourcePage=search.php&amp;IncludeSynonyms=Y&amp;SortBy=DESC&amp;SortOrder=Year</t>
  </si>
  <si>
    <t>http://www.burkemuseum.org/research-and-collections/botany-and-herbarium/collections/database/results.php?Genus=Carex&amp;Species=mertensii&amp;SourcePage=search.php&amp;IncludeSynonyms=Y&amp;SortBy=DESC&amp;SortOrder=Year</t>
  </si>
  <si>
    <t>http://www.burkemuseum.org/research-and-collections/botany-and-herbarium/collections/database/results.php?Genus=Carex&amp;Species=nudata&amp;SourcePage=search.php&amp;IncludeSynonyms=Y&amp;SortBy=DESC&amp;SortOrder=Year</t>
  </si>
  <si>
    <t>http://www.burkemuseum.org/research-and-collections/botany-and-herbarium/collections/database/results.php?Genus=Carex&amp;Species=obnupta&amp;SourcePage=search.php&amp;IncludeSynonyms=Y&amp;SortBy=DESC&amp;SortOrder=Year</t>
  </si>
  <si>
    <t>http://www.burkemuseum.org/research-and-collections/botany-and-herbarium/collections/database/results.php?Genus=Carex&amp;Species=pachystachya&amp;SourcePage=search.php&amp;IncludeSynonyms=Y&amp;SortBy=DESC&amp;SortOrder=Year</t>
  </si>
  <si>
    <t>http://www.burkemuseum.org/research-and-collections/botany-and-herbarium/collections/database/results.php?Genus=Carex&amp;Species=pansa&amp;SourcePage=search.php&amp;IncludeSynonyms=Y&amp;SortBy=DESC&amp;SortOrder=Year</t>
  </si>
  <si>
    <t>http://www.burkemuseum.org/research-and-collections/botany-and-herbarium/collections/database/results.php?Genus=Carex&amp;Species=pauciflora&amp;SourcePage=search.php&amp;IncludeSynonyms=Y&amp;SortBy=DESC&amp;SortOrder=Year</t>
  </si>
  <si>
    <t>http://www.burkemuseum.org/research-and-collections/botany-and-herbarium/collections/database/results.php?Genus=Carex&amp;Species=pellita&amp;SourcePage=search.php&amp;IncludeSynonyms=Y&amp;SortBy=DESC&amp;SortOrder=Year</t>
  </si>
  <si>
    <t>http://www.burkemuseum.org/research-and-collections/botany-and-herbarium/collections/database/results.php?Genus=Carex&amp;Species=pluriflora&amp;SourcePage=search.php&amp;IncludeSynonyms=Y&amp;SortBy=DESC&amp;SortOrder=Year</t>
  </si>
  <si>
    <t>http://www.burkemuseum.org/research-and-collections/botany-and-herbarium/collections/database/results.php?Genus=Carex&amp;Species=praticola&amp;SourcePage=search.php&amp;IncludeSynonyms=Y&amp;SortBy=DESC&amp;SortOrder=Year</t>
  </si>
  <si>
    <t>http://www.burkemuseum.org/research-and-collections/botany-and-herbarium/collections/database/results.php?Genus=Carex&amp;Species=rossii&amp;SourcePage=search.php&amp;IncludeSynonyms=Y&amp;SortBy=DESC&amp;SortOrder=Year</t>
  </si>
  <si>
    <t>http://www.burkemuseum.org/research-and-collections/botany-and-herbarium/collections/database/results.php?Genus=Carex&amp;Species=rostrata&amp;SourcePage=search.php&amp;IncludeSynonyms=Y&amp;SortBy=DESC&amp;SortOrder=Year</t>
  </si>
  <si>
    <t>http://www.burkemuseum.org/research-and-collections/botany-and-herbarium/collections/database/results.php?Genus=Carex&amp;Species=stipata&amp;SourcePage=search.php&amp;IncludeSynonyms=Y&amp;SortBy=DESC&amp;SortOrder=Year</t>
  </si>
  <si>
    <t>http://www.burkemuseum.org/research-and-collections/botany-and-herbarium/collections/database/results.php?Genus=Carex&amp;Species=stylosa&amp;SourcePage=search.php&amp;IncludeSynonyms=Y&amp;SortBy=DESC&amp;SortOrder=Year</t>
  </si>
  <si>
    <t>http://www.burkemuseum.org/research-and-collections/botany-and-herbarium/collections/database/results.php?Genus=Carex&amp;Species=tumulicola&amp;SourcePage=search.php&amp;IncludeSynonyms=Y&amp;SortBy=DESC&amp;SortOrder=Year</t>
  </si>
  <si>
    <t>http://www.burkemuseum.org/research-and-collections/botany-and-herbarium/collections/database/results.php?Genus=Carex&amp;Species=unilateralis&amp;SourcePage=search.php&amp;IncludeSynonyms=Y&amp;SortBy=DESC&amp;SortOrder=Year</t>
  </si>
  <si>
    <t>http://www.burkemuseum.org/research-and-collections/botany-and-herbarium/collections/database/results.php?Genus=Carex&amp;Species=utriculata&amp;SourcePage=search.php&amp;IncludeSynonyms=Y&amp;SortBy=DESC&amp;SortOrder=Year</t>
  </si>
  <si>
    <t>http://www.burkemuseum.org/research-and-collections/botany-and-herbarium/collections/database/results.php?Genus=Carex&amp;Species=vesicaria&amp;SourcePage=search.php&amp;IncludeSynonyms=Y&amp;SortBy=DESC&amp;SortOrder=Year</t>
  </si>
  <si>
    <t>http://www.burkemuseum.org/research-and-collections/botany-and-herbarium/collections/database/results.php?Genus=Carex&amp;Species=viridula&amp;SourcePage=search.php&amp;IncludeSynonyms=Y&amp;SortBy=DESC&amp;SortOrder=Year</t>
  </si>
  <si>
    <t>http://www.burkemuseum.org/research-and-collections/botany-and-herbarium/collections/database/results.php?Genus=Carex&amp;Species=vulpinoidea&amp;SourcePage=search.php&amp;IncludeSynonyms=Y&amp;SortBy=DESC&amp;SortOrder=Year</t>
  </si>
  <si>
    <t>http://www.burkemuseum.org/research-and-collections/botany-and-herbarium/collections/database/results.php?Genus=Castilleja&amp;Species=ambigua&amp;SourcePage=search.php&amp;IncludeSynonyms=Y&amp;SortBy=DESC&amp;SortOrder=Year</t>
  </si>
  <si>
    <t>http://www.burkemuseum.org/research-and-collections/botany-and-herbarium/collections/database/results.php?Genus=Castilleja&amp;Species=attenuata&amp;SourcePage=search.php&amp;IncludeSynonyms=Y&amp;SortBy=DESC&amp;SortOrder=Year</t>
  </si>
  <si>
    <t>http://www.burkemuseum.org/research-and-collections/botany-and-herbarium/collections/database/results.php?Genus=Castilleja&amp;Species=chambersii&amp;SourcePage=search.php&amp;IncludeSynonyms=Y&amp;SortBy=DESC&amp;SortOrder=Year</t>
  </si>
  <si>
    <t>http://www.burkemuseum.org/research-and-collections/botany-and-herbarium/collections/database/results.php?Genus=Castilleja&amp;Species=hispida&amp;SourcePage=search.php&amp;IncludeSynonyms=Y&amp;SortBy=DESC&amp;SortOrder=Year</t>
  </si>
  <si>
    <t>http://www.burkemuseum.org/research-and-collections/botany-and-herbarium/collections/database/results.php?Genus=Castilleja&amp;Species=levisecta&amp;SourcePage=search.php&amp;IncludeSynonyms=Y&amp;SortBy=DESC&amp;SortOrder=Year</t>
  </si>
  <si>
    <t>http://www.burkemuseum.org/research-and-collections/botany-and-herbarium/collections/database/results.php?Genus=Castilleja&amp;Species=miniata&amp;SourcePage=search.php&amp;IncludeSynonyms=Y&amp;SortBy=DESC&amp;SortOrder=Year</t>
  </si>
  <si>
    <t>http://www.burkemuseum.org/research-and-collections/botany-and-herbarium/collections/database/results.php?Genus=Castilleja&amp;Species=victoriae&amp;SourcePage=search.php&amp;IncludeSynonyms=Y&amp;SortBy=DESC&amp;SortOrder=Year</t>
  </si>
  <si>
    <t>http://www.burkemuseum.org/research-and-collections/botany-and-herbarium/collections/database/results.php?Genus=Ceanothus&amp;Species=integerrimus&amp;SourcePage=search.php&amp;IncludeSynonyms=Y&amp;SortBy=DESC&amp;SortOrder=Year</t>
  </si>
  <si>
    <t>http://www.burkemuseum.org/research-and-collections/botany-and-herbarium/collections/database/results.php?Genus=Ceanothus&amp;Species=prostratus&amp;SourcePage=search.php&amp;IncludeSynonyms=Y&amp;SortBy=DESC&amp;SortOrder=Year</t>
  </si>
  <si>
    <t>http://www.burkemuseum.org/research-and-collections/botany-and-herbarium/collections/database/results.php?Genus=Ceanothus&amp;Species=sanguineus&amp;SourcePage=search.php&amp;IncludeSynonyms=Y&amp;SortBy=DESC&amp;SortOrder=Year</t>
  </si>
  <si>
    <t>http://www.burkemuseum.org/research-and-collections/botany-and-herbarium/collections/database/results.php?Genus=Ceanothus&amp;Species=velutinus&amp;SourcePage=search.php&amp;IncludeSynonyms=Y&amp;SortBy=DESC&amp;SortOrder=Year</t>
  </si>
  <si>
    <t>http://www.burkemuseum.org/research-and-collections/botany-and-herbarium/collections/database/results.php?Genus=Celtis&amp;Species=reticulata&amp;SourcePage=search.php&amp;IncludeSynonyms=Y&amp;SortBy=DESC&amp;SortOrder=Year</t>
  </si>
  <si>
    <t>http://www.burkemuseum.org/research-and-collections/botany-and-herbarium/collections/database/results.php?Genus=Cephalanthera&amp;Species=austiniae&amp;SourcePage=search.php&amp;IncludeSynonyms=Y&amp;SortBy=DESC&amp;SortOrder=Year</t>
  </si>
  <si>
    <t>http://www.burkemuseum.org/research-and-collections/botany-and-herbarium/collections/database/results.php?Genus=Cerastium&amp;Species=arvense&amp;SourcePage=search.php&amp;IncludeSynonyms=Y&amp;SortBy=DESC&amp;SortOrder=Year</t>
  </si>
  <si>
    <t>http://www.burkemuseum.org/research-and-collections/botany-and-herbarium/collections/database/results.php?Genus=Ceratophyllum&amp;Species=demersum&amp;SourcePage=search.php&amp;IncludeSynonyms=Y&amp;SortBy=DESC&amp;SortOrder=Year</t>
  </si>
  <si>
    <t>http://www.burkemuseum.org/research-and-collections/botany-and-herbarium/collections/database/results.php?Genus=Chamaenerion&amp;Species=augustifolium&amp;SourcePage=search.php&amp;IncludeSynonyms=Y&amp;SortBy=DESC&amp;SortOrder=Year</t>
  </si>
  <si>
    <t>http://www.burkemuseum.org/research-and-collections/botany-and-herbarium/collections/database/results.php?Genus=Chenopodium&amp;Species=berlandieri&amp;SourcePage=search.php&amp;IncludeSynonyms=Y&amp;SortBy=DESC&amp;SortOrder=Year</t>
  </si>
  <si>
    <t>http://www.burkemuseum.org/research-and-collections/botany-and-herbarium/collections/database/results.php?Genus=Chimaphila&amp;Species=menziesii&amp;SourcePage=search.php&amp;IncludeSynonyms=Y&amp;SortBy=DESC&amp;SortOrder=Year</t>
  </si>
  <si>
    <t>http://www.burkemuseum.org/research-and-collections/botany-and-herbarium/collections/database/results.php?Genus=Chimaphila&amp;Species=umbellata&amp;SourcePage=search.php&amp;IncludeSynonyms=Y&amp;SortBy=DESC&amp;SortOrder=Year</t>
  </si>
  <si>
    <t>http://www.burkemuseum.org/research-and-collections/botany-and-herbarium/collections/database/results.php?Genus=Chrysolepis&amp;Species=chrysophylla&amp;SourcePage=search.php&amp;IncludeSynonyms=Y&amp;SortBy=DESC&amp;SortOrder=Year</t>
  </si>
  <si>
    <t>http://www.burkemuseum.org/research-and-collections/botany-and-herbarium/collections/database/results.php?Genus=Chrysosplenium&amp;Species=glechomifolium&amp;SourcePage=search.php&amp;IncludeSynonyms=Y&amp;SortBy=DESC&amp;SortOrder=Year</t>
  </si>
  <si>
    <t>http://www.burkemuseum.org/research-and-collections/botany-and-herbarium/collections/database/results.php?Genus=Cicuta&amp;Species=bulbifera&amp;SourcePage=search.php&amp;IncludeSynonyms=Y&amp;SortBy=DESC&amp;SortOrder=Year</t>
  </si>
  <si>
    <t>http://www.burkemuseum.org/research-and-collections/botany-and-herbarium/collections/database/results.php?Genus=Cicuta&amp;Species=douglasii&amp;SourcePage=search.php&amp;IncludeSynonyms=Y&amp;SortBy=DESC&amp;SortOrder=Year</t>
  </si>
  <si>
    <t>http://www.burkemuseum.org/research-and-collections/botany-and-herbarium/collections/database/results.php?Genus=Cinna&amp;Species=latifolia&amp;SourcePage=search.php&amp;IncludeSynonyms=Y&amp;SortBy=DESC&amp;SortOrder=Year</t>
  </si>
  <si>
    <t>http://www.burkemuseum.org/research-and-collections/botany-and-herbarium/collections/database/results.php?Genus=Circaea&amp;Species=alpina&amp;SourcePage=search.php&amp;IncludeSynonyms=Y&amp;SortBy=DESC&amp;SortOrder=Year</t>
  </si>
  <si>
    <t>http://www.burkemuseum.org/research-and-collections/botany-and-herbarium/collections/database/results.php?Genus=Cirsium&amp;Species=brevistylum&amp;SourcePage=search.php&amp;IncludeSynonyms=Y&amp;SortBy=DESC&amp;SortOrder=Year</t>
  </si>
  <si>
    <t>http://www.burkemuseum.org/research-and-collections/botany-and-herbarium/collections/database/results.php?Genus=Cirsium&amp;Species=edule&amp;SourcePage=search.php&amp;IncludeSynonyms=Y&amp;SortBy=DESC&amp;SortOrder=Year</t>
  </si>
  <si>
    <t>http://www.burkemuseum.org/research-and-collections/botany-and-herbarium/collections/database/results.php?Genus=Cirsium&amp;Species=remotifolium&amp;SourcePage=search.php&amp;IncludeSynonyms=Y&amp;SortBy=DESC&amp;SortOrder=Year</t>
  </si>
  <si>
    <t>http://www.burkemuseum.org/research-and-collections/botany-and-herbarium/collections/database/results.php?Genus=Clarkia&amp;Species=amoena&amp;SourcePage=search.php&amp;IncludeSynonyms=Y&amp;SortBy=DESC&amp;SortOrder=Year</t>
  </si>
  <si>
    <t>http://www.burkemuseum.org/research-and-collections/botany-and-herbarium/collections/database/results.php?Genus=Clarkia&amp;Species=gracilis&amp;SourcePage=search.php&amp;IncludeSynonyms=Y&amp;SortBy=DESC&amp;SortOrder=Year</t>
  </si>
  <si>
    <t>http://www.burkemuseum.org/research-and-collections/botany-and-herbarium/collections/database/results.php?Genus=Clarkia&amp;Species=purpurea&amp;SourcePage=search.php&amp;IncludeSynonyms=Y&amp;SortBy=DESC&amp;SortOrder=Year</t>
  </si>
  <si>
    <t>http://www.burkemuseum.org/research-and-collections/botany-and-herbarium/collections/database/results.php?Genus=Claytonia&amp;Species=lanceolata&amp;SourcePage=search.php&amp;IncludeSynonyms=Y&amp;SortBy=DESC&amp;SortOrder=Year</t>
  </si>
  <si>
    <t>http://www.burkemuseum.org/research-and-collections/botany-and-herbarium/collections/database/results.php?Genus=Claytonia&amp;Species=parviflora&amp;SourcePage=search.php&amp;IncludeSynonyms=Y&amp;SortBy=DESC&amp;SortOrder=Year</t>
  </si>
  <si>
    <t>http://www.burkemuseum.org/research-and-collections/botany-and-herbarium/collections/database/results.php?Genus=Claytonia&amp;Species=perfoliata&amp;SourcePage=search.php&amp;IncludeSynonyms=Y&amp;SortBy=DESC&amp;SortOrder=Year</t>
  </si>
  <si>
    <t>http://www.burkemuseum.org/research-and-collections/botany-and-herbarium/collections/database/results.php?Genus=Claytonia&amp;Species=rubra&amp;SourcePage=search.php&amp;IncludeSynonyms=Y&amp;SortBy=DESC&amp;SortOrder=Year</t>
  </si>
  <si>
    <t>http://www.burkemuseum.org/research-and-collections/botany-and-herbarium/collections/database/results.php?Genus=Claytonia&amp;Species=sibirica&amp;SourcePage=search.php&amp;IncludeSynonyms=Y&amp;SortBy=DESC&amp;SortOrder=Year</t>
  </si>
  <si>
    <t>http://www.burkemuseum.org/research-and-collections/botany-and-herbarium/collections/database/results.php?Genus=Clematis&amp;Species=ligusticifolia&amp;SourcePage=search.php&amp;IncludeSynonyms=Y&amp;SortBy=DESC&amp;SortOrder=Year</t>
  </si>
  <si>
    <t>http://www.burkemuseum.org/research-and-collections/botany-and-herbarium/collections/database/results.php?Genus=Clinopodium&amp;Species=douglasii&amp;SourcePage=search.php&amp;IncludeSynonyms=Y&amp;SortBy=DESC&amp;SortOrder=Year</t>
  </si>
  <si>
    <t>http://www.burkemuseum.org/research-and-collections/botany-and-herbarium/collections/database/results.php?Genus=Clintonia&amp;Species=uniflora&amp;SourcePage=search.php&amp;IncludeSynonyms=Y&amp;SortBy=DESC&amp;SortOrder=Year</t>
  </si>
  <si>
    <t>http://www.burkemuseum.org/research-and-collections/botany-and-herbarium/collections/database/results.php?Genus=Cochlearia&amp;Species=groenlandica&amp;SourcePage=search.php&amp;IncludeSynonyms=Y&amp;SortBy=DESC&amp;SortOrder=Year</t>
  </si>
  <si>
    <t>http://www.burkemuseum.org/research-and-collections/botany-and-herbarium/collections/database/results.php?Genus=Collinsia&amp;Species=grandiflora&amp;SourcePage=search.php&amp;IncludeSynonyms=Y&amp;SortBy=DESC&amp;SortOrder=Year</t>
  </si>
  <si>
    <t>http://www.burkemuseum.org/research-and-collections/botany-and-herbarium/collections/database/results.php?Genus=Collinsia&amp;Species=parviflora&amp;SourcePage=search.php&amp;IncludeSynonyms=Y&amp;SortBy=DESC&amp;SortOrder=Year</t>
  </si>
  <si>
    <t>http://www.burkemuseum.org/research-and-collections/botany-and-herbarium/collections/database/results.php?Genus=Collinsia&amp;Species=sparsiflora&amp;SourcePage=search.php&amp;IncludeSynonyms=Y&amp;SortBy=DESC&amp;SortOrder=Year</t>
  </si>
  <si>
    <t>http://www.burkemuseum.org/research-and-collections/botany-and-herbarium/collections/database/results.php?Genus=Collomia&amp;Species=grandiflora&amp;SourcePage=search.php&amp;IncludeSynonyms=Y&amp;SortBy=DESC&amp;SortOrder=Year</t>
  </si>
  <si>
    <t>http://www.burkemuseum.org/research-and-collections/botany-and-herbarium/collections/database/results.php?Genus=Collomia&amp;Species=heterophylla&amp;SourcePage=search.php&amp;IncludeSynonyms=Y&amp;SortBy=DESC&amp;SortOrder=Year</t>
  </si>
  <si>
    <t>http://www.burkemuseum.org/research-and-collections/botany-and-herbarium/collections/database/results.php?Genus=Collomia&amp;Species=linearis&amp;SourcePage=search.php&amp;IncludeSynonyms=Y&amp;SortBy=DESC&amp;SortOrder=Year</t>
  </si>
  <si>
    <t>http://www.burkemuseum.org/research-and-collections/botany-and-herbarium/collections/database/results.php?Genus=Conyza&amp;Species=canadensis&amp;SourcePage=search.php&amp;IncludeSynonyms=Y&amp;SortBy=DESC&amp;SortOrder=Year</t>
  </si>
  <si>
    <t>http://www.burkemuseum.org/research-and-collections/botany-and-herbarium/collections/database/results.php?Genus=Coptis&amp;Species=aspleniifolia&amp;SourcePage=search.php&amp;IncludeSynonyms=Y&amp;SortBy=DESC&amp;SortOrder=Year</t>
  </si>
  <si>
    <t>http://www.burkemuseum.org/research-and-collections/botany-and-herbarium/collections/database/results.php?Genus=Coptis&amp;Species=laciniata&amp;SourcePage=search.php&amp;IncludeSynonyms=Y&amp;SortBy=DESC&amp;SortOrder=Year</t>
  </si>
  <si>
    <t>http://www.burkemuseum.org/research-and-collections/botany-and-herbarium/collections/database/results.php?Genus=Corallorhiza&amp;Species=maculata&amp;SourcePage=search.php&amp;IncludeSynonyms=Y&amp;SortBy=DESC&amp;SortOrder=Year</t>
  </si>
  <si>
    <t>http://www.burkemuseum.org/research-and-collections/botany-and-herbarium/collections/database/results.php?Genus=Corallorhiza&amp;Species=striata&amp;SourcePage=search.php&amp;IncludeSynonyms=Y&amp;SortBy=DESC&amp;SortOrder=Year</t>
  </si>
  <si>
    <t>http://www.burkemuseum.org/research-and-collections/botany-and-herbarium/collections/database/results.php?Genus=Corallorhiza&amp;Species=trifida&amp;SourcePage=search.php&amp;IncludeSynonyms=Y&amp;SortBy=DESC&amp;SortOrder=Year</t>
  </si>
  <si>
    <t>http://www.burkemuseum.org/research-and-collections/botany-and-herbarium/collections/database/results.php?Genus=Cornus&amp;Species=nuttallii&amp;SourcePage=search.php&amp;IncludeSynonyms=Y&amp;SortBy=DESC&amp;SortOrder=Year</t>
  </si>
  <si>
    <t>http://www.burkemuseum.org/research-and-collections/botany-and-herbarium/collections/database/results.php?Genus=Cornus&amp;Species=sericea&amp;SourcePage=search.php&amp;IncludeSynonyms=Y&amp;SortBy=DESC&amp;SortOrder=Year</t>
  </si>
  <si>
    <t>http://www.burkemuseum.org/research-and-collections/botany-and-herbarium/collections/database/results.php?Genus=Cornus&amp;Species=unalaschkensis&amp;SourcePage=search.php&amp;IncludeSynonyms=Y&amp;SortBy=DESC&amp;SortOrder=Year</t>
  </si>
  <si>
    <t>http://www.burkemuseum.org/research-and-collections/botany-and-herbarium/collections/database/results.php?Genus=Corydalis&amp;Species=aquae-gelidae&amp;SourcePage=search.php&amp;IncludeSynonyms=Y&amp;SortBy=DESC&amp;SortOrder=Year</t>
  </si>
  <si>
    <t>http://www.burkemuseum.org/research-and-collections/botany-and-herbarium/collections/database/results.php?Genus=Corydalis&amp;Species=scouleri&amp;SourcePage=search.php&amp;IncludeSynonyms=Y&amp;SortBy=DESC&amp;SortOrder=Year</t>
  </si>
  <si>
    <t>http://www.burkemuseum.org/research-and-collections/botany-and-herbarium/collections/database/results.php?Genus=Corylus&amp;Species=cornuta&amp;SourcePage=search.php&amp;IncludeSynonyms=Y&amp;SortBy=DESC&amp;SortOrder=Year</t>
  </si>
  <si>
    <t>http://www.burkemuseum.org/research-and-collections/botany-and-herbarium/collections/database/results.php?Genus=Crassula&amp;Species=aquatica&amp;SourcePage=search.php&amp;IncludeSynonyms=Y&amp;SortBy=DESC&amp;SortOrder=Year</t>
  </si>
  <si>
    <t>http://www.burkemuseum.org/research-and-collections/botany-and-herbarium/collections/database/results.php?Genus=Crassula&amp;Species=connata&amp;SourcePage=search.php&amp;IncludeSynonyms=Y&amp;SortBy=DESC&amp;SortOrder=Year</t>
  </si>
  <si>
    <t>http://www.burkemuseum.org/research-and-collections/botany-and-herbarium/collections/database/results.php?Genus=Crataegus&amp;Species=douglasii&amp;SourcePage=search.php&amp;IncludeSynonyms=Y&amp;SortBy=DESC&amp;SortOrder=Year</t>
  </si>
  <si>
    <t>http://www.burkemuseum.org/research-and-collections/botany-and-herbarium/collections/database/results.php?Genus=Crocidium&amp;Species=multicaule&amp;SourcePage=search.php&amp;IncludeSynonyms=Y&amp;SortBy=DESC&amp;SortOrder=Year</t>
  </si>
  <si>
    <t>http://www.burkemuseum.org/research-and-collections/botany-and-herbarium/collections/database/results.php?Genus=Cryptantha&amp;Species=intermedia&amp;SourcePage=search.php&amp;IncludeSynonyms=Y&amp;SortBy=DESC&amp;SortOrder=Year</t>
  </si>
  <si>
    <t>http://www.burkemuseum.org/research-and-collections/botany-and-herbarium/collections/database/results.php?Genus=Cryptogramma&amp;Species=acrostichoides&amp;SourcePage=search.php&amp;IncludeSynonyms=Y&amp;SortBy=DESC&amp;SortOrder=Year</t>
  </si>
  <si>
    <t>http://www.burkemuseum.org/research-and-collections/botany-and-herbarium/collections/database/results.php?Genus=Cuscuta&amp;Species=cephalanthi&amp;SourcePage=search.php&amp;IncludeSynonyms=Y&amp;SortBy=DESC&amp;SortOrder=Year</t>
  </si>
  <si>
    <t>http://www.burkemuseum.org/research-and-collections/botany-and-herbarium/collections/database/results.php?Genus=Cyperus&amp;Species=bipartitus&amp;SourcePage=search.php&amp;IncludeSynonyms=Y&amp;SortBy=DESC&amp;SortOrder=Year</t>
  </si>
  <si>
    <t>http://www.burkemuseum.org/research-and-collections/botany-and-herbarium/collections/database/results.php?Genus=Cyperus&amp;Species=erythrorhizos&amp;SourcePage=search.php&amp;IncludeSynonyms=Y&amp;SortBy=DESC&amp;SortOrder=Year</t>
  </si>
  <si>
    <t>http://www.burkemuseum.org/research-and-collections/botany-and-herbarium/collections/database/results.php?Genus=Cyperus&amp;Species=squarrosus&amp;SourcePage=search.php&amp;IncludeSynonyms=Y&amp;SortBy=DESC&amp;SortOrder=Year</t>
  </si>
  <si>
    <t>http://www.burkemuseum.org/research-and-collections/botany-and-herbarium/collections/database/results.php?Genus=Cypripedium&amp;Species=montanum&amp;SourcePage=search.php&amp;IncludeSynonyms=Y&amp;SortBy=DESC&amp;SortOrder=Year</t>
  </si>
  <si>
    <t>http://www.burkemuseum.org/research-and-collections/botany-and-herbarium/collections/database/results.php?Genus=Cystopteris&amp;Species=fragilis&amp;SourcePage=search.php&amp;IncludeSynonyms=Y&amp;SortBy=DESC&amp;SortOrder=Year</t>
  </si>
  <si>
    <t>http://www.burkemuseum.org/research-and-collections/botany-and-herbarium/collections/database/results.php?Genus=Danthonia&amp;Species=californica&amp;SourcePage=search.php&amp;IncludeSynonyms=Y&amp;SortBy=DESC&amp;SortOrder=Year</t>
  </si>
  <si>
    <t>http://www.burkemuseum.org/research-and-collections/botany-and-herbarium/collections/database/results.php?Genus=Danthonia&amp;Species=intermedia&amp;SourcePage=search.php&amp;IncludeSynonyms=Y&amp;SortBy=DESC&amp;SortOrder=Year</t>
  </si>
  <si>
    <t>http://www.burkemuseum.org/research-and-collections/botany-and-herbarium/collections/database/results.php?Genus=Danthonia&amp;Species=spicata&amp;SourcePage=search.php&amp;IncludeSynonyms=Y&amp;SortBy=DESC&amp;SortOrder=Year</t>
  </si>
  <si>
    <t>http://www.burkemuseum.org/research-and-collections/botany-and-herbarium/collections/database/results.php?Genus=Darlingtonia&amp;Species=californica&amp;SourcePage=search.php&amp;IncludeSynonyms=Y&amp;SortBy=DESC&amp;SortOrder=Year</t>
  </si>
  <si>
    <t>http://www.burkemuseum.org/research-and-collections/botany-and-herbarium/collections/database/results.php?Genus=Dasiphora&amp;Species=fruticosa&amp;SourcePage=search.php&amp;IncludeSynonyms=Y&amp;SortBy=DESC&amp;SortOrder=Year</t>
  </si>
  <si>
    <t>http://www.burkemuseum.org/research-and-collections/botany-and-herbarium/collections/database/results.php?Genus=Datura&amp;Species=wrightii&amp;SourcePage=search.php&amp;IncludeSynonyms=Y&amp;SortBy=DESC&amp;SortOrder=Year</t>
  </si>
  <si>
    <t>http://www.burkemuseum.org/research-and-collections/botany-and-herbarium/collections/database/results.php?Genus=Daucus&amp;Species=pusillus&amp;SourcePage=search.php&amp;IncludeSynonyms=Y&amp;SortBy=DESC&amp;SortOrder=Year</t>
  </si>
  <si>
    <t>http://www.burkemuseum.org/research-and-collections/botany-and-herbarium/collections/database/results.php?Genus=Delphinium&amp;Species=glaucum&amp;SourcePage=search.php&amp;IncludeSynonyms=Y&amp;SortBy=DESC&amp;SortOrder=Year</t>
  </si>
  <si>
    <t>http://www.burkemuseum.org/research-and-collections/botany-and-herbarium/collections/database/results.php?Genus=Delphinium&amp;Species=menziesii&amp;SourcePage=search.php&amp;IncludeSynonyms=Y&amp;SortBy=DESC&amp;SortOrder=Year</t>
  </si>
  <si>
    <t>http://www.burkemuseum.org/research-and-collections/botany-and-herbarium/collections/database/results.php?Genus=Delphinium&amp;Species=nuttallii&amp;SourcePage=search.php&amp;IncludeSynonyms=Y&amp;SortBy=DESC&amp;SortOrder=Year</t>
  </si>
  <si>
    <t>http://www.burkemuseum.org/research-and-collections/botany-and-herbarium/collections/database/results.php?Genus=Delphinium&amp;Species=trolliifolium&amp;SourcePage=search.php&amp;IncludeSynonyms=Y&amp;SortBy=DESC&amp;SortOrder=Year</t>
  </si>
  <si>
    <t>http://www.burkemuseum.org/research-and-collections/botany-and-herbarium/collections/database/results.php?Genus=Dendrolycopodium&amp;Species=dendroideum&amp;SourcePage=search.php&amp;IncludeSynonyms=Y&amp;SortBy=DESC&amp;SortOrder=Year</t>
  </si>
  <si>
    <t>http://www.burkemuseum.org/research-and-collections/botany-and-herbarium/collections/database/results.php?Genus=Deschampsia&amp;Species=cespitosa&amp;SourcePage=search.php&amp;IncludeSynonyms=Y&amp;SortBy=DESC&amp;SortOrder=Year</t>
  </si>
  <si>
    <t>http://www.burkemuseum.org/research-and-collections/botany-and-herbarium/collections/database/results.php?Genus=Deschampsia&amp;Species=elongata&amp;SourcePage=search.php&amp;IncludeSynonyms=Y&amp;SortBy=DESC&amp;SortOrder=Year</t>
  </si>
  <si>
    <t>http://www.burkemuseum.org/research-and-collections/botany-and-herbarium/collections/database/results.php?Genus=Dicentra&amp;Species=formosa&amp;SourcePage=search.php&amp;IncludeSynonyms=Y&amp;SortBy=DESC&amp;SortOrder=Year</t>
  </si>
  <si>
    <t>http://www.burkemuseum.org/research-and-collections/botany-and-herbarium/collections/database/results.php?Genus=Dichanthelium&amp;Species=acuminatum&amp;SourcePage=search.php&amp;IncludeSynonyms=Y&amp;SortBy=DESC&amp;SortOrder=Year</t>
  </si>
  <si>
    <t>http://www.burkemuseum.org/research-and-collections/botany-and-herbarium/collections/database/results.php?Genus=Dichelostemma&amp;Species=congestum&amp;SourcePage=search.php&amp;IncludeSynonyms=Y&amp;SortBy=DESC&amp;SortOrder=Year</t>
  </si>
  <si>
    <t>http://www.burkemuseum.org/research-and-collections/botany-and-herbarium/collections/database/results.php?Genus=Distichlis&amp;Species=spicata&amp;SourcePage=search.php&amp;IncludeSynonyms=Y&amp;SortBy=DESC&amp;SortOrder=Year</t>
  </si>
  <si>
    <t>http://www.burkemuseum.org/research-and-collections/botany-and-herbarium/collections/database/results.php?Genus=Dodecatheon&amp;Species=austrofrigidum&amp;SourcePage=search.php&amp;IncludeSynonyms=Y&amp;SortBy=DESC&amp;SortOrder=Year</t>
  </si>
  <si>
    <t>http://www.burkemuseum.org/research-and-collections/botany-and-herbarium/collections/database/results.php?Genus=Dodecatheon&amp;Species=hendersonii&amp;SourcePage=search.php&amp;IncludeSynonyms=Y&amp;SortBy=DESC&amp;SortOrder=Year</t>
  </si>
  <si>
    <t>http://www.burkemuseum.org/research-and-collections/botany-and-herbarium/collections/database/results.php?Genus=Dodecatheon&amp;Species=jeffreyi&amp;SourcePage=search.php&amp;IncludeSynonyms=Y&amp;SortBy=DESC&amp;SortOrder=Year</t>
  </si>
  <si>
    <t>http://www.burkemuseum.org/research-and-collections/botany-and-herbarium/collections/database/results.php?Genus=Dodecatheon&amp;Species=pulchellum&amp;SourcePage=search.php&amp;IncludeSynonyms=Y&amp;SortBy=DESC&amp;SortOrder=Year</t>
  </si>
  <si>
    <t>http://www.burkemuseum.org/research-and-collections/botany-and-herbarium/collections/database/results.php?Genus=Draba&amp;Species=cana&amp;SourcePage=search.php&amp;IncludeSynonyms=Y&amp;SortBy=DESC&amp;SortOrder=Year</t>
  </si>
  <si>
    <t>http://www.burkemuseum.org/research-and-collections/botany-and-herbarium/collections/database/results.php?Genus=Drosera&amp;Species=rotundifolia&amp;SourcePage=search.php&amp;IncludeSynonyms=Y&amp;SortBy=DESC&amp;SortOrder=Year</t>
  </si>
  <si>
    <t>http://www.burkemuseum.org/research-and-collections/botany-and-herbarium/collections/database/results.php?Genus=Drymocallis&amp;Species=glandulosa&amp;SourcePage=search.php&amp;IncludeSynonyms=Y&amp;SortBy=DESC&amp;SortOrder=Year</t>
  </si>
  <si>
    <t>http://www.burkemuseum.org/research-and-collections/botany-and-herbarium/collections/database/results.php?Genus=Dryopteris&amp;Species=arguta&amp;SourcePage=search.php&amp;IncludeSynonyms=Y&amp;SortBy=DESC&amp;SortOrder=Year</t>
  </si>
  <si>
    <t>http://www.burkemuseum.org/research-and-collections/botany-and-herbarium/collections/database/results.php?Genus=Dryopteris&amp;Species=carthusiana&amp;SourcePage=search.php&amp;IncludeSynonyms=Y&amp;SortBy=DESC&amp;SortOrder=Year</t>
  </si>
  <si>
    <t>http://www.burkemuseum.org/research-and-collections/botany-and-herbarium/collections/database/results.php?Genus=Dryopteris&amp;Species=expansa&amp;SourcePage=search.php&amp;IncludeSynonyms=Y&amp;SortBy=DESC&amp;SortOrder=Year</t>
  </si>
  <si>
    <t>http://www.burkemuseum.org/research-and-collections/botany-and-herbarium/collections/database/results.php?Genus=Dryopteris&amp;Species=filix-mas&amp;SourcePage=search.php&amp;IncludeSynonyms=Y&amp;SortBy=DESC&amp;SortOrder=Year</t>
  </si>
  <si>
    <t>http://www.burkemuseum.org/research-and-collections/botany-and-herbarium/collections/database/results.php?Genus=Dulichium&amp;Species=arundinaceum&amp;SourcePage=search.php&amp;IncludeSynonyms=Y&amp;SortBy=DESC&amp;SortOrder=Year</t>
  </si>
  <si>
    <t>http://www.burkemuseum.org/research-and-collections/botany-and-herbarium/collections/database/results.php?Genus=Echinacea&amp;Species=purpurea&amp;SourcePage=search.php&amp;IncludeSynonyms=Y&amp;SortBy=DESC&amp;SortOrder=Year</t>
  </si>
  <si>
    <t>http://www.burkemuseum.org/research-and-collections/botany-and-herbarium/collections/database/results.php?Genus=Eleocharis&amp;Species=acicularis&amp;SourcePage=search.php&amp;IncludeSynonyms=Y&amp;SortBy=DESC&amp;SortOrder=Year</t>
  </si>
  <si>
    <t>http://www.burkemuseum.org/research-and-collections/botany-and-herbarium/collections/database/results.php?Genus=Eleocharis&amp;Species=engelmannii&amp;SourcePage=search.php&amp;IncludeSynonyms=Y&amp;SortBy=DESC&amp;SortOrder=Year</t>
  </si>
  <si>
    <t>http://www.burkemuseum.org/research-and-collections/botany-and-herbarium/collections/database/results.php?Genus=Eleocharis&amp;Species=ovata&amp;SourcePage=search.php&amp;IncludeSynonyms=Y&amp;SortBy=DESC&amp;SortOrder=Year</t>
  </si>
  <si>
    <t>http://www.burkemuseum.org/research-and-collections/botany-and-herbarium/collections/database/results.php?Genus=Eleocharis&amp;Species=palustris&amp;SourcePage=search.php&amp;IncludeSynonyms=Y&amp;SortBy=DESC&amp;SortOrder=Year</t>
  </si>
  <si>
    <t>http://www.burkemuseum.org/research-and-collections/botany-and-herbarium/collections/database/results.php?Genus=Eleocharis&amp;Species=parvula&amp;SourcePage=search.php&amp;IncludeSynonyms=Y&amp;SortBy=DESC&amp;SortOrder=Year</t>
  </si>
  <si>
    <t>http://www.burkemuseum.org/research-and-collections/botany-and-herbarium/collections/database/results.php?Genus=Elodea&amp;Species=canadensis&amp;SourcePage=search.php&amp;IncludeSynonyms=Y&amp;SortBy=DESC&amp;SortOrder=Year</t>
  </si>
  <si>
    <t>http://www.burkemuseum.org/research-and-collections/botany-and-herbarium/collections/database/results.php?Genus=Elodea&amp;Species=nuttalli&amp;SourcePage=search.php&amp;IncludeSynonyms=Y&amp;SortBy=DESC&amp;SortOrder=Year</t>
  </si>
  <si>
    <t>http://www.burkemuseum.org/research-and-collections/botany-and-herbarium/collections/database/results.php?Genus=Elymus&amp;Species=elymoides&amp;SourcePage=search.php&amp;IncludeSynonyms=Y&amp;SortBy=DESC&amp;SortOrder=Year</t>
  </si>
  <si>
    <t>http://www.burkemuseum.org/research-and-collections/botany-and-herbarium/collections/database/results.php?Genus=Elymus&amp;Species=glaucus&amp;SourcePage=search.php&amp;IncludeSynonyms=Y&amp;SortBy=DESC&amp;SortOrder=Year</t>
  </si>
  <si>
    <t>http://www.burkemuseum.org/research-and-collections/botany-and-herbarium/collections/database/results.php?Genus=Empetrum&amp;Species=nigrum&amp;SourcePage=search.php&amp;IncludeSynonyms=Y&amp;SortBy=DESC&amp;SortOrder=Year</t>
  </si>
  <si>
    <t>http://www.burkemuseum.org/research-and-collections/botany-and-herbarium/collections/database/results.php?Genus=Epilobium&amp;Species=brachycarpum&amp;SourcePage=search.php&amp;IncludeSynonyms=Y&amp;SortBy=DESC&amp;SortOrder=Year</t>
  </si>
  <si>
    <t>http://www.burkemuseum.org/research-and-collections/botany-and-herbarium/collections/database/results.php?Genus=Epilobium&amp;Species=ciliatum&amp;SourcePage=search.php&amp;IncludeSynonyms=Y&amp;SortBy=DESC&amp;SortOrder=Year</t>
  </si>
  <si>
    <t>http://www.burkemuseum.org/research-and-collections/botany-and-herbarium/collections/database/results.php?Genus=Epilobium&amp;Species=densiflorum&amp;SourcePage=search.php&amp;IncludeSynonyms=Y&amp;SortBy=DESC&amp;SortOrder=Year</t>
  </si>
  <si>
    <t>http://www.burkemuseum.org/research-and-collections/botany-and-herbarium/collections/database/results.php?Genus=Epilobium&amp;Species=glaberrimum&amp;SourcePage=search.php&amp;IncludeSynonyms=Y&amp;SortBy=DESC&amp;SortOrder=Year</t>
  </si>
  <si>
    <t>http://www.burkemuseum.org/research-and-collections/botany-and-herbarium/collections/database/results.php?Genus=Epilobium&amp;Species=minutum&amp;SourcePage=search.php&amp;IncludeSynonyms=Y&amp;SortBy=DESC&amp;SortOrder=Year</t>
  </si>
  <si>
    <t>http://www.burkemuseum.org/research-and-collections/botany-and-herbarium/collections/database/results.php?Genus=Epilobium&amp;Species=torreyi&amp;SourcePage=search.php&amp;IncludeSynonyms=Y&amp;SortBy=DESC&amp;SortOrder=Year</t>
  </si>
  <si>
    <t>http://www.burkemuseum.org/research-and-collections/botany-and-herbarium/collections/database/results.php?Genus=Epipactis&amp;Species=gigantea&amp;SourcePage=search.php&amp;IncludeSynonyms=Y&amp;SortBy=DESC&amp;SortOrder=Year</t>
  </si>
  <si>
    <t>http://www.burkemuseum.org/research-and-collections/botany-and-herbarium/collections/database/results.php?Genus=Equisetum&amp;Species=arvense&amp;SourcePage=search.php&amp;IncludeSynonyms=Y&amp;SortBy=DESC&amp;SortOrder=Year</t>
  </si>
  <si>
    <t>http://www.burkemuseum.org/research-and-collections/botany-and-herbarium/collections/database/results.php?Genus=Equisetum&amp;Species=fluviatile&amp;SourcePage=search.php&amp;IncludeSynonyms=Y&amp;SortBy=DESC&amp;SortOrder=Year</t>
  </si>
  <si>
    <t>http://www.burkemuseum.org/research-and-collections/botany-and-herbarium/collections/database/results.php?Genus=Equisetum&amp;Species=hyemale&amp;SourcePage=search.php&amp;IncludeSynonyms=Y&amp;SortBy=DESC&amp;SortOrder=Year</t>
  </si>
  <si>
    <t>http://www.burkemuseum.org/research-and-collections/botany-and-herbarium/collections/database/results.php?Genus=Equisetum&amp;Species=palustre&amp;SourcePage=search.php&amp;IncludeSynonyms=Y&amp;SortBy=DESC&amp;SortOrder=Year</t>
  </si>
  <si>
    <t>http://www.burkemuseum.org/research-and-collections/botany-and-herbarium/collections/database/results.php?Genus=Equisetum&amp;Species=telmateia&amp;SourcePage=search.php&amp;IncludeSynonyms=Y&amp;SortBy=DESC&amp;SortOrder=Year</t>
  </si>
  <si>
    <t>http://www.burkemuseum.org/research-and-collections/botany-and-herbarium/collections/database/results.php?Genus=Equisetum&amp;Species=variegatum&amp;SourcePage=search.php&amp;IncludeSynonyms=Y&amp;SortBy=DESC&amp;SortOrder=Year</t>
  </si>
  <si>
    <t>http://www.burkemuseum.org/research-and-collections/botany-and-herbarium/collections/database/results.php?Genus=Erigeron&amp;Species=compositus&amp;SourcePage=search.php&amp;IncludeSynonyms=Y&amp;SortBy=DESC&amp;SortOrder=Year</t>
  </si>
  <si>
    <t>http://www.burkemuseum.org/research-and-collections/botany-and-herbarium/collections/database/results.php?Genus=Erigeron&amp;Species=philadelphicus&amp;SourcePage=search.php&amp;IncludeSynonyms=Y&amp;SortBy=DESC&amp;SortOrder=Year</t>
  </si>
  <si>
    <t>http://www.burkemuseum.org/research-and-collections/botany-and-herbarium/collections/database/results.php?Genus=Erigeron&amp;Species=speciosus&amp;SourcePage=search.php&amp;IncludeSynonyms=Y&amp;SortBy=DESC&amp;SortOrder=Year</t>
  </si>
  <si>
    <t>http://www.burkemuseum.org/research-and-collections/botany-and-herbarium/collections/database/results.php?Genus=Erigeron&amp;Species=strigosus&amp;SourcePage=search.php&amp;IncludeSynonyms=Y&amp;SortBy=DESC&amp;SortOrder=Year</t>
  </si>
  <si>
    <t>http://www.burkemuseum.org/research-and-collections/botany-and-herbarium/collections/database/results.php?Genus=Eriogonum&amp;Species=umbellatum&amp;SourcePage=search.php&amp;IncludeSynonyms=Y&amp;SortBy=DESC&amp;SortOrder=Year</t>
  </si>
  <si>
    <t>http://www.burkemuseum.org/research-and-collections/botany-and-herbarium/collections/database/results.php?Genus=Eriophorum&amp;Species=chamissonis&amp;SourcePage=search.php&amp;IncludeSynonyms=Y&amp;SortBy=DESC&amp;SortOrder=Year</t>
  </si>
  <si>
    <t>http://www.burkemuseum.org/research-and-collections/botany-and-herbarium/collections/database/results.php?Genus=Eriophorum&amp;Species=gracile&amp;SourcePage=search.php&amp;IncludeSynonyms=Y&amp;SortBy=DESC&amp;SortOrder=Year</t>
  </si>
  <si>
    <t>http://www.burkemuseum.org/research-and-collections/botany-and-herbarium/collections/database/results.php?Genus=Eriophyllum&amp;Species=lanatum&amp;SourcePage=search.php&amp;IncludeSynonyms=Y&amp;SortBy=DESC&amp;SortOrder=Year</t>
  </si>
  <si>
    <t>http://www.burkemuseum.org/research-and-collections/botany-and-herbarium/collections/database/results.php?Genus=Eryngium&amp;Species=petiolatum&amp;SourcePage=search.php&amp;IncludeSynonyms=Y&amp;SortBy=DESC&amp;SortOrder=Year</t>
  </si>
  <si>
    <t>http://www.burkemuseum.org/research-and-collections/botany-and-herbarium/collections/database/results.php?Genus=Erysimum&amp;Species=capitatum&amp;SourcePage=search.php&amp;IncludeSynonyms=Y&amp;SortBy=DESC&amp;SortOrder=Year</t>
  </si>
  <si>
    <t>http://www.burkemuseum.org/research-and-collections/botany-and-herbarium/collections/database/results.php?Genus=Erythranthe&amp;Species=alsinoides&amp;SourcePage=search.php&amp;IncludeSynonyms=Y&amp;SortBy=DESC&amp;SortOrder=Year</t>
  </si>
  <si>
    <t>http://www.burkemuseum.org/research-and-collections/botany-and-herbarium/collections/database/results.php?Genus=Erythranthe&amp;Species=cardinalis&amp;SourcePage=search.php&amp;IncludeSynonyms=Y&amp;SortBy=DESC&amp;SortOrder=Year</t>
  </si>
  <si>
    <t>http://www.burkemuseum.org/research-and-collections/botany-and-herbarium/collections/database/results.php?Genus=Erythranthe&amp;Species=dentata&amp;SourcePage=search.php&amp;IncludeSynonyms=Y&amp;SortBy=DESC&amp;SortOrder=Year</t>
  </si>
  <si>
    <t>http://www.burkemuseum.org/research-and-collections/botany-and-herbarium/collections/database/results.php?Genus=Erythranthe&amp;Species=guttata&amp;SourcePage=search.php&amp;IncludeSynonyms=Y&amp;SortBy=DESC&amp;SortOrder=Year</t>
  </si>
  <si>
    <t>http://www.burkemuseum.org/research-and-collections/botany-and-herbarium/collections/database/results.php?Genus=Erythranthe&amp;Species=lewisii&amp;SourcePage=search.php&amp;IncludeSynonyms=Y&amp;SortBy=DESC&amp;SortOrder=Year</t>
  </si>
  <si>
    <t>http://www.burkemuseum.org/research-and-collections/botany-and-herbarium/collections/database/results.php?Genus=Erythranthe&amp;Species=moschata&amp;SourcePage=search.php&amp;IncludeSynonyms=Y&amp;SortBy=DESC&amp;SortOrder=Year</t>
  </si>
  <si>
    <t>http://www.burkemuseum.org/research-and-collections/botany-and-herbarium/collections/database/results.php?Genus=Erythronium&amp;Species=grandiflorum&amp;SourcePage=search.php&amp;IncludeSynonyms=Y&amp;SortBy=DESC&amp;SortOrder=Year</t>
  </si>
  <si>
    <t>http://www.burkemuseum.org/research-and-collections/botany-and-herbarium/collections/database/results.php?Genus=Erythronium&amp;Species=oregonum&amp;SourcePage=search.php&amp;IncludeSynonyms=Y&amp;SortBy=DESC&amp;SortOrder=Year</t>
  </si>
  <si>
    <t>http://www.burkemuseum.org/research-and-collections/botany-and-herbarium/collections/database/results.php?Genus=Erythronium&amp;Species=quinaultense&amp;SourcePage=search.php&amp;IncludeSynonyms=Y&amp;SortBy=DESC&amp;SortOrder=Year</t>
  </si>
  <si>
    <t>http://www.burkemuseum.org/research-and-collections/botany-and-herbarium/collections/database/results.php?Genus=Erythronium&amp;Species=revolutum&amp;SourcePage=search.php&amp;IncludeSynonyms=Y&amp;SortBy=DESC&amp;SortOrder=Year</t>
  </si>
  <si>
    <t>http://www.burkemuseum.org/research-and-collections/botany-and-herbarium/collections/database/results.php?Genus=Eucephalus&amp;Species=engelmannii&amp;SourcePage=search.php&amp;IncludeSynonyms=Y&amp;SortBy=DESC&amp;SortOrder=Year</t>
  </si>
  <si>
    <t>http://www.burkemuseum.org/research-and-collections/botany-and-herbarium/collections/database/results.php?Genus=Euonymus&amp;Species=occidentalis&amp;SourcePage=search.php&amp;IncludeSynonyms=Y&amp;SortBy=DESC&amp;SortOrder=Year</t>
  </si>
  <si>
    <t>http://www.burkemuseum.org/research-and-collections/botany-and-herbarium/collections/database/results.php?Genus=Euthamia&amp;Species=occidentalis&amp;SourcePage=search.php&amp;IncludeSynonyms=Y&amp;SortBy=DESC&amp;SortOrder=Year</t>
  </si>
  <si>
    <t>http://www.burkemuseum.org/research-and-collections/botany-and-herbarium/collections/database/results.php?Genus=Eutrochium&amp;Species=maculatum&amp;SourcePage=search.php&amp;IncludeSynonyms=Y&amp;SortBy=DESC&amp;SortOrder=Year</t>
  </si>
  <si>
    <t>http://www.burkemuseum.org/research-and-collections/botany-and-herbarium/collections/database/results.php?Genus=Festuca&amp;Species=idahoensis&amp;SourcePage=search.php&amp;IncludeSynonyms=Y&amp;SortBy=DESC&amp;SortOrder=Year</t>
  </si>
  <si>
    <t>http://www.burkemuseum.org/research-and-collections/botany-and-herbarium/collections/database/results.php?Genus=Festuca&amp;Species=occidentalis&amp;SourcePage=search.php&amp;IncludeSynonyms=Y&amp;SortBy=DESC&amp;SortOrder=Year</t>
  </si>
  <si>
    <t>http://www.burkemuseum.org/research-and-collections/botany-and-herbarium/collections/database/results.php?Genus=Festuca&amp;Species=roemeri&amp;SourcePage=search.php&amp;IncludeSynonyms=Y&amp;SortBy=DESC&amp;SortOrder=Year</t>
  </si>
  <si>
    <t>http://www.burkemuseum.org/research-and-collections/botany-and-herbarium/collections/database/results.php?Genus=Festuca&amp;Species=rubra&amp;SourcePage=search.php&amp;IncludeSynonyms=Y&amp;SortBy=DESC&amp;SortOrder=Year</t>
  </si>
  <si>
    <t>http://www.burkemuseum.org/research-and-collections/botany-and-herbarium/collections/database/results.php?Genus=Filipendula&amp;Species=occidentalis&amp;SourcePage=search.php&amp;IncludeSynonyms=Y&amp;SortBy=DESC&amp;SortOrder=Year</t>
  </si>
  <si>
    <t>http://www.burkemuseum.org/research-and-collections/botany-and-herbarium/collections/database/results.php?Genus=Fragaria&amp;Species=chiloensis&amp;SourcePage=search.php&amp;IncludeSynonyms=Y&amp;SortBy=DESC&amp;SortOrder=Year</t>
  </si>
  <si>
    <t>http://www.burkemuseum.org/research-and-collections/botany-and-herbarium/collections/database/results.php?Genus=Fragaria&amp;Species=vesca&amp;SourcePage=search.php&amp;IncludeSynonyms=Y&amp;SortBy=DESC&amp;SortOrder=Year</t>
  </si>
  <si>
    <t>http://www.burkemuseum.org/research-and-collections/botany-and-herbarium/collections/database/results.php?Genus=Fragaria&amp;Species=virginiana&amp;SourcePage=search.php&amp;IncludeSynonyms=Y&amp;SortBy=DESC&amp;SortOrder=Year</t>
  </si>
  <si>
    <t>http://www.burkemuseum.org/research-and-collections/botany-and-herbarium/collections/database/results.php?Genus=Fraxinus&amp;Species=latifolia&amp;SourcePage=search.php&amp;IncludeSynonyms=Y&amp;SortBy=DESC&amp;SortOrder=Year</t>
  </si>
  <si>
    <t>http://www.burkemuseum.org/research-and-collections/botany-and-herbarium/collections/database/results.php?Genus=Fritillaria&amp;Species=affinis&amp;SourcePage=search.php&amp;IncludeSynonyms=Y&amp;SortBy=DESC&amp;SortOrder=Year</t>
  </si>
  <si>
    <t>http://www.burkemuseum.org/research-and-collections/botany-and-herbarium/collections/database/results.php?Genus=Fritillaria&amp;Species=camschatcensis&amp;SourcePage=search.php&amp;IncludeSynonyms=Y&amp;SortBy=DESC&amp;SortOrder=Year</t>
  </si>
  <si>
    <t>http://www.burkemuseum.org/research-and-collections/botany-and-herbarium/collections/database/results.php?Genus=Fritillaria&amp;Species=pudica&amp;SourcePage=search.php&amp;IncludeSynonyms=Y&amp;SortBy=DESC&amp;SortOrder=Year</t>
  </si>
  <si>
    <t>http://www.burkemuseum.org/research-and-collections/botany-and-herbarium/collections/database/results.php?Genus=Gaillardia&amp;Species=aristata&amp;SourcePage=search.php&amp;IncludeSynonyms=Y&amp;SortBy=DESC&amp;SortOrder=Year</t>
  </si>
  <si>
    <t>http://www.burkemuseum.org/research-and-collections/botany-and-herbarium/collections/database/results.php?Genus=Galium&amp;Species=aparine&amp;SourcePage=search.php&amp;IncludeSynonyms=Y&amp;SortBy=DESC&amp;SortOrder=Year</t>
  </si>
  <si>
    <t>http://www.burkemuseum.org/research-and-collections/botany-and-herbarium/collections/database/results.php?Genus=Galium&amp;Species=boreale&amp;SourcePage=search.php&amp;IncludeSynonyms=Y&amp;SortBy=DESC&amp;SortOrder=Year</t>
  </si>
  <si>
    <t>http://www.burkemuseum.org/research-and-collections/botany-and-herbarium/collections/database/results.php?Genus=Galium&amp;Species=oreganum&amp;SourcePage=search.php&amp;IncludeSynonyms=Y&amp;SortBy=DESC&amp;SortOrder=Year</t>
  </si>
  <si>
    <t>http://www.burkemuseum.org/research-and-collections/botany-and-herbarium/collections/database/results.php?Genus=Galium&amp;Species=palustre&amp;SourcePage=search.php&amp;IncludeSynonyms=Y&amp;SortBy=DESC&amp;SortOrder=Year</t>
  </si>
  <si>
    <t>http://www.burkemuseum.org/research-and-collections/botany-and-herbarium/collections/database/results.php?Genus=Galium&amp;Species=trifidum&amp;SourcePage=search.php&amp;IncludeSynonyms=Y&amp;SortBy=DESC&amp;SortOrder=Year</t>
  </si>
  <si>
    <t>http://www.burkemuseum.org/research-and-collections/botany-and-herbarium/collections/database/results.php?Genus=Galium&amp;Species=triflorum&amp;SourcePage=search.php&amp;IncludeSynonyms=Y&amp;SortBy=DESC&amp;SortOrder=Year</t>
  </si>
  <si>
    <t>http://www.burkemuseum.org/research-and-collections/botany-and-herbarium/collections/database/results.php?Genus=Gamochaeta&amp;Species=ustulata&amp;SourcePage=search.php&amp;IncludeSynonyms=Y&amp;SortBy=DESC&amp;SortOrder=Year</t>
  </si>
  <si>
    <t>http://www.burkemuseum.org/research-and-collections/botany-and-herbarium/collections/database/results.php?Genus=Gaultheria&amp;Species=shallon&amp;SourcePage=search.php&amp;IncludeSynonyms=Y&amp;SortBy=DESC&amp;SortOrder=Year</t>
  </si>
  <si>
    <t>http://www.burkemuseum.org/research-and-collections/botany-and-herbarium/collections/database/results.php?Genus=Gayophytum&amp;Species=diffusum&amp;SourcePage=search.php&amp;IncludeSynonyms=Y&amp;SortBy=DESC&amp;SortOrder=Year</t>
  </si>
  <si>
    <t>http://www.burkemuseum.org/research-and-collections/botany-and-herbarium/collections/database/results.php?Genus=Gentiana&amp;Species=sceptrum&amp;SourcePage=search.php&amp;IncludeSynonyms=Y&amp;SortBy=DESC&amp;SortOrder=Year</t>
  </si>
  <si>
    <t>http://www.burkemuseum.org/research-and-collections/botany-and-herbarium/collections/database/results.php?Genus=Gentianella&amp;Species=amarella&amp;SourcePage=search.php&amp;IncludeSynonyms=Y&amp;SortBy=DESC&amp;SortOrder=Year</t>
  </si>
  <si>
    <t>http://www.burkemuseum.org/research-and-collections/botany-and-herbarium/collections/database/results.php?Genus=Geranium&amp;Species=bicknellii&amp;SourcePage=search.php&amp;IncludeSynonyms=Y&amp;SortBy=DESC&amp;SortOrder=Year</t>
  </si>
  <si>
    <t>http://www.burkemuseum.org/research-and-collections/botany-and-herbarium/collections/database/results.php?Genus=Geranium&amp;Species=carolinianum&amp;SourcePage=search.php&amp;IncludeSynonyms=Y&amp;SortBy=DESC&amp;SortOrder=Year</t>
  </si>
  <si>
    <t>http://www.burkemuseum.org/research-and-collections/botany-and-herbarium/collections/database/results.php?Genus=Geranium&amp;Species=oreganum&amp;SourcePage=search.php&amp;IncludeSynonyms=Y&amp;SortBy=DESC&amp;SortOrder=Year</t>
  </si>
  <si>
    <t>http://www.burkemuseum.org/research-and-collections/botany-and-herbarium/collections/database/results.php?Genus=Geum&amp;Species=macrophyllum&amp;SourcePage=search.php&amp;IncludeSynonyms=Y&amp;SortBy=DESC&amp;SortOrder=Year</t>
  </si>
  <si>
    <t>http://www.burkemuseum.org/research-and-collections/botany-and-herbarium/collections/database/results.php?Genus=Geum&amp;Species=triflorum&amp;SourcePage=search.php&amp;IncludeSynonyms=Y&amp;SortBy=DESC&amp;SortOrder=Year</t>
  </si>
  <si>
    <t>http://www.burkemuseum.org/research-and-collections/botany-and-herbarium/collections/database/results.php?Genus=Gilia&amp;Species=capitata&amp;SourcePage=search.php&amp;IncludeSynonyms=Y&amp;SortBy=DESC&amp;SortOrder=Year</t>
  </si>
  <si>
    <t>http://www.burkemuseum.org/research-and-collections/botany-and-herbarium/collections/database/results.php?Genus=Githopsis&amp;Species=specularioides&amp;SourcePage=search.php&amp;IncludeSynonyms=Y&amp;SortBy=DESC&amp;SortOrder=Year</t>
  </si>
  <si>
    <t>http://www.burkemuseum.org/research-and-collections/botany-and-herbarium/collections/database/results.php?Genus=Glehnia&amp;Species=leiocarpa&amp;SourcePage=search.php&amp;IncludeSynonyms=Y&amp;SortBy=DESC&amp;SortOrder=Year</t>
  </si>
  <si>
    <t>http://www.burkemuseum.org/research-and-collections/botany-and-herbarium/collections/database/results.php?Genus=Glyceria&amp;Species=elata&amp;SourcePage=search.php&amp;IncludeSynonyms=Y&amp;SortBy=DESC&amp;SortOrder=Year</t>
  </si>
  <si>
    <t>http://www.burkemuseum.org/research-and-collections/botany-and-herbarium/collections/database/results.php?Genus=Glyceria&amp;Species=grandis&amp;SourcePage=search.php&amp;IncludeSynonyms=Y&amp;SortBy=DESC&amp;SortOrder=Year</t>
  </si>
  <si>
    <t>http://www.burkemuseum.org/research-and-collections/botany-and-herbarium/collections/database/results.php?Genus=Glyceria&amp;Species=striata&amp;SourcePage=search.php&amp;IncludeSynonyms=Y&amp;SortBy=DESC&amp;SortOrder=Year</t>
  </si>
  <si>
    <t>http://www.burkemuseum.org/research-and-collections/botany-and-herbarium/collections/database/results.php?Genus=Goodyera&amp;Species=oblongifolia&amp;SourcePage=search.php&amp;IncludeSynonyms=Y&amp;SortBy=DESC&amp;SortOrder=Year</t>
  </si>
  <si>
    <t>http://www.burkemuseum.org/research-and-collections/botany-and-herbarium/collections/database/results.php?Genus=Gratiola&amp;Species=ebracteata&amp;SourcePage=search.php&amp;IncludeSynonyms=Y&amp;SortBy=DESC&amp;SortOrder=Year</t>
  </si>
  <si>
    <t>http://www.burkemuseum.org/research-and-collections/botany-and-herbarium/collections/database/results.php?Genus=Gratiola&amp;Species=neglecta&amp;SourcePage=search.php&amp;IncludeSynonyms=Y&amp;SortBy=DESC&amp;SortOrder=Year</t>
  </si>
  <si>
    <t>http://www.burkemuseum.org/research-and-collections/botany-and-herbarium/collections/database/results.php?Genus=Grindelia&amp;Species=hirsutula&amp;SourcePage=search.php&amp;IncludeSynonyms=Y&amp;SortBy=DESC&amp;SortOrder=Year</t>
  </si>
  <si>
    <t>http://www.burkemuseum.org/research-and-collections/botany-and-herbarium/collections/database/results.php?Genus=Grindelia&amp;Species=integrifolia&amp;SourcePage=search.php&amp;IncludeSynonyms=Y&amp;SortBy=DESC&amp;SortOrder=Year</t>
  </si>
  <si>
    <t>http://www.burkemuseum.org/research-and-collections/botany-and-herbarium/collections/database/results.php?Genus=Gymnocarpium&amp;Species=dryopteris&amp;SourcePage=search.php&amp;IncludeSynonyms=Y&amp;SortBy=DESC&amp;SortOrder=Year</t>
  </si>
  <si>
    <t>http://www.burkemuseum.org/research-and-collections/botany-and-herbarium/collections/database/results.php?Genus=Halerpestes&amp;Species=cymbalaria&amp;SourcePage=search.php&amp;IncludeSynonyms=Y&amp;SortBy=DESC&amp;SortOrder=Year</t>
  </si>
  <si>
    <t>http://www.burkemuseum.org/research-and-collections/botany-and-herbarium/collections/database/results.php?Genus=Helenium&amp;Species=autumnale&amp;SourcePage=search.php&amp;IncludeSynonyms=Y&amp;SortBy=DESC&amp;SortOrder=Year</t>
  </si>
  <si>
    <t>http://www.burkemuseum.org/research-and-collections/botany-and-herbarium/collections/database/results.php?Genus=Helianthus&amp;Species=annuus&amp;SourcePage=search.php&amp;IncludeSynonyms=Y&amp;SortBy=DESC&amp;SortOrder=Year</t>
  </si>
  <si>
    <t>http://www.burkemuseum.org/research-and-collections/botany-and-herbarium/collections/database/results.php?Genus=Hemitomes&amp;Species=congestum&amp;SourcePage=search.php&amp;IncludeSynonyms=Y&amp;SortBy=DESC&amp;SortOrder=Year</t>
  </si>
  <si>
    <t>http://www.burkemuseum.org/research-and-collections/botany-and-herbarium/collections/database/results.php?Genus=Hemizonella&amp;Species=minima&amp;SourcePage=search.php&amp;IncludeSynonyms=Y&amp;SortBy=DESC&amp;SortOrder=Year</t>
  </si>
  <si>
    <t>http://www.burkemuseum.org/research-and-collections/botany-and-herbarium/collections/database/results.php?Genus=Heracleum&amp;Species=maximum&amp;SourcePage=search.php&amp;IncludeSynonyms=Y&amp;SortBy=DESC&amp;SortOrder=Year</t>
  </si>
  <si>
    <t>http://www.burkemuseum.org/research-and-collections/botany-and-herbarium/collections/database/results.php?Genus=Heterotheca&amp;Species=oregona&amp;SourcePage=search.php&amp;IncludeSynonyms=Y&amp;SortBy=DESC&amp;SortOrder=Year</t>
  </si>
  <si>
    <t>http://www.burkemuseum.org/research-and-collections/botany-and-herbarium/collections/database/results.php?Genus=Heterotheca&amp;Species=villosa&amp;SourcePage=search.php&amp;IncludeSynonyms=Y&amp;SortBy=DESC&amp;SortOrder=Year</t>
  </si>
  <si>
    <t>http://www.burkemuseum.org/research-and-collections/botany-and-herbarium/collections/database/results.php?Genus=Heuchera&amp;Species=chlorantha&amp;SourcePage=search.php&amp;IncludeSynonyms=Y&amp;SortBy=DESC&amp;SortOrder=Year</t>
  </si>
  <si>
    <t>http://www.burkemuseum.org/research-and-collections/botany-and-herbarium/collections/database/results.php?Genus=Heuchera&amp;Species=cylindrica&amp;SourcePage=search.php&amp;IncludeSynonyms=Y&amp;SortBy=DESC&amp;SortOrder=Year</t>
  </si>
  <si>
    <t>http://www.burkemuseum.org/research-and-collections/botany-and-herbarium/collections/database/results.php?Genus=Heuchera&amp;Species=glabra&amp;SourcePage=search.php&amp;IncludeSynonyms=Y&amp;SortBy=DESC&amp;SortOrder=Year</t>
  </si>
  <si>
    <t>http://www.burkemuseum.org/research-and-collections/botany-and-herbarium/collections/database/results.php?Genus=Heuchera&amp;Species=micrantha&amp;SourcePage=search.php&amp;IncludeSynonyms=Y&amp;SortBy=DESC&amp;SortOrder=Year</t>
  </si>
  <si>
    <t>http://www.burkemuseum.org/research-and-collections/botany-and-herbarium/collections/database/results.php?Genus=Hieracium&amp;Species=albiflorum&amp;SourcePage=search.php&amp;IncludeSynonyms=Y&amp;SortBy=DESC&amp;SortOrder=Year</t>
  </si>
  <si>
    <t>http://www.burkemuseum.org/research-and-collections/botany-and-herbarium/collections/database/results.php?Genus=Hieracium&amp;Species=scouleri&amp;SourcePage=search.php&amp;IncludeSynonyms=Y&amp;SortBy=DESC&amp;SortOrder=Year</t>
  </si>
  <si>
    <t>http://www.burkemuseum.org/research-and-collections/botany-and-herbarium/collections/database/results.php?Genus=Hierochloe&amp;Species=odorata&amp;SourcePage=search.php&amp;IncludeSynonyms=Y&amp;SortBy=DESC&amp;SortOrder=Year</t>
  </si>
  <si>
    <t>http://www.burkemuseum.org/research-and-collections/botany-and-herbarium/collections/database/results.php?Genus=Hippuris&amp;Species=vulgaris&amp;SourcePage=search.php&amp;IncludeSynonyms=Y&amp;SortBy=DESC&amp;SortOrder=Year</t>
  </si>
  <si>
    <t>http://www.burkemuseum.org/research-and-collections/botany-and-herbarium/collections/database/results.php?Genus=Holodiscus&amp;Species=discolor&amp;SourcePage=search.php&amp;IncludeSynonyms=Y&amp;SortBy=DESC&amp;SortOrder=Year</t>
  </si>
  <si>
    <t>http://www.burkemuseum.org/research-and-collections/botany-and-herbarium/collections/database/results.php?Genus=Honckenya&amp;Species=peploides&amp;SourcePage=search.php&amp;IncludeSynonyms=Y&amp;SortBy=DESC&amp;SortOrder=Year</t>
  </si>
  <si>
    <t>http://www.burkemuseum.org/research-and-collections/botany-and-herbarium/collections/database/results.php?Genus=Hordeum&amp;Species=brachyantherum&amp;SourcePage=search.php&amp;IncludeSynonyms=Y&amp;SortBy=DESC&amp;SortOrder=Year</t>
  </si>
  <si>
    <t>http://www.burkemuseum.org/research-and-collections/botany-and-herbarium/collections/database/results.php?Genus=Hordeum&amp;Species=depressum&amp;SourcePage=search.php&amp;IncludeSynonyms=Y&amp;SortBy=DESC&amp;SortOrder=Year</t>
  </si>
  <si>
    <t>http://www.burkemuseum.org/research-and-collections/botany-and-herbarium/collections/database/results.php?Genus=Hordeum&amp;Species=jubatum&amp;SourcePage=search.php&amp;IncludeSynonyms=Y&amp;SortBy=DESC&amp;SortOrder=Year</t>
  </si>
  <si>
    <t>http://www.burkemuseum.org/research-and-collections/botany-and-herbarium/collections/database/results.php?Genus=Hosackia&amp;Species=crassifolia&amp;SourcePage=search.php&amp;IncludeSynonyms=Y&amp;SortBy=DESC&amp;SortOrder=Year</t>
  </si>
  <si>
    <t>http://www.burkemuseum.org/research-and-collections/botany-and-herbarium/collections/database/results.php?Genus=Hosackia&amp;Species=pinnata&amp;SourcePage=search.php&amp;IncludeSynonyms=Y&amp;SortBy=DESC&amp;SortOrder=Year</t>
  </si>
  <si>
    <t>http://www.burkemuseum.org/research-and-collections/botany-and-herbarium/collections/database/results.php?Genus=Hosackia&amp;Species=rosea&amp;SourcePage=search.php&amp;IncludeSynonyms=Y&amp;SortBy=DESC&amp;SortOrder=Year</t>
  </si>
  <si>
    <t>http://www.burkemuseum.org/research-and-collections/botany-and-herbarium/collections/database/results.php?Genus=Howellia&amp;Species=aquatilis&amp;SourcePage=search.php&amp;IncludeSynonyms=Y&amp;SortBy=DESC&amp;SortOrder=Year</t>
  </si>
  <si>
    <t>http://www.burkemuseum.org/research-and-collections/botany-and-herbarium/collections/database/results.php?Genus=Huperzia&amp;Species=miyoshiana&amp;SourcePage=search.php&amp;IncludeSynonyms=Y&amp;SortBy=DESC&amp;SortOrder=Year</t>
  </si>
  <si>
    <t>http://www.burkemuseum.org/research-and-collections/botany-and-herbarium/collections/database/results.php?Genus=Huperzia&amp;Species=occidentalis&amp;SourcePage=search.php&amp;IncludeSynonyms=Y&amp;SortBy=DESC&amp;SortOrder=Year</t>
  </si>
  <si>
    <t>http://www.burkemuseum.org/research-and-collections/botany-and-herbarium/collections/database/results.php?Genus=Hydrocotyle&amp;Species=ranunculoides&amp;SourcePage=search.php&amp;IncludeSynonyms=Y&amp;SortBy=DESC&amp;SortOrder=Year</t>
  </si>
  <si>
    <t>http://www.burkemuseum.org/research-and-collections/botany-and-herbarium/collections/database/results.php?Genus=Hydrophyllum&amp;Species=tenuipes&amp;SourcePage=search.php&amp;IncludeSynonyms=Y&amp;SortBy=DESC&amp;SortOrder=Year</t>
  </si>
  <si>
    <t>http://www.burkemuseum.org/research-and-collections/botany-and-herbarium/collections/database/results.php?Genus=Hypericum&amp;Species=anagalloides&amp;SourcePage=search.php&amp;IncludeSynonyms=Y&amp;SortBy=DESC&amp;SortOrder=Year</t>
  </si>
  <si>
    <t>http://www.burkemuseum.org/research-and-collections/botany-and-herbarium/collections/database/results.php?Genus=Hypericum&amp;Species=majus&amp;SourcePage=search.php&amp;IncludeSynonyms=Y&amp;SortBy=DESC&amp;SortOrder=Year</t>
  </si>
  <si>
    <t>http://www.burkemuseum.org/research-and-collections/botany-and-herbarium/collections/database/results.php?Genus=Hypericum&amp;Species=scouleri&amp;SourcePage=search.php&amp;IncludeSynonyms=Y&amp;SortBy=DESC&amp;SortOrder=Year</t>
  </si>
  <si>
    <t>http://www.burkemuseum.org/research-and-collections/botany-and-herbarium/collections/database/results.php?Genus=Impatiens&amp;Species=ecornuta&amp;SourcePage=search.php&amp;IncludeSynonyms=Y&amp;SortBy=DESC&amp;SortOrder=Year</t>
  </si>
  <si>
    <t>http://www.burkemuseum.org/research-and-collections/botany-and-herbarium/collections/database/results.php?Genus=Impatiens&amp;Species=noli-tangere&amp;SourcePage=search.php&amp;IncludeSynonyms=Y&amp;SortBy=DESC&amp;SortOrder=Year</t>
  </si>
  <si>
    <t>http://www.burkemuseum.org/research-and-collections/botany-and-herbarium/collections/database/results.php?Genus=Iris&amp;Species=missouriensis&amp;SourcePage=search.php&amp;IncludeSynonyms=Y&amp;SortBy=DESC&amp;SortOrder=Year</t>
  </si>
  <si>
    <t>http://www.burkemuseum.org/research-and-collections/botany-and-herbarium/collections/database/results.php?Genus=Iris&amp;Species=tenax&amp;SourcePage=search.php&amp;IncludeSynonyms=Y&amp;SortBy=DESC&amp;SortOrder=Year</t>
  </si>
  <si>
    <t>http://www.burkemuseum.org/research-and-collections/botany-and-herbarium/collections/database/results.php?Genus=Isoetes&amp;Species=nuttallii&amp;SourcePage=search.php&amp;IncludeSynonyms=Y&amp;SortBy=DESC&amp;SortOrder=Year</t>
  </si>
  <si>
    <t>http://www.burkemuseum.org/research-and-collections/botany-and-herbarium/collections/database/results.php?Genus=Isoetes&amp;Species=occidentalis&amp;SourcePage=search.php&amp;IncludeSynonyms=Y&amp;SortBy=DESC&amp;SortOrder=Year</t>
  </si>
  <si>
    <t>http://www.burkemuseum.org/research-and-collections/botany-and-herbarium/collections/database/results.php?Genus=Isoetes&amp;Species=tenella&amp;SourcePage=search.php&amp;IncludeSynonyms=Y&amp;SortBy=DESC&amp;SortOrder=Year</t>
  </si>
  <si>
    <t>http://www.burkemuseum.org/research-and-collections/botany-and-herbarium/collections/database/results.php?Genus=Isolepis&amp;Species=cernua&amp;SourcePage=search.php&amp;IncludeSynonyms=Y&amp;SortBy=DESC&amp;SortOrder=Year</t>
  </si>
  <si>
    <t>http://www.burkemuseum.org/research-and-collections/botany-and-herbarium/collections/database/results.php?Genus=Jaumea&amp;Species=carnosa&amp;SourcePage=search.php&amp;IncludeSynonyms=Y&amp;SortBy=DESC&amp;SortOrder=Year</t>
  </si>
  <si>
    <t>http://www.burkemuseum.org/research-and-collections/botany-and-herbarium/collections/database/results.php?Genus=Juncus&amp;Species=acuminatus&amp;SourcePage=search.php&amp;IncludeSynonyms=Y&amp;SortBy=DESC&amp;SortOrder=Year</t>
  </si>
  <si>
    <t>http://www.burkemuseum.org/research-and-collections/botany-and-herbarium/collections/database/results.php?Genus=Juncus&amp;Species=alpinoarticulatus&amp;SourcePage=search.php&amp;IncludeSynonyms=Y&amp;SortBy=DESC&amp;SortOrder=Year</t>
  </si>
  <si>
    <t>http://www.burkemuseum.org/research-and-collections/botany-and-herbarium/collections/database/results.php?Genus=Juncus&amp;Species=bolanderi&amp;SourcePage=search.php&amp;IncludeSynonyms=Y&amp;SortBy=DESC&amp;SortOrder=Year</t>
  </si>
  <si>
    <t>http://www.burkemuseum.org/research-and-collections/botany-and-herbarium/collections/database/results.php?Genus=Juncus&amp;Species=brevicaudatus&amp;SourcePage=search.php&amp;IncludeSynonyms=Y&amp;SortBy=DESC&amp;SortOrder=Year</t>
  </si>
  <si>
    <t>http://www.burkemuseum.org/research-and-collections/botany-and-herbarium/collections/database/results.php?Genus=Juncus&amp;Species=effusus&amp;SourcePage=search.php&amp;IncludeSynonyms=Y&amp;SortBy=DESC&amp;SortOrder=Year</t>
  </si>
  <si>
    <t>http://www.burkemuseum.org/research-and-collections/botany-and-herbarium/collections/database/results.php?Genus=Juncus&amp;Species=ensifolius&amp;SourcePage=search.php&amp;IncludeSynonyms=Y&amp;SortBy=DESC&amp;SortOrder=Year</t>
  </si>
  <si>
    <t>http://www.burkemuseum.org/research-and-collections/botany-and-herbarium/collections/database/results.php?Genus=Juncus&amp;Species=mertensianus&amp;SourcePage=search.php&amp;IncludeSynonyms=Y&amp;SortBy=DESC&amp;SortOrder=Year</t>
  </si>
  <si>
    <t>http://www.burkemuseum.org/research-and-collections/botany-and-herbarium/collections/database/results.php?Genus=Juncus&amp;Species=oxymeris&amp;SourcePage=search.php&amp;IncludeSynonyms=Y&amp;SortBy=DESC&amp;SortOrder=Year</t>
  </si>
  <si>
    <t>http://www.burkemuseum.org/research-and-collections/botany-and-herbarium/collections/database/results.php?Genus=Juncus&amp;Species=patens&amp;SourcePage=search.php&amp;IncludeSynonyms=Y&amp;SortBy=DESC&amp;SortOrder=Year</t>
  </si>
  <si>
    <t>http://www.burkemuseum.org/research-and-collections/botany-and-herbarium/collections/database/results.php?Genus=Juncus&amp;Species=supiniformis&amp;SourcePage=search.php&amp;IncludeSynonyms=Y&amp;SortBy=DESC&amp;SortOrder=Year</t>
  </si>
  <si>
    <t>http://www.burkemuseum.org/research-and-collections/botany-and-herbarium/collections/database/results.php?Genus=Juncus&amp;Species=tenuis&amp;SourcePage=search.php&amp;IncludeSynonyms=Y&amp;SortBy=DESC&amp;SortOrder=Year</t>
  </si>
  <si>
    <t>http://www.burkemuseum.org/research-and-collections/botany-and-herbarium/collections/database/results.php?Genus=Juniperus&amp;Species=communis&amp;SourcePage=search.php&amp;IncludeSynonyms=Y&amp;SortBy=DESC&amp;SortOrder=Year</t>
  </si>
  <si>
    <t>http://www.burkemuseum.org/research-and-collections/botany-and-herbarium/collections/database/results.php?Genus=Juniperus&amp;Species=maritima&amp;SourcePage=search.php&amp;IncludeSynonyms=Y&amp;SortBy=DESC&amp;SortOrder=Year</t>
  </si>
  <si>
    <t>http://www.burkemuseum.org/research-and-collections/botany-and-herbarium/collections/database/results.php?Genus=Juniperus&amp;Species=occidentalis&amp;SourcePage=search.php&amp;IncludeSynonyms=Y&amp;SortBy=DESC&amp;SortOrder=Year</t>
  </si>
  <si>
    <t>http://www.burkemuseum.org/research-and-collections/botany-and-herbarium/collections/database/results.php?Genus=Juniperus&amp;Species=scopulorum&amp;SourcePage=search.php&amp;IncludeSynonyms=Y&amp;SortBy=DESC&amp;SortOrder=Year</t>
  </si>
  <si>
    <t>http://www.burkemuseum.org/research-and-collections/botany-and-herbarium/collections/database/results.php?Genus=Koeleria&amp;Species=macrantha&amp;SourcePage=search.php&amp;IncludeSynonyms=Y&amp;SortBy=DESC&amp;SortOrder=Year</t>
  </si>
  <si>
    <t>http://www.burkemuseum.org/research-and-collections/botany-and-herbarium/collections/database/results.php?Genus=Kopsiopsis&amp;Species=hookeri&amp;SourcePage=search.php&amp;IncludeSynonyms=Y&amp;SortBy=DESC&amp;SortOrder=Year</t>
  </si>
  <si>
    <t>http://www.burkemuseum.org/research-and-collections/botany-and-herbarium/collections/database/results.php?Genus=Lactuca&amp;Species=biennis&amp;SourcePage=search.php&amp;IncludeSynonyms=Y&amp;SortBy=DESC&amp;SortOrder=Year</t>
  </si>
  <si>
    <t>http://www.burkemuseum.org/research-and-collections/botany-and-herbarium/collections/database/results.php?Genus=Larix&amp;Species=occidentalis&amp;SourcePage=search.php&amp;IncludeSynonyms=Y&amp;SortBy=DESC&amp;SortOrder=Year</t>
  </si>
  <si>
    <t>http://www.burkemuseum.org/research-and-collections/botany-and-herbarium/collections/database/results.php?Genus=Lasthenia&amp;Species=glaberrima&amp;SourcePage=search.php&amp;IncludeSynonyms=Y&amp;SortBy=DESC&amp;SortOrder=Year</t>
  </si>
  <si>
    <t>http://www.burkemuseum.org/research-and-collections/botany-and-herbarium/collections/database/results.php?Genus=Lasthenia&amp;Species=maritima&amp;SourcePage=search.php&amp;IncludeSynonyms=Y&amp;SortBy=DESC&amp;SortOrder=Year</t>
  </si>
  <si>
    <t>http://www.burkemuseum.org/research-and-collections/botany-and-herbarium/collections/database/results.php?Genus=Lathyrus&amp;Species=holochlorus&amp;SourcePage=search.php&amp;IncludeSynonyms=Y&amp;SortBy=DESC&amp;SortOrder=Year</t>
  </si>
  <si>
    <t>http://www.burkemuseum.org/research-and-collections/botany-and-herbarium/collections/database/results.php?Genus=Lathyrus&amp;Species=japonicus&amp;SourcePage=search.php&amp;IncludeSynonyms=Y&amp;SortBy=DESC&amp;SortOrder=Year</t>
  </si>
  <si>
    <t>http://www.burkemuseum.org/research-and-collections/botany-and-herbarium/collections/database/results.php?Genus=Lathyrus&amp;Species=littoralis&amp;SourcePage=search.php&amp;IncludeSynonyms=Y&amp;SortBy=DESC&amp;SortOrder=Year</t>
  </si>
  <si>
    <t>http://www.burkemuseum.org/research-and-collections/botany-and-herbarium/collections/database/results.php?Genus=Lathyrus&amp;Species=nevadensis&amp;SourcePage=search.php&amp;IncludeSynonyms=Y&amp;SortBy=DESC&amp;SortOrder=Year</t>
  </si>
  <si>
    <t>http://www.burkemuseum.org/research-and-collections/botany-and-herbarium/collections/database/results.php?Genus=Lathyrus&amp;Species=palustris&amp;SourcePage=search.php&amp;IncludeSynonyms=Y&amp;SortBy=DESC&amp;SortOrder=Year</t>
  </si>
  <si>
    <t>http://www.burkemuseum.org/research-and-collections/botany-and-herbarium/collections/database/results.php?Genus=Lathyrus&amp;Species=polyphyllus&amp;SourcePage=search.php&amp;IncludeSynonyms=Y&amp;SortBy=DESC&amp;SortOrder=Year</t>
  </si>
  <si>
    <t>http://www.burkemuseum.org/research-and-collections/botany-and-herbarium/collections/database/results.php?Genus=Lathyrus&amp;Species=torreyi&amp;SourcePage=search.php&amp;IncludeSynonyms=Y&amp;SortBy=DESC&amp;SortOrder=Year</t>
  </si>
  <si>
    <t>http://www.burkemuseum.org/research-and-collections/botany-and-herbarium/collections/database/results.php?Genus=Lathyrus&amp;Species=vestitus&amp;SourcePage=search.php&amp;IncludeSynonyms=Y&amp;SortBy=DESC&amp;SortOrder=Year</t>
  </si>
  <si>
    <t>http://www.burkemuseum.org/research-and-collections/botany-and-herbarium/collections/database/results.php?Genus=Leersia&amp;Species=oryzoides&amp;SourcePage=search.php&amp;IncludeSynonyms=Y&amp;SortBy=DESC&amp;SortOrder=Year</t>
  </si>
  <si>
    <t>http://www.burkemuseum.org/research-and-collections/botany-and-herbarium/collections/database/results.php?Genus=Lemna&amp;Species=minor&amp;SourcePage=search.php&amp;IncludeSynonyms=Y&amp;SortBy=DESC&amp;SortOrder=Year</t>
  </si>
  <si>
    <t>http://www.burkemuseum.org/research-and-collections/botany-and-herbarium/collections/database/results.php?Genus=Lemna&amp;Species=trisulca&amp;SourcePage=search.php&amp;IncludeSynonyms=Y&amp;SortBy=DESC&amp;SortOrder=Year</t>
  </si>
  <si>
    <t>http://www.burkemuseum.org/research-and-collections/botany-and-herbarium/collections/database/results.php?Genus=Lemna&amp;Species=turionifera&amp;SourcePage=search.php&amp;IncludeSynonyms=Y&amp;SortBy=DESC&amp;SortOrder=Year</t>
  </si>
  <si>
    <t>http://www.burkemuseum.org/research-and-collections/botany-and-herbarium/collections/database/results.php?Genus=Lepidium&amp;Species=virginicum&amp;SourcePage=search.php&amp;IncludeSynonyms=Y&amp;SortBy=DESC&amp;SortOrder=Year</t>
  </si>
  <si>
    <t>http://www.burkemuseum.org/research-and-collections/botany-and-herbarium/collections/database/results.php?Genus=Leptarrhena&amp;Species=pyrolifolia&amp;SourcePage=search.php&amp;IncludeSynonyms=Y&amp;SortBy=DESC&amp;SortOrder=Year</t>
  </si>
  <si>
    <t>http://www.burkemuseum.org/research-and-collections/botany-and-herbarium/collections/database/results.php?Genus=Leptosiphon&amp;Species=bicolor&amp;SourcePage=search.php&amp;IncludeSynonyms=Y&amp;SortBy=DESC&amp;SortOrder=Year</t>
  </si>
  <si>
    <t>http://www.burkemuseum.org/research-and-collections/botany-and-herbarium/collections/database/results.php?Genus=Lewisia&amp;Species=columbiana&amp;SourcePage=search.php&amp;IncludeSynonyms=Y&amp;SortBy=DESC&amp;SortOrder=Year</t>
  </si>
  <si>
    <t>http://www.burkemuseum.org/research-and-collections/botany-and-herbarium/collections/database/results.php?Genus=Lewisia&amp;Species=rediviva&amp;SourcePage=search.php&amp;IncludeSynonyms=Y&amp;SortBy=DESC&amp;SortOrder=Year</t>
  </si>
  <si>
    <t>http://www.burkemuseum.org/research-and-collections/botany-and-herbarium/collections/database/results.php?Genus=Leymus&amp;Species=mollis&amp;SourcePage=search.php&amp;IncludeSynonyms=Y&amp;SortBy=DESC&amp;SortOrder=Year</t>
  </si>
  <si>
    <t>http://www.burkemuseum.org/research-and-collections/botany-and-herbarium/collections/database/results.php?Genus=Ligusticum&amp;Species=apiifolium&amp;SourcePage=search.php&amp;IncludeSynonyms=Y&amp;SortBy=DESC&amp;SortOrder=Year</t>
  </si>
  <si>
    <t>http://www.burkemuseum.org/research-and-collections/botany-and-herbarium/collections/database/results.php?Genus=Lilaeopsis&amp;Species=occidentalis&amp;SourcePage=search.php&amp;IncludeSynonyms=Y&amp;SortBy=DESC&amp;SortOrder=Year</t>
  </si>
  <si>
    <t>http://www.burkemuseum.org/research-and-collections/botany-and-herbarium/collections/database/results.php?Genus=Lilium&amp;Species=columbianum&amp;SourcePage=search.php&amp;IncludeSynonyms=Y&amp;SortBy=DESC&amp;SortOrder=Year</t>
  </si>
  <si>
    <t>http://www.burkemuseum.org/research-and-collections/botany-and-herbarium/collections/database/results.php?Genus=Limosella&amp;Species=aquatica&amp;SourcePage=search.php&amp;IncludeSynonyms=Y&amp;SortBy=DESC&amp;SortOrder=Year</t>
  </si>
  <si>
    <t>http://www.burkemuseum.org/research-and-collections/botany-and-herbarium/collections/database/results.php?Genus=Lindernia&amp;Species=dubia&amp;SourcePage=search.php&amp;IncludeSynonyms=Y&amp;SortBy=DESC&amp;SortOrder=Year</t>
  </si>
  <si>
    <t>http://www.burkemuseum.org/research-and-collections/botany-and-herbarium/collections/database/results.php?Genus=Linnaea&amp;Species=borealis&amp;SourcePage=search.php&amp;IncludeSynonyms=Y&amp;SortBy=DESC&amp;SortOrder=Year</t>
  </si>
  <si>
    <t>http://www.burkemuseum.org/research-and-collections/botany-and-herbarium/collections/database/results.php?Genus=Linum&amp;Species=lewisii&amp;SourcePage=search.php&amp;IncludeSynonyms=Y&amp;SortBy=DESC&amp;SortOrder=Year</t>
  </si>
  <si>
    <t>http://www.burkemuseum.org/research-and-collections/botany-and-herbarium/collections/database/results.php?Genus=Lithophragma&amp;Species=parviflorum&amp;SourcePage=search.php&amp;IncludeSynonyms=Y&amp;SortBy=DESC&amp;SortOrder=Year</t>
  </si>
  <si>
    <t>http://www.burkemuseum.org/research-and-collections/botany-and-herbarium/collections/database/results.php?Genus=Lobelia&amp;Species=dortmanna&amp;SourcePage=search.php&amp;IncludeSynonyms=Y&amp;SortBy=DESC&amp;SortOrder=Year</t>
  </si>
  <si>
    <t>http://www.burkemuseum.org/research-and-collections/botany-and-herbarium/collections/database/results.php?Genus=Lobelia&amp;Species=kalmii&amp;SourcePage=search.php&amp;IncludeSynonyms=Y&amp;SortBy=DESC&amp;SortOrder=Year</t>
  </si>
  <si>
    <t>http://www.burkemuseum.org/research-and-collections/botany-and-herbarium/collections/database/results.php?Genus=Lomatium&amp;Species=dissectum&amp;SourcePage=search.php&amp;IncludeSynonyms=Y&amp;SortBy=DESC&amp;SortOrder=Year</t>
  </si>
  <si>
    <t>http://www.burkemuseum.org/research-and-collections/botany-and-herbarium/collections/database/results.php?Genus=Lomatium&amp;Species=nudicaule&amp;SourcePage=search.php&amp;IncludeSynonyms=Y&amp;SortBy=DESC&amp;SortOrder=Year</t>
  </si>
  <si>
    <t>http://www.burkemuseum.org/research-and-collections/botany-and-herbarium/collections/database/results.php?Genus=Lomatium&amp;Species=utriculatum&amp;SourcePage=search.php&amp;IncludeSynonyms=Y&amp;SortBy=DESC&amp;SortOrder=Year</t>
  </si>
  <si>
    <t>http://www.burkemuseum.org/research-and-collections/botany-and-herbarium/collections/database/results.php?Genus=Lonicera&amp;Species=ciliosa&amp;SourcePage=search.php&amp;IncludeSynonyms=Y&amp;SortBy=DESC&amp;SortOrder=Year</t>
  </si>
  <si>
    <t>http://www.burkemuseum.org/research-and-collections/botany-and-herbarium/collections/database/results.php?Genus=Lonicera&amp;Species=conjugialis&amp;SourcePage=search.php&amp;IncludeSynonyms=Y&amp;SortBy=DESC&amp;SortOrder=Year</t>
  </si>
  <si>
    <t>http://www.burkemuseum.org/research-and-collections/botany-and-herbarium/collections/database/results.php?Genus=Lonicera&amp;Species=hispidula&amp;SourcePage=search.php&amp;IncludeSynonyms=Y&amp;SortBy=DESC&amp;SortOrder=Year</t>
  </si>
  <si>
    <t>http://www.burkemuseum.org/research-and-collections/botany-and-herbarium/collections/database/results.php?Genus=Lonicera&amp;Species=involucrata&amp;SourcePage=search.php&amp;IncludeSynonyms=Y&amp;SortBy=DESC&amp;SortOrder=Year</t>
  </si>
  <si>
    <t>http://www.burkemuseum.org/research-and-collections/botany-and-herbarium/collections/database/results.php?Genus=Lonicera&amp;Species=utahensis&amp;SourcePage=search.php&amp;IncludeSynonyms=Y&amp;SortBy=DESC&amp;SortOrder=Year</t>
  </si>
  <si>
    <t>http://www.burkemuseum.org/research-and-collections/botany-and-herbarium/collections/database/results.php?Genus=Lotus&amp;Species=uliginousus&amp;SourcePage=search.php&amp;IncludeSynonyms=Y&amp;SortBy=DESC&amp;SortOrder=Year</t>
  </si>
  <si>
    <t>http://www.burkemuseum.org/research-and-collections/botany-and-herbarium/collections/database/results.php?Genus=Ludwigia&amp;Species=palustris&amp;SourcePage=search.php&amp;IncludeSynonyms=Y&amp;SortBy=DESC&amp;SortOrder=Year</t>
  </si>
  <si>
    <t>http://www.burkemuseum.org/research-and-collections/botany-and-herbarium/collections/database/results.php?Genus=Luetkea&amp;Species=pectinata&amp;SourcePage=search.php&amp;IncludeSynonyms=Y&amp;SortBy=DESC&amp;SortOrder=Year</t>
  </si>
  <si>
    <t>http://www.burkemuseum.org/research-and-collections/botany-and-herbarium/collections/database/results.php?Genus=Lupinus&amp;Species=albicaulis&amp;SourcePage=search.php&amp;IncludeSynonyms=Y&amp;SortBy=DESC&amp;SortOrder=Year</t>
  </si>
  <si>
    <t>http://www.burkemuseum.org/research-and-collections/botany-and-herbarium/collections/database/results.php?Genus=Lupinus&amp;Species=bicolor&amp;SourcePage=search.php&amp;IncludeSynonyms=Y&amp;SortBy=DESC&amp;SortOrder=Year</t>
  </si>
  <si>
    <t>http://www.burkemuseum.org/research-and-collections/botany-and-herbarium/collections/database/results.php?Genus=Lupinus&amp;Species=latifolius&amp;SourcePage=search.php&amp;IncludeSynonyms=Y&amp;SortBy=DESC&amp;SortOrder=Year</t>
  </si>
  <si>
    <t>http://www.burkemuseum.org/research-and-collections/botany-and-herbarium/collections/database/results.php?Genus=Lupinus&amp;Species=lepidus&amp;SourcePage=search.php&amp;IncludeSynonyms=Y&amp;SortBy=DESC&amp;SortOrder=Year</t>
  </si>
  <si>
    <t>http://www.burkemuseum.org/research-and-collections/botany-and-herbarium/collections/database/results.php?Genus=Lupinus&amp;Species=littoralis&amp;SourcePage=search.php&amp;IncludeSynonyms=Y&amp;SortBy=DESC&amp;SortOrder=Year</t>
  </si>
  <si>
    <t>http://www.burkemuseum.org/research-and-collections/botany-and-herbarium/collections/database/results.php?Genus=Lupinus&amp;Species=microcarpus&amp;SourcePage=search.php&amp;IncludeSynonyms=Y&amp;SortBy=DESC&amp;SortOrder=Year</t>
  </si>
  <si>
    <t>http://www.burkemuseum.org/research-and-collections/botany-and-herbarium/collections/database/results.php?Genus=Lupinus&amp;Species=oreganus&amp;SourcePage=search.php&amp;IncludeSynonyms=Y&amp;SortBy=DESC&amp;SortOrder=Year</t>
  </si>
  <si>
    <t>http://www.burkemuseum.org/research-and-collections/botany-and-herbarium/collections/database/results.php?Genus=Lupinus&amp;Species=polyphyllus&amp;SourcePage=search.php&amp;IncludeSynonyms=Y&amp;SortBy=DESC&amp;SortOrder=Year</t>
  </si>
  <si>
    <t>http://www.burkemuseum.org/research-and-collections/botany-and-herbarium/collections/database/results.php?Genus=Lupinus&amp;Species=rivularis&amp;SourcePage=search.php&amp;IncludeSynonyms=Y&amp;SortBy=DESC&amp;SortOrder=Year</t>
  </si>
  <si>
    <t>http://www.burkemuseum.org/research-and-collections/botany-and-herbarium/collections/database/results.php?Genus=Luzula&amp;Species=comosa&amp;SourcePage=search.php&amp;IncludeSynonyms=Y&amp;SortBy=DESC&amp;SortOrder=Year</t>
  </si>
  <si>
    <t>http://www.burkemuseum.org/research-and-collections/botany-and-herbarium/collections/database/results.php?Genus=Luzula&amp;Species=multiflora&amp;SourcePage=search.php&amp;IncludeSynonyms=Y&amp;SortBy=DESC&amp;SortOrder=Year</t>
  </si>
  <si>
    <t>http://www.burkemuseum.org/research-and-collections/botany-and-herbarium/collections/database/results.php?Genus=Luzula&amp;Species=parviflora&amp;SourcePage=search.php&amp;IncludeSynonyms=Y&amp;SortBy=DESC&amp;SortOrder=Year</t>
  </si>
  <si>
    <t>http://www.burkemuseum.org/research-and-collections/botany-and-herbarium/collections/database/results.php?Genus=Lycopodiella&amp;Species=inundata&amp;SourcePage=search.php&amp;IncludeSynonyms=Y&amp;SortBy=DESC&amp;SortOrder=Year</t>
  </si>
  <si>
    <t>http://www.burkemuseum.org/research-and-collections/botany-and-herbarium/collections/database/results.php?Genus=Lycopodium&amp;Species=clavatum&amp;SourcePage=search.php&amp;IncludeSynonyms=Y&amp;SortBy=DESC&amp;SortOrder=Year</t>
  </si>
  <si>
    <t>http://www.burkemuseum.org/research-and-collections/botany-and-herbarium/collections/database/results.php?Genus=Lycopus&amp;Species=americanus&amp;SourcePage=search.php&amp;IncludeSynonyms=Y&amp;SortBy=DESC&amp;SortOrder=Year</t>
  </si>
  <si>
    <t>http://www.burkemuseum.org/research-and-collections/botany-and-herbarium/collections/database/results.php?Genus=Lycopus&amp;Species=uniflorus&amp;SourcePage=search.php&amp;IncludeSynonyms=Y&amp;SortBy=DESC&amp;SortOrder=Year</t>
  </si>
  <si>
    <t>http://www.burkemuseum.org/research-and-collections/botany-and-herbarium/collections/database/results.php?Genus=Lysichiton&amp;Species=americanus&amp;SourcePage=search.php&amp;IncludeSynonyms=Y&amp;SortBy=DESC&amp;SortOrder=Year</t>
  </si>
  <si>
    <t>http://www.burkemuseum.org/research-and-collections/botany-and-herbarium/collections/database/results.php?Genus=Lysimachia&amp;Species=europaea&amp;SourcePage=search.php&amp;IncludeSynonyms=Y&amp;SortBy=DESC&amp;SortOrder=Year</t>
  </si>
  <si>
    <t>http://www.burkemuseum.org/research-and-collections/botany-and-herbarium/collections/database/results.php?Genus=Lysimachia&amp;Species=latifolia&amp;SourcePage=search.php&amp;IncludeSynonyms=Y&amp;SortBy=DESC&amp;SortOrder=Year</t>
  </si>
  <si>
    <t>http://www.burkemuseum.org/research-and-collections/botany-and-herbarium/collections/database/results.php?Genus=Lysimachia&amp;Species=thyrsiflora&amp;SourcePage=search.php&amp;IncludeSynonyms=Y&amp;SortBy=DESC&amp;SortOrder=Year</t>
  </si>
  <si>
    <t>http://www.burkemuseum.org/research-and-collections/botany-and-herbarium/collections/database/results.php?Genus=Madia&amp;Species=elegans&amp;SourcePage=search.php&amp;IncludeSynonyms=Y&amp;SortBy=DESC&amp;SortOrder=Year</t>
  </si>
  <si>
    <t>http://www.burkemuseum.org/research-and-collections/botany-and-herbarium/collections/database/results.php?Genus=Madia&amp;Species=exigua&amp;SourcePage=search.php&amp;IncludeSynonyms=Y&amp;SortBy=DESC&amp;SortOrder=Year</t>
  </si>
  <si>
    <t>http://www.burkemuseum.org/research-and-collections/botany-and-herbarium/collections/database/results.php?Genus=Madia&amp;Species=glomerata&amp;SourcePage=search.php&amp;IncludeSynonyms=Y&amp;SortBy=DESC&amp;SortOrder=Year</t>
  </si>
  <si>
    <t>http://www.burkemuseum.org/research-and-collections/botany-and-herbarium/collections/database/results.php?Genus=Madia&amp;Species=gracilis&amp;SourcePage=search.php&amp;IncludeSynonyms=Y&amp;SortBy=DESC&amp;SortOrder=Year</t>
  </si>
  <si>
    <t>http://www.burkemuseum.org/research-and-collections/botany-and-herbarium/collections/database/results.php?Genus=Madia&amp;Species=sativa&amp;SourcePage=search.php&amp;IncludeSynonyms=Y&amp;SortBy=DESC&amp;SortOrder=Year</t>
  </si>
  <si>
    <t>http://www.burkemuseum.org/research-and-collections/botany-and-herbarium/collections/database/results.php?Genus=Maianthemum&amp;Species=dilatatum&amp;SourcePage=search.php&amp;IncludeSynonyms=Y&amp;SortBy=DESC&amp;SortOrder=Year</t>
  </si>
  <si>
    <t>http://www.burkemuseum.org/research-and-collections/botany-and-herbarium/collections/database/results.php?Genus=Maianthemum&amp;Species=racemosum&amp;SourcePage=search.php&amp;IncludeSynonyms=Y&amp;SortBy=DESC&amp;SortOrder=Year</t>
  </si>
  <si>
    <t>http://www.burkemuseum.org/research-and-collections/botany-and-herbarium/collections/database/results.php?Genus=Maianthemum&amp;Species=stellatum&amp;SourcePage=search.php&amp;IncludeSynonyms=Y&amp;SortBy=DESC&amp;SortOrder=Year</t>
  </si>
  <si>
    <t>http://www.burkemuseum.org/research-and-collections/botany-and-herbarium/collections/database/results.php?Genus=Malaxis&amp;Species=monophyllos&amp;SourcePage=search.php&amp;IncludeSynonyms=Y&amp;SortBy=DESC&amp;SortOrder=Year</t>
  </si>
  <si>
    <t>http://www.burkemuseum.org/research-and-collections/botany-and-herbarium/collections/database/results.php?Genus=Malus&amp;Species=fusca&amp;SourcePage=search.php&amp;IncludeSynonyms=Y&amp;SortBy=DESC&amp;SortOrder=Year</t>
  </si>
  <si>
    <t>http://www.burkemuseum.org/research-and-collections/botany-and-herbarium/collections/database/results.php?Genus=Marah&amp;Species=oreganus&amp;SourcePage=search.php&amp;IncludeSynonyms=Y&amp;SortBy=DESC&amp;SortOrder=Year</t>
  </si>
  <si>
    <t>http://www.burkemuseum.org/research-and-collections/botany-and-herbarium/collections/database/results.php?Genus=Matteuccia&amp;Species=struthiopteris&amp;SourcePage=search.php&amp;IncludeSynonyms=Y&amp;SortBy=DESC&amp;SortOrder=Year</t>
  </si>
  <si>
    <t>http://www.burkemuseum.org/research-and-collections/botany-and-herbarium/collections/database/results.php?Genus=Meconella&amp;Species=oregana&amp;SourcePage=search.php&amp;IncludeSynonyms=Y&amp;SortBy=DESC&amp;SortOrder=Year</t>
  </si>
  <si>
    <t>http://www.burkemuseum.org/research-and-collections/botany-and-herbarium/collections/database/results.php?Genus=Melica&amp;Species=smithii&amp;SourcePage=search.php&amp;IncludeSynonyms=Y&amp;SortBy=DESC&amp;SortOrder=Year</t>
  </si>
  <si>
    <t>http://www.burkemuseum.org/research-and-collections/botany-and-herbarium/collections/database/results.php?Genus=Melica&amp;Species=subulata&amp;SourcePage=search.php&amp;IncludeSynonyms=Y&amp;SortBy=DESC&amp;SortOrder=Year</t>
  </si>
  <si>
    <t>http://www.burkemuseum.org/research-and-collections/botany-and-herbarium/collections/database/results.php?Genus=Mentha&amp;Species=spicata&amp;SourcePage=search.php&amp;IncludeSynonyms=Y&amp;SortBy=DESC&amp;SortOrder=Year</t>
  </si>
  <si>
    <t>http://www.burkemuseum.org/research-and-collections/botany-and-herbarium/collections/database/results.php?Genus=Menyanthes&amp;Species=trifoliata&amp;SourcePage=search.php&amp;IncludeSynonyms=Y&amp;SortBy=DESC&amp;SortOrder=Year</t>
  </si>
  <si>
    <t>http://www.burkemuseum.org/research-and-collections/botany-and-herbarium/collections/database/results.php?Genus=Mertensia&amp;Species=platyphylla&amp;SourcePage=search.php&amp;IncludeSynonyms=Y&amp;SortBy=DESC&amp;SortOrder=Year</t>
  </si>
  <si>
    <t>http://www.burkemuseum.org/research-and-collections/botany-and-herbarium/collections/database/results.php?Genus=Metasequoia&amp;Species=glyptostroboides&amp;SourcePage=search.php&amp;IncludeSynonyms=Y&amp;SortBy=DESC&amp;SortOrder=Year</t>
  </si>
  <si>
    <t>http://www.burkemuseum.org/research-and-collections/botany-and-herbarium/collections/database/results.php?Genus=Micranthes&amp;Species=ferruginea&amp;SourcePage=search.php&amp;IncludeSynonyms=Y&amp;SortBy=DESC&amp;SortOrder=Year</t>
  </si>
  <si>
    <t>http://www.burkemuseum.org/research-and-collections/botany-and-herbarium/collections/database/results.php?Genus=Micranthes&amp;Species=integrifolia&amp;SourcePage=search.php&amp;IncludeSynonyms=Y&amp;SortBy=DESC&amp;SortOrder=Year</t>
  </si>
  <si>
    <t>http://www.burkemuseum.org/research-and-collections/botany-and-herbarium/collections/database/results.php?Genus=Micranthes&amp;Species=occidentalis&amp;SourcePage=search.php&amp;IncludeSynonyms=Y&amp;SortBy=DESC&amp;SortOrder=Year</t>
  </si>
  <si>
    <t>http://www.burkemuseum.org/research-and-collections/botany-and-herbarium/collections/database/results.php?Genus=Micranthes&amp;Species=oregana&amp;SourcePage=search.php&amp;IncludeSynonyms=Y&amp;SortBy=DESC&amp;SortOrder=Year</t>
  </si>
  <si>
    <t>http://www.burkemuseum.org/research-and-collections/botany-and-herbarium/collections/database/results.php?Genus=Micranthes&amp;Species=tischii&amp;SourcePage=search.php&amp;IncludeSynonyms=Y&amp;SortBy=DESC&amp;SortOrder=Year</t>
  </si>
  <si>
    <t>http://www.burkemuseum.org/research-and-collections/botany-and-herbarium/collections/database/results.php?Genus=Microseris&amp;Species=borealis&amp;SourcePage=search.php&amp;IncludeSynonyms=Y&amp;SortBy=DESC&amp;SortOrder=Year</t>
  </si>
  <si>
    <t>http://www.burkemuseum.org/research-and-collections/botany-and-herbarium/collections/database/results.php?Genus=Microseris&amp;Species=laciniata&amp;SourcePage=search.php&amp;IncludeSynonyms=Y&amp;SortBy=DESC&amp;SortOrder=Year</t>
  </si>
  <si>
    <t>http://www.burkemuseum.org/research-and-collections/botany-and-herbarium/collections/database/results.php?Genus=Microsteris&amp;Species=gracilis&amp;SourcePage=search.php&amp;IncludeSynonyms=Y&amp;SortBy=DESC&amp;SortOrder=Year</t>
  </si>
  <si>
    <t>http://www.burkemuseum.org/research-and-collections/botany-and-herbarium/collections/database/results.php?Genus=Mitellastra&amp;Species=caulescens&amp;SourcePage=search.php&amp;IncludeSynonyms=Y&amp;SortBy=DESC&amp;SortOrder=Year</t>
  </si>
  <si>
    <t>http://www.burkemuseum.org/research-and-collections/botany-and-herbarium/collections/database/results.php?Genus=Moehringia&amp;Species=lateriflora&amp;SourcePage=search.php&amp;IncludeSynonyms=Y&amp;SortBy=DESC&amp;SortOrder=Year</t>
  </si>
  <si>
    <t>http://www.burkemuseum.org/research-and-collections/botany-and-herbarium/collections/database/results.php?Genus=Moehringia&amp;Species=macrophylla&amp;SourcePage=search.php&amp;IncludeSynonyms=Y&amp;SortBy=DESC&amp;SortOrder=Year</t>
  </si>
  <si>
    <t>http://www.burkemuseum.org/research-and-collections/botany-and-herbarium/collections/database/results.php?Genus=Moneses&amp;Species=uniflora&amp;SourcePage=search.php&amp;IncludeSynonyms=Y&amp;SortBy=DESC&amp;SortOrder=Year</t>
  </si>
  <si>
    <t>http://www.burkemuseum.org/research-and-collections/botany-and-herbarium/collections/database/results.php?Genus=Monotropa&amp;Species=hypopitys&amp;SourcePage=search.php&amp;IncludeSynonyms=Y&amp;SortBy=DESC&amp;SortOrder=Year</t>
  </si>
  <si>
    <t>http://www.burkemuseum.org/research-and-collections/botany-and-herbarium/collections/database/results.php?Genus=Monotropa&amp;Species=uniflora&amp;SourcePage=search.php&amp;IncludeSynonyms=Y&amp;SortBy=DESC&amp;SortOrder=Year</t>
  </si>
  <si>
    <t>http://www.burkemuseum.org/research-and-collections/botany-and-herbarium/collections/database/results.php?Genus=Montia&amp;Species=dichotoma&amp;SourcePage=search.php&amp;IncludeSynonyms=Y&amp;SortBy=DESC&amp;SortOrder=Year</t>
  </si>
  <si>
    <t>http://www.burkemuseum.org/research-and-collections/botany-and-herbarium/collections/database/results.php?Genus=Montia&amp;Species=diffusa&amp;SourcePage=search.php&amp;IncludeSynonyms=Y&amp;SortBy=DESC&amp;SortOrder=Year</t>
  </si>
  <si>
    <t>http://www.burkemuseum.org/research-and-collections/botany-and-herbarium/collections/database/results.php?Genus=Montia&amp;Species=fontana&amp;SourcePage=search.php&amp;IncludeSynonyms=Y&amp;SortBy=DESC&amp;SortOrder=Year</t>
  </si>
  <si>
    <t>http://www.burkemuseum.org/research-and-collections/botany-and-herbarium/collections/database/results.php?Genus=Montia&amp;Species=howellii&amp;SourcePage=search.php&amp;IncludeSynonyms=Y&amp;SortBy=DESC&amp;SortOrder=Year</t>
  </si>
  <si>
    <t>http://www.burkemuseum.org/research-and-collections/botany-and-herbarium/collections/database/results.php?Genus=Montia&amp;Species=linearis&amp;SourcePage=search.php&amp;IncludeSynonyms=Y&amp;SortBy=DESC&amp;SortOrder=Year</t>
  </si>
  <si>
    <t>http://www.burkemuseum.org/research-and-collections/botany-and-herbarium/collections/database/results.php?Genus=Montia&amp;Species=parvifolia&amp;SourcePage=search.php&amp;IncludeSynonyms=Y&amp;SortBy=DESC&amp;SortOrder=Year</t>
  </si>
  <si>
    <t>http://www.burkemuseum.org/research-and-collections/botany-and-herbarium/collections/database/results.php?Genus=Myosotis&amp;Species=laxa&amp;SourcePage=search.php&amp;IncludeSynonyms=Y&amp;SortBy=DESC&amp;SortOrder=Year</t>
  </si>
  <si>
    <t>http://www.burkemuseum.org/research-and-collections/botany-and-herbarium/collections/database/results.php?Genus=Myosurus&amp;Species=minimus&amp;SourcePage=search.php&amp;IncludeSynonyms=Y&amp;SortBy=DESC&amp;SortOrder=Year</t>
  </si>
  <si>
    <t>http://www.burkemuseum.org/research-and-collections/botany-and-herbarium/collections/database/results.php?Genus=Myrica&amp;Species=californica&amp;SourcePage=search.php&amp;IncludeSynonyms=Y&amp;SortBy=DESC&amp;SortOrder=Year</t>
  </si>
  <si>
    <t>http://www.burkemuseum.org/research-and-collections/botany-and-herbarium/collections/database/results.php?Genus=Myrica&amp;Species=gale&amp;SourcePage=search.php&amp;IncludeSynonyms=Y&amp;SortBy=DESC&amp;SortOrder=Year</t>
  </si>
  <si>
    <t>http://www.burkemuseum.org/research-and-collections/botany-and-herbarium/collections/database/results.php?Genus=Myriophyllum&amp;Species=hippuroides&amp;SourcePage=search.php&amp;IncludeSynonyms=Y&amp;SortBy=DESC&amp;SortOrder=Year</t>
  </si>
  <si>
    <t>http://www.burkemuseum.org/research-and-collections/botany-and-herbarium/collections/database/results.php?Genus=Myriophyllum&amp;Species=quitense&amp;SourcePage=search.php&amp;IncludeSynonyms=Y&amp;SortBy=DESC&amp;SortOrder=Year</t>
  </si>
  <si>
    <t>http://www.burkemuseum.org/research-and-collections/botany-and-herbarium/collections/database/results.php?Genus=Myriophyllum&amp;Species=sibiricum&amp;SourcePage=search.php&amp;IncludeSynonyms=Y&amp;SortBy=DESC&amp;SortOrder=Year</t>
  </si>
  <si>
    <t>http://www.burkemuseum.org/research-and-collections/botany-and-herbarium/collections/database/results.php?Genus=Myriophyllum&amp;Species=verticillatum&amp;SourcePage=search.php&amp;IncludeSynonyms=Y&amp;SortBy=DESC&amp;SortOrder=Year</t>
  </si>
  <si>
    <t>http://www.burkemuseum.org/research-and-collections/botany-and-herbarium/collections/database/results.php?Genus=Myriopteris&amp;Species=gracillima&amp;SourcePage=search.php&amp;IncludeSynonyms=Y&amp;SortBy=DESC&amp;SortOrder=Year</t>
  </si>
  <si>
    <t>http://www.burkemuseum.org/research-and-collections/botany-and-herbarium/collections/database/results.php?Genus=Nabalus&amp;Species=alatus&amp;SourcePage=search.php&amp;IncludeSynonyms=Y&amp;SortBy=DESC&amp;SortOrder=Year</t>
  </si>
  <si>
    <t>http://www.burkemuseum.org/research-and-collections/botany-and-herbarium/collections/database/results.php?Genus=Najas&amp;Species=flexilis&amp;SourcePage=search.php&amp;IncludeSynonyms=Y&amp;SortBy=DESC&amp;SortOrder=Year</t>
  </si>
  <si>
    <t>http://www.burkemuseum.org/research-and-collections/botany-and-herbarium/collections/database/results.php?Genus=Navarretia&amp;Species=intertexta&amp;SourcePage=search.php&amp;IncludeSynonyms=Y&amp;SortBy=DESC&amp;SortOrder=Year</t>
  </si>
  <si>
    <t>http://www.burkemuseum.org/research-and-collections/botany-and-herbarium/collections/database/results.php?Genus=Navarretia&amp;Species=squarrosa&amp;SourcePage=search.php&amp;IncludeSynonyms=Y&amp;SortBy=DESC&amp;SortOrder=Year</t>
  </si>
  <si>
    <t>http://www.burkemuseum.org/research-and-collections/botany-and-herbarium/collections/database/results.php?Genus=Nemophila&amp;Species=parviflora&amp;SourcePage=search.php&amp;IncludeSynonyms=Y&amp;SortBy=DESC&amp;SortOrder=Year</t>
  </si>
  <si>
    <t>http://www.burkemuseum.org/research-and-collections/botany-and-herbarium/collections/database/results.php?Genus=Nemophila&amp;Species=pedunculata&amp;SourcePage=search.php&amp;IncludeSynonyms=Y&amp;SortBy=DESC&amp;SortOrder=Year</t>
  </si>
  <si>
    <t>http://www.burkemuseum.org/research-and-collections/botany-and-herbarium/collections/database/results.php?Genus=Neottia&amp;Species=cordata&amp;SourcePage=search.php&amp;IncludeSynonyms=Y&amp;SortBy=DESC&amp;SortOrder=Year</t>
  </si>
  <si>
    <t>http://www.burkemuseum.org/research-and-collections/botany-and-herbarium/collections/database/results.php?Genus=Nothochelone&amp;Species=nemorosa&amp;SourcePage=search.php&amp;IncludeSynonyms=Y&amp;SortBy=DESC&amp;SortOrder=Year</t>
  </si>
  <si>
    <t>http://www.burkemuseum.org/research-and-collections/botany-and-herbarium/collections/database/results.php?Genus=Nuphar&amp;Species=polysepala&amp;SourcePage=search.php&amp;IncludeSynonyms=Y&amp;SortBy=DESC&amp;SortOrder=Year</t>
  </si>
  <si>
    <t>http://www.burkemuseum.org/research-and-collections/botany-and-herbarium/collections/database/results.php?Genus=Nuttallanthus&amp;Species=texanus&amp;SourcePage=search.php&amp;IncludeSynonyms=Y&amp;SortBy=DESC&amp;SortOrder=Year</t>
  </si>
  <si>
    <t>http://www.burkemuseum.org/research-and-collections/botany-and-herbarium/collections/database/results.php?Genus=Nymphaea&amp;Species=tetragona&amp;SourcePage=search.php&amp;IncludeSynonyms=Y&amp;SortBy=DESC&amp;SortOrder=Year</t>
  </si>
  <si>
    <t>http://www.burkemuseum.org/research-and-collections/botany-and-herbarium/collections/database/results.php?Genus=Oemleria&amp;Species=cerasiformis&amp;SourcePage=search.php&amp;IncludeSynonyms=Y&amp;SortBy=DESC&amp;SortOrder=Year</t>
  </si>
  <si>
    <t>http://www.burkemuseum.org/research-and-collections/botany-and-herbarium/collections/database/results.php?Genus=Oenanthe&amp;Species=sarmentosa&amp;SourcePage=search.php&amp;IncludeSynonyms=Y&amp;SortBy=DESC&amp;SortOrder=Year</t>
  </si>
  <si>
    <t>http://www.burkemuseum.org/research-and-collections/botany-and-herbarium/collections/database/results.php?Genus=Oenothera&amp;Species=flava&amp;SourcePage=search.php&amp;IncludeSynonyms=Y&amp;SortBy=DESC&amp;SortOrder=Year</t>
  </si>
  <si>
    <t>http://www.burkemuseum.org/research-and-collections/botany-and-herbarium/collections/database/results.php?Genus=Olsynium&amp;Species=douglasii&amp;SourcePage=search.php&amp;IncludeSynonyms=Y&amp;SortBy=DESC&amp;SortOrder=Year</t>
  </si>
  <si>
    <t>http://www.burkemuseum.org/research-and-collections/botany-and-herbarium/collections/database/results.php?Genus=Ophioglossum&amp;Species=pusillum&amp;SourcePage=search.php&amp;IncludeSynonyms=Y&amp;SortBy=DESC&amp;SortOrder=Year</t>
  </si>
  <si>
    <t>http://www.burkemuseum.org/research-and-collections/botany-and-herbarium/collections/database/results.php?Genus=Oplopanax&amp;Species=horridus&amp;SourcePage=search.php&amp;IncludeSynonyms=Y&amp;SortBy=DESC&amp;SortOrder=Year</t>
  </si>
  <si>
    <t>http://www.burkemuseum.org/research-and-collections/botany-and-herbarium/collections/database/results.php?Genus=Opuntia&amp;Species=fragilis&amp;SourcePage=search.php&amp;IncludeSynonyms=Y&amp;SortBy=DESC&amp;SortOrder=Year</t>
  </si>
  <si>
    <t>http://www.burkemuseum.org/research-and-collections/botany-and-herbarium/collections/database/results.php?Genus=Orthilia&amp;Species=secunda&amp;SourcePage=search.php&amp;IncludeSynonyms=Y&amp;SortBy=DESC&amp;SortOrder=Year</t>
  </si>
  <si>
    <t>http://www.burkemuseum.org/research-and-collections/botany-and-herbarium/collections/database/results.php?Genus=Orthocarpus&amp;Species=bracteosus&amp;SourcePage=search.php&amp;IncludeSynonyms=Y&amp;SortBy=DESC&amp;SortOrder=Year</t>
  </si>
  <si>
    <t>http://www.burkemuseum.org/research-and-collections/botany-and-herbarium/collections/database/results.php?Genus=Osmorhiza&amp;Species=berteroi&amp;SourcePage=search.php&amp;IncludeSynonyms=Y&amp;SortBy=DESC&amp;SortOrder=Year</t>
  </si>
  <si>
    <t>http://www.burkemuseum.org/research-and-collections/botany-and-herbarium/collections/database/results.php?Genus=Osmorhiza&amp;Species=purpurea&amp;SourcePage=search.php&amp;IncludeSynonyms=Y&amp;SortBy=DESC&amp;SortOrder=Year</t>
  </si>
  <si>
    <t>http://www.burkemuseum.org/research-and-collections/botany-and-herbarium/collections/database/results.php?Genus=Oxalis&amp;Species=oregana&amp;SourcePage=search.php&amp;IncludeSynonyms=Y&amp;SortBy=DESC&amp;SortOrder=Year</t>
  </si>
  <si>
    <t>http://www.burkemuseum.org/research-and-collections/botany-and-herbarium/collections/database/results.php?Genus=Oxalis&amp;Species=suksdorfii&amp;SourcePage=search.php&amp;IncludeSynonyms=Y&amp;SortBy=DESC&amp;SortOrder=Year</t>
  </si>
  <si>
    <t>http://www.burkemuseum.org/research-and-collections/botany-and-herbarium/collections/database/results.php?Genus=Oxalis&amp;Species=trilliifolia&amp;SourcePage=search.php&amp;IncludeSynonyms=Y&amp;SortBy=DESC&amp;SortOrder=Year</t>
  </si>
  <si>
    <t>http://www.burkemuseum.org/research-and-collections/botany-and-herbarium/collections/database/results.php?Genus=Oxybasis&amp;Species=rubra&amp;SourcePage=search.php&amp;IncludeSynonyms=Y&amp;SortBy=DESC&amp;SortOrder=Year</t>
  </si>
  <si>
    <t>http://www.burkemuseum.org/research-and-collections/botany-and-herbarium/collections/database/results.php?Genus=Oxytropis&amp;Species=borealis&amp;SourcePage=search.php&amp;IncludeSynonyms=Y&amp;SortBy=DESC&amp;SortOrder=Year</t>
  </si>
  <si>
    <t>http://www.burkemuseum.org/research-and-collections/botany-and-herbarium/collections/database/results.php?Genus=Oxytropis&amp;Species=campestris&amp;SourcePage=search.php&amp;IncludeSynonyms=Y&amp;SortBy=DESC&amp;SortOrder=Year</t>
  </si>
  <si>
    <t>http://www.burkemuseum.org/research-and-collections/botany-and-herbarium/collections/database/results.php?Genus=Ozomelis&amp;Species=trifida&amp;SourcePage=search.php&amp;IncludeSynonyms=Y&amp;SortBy=DESC&amp;SortOrder=Year</t>
  </si>
  <si>
    <t>http://www.burkemuseum.org/research-and-collections/botany-and-herbarium/collections/database/results.php?Genus=Packera&amp;Species=bolanderi&amp;SourcePage=search.php&amp;IncludeSynonyms=Y&amp;SortBy=DESC&amp;SortOrder=Year</t>
  </si>
  <si>
    <t>http://www.burkemuseum.org/research-and-collections/botany-and-herbarium/collections/database/results.php?Genus=Parnassia&amp;Species=cirrata&amp;SourcePage=search.php&amp;IncludeSynonyms=Y&amp;SortBy=DESC&amp;SortOrder=Year</t>
  </si>
  <si>
    <t>http://www.burkemuseum.org/research-and-collections/botany-and-herbarium/collections/database/results.php?Genus=Parnassia&amp;Species=fimbriata&amp;SourcePage=search.php&amp;IncludeSynonyms=Y&amp;SortBy=DESC&amp;SortOrder=Year</t>
  </si>
  <si>
    <t>http://www.burkemuseum.org/research-and-collections/botany-and-herbarium/collections/database/results.php?Genus=Parnassia&amp;Species=palustris&amp;SourcePage=search.php&amp;IncludeSynonyms=Y&amp;SortBy=DESC&amp;SortOrder=Year</t>
  </si>
  <si>
    <t>http://www.burkemuseum.org/research-and-collections/botany-and-herbarium/collections/database/results.php?Genus=Paxistima&amp;Species=myrsinites&amp;SourcePage=search.php&amp;IncludeSynonyms=Y&amp;SortBy=DESC&amp;SortOrder=Year</t>
  </si>
  <si>
    <t>http://www.burkemuseum.org/research-and-collections/botany-and-herbarium/collections/database/results.php?Genus=Pectiantia&amp;Species=breweri&amp;SourcePage=search.php&amp;IncludeSynonyms=Y&amp;SortBy=DESC&amp;SortOrder=Year</t>
  </si>
  <si>
    <t>http://www.burkemuseum.org/research-and-collections/botany-and-herbarium/collections/database/results.php?Genus=Pectiantia&amp;Species=ovalis&amp;SourcePage=search.php&amp;IncludeSynonyms=Y&amp;SortBy=DESC&amp;SortOrder=Year</t>
  </si>
  <si>
    <t>http://www.burkemuseum.org/research-and-collections/botany-and-herbarium/collections/database/results.php?Genus=Pedicularis&amp;Species=groenlandica&amp;SourcePage=search.php&amp;IncludeSynonyms=Y&amp;SortBy=DESC&amp;SortOrder=Year</t>
  </si>
  <si>
    <t>http://www.burkemuseum.org/research-and-collections/botany-and-herbarium/collections/database/results.php?Genus=Penstemon&amp;Species=attenuatus&amp;SourcePage=search.php&amp;IncludeSynonyms=Y&amp;SortBy=DESC&amp;SortOrder=Year</t>
  </si>
  <si>
    <t>http://www.burkemuseum.org/research-and-collections/botany-and-herbarium/collections/database/results.php?Genus=Penstemon&amp;Species=cardwellii&amp;SourcePage=search.php&amp;IncludeSynonyms=Y&amp;SortBy=DESC&amp;SortOrder=Year</t>
  </si>
  <si>
    <t>http://www.burkemuseum.org/research-and-collections/botany-and-herbarium/collections/database/results.php?Genus=Penstemon&amp;Species=davidsonii&amp;SourcePage=search.php&amp;IncludeSynonyms=Y&amp;SortBy=DESC&amp;SortOrder=Year</t>
  </si>
  <si>
    <t>http://www.burkemuseum.org/research-and-collections/botany-and-herbarium/collections/database/results.php?Genus=Penstemon&amp;Species=hesperius&amp;SourcePage=search.php&amp;IncludeSynonyms=Y&amp;SortBy=DESC&amp;SortOrder=Year</t>
  </si>
  <si>
    <t>http://www.burkemuseum.org/research-and-collections/botany-and-herbarium/collections/database/results.php?Genus=Penstemon&amp;Species=ovatus&amp;SourcePage=search.php&amp;IncludeSynonyms=Y&amp;SortBy=DESC&amp;SortOrder=Year</t>
  </si>
  <si>
    <t>http://www.burkemuseum.org/research-and-collections/botany-and-herbarium/collections/database/results.php?Genus=Penstemon&amp;Species=richardsonii&amp;SourcePage=search.php&amp;IncludeSynonyms=Y&amp;SortBy=DESC&amp;SortOrder=Year</t>
  </si>
  <si>
    <t>http://www.burkemuseum.org/research-and-collections/botany-and-herbarium/collections/database/results.php?Genus=Penstemon&amp;Species=serrulatus&amp;SourcePage=search.php&amp;IncludeSynonyms=Y&amp;SortBy=DESC&amp;SortOrder=Year</t>
  </si>
  <si>
    <t>http://www.burkemuseum.org/research-and-collections/botany-and-herbarium/collections/database/results.php?Genus=Pentagramma&amp;Species=triangularis&amp;SourcePage=search.php&amp;IncludeSynonyms=Y&amp;SortBy=DESC&amp;SortOrder=Year</t>
  </si>
  <si>
    <t>http://www.burkemuseum.org/research-and-collections/botany-and-herbarium/collections/database/results.php?Genus=Perideridia&amp;Species=montana&amp;SourcePage=search.php&amp;IncludeSynonyms=Y&amp;SortBy=DESC&amp;SortOrder=Year</t>
  </si>
  <si>
    <t>http://www.burkemuseum.org/research-and-collections/botany-and-herbarium/collections/database/results.php?Genus=Perideridia&amp;Species=oregana&amp;SourcePage=search.php&amp;IncludeSynonyms=Y&amp;SortBy=DESC&amp;SortOrder=Year</t>
  </si>
  <si>
    <t>http://www.burkemuseum.org/research-and-collections/botany-and-herbarium/collections/database/results.php?Genus=Persicaria&amp;Species=amphibia&amp;SourcePage=search.php&amp;IncludeSynonyms=Y&amp;SortBy=DESC&amp;SortOrder=Year</t>
  </si>
  <si>
    <t>http://www.burkemuseum.org/research-and-collections/botany-and-herbarium/collections/database/results.php?Genus=Persicaria&amp;Species=hydropiperoides&amp;SourcePage=search.php&amp;IncludeSynonyms=Y&amp;SortBy=DESC&amp;SortOrder=Year</t>
  </si>
  <si>
    <t>http://www.burkemuseum.org/research-and-collections/botany-and-herbarium/collections/database/results.php?Genus=Persicaria&amp;Species=lapathifolia&amp;SourcePage=search.php&amp;IncludeSynonyms=Y&amp;SortBy=DESC&amp;SortOrder=Year</t>
  </si>
  <si>
    <t>http://www.burkemuseum.org/research-and-collections/botany-and-herbarium/collections/database/results.php?Genus=Petasites&amp;Species=frigilus&amp;SourcePage=search.php&amp;IncludeSynonyms=Y&amp;SortBy=DESC&amp;SortOrder=Year</t>
  </si>
  <si>
    <t>http://www.burkemuseum.org/research-and-collections/botany-and-herbarium/collections/database/results.php?Genus=Phacelia&amp;Species=heterophylla&amp;SourcePage=search.php&amp;IncludeSynonyms=Y&amp;SortBy=DESC&amp;SortOrder=Year</t>
  </si>
  <si>
    <t>http://www.burkemuseum.org/research-and-collections/botany-and-herbarium/collections/database/results.php?Genus=Phacelia&amp;Species=nemoralis&amp;SourcePage=search.php&amp;IncludeSynonyms=Y&amp;SortBy=DESC&amp;SortOrder=Year</t>
  </si>
  <si>
    <t>http://www.burkemuseum.org/research-and-collections/botany-and-herbarium/collections/database/results.php?Genus=Phegopteris&amp;Species=connectilis&amp;SourcePage=search.php&amp;IncludeSynonyms=Y&amp;SortBy=DESC&amp;SortOrder=Year</t>
  </si>
  <si>
    <t>http://www.burkemuseum.org/research-and-collections/botany-and-herbarium/collections/database/results.php?Genus=Philadelphus&amp;Species=lewisii&amp;SourcePage=search.php&amp;IncludeSynonyms=Y&amp;SortBy=DESC&amp;SortOrder=Year</t>
  </si>
  <si>
    <t>http://www.burkemuseum.org/research-and-collections/botany-and-herbarium/collections/database/results.php?Genus=Phlox&amp;Species=diffusa&amp;SourcePage=search.php&amp;IncludeSynonyms=Y&amp;SortBy=DESC&amp;SortOrder=Year</t>
  </si>
  <si>
    <t>http://www.burkemuseum.org/research-and-collections/botany-and-herbarium/collections/database/results.php?Genus=Physocarpus&amp;Species=capitatus&amp;SourcePage=search.php&amp;IncludeSynonyms=Y&amp;SortBy=DESC&amp;SortOrder=Year</t>
  </si>
  <si>
    <t>http://www.burkemuseum.org/research-and-collections/botany-and-herbarium/collections/database/results.php?Genus=Picea&amp;Species=engelmannii&amp;SourcePage=search.php&amp;IncludeSynonyms=Y&amp;SortBy=DESC&amp;SortOrder=Year</t>
  </si>
  <si>
    <t>http://www.burkemuseum.org/research-and-collections/botany-and-herbarium/collections/database/results.php?Genus=Picea&amp;Species=sitchensis&amp;SourcePage=search.php&amp;IncludeSynonyms=Y&amp;SortBy=DESC&amp;SortOrder=Year</t>
  </si>
  <si>
    <t>http://www.burkemuseum.org/research-and-collections/botany-and-herbarium/collections/database/results.php?Genus=Pinus&amp;Species=albicaulis&amp;SourcePage=search.php&amp;IncludeSynonyms=Y&amp;SortBy=DESC&amp;SortOrder=Year</t>
  </si>
  <si>
    <t>http://www.burkemuseum.org/research-and-collections/botany-and-herbarium/collections/database/results.php?Genus=Pinus&amp;Species=contorta&amp;SourcePage=search.php&amp;IncludeSynonyms=Y&amp;SortBy=DESC&amp;SortOrder=Year</t>
  </si>
  <si>
    <t>http://www.burkemuseum.org/research-and-collections/botany-and-herbarium/collections/database/results.php?Genus=Pinus&amp;Species=monticola&amp;SourcePage=search.php&amp;IncludeSynonyms=Y&amp;SortBy=DESC&amp;SortOrder=Year</t>
  </si>
  <si>
    <t>http://www.burkemuseum.org/research-and-collections/botany-and-herbarium/collections/database/results.php?Genus=Pinus&amp;Species=ponderosa&amp;SourcePage=search.php&amp;IncludeSynonyms=Y&amp;SortBy=DESC&amp;SortOrder=Year</t>
  </si>
  <si>
    <t>http://www.burkemuseum.org/research-and-collections/botany-and-herbarium/collections/database/results.php?Genus=Pityopus&amp;Species=californica&amp;SourcePage=search.php&amp;IncludeSynonyms=Y&amp;SortBy=DESC&amp;SortOrder=Year</t>
  </si>
  <si>
    <t>http://www.burkemuseum.org/research-and-collections/botany-and-herbarium/collections/database/results.php?Genus=Plagiobothrys&amp;Species=figuratus&amp;SourcePage=search.php&amp;IncludeSynonyms=Y&amp;SortBy=DESC&amp;SortOrder=Year</t>
  </si>
  <si>
    <t>http://www.burkemuseum.org/research-and-collections/botany-and-herbarium/collections/database/results.php?Genus=Plagiobothrys&amp;Species=scouleri&amp;SourcePage=search.php&amp;IncludeSynonyms=Y&amp;SortBy=DESC&amp;SortOrder=Year</t>
  </si>
  <si>
    <t>http://www.burkemuseum.org/research-and-collections/botany-and-herbarium/collections/database/results.php?Genus=Plantago&amp;Species=elongata&amp;SourcePage=search.php&amp;IncludeSynonyms=Y&amp;SortBy=DESC&amp;SortOrder=Year</t>
  </si>
  <si>
    <t>http://www.burkemuseum.org/research-and-collections/botany-and-herbarium/collections/database/results.php?Genus=Plantago&amp;Species=macrocarpa&amp;SourcePage=search.php&amp;IncludeSynonyms=Y&amp;SortBy=DESC&amp;SortOrder=Year</t>
  </si>
  <si>
    <t>http://www.burkemuseum.org/research-and-collections/botany-and-herbarium/collections/database/results.php?Genus=Plantago&amp;Species=maritima&amp;SourcePage=search.php&amp;IncludeSynonyms=Y&amp;SortBy=DESC&amp;SortOrder=Year</t>
  </si>
  <si>
    <t>http://www.burkemuseum.org/research-and-collections/botany-and-herbarium/collections/database/results.php?Genus=Platanthera&amp;Species=chorisiana&amp;SourcePage=search.php&amp;IncludeSynonyms=Y&amp;SortBy=DESC&amp;SortOrder=Year</t>
  </si>
  <si>
    <t>http://www.burkemuseum.org/research-and-collections/botany-and-herbarium/collections/database/results.php?Genus=Platanthera&amp;Species=dilatata&amp;SourcePage=search.php&amp;IncludeSynonyms=Y&amp;SortBy=DESC&amp;SortOrder=Year</t>
  </si>
  <si>
    <t>http://www.burkemuseum.org/research-and-collections/botany-and-herbarium/collections/database/results.php?Genus=Platanthera&amp;Species=elongata&amp;SourcePage=search.php&amp;IncludeSynonyms=Y&amp;SortBy=DESC&amp;SortOrder=Year</t>
  </si>
  <si>
    <t>http://www.burkemuseum.org/research-and-collections/botany-and-herbarium/collections/database/results.php?Genus=Platanthera&amp;Species=orbiculata&amp;SourcePage=search.php&amp;IncludeSynonyms=Y&amp;SortBy=DESC&amp;SortOrder=Year</t>
  </si>
  <si>
    <t>http://www.burkemuseum.org/research-and-collections/botany-and-herbarium/collections/database/results.php?Genus=Platanthera&amp;Species=stricta&amp;SourcePage=search.php&amp;IncludeSynonyms=Y&amp;SortBy=DESC&amp;SortOrder=Year</t>
  </si>
  <si>
    <t>http://www.burkemuseum.org/research-and-collections/botany-and-herbarium/collections/database/results.php?Genus=Platanthera&amp;Species=transversa&amp;SourcePage=search.php&amp;IncludeSynonyms=Y&amp;SortBy=DESC&amp;SortOrder=Year</t>
  </si>
  <si>
    <t>http://www.burkemuseum.org/research-and-collections/botany-and-herbarium/collections/database/results.php?Genus=Platanthera&amp;Species=unalascensis&amp;SourcePage=search.php&amp;IncludeSynonyms=Y&amp;SortBy=DESC&amp;SortOrder=Year</t>
  </si>
  <si>
    <t>http://www.burkemuseum.org/research-and-collections/botany-and-herbarium/collections/database/results.php?Genus=Plectritis&amp;Species=congesta&amp;SourcePage=search.php&amp;IncludeSynonyms=Y&amp;SortBy=DESC&amp;SortOrder=Year</t>
  </si>
  <si>
    <t>http://www.burkemuseum.org/research-and-collections/botany-and-herbarium/collections/database/results.php?Genus=Pleuricospora&amp;Species=fimbriolata&amp;SourcePage=search.php&amp;IncludeSynonyms=Y&amp;SortBy=DESC&amp;SortOrder=Year</t>
  </si>
  <si>
    <t>http://www.burkemuseum.org/research-and-collections/botany-and-herbarium/collections/database/results.php?Genus=Pleuropogon&amp;Species=refractus&amp;SourcePage=search.php&amp;IncludeSynonyms=Y&amp;SortBy=DESC&amp;SortOrder=Year</t>
  </si>
  <si>
    <t>http://www.burkemuseum.org/research-and-collections/botany-and-herbarium/collections/database/results.php?Genus=Poa&amp;Species=confinis&amp;SourcePage=search.php&amp;IncludeSynonyms=Y&amp;SortBy=DESC&amp;SortOrder=Year</t>
  </si>
  <si>
    <t>http://www.burkemuseum.org/research-and-collections/botany-and-herbarium/collections/database/results.php?Genus=Poa&amp;Species=laxiflora&amp;SourcePage=search.php&amp;IncludeSynonyms=Y&amp;SortBy=DESC&amp;SortOrder=Year</t>
  </si>
  <si>
    <t>http://www.burkemuseum.org/research-and-collections/botany-and-herbarium/collections/database/results.php?Genus=Poa&amp;Species=leptocoma&amp;SourcePage=search.php&amp;IncludeSynonyms=Y&amp;SortBy=DESC&amp;SortOrder=Year</t>
  </si>
  <si>
    <t>http://www.burkemuseum.org/research-and-collections/botany-and-herbarium/collections/database/results.php?Genus=Poa&amp;Species=macrantha&amp;SourcePage=search.php&amp;IncludeSynonyms=Y&amp;SortBy=DESC&amp;SortOrder=Year</t>
  </si>
  <si>
    <t>http://www.burkemuseum.org/research-and-collections/botany-and-herbarium/collections/database/results.php?Genus=Poa&amp;Species=paucispicula&amp;SourcePage=search.php&amp;IncludeSynonyms=Y&amp;SortBy=DESC&amp;SortOrder=Year</t>
  </si>
  <si>
    <t>http://www.burkemuseum.org/research-and-collections/botany-and-herbarium/collections/database/results.php?Genus=Poa&amp;Species=unilateralis&amp;SourcePage=search.php&amp;IncludeSynonyms=Y&amp;SortBy=DESC&amp;SortOrder=Year</t>
  </si>
  <si>
    <t>http://www.burkemuseum.org/research-and-collections/botany-and-herbarium/collections/database/results.php?Genus=Polemonium&amp;Species=carneum&amp;SourcePage=search.php&amp;IncludeSynonyms=Y&amp;SortBy=DESC&amp;SortOrder=Year</t>
  </si>
  <si>
    <t>http://www.burkemuseum.org/research-and-collections/botany-and-herbarium/collections/database/results.php?Genus=Polemonium&amp;Species=pulcherrimum&amp;SourcePage=search.php&amp;IncludeSynonyms=Y&amp;SortBy=DESC&amp;SortOrder=Year</t>
  </si>
  <si>
    <t>http://www.burkemuseum.org/research-and-collections/botany-and-herbarium/collections/database/results.php?Genus=Polygonum&amp;Species=douglasii&amp;SourcePage=search.php&amp;IncludeSynonyms=Y&amp;SortBy=DESC&amp;SortOrder=Year</t>
  </si>
  <si>
    <t>http://www.burkemuseum.org/research-and-collections/botany-and-herbarium/collections/database/results.php?Genus=Polygonum&amp;Species=paronychia&amp;SourcePage=search.php&amp;IncludeSynonyms=Y&amp;SortBy=DESC&amp;SortOrder=Year</t>
  </si>
  <si>
    <t>http://www.burkemuseum.org/research-and-collections/botany-and-herbarium/collections/database/results.php?Genus=Polygonum&amp;Species=spergulariiforme&amp;SourcePage=search.php&amp;IncludeSynonyms=Y&amp;SortBy=DESC&amp;SortOrder=Year</t>
  </si>
  <si>
    <t>http://www.burkemuseum.org/research-and-collections/botany-and-herbarium/collections/database/results.php?Genus=Polypodium&amp;Species=glycyrrhiza&amp;SourcePage=search.php&amp;IncludeSynonyms=Y&amp;SortBy=DESC&amp;SortOrder=Year</t>
  </si>
  <si>
    <t>http://www.burkemuseum.org/research-and-collections/botany-and-herbarium/collections/database/results.php?Genus=Polypodium&amp;Species=hesperium&amp;SourcePage=search.php&amp;IncludeSynonyms=Y&amp;SortBy=DESC&amp;SortOrder=Year</t>
  </si>
  <si>
    <t>http://www.burkemuseum.org/research-and-collections/botany-and-herbarium/collections/database/results.php?Genus=Polypodium&amp;Species=scouleri&amp;SourcePage=search.php&amp;IncludeSynonyms=Y&amp;SortBy=DESC&amp;SortOrder=Year</t>
  </si>
  <si>
    <t>http://www.burkemuseum.org/research-and-collections/botany-and-herbarium/collections/database/results.php?Genus=Polystichum&amp;Species=andersonii&amp;SourcePage=search.php&amp;IncludeSynonyms=Y&amp;SortBy=DESC&amp;SortOrder=Year</t>
  </si>
  <si>
    <t>http://www.burkemuseum.org/research-and-collections/botany-and-herbarium/collections/database/results.php?Genus=Polystichum&amp;Species=californicum&amp;SourcePage=search.php&amp;IncludeSynonyms=Y&amp;SortBy=DESC&amp;SortOrder=Year</t>
  </si>
  <si>
    <t>http://www.burkemuseum.org/research-and-collections/botany-and-herbarium/collections/database/results.php?Genus=Polystichum&amp;Species=imbricans&amp;SourcePage=search.php&amp;IncludeSynonyms=Y&amp;SortBy=DESC&amp;SortOrder=Year</t>
  </si>
  <si>
    <t>http://www.burkemuseum.org/research-and-collections/botany-and-herbarium/collections/database/results.php?Genus=Polystichum&amp;Species=munitum&amp;SourcePage=search.php&amp;IncludeSynonyms=Y&amp;SortBy=DESC&amp;SortOrder=Year</t>
  </si>
  <si>
    <t>http://www.burkemuseum.org/research-and-collections/botany-and-herbarium/collections/database/results.php?Genus=Polystichum&amp;Species=setiferum&amp;SourcePage=search.php&amp;IncludeSynonyms=Y&amp;SortBy=DESC&amp;SortOrder=Year</t>
  </si>
  <si>
    <t>http://www.burkemuseum.org/research-and-collections/botany-and-herbarium/collections/database/results.php?Genus=Populus&amp;Species=trichocarpa&amp;SourcePage=search.php&amp;IncludeSynonyms=Y&amp;SortBy=DESC&amp;SortOrder=Year</t>
  </si>
  <si>
    <t>http://www.burkemuseum.org/research-and-collections/botany-and-herbarium/collections/database/results.php?Genus=Potamogeton&amp;Species=amplifolius&amp;SourcePage=search.php&amp;IncludeSynonyms=Y&amp;SortBy=DESC&amp;SortOrder=Year</t>
  </si>
  <si>
    <t>http://www.burkemuseum.org/research-and-collections/botany-and-herbarium/collections/database/results.php?Genus=Potamogeton&amp;Species=epihydrus&amp;SourcePage=search.php&amp;IncludeSynonyms=Y&amp;SortBy=DESC&amp;SortOrder=Year</t>
  </si>
  <si>
    <t>http://www.burkemuseum.org/research-and-collections/botany-and-herbarium/collections/database/results.php?Genus=Potamogeton&amp;Species=foliosus&amp;SourcePage=search.php&amp;IncludeSynonyms=Y&amp;SortBy=DESC&amp;SortOrder=Year</t>
  </si>
  <si>
    <t>http://www.burkemuseum.org/research-and-collections/botany-and-herbarium/collections/database/results.php?Genus=Potamogeton&amp;Species=gramineus&amp;SourcePage=search.php&amp;IncludeSynonyms=Y&amp;SortBy=DESC&amp;SortOrder=Year</t>
  </si>
  <si>
    <t>http://www.burkemuseum.org/research-and-collections/botany-and-herbarium/collections/database/results.php?Genus=Potamogeton&amp;Species=illinoensis&amp;SourcePage=search.php&amp;IncludeSynonyms=Y&amp;SortBy=DESC&amp;SortOrder=Year</t>
  </si>
  <si>
    <t>http://www.burkemuseum.org/research-and-collections/botany-and-herbarium/collections/database/results.php?Genus=Potamogeton&amp;Species=natans&amp;SourcePage=search.php&amp;IncludeSynonyms=Y&amp;SortBy=DESC&amp;SortOrder=Year</t>
  </si>
  <si>
    <t>http://www.burkemuseum.org/research-and-collections/botany-and-herbarium/collections/database/results.php?Genus=Potamogeton&amp;Species=nodosus&amp;SourcePage=search.php&amp;IncludeSynonyms=Y&amp;SortBy=DESC&amp;SortOrder=Year</t>
  </si>
  <si>
    <t>http://www.burkemuseum.org/research-and-collections/botany-and-herbarium/collections/database/results.php?Genus=Potamogeton&amp;Species=obtusifolius&amp;SourcePage=search.php&amp;IncludeSynonyms=Y&amp;SortBy=DESC&amp;SortOrder=Year</t>
  </si>
  <si>
    <t>http://www.burkemuseum.org/research-and-collections/botany-and-herbarium/collections/database/results.php?Genus=Potamogeton&amp;Species=pusillus&amp;SourcePage=search.php&amp;IncludeSynonyms=Y&amp;SortBy=DESC&amp;SortOrder=Year</t>
  </si>
  <si>
    <t>http://www.burkemuseum.org/research-and-collections/botany-and-herbarium/collections/database/results.php?Genus=Potamogeton&amp;Species=richardsonii&amp;SourcePage=search.php&amp;IncludeSynonyms=Y&amp;SortBy=DESC&amp;SortOrder=Year</t>
  </si>
  <si>
    <t>http://www.burkemuseum.org/research-and-collections/botany-and-herbarium/collections/database/results.php?Genus=Potamogeton&amp;Species=robbinsii&amp;SourcePage=search.php&amp;IncludeSynonyms=Y&amp;SortBy=DESC&amp;SortOrder=Year</t>
  </si>
  <si>
    <t>http://www.burkemuseum.org/research-and-collections/botany-and-herbarium/collections/database/results.php?Genus=Potamogeton&amp;Species=zosteriformis&amp;SourcePage=search.php&amp;IncludeSynonyms=Y&amp;SortBy=DESC&amp;SortOrder=Year</t>
  </si>
  <si>
    <t>http://www.burkemuseum.org/research-and-collections/botany-and-herbarium/collections/database/results.php?Genus=Potentilla&amp;Species=anserina&amp;SourcePage=search.php&amp;IncludeSynonyms=Y&amp;SortBy=DESC&amp;SortOrder=Year</t>
  </si>
  <si>
    <t>http://www.burkemuseum.org/research-and-collections/botany-and-herbarium/collections/database/results.php?Genus=Potentilla&amp;Species=drummondii&amp;SourcePage=search.php&amp;IncludeSynonyms=Y&amp;SortBy=DESC&amp;SortOrder=Year</t>
  </si>
  <si>
    <t>http://www.burkemuseum.org/research-and-collections/botany-and-herbarium/collections/database/results.php?Genus=Potentilla&amp;Species=gracilis&amp;SourcePage=search.php&amp;IncludeSynonyms=Y&amp;SortBy=DESC&amp;SortOrder=Year</t>
  </si>
  <si>
    <t>http://www.burkemuseum.org/research-and-collections/botany-and-herbarium/collections/database/results.php?Genus=Potentilla&amp;Species=palustris&amp;SourcePage=search.php&amp;IncludeSynonyms=Y&amp;SortBy=DESC&amp;SortOrder=Year</t>
  </si>
  <si>
    <t>http://www.burkemuseum.org/research-and-collections/botany-and-herbarium/collections/database/results.php?Genus=Prosartes&amp;Species=hookeri&amp;SourcePage=search.php&amp;IncludeSynonyms=Y&amp;SortBy=DESC&amp;SortOrder=Year</t>
  </si>
  <si>
    <t>http://www.burkemuseum.org/research-and-collections/botany-and-herbarium/collections/database/results.php?Genus=Prosartes&amp;Species=smithii&amp;SourcePage=search.php&amp;IncludeSynonyms=Y&amp;SortBy=DESC&amp;SortOrder=Year</t>
  </si>
  <si>
    <t>http://www.burkemuseum.org/research-and-collections/botany-and-herbarium/collections/database/results.php?Genus=Prunella&amp;Species=vulgaris&amp;SourcePage=search.php&amp;IncludeSynonyms=Y&amp;SortBy=DESC&amp;SortOrder=Year</t>
  </si>
  <si>
    <t>http://www.burkemuseum.org/research-and-collections/botany-and-herbarium/collections/database/results.php?Genus=Prunus&amp;Species=emarginata&amp;SourcePage=search.php&amp;IncludeSynonyms=Y&amp;SortBy=DESC&amp;SortOrder=Year</t>
  </si>
  <si>
    <t>http://www.burkemuseum.org/research-and-collections/botany-and-herbarium/collections/database/results.php?Genus=Prunus&amp;Species=virginiana&amp;SourcePage=search.php&amp;IncludeSynonyms=Y&amp;SortBy=DESC&amp;SortOrder=Year</t>
  </si>
  <si>
    <t>http://www.burkemuseum.org/research-and-collections/botany-and-herbarium/collections/database/results.php?Genus=Pseudognaphalium&amp;Species=stramineum&amp;SourcePage=search.php&amp;IncludeSynonyms=Y&amp;SortBy=DESC&amp;SortOrder=Year</t>
  </si>
  <si>
    <t>http://www.burkemuseum.org/research-and-collections/botany-and-herbarium/collections/database/results.php?Genus=Pseudognaphalium&amp;Species=thermale&amp;SourcePage=search.php&amp;IncludeSynonyms=Y&amp;SortBy=DESC&amp;SortOrder=Year</t>
  </si>
  <si>
    <t>http://www.burkemuseum.org/research-and-collections/botany-and-herbarium/collections/database/results.php?Genus=Pseudotsuga&amp;Species=menziesii&amp;SourcePage=search.php&amp;IncludeSynonyms=Y&amp;SortBy=DESC&amp;SortOrder=Year</t>
  </si>
  <si>
    <t>http://www.burkemuseum.org/research-and-collections/botany-and-herbarium/collections/database/results.php?Genus=Psilocarphus&amp;Species=elatior&amp;SourcePage=search.php&amp;IncludeSynonyms=Y&amp;SortBy=DESC&amp;SortOrder=Year</t>
  </si>
  <si>
    <t>http://www.burkemuseum.org/research-and-collections/botany-and-herbarium/collections/database/results.php?Genus=Psilocarphus&amp;Species=tenellus&amp;SourcePage=search.php&amp;IncludeSynonyms=Y&amp;SortBy=DESC&amp;SortOrder=Year</t>
  </si>
  <si>
    <t>http://www.burkemuseum.org/research-and-collections/botany-and-herbarium/collections/database/results.php?Genus=Pteridium&amp;Species=aquilinum&amp;SourcePage=search.php&amp;IncludeSynonyms=Y&amp;SortBy=DESC&amp;SortOrder=Year</t>
  </si>
  <si>
    <t>http://www.burkemuseum.org/research-and-collections/botany-and-herbarium/collections/database/results.php?Genus=Pterospora&amp;Species=andromedea&amp;SourcePage=search.php&amp;IncludeSynonyms=Y&amp;SortBy=DESC&amp;SortOrder=Year</t>
  </si>
  <si>
    <t>http://www.burkemuseum.org/research-and-collections/botany-and-herbarium/collections/database/results.php?Genus=Puccinellia&amp;Species=nuttalliana&amp;SourcePage=search.php&amp;IncludeSynonyms=Y&amp;SortBy=DESC&amp;SortOrder=Year</t>
  </si>
  <si>
    <t>http://www.burkemuseum.org/research-and-collections/botany-and-herbarium/collections/database/results.php?Genus=Pyracantha&amp;Species=coccinea&amp;SourcePage=search.php&amp;IncludeSynonyms=Y&amp;SortBy=DESC&amp;SortOrder=Year</t>
  </si>
  <si>
    <t>http://www.burkemuseum.org/research-and-collections/botany-and-herbarium/collections/database/results.php?Genus=Pyrola&amp;Species=asarifolia&amp;SourcePage=search.php&amp;IncludeSynonyms=Y&amp;SortBy=DESC&amp;SortOrder=Year</t>
  </si>
  <si>
    <t>http://www.burkemuseum.org/research-and-collections/botany-and-herbarium/collections/database/results.php?Genus=Pyrola&amp;Species=chlorantha&amp;SourcePage=search.php&amp;IncludeSynonyms=Y&amp;SortBy=DESC&amp;SortOrder=Year</t>
  </si>
  <si>
    <t>http://www.burkemuseum.org/research-and-collections/botany-and-herbarium/collections/database/results.php?Genus=Pyrola&amp;Species=picta&amp;SourcePage=search.php&amp;IncludeSynonyms=Y&amp;SortBy=DESC&amp;SortOrder=Year</t>
  </si>
  <si>
    <t>http://www.burkemuseum.org/research-and-collections/botany-and-herbarium/collections/database/results.php?Genus=Quercus&amp;Species=garryana&amp;SourcePage=search.php&amp;IncludeSynonyms=Y&amp;SortBy=DESC&amp;SortOrder=Year</t>
  </si>
  <si>
    <t>http://www.burkemuseum.org/research-and-collections/botany-and-herbarium/collections/database/results.php?Genus=Ranunculus&amp;Species=alismifolius&amp;SourcePage=search.php&amp;IncludeSynonyms=Y&amp;SortBy=DESC&amp;SortOrder=Year</t>
  </si>
  <si>
    <t>http://www.burkemuseum.org/research-and-collections/botany-and-herbarium/collections/database/results.php?Genus=Ranunculus&amp;Species=aquatilis&amp;SourcePage=search.php&amp;IncludeSynonyms=Y&amp;SortBy=DESC&amp;SortOrder=Year</t>
  </si>
  <si>
    <t>http://www.burkemuseum.org/research-and-collections/botany-and-herbarium/collections/database/results.php?Genus=Ranunculus&amp;Species=californicus&amp;SourcePage=search.php&amp;IncludeSynonyms=Y&amp;SortBy=DESC&amp;SortOrder=Year</t>
  </si>
  <si>
    <t>http://www.burkemuseum.org/research-and-collections/botany-and-herbarium/collections/database/results.php?Genus=Ranunculus&amp;Species=flammula&amp;SourcePage=search.php&amp;IncludeSynonyms=Y&amp;SortBy=DESC&amp;SortOrder=Year</t>
  </si>
  <si>
    <t>http://www.burkemuseum.org/research-and-collections/botany-and-herbarium/collections/database/results.php?Genus=Ranunculus&amp;Species=macounii&amp;SourcePage=search.php&amp;IncludeSynonyms=Y&amp;SortBy=DESC&amp;SortOrder=Year</t>
  </si>
  <si>
    <t>http://www.burkemuseum.org/research-and-collections/botany-and-herbarium/collections/database/results.php?Genus=Ranunculus&amp;Species=occidentalis&amp;SourcePage=search.php&amp;IncludeSynonyms=Y&amp;SortBy=DESC&amp;SortOrder=Year</t>
  </si>
  <si>
    <t>http://www.burkemuseum.org/research-and-collections/botany-and-herbarium/collections/database/results.php?Genus=Ranunculus&amp;Species=orthorhynchus&amp;SourcePage=search.php&amp;IncludeSynonyms=Y&amp;SortBy=DESC&amp;SortOrder=Year</t>
  </si>
  <si>
    <t>http://www.burkemuseum.org/research-and-collections/botany-and-herbarium/collections/database/results.php?Genus=Ranunculus&amp;Species=sceleratus&amp;SourcePage=search.php&amp;IncludeSynonyms=Y&amp;SortBy=DESC&amp;SortOrder=Year</t>
  </si>
  <si>
    <t>http://www.burkemuseum.org/research-and-collections/botany-and-herbarium/collections/database/results.php?Genus=Ranunculus&amp;Species=uncinatus&amp;SourcePage=search.php&amp;IncludeSynonyms=Y&amp;SortBy=DESC&amp;SortOrder=Year</t>
  </si>
  <si>
    <t>http://www.burkemuseum.org/research-and-collections/botany-and-herbarium/collections/database/results.php?Genus=Rhamnus&amp;Species=purshiana&amp;SourcePage=search.php&amp;IncludeSynonyms=Y&amp;SortBy=DESC&amp;SortOrder=Year</t>
  </si>
  <si>
    <t>http://www.burkemuseum.org/research-and-collections/botany-and-herbarium/collections/database/results.php?Genus=Rhinanthus&amp;Species=minor&amp;SourcePage=search.php&amp;IncludeSynonyms=Y&amp;SortBy=DESC&amp;SortOrder=Year</t>
  </si>
  <si>
    <t>http://www.burkemuseum.org/research-and-collections/botany-and-herbarium/collections/database/results.php?Genus=Rhododendron&amp;Species=albiflorum&amp;SourcePage=search.php&amp;IncludeSynonyms=Y&amp;SortBy=DESC&amp;SortOrder=Year</t>
  </si>
  <si>
    <t>http://www.burkemuseum.org/research-and-collections/botany-and-herbarium/collections/database/results.php?Genus=Rhododendron&amp;Species=columbianum&amp;SourcePage=search.php&amp;IncludeSynonyms=Y&amp;SortBy=DESC&amp;SortOrder=Year</t>
  </si>
  <si>
    <t>http://www.burkemuseum.org/research-and-collections/botany-and-herbarium/collections/database/results.php?Genus=Rhododendron&amp;Species=groenlandicum&amp;SourcePage=search.php&amp;IncludeSynonyms=Y&amp;SortBy=DESC&amp;SortOrder=Year</t>
  </si>
  <si>
    <t>http://www.burkemuseum.org/research-and-collections/botany-and-herbarium/collections/database/results.php?Genus=Rhododendron&amp;Species=macrophyllum&amp;SourcePage=search.php&amp;IncludeSynonyms=Y&amp;SortBy=DESC&amp;SortOrder=Year</t>
  </si>
  <si>
    <t>http://www.burkemuseum.org/research-and-collections/botany-and-herbarium/collections/database/results.php?Genus=Rhododendron&amp;Species=menziesii&amp;SourcePage=search.php&amp;IncludeSynonyms=Y&amp;SortBy=DESC&amp;SortOrder=Year</t>
  </si>
  <si>
    <t>http://www.burkemuseum.org/research-and-collections/botany-and-herbarium/collections/database/results.php?Genus=Rhus&amp;Species=glabra&amp;SourcePage=search.php&amp;IncludeSynonyms=Y&amp;SortBy=DESC&amp;SortOrder=Year</t>
  </si>
  <si>
    <t>http://www.burkemuseum.org/research-and-collections/botany-and-herbarium/collections/database/results.php?Genus=Rhynchospora&amp;Species=alba&amp;SourcePage=search.php&amp;IncludeSynonyms=Y&amp;SortBy=DESC&amp;SortOrder=Year</t>
  </si>
  <si>
    <t>http://www.burkemuseum.org/research-and-collections/botany-and-herbarium/collections/database/results.php?Genus=Ribes&amp;Species=acerifolium&amp;SourcePage=search.php&amp;IncludeSynonyms=Y&amp;SortBy=DESC&amp;SortOrder=Year</t>
  </si>
  <si>
    <t>http://www.burkemuseum.org/research-and-collections/botany-and-herbarium/collections/database/results.php?Genus=Ribes&amp;Species=aureum&amp;SourcePage=search.php&amp;IncludeSynonyms=Y&amp;SortBy=DESC&amp;SortOrder=Year</t>
  </si>
  <si>
    <t>http://www.burkemuseum.org/research-and-collections/botany-and-herbarium/collections/database/results.php?Genus=Ribes&amp;Species=bracteosum&amp;SourcePage=search.php&amp;IncludeSynonyms=Y&amp;SortBy=DESC&amp;SortOrder=Year</t>
  </si>
  <si>
    <t>http://www.burkemuseum.org/research-and-collections/botany-and-herbarium/collections/database/results.php?Genus=Ribes&amp;Species=cereum&amp;SourcePage=search.php&amp;IncludeSynonyms=Y&amp;SortBy=DESC&amp;SortOrder=Year</t>
  </si>
  <si>
    <t>http://www.burkemuseum.org/research-and-collections/botany-and-herbarium/collections/database/results.php?Genus=Ribes&amp;Species=divaricatum&amp;SourcePage=search.php&amp;IncludeSynonyms=Y&amp;SortBy=DESC&amp;SortOrder=Year</t>
  </si>
  <si>
    <t>http://www.burkemuseum.org/research-and-collections/botany-and-herbarium/collections/database/results.php?Genus=Ribes&amp;Species=lacustre&amp;SourcePage=search.php&amp;IncludeSynonyms=Y&amp;SortBy=DESC&amp;SortOrder=Year</t>
  </si>
  <si>
    <t>http://www.burkemuseum.org/research-and-collections/botany-and-herbarium/collections/database/results.php?Genus=Ribes&amp;Species=laxiflorum&amp;SourcePage=search.php&amp;IncludeSynonyms=Y&amp;SortBy=DESC&amp;SortOrder=Year</t>
  </si>
  <si>
    <t>http://www.burkemuseum.org/research-and-collections/botany-and-herbarium/collections/database/results.php?Genus=Ribes&amp;Species=lobbii&amp;SourcePage=search.php&amp;IncludeSynonyms=Y&amp;SortBy=DESC&amp;SortOrder=Year</t>
  </si>
  <si>
    <t>http://www.burkemuseum.org/research-and-collections/botany-and-herbarium/collections/database/results.php?Genus=Ribes&amp;Species=oxyacanthoides&amp;SourcePage=search.php&amp;IncludeSynonyms=Y&amp;SortBy=DESC&amp;SortOrder=Year</t>
  </si>
  <si>
    <t>http://www.burkemuseum.org/research-and-collections/botany-and-herbarium/collections/database/results.php?Genus=Ribes&amp;Species=sanguineum&amp;SourcePage=search.php&amp;IncludeSynonyms=Y&amp;SortBy=DESC&amp;SortOrder=Year</t>
  </si>
  <si>
    <t>http://www.burkemuseum.org/research-and-collections/botany-and-herbarium/collections/database/results.php?Genus=Ribes&amp;Species=triste&amp;SourcePage=search.php&amp;IncludeSynonyms=Y&amp;SortBy=DESC&amp;SortOrder=Year</t>
  </si>
  <si>
    <t>http://www.burkemuseum.org/research-and-collections/botany-and-herbarium/collections/database/results.php?Genus=Rorippa&amp;Species=curvisiliqua&amp;SourcePage=search.php&amp;IncludeSynonyms=Y&amp;SortBy=DESC&amp;SortOrder=Year</t>
  </si>
  <si>
    <t>http://www.burkemuseum.org/research-and-collections/botany-and-herbarium/collections/database/results.php?Genus=Rorippa&amp;Species=palustris&amp;SourcePage=search.php&amp;IncludeSynonyms=Y&amp;SortBy=DESC&amp;SortOrder=Year</t>
  </si>
  <si>
    <t>http://www.burkemuseum.org/research-and-collections/botany-and-herbarium/collections/database/results.php?Genus=Rosa&amp;Species=gymnocarpa&amp;SourcePage=search.php&amp;IncludeSynonyms=Y&amp;SortBy=DESC&amp;SortOrder=Year</t>
  </si>
  <si>
    <t>http://www.burkemuseum.org/research-and-collections/botany-and-herbarium/collections/database/results.php?Genus=Rosa&amp;Species=nutkana&amp;SourcePage=search.php&amp;IncludeSynonyms=Y&amp;SortBy=DESC&amp;SortOrder=Year</t>
  </si>
  <si>
    <t>http://www.burkemuseum.org/research-and-collections/botany-and-herbarium/collections/database/results.php?Genus=Rosa&amp;Species=pisocarpa&amp;SourcePage=search.php&amp;IncludeSynonyms=Y&amp;SortBy=DESC&amp;SortOrder=Year</t>
  </si>
  <si>
    <t>http://www.burkemuseum.org/research-and-collections/botany-and-herbarium/collections/database/results.php?Genus=Rotala&amp;Species=ramosior&amp;SourcePage=search.php&amp;IncludeSynonyms=Y&amp;SortBy=DESC&amp;SortOrder=Year</t>
  </si>
  <si>
    <t>http://www.burkemuseum.org/research-and-collections/botany-and-herbarium/collections/database/results.php?Genus=Rubus&amp;Species=idaeus&amp;SourcePage=search.php&amp;IncludeSynonyms=Y&amp;SortBy=DESC&amp;SortOrder=Year</t>
  </si>
  <si>
    <t>http://www.burkemuseum.org/research-and-collections/botany-and-herbarium/collections/database/results.php?Genus=Rubus&amp;Species=lasiococcus&amp;SourcePage=search.php&amp;IncludeSynonyms=Y&amp;SortBy=DESC&amp;SortOrder=Year</t>
  </si>
  <si>
    <t>http://www.burkemuseum.org/research-and-collections/botany-and-herbarium/collections/database/results.php?Genus=Rubus&amp;Species=leucodermis&amp;SourcePage=search.php&amp;IncludeSynonyms=Y&amp;SortBy=DESC&amp;SortOrder=Year</t>
  </si>
  <si>
    <t>http://www.burkemuseum.org/research-and-collections/botany-and-herbarium/collections/database/results.php?Genus=Rubus&amp;Species=nutkanus&amp;SourcePage=search.php&amp;IncludeSynonyms=Y&amp;SortBy=DESC&amp;SortOrder=Year</t>
  </si>
  <si>
    <t>http://www.burkemuseum.org/research-and-collections/botany-and-herbarium/collections/database/results.php?Genus=Rubus&amp;Species=pedatus&amp;SourcePage=search.php&amp;IncludeSynonyms=Y&amp;SortBy=DESC&amp;SortOrder=Year</t>
  </si>
  <si>
    <t>http://www.burkemuseum.org/research-and-collections/botany-and-herbarium/collections/database/results.php?Genus=Rubus&amp;Species=spectabilis&amp;SourcePage=search.php&amp;IncludeSynonyms=Y&amp;SortBy=DESC&amp;SortOrder=Year</t>
  </si>
  <si>
    <t>http://www.burkemuseum.org/research-and-collections/botany-and-herbarium/collections/database/results.php?Genus=Rubus&amp;Species=ursinus&amp;SourcePage=search.php&amp;IncludeSynonyms=Y&amp;SortBy=DESC&amp;SortOrder=Year</t>
  </si>
  <si>
    <t>http://www.burkemuseum.org/research-and-collections/botany-and-herbarium/collections/database/results.php?Genus=Rudbeckia&amp;Species=hirta&amp;SourcePage=search.php&amp;IncludeSynonyms=Y&amp;SortBy=DESC&amp;SortOrder=Year</t>
  </si>
  <si>
    <t>http://www.burkemuseum.org/research-and-collections/botany-and-herbarium/collections/database/results.php?Genus=Rudbeckia&amp;Species=occidentalis&amp;SourcePage=search.php&amp;IncludeSynonyms=Y&amp;SortBy=DESC&amp;SortOrder=Year</t>
  </si>
  <si>
    <t>http://www.burkemuseum.org/research-and-collections/botany-and-herbarium/collections/database/results.php?Genus=Rumex&amp;Species=occidentalis&amp;SourcePage=search.php&amp;IncludeSynonyms=Y&amp;SortBy=DESC&amp;SortOrder=Year</t>
  </si>
  <si>
    <t>http://www.burkemuseum.org/research-and-collections/botany-and-herbarium/collections/database/results.php?Genus=Rumex&amp;Species=persicarioides&amp;SourcePage=search.php&amp;IncludeSynonyms=Y&amp;SortBy=DESC&amp;SortOrder=Year</t>
  </si>
  <si>
    <t>http://www.burkemuseum.org/research-and-collections/botany-and-herbarium/collections/database/results.php?Genus=Ruppia&amp;Species=maritima&amp;SourcePage=search.php&amp;IncludeSynonyms=Y&amp;SortBy=DESC&amp;SortOrder=Year</t>
  </si>
  <si>
    <t>http://www.burkemuseum.org/research-and-collections/botany-and-herbarium/collections/database/results.php?Genus=Sabulina&amp;Species=macra&amp;SourcePage=search.php&amp;IncludeSynonyms=Y&amp;SortBy=DESC&amp;SortOrder=Year</t>
  </si>
  <si>
    <t>http://www.burkemuseum.org/research-and-collections/botany-and-herbarium/collections/database/results.php?Genus=Sagina&amp;Species=decumbens&amp;SourcePage=search.php&amp;IncludeSynonyms=Y&amp;SortBy=DESC&amp;SortOrder=Year</t>
  </si>
  <si>
    <t>http://www.burkemuseum.org/research-and-collections/botany-and-herbarium/collections/database/results.php?Genus=Sagina&amp;Species=maxima&amp;SourcePage=search.php&amp;IncludeSynonyms=Y&amp;SortBy=DESC&amp;SortOrder=Year</t>
  </si>
  <si>
    <t>http://www.burkemuseum.org/research-and-collections/botany-and-herbarium/collections/database/results.php?Genus=Sagittaria&amp;Species=latifolia&amp;SourcePage=search.php&amp;IncludeSynonyms=Y&amp;SortBy=DESC&amp;SortOrder=Year</t>
  </si>
  <si>
    <t>http://www.burkemuseum.org/research-and-collections/botany-and-herbarium/collections/database/results.php?Genus=Salicornia&amp;Species=depressa&amp;SourcePage=search.php&amp;IncludeSynonyms=Y&amp;SortBy=DESC&amp;SortOrder=Year</t>
  </si>
  <si>
    <t>http://www.burkemuseum.org/research-and-collections/botany-and-herbarium/collections/database/results.php?Genus=Salix&amp;Species=amygdaloides&amp;SourcePage=search.php&amp;IncludeSynonyms=Y&amp;SortBy=DESC&amp;SortOrder=Year</t>
  </si>
  <si>
    <t>http://www.burkemuseum.org/research-and-collections/botany-and-herbarium/collections/database/results.php?Genus=Salix&amp;Species=barclayi&amp;SourcePage=search.php&amp;IncludeSynonyms=Y&amp;SortBy=DESC&amp;SortOrder=Year</t>
  </si>
  <si>
    <t>http://www.burkemuseum.org/research-and-collections/botany-and-herbarium/collections/database/results.php?Genus=Salix&amp;Species=bebbiana&amp;SourcePage=search.php&amp;IncludeSynonyms=Y&amp;SortBy=DESC&amp;SortOrder=Year</t>
  </si>
  <si>
    <t>http://www.burkemuseum.org/research-and-collections/botany-and-herbarium/collections/database/results.php?Genus=Salix&amp;Species=cascadensis&amp;SourcePage=search.php&amp;IncludeSynonyms=Y&amp;SortBy=DESC&amp;SortOrder=Year</t>
  </si>
  <si>
    <t>http://www.burkemuseum.org/research-and-collections/botany-and-herbarium/collections/database/results.php?Genus=Salix&amp;Species=commutata&amp;SourcePage=search.php&amp;IncludeSynonyms=Y&amp;SortBy=DESC&amp;SortOrder=Year</t>
  </si>
  <si>
    <t>http://www.burkemuseum.org/research-and-collections/botany-and-herbarium/collections/database/results.php?Genus=Salix&amp;Species=exigua&amp;SourcePage=search.php&amp;IncludeSynonyms=Y&amp;SortBy=DESC&amp;SortOrder=Year</t>
  </si>
  <si>
    <t>http://www.burkemuseum.org/research-and-collections/botany-and-herbarium/collections/database/results.php?Genus=Salix&amp;Species=geyeriana&amp;SourcePage=search.php&amp;IncludeSynonyms=Y&amp;SortBy=DESC&amp;SortOrder=Year</t>
  </si>
  <si>
    <t>http://www.burkemuseum.org/research-and-collections/botany-and-herbarium/collections/database/results.php?Genus=Salix&amp;Species=gooddingii&amp;SourcePage=search.php&amp;IncludeSynonyms=Y&amp;SortBy=DESC&amp;SortOrder=Year</t>
  </si>
  <si>
    <t>http://www.burkemuseum.org/research-and-collections/botany-and-herbarium/collections/database/results.php?Genus=Salix&amp;Species=hookeriana&amp;SourcePage=search.php&amp;IncludeSynonyms=Y&amp;SortBy=DESC&amp;SortOrder=Year</t>
  </si>
  <si>
    <t>http://www.burkemuseum.org/research-and-collections/botany-and-herbarium/collections/database/results.php?Genus=Salix&amp;Species=lasiandra&amp;SourcePage=search.php&amp;IncludeSynonyms=Y&amp;SortBy=DESC&amp;SortOrder=Year</t>
  </si>
  <si>
    <t>http://www.burkemuseum.org/research-and-collections/botany-and-herbarium/collections/database/results.php?Genus=Salix&amp;Species=lasiolepis&amp;SourcePage=search.php&amp;IncludeSynonyms=Y&amp;SortBy=DESC&amp;SortOrder=Year</t>
  </si>
  <si>
    <t>http://www.burkemuseum.org/research-and-collections/botany-and-herbarium/collections/database/results.php?Genus=Salix&amp;Species=lemmonii&amp;SourcePage=search.php&amp;IncludeSynonyms=Y&amp;SortBy=DESC&amp;SortOrder=Year</t>
  </si>
  <si>
    <t>http://www.burkemuseum.org/research-and-collections/botany-and-herbarium/collections/database/results.php?Genus=Salix&amp;Species=melanopsis&amp;SourcePage=search.php&amp;IncludeSynonyms=Y&amp;SortBy=DESC&amp;SortOrder=Year</t>
  </si>
  <si>
    <t>http://www.burkemuseum.org/research-and-collections/botany-and-herbarium/collections/database/results.php?Genus=Salix&amp;Species=pedicellaris&amp;SourcePage=search.php&amp;IncludeSynonyms=Y&amp;SortBy=DESC&amp;SortOrder=Year</t>
  </si>
  <si>
    <t>http://www.burkemuseum.org/research-and-collections/botany-and-herbarium/collections/database/results.php?Genus=Salix&amp;Species=planifolia&amp;SourcePage=search.php&amp;IncludeSynonyms=Y&amp;SortBy=DESC&amp;SortOrder=Year</t>
  </si>
  <si>
    <t>http://www.burkemuseum.org/research-and-collections/botany-and-herbarium/collections/database/results.php?Genus=Salix&amp;Species=prolixa&amp;SourcePage=search.php&amp;IncludeSynonyms=Y&amp;SortBy=DESC&amp;SortOrder=Year</t>
  </si>
  <si>
    <t>http://www.burkemuseum.org/research-and-collections/botany-and-herbarium/collections/database/results.php?Genus=Salix&amp;Species=scouleriana&amp;SourcePage=search.php&amp;IncludeSynonyms=Y&amp;SortBy=DESC&amp;SortOrder=Year</t>
  </si>
  <si>
    <t>http://www.burkemuseum.org/research-and-collections/botany-and-herbarium/collections/database/results.php?Genus=Salix&amp;Species=sessilifolia&amp;SourcePage=search.php&amp;IncludeSynonyms=Y&amp;SortBy=DESC&amp;SortOrder=Year</t>
  </si>
  <si>
    <t>http://www.burkemuseum.org/research-and-collections/botany-and-herbarium/collections/database/results.php?Genus=Salix&amp;Species=sitchensis&amp;SourcePage=search.php&amp;IncludeSynonyms=Y&amp;SortBy=DESC&amp;SortOrder=Year</t>
  </si>
  <si>
    <t>http://www.burkemuseum.org/research-and-collections/botany-and-herbarium/collections/database/results.php?Genus=Sambucus&amp;Species=nigra&amp;SourcePage=search.php&amp;IncludeSynonyms=Y&amp;SortBy=DESC&amp;SortOrder=Year</t>
  </si>
  <si>
    <t>http://www.burkemuseum.org/research-and-collections/botany-and-herbarium/collections/database/results.php?Genus=Sambucus&amp;Species=racemosa&amp;SourcePage=search.php&amp;IncludeSynonyms=Y&amp;SortBy=DESC&amp;SortOrder=Year</t>
  </si>
  <si>
    <t>http://www.burkemuseum.org/research-and-collections/botany-and-herbarium/collections/database/results.php?Genus=Samolus&amp;Species=parviflorus&amp;SourcePage=search.php&amp;IncludeSynonyms=Y&amp;SortBy=DESC&amp;SortOrder=Year</t>
  </si>
  <si>
    <t>http://www.burkemuseum.org/research-and-collections/botany-and-herbarium/collections/database/results.php?Genus=Sanguisorba&amp;Species=menziesii&amp;SourcePage=search.php&amp;IncludeSynonyms=Y&amp;SortBy=DESC&amp;SortOrder=Year</t>
  </si>
  <si>
    <t>http://www.burkemuseum.org/research-and-collections/botany-and-herbarium/collections/database/results.php?Genus=Sanguisorba&amp;Species=officinalis&amp;SourcePage=search.php&amp;IncludeSynonyms=Y&amp;SortBy=DESC&amp;SortOrder=Year</t>
  </si>
  <si>
    <t>http://www.burkemuseum.org/research-and-collections/botany-and-herbarium/collections/database/results.php?Genus=Sanicula&amp;Species=arctopoides&amp;SourcePage=search.php&amp;IncludeSynonyms=Y&amp;SortBy=DESC&amp;SortOrder=Year</t>
  </si>
  <si>
    <t>http://www.burkemuseum.org/research-and-collections/botany-and-herbarium/collections/database/results.php?Genus=Sanicula&amp;Species=bipinnatifida&amp;SourcePage=search.php&amp;IncludeSynonyms=Y&amp;SortBy=DESC&amp;SortOrder=Year</t>
  </si>
  <si>
    <t>http://www.burkemuseum.org/research-and-collections/botany-and-herbarium/collections/database/results.php?Genus=Sanicula&amp;Species=crassicaulis&amp;SourcePage=search.php&amp;IncludeSynonyms=Y&amp;SortBy=DESC&amp;SortOrder=Year</t>
  </si>
  <si>
    <t>http://www.burkemuseum.org/research-and-collections/botany-and-herbarium/collections/database/results.php?Genus=Sanicula&amp;Species=graveolens&amp;SourcePage=search.php&amp;IncludeSynonyms=Y&amp;SortBy=DESC&amp;SortOrder=Year</t>
  </si>
  <si>
    <t>http://www.burkemuseum.org/research-and-collections/botany-and-herbarium/collections/database/results.php?Genus=Sarcocornia&amp;Species=perennis&amp;SourcePage=search.php&amp;IncludeSynonyms=Y&amp;SortBy=DESC&amp;SortOrder=Year</t>
  </si>
  <si>
    <t>http://www.burkemuseum.org/research-and-collections/botany-and-herbarium/collections/database/results.php?Genus=Saxifraga&amp;Species=bronchialis&amp;SourcePage=search.php&amp;IncludeSynonyms=Y&amp;SortBy=DESC&amp;SortOrder=Year</t>
  </si>
  <si>
    <t>http://www.burkemuseum.org/research-and-collections/botany-and-herbarium/collections/database/results.php?Genus=Saxifraga&amp;Species=cespitosa&amp;SourcePage=search.php&amp;IncludeSynonyms=Y&amp;SortBy=DESC&amp;SortOrder=Year</t>
  </si>
  <si>
    <t>http://www.burkemuseum.org/research-and-collections/botany-and-herbarium/collections/database/results.php?Genus=Saxifraga&amp;Species=mertensiana&amp;SourcePage=search.php&amp;IncludeSynonyms=Y&amp;SortBy=DESC&amp;SortOrder=Year</t>
  </si>
  <si>
    <t>http://www.burkemuseum.org/research-and-collections/botany-and-herbarium/collections/database/results.php?Genus=Scheuchzeria&amp;Species=palustris&amp;SourcePage=search.php&amp;IncludeSynonyms=Y&amp;SortBy=DESC&amp;SortOrder=Year</t>
  </si>
  <si>
    <t>http://www.burkemuseum.org/research-and-collections/botany-and-herbarium/collections/database/results.php?Genus=Schoenoplectus&amp;Species=acutus&amp;SourcePage=search.php&amp;IncludeSynonyms=Y&amp;SortBy=DESC&amp;SortOrder=Year</t>
  </si>
  <si>
    <t>http://www.burkemuseum.org/research-and-collections/botany-and-herbarium/collections/database/results.php?Genus=Schoenoplectus&amp;Species=pungens&amp;SourcePage=search.php&amp;IncludeSynonyms=Y&amp;SortBy=DESC&amp;SortOrder=Year</t>
  </si>
  <si>
    <t>http://www.burkemuseum.org/research-and-collections/botany-and-herbarium/collections/database/results.php?Genus=Schoenoplectus&amp;Species=subterminalis&amp;SourcePage=search.php&amp;IncludeSynonyms=Y&amp;SortBy=DESC&amp;SortOrder=Year</t>
  </si>
  <si>
    <t>http://www.burkemuseum.org/research-and-collections/botany-and-herbarium/collections/database/results.php?Genus=Schoenoplectus&amp;Species=tabernaemontani&amp;SourcePage=search.php&amp;IncludeSynonyms=Y&amp;SortBy=DESC&amp;SortOrder=Year</t>
  </si>
  <si>
    <t>http://www.burkemuseum.org/research-and-collections/botany-and-herbarium/collections/database/results.php?Genus=Scirpus&amp;Species=atrocinctus&amp;SourcePage=search.php&amp;IncludeSynonyms=Y&amp;SortBy=DESC&amp;SortOrder=Year</t>
  </si>
  <si>
    <t>http://www.burkemuseum.org/research-and-collections/botany-and-herbarium/collections/database/results.php?Genus=Scirpus&amp;Species=microcarpus&amp;SourcePage=search.php&amp;IncludeSynonyms=Y&amp;SortBy=DESC&amp;SortOrder=Year</t>
  </si>
  <si>
    <t>http://www.burkemuseum.org/research-and-collections/botany-and-herbarium/collections/database/results.php?Genus=Scrophularia&amp;Species=lanceolata&amp;SourcePage=search.php&amp;IncludeSynonyms=Y&amp;SortBy=DESC&amp;SortOrder=Year</t>
  </si>
  <si>
    <t>http://www.burkemuseum.org/research-and-collections/botany-and-herbarium/collections/database/results.php?Genus=Scutellaria&amp;Species=galericulata&amp;SourcePage=search.php&amp;IncludeSynonyms=Y&amp;SortBy=DESC&amp;SortOrder=Year</t>
  </si>
  <si>
    <t>http://www.burkemuseum.org/research-and-collections/botany-and-herbarium/collections/database/results.php?Genus=Scutellaria&amp;Species=lateriflora&amp;SourcePage=search.php&amp;IncludeSynonyms=Y&amp;SortBy=DESC&amp;SortOrder=Year</t>
  </si>
  <si>
    <t>http://www.burkemuseum.org/research-and-collections/botany-and-herbarium/collections/database/results.php?Genus=Sedum&amp;Species=divergens&amp;SourcePage=search.php&amp;IncludeSynonyms=Y&amp;SortBy=DESC&amp;SortOrder=Year</t>
  </si>
  <si>
    <t>http://www.burkemuseum.org/research-and-collections/botany-and-herbarium/collections/database/results.php?Genus=Sedum&amp;Species=lanceolatum&amp;SourcePage=search.php&amp;IncludeSynonyms=Y&amp;SortBy=DESC&amp;SortOrder=Year</t>
  </si>
  <si>
    <t>http://www.burkemuseum.org/research-and-collections/botany-and-herbarium/collections/database/results.php?Genus=Sedum&amp;Species=oreganum&amp;SourcePage=search.php&amp;IncludeSynonyms=Y&amp;SortBy=DESC&amp;SortOrder=Year</t>
  </si>
  <si>
    <t>http://www.burkemuseum.org/research-and-collections/botany-and-herbarium/collections/database/results.php?Genus=Sedum&amp;Species=spathulifolium&amp;SourcePage=search.php&amp;IncludeSynonyms=Y&amp;SortBy=DESC&amp;SortOrder=Year</t>
  </si>
  <si>
    <t>http://www.burkemuseum.org/research-and-collections/botany-and-herbarium/collections/database/results.php?Genus=Selaginella&amp;Species=oregana&amp;SourcePage=search.php&amp;IncludeSynonyms=Y&amp;SortBy=DESC&amp;SortOrder=Year</t>
  </si>
  <si>
    <t>http://www.burkemuseum.org/research-and-collections/botany-and-herbarium/collections/database/results.php?Genus=Selaginella&amp;Species=wallacei&amp;SourcePage=search.php&amp;IncludeSynonyms=Y&amp;SortBy=DESC&amp;SortOrder=Year</t>
  </si>
  <si>
    <t>http://www.burkemuseum.org/research-and-collections/botany-and-herbarium/collections/database/results.php?Genus=Sequoia&amp;Species=sempervirens&amp;SourcePage=search.php&amp;IncludeSynonyms=Y&amp;SortBy=DESC&amp;SortOrder=Year</t>
  </si>
  <si>
    <t>http://www.burkemuseum.org/research-and-collections/botany-and-herbarium/collections/database/results.php?Genus=Sericocarpus&amp;Species=rigidus&amp;SourcePage=search.php&amp;IncludeSynonyms=Y&amp;SortBy=DESC&amp;SortOrder=Year</t>
  </si>
  <si>
    <t>http://www.burkemuseum.org/research-and-collections/botany-and-herbarium/collections/database/results.php?Genus=Shepherdia&amp;Species=canadensis&amp;SourcePage=search.php&amp;IncludeSynonyms=Y&amp;SortBy=DESC&amp;SortOrder=Year</t>
  </si>
  <si>
    <t>http://www.burkemuseum.org/research-and-collections/botany-and-herbarium/collections/database/results.php?Genus=Sidalcea&amp;Species=campestris&amp;SourcePage=search.php&amp;IncludeSynonyms=Y&amp;SortBy=DESC&amp;SortOrder=Year</t>
  </si>
  <si>
    <t>http://www.burkemuseum.org/research-and-collections/botany-and-herbarium/collections/database/results.php?Genus=Sidalcea&amp;Species=hendersonii&amp;SourcePage=search.php&amp;IncludeSynonyms=Y&amp;SortBy=DESC&amp;SortOrder=Year</t>
  </si>
  <si>
    <t>http://www.burkemuseum.org/research-and-collections/botany-and-herbarium/collections/database/results.php?Genus=Sidalcea&amp;Species=hirtipes&amp;SourcePage=search.php&amp;IncludeSynonyms=Y&amp;SortBy=DESC&amp;SortOrder=Year</t>
  </si>
  <si>
    <t>http://www.burkemuseum.org/research-and-collections/botany-and-herbarium/collections/database/results.php?Genus=Sidalcea&amp;Species=nelsoniana&amp;SourcePage=search.php&amp;IncludeSynonyms=Y&amp;SortBy=DESC&amp;SortOrder=Year</t>
  </si>
  <si>
    <t>http://www.burkemuseum.org/research-and-collections/botany-and-herbarium/collections/database/results.php?Genus=Sidalcea&amp;Species=oregana&amp;SourcePage=search.php&amp;IncludeSynonyms=Y&amp;SortBy=DESC&amp;SortOrder=Year</t>
  </si>
  <si>
    <t>http://www.burkemuseum.org/research-and-collections/botany-and-herbarium/collections/database/results.php?Genus=Sidalcea&amp;Species=virgata&amp;SourcePage=search.php&amp;IncludeSynonyms=Y&amp;SortBy=DESC&amp;SortOrder=Year</t>
  </si>
  <si>
    <t>http://www.burkemuseum.org/research-and-collections/botany-and-herbarium/collections/database/results.php?Genus=Silene&amp;Species=antirrhina&amp;SourcePage=search.php&amp;IncludeSynonyms=Y&amp;SortBy=DESC&amp;SortOrder=Year</t>
  </si>
  <si>
    <t>http://www.burkemuseum.org/research-and-collections/botany-and-herbarium/collections/database/results.php?Genus=Silene&amp;Species=menziesii&amp;SourcePage=search.php&amp;IncludeSynonyms=Y&amp;SortBy=DESC&amp;SortOrder=Year</t>
  </si>
  <si>
    <t>http://www.burkemuseum.org/research-and-collections/botany-and-herbarium/collections/database/results.php?Genus=Silene&amp;Species=scouleri&amp;SourcePage=search.php&amp;IncludeSynonyms=Y&amp;SortBy=DESC&amp;SortOrder=Year</t>
  </si>
  <si>
    <t>http://www.burkemuseum.org/research-and-collections/botany-and-herbarium/collections/database/results.php?Genus=Sisyrinchium&amp;Species=californicum&amp;SourcePage=search.php&amp;IncludeSynonyms=Y&amp;SortBy=DESC&amp;SortOrder=Year</t>
  </si>
  <si>
    <t>http://www.burkemuseum.org/research-and-collections/botany-and-herbarium/collections/database/results.php?Genus=Sisyrinchium&amp;Species=idahoense&amp;SourcePage=search.php&amp;IncludeSynonyms=Y&amp;SortBy=DESC&amp;SortOrder=Year</t>
  </si>
  <si>
    <t>http://www.burkemuseum.org/research-and-collections/botany-and-herbarium/collections/database/results.php?Genus=Sium&amp;Species=suave&amp;SourcePage=search.php&amp;IncludeSynonyms=Y&amp;SortBy=DESC&amp;SortOrder=Year</t>
  </si>
  <si>
    <t>http://www.burkemuseum.org/research-and-collections/botany-and-herbarium/collections/database/results.php?Genus=Solidago&amp;Species=canadensis&amp;SourcePage=search.php&amp;IncludeSynonyms=Y&amp;SortBy=DESC&amp;SortOrder=Year</t>
  </si>
  <si>
    <t>http://www.burkemuseum.org/research-and-collections/botany-and-herbarium/collections/database/results.php?Genus=Solidago&amp;Species=simplex&amp;SourcePage=search.php&amp;IncludeSynonyms=Y&amp;SortBy=DESC&amp;SortOrder=Year</t>
  </si>
  <si>
    <t>http://www.burkemuseum.org/research-and-collections/botany-and-herbarium/collections/database/results.php?Genus=Sorbus&amp;Species=scopulina&amp;SourcePage=search.php&amp;IncludeSynonyms=Y&amp;SortBy=DESC&amp;SortOrder=Year</t>
  </si>
  <si>
    <t>http://www.burkemuseum.org/research-and-collections/botany-and-herbarium/collections/database/results.php?Genus=Sorbus&amp;Species=sitchensis&amp;SourcePage=search.php&amp;IncludeSynonyms=Y&amp;SortBy=DESC&amp;SortOrder=Year</t>
  </si>
  <si>
    <t>http://www.burkemuseum.org/research-and-collections/botany-and-herbarium/collections/database/results.php?Genus=Sparganium&amp;Species=angustifolium&amp;SourcePage=search.php&amp;IncludeSynonyms=Y&amp;SortBy=DESC&amp;SortOrder=Year</t>
  </si>
  <si>
    <t>http://www.burkemuseum.org/research-and-collections/botany-and-herbarium/collections/database/results.php?Genus=Sparganium&amp;Species=emersum&amp;SourcePage=search.php&amp;IncludeSynonyms=Y&amp;SortBy=DESC&amp;SortOrder=Year</t>
  </si>
  <si>
    <t>http://www.burkemuseum.org/research-and-collections/botany-and-herbarium/collections/database/results.php?Genus=Sparganium&amp;Species=eurycarpum&amp;SourcePage=search.php&amp;IncludeSynonyms=Y&amp;SortBy=DESC&amp;SortOrder=Year</t>
  </si>
  <si>
    <t>http://www.burkemuseum.org/research-and-collections/botany-and-herbarium/collections/database/results.php?Genus=Sparganium&amp;Species=fluctuans&amp;SourcePage=search.php&amp;IncludeSynonyms=Y&amp;SortBy=DESC&amp;SortOrder=Year</t>
  </si>
  <si>
    <t>http://www.burkemuseum.org/research-and-collections/botany-and-herbarium/collections/database/results.php?Genus=Sparganium&amp;Species=natans&amp;SourcePage=search.php&amp;IncludeSynonyms=Y&amp;SortBy=DESC&amp;SortOrder=Year</t>
  </si>
  <si>
    <t>http://www.burkemuseum.org/research-and-collections/botany-and-herbarium/collections/database/results.php?Genus=Spergularia&amp;Species=canadensis&amp;SourcePage=search.php&amp;IncludeSynonyms=Y&amp;SortBy=DESC&amp;SortOrder=Year</t>
  </si>
  <si>
    <t>http://www.burkemuseum.org/research-and-collections/botany-and-herbarium/collections/database/results.php?Genus=Spergularia&amp;Species=salina&amp;SourcePage=search.php&amp;IncludeSynonyms=Y&amp;SortBy=DESC&amp;SortOrder=Year</t>
  </si>
  <si>
    <t>http://www.burkemuseum.org/research-and-collections/botany-and-herbarium/collections/database/results.php?Genus=Spiraea&amp;Species=densiflora&amp;SourcePage=search.php&amp;IncludeSynonyms=Y&amp;SortBy=DESC&amp;SortOrder=Year</t>
  </si>
  <si>
    <t>http://www.burkemuseum.org/research-and-collections/botany-and-herbarium/collections/database/results.php?Genus=Spiraea&amp;Species=douglasii&amp;SourcePage=search.php&amp;IncludeSynonyms=Y&amp;SortBy=DESC&amp;SortOrder=Year</t>
  </si>
  <si>
    <t>http://www.burkemuseum.org/research-and-collections/botany-and-herbarium/collections/database/results.php?Genus=Spiraea&amp;Species=lucida&amp;SourcePage=search.php&amp;IncludeSynonyms=Y&amp;SortBy=DESC&amp;SortOrder=Year</t>
  </si>
  <si>
    <t>http://www.burkemuseum.org/research-and-collections/botany-and-herbarium/collections/database/results.php?Genus=Spiraea&amp;Species=pyramidata&amp;SourcePage=search.php&amp;IncludeSynonyms=Y&amp;SortBy=DESC&amp;SortOrder=Year</t>
  </si>
  <si>
    <t>http://www.burkemuseum.org/research-and-collections/botany-and-herbarium/collections/database/results.php?Genus=Spiranthes&amp;Species=porrifolia&amp;SourcePage=search.php&amp;IncludeSynonyms=Y&amp;SortBy=DESC&amp;SortOrder=Year</t>
  </si>
  <si>
    <t>http://www.burkemuseum.org/research-and-collections/botany-and-herbarium/collections/database/results.php?Genus=Spiranthes&amp;Species=romanzoffiana&amp;SourcePage=search.php&amp;IncludeSynonyms=Y&amp;SortBy=DESC&amp;SortOrder=Year</t>
  </si>
  <si>
    <t>http://www.burkemuseum.org/research-and-collections/botany-and-herbarium/collections/database/results.php?Genus=Stachys&amp;Species=cooleyae&amp;SourcePage=search.php&amp;IncludeSynonyms=Y&amp;SortBy=DESC&amp;SortOrder=Year</t>
  </si>
  <si>
    <t>http://www.burkemuseum.org/research-and-collections/botany-and-herbarium/collections/database/results.php?Genus=Stachys&amp;Species=mexicana&amp;SourcePage=search.php&amp;IncludeSynonyms=Y&amp;SortBy=DESC&amp;SortOrder=Year</t>
  </si>
  <si>
    <t>http://www.burkemuseum.org/research-and-collections/botany-and-herbarium/collections/database/results.php?Genus=Stachys&amp;Species=rigida&amp;SourcePage=search.php&amp;IncludeSynonyms=Y&amp;SortBy=DESC&amp;SortOrder=Year</t>
  </si>
  <si>
    <t>http://www.burkemuseum.org/research-and-collections/botany-and-herbarium/collections/database/results.php?Genus=Stellaria&amp;Species=borealis&amp;SourcePage=search.php&amp;IncludeSynonyms=Y&amp;SortBy=DESC&amp;SortOrder=Year</t>
  </si>
  <si>
    <t>http://www.burkemuseum.org/research-and-collections/botany-and-herbarium/collections/database/results.php?Genus=Stellaria&amp;Species=crispa&amp;SourcePage=search.php&amp;IncludeSynonyms=Y&amp;SortBy=DESC&amp;SortOrder=Year</t>
  </si>
  <si>
    <t>http://www.burkemuseum.org/research-and-collections/botany-and-herbarium/collections/database/results.php?Genus=Stellaria&amp;Species=longifolia&amp;SourcePage=search.php&amp;IncludeSynonyms=Y&amp;SortBy=DESC&amp;SortOrder=Year</t>
  </si>
  <si>
    <t>http://www.burkemuseum.org/research-and-collections/botany-and-herbarium/collections/database/results.php?Genus=Stellaria&amp;Species=longipes&amp;SourcePage=search.php&amp;IncludeSynonyms=Y&amp;SortBy=DESC&amp;SortOrder=Year</t>
  </si>
  <si>
    <t>http://www.burkemuseum.org/research-and-collections/botany-and-herbarium/collections/database/results.php?Genus=Stellaria&amp;Species=nitens&amp;SourcePage=search.php&amp;IncludeSynonyms=Y&amp;SortBy=DESC&amp;SortOrder=Year</t>
  </si>
  <si>
    <t>http://www.burkemuseum.org/research-and-collections/botany-and-herbarium/collections/database/results.php?Genus=Stellaria&amp;Species=obtusa&amp;SourcePage=search.php&amp;IncludeSynonyms=Y&amp;SortBy=DESC&amp;SortOrder=Year</t>
  </si>
  <si>
    <t>http://www.burkemuseum.org/research-and-collections/botany-and-herbarium/collections/database/results.php?Genus=Streptopus&amp;Species=amplexifolius&amp;SourcePage=search.php&amp;IncludeSynonyms=Y&amp;SortBy=DESC&amp;SortOrder=Year</t>
  </si>
  <si>
    <t>http://www.burkemuseum.org/research-and-collections/botany-and-herbarium/collections/database/results.php?Genus=Stuckenia&amp;Species=filiformis&amp;SourcePage=search.php&amp;IncludeSynonyms=Y&amp;SortBy=DESC&amp;SortOrder=Year</t>
  </si>
  <si>
    <t>http://www.burkemuseum.org/research-and-collections/botany-and-herbarium/collections/database/results.php?Genus=Stuckenia&amp;Species=pectinata&amp;SourcePage=search.php&amp;IncludeSynonyms=Y&amp;SortBy=DESC&amp;SortOrder=Year</t>
  </si>
  <si>
    <t>http://www.burkemuseum.org/research-and-collections/botany-and-herbarium/collections/database/results.php?Genus=Suaeda&amp;Species=calceoliformis&amp;SourcePage=search.php&amp;IncludeSynonyms=Y&amp;SortBy=DESC&amp;SortOrder=Year</t>
  </si>
  <si>
    <t>http://www.burkemuseum.org/research-and-collections/botany-and-herbarium/collections/database/results.php?Genus=Subularia&amp;Species=aquatica&amp;SourcePage=search.php&amp;IncludeSynonyms=Y&amp;SortBy=DESC&amp;SortOrder=Year</t>
  </si>
  <si>
    <t>http://www.burkemuseum.org/research-and-collections/botany-and-herbarium/collections/database/results.php?Genus=Symphoricarpos&amp;Species=albus&amp;SourcePage=search.php&amp;IncludeSynonyms=Y&amp;SortBy=DESC&amp;SortOrder=Year</t>
  </si>
  <si>
    <t>http://www.burkemuseum.org/research-and-collections/botany-and-herbarium/collections/database/results.php?Genus=Symphoricarpos&amp;Species=mollis&amp;SourcePage=search.php&amp;IncludeSynonyms=Y&amp;SortBy=DESC&amp;SortOrder=Year</t>
  </si>
  <si>
    <t>http://www.burkemuseum.org/research-and-collections/botany-and-herbarium/collections/database/results.php?Genus=Symphyotrichum&amp;Species=boreale&amp;SourcePage=search.php&amp;IncludeSynonyms=Y&amp;SortBy=DESC&amp;SortOrder=Year</t>
  </si>
  <si>
    <t>http://www.burkemuseum.org/research-and-collections/botany-and-herbarium/collections/database/results.php?Genus=Symphyotrichum&amp;Species=bracteolatum&amp;SourcePage=search.php&amp;IncludeSynonyms=Y&amp;SortBy=DESC&amp;SortOrder=Year</t>
  </si>
  <si>
    <t>http://www.burkemuseum.org/research-and-collections/botany-and-herbarium/collections/database/results.php?Genus=Symphyotrichum&amp;Species=chilense&amp;SourcePage=search.php&amp;IncludeSynonyms=Y&amp;SortBy=DESC&amp;SortOrder=Year</t>
  </si>
  <si>
    <t>http://www.burkemuseum.org/research-and-collections/botany-and-herbarium/collections/database/results.php?Genus=Symphyotrichum&amp;Species=hallii&amp;SourcePage=search.php&amp;IncludeSynonyms=Y&amp;SortBy=DESC&amp;SortOrder=Year</t>
  </si>
  <si>
    <t>http://www.burkemuseum.org/research-and-collections/botany-and-herbarium/collections/database/results.php?Genus=Symphyotrichum&amp;Species=lateriflorum&amp;SourcePage=search.php&amp;IncludeSynonyms=Y&amp;SortBy=DESC&amp;SortOrder=Year</t>
  </si>
  <si>
    <t>http://www.burkemuseum.org/research-and-collections/botany-and-herbarium/collections/database/results.php?Genus=Symphyotrichum&amp;Species=subspicatum&amp;SourcePage=search.php&amp;IncludeSynonyms=Y&amp;SortBy=DESC&amp;SortOrder=Year</t>
  </si>
  <si>
    <t>http://www.burkemuseum.org/research-and-collections/botany-and-herbarium/collections/database/results.php?Genus=Synthyris&amp;Species=reniformis&amp;SourcePage=search.php&amp;IncludeSynonyms=Y&amp;SortBy=DESC&amp;SortOrder=Year</t>
  </si>
  <si>
    <t>http://www.burkemuseum.org/research-and-collections/botany-and-herbarium/collections/database/results.php?Genus=Tanacetum&amp;Species=bipinnatum&amp;SourcePage=search.php&amp;IncludeSynonyms=Y&amp;SortBy=DESC&amp;SortOrder=Year</t>
  </si>
  <si>
    <t>http://www.burkemuseum.org/research-and-collections/botany-and-herbarium/collections/database/results.php?Genus=Taxus&amp;Species=brevifolia&amp;SourcePage=search.php&amp;IncludeSynonyms=Y&amp;SortBy=DESC&amp;SortOrder=Year</t>
  </si>
  <si>
    <t>http://www.burkemuseum.org/research-and-collections/botany-and-herbarium/collections/database/results.php?Genus=Tellima&amp;Species=grandiflora&amp;SourcePage=search.php&amp;IncludeSynonyms=Y&amp;SortBy=DESC&amp;SortOrder=Year</t>
  </si>
  <si>
    <t>http://www.burkemuseum.org/research-and-collections/botany-and-herbarium/collections/database/results.php?Genus=Thalictrum&amp;Species=occidentale&amp;SourcePage=search.php&amp;IncludeSynonyms=Y&amp;SortBy=DESC&amp;SortOrder=Year</t>
  </si>
  <si>
    <t>http://www.burkemuseum.org/research-and-collections/botany-and-herbarium/collections/database/results.php?Genus=Thelypteris&amp;Species=quelpaertensis&amp;SourcePage=search.php&amp;IncludeSynonyms=Y&amp;SortBy=DESC&amp;SortOrder=Year</t>
  </si>
  <si>
    <t>http://www.burkemuseum.org/research-and-collections/botany-and-herbarium/collections/database/results.php?Genus=Thermopsis&amp;Species=montana&amp;SourcePage=search.php&amp;IncludeSynonyms=Y&amp;SortBy=DESC&amp;SortOrder=Year</t>
  </si>
  <si>
    <t>http://www.burkemuseum.org/research-and-collections/botany-and-herbarium/collections/database/results.php?Genus=Thuja&amp;Species=plicata&amp;SourcePage=search.php&amp;IncludeSynonyms=Y&amp;SortBy=DESC&amp;SortOrder=Year</t>
  </si>
  <si>
    <t>http://www.burkemuseum.org/research-and-collections/botany-and-herbarium/collections/database/results.php?Genus=Tiarella&amp;Species=trifoliata&amp;SourcePage=search.php&amp;IncludeSynonyms=Y&amp;SortBy=DESC&amp;SortOrder=Year</t>
  </si>
  <si>
    <t>http://www.burkemuseum.org/research-and-collections/botany-and-herbarium/collections/database/results.php?Genus=Tolmiea&amp;Species=menziesii&amp;SourcePage=search.php&amp;IncludeSynonyms=Y&amp;SortBy=DESC&amp;SortOrder=Year</t>
  </si>
  <si>
    <t>http://www.burkemuseum.org/research-and-collections/botany-and-herbarium/collections/database/results.php?Genus=Torreyochloa&amp;Species=pallida&amp;SourcePage=search.php&amp;IncludeSynonyms=Y&amp;SortBy=DESC&amp;SortOrder=Year</t>
  </si>
  <si>
    <t>http://www.burkemuseum.org/research-and-collections/botany-and-herbarium/collections/database/results.php?Genus=Toxicodendron&amp;Species=diversilobum&amp;SourcePage=search.php&amp;IncludeSynonyms=Y&amp;SortBy=DESC&amp;SortOrder=Year</t>
  </si>
  <si>
    <t>http://www.burkemuseum.org/research-and-collections/botany-and-herbarium/collections/database/results.php?Genus=Toxicodendron&amp;Species=radicans&amp;SourcePage=search.php&amp;IncludeSynonyms=Y&amp;SortBy=DESC&amp;SortOrder=Year</t>
  </si>
  <si>
    <t>http://www.burkemuseum.org/research-and-collections/botany-and-herbarium/collections/database/results.php?Genus=Trautvetteria&amp;Species=caroliniensis&amp;SourcePage=search.php&amp;IncludeSynonyms=Y&amp;SortBy=DESC&amp;SortOrder=Year</t>
  </si>
  <si>
    <t>http://www.burkemuseum.org/research-and-collections/botany-and-herbarium/collections/database/results.php?Genus=Trichophorum&amp;Species=cespitosum&amp;SourcePage=search.php&amp;IncludeSynonyms=Y&amp;SortBy=DESC&amp;SortOrder=Year</t>
  </si>
  <si>
    <t>http://www.burkemuseum.org/research-and-collections/botany-and-herbarium/collections/database/results.php?Genus=Trifolium&amp;Species=bifidum&amp;SourcePage=search.php&amp;IncludeSynonyms=Y&amp;SortBy=DESC&amp;SortOrder=Year</t>
  </si>
  <si>
    <t>http://www.burkemuseum.org/research-and-collections/botany-and-herbarium/collections/database/results.php?Genus=Trifolium&amp;Species=microdon&amp;SourcePage=search.php&amp;IncludeSynonyms=Y&amp;SortBy=DESC&amp;SortOrder=Year</t>
  </si>
  <si>
    <t>http://www.burkemuseum.org/research-and-collections/botany-and-herbarium/collections/database/results.php?Genus=Trifolium&amp;Species=oliganthum&amp;SourcePage=search.php&amp;IncludeSynonyms=Y&amp;SortBy=DESC&amp;SortOrder=Year</t>
  </si>
  <si>
    <t>http://www.burkemuseum.org/research-and-collections/botany-and-herbarium/collections/database/results.php?Genus=Trifolium&amp;Species=variegatum&amp;SourcePage=search.php&amp;IncludeSynonyms=Y&amp;SortBy=DESC&amp;SortOrder=Year</t>
  </si>
  <si>
    <t>http://www.burkemuseum.org/research-and-collections/botany-and-herbarium/collections/database/results.php?Genus=Trifolium&amp;Species=willdenovii&amp;SourcePage=search.php&amp;IncludeSynonyms=Y&amp;SortBy=DESC&amp;SortOrder=Year</t>
  </si>
  <si>
    <t>http://www.burkemuseum.org/research-and-collections/botany-and-herbarium/collections/database/results.php?Genus=Trifolium&amp;Species=wormskioldii&amp;SourcePage=search.php&amp;IncludeSynonyms=Y&amp;SortBy=DESC&amp;SortOrder=Year</t>
  </si>
  <si>
    <t>http://www.burkemuseum.org/research-and-collections/botany-and-herbarium/collections/database/results.php?Genus=Triglochin&amp;Species=maritima&amp;SourcePage=search.php&amp;IncludeSynonyms=Y&amp;SortBy=DESC&amp;SortOrder=Year</t>
  </si>
  <si>
    <t>http://www.burkemuseum.org/research-and-collections/botany-and-herbarium/collections/database/results.php?Genus=Trillium&amp;Species=ovatum&amp;SourcePage=search.php&amp;IncludeSynonyms=Y&amp;SortBy=DESC&amp;SortOrder=Year</t>
  </si>
  <si>
    <t>http://www.burkemuseum.org/research-and-collections/botany-and-herbarium/collections/database/results.php?Genus=Trillium&amp;Species=parviflorum&amp;SourcePage=search.php&amp;IncludeSynonyms=Y&amp;SortBy=DESC&amp;SortOrder=Year</t>
  </si>
  <si>
    <t>http://www.burkemuseum.org/research-and-collections/botany-and-herbarium/collections/database/results.php?Genus=Triodanis&amp;Species=biflora&amp;SourcePage=search.php&amp;IncludeSynonyms=Y&amp;SortBy=DESC&amp;SortOrder=Year</t>
  </si>
  <si>
    <t>http://www.burkemuseum.org/research-and-collections/botany-and-herbarium/collections/database/results.php?Genus=Triodanis&amp;Species=perfoliata&amp;SourcePage=search.php&amp;IncludeSynonyms=Y&amp;SortBy=DESC&amp;SortOrder=Year</t>
  </si>
  <si>
    <t>http://www.burkemuseum.org/research-and-collections/botany-and-herbarium/collections/database/results.php?Genus=Triphysaria&amp;Species=pusilla&amp;SourcePage=search.php&amp;IncludeSynonyms=Y&amp;SortBy=DESC&amp;SortOrder=Year</t>
  </si>
  <si>
    <t>http://www.burkemuseum.org/research-and-collections/botany-and-herbarium/collections/database/results.php?Genus=Trisetum&amp;Species=canescens&amp;SourcePage=search.php&amp;IncludeSynonyms=Y&amp;SortBy=DESC&amp;SortOrder=Year</t>
  </si>
  <si>
    <t>http://www.burkemuseum.org/research-and-collections/botany-and-herbarium/collections/database/results.php?Genus=Triteleia&amp;Species=hyacinthina&amp;SourcePage=search.php&amp;IncludeSynonyms=Y&amp;SortBy=DESC&amp;SortOrder=Year</t>
  </si>
  <si>
    <t>http://www.burkemuseum.org/research-and-collections/botany-and-herbarium/collections/database/results.php?Genus=Tsuga&amp;Species=heterophylla&amp;SourcePage=search.php&amp;IncludeSynonyms=Y&amp;SortBy=DESC&amp;SortOrder=Year</t>
  </si>
  <si>
    <t>http://www.burkemuseum.org/research-and-collections/botany-and-herbarium/collections/database/results.php?Genus=Tsuga&amp;Species=mertensiana&amp;SourcePage=search.php&amp;IncludeSynonyms=Y&amp;SortBy=DESC&amp;SortOrder=Year</t>
  </si>
  <si>
    <t>http://www.burkemuseum.org/research-and-collections/botany-and-herbarium/collections/database/results.php?Genus=Turritis&amp;Species=glabra&amp;SourcePage=search.php&amp;IncludeSynonyms=Y&amp;SortBy=DESC&amp;SortOrder=Year</t>
  </si>
  <si>
    <t>http://www.burkemuseum.org/research-and-collections/botany-and-herbarium/collections/database/results.php?Genus=Typha&amp;Species=angustifolia&amp;SourcePage=search.php&amp;IncludeSynonyms=Y&amp;SortBy=DESC&amp;SortOrder=Year</t>
  </si>
  <si>
    <t>http://www.burkemuseum.org/research-and-collections/botany-and-herbarium/collections/database/results.php?Genus=Typha&amp;Species=latifolia&amp;SourcePage=search.php&amp;IncludeSynonyms=Y&amp;SortBy=DESC&amp;SortOrder=Year</t>
  </si>
  <si>
    <t>http://www.burkemuseum.org/research-and-collections/botany-and-herbarium/collections/database/results.php?Genus=Urtica&amp;Species=dioica&amp;SourcePage=search.php&amp;IncludeSynonyms=Y&amp;SortBy=DESC&amp;SortOrder=Year</t>
  </si>
  <si>
    <t>http://www.burkemuseum.org/research-and-collections/botany-and-herbarium/collections/database/results.php?Genus=Utricularia&amp;Species=gibba&amp;SourcePage=search.php&amp;IncludeSynonyms=Y&amp;SortBy=DESC&amp;SortOrder=Year</t>
  </si>
  <si>
    <t>http://www.burkemuseum.org/research-and-collections/botany-and-herbarium/collections/database/results.php?Genus=Utricularia&amp;Species=intermedia&amp;SourcePage=search.php&amp;IncludeSynonyms=Y&amp;SortBy=DESC&amp;SortOrder=Year</t>
  </si>
  <si>
    <t>http://www.burkemuseum.org/research-and-collections/botany-and-herbarium/collections/database/results.php?Genus=Utricularia&amp;Species=minor&amp;SourcePage=search.php&amp;IncludeSynonyms=Y&amp;SortBy=DESC&amp;SortOrder=Year</t>
  </si>
  <si>
    <t>http://www.burkemuseum.org/research-and-collections/botany-and-herbarium/collections/database/results.php?Genus=Utricularia&amp;Species=vulgaris&amp;SourcePage=search.php&amp;IncludeSynonyms=Y&amp;SortBy=DESC&amp;SortOrder=Year</t>
  </si>
  <si>
    <t>http://www.burkemuseum.org/research-and-collections/botany-and-herbarium/collections/database/results.php?Genus=Vaccinium&amp;Species=deliciosum&amp;SourcePage=search.php&amp;IncludeSynonyms=Y&amp;SortBy=DESC&amp;SortOrder=Year</t>
  </si>
  <si>
    <t>http://www.burkemuseum.org/research-and-collections/botany-and-herbarium/collections/database/results.php?Genus=Vaccinium&amp;Species=membranaceum&amp;SourcePage=search.php&amp;IncludeSynonyms=Y&amp;SortBy=DESC&amp;SortOrder=Year</t>
  </si>
  <si>
    <t>http://www.burkemuseum.org/research-and-collections/botany-and-herbarium/collections/database/results.php?Genus=Vaccinium&amp;Species=ovalifolium&amp;SourcePage=search.php&amp;IncludeSynonyms=Y&amp;SortBy=DESC&amp;SortOrder=Year</t>
  </si>
  <si>
    <t>http://www.burkemuseum.org/research-and-collections/botany-and-herbarium/collections/database/results.php?Genus=Vaccinium&amp;Species=ovatum&amp;SourcePage=search.php&amp;IncludeSynonyms=Y&amp;SortBy=DESC&amp;SortOrder=Year</t>
  </si>
  <si>
    <t>http://www.burkemuseum.org/research-and-collections/botany-and-herbarium/collections/database/results.php?Genus=Vaccinium&amp;Species=oxycoccos&amp;SourcePage=search.php&amp;IncludeSynonyms=Y&amp;SortBy=DESC&amp;SortOrder=Year</t>
  </si>
  <si>
    <t>http://www.burkemuseum.org/research-and-collections/botany-and-herbarium/collections/database/results.php?Genus=Vaccinium&amp;Species=parvifolium&amp;SourcePage=search.php&amp;IncludeSynonyms=Y&amp;SortBy=DESC&amp;SortOrder=Year</t>
  </si>
  <si>
    <t>http://www.burkemuseum.org/research-and-collections/botany-and-herbarium/collections/database/results.php?Genus=Vaccinium&amp;Species=uliginosum&amp;SourcePage=search.php&amp;IncludeSynonyms=Y&amp;SortBy=DESC&amp;SortOrder=Year</t>
  </si>
  <si>
    <t>http://www.burkemuseum.org/research-and-collections/botany-and-herbarium/collections/database/results.php?Genus=Valeriana&amp;Species=scouleri&amp;SourcePage=search.php&amp;IncludeSynonyms=Y&amp;SortBy=DESC&amp;SortOrder=Year</t>
  </si>
  <si>
    <t>http://www.burkemuseum.org/research-and-collections/botany-and-herbarium/collections/database/results.php?Genus=Valeriana&amp;Species=sitchensis&amp;SourcePage=search.php&amp;IncludeSynonyms=Y&amp;SortBy=DESC&amp;SortOrder=Year</t>
  </si>
  <si>
    <t>http://www.burkemuseum.org/research-and-collections/botany-and-herbarium/collections/database/results.php?Genus=Vancouveria&amp;Species=hexandra&amp;SourcePage=search.php&amp;IncludeSynonyms=Y&amp;SortBy=DESC&amp;SortOrder=Year</t>
  </si>
  <si>
    <t>http://www.burkemuseum.org/research-and-collections/botany-and-herbarium/collections/database/results.php?Genus=Veratrum&amp;Species=californicum&amp;SourcePage=search.php&amp;IncludeSynonyms=Y&amp;SortBy=DESC&amp;SortOrder=Year</t>
  </si>
  <si>
    <t>http://www.burkemuseum.org/research-and-collections/botany-and-herbarium/collections/database/results.php?Genus=Veratrum&amp;Species=viride&amp;SourcePage=search.php&amp;IncludeSynonyms=Y&amp;SortBy=DESC&amp;SortOrder=Year</t>
  </si>
  <si>
    <t>http://www.burkemuseum.org/research-and-collections/botany-and-herbarium/collections/database/results.php?Genus=Verbena&amp;Species=hastata&amp;SourcePage=search.php&amp;IncludeSynonyms=Y&amp;SortBy=DESC&amp;SortOrder=Year</t>
  </si>
  <si>
    <t>http://www.burkemuseum.org/research-and-collections/botany-and-herbarium/collections/database/results.php?Genus=Veronica&amp;Species=americana&amp;SourcePage=search.php&amp;IncludeSynonyms=Y&amp;SortBy=DESC&amp;SortOrder=Year</t>
  </si>
  <si>
    <t>http://www.burkemuseum.org/research-and-collections/botany-and-herbarium/collections/database/results.php?Genus=Veronica&amp;Species=peregrina&amp;SourcePage=search.php&amp;IncludeSynonyms=Y&amp;SortBy=DESC&amp;SortOrder=Year</t>
  </si>
  <si>
    <t>http://www.burkemuseum.org/research-and-collections/botany-and-herbarium/collections/database/results.php?Genus=Veronica&amp;Species=scutellata&amp;SourcePage=search.php&amp;IncludeSynonyms=Y&amp;SortBy=DESC&amp;SortOrder=Year</t>
  </si>
  <si>
    <t>http://www.burkemuseum.org/research-and-collections/botany-and-herbarium/collections/database/results.php?Genus=Viburnum&amp;Species=edule&amp;SourcePage=search.php&amp;IncludeSynonyms=Y&amp;SortBy=DESC&amp;SortOrder=Year</t>
  </si>
  <si>
    <t>http://www.burkemuseum.org/research-and-collections/botany-and-herbarium/collections/database/results.php?Genus=Viburnum&amp;Species=ellipticum&amp;SourcePage=search.php&amp;IncludeSynonyms=Y&amp;SortBy=DESC&amp;SortOrder=Year</t>
  </si>
  <si>
    <t>http://www.burkemuseum.org/research-and-collections/botany-and-herbarium/collections/database/results.php?Genus=Viburnum&amp;Species=opulus&amp;SourcePage=search.php&amp;IncludeSynonyms=Y&amp;SortBy=DESC&amp;SortOrder=Year</t>
  </si>
  <si>
    <t>http://www.burkemuseum.org/research-and-collections/botany-and-herbarium/collections/database/results.php?Genus=Vicia&amp;Species=americana&amp;SourcePage=search.php&amp;IncludeSynonyms=Y&amp;SortBy=DESC&amp;SortOrder=Year</t>
  </si>
  <si>
    <t>http://www.burkemuseum.org/research-and-collections/botany-and-herbarium/collections/database/results.php?Genus=Vicia&amp;Species=nigricans&amp;SourcePage=search.php&amp;IncludeSynonyms=Y&amp;SortBy=DESC&amp;SortOrder=Year</t>
  </si>
  <si>
    <t>http://www.burkemuseum.org/research-and-collections/botany-and-herbarium/collections/database/results.php?Genus=Viola&amp;Species=adunca&amp;SourcePage=search.php&amp;IncludeSynonyms=Y&amp;SortBy=DESC&amp;SortOrder=Year</t>
  </si>
  <si>
    <t>http://www.burkemuseum.org/research-and-collections/botany-and-herbarium/collections/database/results.php?Genus=Viola&amp;Species=canadensis&amp;SourcePage=search.php&amp;IncludeSynonyms=Y&amp;SortBy=DESC&amp;SortOrder=Year</t>
  </si>
  <si>
    <t>http://www.burkemuseum.org/research-and-collections/botany-and-herbarium/collections/database/results.php?Genus=Viola&amp;Species=glabella&amp;SourcePage=search.php&amp;IncludeSynonyms=Y&amp;SortBy=DESC&amp;SortOrder=Year</t>
  </si>
  <si>
    <t>http://www.burkemuseum.org/research-and-collections/botany-and-herbarium/collections/database/results.php?Genus=Viola&amp;Species=howellii&amp;SourcePage=search.php&amp;IncludeSynonyms=Y&amp;SortBy=DESC&amp;SortOrder=Year</t>
  </si>
  <si>
    <t>http://www.burkemuseum.org/research-and-collections/botany-and-herbarium/collections/database/results.php?Genus=Viola&amp;Species=langsdorfii&amp;SourcePage=search.php&amp;IncludeSynonyms=Y&amp;SortBy=DESC&amp;SortOrder=Year</t>
  </si>
  <si>
    <t>http://www.burkemuseum.org/research-and-collections/botany-and-herbarium/collections/database/results.php?Genus=Viola&amp;Species=orbiculata&amp;SourcePage=search.php&amp;IncludeSynonyms=Y&amp;SortBy=DESC&amp;SortOrder=Year</t>
  </si>
  <si>
    <t>http://www.burkemuseum.org/research-and-collections/botany-and-herbarium/collections/database/results.php?Genus=Viola&amp;Species=palustris&amp;SourcePage=search.php&amp;IncludeSynonyms=Y&amp;SortBy=DESC&amp;SortOrder=Year</t>
  </si>
  <si>
    <t>http://www.burkemuseum.org/research-and-collections/botany-and-herbarium/collections/database/results.php?Genus=Viola&amp;Species=praemorsa&amp;SourcePage=search.php&amp;IncludeSynonyms=Y&amp;SortBy=DESC&amp;SortOrder=Year</t>
  </si>
  <si>
    <t>http://www.burkemuseum.org/research-and-collections/botany-and-herbarium/collections/database/results.php?Genus=Viola&amp;Species=sempervirens&amp;SourcePage=search.php&amp;IncludeSynonyms=Y&amp;SortBy=DESC&amp;SortOrder=Year</t>
  </si>
  <si>
    <t>http://www.burkemuseum.org/research-and-collections/botany-and-herbarium/collections/database/results.php?Genus=Vulpia&amp;Species=microstachys&amp;SourcePage=search.php&amp;IncludeSynonyms=Y&amp;SortBy=DESC&amp;SortOrder=Year</t>
  </si>
  <si>
    <t>http://www.burkemuseum.org/research-and-collections/botany-and-herbarium/collections/database/results.php?Genus=Woodsia&amp;Species=oregana&amp;SourcePage=search.php&amp;IncludeSynonyms=Y&amp;SortBy=DESC&amp;SortOrder=Year</t>
  </si>
  <si>
    <t>http://www.burkemuseum.org/research-and-collections/botany-and-herbarium/collections/database/results.php?Genus=Woodwardia&amp;Species=fimbriata&amp;SourcePage=search.php&amp;IncludeSynonyms=Y&amp;SortBy=DESC&amp;SortOrder=Year</t>
  </si>
  <si>
    <t>http://www.burkemuseum.org/research-and-collections/botany-and-herbarium/collections/database/results.php?Genus=Wyethia&amp;Species=angustifolia&amp;SourcePage=search.php&amp;IncludeSynonyms=Y&amp;SortBy=DESC&amp;SortOrder=Year</t>
  </si>
  <si>
    <t>http://www.burkemuseum.org/research-and-collections/botany-and-herbarium/collections/database/results.php?Genus=Xanthium&amp;Species=strumarium&amp;SourcePage=search.php&amp;IncludeSynonyms=Y&amp;SortBy=DESC&amp;SortOrder=Year</t>
  </si>
  <si>
    <t>http://www.burkemuseum.org/research-and-collections/botany-and-herbarium/collections/database/results.php?Genus=Xerophyllum&amp;Species=tenax&amp;SourcePage=search.php&amp;IncludeSynonyms=Y&amp;SortBy=DESC&amp;SortOrder=Year</t>
  </si>
  <si>
    <t>http://www.burkemuseum.org/research-and-collections/botany-and-herbarium/collections/database/results.php?Genus=Yabea&amp;Species=microcarpa&amp;SourcePage=search.php&amp;IncludeSynonyms=Y&amp;SortBy=DESC&amp;SortOrder=Year</t>
  </si>
  <si>
    <t>http://www.burkemuseum.org/research-and-collections/botany-and-herbarium/collections/database/results.php?Genus=Zannichellia&amp;Species=palustris&amp;SourcePage=search.php&amp;IncludeSynonyms=Y&amp;SortBy=DESC&amp;SortOrder=Year</t>
  </si>
  <si>
    <t>http://www.burkemuseum.org/research-and-collections/botany-and-herbarium/collections/database/results.php?Genus=Zeltnera&amp;Species=muehlenbergii&amp;SourcePage=search.php&amp;IncludeSynonyms=Y&amp;SortBy=DESC&amp;SortOrder=Year</t>
  </si>
  <si>
    <t>http://www.burkemuseum.org/research-and-collections/botany-and-herbarium/collections/database/results.php?Genus=Zygadenus&amp;Species=venenosus&amp;SourcePage=search.php&amp;IncludeSynonyms=Y&amp;SortBy=DESC&amp;SortOrder=Year</t>
  </si>
  <si>
    <r>
      <t>Add F</t>
    </r>
    <r>
      <rPr>
        <b/>
        <vertAlign val="superscript"/>
        <sz val="10"/>
        <rFont val="Arial"/>
        <family val="2"/>
      </rPr>
      <t>o</t>
    </r>
    <r>
      <rPr>
        <b/>
        <sz val="10"/>
        <rFont val="Arial"/>
        <family val="2"/>
      </rPr>
      <t xml:space="preserve"> ~Estimate Cascadia</t>
    </r>
  </si>
  <si>
    <t>Top</t>
  </si>
  <si>
    <t>Glb</t>
  </si>
  <si>
    <t>1st</t>
  </si>
  <si>
    <t>Med</t>
  </si>
  <si>
    <t>Last</t>
  </si>
  <si>
    <t>Open</t>
  </si>
  <si>
    <t>All Plants:</t>
  </si>
  <si>
    <t>Dummy data/coefficients:</t>
  </si>
  <si>
    <t>Lines</t>
  </si>
  <si>
    <t xml:space="preserve">                                  USDA Plants Database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</si>
</sst>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m/d/yyyy;@"/>
    <numFmt numFmtId="165" formatCode="m/d/yy;@"/>
    <numFmt numFmtId="166" formatCode="0.0%"/>
    <numFmt numFmtId="167" formatCode="0.0"/>
  </numFmts>
  <fonts count="8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rgb="FFFA7D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b/>
      <sz val="10"/>
      <color indexed="9"/>
      <name val="Arial"/>
      <family val="2"/>
    </font>
    <font>
      <u/>
      <sz val="10"/>
      <color rgb="FFC00000"/>
      <name val="Arial"/>
      <family val="2"/>
    </font>
    <font>
      <b/>
      <u/>
      <sz val="10"/>
      <color rgb="FFC00000"/>
      <name val="Arial"/>
      <family val="2"/>
    </font>
    <font>
      <u/>
      <sz val="10"/>
      <color indexed="12"/>
      <name val="Arial"/>
      <family val="2"/>
    </font>
    <font>
      <sz val="10"/>
      <color rgb="FFC00000"/>
      <name val="Arial"/>
      <family val="2"/>
    </font>
    <font>
      <sz val="10"/>
      <color rgb="FF000000"/>
      <name val="Arial"/>
      <family val="2"/>
    </font>
    <font>
      <sz val="10"/>
      <color indexed="17"/>
      <name val="Arial"/>
      <family val="2"/>
    </font>
    <font>
      <sz val="10"/>
      <color indexed="2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i/>
      <u/>
      <sz val="10"/>
      <color indexed="12"/>
      <name val="Arial"/>
      <family val="2"/>
    </font>
    <font>
      <sz val="10"/>
      <color rgb="FF363636"/>
      <name val="Arial"/>
      <family val="2"/>
    </font>
    <font>
      <sz val="10"/>
      <color theme="0" tint="-0.14999847407452621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sz val="10"/>
      <color indexed="8"/>
      <name val="Wingdings"/>
      <charset val="2"/>
    </font>
    <font>
      <b/>
      <sz val="20"/>
      <name val="Arial"/>
      <family val="2"/>
    </font>
    <font>
      <b/>
      <sz val="12"/>
      <color indexed="9"/>
      <name val="Arial"/>
      <family val="2"/>
    </font>
    <font>
      <b/>
      <sz val="10"/>
      <color rgb="FFC00000"/>
      <name val="Arial"/>
      <family val="2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u/>
      <sz val="14"/>
      <name val="Calibri"/>
      <family val="2"/>
      <scheme val="minor"/>
    </font>
    <font>
      <i/>
      <sz val="12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sz val="11"/>
      <color rgb="FFC00000"/>
      <name val="Calibri"/>
      <family val="2"/>
      <scheme val="minor"/>
    </font>
    <font>
      <i/>
      <sz val="11"/>
      <color rgb="FFC00000"/>
      <name val="Calibri"/>
      <family val="2"/>
      <scheme val="minor"/>
    </font>
    <font>
      <sz val="10"/>
      <name val="Calibri"/>
      <family val="2"/>
      <scheme val="minor"/>
    </font>
    <font>
      <sz val="10"/>
      <color rgb="FF222222"/>
      <name val="Calibri"/>
      <family val="2"/>
      <scheme val="minor"/>
    </font>
    <font>
      <b/>
      <vertAlign val="superscript"/>
      <sz val="1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CDDC"/>
        <bgColor indexed="64"/>
      </patternFill>
    </fill>
    <fill>
      <patternFill patternType="solid">
        <fgColor rgb="FFC000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4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17" fillId="0" borderId="0"/>
    <xf numFmtId="43" fontId="11" fillId="0" borderId="0" applyFont="0" applyFill="0" applyBorder="0" applyAlignment="0" applyProtection="0"/>
    <xf numFmtId="0" fontId="8" fillId="0" borderId="0"/>
    <xf numFmtId="0" fontId="18" fillId="0" borderId="0"/>
    <xf numFmtId="43" fontId="11" fillId="0" borderId="0" applyFont="0" applyFill="0" applyBorder="0" applyAlignment="0" applyProtection="0"/>
    <xf numFmtId="0" fontId="8" fillId="0" borderId="0"/>
    <xf numFmtId="0" fontId="11" fillId="0" borderId="0"/>
    <xf numFmtId="0" fontId="7" fillId="0" borderId="0"/>
    <xf numFmtId="43" fontId="7" fillId="0" borderId="0" applyFont="0" applyFill="0" applyBorder="0" applyAlignment="0" applyProtection="0"/>
    <xf numFmtId="0" fontId="19" fillId="0" borderId="0"/>
    <xf numFmtId="43" fontId="11" fillId="0" borderId="0" applyFont="0" applyFill="0" applyBorder="0" applyAlignment="0" applyProtection="0"/>
    <xf numFmtId="0" fontId="7" fillId="0" borderId="0"/>
    <xf numFmtId="0" fontId="7" fillId="0" borderId="0"/>
    <xf numFmtId="0" fontId="11" fillId="0" borderId="0"/>
    <xf numFmtId="0" fontId="7" fillId="0" borderId="0"/>
    <xf numFmtId="0" fontId="20" fillId="8" borderId="7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10" applyNumberFormat="0" applyFill="0" applyAlignment="0" applyProtection="0"/>
    <xf numFmtId="0" fontId="24" fillId="0" borderId="11" applyNumberFormat="0" applyFill="0" applyAlignment="0" applyProtection="0"/>
    <xf numFmtId="0" fontId="24" fillId="0" borderId="0" applyNumberFormat="0" applyFill="0" applyBorder="0" applyAlignment="0" applyProtection="0"/>
    <xf numFmtId="0" fontId="25" fillId="9" borderId="0" applyNumberFormat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7" applyNumberFormat="0" applyAlignment="0" applyProtection="0"/>
    <xf numFmtId="0" fontId="29" fillId="8" borderId="12" applyNumberFormat="0" applyAlignment="0" applyProtection="0"/>
    <xf numFmtId="0" fontId="30" fillId="0" borderId="13" applyNumberFormat="0" applyFill="0" applyAlignment="0" applyProtection="0"/>
    <xf numFmtId="0" fontId="31" fillId="13" borderId="14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35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35" fillId="38" borderId="0" applyNumberFormat="0" applyBorder="0" applyAlignment="0" applyProtection="0"/>
    <xf numFmtId="0" fontId="6" fillId="0" borderId="0"/>
    <xf numFmtId="0" fontId="6" fillId="14" borderId="15" applyNumberFormat="0" applyFont="0" applyAlignment="0" applyProtection="0"/>
    <xf numFmtId="0" fontId="51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2" fillId="0" borderId="0"/>
    <xf numFmtId="0" fontId="5" fillId="0" borderId="0"/>
    <xf numFmtId="0" fontId="5" fillId="0" borderId="0"/>
    <xf numFmtId="0" fontId="5" fillId="0" borderId="0"/>
    <xf numFmtId="0" fontId="53" fillId="0" borderId="0"/>
    <xf numFmtId="0" fontId="4" fillId="0" borderId="0"/>
    <xf numFmtId="0" fontId="2" fillId="0" borderId="0"/>
    <xf numFmtId="0" fontId="2" fillId="0" borderId="0"/>
  </cellStyleXfs>
  <cellXfs count="408">
    <xf numFmtId="0" fontId="0" fillId="0" borderId="0" xfId="0"/>
    <xf numFmtId="164" fontId="40" fillId="0" borderId="0" xfId="0" applyNumberFormat="1" applyFont="1" applyAlignment="1">
      <alignment horizontal="center"/>
    </xf>
    <xf numFmtId="164" fontId="37" fillId="0" borderId="0" xfId="0" applyNumberFormat="1" applyFont="1"/>
    <xf numFmtId="0" fontId="14" fillId="6" borderId="0" xfId="0" applyFont="1" applyFill="1" applyAlignment="1">
      <alignment horizontal="center"/>
    </xf>
    <xf numFmtId="0" fontId="11" fillId="6" borderId="0" xfId="0" applyFont="1" applyFill="1"/>
    <xf numFmtId="0" fontId="39" fillId="2" borderId="0" xfId="0" applyFont="1" applyFill="1" applyAlignment="1">
      <alignment horizontal="right"/>
    </xf>
    <xf numFmtId="0" fontId="11" fillId="6" borderId="0" xfId="0" applyFont="1" applyFill="1" applyAlignment="1">
      <alignment horizontal="right"/>
    </xf>
    <xf numFmtId="0" fontId="11" fillId="5" borderId="1" xfId="0" applyFont="1" applyFill="1" applyBorder="1" applyAlignment="1">
      <alignment horizontal="left"/>
    </xf>
    <xf numFmtId="0" fontId="13" fillId="5" borderId="1" xfId="1" applyFill="1" applyBorder="1" applyAlignment="1" applyProtection="1"/>
    <xf numFmtId="0" fontId="11" fillId="5" borderId="1" xfId="0" applyFont="1" applyFill="1" applyBorder="1"/>
    <xf numFmtId="0" fontId="13" fillId="5" borderId="1" xfId="1" applyFill="1" applyBorder="1" applyAlignment="1" applyProtection="1">
      <alignment horizontal="left"/>
    </xf>
    <xf numFmtId="0" fontId="37" fillId="6" borderId="0" xfId="0" applyFont="1" applyFill="1"/>
    <xf numFmtId="0" fontId="37" fillId="0" borderId="0" xfId="0" applyFont="1"/>
    <xf numFmtId="0" fontId="11" fillId="0" borderId="0" xfId="0" applyFont="1"/>
    <xf numFmtId="0" fontId="11" fillId="42" borderId="0" xfId="0" applyFont="1" applyFill="1"/>
    <xf numFmtId="0" fontId="37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164" fontId="13" fillId="5" borderId="1" xfId="1" applyNumberFormat="1" applyFill="1" applyBorder="1" applyAlignment="1" applyProtection="1">
      <alignment horizontal="left"/>
    </xf>
    <xf numFmtId="0" fontId="55" fillId="5" borderId="1" xfId="0" applyFont="1" applyFill="1" applyBorder="1" applyAlignment="1">
      <alignment horizontal="center"/>
    </xf>
    <xf numFmtId="165" fontId="14" fillId="39" borderId="1" xfId="0" applyNumberFormat="1" applyFont="1" applyFill="1" applyBorder="1" applyAlignment="1">
      <alignment horizontal="center"/>
    </xf>
    <xf numFmtId="0" fontId="57" fillId="0" borderId="0" xfId="0" applyFont="1"/>
    <xf numFmtId="1" fontId="10" fillId="6" borderId="0" xfId="0" applyNumberFormat="1" applyFont="1" applyFill="1" applyAlignment="1">
      <alignment horizontal="center"/>
    </xf>
    <xf numFmtId="1" fontId="37" fillId="0" borderId="0" xfId="0" applyNumberFormat="1" applyFont="1"/>
    <xf numFmtId="1" fontId="14" fillId="6" borderId="0" xfId="1" applyNumberFormat="1" applyFont="1" applyFill="1" applyAlignment="1" applyProtection="1">
      <alignment horizontal="center"/>
    </xf>
    <xf numFmtId="0" fontId="50" fillId="5" borderId="1" xfId="0" applyFont="1" applyFill="1" applyBorder="1" applyAlignment="1">
      <alignment horizontal="center"/>
    </xf>
    <xf numFmtId="0" fontId="56" fillId="5" borderId="1" xfId="0" applyFont="1" applyFill="1" applyBorder="1" applyAlignment="1">
      <alignment horizontal="center"/>
    </xf>
    <xf numFmtId="1" fontId="37" fillId="0" borderId="0" xfId="0" applyNumberFormat="1" applyFont="1" applyAlignment="1">
      <alignment horizontal="center"/>
    </xf>
    <xf numFmtId="164" fontId="37" fillId="6" borderId="0" xfId="0" applyNumberFormat="1" applyFont="1" applyFill="1"/>
    <xf numFmtId="0" fontId="11" fillId="40" borderId="0" xfId="0" applyFont="1" applyFill="1"/>
    <xf numFmtId="0" fontId="11" fillId="40" borderId="22" xfId="0" applyFont="1" applyFill="1" applyBorder="1" applyAlignment="1">
      <alignment horizontal="center"/>
    </xf>
    <xf numFmtId="0" fontId="14" fillId="39" borderId="21" xfId="0" applyFont="1" applyFill="1" applyBorder="1" applyAlignment="1">
      <alignment horizontal="center"/>
    </xf>
    <xf numFmtId="1" fontId="37" fillId="6" borderId="0" xfId="0" applyNumberFormat="1" applyFont="1" applyFill="1"/>
    <xf numFmtId="164" fontId="40" fillId="6" borderId="0" xfId="0" applyNumberFormat="1" applyFont="1" applyFill="1" applyAlignment="1">
      <alignment horizontal="center"/>
    </xf>
    <xf numFmtId="2" fontId="11" fillId="6" borderId="0" xfId="0" applyNumberFormat="1" applyFont="1" applyFill="1" applyAlignment="1">
      <alignment horizontal="center"/>
    </xf>
    <xf numFmtId="1" fontId="11" fillId="6" borderId="0" xfId="0" applyNumberFormat="1" applyFont="1" applyFill="1"/>
    <xf numFmtId="1" fontId="50" fillId="6" borderId="0" xfId="0" applyNumberFormat="1" applyFont="1" applyFill="1" applyAlignment="1">
      <alignment horizontal="center"/>
    </xf>
    <xf numFmtId="0" fontId="11" fillId="6" borderId="0" xfId="0" quotePrefix="1" applyFont="1" applyFill="1"/>
    <xf numFmtId="0" fontId="11" fillId="40" borderId="0" xfId="0" applyFont="1" applyFill="1" applyAlignment="1">
      <alignment horizontal="center"/>
    </xf>
    <xf numFmtId="0" fontId="11" fillId="40" borderId="17" xfId="0" applyFont="1" applyFill="1" applyBorder="1" applyAlignment="1">
      <alignment horizontal="left"/>
    </xf>
    <xf numFmtId="0" fontId="11" fillId="7" borderId="6" xfId="0" applyFont="1" applyFill="1" applyBorder="1" applyAlignment="1">
      <alignment horizontal="center"/>
    </xf>
    <xf numFmtId="0" fontId="11" fillId="40" borderId="21" xfId="0" applyFont="1" applyFill="1" applyBorder="1" applyAlignment="1">
      <alignment horizontal="center"/>
    </xf>
    <xf numFmtId="0" fontId="11" fillId="40" borderId="21" xfId="0" applyFont="1" applyFill="1" applyBorder="1" applyAlignment="1">
      <alignment horizontal="left"/>
    </xf>
    <xf numFmtId="0" fontId="11" fillId="40" borderId="1" xfId="0" applyFont="1" applyFill="1" applyBorder="1" applyAlignment="1">
      <alignment horizontal="center"/>
    </xf>
    <xf numFmtId="0" fontId="13" fillId="39" borderId="1" xfId="1" applyFill="1" applyBorder="1" applyAlignment="1" applyProtection="1">
      <alignment horizontal="center"/>
    </xf>
    <xf numFmtId="0" fontId="11" fillId="40" borderId="0" xfId="0" applyFont="1" applyFill="1" applyAlignment="1">
      <alignment horizontal="left"/>
    </xf>
    <xf numFmtId="1" fontId="11" fillId="5" borderId="1" xfId="0" applyNumberFormat="1" applyFont="1" applyFill="1" applyBorder="1" applyAlignment="1">
      <alignment horizontal="center"/>
    </xf>
    <xf numFmtId="1" fontId="11" fillId="6" borderId="1" xfId="0" applyNumberFormat="1" applyFont="1" applyFill="1" applyBorder="1" applyAlignment="1">
      <alignment horizontal="center"/>
    </xf>
    <xf numFmtId="1" fontId="11" fillId="6" borderId="1" xfId="1" applyNumberFormat="1" applyFont="1" applyFill="1" applyBorder="1" applyAlignment="1" applyProtection="1">
      <alignment horizontal="center"/>
    </xf>
    <xf numFmtId="164" fontId="37" fillId="6" borderId="0" xfId="0" applyNumberFormat="1" applyFont="1" applyFill="1" applyAlignment="1">
      <alignment horizontal="center"/>
    </xf>
    <xf numFmtId="1" fontId="58" fillId="6" borderId="0" xfId="1" applyNumberFormat="1" applyFont="1" applyFill="1" applyAlignment="1" applyProtection="1">
      <alignment horizontal="center"/>
    </xf>
    <xf numFmtId="164" fontId="37" fillId="0" borderId="0" xfId="0" applyNumberFormat="1" applyFont="1" applyAlignment="1">
      <alignment horizontal="center"/>
    </xf>
    <xf numFmtId="0" fontId="14" fillId="39" borderId="1" xfId="0" applyFont="1" applyFill="1" applyBorder="1" applyAlignment="1">
      <alignment horizontal="center" wrapText="1"/>
    </xf>
    <xf numFmtId="0" fontId="14" fillId="4" borderId="5" xfId="0" applyFont="1" applyFill="1" applyBorder="1" applyAlignment="1">
      <alignment horizontal="center"/>
    </xf>
    <xf numFmtId="0" fontId="36" fillId="4" borderId="5" xfId="0" applyFont="1" applyFill="1" applyBorder="1" applyAlignment="1">
      <alignment horizontal="center"/>
    </xf>
    <xf numFmtId="0" fontId="36" fillId="4" borderId="5" xfId="0" applyFont="1" applyFill="1" applyBorder="1" applyAlignment="1">
      <alignment horizontal="left"/>
    </xf>
    <xf numFmtId="0" fontId="14" fillId="4" borderId="5" xfId="0" applyFont="1" applyFill="1" applyBorder="1" applyAlignment="1">
      <alignment horizontal="left"/>
    </xf>
    <xf numFmtId="0" fontId="37" fillId="4" borderId="5" xfId="0" applyFont="1" applyFill="1" applyBorder="1" applyAlignment="1">
      <alignment horizontal="left"/>
    </xf>
    <xf numFmtId="164" fontId="38" fillId="4" borderId="5" xfId="0" applyNumberFormat="1" applyFont="1" applyFill="1" applyBorder="1"/>
    <xf numFmtId="0" fontId="41" fillId="5" borderId="1" xfId="0" applyFont="1" applyFill="1" applyBorder="1"/>
    <xf numFmtId="0" fontId="11" fillId="5" borderId="1" xfId="0" applyFont="1" applyFill="1" applyBorder="1" applyAlignment="1">
      <alignment horizontal="center"/>
    </xf>
    <xf numFmtId="0" fontId="59" fillId="5" borderId="1" xfId="71" applyFont="1" applyFill="1" applyBorder="1" applyAlignment="1">
      <alignment horizontal="center"/>
    </xf>
    <xf numFmtId="0" fontId="11" fillId="0" borderId="1" xfId="0" applyFont="1" applyBorder="1"/>
    <xf numFmtId="0" fontId="11" fillId="0" borderId="1" xfId="0" applyFont="1" applyBorder="1" applyAlignment="1">
      <alignment horizontal="left"/>
    </xf>
    <xf numFmtId="0" fontId="13" fillId="0" borderId="1" xfId="1" applyBorder="1" applyAlignment="1" applyProtection="1">
      <alignment horizontal="left"/>
    </xf>
    <xf numFmtId="0" fontId="13" fillId="0" borderId="1" xfId="1" applyBorder="1" applyAlignment="1" applyProtection="1"/>
    <xf numFmtId="164" fontId="13" fillId="0" borderId="1" xfId="1" applyNumberFormat="1" applyBorder="1" applyAlignment="1" applyProtection="1">
      <alignment horizontal="left"/>
    </xf>
    <xf numFmtId="0" fontId="41" fillId="0" borderId="1" xfId="0" applyFont="1" applyBorder="1"/>
    <xf numFmtId="0" fontId="11" fillId="0" borderId="1" xfId="0" applyFont="1" applyBorder="1" applyAlignment="1">
      <alignment horizontal="center"/>
    </xf>
    <xf numFmtId="0" fontId="59" fillId="0" borderId="1" xfId="71" applyFont="1" applyBorder="1" applyAlignment="1">
      <alignment horizontal="center"/>
    </xf>
    <xf numFmtId="0" fontId="55" fillId="0" borderId="1" xfId="0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164" fontId="11" fillId="6" borderId="1" xfId="0" applyNumberFormat="1" applyFont="1" applyFill="1" applyBorder="1" applyAlignment="1">
      <alignment horizontal="center"/>
    </xf>
    <xf numFmtId="164" fontId="11" fillId="6" borderId="0" xfId="0" applyNumberFormat="1" applyFont="1" applyFill="1"/>
    <xf numFmtId="164" fontId="14" fillId="6" borderId="0" xfId="0" applyNumberFormat="1" applyFont="1" applyFill="1"/>
    <xf numFmtId="0" fontId="45" fillId="7" borderId="21" xfId="1" applyFont="1" applyFill="1" applyBorder="1" applyAlignment="1" applyProtection="1">
      <alignment horizontal="center"/>
    </xf>
    <xf numFmtId="0" fontId="11" fillId="0" borderId="0" xfId="0" applyFont="1" applyAlignment="1">
      <alignment horizontal="center"/>
    </xf>
    <xf numFmtId="0" fontId="11" fillId="6" borderId="0" xfId="0" applyFont="1" applyFill="1" applyAlignment="1">
      <alignment horizontal="center"/>
    </xf>
    <xf numFmtId="0" fontId="11" fillId="5" borderId="1" xfId="71" applyFont="1" applyFill="1" applyBorder="1" applyAlignment="1">
      <alignment horizontal="center"/>
    </xf>
    <xf numFmtId="0" fontId="11" fillId="0" borderId="1" xfId="71" applyFont="1" applyBorder="1" applyAlignment="1">
      <alignment horizontal="center"/>
    </xf>
    <xf numFmtId="164" fontId="15" fillId="0" borderId="0" xfId="0" applyNumberFormat="1" applyFont="1"/>
    <xf numFmtId="164" fontId="14" fillId="4" borderId="5" xfId="0" applyNumberFormat="1" applyFont="1" applyFill="1" applyBorder="1"/>
    <xf numFmtId="1" fontId="11" fillId="6" borderId="0" xfId="0" applyNumberFormat="1" applyFont="1" applyFill="1" applyAlignment="1">
      <alignment horizontal="center"/>
    </xf>
    <xf numFmtId="1" fontId="36" fillId="4" borderId="5" xfId="0" applyNumberFormat="1" applyFont="1" applyFill="1" applyBorder="1" applyAlignment="1">
      <alignment horizontal="center"/>
    </xf>
    <xf numFmtId="0" fontId="11" fillId="40" borderId="2" xfId="0" applyFont="1" applyFill="1" applyBorder="1" applyAlignment="1">
      <alignment horizontal="center"/>
    </xf>
    <xf numFmtId="0" fontId="14" fillId="39" borderId="6" xfId="0" applyFont="1" applyFill="1" applyBorder="1" applyAlignment="1">
      <alignment horizontal="center" wrapText="1"/>
    </xf>
    <xf numFmtId="1" fontId="11" fillId="0" borderId="1" xfId="0" applyNumberFormat="1" applyFont="1" applyBorder="1" applyAlignment="1">
      <alignment horizontal="center"/>
    </xf>
    <xf numFmtId="0" fontId="56" fillId="0" borderId="1" xfId="0" applyFont="1" applyBorder="1" applyAlignment="1">
      <alignment horizontal="center"/>
    </xf>
    <xf numFmtId="0" fontId="36" fillId="4" borderId="18" xfId="0" applyFont="1" applyFill="1" applyBorder="1" applyAlignment="1">
      <alignment horizontal="center"/>
    </xf>
    <xf numFmtId="1" fontId="36" fillId="4" borderId="8" xfId="0" applyNumberFormat="1" applyFont="1" applyFill="1" applyBorder="1" applyAlignment="1">
      <alignment horizontal="center"/>
    </xf>
    <xf numFmtId="0" fontId="14" fillId="4" borderId="23" xfId="0" applyFont="1" applyFill="1" applyBorder="1" applyAlignment="1">
      <alignment horizontal="center"/>
    </xf>
    <xf numFmtId="0" fontId="36" fillId="6" borderId="18" xfId="0" applyFont="1" applyFill="1" applyBorder="1" applyAlignment="1">
      <alignment horizontal="center"/>
    </xf>
    <xf numFmtId="0" fontId="37" fillId="6" borderId="0" xfId="0" applyFont="1" applyFill="1" applyAlignment="1">
      <alignment horizontal="center"/>
    </xf>
    <xf numFmtId="0" fontId="11" fillId="40" borderId="5" xfId="0" applyFont="1" applyFill="1" applyBorder="1" applyAlignment="1">
      <alignment horizontal="left"/>
    </xf>
    <xf numFmtId="0" fontId="41" fillId="5" borderId="1" xfId="0" applyFont="1" applyFill="1" applyBorder="1" applyAlignment="1">
      <alignment horizontal="center"/>
    </xf>
    <xf numFmtId="0" fontId="48" fillId="5" borderId="1" xfId="0" applyFont="1" applyFill="1" applyBorder="1" applyAlignment="1">
      <alignment horizontal="center"/>
    </xf>
    <xf numFmtId="0" fontId="48" fillId="0" borderId="1" xfId="0" applyFont="1" applyBorder="1" applyAlignment="1">
      <alignment horizontal="center"/>
    </xf>
    <xf numFmtId="0" fontId="49" fillId="5" borderId="1" xfId="0" applyFont="1" applyFill="1" applyBorder="1" applyAlignment="1">
      <alignment horizontal="center"/>
    </xf>
    <xf numFmtId="0" fontId="49" fillId="0" borderId="1" xfId="0" applyFont="1" applyBorder="1" applyAlignment="1">
      <alignment horizontal="center"/>
    </xf>
    <xf numFmtId="0" fontId="3" fillId="0" borderId="1" xfId="71" applyFont="1" applyBorder="1" applyAlignment="1">
      <alignment horizontal="center"/>
    </xf>
    <xf numFmtId="0" fontId="14" fillId="39" borderId="23" xfId="0" applyFont="1" applyFill="1" applyBorder="1" applyAlignment="1">
      <alignment horizontal="center"/>
    </xf>
    <xf numFmtId="0" fontId="14" fillId="39" borderId="5" xfId="0" applyFont="1" applyFill="1" applyBorder="1" applyAlignment="1">
      <alignment horizontal="center"/>
    </xf>
    <xf numFmtId="0" fontId="14" fillId="39" borderId="24" xfId="0" applyFont="1" applyFill="1" applyBorder="1" applyAlignment="1">
      <alignment horizontal="center"/>
    </xf>
    <xf numFmtId="0" fontId="14" fillId="39" borderId="8" xfId="0" applyFont="1" applyFill="1" applyBorder="1" applyAlignment="1">
      <alignment horizontal="center"/>
    </xf>
    <xf numFmtId="0" fontId="11" fillId="46" borderId="1" xfId="0" applyFont="1" applyFill="1" applyBorder="1" applyAlignment="1">
      <alignment horizontal="left"/>
    </xf>
    <xf numFmtId="0" fontId="11" fillId="46" borderId="1" xfId="0" applyFont="1" applyFill="1" applyBorder="1" applyAlignment="1">
      <alignment horizontal="center"/>
    </xf>
    <xf numFmtId="0" fontId="11" fillId="46" borderId="1" xfId="0" applyFont="1" applyFill="1" applyBorder="1"/>
    <xf numFmtId="0" fontId="13" fillId="46" borderId="1" xfId="1" applyFill="1" applyBorder="1" applyAlignment="1" applyProtection="1">
      <alignment horizontal="left"/>
    </xf>
    <xf numFmtId="1" fontId="11" fillId="46" borderId="1" xfId="0" applyNumberFormat="1" applyFont="1" applyFill="1" applyBorder="1" applyAlignment="1">
      <alignment horizontal="center"/>
    </xf>
    <xf numFmtId="0" fontId="55" fillId="46" borderId="1" xfId="0" applyFont="1" applyFill="1" applyBorder="1" applyAlignment="1">
      <alignment horizontal="center"/>
    </xf>
    <xf numFmtId="0" fontId="50" fillId="46" borderId="1" xfId="0" applyFont="1" applyFill="1" applyBorder="1" applyAlignment="1">
      <alignment horizontal="center"/>
    </xf>
    <xf numFmtId="0" fontId="56" fillId="46" borderId="1" xfId="0" applyFont="1" applyFill="1" applyBorder="1" applyAlignment="1">
      <alignment horizontal="center"/>
    </xf>
    <xf numFmtId="0" fontId="13" fillId="46" borderId="1" xfId="1" applyFill="1" applyBorder="1" applyAlignment="1" applyProtection="1"/>
    <xf numFmtId="0" fontId="59" fillId="46" borderId="1" xfId="71" applyFont="1" applyFill="1" applyBorder="1" applyAlignment="1">
      <alignment horizontal="center"/>
    </xf>
    <xf numFmtId="0" fontId="11" fillId="46" borderId="1" xfId="71" applyFont="1" applyFill="1" applyBorder="1" applyAlignment="1">
      <alignment horizontal="center"/>
    </xf>
    <xf numFmtId="164" fontId="13" fillId="46" borderId="1" xfId="1" applyNumberFormat="1" applyFill="1" applyBorder="1" applyAlignment="1" applyProtection="1">
      <alignment horizontal="left"/>
    </xf>
    <xf numFmtId="0" fontId="10" fillId="2" borderId="1" xfId="0" applyFont="1" applyFill="1" applyBorder="1" applyAlignment="1">
      <alignment horizontal="center"/>
    </xf>
    <xf numFmtId="0" fontId="37" fillId="6" borderId="1" xfId="0" applyFont="1" applyFill="1" applyBorder="1" applyAlignment="1">
      <alignment horizontal="center"/>
    </xf>
    <xf numFmtId="0" fontId="37" fillId="0" borderId="1" xfId="0" applyFont="1" applyBorder="1" applyAlignment="1">
      <alignment horizontal="center"/>
    </xf>
    <xf numFmtId="0" fontId="49" fillId="46" borderId="1" xfId="0" applyFont="1" applyFill="1" applyBorder="1" applyAlignment="1">
      <alignment horizontal="center"/>
    </xf>
    <xf numFmtId="0" fontId="48" fillId="46" borderId="1" xfId="0" applyFont="1" applyFill="1" applyBorder="1" applyAlignment="1">
      <alignment horizontal="center"/>
    </xf>
    <xf numFmtId="0" fontId="11" fillId="5" borderId="21" xfId="0" applyFont="1" applyFill="1" applyBorder="1" applyAlignment="1">
      <alignment horizontal="center"/>
    </xf>
    <xf numFmtId="0" fontId="61" fillId="41" borderId="1" xfId="0" applyFont="1" applyFill="1" applyBorder="1" applyAlignment="1">
      <alignment horizontal="center"/>
    </xf>
    <xf numFmtId="0" fontId="14" fillId="39" borderId="22" xfId="0" applyFont="1" applyFill="1" applyBorder="1" applyAlignment="1">
      <alignment horizontal="center"/>
    </xf>
    <xf numFmtId="0" fontId="11" fillId="5" borderId="1" xfId="0" quotePrefix="1" applyFont="1" applyFill="1" applyBorder="1" applyAlignment="1">
      <alignment horizontal="center"/>
    </xf>
    <xf numFmtId="0" fontId="1" fillId="4" borderId="5" xfId="71" applyFont="1" applyFill="1" applyBorder="1"/>
    <xf numFmtId="0" fontId="42" fillId="4" borderId="0" xfId="0" applyFont="1" applyFill="1" applyAlignment="1">
      <alignment horizontal="center"/>
    </xf>
    <xf numFmtId="0" fontId="60" fillId="2" borderId="1" xfId="0" applyFont="1" applyFill="1" applyBorder="1" applyAlignment="1">
      <alignment horizontal="center"/>
    </xf>
    <xf numFmtId="2" fontId="10" fillId="6" borderId="0" xfId="0" applyNumberFormat="1" applyFont="1" applyFill="1" applyAlignment="1">
      <alignment horizontal="center"/>
    </xf>
    <xf numFmtId="0" fontId="42" fillId="4" borderId="0" xfId="0" applyFont="1" applyFill="1" applyAlignment="1">
      <alignment horizontal="right"/>
    </xf>
    <xf numFmtId="0" fontId="42" fillId="4" borderId="0" xfId="0" applyFont="1" applyFill="1" applyAlignment="1">
      <alignment horizontal="left"/>
    </xf>
    <xf numFmtId="0" fontId="11" fillId="0" borderId="0" xfId="0" quotePrefix="1" applyFont="1" applyAlignment="1">
      <alignment horizontal="center"/>
    </xf>
    <xf numFmtId="0" fontId="59" fillId="0" borderId="0" xfId="0" quotePrefix="1" applyFont="1" applyAlignment="1">
      <alignment horizontal="center"/>
    </xf>
    <xf numFmtId="0" fontId="62" fillId="2" borderId="0" xfId="0" applyFont="1" applyFill="1" applyAlignment="1">
      <alignment horizontal="right"/>
    </xf>
    <xf numFmtId="0" fontId="11" fillId="46" borderId="1" xfId="0" quotePrefix="1" applyFont="1" applyFill="1" applyBorder="1" applyAlignment="1">
      <alignment horizontal="center"/>
    </xf>
    <xf numFmtId="0" fontId="11" fillId="0" borderId="1" xfId="0" quotePrefix="1" applyFont="1" applyBorder="1" applyAlignment="1">
      <alignment horizontal="center"/>
    </xf>
    <xf numFmtId="0" fontId="14" fillId="39" borderId="2" xfId="0" applyFont="1" applyFill="1" applyBorder="1"/>
    <xf numFmtId="0" fontId="14" fillId="39" borderId="6" xfId="0" applyFont="1" applyFill="1" applyBorder="1"/>
    <xf numFmtId="2" fontId="11" fillId="6" borderId="0" xfId="0" applyNumberFormat="1" applyFont="1" applyFill="1"/>
    <xf numFmtId="2" fontId="11" fillId="6" borderId="1" xfId="1" applyNumberFormat="1" applyFont="1" applyFill="1" applyBorder="1" applyAlignment="1" applyProtection="1">
      <alignment horizontal="center"/>
    </xf>
    <xf numFmtId="0" fontId="37" fillId="0" borderId="1" xfId="0" applyFont="1" applyBorder="1"/>
    <xf numFmtId="164" fontId="37" fillId="6" borderId="1" xfId="0" applyNumberFormat="1" applyFont="1" applyFill="1" applyBorder="1"/>
    <xf numFmtId="0" fontId="11" fillId="41" borderId="1" xfId="0" applyFont="1" applyFill="1" applyBorder="1" applyAlignment="1">
      <alignment horizontal="right" wrapText="1"/>
    </xf>
    <xf numFmtId="1" fontId="11" fillId="6" borderId="1" xfId="0" applyNumberFormat="1" applyFont="1" applyFill="1" applyBorder="1" applyAlignment="1">
      <alignment horizontal="right"/>
    </xf>
    <xf numFmtId="1" fontId="11" fillId="41" borderId="1" xfId="0" applyNumberFormat="1" applyFont="1" applyFill="1" applyBorder="1" applyAlignment="1">
      <alignment horizontal="right"/>
    </xf>
    <xf numFmtId="0" fontId="11" fillId="41" borderId="1" xfId="0" applyFont="1" applyFill="1" applyBorder="1" applyAlignment="1">
      <alignment horizontal="right"/>
    </xf>
    <xf numFmtId="1" fontId="11" fillId="6" borderId="0" xfId="0" applyNumberFormat="1" applyFont="1" applyFill="1" applyAlignment="1">
      <alignment horizontal="right"/>
    </xf>
    <xf numFmtId="164" fontId="37" fillId="5" borderId="1" xfId="0" applyNumberFormat="1" applyFont="1" applyFill="1" applyBorder="1"/>
    <xf numFmtId="164" fontId="37" fillId="46" borderId="1" xfId="0" applyNumberFormat="1" applyFont="1" applyFill="1" applyBorder="1"/>
    <xf numFmtId="0" fontId="59" fillId="6" borderId="0" xfId="0" quotePrefix="1" applyFont="1" applyFill="1" applyAlignment="1">
      <alignment horizontal="center"/>
    </xf>
    <xf numFmtId="0" fontId="11" fillId="6" borderId="0" xfId="0" quotePrefix="1" applyFont="1" applyFill="1" applyAlignment="1">
      <alignment horizontal="center"/>
    </xf>
    <xf numFmtId="1" fontId="11" fillId="47" borderId="1" xfId="1" applyNumberFormat="1" applyFont="1" applyFill="1" applyBorder="1" applyAlignment="1" applyProtection="1">
      <alignment horizontal="right"/>
    </xf>
    <xf numFmtId="1" fontId="11" fillId="47" borderId="1" xfId="1" applyNumberFormat="1" applyFont="1" applyFill="1" applyBorder="1" applyAlignment="1" applyProtection="1">
      <alignment horizontal="center"/>
    </xf>
    <xf numFmtId="2" fontId="37" fillId="39" borderId="21" xfId="0" applyNumberFormat="1" applyFont="1" applyFill="1" applyBorder="1" applyAlignment="1">
      <alignment horizontal="center"/>
    </xf>
    <xf numFmtId="1" fontId="11" fillId="41" borderId="1" xfId="0" quotePrefix="1" applyNumberFormat="1" applyFont="1" applyFill="1" applyBorder="1" applyAlignment="1">
      <alignment horizontal="right"/>
    </xf>
    <xf numFmtId="0" fontId="0" fillId="6" borderId="0" xfId="0" applyFill="1"/>
    <xf numFmtId="0" fontId="11" fillId="40" borderId="8" xfId="0" applyFont="1" applyFill="1" applyBorder="1" applyAlignment="1">
      <alignment horizontal="left"/>
    </xf>
    <xf numFmtId="1" fontId="14" fillId="39" borderId="21" xfId="0" applyNumberFormat="1" applyFont="1" applyFill="1" applyBorder="1" applyAlignment="1">
      <alignment horizontal="center" wrapText="1"/>
    </xf>
    <xf numFmtId="0" fontId="14" fillId="39" borderId="24" xfId="0" applyFont="1" applyFill="1" applyBorder="1" applyAlignment="1">
      <alignment horizontal="center" wrapText="1"/>
    </xf>
    <xf numFmtId="0" fontId="14" fillId="39" borderId="21" xfId="0" applyFont="1" applyFill="1" applyBorder="1" applyAlignment="1">
      <alignment wrapText="1"/>
    </xf>
    <xf numFmtId="0" fontId="11" fillId="5" borderId="1" xfId="71" applyFont="1" applyFill="1" applyBorder="1" applyAlignment="1">
      <alignment horizontal="left"/>
    </xf>
    <xf numFmtId="0" fontId="50" fillId="5" borderId="1" xfId="71" applyFont="1" applyFill="1" applyBorder="1"/>
    <xf numFmtId="0" fontId="50" fillId="46" borderId="1" xfId="71" applyFont="1" applyFill="1" applyBorder="1"/>
    <xf numFmtId="0" fontId="11" fillId="46" borderId="1" xfId="71" applyFont="1" applyFill="1" applyBorder="1" applyAlignment="1">
      <alignment horizontal="left"/>
    </xf>
    <xf numFmtId="0" fontId="50" fillId="0" borderId="1" xfId="71" applyFont="1" applyBorder="1"/>
    <xf numFmtId="0" fontId="11" fillId="0" borderId="1" xfId="71" applyFont="1" applyBorder="1" applyAlignment="1">
      <alignment horizontal="left"/>
    </xf>
    <xf numFmtId="0" fontId="14" fillId="39" borderId="2" xfId="0" applyFont="1" applyFill="1" applyBorder="1" applyAlignment="1">
      <alignment horizontal="center"/>
    </xf>
    <xf numFmtId="1" fontId="14" fillId="39" borderId="22" xfId="0" applyNumberFormat="1" applyFont="1" applyFill="1" applyBorder="1" applyAlignment="1">
      <alignment horizontal="center" wrapText="1"/>
    </xf>
    <xf numFmtId="0" fontId="14" fillId="39" borderId="1" xfId="0" applyFont="1" applyFill="1" applyBorder="1" applyAlignment="1">
      <alignment horizontal="center"/>
    </xf>
    <xf numFmtId="0" fontId="59" fillId="48" borderId="0" xfId="0" applyFont="1" applyFill="1"/>
    <xf numFmtId="0" fontId="59" fillId="48" borderId="0" xfId="0" applyFont="1" applyFill="1" applyAlignment="1">
      <alignment horizontal="center"/>
    </xf>
    <xf numFmtId="14" fontId="35" fillId="48" borderId="0" xfId="0" applyNumberFormat="1" applyFont="1" applyFill="1"/>
    <xf numFmtId="0" fontId="66" fillId="48" borderId="0" xfId="0" applyFont="1" applyFill="1"/>
    <xf numFmtId="0" fontId="59" fillId="0" borderId="0" xfId="0" applyFont="1"/>
    <xf numFmtId="0" fontId="59" fillId="0" borderId="0" xfId="0" applyFont="1" applyAlignment="1">
      <alignment horizontal="center"/>
    </xf>
    <xf numFmtId="0" fontId="66" fillId="0" borderId="0" xfId="0" applyFont="1" applyAlignment="1">
      <alignment horizontal="center"/>
    </xf>
    <xf numFmtId="0" fontId="66" fillId="0" borderId="0" xfId="0" applyFont="1"/>
    <xf numFmtId="0" fontId="68" fillId="0" borderId="0" xfId="0" applyFont="1" applyAlignment="1">
      <alignment horizontal="center"/>
    </xf>
    <xf numFmtId="14" fontId="70" fillId="0" borderId="0" xfId="0" quotePrefix="1" applyNumberFormat="1" applyFont="1" applyAlignment="1">
      <alignment horizontal="center"/>
    </xf>
    <xf numFmtId="0" fontId="70" fillId="0" borderId="0" xfId="0" quotePrefix="1" applyFont="1" applyAlignment="1">
      <alignment horizontal="center"/>
    </xf>
    <xf numFmtId="1" fontId="70" fillId="0" borderId="0" xfId="0" quotePrefix="1" applyNumberFormat="1" applyFont="1" applyAlignment="1">
      <alignment horizontal="center"/>
    </xf>
    <xf numFmtId="0" fontId="66" fillId="48" borderId="0" xfId="0" applyFont="1" applyFill="1" applyAlignment="1">
      <alignment horizontal="center"/>
    </xf>
    <xf numFmtId="0" fontId="70" fillId="0" borderId="0" xfId="0" applyFont="1"/>
    <xf numFmtId="0" fontId="70" fillId="0" borderId="0" xfId="0" applyFont="1" applyAlignment="1">
      <alignment horizontal="center"/>
    </xf>
    <xf numFmtId="0" fontId="59" fillId="0" borderId="0" xfId="0" applyFont="1" applyAlignment="1">
      <alignment vertical="center"/>
    </xf>
    <xf numFmtId="0" fontId="66" fillId="39" borderId="1" xfId="0" applyFont="1" applyFill="1" applyBorder="1" applyAlignment="1">
      <alignment horizontal="center"/>
    </xf>
    <xf numFmtId="167" fontId="59" fillId="0" borderId="0" xfId="0" applyNumberFormat="1" applyFont="1" applyAlignment="1">
      <alignment horizontal="center"/>
    </xf>
    <xf numFmtId="1" fontId="59" fillId="0" borderId="0" xfId="0" applyNumberFormat="1" applyFont="1" applyAlignment="1">
      <alignment horizontal="center"/>
    </xf>
    <xf numFmtId="167" fontId="59" fillId="0" borderId="0" xfId="0" quotePrefix="1" applyNumberFormat="1" applyFont="1" applyAlignment="1">
      <alignment horizontal="center"/>
    </xf>
    <xf numFmtId="0" fontId="78" fillId="0" borderId="0" xfId="0" applyFont="1" applyAlignment="1">
      <alignment horizontal="center"/>
    </xf>
    <xf numFmtId="0" fontId="80" fillId="0" borderId="0" xfId="0" applyFont="1"/>
    <xf numFmtId="0" fontId="59" fillId="0" borderId="0" xfId="71" applyFont="1" applyAlignment="1">
      <alignment horizontal="left"/>
    </xf>
    <xf numFmtId="1" fontId="78" fillId="0" borderId="0" xfId="0" applyNumberFormat="1" applyFont="1" applyAlignment="1">
      <alignment horizontal="center"/>
    </xf>
    <xf numFmtId="0" fontId="59" fillId="0" borderId="0" xfId="71" applyFont="1" applyAlignment="1">
      <alignment horizontal="center"/>
    </xf>
    <xf numFmtId="2" fontId="70" fillId="0" borderId="0" xfId="0" quotePrefix="1" applyNumberFormat="1" applyFont="1" applyAlignment="1">
      <alignment horizontal="center"/>
    </xf>
    <xf numFmtId="2" fontId="70" fillId="0" borderId="0" xfId="71" quotePrefix="1" applyNumberFormat="1" applyFont="1" applyAlignment="1">
      <alignment horizontal="center"/>
    </xf>
    <xf numFmtId="167" fontId="70" fillId="0" borderId="0" xfId="0" quotePrefix="1" applyNumberFormat="1" applyFont="1" applyAlignment="1">
      <alignment horizontal="center"/>
    </xf>
    <xf numFmtId="0" fontId="66" fillId="39" borderId="2" xfId="0" applyFont="1" applyFill="1" applyBorder="1" applyAlignment="1">
      <alignment horizontal="center"/>
    </xf>
    <xf numFmtId="9" fontId="59" fillId="0" borderId="0" xfId="0" applyNumberFormat="1" applyFont="1" applyAlignment="1">
      <alignment horizontal="center"/>
    </xf>
    <xf numFmtId="0" fontId="59" fillId="0" borderId="0" xfId="0" quotePrefix="1" applyFont="1" applyAlignment="1">
      <alignment horizontal="left"/>
    </xf>
    <xf numFmtId="166" fontId="10" fillId="2" borderId="1" xfId="0" applyNumberFormat="1" applyFont="1" applyFill="1" applyBorder="1" applyAlignment="1">
      <alignment horizontal="center"/>
    </xf>
    <xf numFmtId="0" fontId="59" fillId="0" borderId="0" xfId="71" quotePrefix="1" applyFont="1" applyAlignment="1">
      <alignment horizontal="left"/>
    </xf>
    <xf numFmtId="2" fontId="59" fillId="0" borderId="0" xfId="0" quotePrefix="1" applyNumberFormat="1" applyFont="1" applyAlignment="1">
      <alignment horizontal="center"/>
    </xf>
    <xf numFmtId="0" fontId="80" fillId="0" borderId="0" xfId="0" applyFont="1" applyAlignment="1">
      <alignment horizontal="left"/>
    </xf>
    <xf numFmtId="0" fontId="80" fillId="0" borderId="0" xfId="0" applyFont="1" applyAlignment="1">
      <alignment horizontal="center"/>
    </xf>
    <xf numFmtId="167" fontId="70" fillId="0" borderId="0" xfId="0" quotePrefix="1" applyNumberFormat="1" applyFont="1" applyAlignment="1">
      <alignment horizontal="left"/>
    </xf>
    <xf numFmtId="167" fontId="70" fillId="0" borderId="0" xfId="0" applyNumberFormat="1" applyFont="1" applyAlignment="1">
      <alignment horizontal="left"/>
    </xf>
    <xf numFmtId="0" fontId="59" fillId="0" borderId="0" xfId="0" quotePrefix="1" applyFont="1"/>
    <xf numFmtId="1" fontId="59" fillId="0" borderId="0" xfId="0" quotePrefix="1" applyNumberFormat="1" applyFont="1" applyAlignment="1">
      <alignment horizontal="center"/>
    </xf>
    <xf numFmtId="0" fontId="81" fillId="0" borderId="0" xfId="0" applyFont="1" applyAlignment="1">
      <alignment horizontal="center"/>
    </xf>
    <xf numFmtId="167" fontId="59" fillId="0" borderId="0" xfId="0" applyNumberFormat="1" applyFont="1"/>
    <xf numFmtId="0" fontId="66" fillId="5" borderId="1" xfId="0" applyFont="1" applyFill="1" applyBorder="1" applyAlignment="1">
      <alignment horizontal="center"/>
    </xf>
    <xf numFmtId="0" fontId="59" fillId="0" borderId="0" xfId="0" applyFont="1" applyAlignment="1">
      <alignment horizontal="left"/>
    </xf>
    <xf numFmtId="167" fontId="59" fillId="0" borderId="0" xfId="0" quotePrefix="1" applyNumberFormat="1" applyFont="1" applyAlignment="1">
      <alignment horizontal="left"/>
    </xf>
    <xf numFmtId="0" fontId="80" fillId="0" borderId="0" xfId="0" quotePrefix="1" applyFont="1"/>
    <xf numFmtId="167" fontId="59" fillId="0" borderId="0" xfId="0" applyNumberFormat="1" applyFont="1" applyAlignment="1">
      <alignment horizontal="left"/>
    </xf>
    <xf numFmtId="0" fontId="66" fillId="0" borderId="0" xfId="0" applyFont="1" applyAlignment="1">
      <alignment horizontal="left"/>
    </xf>
    <xf numFmtId="0" fontId="59" fillId="5" borderId="0" xfId="0" applyFont="1" applyFill="1"/>
    <xf numFmtId="0" fontId="59" fillId="39" borderId="0" xfId="0" applyFont="1" applyFill="1"/>
    <xf numFmtId="0" fontId="36" fillId="6" borderId="0" xfId="0" applyFont="1" applyFill="1" applyAlignment="1">
      <alignment horizontal="center"/>
    </xf>
    <xf numFmtId="0" fontId="48" fillId="0" borderId="1" xfId="0" applyFont="1" applyBorder="1" applyAlignment="1">
      <alignment horizontal="center" wrapText="1"/>
    </xf>
    <xf numFmtId="0" fontId="48" fillId="46" borderId="1" xfId="0" applyFont="1" applyFill="1" applyBorder="1" applyAlignment="1">
      <alignment horizontal="center" wrapText="1"/>
    </xf>
    <xf numFmtId="0" fontId="11" fillId="5" borderId="1" xfId="0" quotePrefix="1" applyFont="1" applyFill="1" applyBorder="1" applyAlignment="1">
      <alignment horizontal="right" wrapText="1"/>
    </xf>
    <xf numFmtId="1" fontId="11" fillId="0" borderId="1" xfId="0" quotePrefix="1" applyNumberFormat="1" applyFont="1" applyBorder="1" applyAlignment="1">
      <alignment horizontal="right"/>
    </xf>
    <xf numFmtId="9" fontId="37" fillId="6" borderId="1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/>
    </xf>
    <xf numFmtId="0" fontId="10" fillId="46" borderId="1" xfId="0" applyFont="1" applyFill="1" applyBorder="1" applyAlignment="1">
      <alignment horizontal="center"/>
    </xf>
    <xf numFmtId="0" fontId="65" fillId="6" borderId="2" xfId="0" applyFont="1" applyFill="1" applyBorder="1" applyAlignment="1">
      <alignment horizontal="center"/>
    </xf>
    <xf numFmtId="0" fontId="13" fillId="5" borderId="1" xfId="1" quotePrefix="1" applyFill="1" applyBorder="1" applyAlignment="1" applyProtection="1">
      <alignment horizontal="left"/>
    </xf>
    <xf numFmtId="0" fontId="11" fillId="6" borderId="0" xfId="0" applyFont="1" applyFill="1" applyAlignment="1">
      <alignment horizontal="left"/>
    </xf>
    <xf numFmtId="0" fontId="11" fillId="7" borderId="21" xfId="0" applyFont="1" applyFill="1" applyBorder="1" applyAlignment="1">
      <alignment horizontal="center"/>
    </xf>
    <xf numFmtId="0" fontId="14" fillId="43" borderId="1" xfId="0" applyFont="1" applyFill="1" applyBorder="1" applyAlignment="1">
      <alignment horizontal="center" vertical="center" wrapText="1"/>
    </xf>
    <xf numFmtId="0" fontId="14" fillId="4" borderId="22" xfId="0" applyFont="1" applyFill="1" applyBorder="1" applyAlignment="1">
      <alignment horizontal="center"/>
    </xf>
    <xf numFmtId="0" fontId="36" fillId="4" borderId="20" xfId="0" applyFont="1" applyFill="1" applyBorder="1" applyAlignment="1">
      <alignment horizontal="center"/>
    </xf>
    <xf numFmtId="1" fontId="36" fillId="4" borderId="19" xfId="0" applyNumberFormat="1" applyFont="1" applyFill="1" applyBorder="1" applyAlignment="1">
      <alignment horizontal="center"/>
    </xf>
    <xf numFmtId="0" fontId="36" fillId="4" borderId="17" xfId="0" applyFont="1" applyFill="1" applyBorder="1" applyAlignment="1">
      <alignment horizontal="center"/>
    </xf>
    <xf numFmtId="164" fontId="40" fillId="6" borderId="18" xfId="0" applyNumberFormat="1" applyFont="1" applyFill="1" applyBorder="1"/>
    <xf numFmtId="164" fontId="40" fillId="6" borderId="0" xfId="0" applyNumberFormat="1" applyFont="1" applyFill="1"/>
    <xf numFmtId="1" fontId="40" fillId="6" borderId="0" xfId="0" applyNumberFormat="1" applyFont="1" applyFill="1"/>
    <xf numFmtId="164" fontId="11" fillId="6" borderId="0" xfId="0" applyNumberFormat="1" applyFont="1" applyFill="1" applyAlignment="1">
      <alignment horizontal="center"/>
    </xf>
    <xf numFmtId="164" fontId="15" fillId="6" borderId="0" xfId="0" applyNumberFormat="1" applyFont="1" applyFill="1" applyAlignment="1">
      <alignment horizontal="center"/>
    </xf>
    <xf numFmtId="164" fontId="15" fillId="6" borderId="0" xfId="0" applyNumberFormat="1" applyFont="1" applyFill="1"/>
    <xf numFmtId="1" fontId="36" fillId="4" borderId="4" xfId="0" applyNumberFormat="1" applyFont="1" applyFill="1" applyBorder="1" applyAlignment="1">
      <alignment horizontal="center"/>
    </xf>
    <xf numFmtId="1" fontId="14" fillId="4" borderId="4" xfId="0" applyNumberFormat="1" applyFont="1" applyFill="1" applyBorder="1" applyAlignment="1">
      <alignment horizontal="center"/>
    </xf>
    <xf numFmtId="0" fontId="36" fillId="4" borderId="17" xfId="0" applyFont="1" applyFill="1" applyBorder="1" applyAlignment="1">
      <alignment horizontal="center" vertical="center"/>
    </xf>
    <xf numFmtId="0" fontId="36" fillId="6" borderId="0" xfId="0" applyFont="1" applyFill="1" applyAlignment="1">
      <alignment horizontal="center" vertical="center"/>
    </xf>
    <xf numFmtId="0" fontId="62" fillId="39" borderId="1" xfId="0" applyFont="1" applyFill="1" applyBorder="1" applyAlignment="1">
      <alignment horizontal="center" vertical="center"/>
    </xf>
    <xf numFmtId="0" fontId="14" fillId="39" borderId="1" xfId="0" applyFont="1" applyFill="1" applyBorder="1" applyAlignment="1">
      <alignment horizontal="center" vertical="center"/>
    </xf>
    <xf numFmtId="0" fontId="14" fillId="39" borderId="2" xfId="0" applyFont="1" applyFill="1" applyBorder="1" applyAlignment="1">
      <alignment horizontal="center" vertical="center"/>
    </xf>
    <xf numFmtId="165" fontId="14" fillId="39" borderId="1" xfId="0" applyNumberFormat="1" applyFont="1" applyFill="1" applyBorder="1" applyAlignment="1">
      <alignment horizontal="center" vertical="center"/>
    </xf>
    <xf numFmtId="0" fontId="14" fillId="39" borderId="21" xfId="0" applyFont="1" applyFill="1" applyBorder="1" applyAlignment="1">
      <alignment horizontal="center" vertical="center"/>
    </xf>
    <xf numFmtId="0" fontId="14" fillId="39" borderId="1" xfId="0" applyFont="1" applyFill="1" applyBorder="1" applyAlignment="1">
      <alignment horizontal="center" vertical="center" wrapText="1"/>
    </xf>
    <xf numFmtId="0" fontId="36" fillId="4" borderId="20" xfId="0" applyFont="1" applyFill="1" applyBorder="1" applyAlignment="1">
      <alignment horizontal="center" vertical="center"/>
    </xf>
    <xf numFmtId="0" fontId="14" fillId="6" borderId="0" xfId="0" applyFont="1" applyFill="1" applyAlignment="1">
      <alignment horizontal="center" vertical="center"/>
    </xf>
    <xf numFmtId="1" fontId="14" fillId="39" borderId="1" xfId="1" applyNumberFormat="1" applyFont="1" applyFill="1" applyBorder="1" applyAlignment="1" applyProtection="1">
      <alignment horizontal="center" vertical="center"/>
    </xf>
    <xf numFmtId="164" fontId="14" fillId="39" borderId="1" xfId="0" applyNumberFormat="1" applyFont="1" applyFill="1" applyBorder="1" applyAlignment="1">
      <alignment horizontal="center" vertical="center"/>
    </xf>
    <xf numFmtId="0" fontId="14" fillId="5" borderId="21" xfId="0" applyFont="1" applyFill="1" applyBorder="1" applyAlignment="1">
      <alignment horizontal="center" vertical="center"/>
    </xf>
    <xf numFmtId="0" fontId="11" fillId="6" borderId="0" xfId="0" applyFont="1" applyFill="1" applyAlignment="1">
      <alignment horizontal="center" vertical="center"/>
    </xf>
    <xf numFmtId="0" fontId="37" fillId="6" borderId="0" xfId="0" applyFont="1" applyFill="1" applyAlignment="1">
      <alignment horizontal="center" vertical="center"/>
    </xf>
    <xf numFmtId="0" fontId="37" fillId="0" borderId="0" xfId="0" applyFont="1" applyAlignment="1">
      <alignment horizontal="center" vertical="center"/>
    </xf>
    <xf numFmtId="1" fontId="11" fillId="7" borderId="21" xfId="0" applyNumberFormat="1" applyFont="1" applyFill="1" applyBorder="1" applyAlignment="1">
      <alignment horizontal="center"/>
    </xf>
    <xf numFmtId="165" fontId="58" fillId="6" borderId="0" xfId="0" applyNumberFormat="1" applyFont="1" applyFill="1" applyAlignment="1">
      <alignment horizontal="center"/>
    </xf>
    <xf numFmtId="0" fontId="60" fillId="2" borderId="0" xfId="0" applyFont="1" applyFill="1" applyAlignment="1">
      <alignment horizontal="center"/>
    </xf>
    <xf numFmtId="0" fontId="12" fillId="3" borderId="3" xfId="0" applyFont="1" applyFill="1" applyBorder="1" applyAlignment="1">
      <alignment horizontal="center" wrapText="1"/>
    </xf>
    <xf numFmtId="0" fontId="12" fillId="3" borderId="19" xfId="0" applyFont="1" applyFill="1" applyBorder="1" applyAlignment="1">
      <alignment horizontal="center" wrapText="1"/>
    </xf>
    <xf numFmtId="0" fontId="42" fillId="4" borderId="8" xfId="0" applyFont="1" applyFill="1" applyBorder="1" applyAlignment="1">
      <alignment horizontal="center"/>
    </xf>
    <xf numFmtId="0" fontId="42" fillId="4" borderId="3" xfId="0" applyFont="1" applyFill="1" applyBorder="1" applyAlignment="1">
      <alignment horizontal="center"/>
    </xf>
    <xf numFmtId="0" fontId="42" fillId="4" borderId="3" xfId="0" applyFont="1" applyFill="1" applyBorder="1"/>
    <xf numFmtId="0" fontId="42" fillId="4" borderId="3" xfId="0" applyFont="1" applyFill="1" applyBorder="1" applyAlignment="1">
      <alignment horizontal="right"/>
    </xf>
    <xf numFmtId="0" fontId="42" fillId="4" borderId="18" xfId="0" applyFont="1" applyFill="1" applyBorder="1" applyAlignment="1">
      <alignment horizontal="center"/>
    </xf>
    <xf numFmtId="0" fontId="42" fillId="4" borderId="5" xfId="0" applyFont="1" applyFill="1" applyBorder="1" applyAlignment="1">
      <alignment horizontal="center"/>
    </xf>
    <xf numFmtId="0" fontId="42" fillId="4" borderId="5" xfId="0" applyFont="1" applyFill="1" applyBorder="1"/>
    <xf numFmtId="0" fontId="42" fillId="4" borderId="5" xfId="0" applyFont="1" applyFill="1" applyBorder="1" applyAlignment="1">
      <alignment horizontal="left"/>
    </xf>
    <xf numFmtId="164" fontId="11" fillId="6" borderId="0" xfId="0" applyNumberFormat="1" applyFont="1" applyFill="1" applyAlignment="1">
      <alignment horizontal="left" vertical="center"/>
    </xf>
    <xf numFmtId="0" fontId="37" fillId="40" borderId="3" xfId="0" applyFont="1" applyFill="1" applyBorder="1"/>
    <xf numFmtId="0" fontId="11" fillId="40" borderId="3" xfId="0" applyFont="1" applyFill="1" applyBorder="1" applyAlignment="1">
      <alignment horizontal="left"/>
    </xf>
    <xf numFmtId="0" fontId="11" fillId="40" borderId="3" xfId="0" applyFont="1" applyFill="1" applyBorder="1"/>
    <xf numFmtId="0" fontId="14" fillId="39" borderId="19" xfId="0" applyFont="1" applyFill="1" applyBorder="1" applyAlignment="1">
      <alignment horizontal="center"/>
    </xf>
    <xf numFmtId="0" fontId="60" fillId="5" borderId="21" xfId="0" applyFont="1" applyFill="1" applyBorder="1" applyAlignment="1">
      <alignment horizontal="center"/>
    </xf>
    <xf numFmtId="1" fontId="10" fillId="2" borderId="21" xfId="0" applyNumberFormat="1" applyFont="1" applyFill="1" applyBorder="1" applyAlignment="1">
      <alignment horizontal="center"/>
    </xf>
    <xf numFmtId="1" fontId="37" fillId="6" borderId="1" xfId="0" applyNumberFormat="1" applyFont="1" applyFill="1" applyBorder="1" applyAlignment="1">
      <alignment horizontal="center" vertical="center"/>
    </xf>
    <xf numFmtId="1" fontId="11" fillId="7" borderId="1" xfId="0" applyNumberFormat="1" applyFont="1" applyFill="1" applyBorder="1" applyAlignment="1">
      <alignment horizontal="center"/>
    </xf>
    <xf numFmtId="0" fontId="60" fillId="2" borderId="0" xfId="0" applyFont="1" applyFill="1" applyAlignment="1">
      <alignment horizontal="left"/>
    </xf>
    <xf numFmtId="0" fontId="37" fillId="0" borderId="20" xfId="0" applyFont="1" applyBorder="1" applyAlignment="1">
      <alignment horizontal="center"/>
    </xf>
    <xf numFmtId="0" fontId="84" fillId="39" borderId="2" xfId="0" applyFont="1" applyFill="1" applyBorder="1" applyAlignment="1">
      <alignment horizontal="center"/>
    </xf>
    <xf numFmtId="0" fontId="84" fillId="39" borderId="4" xfId="0" applyFont="1" applyFill="1" applyBorder="1" applyAlignment="1">
      <alignment horizontal="center"/>
    </xf>
    <xf numFmtId="0" fontId="84" fillId="39" borderId="6" xfId="0" applyFont="1" applyFill="1" applyBorder="1" applyAlignment="1">
      <alignment horizontal="center"/>
    </xf>
    <xf numFmtId="0" fontId="14" fillId="5" borderId="2" xfId="0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/>
    </xf>
    <xf numFmtId="0" fontId="14" fillId="5" borderId="19" xfId="0" applyFont="1" applyFill="1" applyBorder="1" applyAlignment="1">
      <alignment horizontal="center"/>
    </xf>
    <xf numFmtId="0" fontId="64" fillId="4" borderId="3" xfId="0" applyFont="1" applyFill="1" applyBorder="1" applyAlignment="1">
      <alignment horizontal="center"/>
    </xf>
    <xf numFmtId="0" fontId="64" fillId="4" borderId="0" xfId="0" applyFont="1" applyFill="1" applyAlignment="1">
      <alignment horizontal="center"/>
    </xf>
    <xf numFmtId="0" fontId="11" fillId="7" borderId="1" xfId="0" applyFont="1" applyFill="1" applyBorder="1" applyAlignment="1">
      <alignment horizontal="left" indent="1"/>
    </xf>
    <xf numFmtId="0" fontId="14" fillId="39" borderId="4" xfId="0" applyFont="1" applyFill="1" applyBorder="1" applyAlignment="1">
      <alignment horizontal="center"/>
    </xf>
    <xf numFmtId="0" fontId="14" fillId="39" borderId="6" xfId="0" applyFont="1" applyFill="1" applyBorder="1" applyAlignment="1">
      <alignment horizontal="center"/>
    </xf>
    <xf numFmtId="0" fontId="14" fillId="39" borderId="2" xfId="0" applyFont="1" applyFill="1" applyBorder="1" applyAlignment="1">
      <alignment horizontal="center"/>
    </xf>
    <xf numFmtId="0" fontId="63" fillId="3" borderId="8" xfId="0" applyFont="1" applyFill="1" applyBorder="1" applyAlignment="1">
      <alignment horizontal="center" wrapText="1"/>
    </xf>
    <xf numFmtId="0" fontId="63" fillId="3" borderId="3" xfId="0" applyFont="1" applyFill="1" applyBorder="1" applyAlignment="1">
      <alignment horizontal="center" wrapText="1"/>
    </xf>
    <xf numFmtId="0" fontId="14" fillId="6" borderId="23" xfId="0" applyFont="1" applyFill="1" applyBorder="1" applyAlignment="1">
      <alignment horizontal="center"/>
    </xf>
    <xf numFmtId="0" fontId="14" fillId="6" borderId="5" xfId="0" applyFont="1" applyFill="1" applyBorder="1" applyAlignment="1">
      <alignment horizontal="center"/>
    </xf>
    <xf numFmtId="0" fontId="14" fillId="6" borderId="22" xfId="0" applyFont="1" applyFill="1" applyBorder="1" applyAlignment="1">
      <alignment horizontal="center"/>
    </xf>
    <xf numFmtId="0" fontId="43" fillId="7" borderId="23" xfId="1" applyFont="1" applyFill="1" applyBorder="1" applyAlignment="1" applyProtection="1">
      <alignment horizontal="center"/>
    </xf>
    <xf numFmtId="0" fontId="43" fillId="7" borderId="5" xfId="1" applyFont="1" applyFill="1" applyBorder="1" applyAlignment="1" applyProtection="1">
      <alignment horizontal="center"/>
    </xf>
    <xf numFmtId="0" fontId="64" fillId="4" borderId="5" xfId="0" applyFont="1" applyFill="1" applyBorder="1" applyAlignment="1">
      <alignment horizontal="center"/>
    </xf>
    <xf numFmtId="0" fontId="43" fillId="7" borderId="2" xfId="1" applyFont="1" applyFill="1" applyBorder="1" applyAlignment="1" applyProtection="1">
      <alignment horizontal="center"/>
    </xf>
    <xf numFmtId="0" fontId="43" fillId="7" borderId="4" xfId="1" applyFont="1" applyFill="1" applyBorder="1" applyAlignment="1" applyProtection="1">
      <alignment horizontal="center"/>
    </xf>
    <xf numFmtId="1" fontId="14" fillId="39" borderId="8" xfId="0" applyNumberFormat="1" applyFont="1" applyFill="1" applyBorder="1" applyAlignment="1">
      <alignment horizontal="center" wrapText="1"/>
    </xf>
    <xf numFmtId="1" fontId="14" fillId="39" borderId="19" xfId="0" applyNumberFormat="1" applyFont="1" applyFill="1" applyBorder="1" applyAlignment="1">
      <alignment horizontal="center" wrapText="1"/>
    </xf>
    <xf numFmtId="0" fontId="11" fillId="7" borderId="8" xfId="0" applyFont="1" applyFill="1" applyBorder="1" applyAlignment="1">
      <alignment horizontal="center"/>
    </xf>
    <xf numFmtId="0" fontId="11" fillId="7" borderId="3" xfId="0" applyFont="1" applyFill="1" applyBorder="1" applyAlignment="1">
      <alignment horizontal="center"/>
    </xf>
    <xf numFmtId="0" fontId="11" fillId="7" borderId="6" xfId="0" applyFont="1" applyFill="1" applyBorder="1" applyAlignment="1">
      <alignment horizontal="center"/>
    </xf>
    <xf numFmtId="0" fontId="46" fillId="7" borderId="2" xfId="0" applyFont="1" applyFill="1" applyBorder="1" applyAlignment="1">
      <alignment horizontal="center"/>
    </xf>
    <xf numFmtId="0" fontId="46" fillId="7" borderId="4" xfId="0" applyFont="1" applyFill="1" applyBorder="1" applyAlignment="1">
      <alignment horizontal="center"/>
    </xf>
    <xf numFmtId="0" fontId="46" fillId="7" borderId="6" xfId="0" applyFont="1" applyFill="1" applyBorder="1" applyAlignment="1">
      <alignment horizontal="center"/>
    </xf>
    <xf numFmtId="0" fontId="11" fillId="7" borderId="2" xfId="0" applyFont="1" applyFill="1" applyBorder="1" applyAlignment="1">
      <alignment horizontal="left" indent="1"/>
    </xf>
    <xf numFmtId="0" fontId="11" fillId="7" borderId="4" xfId="0" applyFont="1" applyFill="1" applyBorder="1" applyAlignment="1">
      <alignment horizontal="left" indent="1"/>
    </xf>
    <xf numFmtId="0" fontId="11" fillId="7" borderId="6" xfId="0" applyFont="1" applyFill="1" applyBorder="1" applyAlignment="1">
      <alignment horizontal="left" indent="1"/>
    </xf>
    <xf numFmtId="0" fontId="44" fillId="7" borderId="5" xfId="1" applyFont="1" applyFill="1" applyBorder="1" applyAlignment="1" applyProtection="1">
      <alignment horizontal="center"/>
    </xf>
    <xf numFmtId="0" fontId="44" fillId="7" borderId="22" xfId="1" applyFont="1" applyFill="1" applyBorder="1" applyAlignment="1" applyProtection="1">
      <alignment horizontal="center"/>
    </xf>
    <xf numFmtId="0" fontId="14" fillId="40" borderId="18" xfId="0" applyFont="1" applyFill="1" applyBorder="1" applyAlignment="1">
      <alignment horizontal="center"/>
    </xf>
    <xf numFmtId="0" fontId="14" fillId="40" borderId="0" xfId="0" applyFont="1" applyFill="1" applyAlignment="1">
      <alignment horizontal="center"/>
    </xf>
    <xf numFmtId="0" fontId="14" fillId="45" borderId="18" xfId="0" applyFont="1" applyFill="1" applyBorder="1" applyAlignment="1">
      <alignment horizontal="center"/>
    </xf>
    <xf numFmtId="0" fontId="14" fillId="45" borderId="0" xfId="0" applyFont="1" applyFill="1" applyAlignment="1">
      <alignment horizontal="center"/>
    </xf>
    <xf numFmtId="0" fontId="14" fillId="45" borderId="17" xfId="0" applyFont="1" applyFill="1" applyBorder="1" applyAlignment="1">
      <alignment horizontal="center"/>
    </xf>
    <xf numFmtId="0" fontId="14" fillId="44" borderId="18" xfId="0" applyFont="1" applyFill="1" applyBorder="1" applyAlignment="1">
      <alignment horizontal="center"/>
    </xf>
    <xf numFmtId="0" fontId="14" fillId="44" borderId="0" xfId="0" applyFont="1" applyFill="1" applyAlignment="1">
      <alignment horizontal="center"/>
    </xf>
    <xf numFmtId="0" fontId="14" fillId="39" borderId="1" xfId="0" applyFont="1" applyFill="1" applyBorder="1" applyAlignment="1">
      <alignment horizontal="center"/>
    </xf>
    <xf numFmtId="0" fontId="14" fillId="39" borderId="2" xfId="0" quotePrefix="1" applyFont="1" applyFill="1" applyBorder="1" applyAlignment="1">
      <alignment horizontal="center"/>
    </xf>
    <xf numFmtId="0" fontId="14" fillId="39" borderId="4" xfId="0" quotePrefix="1" applyFont="1" applyFill="1" applyBorder="1" applyAlignment="1">
      <alignment horizontal="center"/>
    </xf>
    <xf numFmtId="0" fontId="14" fillId="39" borderId="6" xfId="0" quotePrefix="1" applyFont="1" applyFill="1" applyBorder="1" applyAlignment="1">
      <alignment horizontal="center"/>
    </xf>
    <xf numFmtId="164" fontId="14" fillId="39" borderId="2" xfId="0" applyNumberFormat="1" applyFont="1" applyFill="1" applyBorder="1" applyAlignment="1">
      <alignment horizontal="center"/>
    </xf>
    <xf numFmtId="164" fontId="14" fillId="39" borderId="4" xfId="0" applyNumberFormat="1" applyFont="1" applyFill="1" applyBorder="1" applyAlignment="1">
      <alignment horizontal="center"/>
    </xf>
    <xf numFmtId="164" fontId="14" fillId="39" borderId="6" xfId="0" applyNumberFormat="1" applyFont="1" applyFill="1" applyBorder="1" applyAlignment="1">
      <alignment horizontal="center"/>
    </xf>
    <xf numFmtId="1" fontId="11" fillId="5" borderId="2" xfId="1" applyNumberFormat="1" applyFont="1" applyFill="1" applyBorder="1" applyAlignment="1" applyProtection="1">
      <alignment horizontal="center"/>
    </xf>
    <xf numFmtId="1" fontId="11" fillId="5" borderId="4" xfId="1" applyNumberFormat="1" applyFont="1" applyFill="1" applyBorder="1" applyAlignment="1" applyProtection="1">
      <alignment horizontal="center"/>
    </xf>
    <xf numFmtId="1" fontId="11" fillId="5" borderId="6" xfId="1" applyNumberFormat="1" applyFont="1" applyFill="1" applyBorder="1" applyAlignment="1" applyProtection="1">
      <alignment horizontal="center"/>
    </xf>
    <xf numFmtId="0" fontId="14" fillId="39" borderId="4" xfId="0" applyFont="1" applyFill="1" applyBorder="1" applyAlignment="1">
      <alignment horizontal="center" wrapText="1"/>
    </xf>
    <xf numFmtId="1" fontId="14" fillId="39" borderId="23" xfId="0" applyNumberFormat="1" applyFont="1" applyFill="1" applyBorder="1" applyAlignment="1">
      <alignment horizontal="center" wrapText="1"/>
    </xf>
    <xf numFmtId="1" fontId="14" fillId="39" borderId="22" xfId="0" applyNumberFormat="1" applyFont="1" applyFill="1" applyBorder="1" applyAlignment="1">
      <alignment horizontal="center" wrapText="1"/>
    </xf>
    <xf numFmtId="0" fontId="73" fillId="5" borderId="2" xfId="0" applyFont="1" applyFill="1" applyBorder="1" applyAlignment="1">
      <alignment horizontal="center"/>
    </xf>
    <xf numFmtId="0" fontId="73" fillId="5" borderId="4" xfId="0" applyFont="1" applyFill="1" applyBorder="1" applyAlignment="1">
      <alignment horizontal="center"/>
    </xf>
    <xf numFmtId="0" fontId="73" fillId="5" borderId="6" xfId="0" applyFont="1" applyFill="1" applyBorder="1" applyAlignment="1">
      <alignment horizontal="center"/>
    </xf>
    <xf numFmtId="0" fontId="66" fillId="5" borderId="2" xfId="0" applyFont="1" applyFill="1" applyBorder="1" applyAlignment="1">
      <alignment horizontal="center"/>
    </xf>
    <xf numFmtId="0" fontId="66" fillId="5" borderId="6" xfId="0" applyFont="1" applyFill="1" applyBorder="1" applyAlignment="1">
      <alignment horizontal="center"/>
    </xf>
    <xf numFmtId="0" fontId="66" fillId="39" borderId="2" xfId="0" applyFont="1" applyFill="1" applyBorder="1" applyAlignment="1">
      <alignment horizontal="center"/>
    </xf>
    <xf numFmtId="0" fontId="66" fillId="39" borderId="6" xfId="0" applyFont="1" applyFill="1" applyBorder="1" applyAlignment="1">
      <alignment horizontal="center"/>
    </xf>
    <xf numFmtId="0" fontId="67" fillId="48" borderId="2" xfId="0" applyFont="1" applyFill="1" applyBorder="1" applyAlignment="1">
      <alignment horizontal="center"/>
    </xf>
    <xf numFmtId="0" fontId="67" fillId="48" borderId="4" xfId="0" applyFont="1" applyFill="1" applyBorder="1" applyAlignment="1">
      <alignment horizontal="center"/>
    </xf>
    <xf numFmtId="0" fontId="67" fillId="48" borderId="6" xfId="0" applyFont="1" applyFill="1" applyBorder="1" applyAlignment="1">
      <alignment horizontal="center"/>
    </xf>
    <xf numFmtId="0" fontId="59" fillId="39" borderId="2" xfId="0" applyFont="1" applyFill="1" applyBorder="1" applyAlignment="1">
      <alignment horizontal="center"/>
    </xf>
    <xf numFmtId="0" fontId="59" fillId="39" borderId="4" xfId="0" applyFont="1" applyFill="1" applyBorder="1" applyAlignment="1">
      <alignment horizontal="center"/>
    </xf>
    <xf numFmtId="0" fontId="59" fillId="39" borderId="6" xfId="0" applyFont="1" applyFill="1" applyBorder="1" applyAlignment="1">
      <alignment horizontal="center"/>
    </xf>
    <xf numFmtId="0" fontId="73" fillId="39" borderId="2" xfId="0" applyFont="1" applyFill="1" applyBorder="1" applyAlignment="1">
      <alignment horizontal="center" wrapText="1"/>
    </xf>
    <xf numFmtId="0" fontId="73" fillId="39" borderId="4" xfId="0" applyFont="1" applyFill="1" applyBorder="1" applyAlignment="1">
      <alignment horizontal="center"/>
    </xf>
    <xf numFmtId="0" fontId="73" fillId="39" borderId="6" xfId="0" applyFont="1" applyFill="1" applyBorder="1" applyAlignment="1">
      <alignment horizontal="center"/>
    </xf>
    <xf numFmtId="0" fontId="66" fillId="39" borderId="4" xfId="0" applyFont="1" applyFill="1" applyBorder="1" applyAlignment="1">
      <alignment horizontal="center"/>
    </xf>
    <xf numFmtId="0" fontId="14" fillId="43" borderId="24" xfId="0" applyFont="1" applyFill="1" applyBorder="1" applyAlignment="1">
      <alignment horizontal="center" vertical="center" wrapText="1"/>
    </xf>
    <xf numFmtId="0" fontId="14" fillId="43" borderId="20" xfId="0" applyFont="1" applyFill="1" applyBorder="1" applyAlignment="1">
      <alignment horizontal="center" vertical="center" wrapText="1"/>
    </xf>
    <xf numFmtId="0" fontId="46" fillId="7" borderId="3" xfId="0" applyFont="1" applyFill="1" applyBorder="1" applyAlignment="1">
      <alignment horizontal="center"/>
    </xf>
    <xf numFmtId="0" fontId="13" fillId="7" borderId="8" xfId="1" applyFill="1" applyBorder="1" applyAlignment="1" applyProtection="1"/>
    <xf numFmtId="0" fontId="13" fillId="7" borderId="3" xfId="1" applyFill="1" applyBorder="1" applyAlignment="1" applyProtection="1"/>
    <xf numFmtId="0" fontId="13" fillId="7" borderId="19" xfId="1" applyFill="1" applyBorder="1" applyAlignment="1" applyProtection="1"/>
    <xf numFmtId="0" fontId="0" fillId="0" borderId="1" xfId="0" applyBorder="1"/>
    <xf numFmtId="0" fontId="11" fillId="5" borderId="1" xfId="1" applyFont="1" applyFill="1" applyBorder="1" applyAlignment="1" applyProtection="1">
      <alignment horizontal="center"/>
    </xf>
    <xf numFmtId="0" fontId="11" fillId="5" borderId="1" xfId="1" applyFont="1" applyFill="1" applyBorder="1" applyAlignment="1" applyProtection="1">
      <alignment horizontal="left"/>
    </xf>
    <xf numFmtId="0" fontId="11" fillId="5" borderId="1" xfId="1" applyFont="1" applyFill="1" applyBorder="1" applyAlignment="1" applyProtection="1"/>
    <xf numFmtId="0" fontId="11" fillId="5" borderId="1" xfId="18" applyFont="1" applyFill="1" applyBorder="1" applyAlignment="1">
      <alignment horizontal="left"/>
    </xf>
    <xf numFmtId="49" fontId="11" fillId="5" borderId="1" xfId="18" applyNumberFormat="1" applyFont="1" applyFill="1" applyBorder="1" applyAlignment="1">
      <alignment horizontal="left"/>
    </xf>
    <xf numFmtId="0" fontId="83" fillId="5" borderId="1" xfId="1" applyFont="1" applyFill="1" applyBorder="1" applyAlignment="1" applyProtection="1">
      <alignment horizontal="center"/>
    </xf>
    <xf numFmtId="0" fontId="11" fillId="46" borderId="1" xfId="1" applyFont="1" applyFill="1" applyBorder="1" applyAlignment="1" applyProtection="1">
      <alignment horizontal="center"/>
    </xf>
    <xf numFmtId="0" fontId="11" fillId="46" borderId="1" xfId="18" applyFont="1" applyFill="1" applyBorder="1" applyAlignment="1">
      <alignment horizontal="left"/>
    </xf>
    <xf numFmtId="0" fontId="11" fillId="46" borderId="1" xfId="1" applyFont="1" applyFill="1" applyBorder="1" applyAlignment="1" applyProtection="1"/>
    <xf numFmtId="0" fontId="11" fillId="46" borderId="1" xfId="1" applyFont="1" applyFill="1" applyBorder="1" applyAlignment="1" applyProtection="1">
      <alignment horizontal="left"/>
    </xf>
    <xf numFmtId="0" fontId="11" fillId="46" borderId="1" xfId="1" applyFont="1" applyFill="1" applyBorder="1" applyAlignment="1" applyProtection="1">
      <alignment vertical="center"/>
    </xf>
    <xf numFmtId="0" fontId="11" fillId="46" borderId="1" xfId="1" applyFont="1" applyFill="1" applyBorder="1" applyAlignment="1" applyProtection="1">
      <alignment wrapText="1"/>
    </xf>
    <xf numFmtId="0" fontId="10" fillId="0" borderId="1" xfId="0" applyFont="1" applyBorder="1" applyAlignment="1">
      <alignment horizontal="center"/>
    </xf>
    <xf numFmtId="0" fontId="11" fillId="0" borderId="1" xfId="1" applyFont="1" applyBorder="1" applyAlignment="1" applyProtection="1">
      <alignment horizontal="center"/>
    </xf>
    <xf numFmtId="0" fontId="11" fillId="0" borderId="1" xfId="1" applyFont="1" applyBorder="1" applyAlignment="1">
      <alignment horizontal="left"/>
      <protection locked="0"/>
    </xf>
    <xf numFmtId="0" fontId="11" fillId="0" borderId="1" xfId="1" applyFont="1" applyBorder="1" applyAlignment="1" applyProtection="1"/>
    <xf numFmtId="0" fontId="11" fillId="0" borderId="1" xfId="1" applyFont="1" applyBorder="1" applyAlignment="1" applyProtection="1">
      <alignment horizontal="left"/>
    </xf>
    <xf numFmtId="0" fontId="11" fillId="0" borderId="1" xfId="18" applyFont="1" applyFill="1" applyBorder="1" applyAlignment="1">
      <alignment horizontal="left"/>
    </xf>
    <xf numFmtId="0" fontId="10" fillId="2" borderId="24" xfId="0" applyFont="1" applyFill="1" applyBorder="1" applyAlignment="1">
      <alignment horizontal="center"/>
    </xf>
    <xf numFmtId="0" fontId="37" fillId="0" borderId="24" xfId="0" applyFont="1" applyBorder="1" applyAlignment="1">
      <alignment horizontal="center"/>
    </xf>
    <xf numFmtId="0" fontId="37" fillId="6" borderId="24" xfId="0" applyFont="1" applyFill="1" applyBorder="1" applyAlignment="1">
      <alignment horizontal="center"/>
    </xf>
    <xf numFmtId="0" fontId="11" fillId="40" borderId="3" xfId="0" applyFont="1" applyFill="1" applyBorder="1" applyAlignment="1">
      <alignment horizontal="center"/>
    </xf>
    <xf numFmtId="0" fontId="11" fillId="40" borderId="19" xfId="0" applyFont="1" applyFill="1" applyBorder="1" applyAlignment="1">
      <alignment horizontal="center"/>
    </xf>
    <xf numFmtId="0" fontId="14" fillId="39" borderId="3" xfId="0" applyFont="1" applyFill="1" applyBorder="1" applyAlignment="1">
      <alignment horizontal="center"/>
    </xf>
    <xf numFmtId="0" fontId="14" fillId="39" borderId="19" xfId="0" applyFont="1" applyFill="1" applyBorder="1" applyAlignment="1">
      <alignment horizontal="center"/>
    </xf>
    <xf numFmtId="0" fontId="14" fillId="39" borderId="8" xfId="0" applyFont="1" applyFill="1" applyBorder="1" applyAlignment="1">
      <alignment horizontal="center"/>
    </xf>
    <xf numFmtId="1" fontId="14" fillId="39" borderId="18" xfId="0" applyNumberFormat="1" applyFont="1" applyFill="1" applyBorder="1" applyAlignment="1">
      <alignment horizontal="center" wrapText="1"/>
    </xf>
    <xf numFmtId="1" fontId="14" fillId="39" borderId="17" xfId="0" applyNumberFormat="1" applyFont="1" applyFill="1" applyBorder="1" applyAlignment="1">
      <alignment horizontal="center" wrapText="1"/>
    </xf>
    <xf numFmtId="0" fontId="14" fillId="39" borderId="3" xfId="0" applyFont="1" applyFill="1" applyBorder="1" applyAlignment="1">
      <alignment horizontal="center" wrapText="1"/>
    </xf>
    <xf numFmtId="0" fontId="14" fillId="39" borderId="24" xfId="0" applyFont="1" applyFill="1" applyBorder="1" applyAlignment="1">
      <alignment horizontal="center"/>
    </xf>
    <xf numFmtId="1" fontId="14" fillId="39" borderId="1" xfId="0" applyNumberFormat="1" applyFont="1" applyFill="1" applyBorder="1" applyAlignment="1">
      <alignment horizontal="center" vertical="center" wrapText="1"/>
    </xf>
    <xf numFmtId="0" fontId="14" fillId="44" borderId="1" xfId="0" applyFont="1" applyFill="1" applyBorder="1" applyAlignment="1">
      <alignment horizontal="center" vertical="center"/>
    </xf>
    <xf numFmtId="0" fontId="14" fillId="40" borderId="1" xfId="0" applyFont="1" applyFill="1" applyBorder="1" applyAlignment="1">
      <alignment horizontal="center" vertical="center"/>
    </xf>
    <xf numFmtId="0" fontId="14" fillId="45" borderId="1" xfId="0" applyFont="1" applyFill="1" applyBorder="1" applyAlignment="1">
      <alignment horizontal="center" vertical="center"/>
    </xf>
    <xf numFmtId="1" fontId="14" fillId="5" borderId="1" xfId="0" applyNumberFormat="1" applyFont="1" applyFill="1" applyBorder="1" applyAlignment="1">
      <alignment horizontal="center"/>
    </xf>
    <xf numFmtId="164" fontId="11" fillId="5" borderId="1" xfId="0" applyNumberFormat="1" applyFont="1" applyFill="1" applyBorder="1"/>
    <xf numFmtId="0" fontId="47" fillId="5" borderId="1" xfId="0" applyFont="1" applyFill="1" applyBorder="1"/>
    <xf numFmtId="1" fontId="14" fillId="46" borderId="1" xfId="0" applyNumberFormat="1" applyFont="1" applyFill="1" applyBorder="1" applyAlignment="1">
      <alignment horizontal="center"/>
    </xf>
    <xf numFmtId="164" fontId="11" fillId="46" borderId="1" xfId="0" applyNumberFormat="1" applyFont="1" applyFill="1" applyBorder="1"/>
    <xf numFmtId="0" fontId="10" fillId="46" borderId="1" xfId="0" applyFont="1" applyFill="1" applyBorder="1"/>
    <xf numFmtId="1" fontId="14" fillId="0" borderId="1" xfId="0" applyNumberFormat="1" applyFont="1" applyBorder="1" applyAlignment="1">
      <alignment horizontal="center"/>
    </xf>
    <xf numFmtId="164" fontId="11" fillId="0" borderId="1" xfId="0" applyNumberFormat="1" applyFont="1" applyBorder="1"/>
    <xf numFmtId="0" fontId="47" fillId="0" borderId="1" xfId="0" applyFont="1" applyBorder="1"/>
    <xf numFmtId="0" fontId="11" fillId="40" borderId="18" xfId="0" applyFont="1" applyFill="1" applyBorder="1" applyAlignment="1">
      <alignment horizontal="left"/>
    </xf>
    <xf numFmtId="0" fontId="11" fillId="40" borderId="23" xfId="0" applyFont="1" applyFill="1" applyBorder="1" applyAlignment="1">
      <alignment horizontal="left"/>
    </xf>
  </cellXfs>
  <cellStyles count="74">
    <cellStyle name="20% - Accent1" xfId="35" builtinId="30" customBuiltin="1"/>
    <cellStyle name="20% - Accent2" xfId="39" builtinId="34" customBuiltin="1"/>
    <cellStyle name="20% - Accent3" xfId="43" builtinId="38" customBuiltin="1"/>
    <cellStyle name="20% - Accent4" xfId="47" builtinId="42" customBuiltin="1"/>
    <cellStyle name="20% - Accent5" xfId="51" builtinId="46" customBuiltin="1"/>
    <cellStyle name="20% - Accent6" xfId="55" builtinId="50" customBuiltin="1"/>
    <cellStyle name="40% - Accent1" xfId="36" builtinId="31" customBuiltin="1"/>
    <cellStyle name="40% - Accent2" xfId="40" builtinId="35" customBuiltin="1"/>
    <cellStyle name="40% - Accent3" xfId="44" builtinId="39" customBuiltin="1"/>
    <cellStyle name="40% - Accent4" xfId="48" builtinId="43" customBuiltin="1"/>
    <cellStyle name="40% - Accent5" xfId="52" builtinId="47" customBuiltin="1"/>
    <cellStyle name="40% - Accent6" xfId="56" builtinId="51" customBuiltin="1"/>
    <cellStyle name="60% - Accent1" xfId="37" builtinId="32" customBuiltin="1"/>
    <cellStyle name="60% - Accent2" xfId="41" builtinId="36" customBuiltin="1"/>
    <cellStyle name="60% - Accent3" xfId="45" builtinId="40" customBuiltin="1"/>
    <cellStyle name="60% - Accent4" xfId="49" builtinId="44" customBuiltin="1"/>
    <cellStyle name="60% - Accent5" xfId="53" builtinId="48" customBuiltin="1"/>
    <cellStyle name="60% - Accent6" xfId="57" builtinId="52" customBuiltin="1"/>
    <cellStyle name="Accent1" xfId="34" builtinId="29" customBuiltin="1"/>
    <cellStyle name="Accent2" xfId="38" builtinId="33" customBuiltin="1"/>
    <cellStyle name="Accent3" xfId="42" builtinId="37" customBuiltin="1"/>
    <cellStyle name="Accent4" xfId="46" builtinId="41" customBuiltin="1"/>
    <cellStyle name="Accent5" xfId="50" builtinId="45" customBuiltin="1"/>
    <cellStyle name="Accent6" xfId="54" builtinId="49" customBuiltin="1"/>
    <cellStyle name="Bad" xfId="25" builtinId="27" customBuiltin="1"/>
    <cellStyle name="Calculation" xfId="18" builtinId="22" customBuiltin="1"/>
    <cellStyle name="Check Cell" xfId="30" builtinId="23" customBuiltin="1"/>
    <cellStyle name="Comma 2" xfId="4" xr:uid="{00000000-0005-0000-0000-00001B000000}"/>
    <cellStyle name="Comma 3" xfId="7" xr:uid="{00000000-0005-0000-0000-00001C000000}"/>
    <cellStyle name="Comma 4" xfId="13" xr:uid="{00000000-0005-0000-0000-00001D000000}"/>
    <cellStyle name="Comma 5" xfId="11" xr:uid="{00000000-0005-0000-0000-00001E000000}"/>
    <cellStyle name="Comma 5 2" xfId="65" xr:uid="{00000000-0005-0000-0000-00001F000000}"/>
    <cellStyle name="Explanatory Text" xfId="32" builtinId="53" customBuiltin="1"/>
    <cellStyle name="Good" xfId="24" builtinId="26" customBuiltin="1"/>
    <cellStyle name="Heading 1" xfId="20" builtinId="16" customBuiltin="1"/>
    <cellStyle name="Heading 2" xfId="21" builtinId="17" customBuiltin="1"/>
    <cellStyle name="Heading 3" xfId="22" builtinId="18" customBuiltin="1"/>
    <cellStyle name="Heading 4" xfId="23" builtinId="19" customBuiltin="1"/>
    <cellStyle name="Hyperlink" xfId="1" builtinId="8"/>
    <cellStyle name="Input" xfId="27" builtinId="20" customBuiltin="1"/>
    <cellStyle name="Linked Cell" xfId="29" builtinId="24" customBuiltin="1"/>
    <cellStyle name="Neutral" xfId="26" builtinId="28" customBuiltin="1"/>
    <cellStyle name="Normal" xfId="0" builtinId="0"/>
    <cellStyle name="Normal 10" xfId="70" xr:uid="{00000000-0005-0000-0000-00002B000000}"/>
    <cellStyle name="Normal 11" xfId="71" xr:uid="{00000000-0005-0000-0000-00002C000000}"/>
    <cellStyle name="Normal 11 2" xfId="73" xr:uid="{00000000-0005-0000-0000-00002D000000}"/>
    <cellStyle name="Normal 12" xfId="72" xr:uid="{00000000-0005-0000-0000-00002E000000}"/>
    <cellStyle name="Normal 2" xfId="3" xr:uid="{00000000-0005-0000-0000-00002F000000}"/>
    <cellStyle name="Normal 2 2" xfId="9" xr:uid="{00000000-0005-0000-0000-000030000000}"/>
    <cellStyle name="Normal 3" xfId="2" xr:uid="{00000000-0005-0000-0000-000031000000}"/>
    <cellStyle name="Normal 3 2" xfId="8" xr:uid="{00000000-0005-0000-0000-000032000000}"/>
    <cellStyle name="Normal 3 2 2" xfId="17" xr:uid="{00000000-0005-0000-0000-000033000000}"/>
    <cellStyle name="Normal 3 2 2 2" xfId="69" xr:uid="{00000000-0005-0000-0000-000034000000}"/>
    <cellStyle name="Normal 3 2 3" xfId="63" xr:uid="{00000000-0005-0000-0000-000035000000}"/>
    <cellStyle name="Normal 3 3" xfId="14" xr:uid="{00000000-0005-0000-0000-000036000000}"/>
    <cellStyle name="Normal 3 3 2" xfId="67" xr:uid="{00000000-0005-0000-0000-000037000000}"/>
    <cellStyle name="Normal 3 4" xfId="61" xr:uid="{00000000-0005-0000-0000-000038000000}"/>
    <cellStyle name="Normal 4" xfId="6" xr:uid="{00000000-0005-0000-0000-000039000000}"/>
    <cellStyle name="Normal 4 2" xfId="16" xr:uid="{00000000-0005-0000-0000-00003A000000}"/>
    <cellStyle name="Normal 5" xfId="5" xr:uid="{00000000-0005-0000-0000-00003B000000}"/>
    <cellStyle name="Normal 5 2" xfId="15" xr:uid="{00000000-0005-0000-0000-00003C000000}"/>
    <cellStyle name="Normal 5 2 2" xfId="68" xr:uid="{00000000-0005-0000-0000-00003D000000}"/>
    <cellStyle name="Normal 5 3" xfId="62" xr:uid="{00000000-0005-0000-0000-00003E000000}"/>
    <cellStyle name="Normal 6" xfId="12" xr:uid="{00000000-0005-0000-0000-00003F000000}"/>
    <cellStyle name="Normal 6 2" xfId="66" xr:uid="{00000000-0005-0000-0000-000040000000}"/>
    <cellStyle name="Normal 7" xfId="10" xr:uid="{00000000-0005-0000-0000-000041000000}"/>
    <cellStyle name="Normal 7 2" xfId="64" xr:uid="{00000000-0005-0000-0000-000042000000}"/>
    <cellStyle name="Normal 8" xfId="58" xr:uid="{00000000-0005-0000-0000-000043000000}"/>
    <cellStyle name="Normal 9" xfId="60" xr:uid="{00000000-0005-0000-0000-000044000000}"/>
    <cellStyle name="Note 2" xfId="59" xr:uid="{00000000-0005-0000-0000-000045000000}"/>
    <cellStyle name="Output" xfId="28" builtinId="21" customBuiltin="1"/>
    <cellStyle name="Title" xfId="19" builtinId="15" customBuiltin="1"/>
    <cellStyle name="Total" xfId="33" builtinId="25" customBuiltin="1"/>
    <cellStyle name="Warning Text" xfId="31" builtinId="11" customBuiltin="1"/>
  </cellStyles>
  <dxfs count="0"/>
  <tableStyles count="0" defaultTableStyle="TableStyleMedium2" defaultPivotStyle="PivotStyleLight16"/>
  <colors>
    <mruColors>
      <color rgb="FFFFFFCC"/>
      <color rgb="FF92CDDC"/>
      <color rgb="FFFFFF99"/>
      <color rgb="FFB1A0C7"/>
      <color rgb="FF800000"/>
      <color rgb="FFC4D79B"/>
      <color rgb="FFFD8875"/>
      <color rgb="FFA1B8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file:///E:\images\top_nav\top_nav_dash_off.gi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0</xdr:col>
      <xdr:colOff>9525</xdr:colOff>
      <xdr:row>10</xdr:row>
      <xdr:rowOff>51435</xdr:rowOff>
    </xdr:to>
    <xdr:pic>
      <xdr:nvPicPr>
        <xdr:cNvPr id="9217" name="Picture 7" descr=" ">
          <a:extLst>
            <a:ext uri="{FF2B5EF4-FFF2-40B4-BE49-F238E27FC236}">
              <a16:creationId xmlns:a16="http://schemas.microsoft.com/office/drawing/2014/main" id="{00000000-0008-0000-0100-00000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3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9525</xdr:colOff>
      <xdr:row>10</xdr:row>
      <xdr:rowOff>51435</xdr:rowOff>
    </xdr:to>
    <xdr:pic>
      <xdr:nvPicPr>
        <xdr:cNvPr id="9218" name="Picture 8" descr=" ">
          <a:extLst>
            <a:ext uri="{FF2B5EF4-FFF2-40B4-BE49-F238E27FC236}">
              <a16:creationId xmlns:a16="http://schemas.microsoft.com/office/drawing/2014/main" id="{00000000-0008-0000-0100-00000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3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9525</xdr:colOff>
      <xdr:row>10</xdr:row>
      <xdr:rowOff>51435</xdr:rowOff>
    </xdr:to>
    <xdr:pic>
      <xdr:nvPicPr>
        <xdr:cNvPr id="9219" name="Picture 9" descr=" ">
          <a:extLst>
            <a:ext uri="{FF2B5EF4-FFF2-40B4-BE49-F238E27FC236}">
              <a16:creationId xmlns:a16="http://schemas.microsoft.com/office/drawing/2014/main" id="{00000000-0008-0000-0100-00000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3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9525</xdr:colOff>
      <xdr:row>10</xdr:row>
      <xdr:rowOff>51435</xdr:rowOff>
    </xdr:to>
    <xdr:pic>
      <xdr:nvPicPr>
        <xdr:cNvPr id="9220" name="Picture 10" descr=" ">
          <a:extLst>
            <a:ext uri="{FF2B5EF4-FFF2-40B4-BE49-F238E27FC236}">
              <a16:creationId xmlns:a16="http://schemas.microsoft.com/office/drawing/2014/main" id="{00000000-0008-0000-0100-00000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3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9525</xdr:colOff>
      <xdr:row>10</xdr:row>
      <xdr:rowOff>51435</xdr:rowOff>
    </xdr:to>
    <xdr:pic>
      <xdr:nvPicPr>
        <xdr:cNvPr id="9221" name="Picture 11" descr=" ">
          <a:extLst>
            <a:ext uri="{FF2B5EF4-FFF2-40B4-BE49-F238E27FC236}">
              <a16:creationId xmlns:a16="http://schemas.microsoft.com/office/drawing/2014/main" id="{00000000-0008-0000-0100-00000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3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9525</xdr:colOff>
      <xdr:row>10</xdr:row>
      <xdr:rowOff>51435</xdr:rowOff>
    </xdr:to>
    <xdr:pic>
      <xdr:nvPicPr>
        <xdr:cNvPr id="9222" name="Picture 12" descr=" ">
          <a:extLst>
            <a:ext uri="{FF2B5EF4-FFF2-40B4-BE49-F238E27FC236}">
              <a16:creationId xmlns:a16="http://schemas.microsoft.com/office/drawing/2014/main" id="{00000000-0008-0000-0100-00000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3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9525</xdr:colOff>
      <xdr:row>13</xdr:row>
      <xdr:rowOff>5715</xdr:rowOff>
    </xdr:to>
    <xdr:pic>
      <xdr:nvPicPr>
        <xdr:cNvPr id="9229" name="Picture 7" descr=" ">
          <a:extLst>
            <a:ext uri="{FF2B5EF4-FFF2-40B4-BE49-F238E27FC236}">
              <a16:creationId xmlns:a16="http://schemas.microsoft.com/office/drawing/2014/main" id="{00000000-0008-0000-0100-00000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9525</xdr:colOff>
      <xdr:row>13</xdr:row>
      <xdr:rowOff>5715</xdr:rowOff>
    </xdr:to>
    <xdr:pic>
      <xdr:nvPicPr>
        <xdr:cNvPr id="9230" name="Picture 8" descr=" ">
          <a:extLst>
            <a:ext uri="{FF2B5EF4-FFF2-40B4-BE49-F238E27FC236}">
              <a16:creationId xmlns:a16="http://schemas.microsoft.com/office/drawing/2014/main" id="{00000000-0008-0000-0100-00000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9525</xdr:colOff>
      <xdr:row>13</xdr:row>
      <xdr:rowOff>5715</xdr:rowOff>
    </xdr:to>
    <xdr:pic>
      <xdr:nvPicPr>
        <xdr:cNvPr id="9231" name="Picture 9" descr=" ">
          <a:extLst>
            <a:ext uri="{FF2B5EF4-FFF2-40B4-BE49-F238E27FC236}">
              <a16:creationId xmlns:a16="http://schemas.microsoft.com/office/drawing/2014/main" id="{00000000-0008-0000-0100-00000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9525</xdr:colOff>
      <xdr:row>13</xdr:row>
      <xdr:rowOff>5715</xdr:rowOff>
    </xdr:to>
    <xdr:pic>
      <xdr:nvPicPr>
        <xdr:cNvPr id="9232" name="Picture 10" descr=" ">
          <a:extLst>
            <a:ext uri="{FF2B5EF4-FFF2-40B4-BE49-F238E27FC236}">
              <a16:creationId xmlns:a16="http://schemas.microsoft.com/office/drawing/2014/main" id="{00000000-0008-0000-0100-00001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9525</xdr:colOff>
      <xdr:row>13</xdr:row>
      <xdr:rowOff>5715</xdr:rowOff>
    </xdr:to>
    <xdr:pic>
      <xdr:nvPicPr>
        <xdr:cNvPr id="9233" name="Picture 11" descr=" ">
          <a:extLst>
            <a:ext uri="{FF2B5EF4-FFF2-40B4-BE49-F238E27FC236}">
              <a16:creationId xmlns:a16="http://schemas.microsoft.com/office/drawing/2014/main" id="{00000000-0008-0000-0100-00001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9525</xdr:colOff>
      <xdr:row>13</xdr:row>
      <xdr:rowOff>5715</xdr:rowOff>
    </xdr:to>
    <xdr:pic>
      <xdr:nvPicPr>
        <xdr:cNvPr id="9234" name="Picture 12" descr=" ">
          <a:extLst>
            <a:ext uri="{FF2B5EF4-FFF2-40B4-BE49-F238E27FC236}">
              <a16:creationId xmlns:a16="http://schemas.microsoft.com/office/drawing/2014/main" id="{00000000-0008-0000-0100-00001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9525</xdr:colOff>
      <xdr:row>14</xdr:row>
      <xdr:rowOff>51435</xdr:rowOff>
    </xdr:to>
    <xdr:pic>
      <xdr:nvPicPr>
        <xdr:cNvPr id="9235" name="Picture 7" descr=" ">
          <a:extLst>
            <a:ext uri="{FF2B5EF4-FFF2-40B4-BE49-F238E27FC236}">
              <a16:creationId xmlns:a16="http://schemas.microsoft.com/office/drawing/2014/main" id="{00000000-0008-0000-0100-00001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1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9525</xdr:colOff>
      <xdr:row>14</xdr:row>
      <xdr:rowOff>51435</xdr:rowOff>
    </xdr:to>
    <xdr:pic>
      <xdr:nvPicPr>
        <xdr:cNvPr id="9236" name="Picture 8" descr=" ">
          <a:extLst>
            <a:ext uri="{FF2B5EF4-FFF2-40B4-BE49-F238E27FC236}">
              <a16:creationId xmlns:a16="http://schemas.microsoft.com/office/drawing/2014/main" id="{00000000-0008-0000-0100-00001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1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9525</xdr:colOff>
      <xdr:row>14</xdr:row>
      <xdr:rowOff>51435</xdr:rowOff>
    </xdr:to>
    <xdr:pic>
      <xdr:nvPicPr>
        <xdr:cNvPr id="9237" name="Picture 9" descr=" ">
          <a:extLst>
            <a:ext uri="{FF2B5EF4-FFF2-40B4-BE49-F238E27FC236}">
              <a16:creationId xmlns:a16="http://schemas.microsoft.com/office/drawing/2014/main" id="{00000000-0008-0000-0100-00001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1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9525</xdr:colOff>
      <xdr:row>14</xdr:row>
      <xdr:rowOff>51435</xdr:rowOff>
    </xdr:to>
    <xdr:pic>
      <xdr:nvPicPr>
        <xdr:cNvPr id="9238" name="Picture 10" descr=" ">
          <a:extLst>
            <a:ext uri="{FF2B5EF4-FFF2-40B4-BE49-F238E27FC236}">
              <a16:creationId xmlns:a16="http://schemas.microsoft.com/office/drawing/2014/main" id="{00000000-0008-0000-0100-00001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1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9525</xdr:colOff>
      <xdr:row>14</xdr:row>
      <xdr:rowOff>51435</xdr:rowOff>
    </xdr:to>
    <xdr:pic>
      <xdr:nvPicPr>
        <xdr:cNvPr id="9239" name="Picture 11" descr=" ">
          <a:extLst>
            <a:ext uri="{FF2B5EF4-FFF2-40B4-BE49-F238E27FC236}">
              <a16:creationId xmlns:a16="http://schemas.microsoft.com/office/drawing/2014/main" id="{00000000-0008-0000-0100-00001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1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9525</xdr:colOff>
      <xdr:row>14</xdr:row>
      <xdr:rowOff>51435</xdr:rowOff>
    </xdr:to>
    <xdr:pic>
      <xdr:nvPicPr>
        <xdr:cNvPr id="9240" name="Picture 12" descr=" ">
          <a:extLst>
            <a:ext uri="{FF2B5EF4-FFF2-40B4-BE49-F238E27FC236}">
              <a16:creationId xmlns:a16="http://schemas.microsoft.com/office/drawing/2014/main" id="{00000000-0008-0000-0100-00001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1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15</xdr:row>
      <xdr:rowOff>51435</xdr:rowOff>
    </xdr:to>
    <xdr:pic>
      <xdr:nvPicPr>
        <xdr:cNvPr id="9241" name="Picture 7" descr=" ">
          <a:extLst>
            <a:ext uri="{FF2B5EF4-FFF2-40B4-BE49-F238E27FC236}">
              <a16:creationId xmlns:a16="http://schemas.microsoft.com/office/drawing/2014/main" id="{00000000-0008-0000-0100-00001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3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15</xdr:row>
      <xdr:rowOff>51435</xdr:rowOff>
    </xdr:to>
    <xdr:pic>
      <xdr:nvPicPr>
        <xdr:cNvPr id="9242" name="Picture 8" descr=" ">
          <a:extLst>
            <a:ext uri="{FF2B5EF4-FFF2-40B4-BE49-F238E27FC236}">
              <a16:creationId xmlns:a16="http://schemas.microsoft.com/office/drawing/2014/main" id="{00000000-0008-0000-0100-00001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3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15</xdr:row>
      <xdr:rowOff>51435</xdr:rowOff>
    </xdr:to>
    <xdr:pic>
      <xdr:nvPicPr>
        <xdr:cNvPr id="9243" name="Picture 9" descr=" ">
          <a:extLst>
            <a:ext uri="{FF2B5EF4-FFF2-40B4-BE49-F238E27FC236}">
              <a16:creationId xmlns:a16="http://schemas.microsoft.com/office/drawing/2014/main" id="{00000000-0008-0000-0100-00001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3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15</xdr:row>
      <xdr:rowOff>51435</xdr:rowOff>
    </xdr:to>
    <xdr:pic>
      <xdr:nvPicPr>
        <xdr:cNvPr id="9244" name="Picture 10" descr=" ">
          <a:extLst>
            <a:ext uri="{FF2B5EF4-FFF2-40B4-BE49-F238E27FC236}">
              <a16:creationId xmlns:a16="http://schemas.microsoft.com/office/drawing/2014/main" id="{00000000-0008-0000-0100-00001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3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15</xdr:row>
      <xdr:rowOff>51435</xdr:rowOff>
    </xdr:to>
    <xdr:pic>
      <xdr:nvPicPr>
        <xdr:cNvPr id="9245" name="Picture 11" descr=" ">
          <a:extLst>
            <a:ext uri="{FF2B5EF4-FFF2-40B4-BE49-F238E27FC236}">
              <a16:creationId xmlns:a16="http://schemas.microsoft.com/office/drawing/2014/main" id="{00000000-0008-0000-0100-00001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3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15</xdr:row>
      <xdr:rowOff>51435</xdr:rowOff>
    </xdr:to>
    <xdr:pic>
      <xdr:nvPicPr>
        <xdr:cNvPr id="9246" name="Picture 12" descr=" ">
          <a:extLst>
            <a:ext uri="{FF2B5EF4-FFF2-40B4-BE49-F238E27FC236}">
              <a16:creationId xmlns:a16="http://schemas.microsoft.com/office/drawing/2014/main" id="{00000000-0008-0000-0100-00001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3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9525</xdr:colOff>
      <xdr:row>16</xdr:row>
      <xdr:rowOff>51435</xdr:rowOff>
    </xdr:to>
    <xdr:pic>
      <xdr:nvPicPr>
        <xdr:cNvPr id="9247" name="Picture 7" descr=" ">
          <a:extLst>
            <a:ext uri="{FF2B5EF4-FFF2-40B4-BE49-F238E27FC236}">
              <a16:creationId xmlns:a16="http://schemas.microsoft.com/office/drawing/2014/main" id="{00000000-0008-0000-0100-00001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5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9525</xdr:colOff>
      <xdr:row>16</xdr:row>
      <xdr:rowOff>51435</xdr:rowOff>
    </xdr:to>
    <xdr:pic>
      <xdr:nvPicPr>
        <xdr:cNvPr id="9248" name="Picture 8" descr=" ">
          <a:extLst>
            <a:ext uri="{FF2B5EF4-FFF2-40B4-BE49-F238E27FC236}">
              <a16:creationId xmlns:a16="http://schemas.microsoft.com/office/drawing/2014/main" id="{00000000-0008-0000-0100-00002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5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9525</xdr:colOff>
      <xdr:row>16</xdr:row>
      <xdr:rowOff>51435</xdr:rowOff>
    </xdr:to>
    <xdr:pic>
      <xdr:nvPicPr>
        <xdr:cNvPr id="9249" name="Picture 9" descr=" ">
          <a:extLst>
            <a:ext uri="{FF2B5EF4-FFF2-40B4-BE49-F238E27FC236}">
              <a16:creationId xmlns:a16="http://schemas.microsoft.com/office/drawing/2014/main" id="{00000000-0008-0000-0100-00002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5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9525</xdr:colOff>
      <xdr:row>16</xdr:row>
      <xdr:rowOff>51435</xdr:rowOff>
    </xdr:to>
    <xdr:pic>
      <xdr:nvPicPr>
        <xdr:cNvPr id="9250" name="Picture 10" descr=" ">
          <a:extLst>
            <a:ext uri="{FF2B5EF4-FFF2-40B4-BE49-F238E27FC236}">
              <a16:creationId xmlns:a16="http://schemas.microsoft.com/office/drawing/2014/main" id="{00000000-0008-0000-0100-00002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5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9525</xdr:colOff>
      <xdr:row>16</xdr:row>
      <xdr:rowOff>51435</xdr:rowOff>
    </xdr:to>
    <xdr:pic>
      <xdr:nvPicPr>
        <xdr:cNvPr id="9251" name="Picture 11" descr=" ">
          <a:extLst>
            <a:ext uri="{FF2B5EF4-FFF2-40B4-BE49-F238E27FC236}">
              <a16:creationId xmlns:a16="http://schemas.microsoft.com/office/drawing/2014/main" id="{00000000-0008-0000-0100-00002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5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9525</xdr:colOff>
      <xdr:row>16</xdr:row>
      <xdr:rowOff>51435</xdr:rowOff>
    </xdr:to>
    <xdr:pic>
      <xdr:nvPicPr>
        <xdr:cNvPr id="9252" name="Picture 12" descr=" ">
          <a:extLst>
            <a:ext uri="{FF2B5EF4-FFF2-40B4-BE49-F238E27FC236}">
              <a16:creationId xmlns:a16="http://schemas.microsoft.com/office/drawing/2014/main" id="{00000000-0008-0000-0100-00002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5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9525</xdr:colOff>
      <xdr:row>17</xdr:row>
      <xdr:rowOff>51435</xdr:rowOff>
    </xdr:to>
    <xdr:pic>
      <xdr:nvPicPr>
        <xdr:cNvPr id="9253" name="Picture 7" descr=" ">
          <a:extLst>
            <a:ext uri="{FF2B5EF4-FFF2-40B4-BE49-F238E27FC236}">
              <a16:creationId xmlns:a16="http://schemas.microsoft.com/office/drawing/2014/main" id="{00000000-0008-0000-0100-00002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6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9525</xdr:colOff>
      <xdr:row>17</xdr:row>
      <xdr:rowOff>51435</xdr:rowOff>
    </xdr:to>
    <xdr:pic>
      <xdr:nvPicPr>
        <xdr:cNvPr id="9254" name="Picture 8" descr=" ">
          <a:extLst>
            <a:ext uri="{FF2B5EF4-FFF2-40B4-BE49-F238E27FC236}">
              <a16:creationId xmlns:a16="http://schemas.microsoft.com/office/drawing/2014/main" id="{00000000-0008-0000-0100-00002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6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9525</xdr:colOff>
      <xdr:row>17</xdr:row>
      <xdr:rowOff>51435</xdr:rowOff>
    </xdr:to>
    <xdr:pic>
      <xdr:nvPicPr>
        <xdr:cNvPr id="9255" name="Picture 9" descr=" ">
          <a:extLst>
            <a:ext uri="{FF2B5EF4-FFF2-40B4-BE49-F238E27FC236}">
              <a16:creationId xmlns:a16="http://schemas.microsoft.com/office/drawing/2014/main" id="{00000000-0008-0000-0100-00002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6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9525</xdr:colOff>
      <xdr:row>17</xdr:row>
      <xdr:rowOff>51435</xdr:rowOff>
    </xdr:to>
    <xdr:pic>
      <xdr:nvPicPr>
        <xdr:cNvPr id="9256" name="Picture 10" descr=" ">
          <a:extLst>
            <a:ext uri="{FF2B5EF4-FFF2-40B4-BE49-F238E27FC236}">
              <a16:creationId xmlns:a16="http://schemas.microsoft.com/office/drawing/2014/main" id="{00000000-0008-0000-0100-00002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6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9525</xdr:colOff>
      <xdr:row>17</xdr:row>
      <xdr:rowOff>51435</xdr:rowOff>
    </xdr:to>
    <xdr:pic>
      <xdr:nvPicPr>
        <xdr:cNvPr id="9257" name="Picture 11" descr=" ">
          <a:extLst>
            <a:ext uri="{FF2B5EF4-FFF2-40B4-BE49-F238E27FC236}">
              <a16:creationId xmlns:a16="http://schemas.microsoft.com/office/drawing/2014/main" id="{00000000-0008-0000-0100-00002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6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9525</xdr:colOff>
      <xdr:row>17</xdr:row>
      <xdr:rowOff>51435</xdr:rowOff>
    </xdr:to>
    <xdr:pic>
      <xdr:nvPicPr>
        <xdr:cNvPr id="9258" name="Picture 12" descr=" ">
          <a:extLst>
            <a:ext uri="{FF2B5EF4-FFF2-40B4-BE49-F238E27FC236}">
              <a16:creationId xmlns:a16="http://schemas.microsoft.com/office/drawing/2014/main" id="{00000000-0008-0000-0100-00002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6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9525</xdr:colOff>
      <xdr:row>18</xdr:row>
      <xdr:rowOff>51435</xdr:rowOff>
    </xdr:to>
    <xdr:pic>
      <xdr:nvPicPr>
        <xdr:cNvPr id="9259" name="Picture 7" descr=" ">
          <a:extLst>
            <a:ext uri="{FF2B5EF4-FFF2-40B4-BE49-F238E27FC236}">
              <a16:creationId xmlns:a16="http://schemas.microsoft.com/office/drawing/2014/main" id="{00000000-0008-0000-0100-00002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8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9525</xdr:colOff>
      <xdr:row>18</xdr:row>
      <xdr:rowOff>51435</xdr:rowOff>
    </xdr:to>
    <xdr:pic>
      <xdr:nvPicPr>
        <xdr:cNvPr id="9260" name="Picture 8" descr=" ">
          <a:extLst>
            <a:ext uri="{FF2B5EF4-FFF2-40B4-BE49-F238E27FC236}">
              <a16:creationId xmlns:a16="http://schemas.microsoft.com/office/drawing/2014/main" id="{00000000-0008-0000-0100-00002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8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9525</xdr:colOff>
      <xdr:row>18</xdr:row>
      <xdr:rowOff>51435</xdr:rowOff>
    </xdr:to>
    <xdr:pic>
      <xdr:nvPicPr>
        <xdr:cNvPr id="9261" name="Picture 9" descr=" ">
          <a:extLst>
            <a:ext uri="{FF2B5EF4-FFF2-40B4-BE49-F238E27FC236}">
              <a16:creationId xmlns:a16="http://schemas.microsoft.com/office/drawing/2014/main" id="{00000000-0008-0000-0100-00002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8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9525</xdr:colOff>
      <xdr:row>18</xdr:row>
      <xdr:rowOff>51435</xdr:rowOff>
    </xdr:to>
    <xdr:pic>
      <xdr:nvPicPr>
        <xdr:cNvPr id="9262" name="Picture 10" descr=" ">
          <a:extLst>
            <a:ext uri="{FF2B5EF4-FFF2-40B4-BE49-F238E27FC236}">
              <a16:creationId xmlns:a16="http://schemas.microsoft.com/office/drawing/2014/main" id="{00000000-0008-0000-0100-00002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8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9525</xdr:colOff>
      <xdr:row>18</xdr:row>
      <xdr:rowOff>51435</xdr:rowOff>
    </xdr:to>
    <xdr:pic>
      <xdr:nvPicPr>
        <xdr:cNvPr id="9263" name="Picture 11" descr=" ">
          <a:extLst>
            <a:ext uri="{FF2B5EF4-FFF2-40B4-BE49-F238E27FC236}">
              <a16:creationId xmlns:a16="http://schemas.microsoft.com/office/drawing/2014/main" id="{00000000-0008-0000-0100-00002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8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9525</xdr:colOff>
      <xdr:row>18</xdr:row>
      <xdr:rowOff>51435</xdr:rowOff>
    </xdr:to>
    <xdr:pic>
      <xdr:nvPicPr>
        <xdr:cNvPr id="9264" name="Picture 12" descr=" ">
          <a:extLst>
            <a:ext uri="{FF2B5EF4-FFF2-40B4-BE49-F238E27FC236}">
              <a16:creationId xmlns:a16="http://schemas.microsoft.com/office/drawing/2014/main" id="{00000000-0008-0000-0100-00003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8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9525</xdr:colOff>
      <xdr:row>19</xdr:row>
      <xdr:rowOff>51435</xdr:rowOff>
    </xdr:to>
    <xdr:pic>
      <xdr:nvPicPr>
        <xdr:cNvPr id="9265" name="Picture 7" descr=" ">
          <a:extLst>
            <a:ext uri="{FF2B5EF4-FFF2-40B4-BE49-F238E27FC236}">
              <a16:creationId xmlns:a16="http://schemas.microsoft.com/office/drawing/2014/main" id="{00000000-0008-0000-0100-00003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0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9525</xdr:colOff>
      <xdr:row>19</xdr:row>
      <xdr:rowOff>51435</xdr:rowOff>
    </xdr:to>
    <xdr:pic>
      <xdr:nvPicPr>
        <xdr:cNvPr id="9266" name="Picture 8" descr=" ">
          <a:extLst>
            <a:ext uri="{FF2B5EF4-FFF2-40B4-BE49-F238E27FC236}">
              <a16:creationId xmlns:a16="http://schemas.microsoft.com/office/drawing/2014/main" id="{00000000-0008-0000-0100-00003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0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9525</xdr:colOff>
      <xdr:row>19</xdr:row>
      <xdr:rowOff>51435</xdr:rowOff>
    </xdr:to>
    <xdr:pic>
      <xdr:nvPicPr>
        <xdr:cNvPr id="9267" name="Picture 9" descr=" ">
          <a:extLst>
            <a:ext uri="{FF2B5EF4-FFF2-40B4-BE49-F238E27FC236}">
              <a16:creationId xmlns:a16="http://schemas.microsoft.com/office/drawing/2014/main" id="{00000000-0008-0000-0100-00003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0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9525</xdr:colOff>
      <xdr:row>19</xdr:row>
      <xdr:rowOff>51435</xdr:rowOff>
    </xdr:to>
    <xdr:pic>
      <xdr:nvPicPr>
        <xdr:cNvPr id="9268" name="Picture 10" descr=" ">
          <a:extLst>
            <a:ext uri="{FF2B5EF4-FFF2-40B4-BE49-F238E27FC236}">
              <a16:creationId xmlns:a16="http://schemas.microsoft.com/office/drawing/2014/main" id="{00000000-0008-0000-0100-00003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0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9525</xdr:colOff>
      <xdr:row>19</xdr:row>
      <xdr:rowOff>51435</xdr:rowOff>
    </xdr:to>
    <xdr:pic>
      <xdr:nvPicPr>
        <xdr:cNvPr id="9269" name="Picture 11" descr=" ">
          <a:extLst>
            <a:ext uri="{FF2B5EF4-FFF2-40B4-BE49-F238E27FC236}">
              <a16:creationId xmlns:a16="http://schemas.microsoft.com/office/drawing/2014/main" id="{00000000-0008-0000-0100-00003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0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9525</xdr:colOff>
      <xdr:row>19</xdr:row>
      <xdr:rowOff>51435</xdr:rowOff>
    </xdr:to>
    <xdr:pic>
      <xdr:nvPicPr>
        <xdr:cNvPr id="9270" name="Picture 12" descr=" ">
          <a:extLst>
            <a:ext uri="{FF2B5EF4-FFF2-40B4-BE49-F238E27FC236}">
              <a16:creationId xmlns:a16="http://schemas.microsoft.com/office/drawing/2014/main" id="{00000000-0008-0000-0100-00003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90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47625</xdr:rowOff>
    </xdr:to>
    <xdr:pic>
      <xdr:nvPicPr>
        <xdr:cNvPr id="9271" name="Picture 7" descr=" ">
          <a:extLst>
            <a:ext uri="{FF2B5EF4-FFF2-40B4-BE49-F238E27FC236}">
              <a16:creationId xmlns:a16="http://schemas.microsoft.com/office/drawing/2014/main" id="{00000000-0008-0000-0100-00003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2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47625</xdr:rowOff>
    </xdr:to>
    <xdr:pic>
      <xdr:nvPicPr>
        <xdr:cNvPr id="9272" name="Picture 8" descr=" ">
          <a:extLst>
            <a:ext uri="{FF2B5EF4-FFF2-40B4-BE49-F238E27FC236}">
              <a16:creationId xmlns:a16="http://schemas.microsoft.com/office/drawing/2014/main" id="{00000000-0008-0000-0100-00003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2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47625</xdr:rowOff>
    </xdr:to>
    <xdr:pic>
      <xdr:nvPicPr>
        <xdr:cNvPr id="9273" name="Picture 9" descr=" ">
          <a:extLst>
            <a:ext uri="{FF2B5EF4-FFF2-40B4-BE49-F238E27FC236}">
              <a16:creationId xmlns:a16="http://schemas.microsoft.com/office/drawing/2014/main" id="{00000000-0008-0000-0100-00003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2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47625</xdr:rowOff>
    </xdr:to>
    <xdr:pic>
      <xdr:nvPicPr>
        <xdr:cNvPr id="9274" name="Picture 10" descr=" ">
          <a:extLst>
            <a:ext uri="{FF2B5EF4-FFF2-40B4-BE49-F238E27FC236}">
              <a16:creationId xmlns:a16="http://schemas.microsoft.com/office/drawing/2014/main" id="{00000000-0008-0000-0100-00003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2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47625</xdr:rowOff>
    </xdr:to>
    <xdr:pic>
      <xdr:nvPicPr>
        <xdr:cNvPr id="9275" name="Picture 11" descr=" ">
          <a:extLst>
            <a:ext uri="{FF2B5EF4-FFF2-40B4-BE49-F238E27FC236}">
              <a16:creationId xmlns:a16="http://schemas.microsoft.com/office/drawing/2014/main" id="{00000000-0008-0000-0100-00003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2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47625</xdr:rowOff>
    </xdr:to>
    <xdr:pic>
      <xdr:nvPicPr>
        <xdr:cNvPr id="9276" name="Picture 12" descr=" ">
          <a:extLst>
            <a:ext uri="{FF2B5EF4-FFF2-40B4-BE49-F238E27FC236}">
              <a16:creationId xmlns:a16="http://schemas.microsoft.com/office/drawing/2014/main" id="{00000000-0008-0000-0100-00003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2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</xdr:colOff>
      <xdr:row>22</xdr:row>
      <xdr:rowOff>51435</xdr:rowOff>
    </xdr:to>
    <xdr:pic>
      <xdr:nvPicPr>
        <xdr:cNvPr id="9277" name="Picture 7" descr=" ">
          <a:extLst>
            <a:ext uri="{FF2B5EF4-FFF2-40B4-BE49-F238E27FC236}">
              <a16:creationId xmlns:a16="http://schemas.microsoft.com/office/drawing/2014/main" id="{00000000-0008-0000-0100-00003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1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</xdr:colOff>
      <xdr:row>22</xdr:row>
      <xdr:rowOff>51435</xdr:rowOff>
    </xdr:to>
    <xdr:pic>
      <xdr:nvPicPr>
        <xdr:cNvPr id="9278" name="Picture 8" descr=" ">
          <a:extLst>
            <a:ext uri="{FF2B5EF4-FFF2-40B4-BE49-F238E27FC236}">
              <a16:creationId xmlns:a16="http://schemas.microsoft.com/office/drawing/2014/main" id="{00000000-0008-0000-0100-00003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1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</xdr:colOff>
      <xdr:row>22</xdr:row>
      <xdr:rowOff>51435</xdr:rowOff>
    </xdr:to>
    <xdr:pic>
      <xdr:nvPicPr>
        <xdr:cNvPr id="9279" name="Picture 9" descr=" ">
          <a:extLst>
            <a:ext uri="{FF2B5EF4-FFF2-40B4-BE49-F238E27FC236}">
              <a16:creationId xmlns:a16="http://schemas.microsoft.com/office/drawing/2014/main" id="{00000000-0008-0000-0100-00003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1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</xdr:colOff>
      <xdr:row>22</xdr:row>
      <xdr:rowOff>51435</xdr:rowOff>
    </xdr:to>
    <xdr:pic>
      <xdr:nvPicPr>
        <xdr:cNvPr id="9280" name="Picture 10" descr=" ">
          <a:extLst>
            <a:ext uri="{FF2B5EF4-FFF2-40B4-BE49-F238E27FC236}">
              <a16:creationId xmlns:a16="http://schemas.microsoft.com/office/drawing/2014/main" id="{00000000-0008-0000-0100-00004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1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</xdr:colOff>
      <xdr:row>22</xdr:row>
      <xdr:rowOff>51435</xdr:rowOff>
    </xdr:to>
    <xdr:pic>
      <xdr:nvPicPr>
        <xdr:cNvPr id="9281" name="Picture 11" descr=" ">
          <a:extLst>
            <a:ext uri="{FF2B5EF4-FFF2-40B4-BE49-F238E27FC236}">
              <a16:creationId xmlns:a16="http://schemas.microsoft.com/office/drawing/2014/main" id="{00000000-0008-0000-0100-00004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1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</xdr:colOff>
      <xdr:row>22</xdr:row>
      <xdr:rowOff>51435</xdr:rowOff>
    </xdr:to>
    <xdr:pic>
      <xdr:nvPicPr>
        <xdr:cNvPr id="9282" name="Picture 12" descr=" ">
          <a:extLst>
            <a:ext uri="{FF2B5EF4-FFF2-40B4-BE49-F238E27FC236}">
              <a16:creationId xmlns:a16="http://schemas.microsoft.com/office/drawing/2014/main" id="{00000000-0008-0000-0100-00004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1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</xdr:colOff>
      <xdr:row>23</xdr:row>
      <xdr:rowOff>51435</xdr:rowOff>
    </xdr:to>
    <xdr:pic>
      <xdr:nvPicPr>
        <xdr:cNvPr id="9283" name="Picture 7" descr=" ">
          <a:extLst>
            <a:ext uri="{FF2B5EF4-FFF2-40B4-BE49-F238E27FC236}">
              <a16:creationId xmlns:a16="http://schemas.microsoft.com/office/drawing/2014/main" id="{00000000-0008-0000-0100-00004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3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</xdr:colOff>
      <xdr:row>23</xdr:row>
      <xdr:rowOff>51435</xdr:rowOff>
    </xdr:to>
    <xdr:pic>
      <xdr:nvPicPr>
        <xdr:cNvPr id="9284" name="Picture 8" descr=" ">
          <a:extLst>
            <a:ext uri="{FF2B5EF4-FFF2-40B4-BE49-F238E27FC236}">
              <a16:creationId xmlns:a16="http://schemas.microsoft.com/office/drawing/2014/main" id="{00000000-0008-0000-0100-00004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3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</xdr:colOff>
      <xdr:row>23</xdr:row>
      <xdr:rowOff>51435</xdr:rowOff>
    </xdr:to>
    <xdr:pic>
      <xdr:nvPicPr>
        <xdr:cNvPr id="9285" name="Picture 9" descr=" ">
          <a:extLst>
            <a:ext uri="{FF2B5EF4-FFF2-40B4-BE49-F238E27FC236}">
              <a16:creationId xmlns:a16="http://schemas.microsoft.com/office/drawing/2014/main" id="{00000000-0008-0000-0100-00004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3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</xdr:colOff>
      <xdr:row>23</xdr:row>
      <xdr:rowOff>51435</xdr:rowOff>
    </xdr:to>
    <xdr:pic>
      <xdr:nvPicPr>
        <xdr:cNvPr id="9286" name="Picture 10" descr=" ">
          <a:extLst>
            <a:ext uri="{FF2B5EF4-FFF2-40B4-BE49-F238E27FC236}">
              <a16:creationId xmlns:a16="http://schemas.microsoft.com/office/drawing/2014/main" id="{00000000-0008-0000-0100-00004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3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</xdr:colOff>
      <xdr:row>23</xdr:row>
      <xdr:rowOff>51435</xdr:rowOff>
    </xdr:to>
    <xdr:pic>
      <xdr:nvPicPr>
        <xdr:cNvPr id="9287" name="Picture 11" descr=" ">
          <a:extLst>
            <a:ext uri="{FF2B5EF4-FFF2-40B4-BE49-F238E27FC236}">
              <a16:creationId xmlns:a16="http://schemas.microsoft.com/office/drawing/2014/main" id="{00000000-0008-0000-0100-00004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3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</xdr:colOff>
      <xdr:row>23</xdr:row>
      <xdr:rowOff>51435</xdr:rowOff>
    </xdr:to>
    <xdr:pic>
      <xdr:nvPicPr>
        <xdr:cNvPr id="9288" name="Picture 12" descr=" ">
          <a:extLst>
            <a:ext uri="{FF2B5EF4-FFF2-40B4-BE49-F238E27FC236}">
              <a16:creationId xmlns:a16="http://schemas.microsoft.com/office/drawing/2014/main" id="{00000000-0008-0000-0100-00004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3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47625</xdr:rowOff>
    </xdr:to>
    <xdr:pic>
      <xdr:nvPicPr>
        <xdr:cNvPr id="9289" name="Picture 7" descr=" ">
          <a:extLst>
            <a:ext uri="{FF2B5EF4-FFF2-40B4-BE49-F238E27FC236}">
              <a16:creationId xmlns:a16="http://schemas.microsoft.com/office/drawing/2014/main" id="{00000000-0008-0000-0100-00004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47625</xdr:rowOff>
    </xdr:to>
    <xdr:pic>
      <xdr:nvPicPr>
        <xdr:cNvPr id="9290" name="Picture 8" descr=" ">
          <a:extLst>
            <a:ext uri="{FF2B5EF4-FFF2-40B4-BE49-F238E27FC236}">
              <a16:creationId xmlns:a16="http://schemas.microsoft.com/office/drawing/2014/main" id="{00000000-0008-0000-0100-00004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47625</xdr:rowOff>
    </xdr:to>
    <xdr:pic>
      <xdr:nvPicPr>
        <xdr:cNvPr id="9291" name="Picture 9" descr=" ">
          <a:extLst>
            <a:ext uri="{FF2B5EF4-FFF2-40B4-BE49-F238E27FC236}">
              <a16:creationId xmlns:a16="http://schemas.microsoft.com/office/drawing/2014/main" id="{00000000-0008-0000-0100-00004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47625</xdr:rowOff>
    </xdr:to>
    <xdr:pic>
      <xdr:nvPicPr>
        <xdr:cNvPr id="9292" name="Picture 10" descr=" ">
          <a:extLst>
            <a:ext uri="{FF2B5EF4-FFF2-40B4-BE49-F238E27FC236}">
              <a16:creationId xmlns:a16="http://schemas.microsoft.com/office/drawing/2014/main" id="{00000000-0008-0000-0100-00004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47625</xdr:rowOff>
    </xdr:to>
    <xdr:pic>
      <xdr:nvPicPr>
        <xdr:cNvPr id="9293" name="Picture 11" descr=" ">
          <a:extLst>
            <a:ext uri="{FF2B5EF4-FFF2-40B4-BE49-F238E27FC236}">
              <a16:creationId xmlns:a16="http://schemas.microsoft.com/office/drawing/2014/main" id="{00000000-0008-0000-0100-00004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47625</xdr:rowOff>
    </xdr:to>
    <xdr:pic>
      <xdr:nvPicPr>
        <xdr:cNvPr id="9294" name="Picture 12" descr=" ">
          <a:extLst>
            <a:ext uri="{FF2B5EF4-FFF2-40B4-BE49-F238E27FC236}">
              <a16:creationId xmlns:a16="http://schemas.microsoft.com/office/drawing/2014/main" id="{00000000-0008-0000-0100-00004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</xdr:colOff>
      <xdr:row>26</xdr:row>
      <xdr:rowOff>51435</xdr:rowOff>
    </xdr:to>
    <xdr:pic>
      <xdr:nvPicPr>
        <xdr:cNvPr id="9295" name="Picture 7" descr=" ">
          <a:extLst>
            <a:ext uri="{FF2B5EF4-FFF2-40B4-BE49-F238E27FC236}">
              <a16:creationId xmlns:a16="http://schemas.microsoft.com/office/drawing/2014/main" id="{00000000-0008-0000-0100-00004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4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</xdr:colOff>
      <xdr:row>26</xdr:row>
      <xdr:rowOff>51435</xdr:rowOff>
    </xdr:to>
    <xdr:pic>
      <xdr:nvPicPr>
        <xdr:cNvPr id="9296" name="Picture 8" descr=" ">
          <a:extLst>
            <a:ext uri="{FF2B5EF4-FFF2-40B4-BE49-F238E27FC236}">
              <a16:creationId xmlns:a16="http://schemas.microsoft.com/office/drawing/2014/main" id="{00000000-0008-0000-0100-00005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4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</xdr:colOff>
      <xdr:row>26</xdr:row>
      <xdr:rowOff>51435</xdr:rowOff>
    </xdr:to>
    <xdr:pic>
      <xdr:nvPicPr>
        <xdr:cNvPr id="9297" name="Picture 9" descr=" ">
          <a:extLst>
            <a:ext uri="{FF2B5EF4-FFF2-40B4-BE49-F238E27FC236}">
              <a16:creationId xmlns:a16="http://schemas.microsoft.com/office/drawing/2014/main" id="{00000000-0008-0000-0100-00005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4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</xdr:colOff>
      <xdr:row>26</xdr:row>
      <xdr:rowOff>51435</xdr:rowOff>
    </xdr:to>
    <xdr:pic>
      <xdr:nvPicPr>
        <xdr:cNvPr id="9298" name="Picture 10" descr=" ">
          <a:extLst>
            <a:ext uri="{FF2B5EF4-FFF2-40B4-BE49-F238E27FC236}">
              <a16:creationId xmlns:a16="http://schemas.microsoft.com/office/drawing/2014/main" id="{00000000-0008-0000-0100-00005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4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</xdr:colOff>
      <xdr:row>26</xdr:row>
      <xdr:rowOff>51435</xdr:rowOff>
    </xdr:to>
    <xdr:pic>
      <xdr:nvPicPr>
        <xdr:cNvPr id="9299" name="Picture 11" descr=" ">
          <a:extLst>
            <a:ext uri="{FF2B5EF4-FFF2-40B4-BE49-F238E27FC236}">
              <a16:creationId xmlns:a16="http://schemas.microsoft.com/office/drawing/2014/main" id="{00000000-0008-0000-0100-00005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4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</xdr:colOff>
      <xdr:row>26</xdr:row>
      <xdr:rowOff>51435</xdr:rowOff>
    </xdr:to>
    <xdr:pic>
      <xdr:nvPicPr>
        <xdr:cNvPr id="9300" name="Picture 12" descr=" ">
          <a:extLst>
            <a:ext uri="{FF2B5EF4-FFF2-40B4-BE49-F238E27FC236}">
              <a16:creationId xmlns:a16="http://schemas.microsoft.com/office/drawing/2014/main" id="{00000000-0008-0000-0100-00005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4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</xdr:colOff>
      <xdr:row>27</xdr:row>
      <xdr:rowOff>51435</xdr:rowOff>
    </xdr:to>
    <xdr:pic>
      <xdr:nvPicPr>
        <xdr:cNvPr id="9301" name="Picture 7" descr=" ">
          <a:extLst>
            <a:ext uri="{FF2B5EF4-FFF2-40B4-BE49-F238E27FC236}">
              <a16:creationId xmlns:a16="http://schemas.microsoft.com/office/drawing/2014/main" id="{00000000-0008-0000-0100-00005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76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</xdr:colOff>
      <xdr:row>27</xdr:row>
      <xdr:rowOff>51435</xdr:rowOff>
    </xdr:to>
    <xdr:pic>
      <xdr:nvPicPr>
        <xdr:cNvPr id="9302" name="Picture 8" descr=" ">
          <a:extLst>
            <a:ext uri="{FF2B5EF4-FFF2-40B4-BE49-F238E27FC236}">
              <a16:creationId xmlns:a16="http://schemas.microsoft.com/office/drawing/2014/main" id="{00000000-0008-0000-0100-00005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76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</xdr:colOff>
      <xdr:row>27</xdr:row>
      <xdr:rowOff>51435</xdr:rowOff>
    </xdr:to>
    <xdr:pic>
      <xdr:nvPicPr>
        <xdr:cNvPr id="9303" name="Picture 9" descr=" ">
          <a:extLst>
            <a:ext uri="{FF2B5EF4-FFF2-40B4-BE49-F238E27FC236}">
              <a16:creationId xmlns:a16="http://schemas.microsoft.com/office/drawing/2014/main" id="{00000000-0008-0000-0100-00005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76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</xdr:colOff>
      <xdr:row>27</xdr:row>
      <xdr:rowOff>51435</xdr:rowOff>
    </xdr:to>
    <xdr:pic>
      <xdr:nvPicPr>
        <xdr:cNvPr id="9304" name="Picture 10" descr=" ">
          <a:extLst>
            <a:ext uri="{FF2B5EF4-FFF2-40B4-BE49-F238E27FC236}">
              <a16:creationId xmlns:a16="http://schemas.microsoft.com/office/drawing/2014/main" id="{00000000-0008-0000-0100-00005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76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</xdr:colOff>
      <xdr:row>27</xdr:row>
      <xdr:rowOff>51435</xdr:rowOff>
    </xdr:to>
    <xdr:pic>
      <xdr:nvPicPr>
        <xdr:cNvPr id="9305" name="Picture 11" descr=" ">
          <a:extLst>
            <a:ext uri="{FF2B5EF4-FFF2-40B4-BE49-F238E27FC236}">
              <a16:creationId xmlns:a16="http://schemas.microsoft.com/office/drawing/2014/main" id="{00000000-0008-0000-0100-00005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76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</xdr:colOff>
      <xdr:row>27</xdr:row>
      <xdr:rowOff>51435</xdr:rowOff>
    </xdr:to>
    <xdr:pic>
      <xdr:nvPicPr>
        <xdr:cNvPr id="9306" name="Picture 12" descr=" ">
          <a:extLst>
            <a:ext uri="{FF2B5EF4-FFF2-40B4-BE49-F238E27FC236}">
              <a16:creationId xmlns:a16="http://schemas.microsoft.com/office/drawing/2014/main" id="{00000000-0008-0000-0100-00005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76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</xdr:colOff>
      <xdr:row>28</xdr:row>
      <xdr:rowOff>51435</xdr:rowOff>
    </xdr:to>
    <xdr:pic>
      <xdr:nvPicPr>
        <xdr:cNvPr id="9307" name="Picture 7" descr=" ">
          <a:extLst>
            <a:ext uri="{FF2B5EF4-FFF2-40B4-BE49-F238E27FC236}">
              <a16:creationId xmlns:a16="http://schemas.microsoft.com/office/drawing/2014/main" id="{00000000-0008-0000-0100-00005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8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</xdr:colOff>
      <xdr:row>28</xdr:row>
      <xdr:rowOff>51435</xdr:rowOff>
    </xdr:to>
    <xdr:pic>
      <xdr:nvPicPr>
        <xdr:cNvPr id="9308" name="Picture 8" descr=" ">
          <a:extLst>
            <a:ext uri="{FF2B5EF4-FFF2-40B4-BE49-F238E27FC236}">
              <a16:creationId xmlns:a16="http://schemas.microsoft.com/office/drawing/2014/main" id="{00000000-0008-0000-0100-00005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8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</xdr:colOff>
      <xdr:row>28</xdr:row>
      <xdr:rowOff>51435</xdr:rowOff>
    </xdr:to>
    <xdr:pic>
      <xdr:nvPicPr>
        <xdr:cNvPr id="9309" name="Picture 9" descr=" ">
          <a:extLst>
            <a:ext uri="{FF2B5EF4-FFF2-40B4-BE49-F238E27FC236}">
              <a16:creationId xmlns:a16="http://schemas.microsoft.com/office/drawing/2014/main" id="{00000000-0008-0000-0100-00005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8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</xdr:colOff>
      <xdr:row>28</xdr:row>
      <xdr:rowOff>51435</xdr:rowOff>
    </xdr:to>
    <xdr:pic>
      <xdr:nvPicPr>
        <xdr:cNvPr id="9310" name="Picture 10" descr=" ">
          <a:extLst>
            <a:ext uri="{FF2B5EF4-FFF2-40B4-BE49-F238E27FC236}">
              <a16:creationId xmlns:a16="http://schemas.microsoft.com/office/drawing/2014/main" id="{00000000-0008-0000-0100-00005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8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</xdr:colOff>
      <xdr:row>28</xdr:row>
      <xdr:rowOff>51435</xdr:rowOff>
    </xdr:to>
    <xdr:pic>
      <xdr:nvPicPr>
        <xdr:cNvPr id="9311" name="Picture 11" descr=" ">
          <a:extLst>
            <a:ext uri="{FF2B5EF4-FFF2-40B4-BE49-F238E27FC236}">
              <a16:creationId xmlns:a16="http://schemas.microsoft.com/office/drawing/2014/main" id="{00000000-0008-0000-0100-00005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8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</xdr:colOff>
      <xdr:row>28</xdr:row>
      <xdr:rowOff>51435</xdr:rowOff>
    </xdr:to>
    <xdr:pic>
      <xdr:nvPicPr>
        <xdr:cNvPr id="9312" name="Picture 12" descr=" ">
          <a:extLst>
            <a:ext uri="{FF2B5EF4-FFF2-40B4-BE49-F238E27FC236}">
              <a16:creationId xmlns:a16="http://schemas.microsoft.com/office/drawing/2014/main" id="{00000000-0008-0000-0100-00006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8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</xdr:colOff>
      <xdr:row>29</xdr:row>
      <xdr:rowOff>51435</xdr:rowOff>
    </xdr:to>
    <xdr:pic>
      <xdr:nvPicPr>
        <xdr:cNvPr id="9313" name="Picture 7" descr=" ">
          <a:extLst>
            <a:ext uri="{FF2B5EF4-FFF2-40B4-BE49-F238E27FC236}">
              <a16:creationId xmlns:a16="http://schemas.microsoft.com/office/drawing/2014/main" id="{00000000-0008-0000-0100-00006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</xdr:colOff>
      <xdr:row>29</xdr:row>
      <xdr:rowOff>51435</xdr:rowOff>
    </xdr:to>
    <xdr:pic>
      <xdr:nvPicPr>
        <xdr:cNvPr id="9314" name="Picture 8" descr=" ">
          <a:extLst>
            <a:ext uri="{FF2B5EF4-FFF2-40B4-BE49-F238E27FC236}">
              <a16:creationId xmlns:a16="http://schemas.microsoft.com/office/drawing/2014/main" id="{00000000-0008-0000-0100-00006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</xdr:colOff>
      <xdr:row>29</xdr:row>
      <xdr:rowOff>51435</xdr:rowOff>
    </xdr:to>
    <xdr:pic>
      <xdr:nvPicPr>
        <xdr:cNvPr id="9315" name="Picture 9" descr=" ">
          <a:extLst>
            <a:ext uri="{FF2B5EF4-FFF2-40B4-BE49-F238E27FC236}">
              <a16:creationId xmlns:a16="http://schemas.microsoft.com/office/drawing/2014/main" id="{00000000-0008-0000-0100-00006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</xdr:colOff>
      <xdr:row>29</xdr:row>
      <xdr:rowOff>51435</xdr:rowOff>
    </xdr:to>
    <xdr:pic>
      <xdr:nvPicPr>
        <xdr:cNvPr id="9316" name="Picture 10" descr=" ">
          <a:extLst>
            <a:ext uri="{FF2B5EF4-FFF2-40B4-BE49-F238E27FC236}">
              <a16:creationId xmlns:a16="http://schemas.microsoft.com/office/drawing/2014/main" id="{00000000-0008-0000-0100-00006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</xdr:colOff>
      <xdr:row>29</xdr:row>
      <xdr:rowOff>51435</xdr:rowOff>
    </xdr:to>
    <xdr:pic>
      <xdr:nvPicPr>
        <xdr:cNvPr id="9317" name="Picture 11" descr=" ">
          <a:extLst>
            <a:ext uri="{FF2B5EF4-FFF2-40B4-BE49-F238E27FC236}">
              <a16:creationId xmlns:a16="http://schemas.microsoft.com/office/drawing/2014/main" id="{00000000-0008-0000-0100-00006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</xdr:colOff>
      <xdr:row>29</xdr:row>
      <xdr:rowOff>51435</xdr:rowOff>
    </xdr:to>
    <xdr:pic>
      <xdr:nvPicPr>
        <xdr:cNvPr id="9318" name="Picture 12" descr=" ">
          <a:extLst>
            <a:ext uri="{FF2B5EF4-FFF2-40B4-BE49-F238E27FC236}">
              <a16:creationId xmlns:a16="http://schemas.microsoft.com/office/drawing/2014/main" id="{00000000-0008-0000-0100-00006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</xdr:colOff>
      <xdr:row>30</xdr:row>
      <xdr:rowOff>51435</xdr:rowOff>
    </xdr:to>
    <xdr:pic>
      <xdr:nvPicPr>
        <xdr:cNvPr id="9319" name="Picture 7" descr=" ">
          <a:extLst>
            <a:ext uri="{FF2B5EF4-FFF2-40B4-BE49-F238E27FC236}">
              <a16:creationId xmlns:a16="http://schemas.microsoft.com/office/drawing/2014/main" id="{00000000-0008-0000-0100-00006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</xdr:colOff>
      <xdr:row>30</xdr:row>
      <xdr:rowOff>51435</xdr:rowOff>
    </xdr:to>
    <xdr:pic>
      <xdr:nvPicPr>
        <xdr:cNvPr id="9320" name="Picture 8" descr=" ">
          <a:extLst>
            <a:ext uri="{FF2B5EF4-FFF2-40B4-BE49-F238E27FC236}">
              <a16:creationId xmlns:a16="http://schemas.microsoft.com/office/drawing/2014/main" id="{00000000-0008-0000-0100-00006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</xdr:colOff>
      <xdr:row>30</xdr:row>
      <xdr:rowOff>51435</xdr:rowOff>
    </xdr:to>
    <xdr:pic>
      <xdr:nvPicPr>
        <xdr:cNvPr id="9321" name="Picture 9" descr=" ">
          <a:extLst>
            <a:ext uri="{FF2B5EF4-FFF2-40B4-BE49-F238E27FC236}">
              <a16:creationId xmlns:a16="http://schemas.microsoft.com/office/drawing/2014/main" id="{00000000-0008-0000-0100-00006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</xdr:colOff>
      <xdr:row>30</xdr:row>
      <xdr:rowOff>51435</xdr:rowOff>
    </xdr:to>
    <xdr:pic>
      <xdr:nvPicPr>
        <xdr:cNvPr id="9322" name="Picture 10" descr=" ">
          <a:extLst>
            <a:ext uri="{FF2B5EF4-FFF2-40B4-BE49-F238E27FC236}">
              <a16:creationId xmlns:a16="http://schemas.microsoft.com/office/drawing/2014/main" id="{00000000-0008-0000-0100-00006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</xdr:colOff>
      <xdr:row>30</xdr:row>
      <xdr:rowOff>51435</xdr:rowOff>
    </xdr:to>
    <xdr:pic>
      <xdr:nvPicPr>
        <xdr:cNvPr id="9323" name="Picture 11" descr=" ">
          <a:extLst>
            <a:ext uri="{FF2B5EF4-FFF2-40B4-BE49-F238E27FC236}">
              <a16:creationId xmlns:a16="http://schemas.microsoft.com/office/drawing/2014/main" id="{00000000-0008-0000-0100-00006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</xdr:colOff>
      <xdr:row>30</xdr:row>
      <xdr:rowOff>51435</xdr:rowOff>
    </xdr:to>
    <xdr:pic>
      <xdr:nvPicPr>
        <xdr:cNvPr id="9324" name="Picture 12" descr=" ">
          <a:extLst>
            <a:ext uri="{FF2B5EF4-FFF2-40B4-BE49-F238E27FC236}">
              <a16:creationId xmlns:a16="http://schemas.microsoft.com/office/drawing/2014/main" id="{00000000-0008-0000-0100-00006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</xdr:colOff>
      <xdr:row>31</xdr:row>
      <xdr:rowOff>51435</xdr:rowOff>
    </xdr:to>
    <xdr:pic>
      <xdr:nvPicPr>
        <xdr:cNvPr id="9325" name="Picture 7" descr=" ">
          <a:extLst>
            <a:ext uri="{FF2B5EF4-FFF2-40B4-BE49-F238E27FC236}">
              <a16:creationId xmlns:a16="http://schemas.microsoft.com/office/drawing/2014/main" id="{00000000-0008-0000-0100-00006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4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</xdr:colOff>
      <xdr:row>31</xdr:row>
      <xdr:rowOff>51435</xdr:rowOff>
    </xdr:to>
    <xdr:pic>
      <xdr:nvPicPr>
        <xdr:cNvPr id="9326" name="Picture 8" descr=" ">
          <a:extLst>
            <a:ext uri="{FF2B5EF4-FFF2-40B4-BE49-F238E27FC236}">
              <a16:creationId xmlns:a16="http://schemas.microsoft.com/office/drawing/2014/main" id="{00000000-0008-0000-0100-00006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4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</xdr:colOff>
      <xdr:row>31</xdr:row>
      <xdr:rowOff>51435</xdr:rowOff>
    </xdr:to>
    <xdr:pic>
      <xdr:nvPicPr>
        <xdr:cNvPr id="9327" name="Picture 9" descr=" ">
          <a:extLst>
            <a:ext uri="{FF2B5EF4-FFF2-40B4-BE49-F238E27FC236}">
              <a16:creationId xmlns:a16="http://schemas.microsoft.com/office/drawing/2014/main" id="{00000000-0008-0000-0100-00006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4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</xdr:colOff>
      <xdr:row>31</xdr:row>
      <xdr:rowOff>51435</xdr:rowOff>
    </xdr:to>
    <xdr:pic>
      <xdr:nvPicPr>
        <xdr:cNvPr id="9328" name="Picture 10" descr=" ">
          <a:extLst>
            <a:ext uri="{FF2B5EF4-FFF2-40B4-BE49-F238E27FC236}">
              <a16:creationId xmlns:a16="http://schemas.microsoft.com/office/drawing/2014/main" id="{00000000-0008-0000-0100-00007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4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</xdr:colOff>
      <xdr:row>31</xdr:row>
      <xdr:rowOff>51435</xdr:rowOff>
    </xdr:to>
    <xdr:pic>
      <xdr:nvPicPr>
        <xdr:cNvPr id="9329" name="Picture 11" descr=" ">
          <a:extLst>
            <a:ext uri="{FF2B5EF4-FFF2-40B4-BE49-F238E27FC236}">
              <a16:creationId xmlns:a16="http://schemas.microsoft.com/office/drawing/2014/main" id="{00000000-0008-0000-0100-00007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4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</xdr:colOff>
      <xdr:row>31</xdr:row>
      <xdr:rowOff>51435</xdr:rowOff>
    </xdr:to>
    <xdr:pic>
      <xdr:nvPicPr>
        <xdr:cNvPr id="9330" name="Picture 12" descr=" ">
          <a:extLst>
            <a:ext uri="{FF2B5EF4-FFF2-40B4-BE49-F238E27FC236}">
              <a16:creationId xmlns:a16="http://schemas.microsoft.com/office/drawing/2014/main" id="{00000000-0008-0000-0100-00007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24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</xdr:colOff>
      <xdr:row>32</xdr:row>
      <xdr:rowOff>51435</xdr:rowOff>
    </xdr:to>
    <xdr:pic>
      <xdr:nvPicPr>
        <xdr:cNvPr id="9331" name="Picture 7" descr=" ">
          <a:extLst>
            <a:ext uri="{FF2B5EF4-FFF2-40B4-BE49-F238E27FC236}">
              <a16:creationId xmlns:a16="http://schemas.microsoft.com/office/drawing/2014/main" id="{00000000-0008-0000-0100-00007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86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</xdr:colOff>
      <xdr:row>32</xdr:row>
      <xdr:rowOff>51435</xdr:rowOff>
    </xdr:to>
    <xdr:pic>
      <xdr:nvPicPr>
        <xdr:cNvPr id="9332" name="Picture 8" descr=" ">
          <a:extLst>
            <a:ext uri="{FF2B5EF4-FFF2-40B4-BE49-F238E27FC236}">
              <a16:creationId xmlns:a16="http://schemas.microsoft.com/office/drawing/2014/main" id="{00000000-0008-0000-0100-00007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86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</xdr:colOff>
      <xdr:row>32</xdr:row>
      <xdr:rowOff>51435</xdr:rowOff>
    </xdr:to>
    <xdr:pic>
      <xdr:nvPicPr>
        <xdr:cNvPr id="9333" name="Picture 9" descr=" ">
          <a:extLst>
            <a:ext uri="{FF2B5EF4-FFF2-40B4-BE49-F238E27FC236}">
              <a16:creationId xmlns:a16="http://schemas.microsoft.com/office/drawing/2014/main" id="{00000000-0008-0000-0100-00007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86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</xdr:colOff>
      <xdr:row>32</xdr:row>
      <xdr:rowOff>51435</xdr:rowOff>
    </xdr:to>
    <xdr:pic>
      <xdr:nvPicPr>
        <xdr:cNvPr id="9334" name="Picture 10" descr=" ">
          <a:extLst>
            <a:ext uri="{FF2B5EF4-FFF2-40B4-BE49-F238E27FC236}">
              <a16:creationId xmlns:a16="http://schemas.microsoft.com/office/drawing/2014/main" id="{00000000-0008-0000-0100-00007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86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</xdr:colOff>
      <xdr:row>32</xdr:row>
      <xdr:rowOff>51435</xdr:rowOff>
    </xdr:to>
    <xdr:pic>
      <xdr:nvPicPr>
        <xdr:cNvPr id="9335" name="Picture 11" descr=" ">
          <a:extLst>
            <a:ext uri="{FF2B5EF4-FFF2-40B4-BE49-F238E27FC236}">
              <a16:creationId xmlns:a16="http://schemas.microsoft.com/office/drawing/2014/main" id="{00000000-0008-0000-0100-00007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86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</xdr:colOff>
      <xdr:row>32</xdr:row>
      <xdr:rowOff>51435</xdr:rowOff>
    </xdr:to>
    <xdr:pic>
      <xdr:nvPicPr>
        <xdr:cNvPr id="9336" name="Picture 12" descr=" ">
          <a:extLst>
            <a:ext uri="{FF2B5EF4-FFF2-40B4-BE49-F238E27FC236}">
              <a16:creationId xmlns:a16="http://schemas.microsoft.com/office/drawing/2014/main" id="{00000000-0008-0000-0100-00007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86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</xdr:colOff>
      <xdr:row>33</xdr:row>
      <xdr:rowOff>51435</xdr:rowOff>
    </xdr:to>
    <xdr:pic>
      <xdr:nvPicPr>
        <xdr:cNvPr id="9337" name="Picture 7" descr=" ">
          <a:extLst>
            <a:ext uri="{FF2B5EF4-FFF2-40B4-BE49-F238E27FC236}">
              <a16:creationId xmlns:a16="http://schemas.microsoft.com/office/drawing/2014/main" id="{00000000-0008-0000-0100-00007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48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</xdr:colOff>
      <xdr:row>33</xdr:row>
      <xdr:rowOff>51435</xdr:rowOff>
    </xdr:to>
    <xdr:pic>
      <xdr:nvPicPr>
        <xdr:cNvPr id="9338" name="Picture 8" descr=" ">
          <a:extLst>
            <a:ext uri="{FF2B5EF4-FFF2-40B4-BE49-F238E27FC236}">
              <a16:creationId xmlns:a16="http://schemas.microsoft.com/office/drawing/2014/main" id="{00000000-0008-0000-0100-00007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48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</xdr:colOff>
      <xdr:row>33</xdr:row>
      <xdr:rowOff>51435</xdr:rowOff>
    </xdr:to>
    <xdr:pic>
      <xdr:nvPicPr>
        <xdr:cNvPr id="9339" name="Picture 9" descr=" ">
          <a:extLst>
            <a:ext uri="{FF2B5EF4-FFF2-40B4-BE49-F238E27FC236}">
              <a16:creationId xmlns:a16="http://schemas.microsoft.com/office/drawing/2014/main" id="{00000000-0008-0000-0100-00007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48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</xdr:colOff>
      <xdr:row>33</xdr:row>
      <xdr:rowOff>51435</xdr:rowOff>
    </xdr:to>
    <xdr:pic>
      <xdr:nvPicPr>
        <xdr:cNvPr id="9340" name="Picture 10" descr=" ">
          <a:extLst>
            <a:ext uri="{FF2B5EF4-FFF2-40B4-BE49-F238E27FC236}">
              <a16:creationId xmlns:a16="http://schemas.microsoft.com/office/drawing/2014/main" id="{00000000-0008-0000-0100-00007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48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</xdr:colOff>
      <xdr:row>33</xdr:row>
      <xdr:rowOff>51435</xdr:rowOff>
    </xdr:to>
    <xdr:pic>
      <xdr:nvPicPr>
        <xdr:cNvPr id="9341" name="Picture 11" descr=" ">
          <a:extLst>
            <a:ext uri="{FF2B5EF4-FFF2-40B4-BE49-F238E27FC236}">
              <a16:creationId xmlns:a16="http://schemas.microsoft.com/office/drawing/2014/main" id="{00000000-0008-0000-0100-00007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48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</xdr:colOff>
      <xdr:row>33</xdr:row>
      <xdr:rowOff>51435</xdr:rowOff>
    </xdr:to>
    <xdr:pic>
      <xdr:nvPicPr>
        <xdr:cNvPr id="9342" name="Picture 12" descr=" ">
          <a:extLst>
            <a:ext uri="{FF2B5EF4-FFF2-40B4-BE49-F238E27FC236}">
              <a16:creationId xmlns:a16="http://schemas.microsoft.com/office/drawing/2014/main" id="{00000000-0008-0000-0100-00007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48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</xdr:colOff>
      <xdr:row>34</xdr:row>
      <xdr:rowOff>51435</xdr:rowOff>
    </xdr:to>
    <xdr:pic>
      <xdr:nvPicPr>
        <xdr:cNvPr id="9343" name="Picture 7" descr=" ">
          <a:extLst>
            <a:ext uri="{FF2B5EF4-FFF2-40B4-BE49-F238E27FC236}">
              <a16:creationId xmlns:a16="http://schemas.microsoft.com/office/drawing/2014/main" id="{00000000-0008-0000-0100-00007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0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</xdr:colOff>
      <xdr:row>34</xdr:row>
      <xdr:rowOff>51435</xdr:rowOff>
    </xdr:to>
    <xdr:pic>
      <xdr:nvPicPr>
        <xdr:cNvPr id="9344" name="Picture 8" descr=" ">
          <a:extLst>
            <a:ext uri="{FF2B5EF4-FFF2-40B4-BE49-F238E27FC236}">
              <a16:creationId xmlns:a16="http://schemas.microsoft.com/office/drawing/2014/main" id="{00000000-0008-0000-0100-00008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0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</xdr:colOff>
      <xdr:row>34</xdr:row>
      <xdr:rowOff>51435</xdr:rowOff>
    </xdr:to>
    <xdr:pic>
      <xdr:nvPicPr>
        <xdr:cNvPr id="9345" name="Picture 9" descr=" ">
          <a:extLst>
            <a:ext uri="{FF2B5EF4-FFF2-40B4-BE49-F238E27FC236}">
              <a16:creationId xmlns:a16="http://schemas.microsoft.com/office/drawing/2014/main" id="{00000000-0008-0000-0100-00008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0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</xdr:colOff>
      <xdr:row>34</xdr:row>
      <xdr:rowOff>51435</xdr:rowOff>
    </xdr:to>
    <xdr:pic>
      <xdr:nvPicPr>
        <xdr:cNvPr id="9346" name="Picture 10" descr=" ">
          <a:extLst>
            <a:ext uri="{FF2B5EF4-FFF2-40B4-BE49-F238E27FC236}">
              <a16:creationId xmlns:a16="http://schemas.microsoft.com/office/drawing/2014/main" id="{00000000-0008-0000-0100-00008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0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</xdr:colOff>
      <xdr:row>34</xdr:row>
      <xdr:rowOff>51435</xdr:rowOff>
    </xdr:to>
    <xdr:pic>
      <xdr:nvPicPr>
        <xdr:cNvPr id="9347" name="Picture 11" descr=" ">
          <a:extLst>
            <a:ext uri="{FF2B5EF4-FFF2-40B4-BE49-F238E27FC236}">
              <a16:creationId xmlns:a16="http://schemas.microsoft.com/office/drawing/2014/main" id="{00000000-0008-0000-0100-00008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0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</xdr:colOff>
      <xdr:row>34</xdr:row>
      <xdr:rowOff>51435</xdr:rowOff>
    </xdr:to>
    <xdr:pic>
      <xdr:nvPicPr>
        <xdr:cNvPr id="9348" name="Picture 12" descr=" ">
          <a:extLst>
            <a:ext uri="{FF2B5EF4-FFF2-40B4-BE49-F238E27FC236}">
              <a16:creationId xmlns:a16="http://schemas.microsoft.com/office/drawing/2014/main" id="{00000000-0008-0000-0100-00008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0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</xdr:colOff>
      <xdr:row>35</xdr:row>
      <xdr:rowOff>51435</xdr:rowOff>
    </xdr:to>
    <xdr:pic>
      <xdr:nvPicPr>
        <xdr:cNvPr id="9349" name="Picture 7" descr=" ">
          <a:extLst>
            <a:ext uri="{FF2B5EF4-FFF2-40B4-BE49-F238E27FC236}">
              <a16:creationId xmlns:a16="http://schemas.microsoft.com/office/drawing/2014/main" id="{00000000-0008-0000-0100-00008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</xdr:colOff>
      <xdr:row>35</xdr:row>
      <xdr:rowOff>51435</xdr:rowOff>
    </xdr:to>
    <xdr:pic>
      <xdr:nvPicPr>
        <xdr:cNvPr id="9350" name="Picture 8" descr=" ">
          <a:extLst>
            <a:ext uri="{FF2B5EF4-FFF2-40B4-BE49-F238E27FC236}">
              <a16:creationId xmlns:a16="http://schemas.microsoft.com/office/drawing/2014/main" id="{00000000-0008-0000-0100-00008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</xdr:colOff>
      <xdr:row>35</xdr:row>
      <xdr:rowOff>51435</xdr:rowOff>
    </xdr:to>
    <xdr:pic>
      <xdr:nvPicPr>
        <xdr:cNvPr id="9351" name="Picture 9" descr=" ">
          <a:extLst>
            <a:ext uri="{FF2B5EF4-FFF2-40B4-BE49-F238E27FC236}">
              <a16:creationId xmlns:a16="http://schemas.microsoft.com/office/drawing/2014/main" id="{00000000-0008-0000-0100-00008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</xdr:colOff>
      <xdr:row>35</xdr:row>
      <xdr:rowOff>51435</xdr:rowOff>
    </xdr:to>
    <xdr:pic>
      <xdr:nvPicPr>
        <xdr:cNvPr id="9352" name="Picture 10" descr=" ">
          <a:extLst>
            <a:ext uri="{FF2B5EF4-FFF2-40B4-BE49-F238E27FC236}">
              <a16:creationId xmlns:a16="http://schemas.microsoft.com/office/drawing/2014/main" id="{00000000-0008-0000-0100-00008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</xdr:colOff>
      <xdr:row>35</xdr:row>
      <xdr:rowOff>51435</xdr:rowOff>
    </xdr:to>
    <xdr:pic>
      <xdr:nvPicPr>
        <xdr:cNvPr id="9353" name="Picture 11" descr=" ">
          <a:extLst>
            <a:ext uri="{FF2B5EF4-FFF2-40B4-BE49-F238E27FC236}">
              <a16:creationId xmlns:a16="http://schemas.microsoft.com/office/drawing/2014/main" id="{00000000-0008-0000-0100-00008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</xdr:colOff>
      <xdr:row>35</xdr:row>
      <xdr:rowOff>51435</xdr:rowOff>
    </xdr:to>
    <xdr:pic>
      <xdr:nvPicPr>
        <xdr:cNvPr id="9354" name="Picture 12" descr=" ">
          <a:extLst>
            <a:ext uri="{FF2B5EF4-FFF2-40B4-BE49-F238E27FC236}">
              <a16:creationId xmlns:a16="http://schemas.microsoft.com/office/drawing/2014/main" id="{00000000-0008-0000-0100-00008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</xdr:colOff>
      <xdr:row>36</xdr:row>
      <xdr:rowOff>51435</xdr:rowOff>
    </xdr:to>
    <xdr:pic>
      <xdr:nvPicPr>
        <xdr:cNvPr id="9355" name="Picture 7" descr=" ">
          <a:extLst>
            <a:ext uri="{FF2B5EF4-FFF2-40B4-BE49-F238E27FC236}">
              <a16:creationId xmlns:a16="http://schemas.microsoft.com/office/drawing/2014/main" id="{00000000-0008-0000-0100-00008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</xdr:colOff>
      <xdr:row>36</xdr:row>
      <xdr:rowOff>51435</xdr:rowOff>
    </xdr:to>
    <xdr:pic>
      <xdr:nvPicPr>
        <xdr:cNvPr id="9356" name="Picture 8" descr=" ">
          <a:extLst>
            <a:ext uri="{FF2B5EF4-FFF2-40B4-BE49-F238E27FC236}">
              <a16:creationId xmlns:a16="http://schemas.microsoft.com/office/drawing/2014/main" id="{00000000-0008-0000-0100-00008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</xdr:colOff>
      <xdr:row>36</xdr:row>
      <xdr:rowOff>51435</xdr:rowOff>
    </xdr:to>
    <xdr:pic>
      <xdr:nvPicPr>
        <xdr:cNvPr id="9357" name="Picture 9" descr=" ">
          <a:extLst>
            <a:ext uri="{FF2B5EF4-FFF2-40B4-BE49-F238E27FC236}">
              <a16:creationId xmlns:a16="http://schemas.microsoft.com/office/drawing/2014/main" id="{00000000-0008-0000-0100-00008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</xdr:colOff>
      <xdr:row>36</xdr:row>
      <xdr:rowOff>51435</xdr:rowOff>
    </xdr:to>
    <xdr:pic>
      <xdr:nvPicPr>
        <xdr:cNvPr id="9358" name="Picture 10" descr=" ">
          <a:extLst>
            <a:ext uri="{FF2B5EF4-FFF2-40B4-BE49-F238E27FC236}">
              <a16:creationId xmlns:a16="http://schemas.microsoft.com/office/drawing/2014/main" id="{00000000-0008-0000-0100-00008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</xdr:colOff>
      <xdr:row>36</xdr:row>
      <xdr:rowOff>51435</xdr:rowOff>
    </xdr:to>
    <xdr:pic>
      <xdr:nvPicPr>
        <xdr:cNvPr id="9359" name="Picture 11" descr=" ">
          <a:extLst>
            <a:ext uri="{FF2B5EF4-FFF2-40B4-BE49-F238E27FC236}">
              <a16:creationId xmlns:a16="http://schemas.microsoft.com/office/drawing/2014/main" id="{00000000-0008-0000-0100-00008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</xdr:colOff>
      <xdr:row>36</xdr:row>
      <xdr:rowOff>51435</xdr:rowOff>
    </xdr:to>
    <xdr:pic>
      <xdr:nvPicPr>
        <xdr:cNvPr id="9360" name="Picture 12" descr=" ">
          <a:extLst>
            <a:ext uri="{FF2B5EF4-FFF2-40B4-BE49-F238E27FC236}">
              <a16:creationId xmlns:a16="http://schemas.microsoft.com/office/drawing/2014/main" id="{00000000-0008-0000-0100-00009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</xdr:colOff>
      <xdr:row>38</xdr:row>
      <xdr:rowOff>51435</xdr:rowOff>
    </xdr:to>
    <xdr:pic>
      <xdr:nvPicPr>
        <xdr:cNvPr id="9361" name="Picture 7" descr=" ">
          <a:extLst>
            <a:ext uri="{FF2B5EF4-FFF2-40B4-BE49-F238E27FC236}">
              <a16:creationId xmlns:a16="http://schemas.microsoft.com/office/drawing/2014/main" id="{00000000-0008-0000-0100-00009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</xdr:colOff>
      <xdr:row>38</xdr:row>
      <xdr:rowOff>51435</xdr:rowOff>
    </xdr:to>
    <xdr:pic>
      <xdr:nvPicPr>
        <xdr:cNvPr id="9362" name="Picture 8" descr=" ">
          <a:extLst>
            <a:ext uri="{FF2B5EF4-FFF2-40B4-BE49-F238E27FC236}">
              <a16:creationId xmlns:a16="http://schemas.microsoft.com/office/drawing/2014/main" id="{00000000-0008-0000-0100-00009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</xdr:colOff>
      <xdr:row>38</xdr:row>
      <xdr:rowOff>51435</xdr:rowOff>
    </xdr:to>
    <xdr:pic>
      <xdr:nvPicPr>
        <xdr:cNvPr id="9363" name="Picture 9" descr=" ">
          <a:extLst>
            <a:ext uri="{FF2B5EF4-FFF2-40B4-BE49-F238E27FC236}">
              <a16:creationId xmlns:a16="http://schemas.microsoft.com/office/drawing/2014/main" id="{00000000-0008-0000-0100-00009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</xdr:colOff>
      <xdr:row>38</xdr:row>
      <xdr:rowOff>51435</xdr:rowOff>
    </xdr:to>
    <xdr:pic>
      <xdr:nvPicPr>
        <xdr:cNvPr id="9364" name="Picture 10" descr=" ">
          <a:extLst>
            <a:ext uri="{FF2B5EF4-FFF2-40B4-BE49-F238E27FC236}">
              <a16:creationId xmlns:a16="http://schemas.microsoft.com/office/drawing/2014/main" id="{00000000-0008-0000-0100-00009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</xdr:colOff>
      <xdr:row>38</xdr:row>
      <xdr:rowOff>51435</xdr:rowOff>
    </xdr:to>
    <xdr:pic>
      <xdr:nvPicPr>
        <xdr:cNvPr id="9365" name="Picture 11" descr=" ">
          <a:extLst>
            <a:ext uri="{FF2B5EF4-FFF2-40B4-BE49-F238E27FC236}">
              <a16:creationId xmlns:a16="http://schemas.microsoft.com/office/drawing/2014/main" id="{00000000-0008-0000-0100-00009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</xdr:colOff>
      <xdr:row>38</xdr:row>
      <xdr:rowOff>51435</xdr:rowOff>
    </xdr:to>
    <xdr:pic>
      <xdr:nvPicPr>
        <xdr:cNvPr id="9366" name="Picture 12" descr=" ">
          <a:extLst>
            <a:ext uri="{FF2B5EF4-FFF2-40B4-BE49-F238E27FC236}">
              <a16:creationId xmlns:a16="http://schemas.microsoft.com/office/drawing/2014/main" id="{00000000-0008-0000-0100-00009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</xdr:colOff>
      <xdr:row>39</xdr:row>
      <xdr:rowOff>51435</xdr:rowOff>
    </xdr:to>
    <xdr:pic>
      <xdr:nvPicPr>
        <xdr:cNvPr id="9367" name="Picture 7" descr=" ">
          <a:extLst>
            <a:ext uri="{FF2B5EF4-FFF2-40B4-BE49-F238E27FC236}">
              <a16:creationId xmlns:a16="http://schemas.microsoft.com/office/drawing/2014/main" id="{00000000-0008-0000-0100-00009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57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</xdr:colOff>
      <xdr:row>39</xdr:row>
      <xdr:rowOff>51435</xdr:rowOff>
    </xdr:to>
    <xdr:pic>
      <xdr:nvPicPr>
        <xdr:cNvPr id="9368" name="Picture 8" descr=" ">
          <a:extLst>
            <a:ext uri="{FF2B5EF4-FFF2-40B4-BE49-F238E27FC236}">
              <a16:creationId xmlns:a16="http://schemas.microsoft.com/office/drawing/2014/main" id="{00000000-0008-0000-0100-00009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57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</xdr:colOff>
      <xdr:row>39</xdr:row>
      <xdr:rowOff>51435</xdr:rowOff>
    </xdr:to>
    <xdr:pic>
      <xdr:nvPicPr>
        <xdr:cNvPr id="9369" name="Picture 9" descr=" ">
          <a:extLst>
            <a:ext uri="{FF2B5EF4-FFF2-40B4-BE49-F238E27FC236}">
              <a16:creationId xmlns:a16="http://schemas.microsoft.com/office/drawing/2014/main" id="{00000000-0008-0000-0100-00009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57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</xdr:colOff>
      <xdr:row>39</xdr:row>
      <xdr:rowOff>51435</xdr:rowOff>
    </xdr:to>
    <xdr:pic>
      <xdr:nvPicPr>
        <xdr:cNvPr id="9370" name="Picture 10" descr=" ">
          <a:extLst>
            <a:ext uri="{FF2B5EF4-FFF2-40B4-BE49-F238E27FC236}">
              <a16:creationId xmlns:a16="http://schemas.microsoft.com/office/drawing/2014/main" id="{00000000-0008-0000-0100-00009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57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</xdr:colOff>
      <xdr:row>39</xdr:row>
      <xdr:rowOff>51435</xdr:rowOff>
    </xdr:to>
    <xdr:pic>
      <xdr:nvPicPr>
        <xdr:cNvPr id="9371" name="Picture 11" descr=" ">
          <a:extLst>
            <a:ext uri="{FF2B5EF4-FFF2-40B4-BE49-F238E27FC236}">
              <a16:creationId xmlns:a16="http://schemas.microsoft.com/office/drawing/2014/main" id="{00000000-0008-0000-0100-00009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57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</xdr:colOff>
      <xdr:row>39</xdr:row>
      <xdr:rowOff>51435</xdr:rowOff>
    </xdr:to>
    <xdr:pic>
      <xdr:nvPicPr>
        <xdr:cNvPr id="9372" name="Picture 12" descr=" ">
          <a:extLst>
            <a:ext uri="{FF2B5EF4-FFF2-40B4-BE49-F238E27FC236}">
              <a16:creationId xmlns:a16="http://schemas.microsoft.com/office/drawing/2014/main" id="{00000000-0008-0000-0100-00009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57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</xdr:colOff>
      <xdr:row>40</xdr:row>
      <xdr:rowOff>51435</xdr:rowOff>
    </xdr:to>
    <xdr:pic>
      <xdr:nvPicPr>
        <xdr:cNvPr id="9373" name="Picture 7" descr=" ">
          <a:extLst>
            <a:ext uri="{FF2B5EF4-FFF2-40B4-BE49-F238E27FC236}">
              <a16:creationId xmlns:a16="http://schemas.microsoft.com/office/drawing/2014/main" id="{00000000-0008-0000-0100-00009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19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</xdr:colOff>
      <xdr:row>40</xdr:row>
      <xdr:rowOff>51435</xdr:rowOff>
    </xdr:to>
    <xdr:pic>
      <xdr:nvPicPr>
        <xdr:cNvPr id="9374" name="Picture 8" descr=" ">
          <a:extLst>
            <a:ext uri="{FF2B5EF4-FFF2-40B4-BE49-F238E27FC236}">
              <a16:creationId xmlns:a16="http://schemas.microsoft.com/office/drawing/2014/main" id="{00000000-0008-0000-0100-00009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19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</xdr:colOff>
      <xdr:row>40</xdr:row>
      <xdr:rowOff>51435</xdr:rowOff>
    </xdr:to>
    <xdr:pic>
      <xdr:nvPicPr>
        <xdr:cNvPr id="9375" name="Picture 9" descr=" ">
          <a:extLst>
            <a:ext uri="{FF2B5EF4-FFF2-40B4-BE49-F238E27FC236}">
              <a16:creationId xmlns:a16="http://schemas.microsoft.com/office/drawing/2014/main" id="{00000000-0008-0000-0100-00009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19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</xdr:colOff>
      <xdr:row>40</xdr:row>
      <xdr:rowOff>51435</xdr:rowOff>
    </xdr:to>
    <xdr:pic>
      <xdr:nvPicPr>
        <xdr:cNvPr id="9376" name="Picture 10" descr=" ">
          <a:extLst>
            <a:ext uri="{FF2B5EF4-FFF2-40B4-BE49-F238E27FC236}">
              <a16:creationId xmlns:a16="http://schemas.microsoft.com/office/drawing/2014/main" id="{00000000-0008-0000-0100-0000A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19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</xdr:colOff>
      <xdr:row>40</xdr:row>
      <xdr:rowOff>51435</xdr:rowOff>
    </xdr:to>
    <xdr:pic>
      <xdr:nvPicPr>
        <xdr:cNvPr id="9377" name="Picture 11" descr=" ">
          <a:extLst>
            <a:ext uri="{FF2B5EF4-FFF2-40B4-BE49-F238E27FC236}">
              <a16:creationId xmlns:a16="http://schemas.microsoft.com/office/drawing/2014/main" id="{00000000-0008-0000-0100-0000A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19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</xdr:colOff>
      <xdr:row>40</xdr:row>
      <xdr:rowOff>51435</xdr:rowOff>
    </xdr:to>
    <xdr:pic>
      <xdr:nvPicPr>
        <xdr:cNvPr id="9378" name="Picture 12" descr=" ">
          <a:extLst>
            <a:ext uri="{FF2B5EF4-FFF2-40B4-BE49-F238E27FC236}">
              <a16:creationId xmlns:a16="http://schemas.microsoft.com/office/drawing/2014/main" id="{00000000-0008-0000-0100-0000A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19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9379" name="Picture 7" descr=" ">
          <a:extLst>
            <a:ext uri="{FF2B5EF4-FFF2-40B4-BE49-F238E27FC236}">
              <a16:creationId xmlns:a16="http://schemas.microsoft.com/office/drawing/2014/main" id="{00000000-0008-0000-0100-0000A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9380" name="Picture 8" descr=" ">
          <a:extLst>
            <a:ext uri="{FF2B5EF4-FFF2-40B4-BE49-F238E27FC236}">
              <a16:creationId xmlns:a16="http://schemas.microsoft.com/office/drawing/2014/main" id="{00000000-0008-0000-0100-0000A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9381" name="Picture 9" descr=" ">
          <a:extLst>
            <a:ext uri="{FF2B5EF4-FFF2-40B4-BE49-F238E27FC236}">
              <a16:creationId xmlns:a16="http://schemas.microsoft.com/office/drawing/2014/main" id="{00000000-0008-0000-0100-0000A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9382" name="Picture 10" descr=" ">
          <a:extLst>
            <a:ext uri="{FF2B5EF4-FFF2-40B4-BE49-F238E27FC236}">
              <a16:creationId xmlns:a16="http://schemas.microsoft.com/office/drawing/2014/main" id="{00000000-0008-0000-0100-0000A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9383" name="Picture 11" descr=" ">
          <a:extLst>
            <a:ext uri="{FF2B5EF4-FFF2-40B4-BE49-F238E27FC236}">
              <a16:creationId xmlns:a16="http://schemas.microsoft.com/office/drawing/2014/main" id="{00000000-0008-0000-0100-0000A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9384" name="Picture 12" descr=" ">
          <a:extLst>
            <a:ext uri="{FF2B5EF4-FFF2-40B4-BE49-F238E27FC236}">
              <a16:creationId xmlns:a16="http://schemas.microsoft.com/office/drawing/2014/main" id="{00000000-0008-0000-0100-0000A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</xdr:colOff>
      <xdr:row>42</xdr:row>
      <xdr:rowOff>47625</xdr:rowOff>
    </xdr:to>
    <xdr:pic>
      <xdr:nvPicPr>
        <xdr:cNvPr id="9385" name="Picture 7" descr=" ">
          <a:extLst>
            <a:ext uri="{FF2B5EF4-FFF2-40B4-BE49-F238E27FC236}">
              <a16:creationId xmlns:a16="http://schemas.microsoft.com/office/drawing/2014/main" id="{00000000-0008-0000-0100-0000A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43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</xdr:colOff>
      <xdr:row>42</xdr:row>
      <xdr:rowOff>47625</xdr:rowOff>
    </xdr:to>
    <xdr:pic>
      <xdr:nvPicPr>
        <xdr:cNvPr id="9386" name="Picture 8" descr=" ">
          <a:extLst>
            <a:ext uri="{FF2B5EF4-FFF2-40B4-BE49-F238E27FC236}">
              <a16:creationId xmlns:a16="http://schemas.microsoft.com/office/drawing/2014/main" id="{00000000-0008-0000-0100-0000A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43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</xdr:colOff>
      <xdr:row>42</xdr:row>
      <xdr:rowOff>47625</xdr:rowOff>
    </xdr:to>
    <xdr:pic>
      <xdr:nvPicPr>
        <xdr:cNvPr id="9387" name="Picture 9" descr=" ">
          <a:extLst>
            <a:ext uri="{FF2B5EF4-FFF2-40B4-BE49-F238E27FC236}">
              <a16:creationId xmlns:a16="http://schemas.microsoft.com/office/drawing/2014/main" id="{00000000-0008-0000-0100-0000A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43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</xdr:colOff>
      <xdr:row>42</xdr:row>
      <xdr:rowOff>47625</xdr:rowOff>
    </xdr:to>
    <xdr:pic>
      <xdr:nvPicPr>
        <xdr:cNvPr id="9388" name="Picture 10" descr=" ">
          <a:extLst>
            <a:ext uri="{FF2B5EF4-FFF2-40B4-BE49-F238E27FC236}">
              <a16:creationId xmlns:a16="http://schemas.microsoft.com/office/drawing/2014/main" id="{00000000-0008-0000-0100-0000A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43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</xdr:colOff>
      <xdr:row>42</xdr:row>
      <xdr:rowOff>47625</xdr:rowOff>
    </xdr:to>
    <xdr:pic>
      <xdr:nvPicPr>
        <xdr:cNvPr id="9389" name="Picture 11" descr=" ">
          <a:extLst>
            <a:ext uri="{FF2B5EF4-FFF2-40B4-BE49-F238E27FC236}">
              <a16:creationId xmlns:a16="http://schemas.microsoft.com/office/drawing/2014/main" id="{00000000-0008-0000-0100-0000A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43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</xdr:colOff>
      <xdr:row>42</xdr:row>
      <xdr:rowOff>47625</xdr:rowOff>
    </xdr:to>
    <xdr:pic>
      <xdr:nvPicPr>
        <xdr:cNvPr id="9390" name="Picture 12" descr=" ">
          <a:extLst>
            <a:ext uri="{FF2B5EF4-FFF2-40B4-BE49-F238E27FC236}">
              <a16:creationId xmlns:a16="http://schemas.microsoft.com/office/drawing/2014/main" id="{00000000-0008-0000-0100-0000A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43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</xdr:colOff>
      <xdr:row>44</xdr:row>
      <xdr:rowOff>51435</xdr:rowOff>
    </xdr:to>
    <xdr:pic>
      <xdr:nvPicPr>
        <xdr:cNvPr id="9391" name="Picture 7" descr=" ">
          <a:extLst>
            <a:ext uri="{FF2B5EF4-FFF2-40B4-BE49-F238E27FC236}">
              <a16:creationId xmlns:a16="http://schemas.microsoft.com/office/drawing/2014/main" id="{00000000-0008-0000-0100-0000A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00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</xdr:colOff>
      <xdr:row>44</xdr:row>
      <xdr:rowOff>51435</xdr:rowOff>
    </xdr:to>
    <xdr:pic>
      <xdr:nvPicPr>
        <xdr:cNvPr id="9392" name="Picture 8" descr=" ">
          <a:extLst>
            <a:ext uri="{FF2B5EF4-FFF2-40B4-BE49-F238E27FC236}">
              <a16:creationId xmlns:a16="http://schemas.microsoft.com/office/drawing/2014/main" id="{00000000-0008-0000-0100-0000B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00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</xdr:colOff>
      <xdr:row>44</xdr:row>
      <xdr:rowOff>51435</xdr:rowOff>
    </xdr:to>
    <xdr:pic>
      <xdr:nvPicPr>
        <xdr:cNvPr id="9393" name="Picture 9" descr=" ">
          <a:extLst>
            <a:ext uri="{FF2B5EF4-FFF2-40B4-BE49-F238E27FC236}">
              <a16:creationId xmlns:a16="http://schemas.microsoft.com/office/drawing/2014/main" id="{00000000-0008-0000-0100-0000B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00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</xdr:colOff>
      <xdr:row>44</xdr:row>
      <xdr:rowOff>51435</xdr:rowOff>
    </xdr:to>
    <xdr:pic>
      <xdr:nvPicPr>
        <xdr:cNvPr id="9394" name="Picture 10" descr=" ">
          <a:extLst>
            <a:ext uri="{FF2B5EF4-FFF2-40B4-BE49-F238E27FC236}">
              <a16:creationId xmlns:a16="http://schemas.microsoft.com/office/drawing/2014/main" id="{00000000-0008-0000-0100-0000B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00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</xdr:colOff>
      <xdr:row>44</xdr:row>
      <xdr:rowOff>51435</xdr:rowOff>
    </xdr:to>
    <xdr:pic>
      <xdr:nvPicPr>
        <xdr:cNvPr id="9395" name="Picture 11" descr=" ">
          <a:extLst>
            <a:ext uri="{FF2B5EF4-FFF2-40B4-BE49-F238E27FC236}">
              <a16:creationId xmlns:a16="http://schemas.microsoft.com/office/drawing/2014/main" id="{00000000-0008-0000-0100-0000B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00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</xdr:colOff>
      <xdr:row>44</xdr:row>
      <xdr:rowOff>51435</xdr:rowOff>
    </xdr:to>
    <xdr:pic>
      <xdr:nvPicPr>
        <xdr:cNvPr id="9396" name="Picture 12" descr=" ">
          <a:extLst>
            <a:ext uri="{FF2B5EF4-FFF2-40B4-BE49-F238E27FC236}">
              <a16:creationId xmlns:a16="http://schemas.microsoft.com/office/drawing/2014/main" id="{00000000-0008-0000-0100-0000B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00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</xdr:colOff>
      <xdr:row>45</xdr:row>
      <xdr:rowOff>51435</xdr:rowOff>
    </xdr:to>
    <xdr:pic>
      <xdr:nvPicPr>
        <xdr:cNvPr id="9397" name="Picture 7" descr=" ">
          <a:extLst>
            <a:ext uri="{FF2B5EF4-FFF2-40B4-BE49-F238E27FC236}">
              <a16:creationId xmlns:a16="http://schemas.microsoft.com/office/drawing/2014/main" id="{00000000-0008-0000-0100-0000B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62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</xdr:colOff>
      <xdr:row>45</xdr:row>
      <xdr:rowOff>51435</xdr:rowOff>
    </xdr:to>
    <xdr:pic>
      <xdr:nvPicPr>
        <xdr:cNvPr id="9398" name="Picture 8" descr=" ">
          <a:extLst>
            <a:ext uri="{FF2B5EF4-FFF2-40B4-BE49-F238E27FC236}">
              <a16:creationId xmlns:a16="http://schemas.microsoft.com/office/drawing/2014/main" id="{00000000-0008-0000-0100-0000B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62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</xdr:colOff>
      <xdr:row>45</xdr:row>
      <xdr:rowOff>51435</xdr:rowOff>
    </xdr:to>
    <xdr:pic>
      <xdr:nvPicPr>
        <xdr:cNvPr id="9399" name="Picture 9" descr=" ">
          <a:extLst>
            <a:ext uri="{FF2B5EF4-FFF2-40B4-BE49-F238E27FC236}">
              <a16:creationId xmlns:a16="http://schemas.microsoft.com/office/drawing/2014/main" id="{00000000-0008-0000-0100-0000B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62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</xdr:colOff>
      <xdr:row>45</xdr:row>
      <xdr:rowOff>51435</xdr:rowOff>
    </xdr:to>
    <xdr:pic>
      <xdr:nvPicPr>
        <xdr:cNvPr id="9400" name="Picture 10" descr=" ">
          <a:extLst>
            <a:ext uri="{FF2B5EF4-FFF2-40B4-BE49-F238E27FC236}">
              <a16:creationId xmlns:a16="http://schemas.microsoft.com/office/drawing/2014/main" id="{00000000-0008-0000-0100-0000B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62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</xdr:colOff>
      <xdr:row>45</xdr:row>
      <xdr:rowOff>51435</xdr:rowOff>
    </xdr:to>
    <xdr:pic>
      <xdr:nvPicPr>
        <xdr:cNvPr id="9401" name="Picture 11" descr=" ">
          <a:extLst>
            <a:ext uri="{FF2B5EF4-FFF2-40B4-BE49-F238E27FC236}">
              <a16:creationId xmlns:a16="http://schemas.microsoft.com/office/drawing/2014/main" id="{00000000-0008-0000-0100-0000B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62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</xdr:colOff>
      <xdr:row>45</xdr:row>
      <xdr:rowOff>51435</xdr:rowOff>
    </xdr:to>
    <xdr:pic>
      <xdr:nvPicPr>
        <xdr:cNvPr id="9402" name="Picture 12" descr=" ">
          <a:extLst>
            <a:ext uri="{FF2B5EF4-FFF2-40B4-BE49-F238E27FC236}">
              <a16:creationId xmlns:a16="http://schemas.microsoft.com/office/drawing/2014/main" id="{00000000-0008-0000-0100-0000B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62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</xdr:colOff>
      <xdr:row>46</xdr:row>
      <xdr:rowOff>51435</xdr:rowOff>
    </xdr:to>
    <xdr:pic>
      <xdr:nvPicPr>
        <xdr:cNvPr id="9403" name="Picture 7" descr=" ">
          <a:extLst>
            <a:ext uri="{FF2B5EF4-FFF2-40B4-BE49-F238E27FC236}">
              <a16:creationId xmlns:a16="http://schemas.microsoft.com/office/drawing/2014/main" id="{00000000-0008-0000-0100-0000B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24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</xdr:colOff>
      <xdr:row>46</xdr:row>
      <xdr:rowOff>51435</xdr:rowOff>
    </xdr:to>
    <xdr:pic>
      <xdr:nvPicPr>
        <xdr:cNvPr id="9404" name="Picture 8" descr=" ">
          <a:extLst>
            <a:ext uri="{FF2B5EF4-FFF2-40B4-BE49-F238E27FC236}">
              <a16:creationId xmlns:a16="http://schemas.microsoft.com/office/drawing/2014/main" id="{00000000-0008-0000-0100-0000B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24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</xdr:colOff>
      <xdr:row>46</xdr:row>
      <xdr:rowOff>51435</xdr:rowOff>
    </xdr:to>
    <xdr:pic>
      <xdr:nvPicPr>
        <xdr:cNvPr id="9405" name="Picture 9" descr=" ">
          <a:extLst>
            <a:ext uri="{FF2B5EF4-FFF2-40B4-BE49-F238E27FC236}">
              <a16:creationId xmlns:a16="http://schemas.microsoft.com/office/drawing/2014/main" id="{00000000-0008-0000-0100-0000B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24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</xdr:colOff>
      <xdr:row>46</xdr:row>
      <xdr:rowOff>51435</xdr:rowOff>
    </xdr:to>
    <xdr:pic>
      <xdr:nvPicPr>
        <xdr:cNvPr id="9406" name="Picture 10" descr=" ">
          <a:extLst>
            <a:ext uri="{FF2B5EF4-FFF2-40B4-BE49-F238E27FC236}">
              <a16:creationId xmlns:a16="http://schemas.microsoft.com/office/drawing/2014/main" id="{00000000-0008-0000-0100-0000B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24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</xdr:colOff>
      <xdr:row>46</xdr:row>
      <xdr:rowOff>51435</xdr:rowOff>
    </xdr:to>
    <xdr:pic>
      <xdr:nvPicPr>
        <xdr:cNvPr id="9407" name="Picture 11" descr=" ">
          <a:extLst>
            <a:ext uri="{FF2B5EF4-FFF2-40B4-BE49-F238E27FC236}">
              <a16:creationId xmlns:a16="http://schemas.microsoft.com/office/drawing/2014/main" id="{00000000-0008-0000-0100-0000B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24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</xdr:colOff>
      <xdr:row>46</xdr:row>
      <xdr:rowOff>51435</xdr:rowOff>
    </xdr:to>
    <xdr:pic>
      <xdr:nvPicPr>
        <xdr:cNvPr id="9408" name="Picture 12" descr=" ">
          <a:extLst>
            <a:ext uri="{FF2B5EF4-FFF2-40B4-BE49-F238E27FC236}">
              <a16:creationId xmlns:a16="http://schemas.microsoft.com/office/drawing/2014/main" id="{00000000-0008-0000-0100-0000C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24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</xdr:colOff>
      <xdr:row>47</xdr:row>
      <xdr:rowOff>51435</xdr:rowOff>
    </xdr:to>
    <xdr:pic>
      <xdr:nvPicPr>
        <xdr:cNvPr id="9409" name="Picture 7" descr=" ">
          <a:extLst>
            <a:ext uri="{FF2B5EF4-FFF2-40B4-BE49-F238E27FC236}">
              <a16:creationId xmlns:a16="http://schemas.microsoft.com/office/drawing/2014/main" id="{00000000-0008-0000-0100-0000C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6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</xdr:colOff>
      <xdr:row>47</xdr:row>
      <xdr:rowOff>51435</xdr:rowOff>
    </xdr:to>
    <xdr:pic>
      <xdr:nvPicPr>
        <xdr:cNvPr id="9410" name="Picture 8" descr=" ">
          <a:extLst>
            <a:ext uri="{FF2B5EF4-FFF2-40B4-BE49-F238E27FC236}">
              <a16:creationId xmlns:a16="http://schemas.microsoft.com/office/drawing/2014/main" id="{00000000-0008-0000-0100-0000C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6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</xdr:colOff>
      <xdr:row>47</xdr:row>
      <xdr:rowOff>51435</xdr:rowOff>
    </xdr:to>
    <xdr:pic>
      <xdr:nvPicPr>
        <xdr:cNvPr id="9411" name="Picture 9" descr=" ">
          <a:extLst>
            <a:ext uri="{FF2B5EF4-FFF2-40B4-BE49-F238E27FC236}">
              <a16:creationId xmlns:a16="http://schemas.microsoft.com/office/drawing/2014/main" id="{00000000-0008-0000-0100-0000C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6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</xdr:colOff>
      <xdr:row>47</xdr:row>
      <xdr:rowOff>51435</xdr:rowOff>
    </xdr:to>
    <xdr:pic>
      <xdr:nvPicPr>
        <xdr:cNvPr id="9412" name="Picture 10" descr=" ">
          <a:extLst>
            <a:ext uri="{FF2B5EF4-FFF2-40B4-BE49-F238E27FC236}">
              <a16:creationId xmlns:a16="http://schemas.microsoft.com/office/drawing/2014/main" id="{00000000-0008-0000-0100-0000C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6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</xdr:colOff>
      <xdr:row>47</xdr:row>
      <xdr:rowOff>51435</xdr:rowOff>
    </xdr:to>
    <xdr:pic>
      <xdr:nvPicPr>
        <xdr:cNvPr id="9413" name="Picture 11" descr=" ">
          <a:extLst>
            <a:ext uri="{FF2B5EF4-FFF2-40B4-BE49-F238E27FC236}">
              <a16:creationId xmlns:a16="http://schemas.microsoft.com/office/drawing/2014/main" id="{00000000-0008-0000-0100-0000C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6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</xdr:colOff>
      <xdr:row>47</xdr:row>
      <xdr:rowOff>51435</xdr:rowOff>
    </xdr:to>
    <xdr:pic>
      <xdr:nvPicPr>
        <xdr:cNvPr id="9414" name="Picture 12" descr=" ">
          <a:extLst>
            <a:ext uri="{FF2B5EF4-FFF2-40B4-BE49-F238E27FC236}">
              <a16:creationId xmlns:a16="http://schemas.microsoft.com/office/drawing/2014/main" id="{00000000-0008-0000-0100-0000C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86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</xdr:colOff>
      <xdr:row>48</xdr:row>
      <xdr:rowOff>51435</xdr:rowOff>
    </xdr:to>
    <xdr:pic>
      <xdr:nvPicPr>
        <xdr:cNvPr id="9415" name="Picture 7" descr=" ">
          <a:extLst>
            <a:ext uri="{FF2B5EF4-FFF2-40B4-BE49-F238E27FC236}">
              <a16:creationId xmlns:a16="http://schemas.microsoft.com/office/drawing/2014/main" id="{00000000-0008-0000-0100-0000C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48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</xdr:colOff>
      <xdr:row>48</xdr:row>
      <xdr:rowOff>51435</xdr:rowOff>
    </xdr:to>
    <xdr:pic>
      <xdr:nvPicPr>
        <xdr:cNvPr id="9416" name="Picture 8" descr=" ">
          <a:extLst>
            <a:ext uri="{FF2B5EF4-FFF2-40B4-BE49-F238E27FC236}">
              <a16:creationId xmlns:a16="http://schemas.microsoft.com/office/drawing/2014/main" id="{00000000-0008-0000-0100-0000C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48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</xdr:colOff>
      <xdr:row>48</xdr:row>
      <xdr:rowOff>51435</xdr:rowOff>
    </xdr:to>
    <xdr:pic>
      <xdr:nvPicPr>
        <xdr:cNvPr id="9417" name="Picture 9" descr=" ">
          <a:extLst>
            <a:ext uri="{FF2B5EF4-FFF2-40B4-BE49-F238E27FC236}">
              <a16:creationId xmlns:a16="http://schemas.microsoft.com/office/drawing/2014/main" id="{00000000-0008-0000-0100-0000C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48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</xdr:colOff>
      <xdr:row>48</xdr:row>
      <xdr:rowOff>51435</xdr:rowOff>
    </xdr:to>
    <xdr:pic>
      <xdr:nvPicPr>
        <xdr:cNvPr id="9418" name="Picture 10" descr=" ">
          <a:extLst>
            <a:ext uri="{FF2B5EF4-FFF2-40B4-BE49-F238E27FC236}">
              <a16:creationId xmlns:a16="http://schemas.microsoft.com/office/drawing/2014/main" id="{00000000-0008-0000-0100-0000C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48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</xdr:colOff>
      <xdr:row>48</xdr:row>
      <xdr:rowOff>51435</xdr:rowOff>
    </xdr:to>
    <xdr:pic>
      <xdr:nvPicPr>
        <xdr:cNvPr id="9419" name="Picture 11" descr=" ">
          <a:extLst>
            <a:ext uri="{FF2B5EF4-FFF2-40B4-BE49-F238E27FC236}">
              <a16:creationId xmlns:a16="http://schemas.microsoft.com/office/drawing/2014/main" id="{00000000-0008-0000-0100-0000C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48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</xdr:colOff>
      <xdr:row>48</xdr:row>
      <xdr:rowOff>51435</xdr:rowOff>
    </xdr:to>
    <xdr:pic>
      <xdr:nvPicPr>
        <xdr:cNvPr id="9420" name="Picture 12" descr=" ">
          <a:extLst>
            <a:ext uri="{FF2B5EF4-FFF2-40B4-BE49-F238E27FC236}">
              <a16:creationId xmlns:a16="http://schemas.microsoft.com/office/drawing/2014/main" id="{00000000-0008-0000-0100-0000C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48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</xdr:colOff>
      <xdr:row>49</xdr:row>
      <xdr:rowOff>51435</xdr:rowOff>
    </xdr:to>
    <xdr:pic>
      <xdr:nvPicPr>
        <xdr:cNvPr id="9421" name="Picture 7" descr=" ">
          <a:extLst>
            <a:ext uri="{FF2B5EF4-FFF2-40B4-BE49-F238E27FC236}">
              <a16:creationId xmlns:a16="http://schemas.microsoft.com/office/drawing/2014/main" id="{00000000-0008-0000-0100-0000C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10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</xdr:colOff>
      <xdr:row>49</xdr:row>
      <xdr:rowOff>51435</xdr:rowOff>
    </xdr:to>
    <xdr:pic>
      <xdr:nvPicPr>
        <xdr:cNvPr id="9422" name="Picture 8" descr=" ">
          <a:extLst>
            <a:ext uri="{FF2B5EF4-FFF2-40B4-BE49-F238E27FC236}">
              <a16:creationId xmlns:a16="http://schemas.microsoft.com/office/drawing/2014/main" id="{00000000-0008-0000-0100-0000C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10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</xdr:colOff>
      <xdr:row>49</xdr:row>
      <xdr:rowOff>51435</xdr:rowOff>
    </xdr:to>
    <xdr:pic>
      <xdr:nvPicPr>
        <xdr:cNvPr id="9423" name="Picture 9" descr=" ">
          <a:extLst>
            <a:ext uri="{FF2B5EF4-FFF2-40B4-BE49-F238E27FC236}">
              <a16:creationId xmlns:a16="http://schemas.microsoft.com/office/drawing/2014/main" id="{00000000-0008-0000-0100-0000C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10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</xdr:colOff>
      <xdr:row>49</xdr:row>
      <xdr:rowOff>51435</xdr:rowOff>
    </xdr:to>
    <xdr:pic>
      <xdr:nvPicPr>
        <xdr:cNvPr id="9424" name="Picture 10" descr=" ">
          <a:extLst>
            <a:ext uri="{FF2B5EF4-FFF2-40B4-BE49-F238E27FC236}">
              <a16:creationId xmlns:a16="http://schemas.microsoft.com/office/drawing/2014/main" id="{00000000-0008-0000-0100-0000D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10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</xdr:colOff>
      <xdr:row>49</xdr:row>
      <xdr:rowOff>51435</xdr:rowOff>
    </xdr:to>
    <xdr:pic>
      <xdr:nvPicPr>
        <xdr:cNvPr id="9425" name="Picture 11" descr=" ">
          <a:extLst>
            <a:ext uri="{FF2B5EF4-FFF2-40B4-BE49-F238E27FC236}">
              <a16:creationId xmlns:a16="http://schemas.microsoft.com/office/drawing/2014/main" id="{00000000-0008-0000-0100-0000D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10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</xdr:colOff>
      <xdr:row>49</xdr:row>
      <xdr:rowOff>51435</xdr:rowOff>
    </xdr:to>
    <xdr:pic>
      <xdr:nvPicPr>
        <xdr:cNvPr id="9426" name="Picture 12" descr=" ">
          <a:extLst>
            <a:ext uri="{FF2B5EF4-FFF2-40B4-BE49-F238E27FC236}">
              <a16:creationId xmlns:a16="http://schemas.microsoft.com/office/drawing/2014/main" id="{00000000-0008-0000-0100-0000D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10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9427" name="Picture 7" descr=" ">
          <a:extLst>
            <a:ext uri="{FF2B5EF4-FFF2-40B4-BE49-F238E27FC236}">
              <a16:creationId xmlns:a16="http://schemas.microsoft.com/office/drawing/2014/main" id="{00000000-0008-0000-0100-0000D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9428" name="Picture 8" descr=" ">
          <a:extLst>
            <a:ext uri="{FF2B5EF4-FFF2-40B4-BE49-F238E27FC236}">
              <a16:creationId xmlns:a16="http://schemas.microsoft.com/office/drawing/2014/main" id="{00000000-0008-0000-0100-0000D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9429" name="Picture 9" descr=" ">
          <a:extLst>
            <a:ext uri="{FF2B5EF4-FFF2-40B4-BE49-F238E27FC236}">
              <a16:creationId xmlns:a16="http://schemas.microsoft.com/office/drawing/2014/main" id="{00000000-0008-0000-0100-0000D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9430" name="Picture 10" descr=" ">
          <a:extLst>
            <a:ext uri="{FF2B5EF4-FFF2-40B4-BE49-F238E27FC236}">
              <a16:creationId xmlns:a16="http://schemas.microsoft.com/office/drawing/2014/main" id="{00000000-0008-0000-0100-0000D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9431" name="Picture 11" descr=" ">
          <a:extLst>
            <a:ext uri="{FF2B5EF4-FFF2-40B4-BE49-F238E27FC236}">
              <a16:creationId xmlns:a16="http://schemas.microsoft.com/office/drawing/2014/main" id="{00000000-0008-0000-0100-0000D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9432" name="Picture 12" descr=" ">
          <a:extLst>
            <a:ext uri="{FF2B5EF4-FFF2-40B4-BE49-F238E27FC236}">
              <a16:creationId xmlns:a16="http://schemas.microsoft.com/office/drawing/2014/main" id="{00000000-0008-0000-0100-0000D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</xdr:colOff>
      <xdr:row>51</xdr:row>
      <xdr:rowOff>47625</xdr:rowOff>
    </xdr:to>
    <xdr:pic>
      <xdr:nvPicPr>
        <xdr:cNvPr id="9433" name="Picture 7" descr=" ">
          <a:extLst>
            <a:ext uri="{FF2B5EF4-FFF2-40B4-BE49-F238E27FC236}">
              <a16:creationId xmlns:a16="http://schemas.microsoft.com/office/drawing/2014/main" id="{00000000-0008-0000-0100-0000D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34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</xdr:colOff>
      <xdr:row>51</xdr:row>
      <xdr:rowOff>47625</xdr:rowOff>
    </xdr:to>
    <xdr:pic>
      <xdr:nvPicPr>
        <xdr:cNvPr id="9434" name="Picture 8" descr=" ">
          <a:extLst>
            <a:ext uri="{FF2B5EF4-FFF2-40B4-BE49-F238E27FC236}">
              <a16:creationId xmlns:a16="http://schemas.microsoft.com/office/drawing/2014/main" id="{00000000-0008-0000-0100-0000D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34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</xdr:colOff>
      <xdr:row>51</xdr:row>
      <xdr:rowOff>47625</xdr:rowOff>
    </xdr:to>
    <xdr:pic>
      <xdr:nvPicPr>
        <xdr:cNvPr id="9435" name="Picture 9" descr=" ">
          <a:extLst>
            <a:ext uri="{FF2B5EF4-FFF2-40B4-BE49-F238E27FC236}">
              <a16:creationId xmlns:a16="http://schemas.microsoft.com/office/drawing/2014/main" id="{00000000-0008-0000-0100-0000D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34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</xdr:colOff>
      <xdr:row>51</xdr:row>
      <xdr:rowOff>47625</xdr:rowOff>
    </xdr:to>
    <xdr:pic>
      <xdr:nvPicPr>
        <xdr:cNvPr id="9436" name="Picture 10" descr=" ">
          <a:extLst>
            <a:ext uri="{FF2B5EF4-FFF2-40B4-BE49-F238E27FC236}">
              <a16:creationId xmlns:a16="http://schemas.microsoft.com/office/drawing/2014/main" id="{00000000-0008-0000-0100-0000D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34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</xdr:colOff>
      <xdr:row>51</xdr:row>
      <xdr:rowOff>47625</xdr:rowOff>
    </xdr:to>
    <xdr:pic>
      <xdr:nvPicPr>
        <xdr:cNvPr id="9437" name="Picture 11" descr=" ">
          <a:extLst>
            <a:ext uri="{FF2B5EF4-FFF2-40B4-BE49-F238E27FC236}">
              <a16:creationId xmlns:a16="http://schemas.microsoft.com/office/drawing/2014/main" id="{00000000-0008-0000-0100-0000D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34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</xdr:colOff>
      <xdr:row>51</xdr:row>
      <xdr:rowOff>47625</xdr:rowOff>
    </xdr:to>
    <xdr:pic>
      <xdr:nvPicPr>
        <xdr:cNvPr id="9438" name="Picture 12" descr=" ">
          <a:extLst>
            <a:ext uri="{FF2B5EF4-FFF2-40B4-BE49-F238E27FC236}">
              <a16:creationId xmlns:a16="http://schemas.microsoft.com/office/drawing/2014/main" id="{00000000-0008-0000-0100-0000D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34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</xdr:colOff>
      <xdr:row>52</xdr:row>
      <xdr:rowOff>51435</xdr:rowOff>
    </xdr:to>
    <xdr:pic>
      <xdr:nvPicPr>
        <xdr:cNvPr id="9439" name="Picture 7" descr=" ">
          <a:extLst>
            <a:ext uri="{FF2B5EF4-FFF2-40B4-BE49-F238E27FC236}">
              <a16:creationId xmlns:a16="http://schemas.microsoft.com/office/drawing/2014/main" id="{00000000-0008-0000-0100-0000D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91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</xdr:colOff>
      <xdr:row>52</xdr:row>
      <xdr:rowOff>51435</xdr:rowOff>
    </xdr:to>
    <xdr:pic>
      <xdr:nvPicPr>
        <xdr:cNvPr id="9440" name="Picture 8" descr=" ">
          <a:extLst>
            <a:ext uri="{FF2B5EF4-FFF2-40B4-BE49-F238E27FC236}">
              <a16:creationId xmlns:a16="http://schemas.microsoft.com/office/drawing/2014/main" id="{00000000-0008-0000-0100-0000E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91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</xdr:colOff>
      <xdr:row>52</xdr:row>
      <xdr:rowOff>51435</xdr:rowOff>
    </xdr:to>
    <xdr:pic>
      <xdr:nvPicPr>
        <xdr:cNvPr id="9441" name="Picture 9" descr=" ">
          <a:extLst>
            <a:ext uri="{FF2B5EF4-FFF2-40B4-BE49-F238E27FC236}">
              <a16:creationId xmlns:a16="http://schemas.microsoft.com/office/drawing/2014/main" id="{00000000-0008-0000-0100-0000E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91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</xdr:colOff>
      <xdr:row>52</xdr:row>
      <xdr:rowOff>51435</xdr:rowOff>
    </xdr:to>
    <xdr:pic>
      <xdr:nvPicPr>
        <xdr:cNvPr id="9442" name="Picture 10" descr=" ">
          <a:extLst>
            <a:ext uri="{FF2B5EF4-FFF2-40B4-BE49-F238E27FC236}">
              <a16:creationId xmlns:a16="http://schemas.microsoft.com/office/drawing/2014/main" id="{00000000-0008-0000-0100-0000E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91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</xdr:colOff>
      <xdr:row>52</xdr:row>
      <xdr:rowOff>51435</xdr:rowOff>
    </xdr:to>
    <xdr:pic>
      <xdr:nvPicPr>
        <xdr:cNvPr id="9443" name="Picture 11" descr=" ">
          <a:extLst>
            <a:ext uri="{FF2B5EF4-FFF2-40B4-BE49-F238E27FC236}">
              <a16:creationId xmlns:a16="http://schemas.microsoft.com/office/drawing/2014/main" id="{00000000-0008-0000-0100-0000E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91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</xdr:colOff>
      <xdr:row>52</xdr:row>
      <xdr:rowOff>51435</xdr:rowOff>
    </xdr:to>
    <xdr:pic>
      <xdr:nvPicPr>
        <xdr:cNvPr id="9444" name="Picture 12" descr=" ">
          <a:extLst>
            <a:ext uri="{FF2B5EF4-FFF2-40B4-BE49-F238E27FC236}">
              <a16:creationId xmlns:a16="http://schemas.microsoft.com/office/drawing/2014/main" id="{00000000-0008-0000-0100-0000E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91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</xdr:colOff>
      <xdr:row>53</xdr:row>
      <xdr:rowOff>51435</xdr:rowOff>
    </xdr:to>
    <xdr:pic>
      <xdr:nvPicPr>
        <xdr:cNvPr id="9445" name="Picture 7" descr=" ">
          <a:extLst>
            <a:ext uri="{FF2B5EF4-FFF2-40B4-BE49-F238E27FC236}">
              <a16:creationId xmlns:a16="http://schemas.microsoft.com/office/drawing/2014/main" id="{00000000-0008-0000-0100-0000E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53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</xdr:colOff>
      <xdr:row>53</xdr:row>
      <xdr:rowOff>51435</xdr:rowOff>
    </xdr:to>
    <xdr:pic>
      <xdr:nvPicPr>
        <xdr:cNvPr id="9446" name="Picture 8" descr=" ">
          <a:extLst>
            <a:ext uri="{FF2B5EF4-FFF2-40B4-BE49-F238E27FC236}">
              <a16:creationId xmlns:a16="http://schemas.microsoft.com/office/drawing/2014/main" id="{00000000-0008-0000-0100-0000E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53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</xdr:colOff>
      <xdr:row>53</xdr:row>
      <xdr:rowOff>51435</xdr:rowOff>
    </xdr:to>
    <xdr:pic>
      <xdr:nvPicPr>
        <xdr:cNvPr id="9447" name="Picture 9" descr=" ">
          <a:extLst>
            <a:ext uri="{FF2B5EF4-FFF2-40B4-BE49-F238E27FC236}">
              <a16:creationId xmlns:a16="http://schemas.microsoft.com/office/drawing/2014/main" id="{00000000-0008-0000-0100-0000E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53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</xdr:colOff>
      <xdr:row>53</xdr:row>
      <xdr:rowOff>51435</xdr:rowOff>
    </xdr:to>
    <xdr:pic>
      <xdr:nvPicPr>
        <xdr:cNvPr id="9448" name="Picture 10" descr=" ">
          <a:extLst>
            <a:ext uri="{FF2B5EF4-FFF2-40B4-BE49-F238E27FC236}">
              <a16:creationId xmlns:a16="http://schemas.microsoft.com/office/drawing/2014/main" id="{00000000-0008-0000-0100-0000E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53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</xdr:colOff>
      <xdr:row>53</xdr:row>
      <xdr:rowOff>51435</xdr:rowOff>
    </xdr:to>
    <xdr:pic>
      <xdr:nvPicPr>
        <xdr:cNvPr id="9449" name="Picture 11" descr=" ">
          <a:extLst>
            <a:ext uri="{FF2B5EF4-FFF2-40B4-BE49-F238E27FC236}">
              <a16:creationId xmlns:a16="http://schemas.microsoft.com/office/drawing/2014/main" id="{00000000-0008-0000-0100-0000E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53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</xdr:colOff>
      <xdr:row>53</xdr:row>
      <xdr:rowOff>51435</xdr:rowOff>
    </xdr:to>
    <xdr:pic>
      <xdr:nvPicPr>
        <xdr:cNvPr id="9450" name="Picture 12" descr=" ">
          <a:extLst>
            <a:ext uri="{FF2B5EF4-FFF2-40B4-BE49-F238E27FC236}">
              <a16:creationId xmlns:a16="http://schemas.microsoft.com/office/drawing/2014/main" id="{00000000-0008-0000-0100-0000E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53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</xdr:colOff>
      <xdr:row>54</xdr:row>
      <xdr:rowOff>51435</xdr:rowOff>
    </xdr:to>
    <xdr:pic>
      <xdr:nvPicPr>
        <xdr:cNvPr id="9451" name="Picture 7" descr=" ">
          <a:extLst>
            <a:ext uri="{FF2B5EF4-FFF2-40B4-BE49-F238E27FC236}">
              <a16:creationId xmlns:a16="http://schemas.microsoft.com/office/drawing/2014/main" id="{00000000-0008-0000-0100-0000E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15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</xdr:colOff>
      <xdr:row>54</xdr:row>
      <xdr:rowOff>51435</xdr:rowOff>
    </xdr:to>
    <xdr:pic>
      <xdr:nvPicPr>
        <xdr:cNvPr id="9452" name="Picture 8" descr=" ">
          <a:extLst>
            <a:ext uri="{FF2B5EF4-FFF2-40B4-BE49-F238E27FC236}">
              <a16:creationId xmlns:a16="http://schemas.microsoft.com/office/drawing/2014/main" id="{00000000-0008-0000-0100-0000E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15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</xdr:colOff>
      <xdr:row>54</xdr:row>
      <xdr:rowOff>51435</xdr:rowOff>
    </xdr:to>
    <xdr:pic>
      <xdr:nvPicPr>
        <xdr:cNvPr id="9453" name="Picture 9" descr=" ">
          <a:extLst>
            <a:ext uri="{FF2B5EF4-FFF2-40B4-BE49-F238E27FC236}">
              <a16:creationId xmlns:a16="http://schemas.microsoft.com/office/drawing/2014/main" id="{00000000-0008-0000-0100-0000E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15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</xdr:colOff>
      <xdr:row>54</xdr:row>
      <xdr:rowOff>51435</xdr:rowOff>
    </xdr:to>
    <xdr:pic>
      <xdr:nvPicPr>
        <xdr:cNvPr id="9454" name="Picture 10" descr=" ">
          <a:extLst>
            <a:ext uri="{FF2B5EF4-FFF2-40B4-BE49-F238E27FC236}">
              <a16:creationId xmlns:a16="http://schemas.microsoft.com/office/drawing/2014/main" id="{00000000-0008-0000-0100-0000E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15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</xdr:colOff>
      <xdr:row>54</xdr:row>
      <xdr:rowOff>51435</xdr:rowOff>
    </xdr:to>
    <xdr:pic>
      <xdr:nvPicPr>
        <xdr:cNvPr id="9455" name="Picture 11" descr=" ">
          <a:extLst>
            <a:ext uri="{FF2B5EF4-FFF2-40B4-BE49-F238E27FC236}">
              <a16:creationId xmlns:a16="http://schemas.microsoft.com/office/drawing/2014/main" id="{00000000-0008-0000-0100-0000E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15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</xdr:colOff>
      <xdr:row>54</xdr:row>
      <xdr:rowOff>51435</xdr:rowOff>
    </xdr:to>
    <xdr:pic>
      <xdr:nvPicPr>
        <xdr:cNvPr id="9456" name="Picture 12" descr=" ">
          <a:extLst>
            <a:ext uri="{FF2B5EF4-FFF2-40B4-BE49-F238E27FC236}">
              <a16:creationId xmlns:a16="http://schemas.microsoft.com/office/drawing/2014/main" id="{00000000-0008-0000-0100-0000F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15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</xdr:colOff>
      <xdr:row>55</xdr:row>
      <xdr:rowOff>51435</xdr:rowOff>
    </xdr:to>
    <xdr:pic>
      <xdr:nvPicPr>
        <xdr:cNvPr id="9457" name="Picture 7" descr=" ">
          <a:extLst>
            <a:ext uri="{FF2B5EF4-FFF2-40B4-BE49-F238E27FC236}">
              <a16:creationId xmlns:a16="http://schemas.microsoft.com/office/drawing/2014/main" id="{00000000-0008-0000-0100-0000F1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</xdr:colOff>
      <xdr:row>55</xdr:row>
      <xdr:rowOff>51435</xdr:rowOff>
    </xdr:to>
    <xdr:pic>
      <xdr:nvPicPr>
        <xdr:cNvPr id="9458" name="Picture 8" descr=" ">
          <a:extLst>
            <a:ext uri="{FF2B5EF4-FFF2-40B4-BE49-F238E27FC236}">
              <a16:creationId xmlns:a16="http://schemas.microsoft.com/office/drawing/2014/main" id="{00000000-0008-0000-0100-0000F2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</xdr:colOff>
      <xdr:row>55</xdr:row>
      <xdr:rowOff>51435</xdr:rowOff>
    </xdr:to>
    <xdr:pic>
      <xdr:nvPicPr>
        <xdr:cNvPr id="9459" name="Picture 9" descr=" ">
          <a:extLst>
            <a:ext uri="{FF2B5EF4-FFF2-40B4-BE49-F238E27FC236}">
              <a16:creationId xmlns:a16="http://schemas.microsoft.com/office/drawing/2014/main" id="{00000000-0008-0000-0100-0000F3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</xdr:colOff>
      <xdr:row>55</xdr:row>
      <xdr:rowOff>51435</xdr:rowOff>
    </xdr:to>
    <xdr:pic>
      <xdr:nvPicPr>
        <xdr:cNvPr id="9460" name="Picture 10" descr=" ">
          <a:extLst>
            <a:ext uri="{FF2B5EF4-FFF2-40B4-BE49-F238E27FC236}">
              <a16:creationId xmlns:a16="http://schemas.microsoft.com/office/drawing/2014/main" id="{00000000-0008-0000-0100-0000F4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</xdr:colOff>
      <xdr:row>55</xdr:row>
      <xdr:rowOff>51435</xdr:rowOff>
    </xdr:to>
    <xdr:pic>
      <xdr:nvPicPr>
        <xdr:cNvPr id="9461" name="Picture 11" descr=" ">
          <a:extLst>
            <a:ext uri="{FF2B5EF4-FFF2-40B4-BE49-F238E27FC236}">
              <a16:creationId xmlns:a16="http://schemas.microsoft.com/office/drawing/2014/main" id="{00000000-0008-0000-0100-0000F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</xdr:colOff>
      <xdr:row>55</xdr:row>
      <xdr:rowOff>51435</xdr:rowOff>
    </xdr:to>
    <xdr:pic>
      <xdr:nvPicPr>
        <xdr:cNvPr id="9462" name="Picture 12" descr=" ">
          <a:extLst>
            <a:ext uri="{FF2B5EF4-FFF2-40B4-BE49-F238E27FC236}">
              <a16:creationId xmlns:a16="http://schemas.microsoft.com/office/drawing/2014/main" id="{00000000-0008-0000-0100-0000F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7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</xdr:colOff>
      <xdr:row>56</xdr:row>
      <xdr:rowOff>51435</xdr:rowOff>
    </xdr:to>
    <xdr:pic>
      <xdr:nvPicPr>
        <xdr:cNvPr id="9463" name="Picture 7" descr=" ">
          <a:extLst>
            <a:ext uri="{FF2B5EF4-FFF2-40B4-BE49-F238E27FC236}">
              <a16:creationId xmlns:a16="http://schemas.microsoft.com/office/drawing/2014/main" id="{00000000-0008-0000-0100-0000F7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39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</xdr:colOff>
      <xdr:row>56</xdr:row>
      <xdr:rowOff>51435</xdr:rowOff>
    </xdr:to>
    <xdr:pic>
      <xdr:nvPicPr>
        <xdr:cNvPr id="9464" name="Picture 8" descr=" ">
          <a:extLst>
            <a:ext uri="{FF2B5EF4-FFF2-40B4-BE49-F238E27FC236}">
              <a16:creationId xmlns:a16="http://schemas.microsoft.com/office/drawing/2014/main" id="{00000000-0008-0000-0100-0000F8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39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</xdr:colOff>
      <xdr:row>56</xdr:row>
      <xdr:rowOff>51435</xdr:rowOff>
    </xdr:to>
    <xdr:pic>
      <xdr:nvPicPr>
        <xdr:cNvPr id="9465" name="Picture 9" descr=" ">
          <a:extLst>
            <a:ext uri="{FF2B5EF4-FFF2-40B4-BE49-F238E27FC236}">
              <a16:creationId xmlns:a16="http://schemas.microsoft.com/office/drawing/2014/main" id="{00000000-0008-0000-0100-0000F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39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</xdr:colOff>
      <xdr:row>56</xdr:row>
      <xdr:rowOff>51435</xdr:rowOff>
    </xdr:to>
    <xdr:pic>
      <xdr:nvPicPr>
        <xdr:cNvPr id="9466" name="Picture 10" descr=" ">
          <a:extLst>
            <a:ext uri="{FF2B5EF4-FFF2-40B4-BE49-F238E27FC236}">
              <a16:creationId xmlns:a16="http://schemas.microsoft.com/office/drawing/2014/main" id="{00000000-0008-0000-0100-0000FA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39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</xdr:colOff>
      <xdr:row>56</xdr:row>
      <xdr:rowOff>51435</xdr:rowOff>
    </xdr:to>
    <xdr:pic>
      <xdr:nvPicPr>
        <xdr:cNvPr id="9467" name="Picture 11" descr=" ">
          <a:extLst>
            <a:ext uri="{FF2B5EF4-FFF2-40B4-BE49-F238E27FC236}">
              <a16:creationId xmlns:a16="http://schemas.microsoft.com/office/drawing/2014/main" id="{00000000-0008-0000-0100-0000FB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39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</xdr:colOff>
      <xdr:row>56</xdr:row>
      <xdr:rowOff>51435</xdr:rowOff>
    </xdr:to>
    <xdr:pic>
      <xdr:nvPicPr>
        <xdr:cNvPr id="9468" name="Picture 12" descr=" ">
          <a:extLst>
            <a:ext uri="{FF2B5EF4-FFF2-40B4-BE49-F238E27FC236}">
              <a16:creationId xmlns:a16="http://schemas.microsoft.com/office/drawing/2014/main" id="{00000000-0008-0000-0100-0000FC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39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9469" name="Picture 7" descr=" ">
          <a:extLst>
            <a:ext uri="{FF2B5EF4-FFF2-40B4-BE49-F238E27FC236}">
              <a16:creationId xmlns:a16="http://schemas.microsoft.com/office/drawing/2014/main" id="{00000000-0008-0000-0100-0000FD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9470" name="Picture 8" descr=" ">
          <a:extLst>
            <a:ext uri="{FF2B5EF4-FFF2-40B4-BE49-F238E27FC236}">
              <a16:creationId xmlns:a16="http://schemas.microsoft.com/office/drawing/2014/main" id="{00000000-0008-0000-0100-0000FE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9471" name="Picture 9" descr=" ">
          <a:extLst>
            <a:ext uri="{FF2B5EF4-FFF2-40B4-BE49-F238E27FC236}">
              <a16:creationId xmlns:a16="http://schemas.microsoft.com/office/drawing/2014/main" id="{00000000-0008-0000-0100-0000FF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9472" name="Picture 10" descr=" ">
          <a:extLst>
            <a:ext uri="{FF2B5EF4-FFF2-40B4-BE49-F238E27FC236}">
              <a16:creationId xmlns:a16="http://schemas.microsoft.com/office/drawing/2014/main" id="{00000000-0008-0000-0100-00000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9473" name="Picture 11" descr=" ">
          <a:extLst>
            <a:ext uri="{FF2B5EF4-FFF2-40B4-BE49-F238E27FC236}">
              <a16:creationId xmlns:a16="http://schemas.microsoft.com/office/drawing/2014/main" id="{00000000-0008-0000-0100-00000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9474" name="Picture 12" descr=" ">
          <a:extLst>
            <a:ext uri="{FF2B5EF4-FFF2-40B4-BE49-F238E27FC236}">
              <a16:creationId xmlns:a16="http://schemas.microsoft.com/office/drawing/2014/main" id="{00000000-0008-0000-0100-00000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</xdr:colOff>
      <xdr:row>58</xdr:row>
      <xdr:rowOff>47625</xdr:rowOff>
    </xdr:to>
    <xdr:pic>
      <xdr:nvPicPr>
        <xdr:cNvPr id="9475" name="Picture 7" descr=" ">
          <a:extLst>
            <a:ext uri="{FF2B5EF4-FFF2-40B4-BE49-F238E27FC236}">
              <a16:creationId xmlns:a16="http://schemas.microsoft.com/office/drawing/2014/main" id="{00000000-0008-0000-0100-00000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</xdr:colOff>
      <xdr:row>58</xdr:row>
      <xdr:rowOff>47625</xdr:rowOff>
    </xdr:to>
    <xdr:pic>
      <xdr:nvPicPr>
        <xdr:cNvPr id="9476" name="Picture 8" descr=" ">
          <a:extLst>
            <a:ext uri="{FF2B5EF4-FFF2-40B4-BE49-F238E27FC236}">
              <a16:creationId xmlns:a16="http://schemas.microsoft.com/office/drawing/2014/main" id="{00000000-0008-0000-0100-00000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</xdr:colOff>
      <xdr:row>58</xdr:row>
      <xdr:rowOff>47625</xdr:rowOff>
    </xdr:to>
    <xdr:pic>
      <xdr:nvPicPr>
        <xdr:cNvPr id="9477" name="Picture 9" descr=" ">
          <a:extLst>
            <a:ext uri="{FF2B5EF4-FFF2-40B4-BE49-F238E27FC236}">
              <a16:creationId xmlns:a16="http://schemas.microsoft.com/office/drawing/2014/main" id="{00000000-0008-0000-0100-00000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</xdr:colOff>
      <xdr:row>58</xdr:row>
      <xdr:rowOff>47625</xdr:rowOff>
    </xdr:to>
    <xdr:pic>
      <xdr:nvPicPr>
        <xdr:cNvPr id="9478" name="Picture 10" descr=" ">
          <a:extLst>
            <a:ext uri="{FF2B5EF4-FFF2-40B4-BE49-F238E27FC236}">
              <a16:creationId xmlns:a16="http://schemas.microsoft.com/office/drawing/2014/main" id="{00000000-0008-0000-0100-00000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</xdr:colOff>
      <xdr:row>58</xdr:row>
      <xdr:rowOff>47625</xdr:rowOff>
    </xdr:to>
    <xdr:pic>
      <xdr:nvPicPr>
        <xdr:cNvPr id="9479" name="Picture 11" descr=" ">
          <a:extLst>
            <a:ext uri="{FF2B5EF4-FFF2-40B4-BE49-F238E27FC236}">
              <a16:creationId xmlns:a16="http://schemas.microsoft.com/office/drawing/2014/main" id="{00000000-0008-0000-0100-00000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</xdr:colOff>
      <xdr:row>58</xdr:row>
      <xdr:rowOff>47625</xdr:rowOff>
    </xdr:to>
    <xdr:pic>
      <xdr:nvPicPr>
        <xdr:cNvPr id="9480" name="Picture 12" descr=" ">
          <a:extLst>
            <a:ext uri="{FF2B5EF4-FFF2-40B4-BE49-F238E27FC236}">
              <a16:creationId xmlns:a16="http://schemas.microsoft.com/office/drawing/2014/main" id="{00000000-0008-0000-0100-00000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</xdr:colOff>
      <xdr:row>59</xdr:row>
      <xdr:rowOff>51435</xdr:rowOff>
    </xdr:to>
    <xdr:pic>
      <xdr:nvPicPr>
        <xdr:cNvPr id="9481" name="Picture 7" descr=" ">
          <a:extLst>
            <a:ext uri="{FF2B5EF4-FFF2-40B4-BE49-F238E27FC236}">
              <a16:creationId xmlns:a16="http://schemas.microsoft.com/office/drawing/2014/main" id="{00000000-0008-0000-0100-00000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</xdr:colOff>
      <xdr:row>59</xdr:row>
      <xdr:rowOff>51435</xdr:rowOff>
    </xdr:to>
    <xdr:pic>
      <xdr:nvPicPr>
        <xdr:cNvPr id="9482" name="Picture 8" descr=" ">
          <a:extLst>
            <a:ext uri="{FF2B5EF4-FFF2-40B4-BE49-F238E27FC236}">
              <a16:creationId xmlns:a16="http://schemas.microsoft.com/office/drawing/2014/main" id="{00000000-0008-0000-0100-00000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</xdr:colOff>
      <xdr:row>59</xdr:row>
      <xdr:rowOff>51435</xdr:rowOff>
    </xdr:to>
    <xdr:pic>
      <xdr:nvPicPr>
        <xdr:cNvPr id="9483" name="Picture 9" descr=" ">
          <a:extLst>
            <a:ext uri="{FF2B5EF4-FFF2-40B4-BE49-F238E27FC236}">
              <a16:creationId xmlns:a16="http://schemas.microsoft.com/office/drawing/2014/main" id="{00000000-0008-0000-0100-00000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</xdr:colOff>
      <xdr:row>59</xdr:row>
      <xdr:rowOff>51435</xdr:rowOff>
    </xdr:to>
    <xdr:pic>
      <xdr:nvPicPr>
        <xdr:cNvPr id="9484" name="Picture 10" descr=" ">
          <a:extLst>
            <a:ext uri="{FF2B5EF4-FFF2-40B4-BE49-F238E27FC236}">
              <a16:creationId xmlns:a16="http://schemas.microsoft.com/office/drawing/2014/main" id="{00000000-0008-0000-0100-00000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</xdr:colOff>
      <xdr:row>59</xdr:row>
      <xdr:rowOff>51435</xdr:rowOff>
    </xdr:to>
    <xdr:pic>
      <xdr:nvPicPr>
        <xdr:cNvPr id="9485" name="Picture 11" descr=" ">
          <a:extLst>
            <a:ext uri="{FF2B5EF4-FFF2-40B4-BE49-F238E27FC236}">
              <a16:creationId xmlns:a16="http://schemas.microsoft.com/office/drawing/2014/main" id="{00000000-0008-0000-0100-00000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</xdr:colOff>
      <xdr:row>59</xdr:row>
      <xdr:rowOff>51435</xdr:rowOff>
    </xdr:to>
    <xdr:pic>
      <xdr:nvPicPr>
        <xdr:cNvPr id="9486" name="Picture 12" descr=" ">
          <a:extLst>
            <a:ext uri="{FF2B5EF4-FFF2-40B4-BE49-F238E27FC236}">
              <a16:creationId xmlns:a16="http://schemas.microsoft.com/office/drawing/2014/main" id="{00000000-0008-0000-0100-00000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</xdr:colOff>
      <xdr:row>60</xdr:row>
      <xdr:rowOff>51435</xdr:rowOff>
    </xdr:to>
    <xdr:pic>
      <xdr:nvPicPr>
        <xdr:cNvPr id="9487" name="Picture 7" descr=" ">
          <a:extLst>
            <a:ext uri="{FF2B5EF4-FFF2-40B4-BE49-F238E27FC236}">
              <a16:creationId xmlns:a16="http://schemas.microsoft.com/office/drawing/2014/main" id="{00000000-0008-0000-0100-00000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</xdr:colOff>
      <xdr:row>60</xdr:row>
      <xdr:rowOff>51435</xdr:rowOff>
    </xdr:to>
    <xdr:pic>
      <xdr:nvPicPr>
        <xdr:cNvPr id="9488" name="Picture 8" descr=" ">
          <a:extLst>
            <a:ext uri="{FF2B5EF4-FFF2-40B4-BE49-F238E27FC236}">
              <a16:creationId xmlns:a16="http://schemas.microsoft.com/office/drawing/2014/main" id="{00000000-0008-0000-0100-00001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</xdr:colOff>
      <xdr:row>60</xdr:row>
      <xdr:rowOff>51435</xdr:rowOff>
    </xdr:to>
    <xdr:pic>
      <xdr:nvPicPr>
        <xdr:cNvPr id="9489" name="Picture 9" descr=" ">
          <a:extLst>
            <a:ext uri="{FF2B5EF4-FFF2-40B4-BE49-F238E27FC236}">
              <a16:creationId xmlns:a16="http://schemas.microsoft.com/office/drawing/2014/main" id="{00000000-0008-0000-0100-00001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</xdr:colOff>
      <xdr:row>60</xdr:row>
      <xdr:rowOff>51435</xdr:rowOff>
    </xdr:to>
    <xdr:pic>
      <xdr:nvPicPr>
        <xdr:cNvPr id="9490" name="Picture 10" descr=" ">
          <a:extLst>
            <a:ext uri="{FF2B5EF4-FFF2-40B4-BE49-F238E27FC236}">
              <a16:creationId xmlns:a16="http://schemas.microsoft.com/office/drawing/2014/main" id="{00000000-0008-0000-0100-00001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</xdr:colOff>
      <xdr:row>60</xdr:row>
      <xdr:rowOff>51435</xdr:rowOff>
    </xdr:to>
    <xdr:pic>
      <xdr:nvPicPr>
        <xdr:cNvPr id="9491" name="Picture 11" descr=" ">
          <a:extLst>
            <a:ext uri="{FF2B5EF4-FFF2-40B4-BE49-F238E27FC236}">
              <a16:creationId xmlns:a16="http://schemas.microsoft.com/office/drawing/2014/main" id="{00000000-0008-0000-0100-00001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</xdr:colOff>
      <xdr:row>60</xdr:row>
      <xdr:rowOff>51435</xdr:rowOff>
    </xdr:to>
    <xdr:pic>
      <xdr:nvPicPr>
        <xdr:cNvPr id="9492" name="Picture 12" descr=" ">
          <a:extLst>
            <a:ext uri="{FF2B5EF4-FFF2-40B4-BE49-F238E27FC236}">
              <a16:creationId xmlns:a16="http://schemas.microsoft.com/office/drawing/2014/main" id="{00000000-0008-0000-0100-00001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9493" name="Picture 7" descr=" ">
          <a:extLst>
            <a:ext uri="{FF2B5EF4-FFF2-40B4-BE49-F238E27FC236}">
              <a16:creationId xmlns:a16="http://schemas.microsoft.com/office/drawing/2014/main" id="{00000000-0008-0000-0100-00001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9494" name="Picture 8" descr=" ">
          <a:extLst>
            <a:ext uri="{FF2B5EF4-FFF2-40B4-BE49-F238E27FC236}">
              <a16:creationId xmlns:a16="http://schemas.microsoft.com/office/drawing/2014/main" id="{00000000-0008-0000-0100-00001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9495" name="Picture 9" descr=" ">
          <a:extLst>
            <a:ext uri="{FF2B5EF4-FFF2-40B4-BE49-F238E27FC236}">
              <a16:creationId xmlns:a16="http://schemas.microsoft.com/office/drawing/2014/main" id="{00000000-0008-0000-0100-00001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9496" name="Picture 10" descr=" ">
          <a:extLst>
            <a:ext uri="{FF2B5EF4-FFF2-40B4-BE49-F238E27FC236}">
              <a16:creationId xmlns:a16="http://schemas.microsoft.com/office/drawing/2014/main" id="{00000000-0008-0000-0100-00001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9497" name="Picture 11" descr=" ">
          <a:extLst>
            <a:ext uri="{FF2B5EF4-FFF2-40B4-BE49-F238E27FC236}">
              <a16:creationId xmlns:a16="http://schemas.microsoft.com/office/drawing/2014/main" id="{00000000-0008-0000-0100-00001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9498" name="Picture 12" descr=" ">
          <a:extLst>
            <a:ext uri="{FF2B5EF4-FFF2-40B4-BE49-F238E27FC236}">
              <a16:creationId xmlns:a16="http://schemas.microsoft.com/office/drawing/2014/main" id="{00000000-0008-0000-0100-00001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</xdr:colOff>
      <xdr:row>62</xdr:row>
      <xdr:rowOff>47625</xdr:rowOff>
    </xdr:to>
    <xdr:pic>
      <xdr:nvPicPr>
        <xdr:cNvPr id="9499" name="Picture 7" descr=" ">
          <a:extLst>
            <a:ext uri="{FF2B5EF4-FFF2-40B4-BE49-F238E27FC236}">
              <a16:creationId xmlns:a16="http://schemas.microsoft.com/office/drawing/2014/main" id="{00000000-0008-0000-0100-00001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</xdr:colOff>
      <xdr:row>62</xdr:row>
      <xdr:rowOff>47625</xdr:rowOff>
    </xdr:to>
    <xdr:pic>
      <xdr:nvPicPr>
        <xdr:cNvPr id="9500" name="Picture 8" descr=" ">
          <a:extLst>
            <a:ext uri="{FF2B5EF4-FFF2-40B4-BE49-F238E27FC236}">
              <a16:creationId xmlns:a16="http://schemas.microsoft.com/office/drawing/2014/main" id="{00000000-0008-0000-0100-00001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</xdr:colOff>
      <xdr:row>62</xdr:row>
      <xdr:rowOff>47625</xdr:rowOff>
    </xdr:to>
    <xdr:pic>
      <xdr:nvPicPr>
        <xdr:cNvPr id="9501" name="Picture 9" descr=" ">
          <a:extLst>
            <a:ext uri="{FF2B5EF4-FFF2-40B4-BE49-F238E27FC236}">
              <a16:creationId xmlns:a16="http://schemas.microsoft.com/office/drawing/2014/main" id="{00000000-0008-0000-0100-00001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</xdr:colOff>
      <xdr:row>62</xdr:row>
      <xdr:rowOff>47625</xdr:rowOff>
    </xdr:to>
    <xdr:pic>
      <xdr:nvPicPr>
        <xdr:cNvPr id="9502" name="Picture 10" descr=" ">
          <a:extLst>
            <a:ext uri="{FF2B5EF4-FFF2-40B4-BE49-F238E27FC236}">
              <a16:creationId xmlns:a16="http://schemas.microsoft.com/office/drawing/2014/main" id="{00000000-0008-0000-0100-00001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</xdr:colOff>
      <xdr:row>62</xdr:row>
      <xdr:rowOff>47625</xdr:rowOff>
    </xdr:to>
    <xdr:pic>
      <xdr:nvPicPr>
        <xdr:cNvPr id="9503" name="Picture 11" descr=" ">
          <a:extLst>
            <a:ext uri="{FF2B5EF4-FFF2-40B4-BE49-F238E27FC236}">
              <a16:creationId xmlns:a16="http://schemas.microsoft.com/office/drawing/2014/main" id="{00000000-0008-0000-0100-00001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</xdr:colOff>
      <xdr:row>62</xdr:row>
      <xdr:rowOff>47625</xdr:rowOff>
    </xdr:to>
    <xdr:pic>
      <xdr:nvPicPr>
        <xdr:cNvPr id="9504" name="Picture 12" descr=" ">
          <a:extLst>
            <a:ext uri="{FF2B5EF4-FFF2-40B4-BE49-F238E27FC236}">
              <a16:creationId xmlns:a16="http://schemas.microsoft.com/office/drawing/2014/main" id="{00000000-0008-0000-0100-00002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</xdr:colOff>
      <xdr:row>63</xdr:row>
      <xdr:rowOff>51435</xdr:rowOff>
    </xdr:to>
    <xdr:pic>
      <xdr:nvPicPr>
        <xdr:cNvPr id="9505" name="Picture 7" descr=" ">
          <a:extLst>
            <a:ext uri="{FF2B5EF4-FFF2-40B4-BE49-F238E27FC236}">
              <a16:creationId xmlns:a16="http://schemas.microsoft.com/office/drawing/2014/main" id="{00000000-0008-0000-0100-00002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3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</xdr:colOff>
      <xdr:row>63</xdr:row>
      <xdr:rowOff>51435</xdr:rowOff>
    </xdr:to>
    <xdr:pic>
      <xdr:nvPicPr>
        <xdr:cNvPr id="9506" name="Picture 8" descr=" ">
          <a:extLst>
            <a:ext uri="{FF2B5EF4-FFF2-40B4-BE49-F238E27FC236}">
              <a16:creationId xmlns:a16="http://schemas.microsoft.com/office/drawing/2014/main" id="{00000000-0008-0000-0100-00002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3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</xdr:colOff>
      <xdr:row>63</xdr:row>
      <xdr:rowOff>51435</xdr:rowOff>
    </xdr:to>
    <xdr:pic>
      <xdr:nvPicPr>
        <xdr:cNvPr id="9507" name="Picture 9" descr=" ">
          <a:extLst>
            <a:ext uri="{FF2B5EF4-FFF2-40B4-BE49-F238E27FC236}">
              <a16:creationId xmlns:a16="http://schemas.microsoft.com/office/drawing/2014/main" id="{00000000-0008-0000-0100-00002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3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</xdr:colOff>
      <xdr:row>63</xdr:row>
      <xdr:rowOff>51435</xdr:rowOff>
    </xdr:to>
    <xdr:pic>
      <xdr:nvPicPr>
        <xdr:cNvPr id="9508" name="Picture 10" descr=" ">
          <a:extLst>
            <a:ext uri="{FF2B5EF4-FFF2-40B4-BE49-F238E27FC236}">
              <a16:creationId xmlns:a16="http://schemas.microsoft.com/office/drawing/2014/main" id="{00000000-0008-0000-0100-00002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3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</xdr:colOff>
      <xdr:row>63</xdr:row>
      <xdr:rowOff>51435</xdr:rowOff>
    </xdr:to>
    <xdr:pic>
      <xdr:nvPicPr>
        <xdr:cNvPr id="9509" name="Picture 11" descr=" ">
          <a:extLst>
            <a:ext uri="{FF2B5EF4-FFF2-40B4-BE49-F238E27FC236}">
              <a16:creationId xmlns:a16="http://schemas.microsoft.com/office/drawing/2014/main" id="{00000000-0008-0000-0100-00002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3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</xdr:colOff>
      <xdr:row>63</xdr:row>
      <xdr:rowOff>51435</xdr:rowOff>
    </xdr:to>
    <xdr:pic>
      <xdr:nvPicPr>
        <xdr:cNvPr id="9510" name="Picture 12" descr=" ">
          <a:extLst>
            <a:ext uri="{FF2B5EF4-FFF2-40B4-BE49-F238E27FC236}">
              <a16:creationId xmlns:a16="http://schemas.microsoft.com/office/drawing/2014/main" id="{00000000-0008-0000-0100-00002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3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</xdr:colOff>
      <xdr:row>64</xdr:row>
      <xdr:rowOff>51435</xdr:rowOff>
    </xdr:to>
    <xdr:pic>
      <xdr:nvPicPr>
        <xdr:cNvPr id="9511" name="Picture 7" descr=" ">
          <a:extLst>
            <a:ext uri="{FF2B5EF4-FFF2-40B4-BE49-F238E27FC236}">
              <a16:creationId xmlns:a16="http://schemas.microsoft.com/office/drawing/2014/main" id="{00000000-0008-0000-0100-00002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24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</xdr:colOff>
      <xdr:row>64</xdr:row>
      <xdr:rowOff>51435</xdr:rowOff>
    </xdr:to>
    <xdr:pic>
      <xdr:nvPicPr>
        <xdr:cNvPr id="9512" name="Picture 8" descr=" ">
          <a:extLst>
            <a:ext uri="{FF2B5EF4-FFF2-40B4-BE49-F238E27FC236}">
              <a16:creationId xmlns:a16="http://schemas.microsoft.com/office/drawing/2014/main" id="{00000000-0008-0000-0100-00002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24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</xdr:colOff>
      <xdr:row>64</xdr:row>
      <xdr:rowOff>51435</xdr:rowOff>
    </xdr:to>
    <xdr:pic>
      <xdr:nvPicPr>
        <xdr:cNvPr id="9513" name="Picture 9" descr=" ">
          <a:extLst>
            <a:ext uri="{FF2B5EF4-FFF2-40B4-BE49-F238E27FC236}">
              <a16:creationId xmlns:a16="http://schemas.microsoft.com/office/drawing/2014/main" id="{00000000-0008-0000-0100-00002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24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</xdr:colOff>
      <xdr:row>64</xdr:row>
      <xdr:rowOff>51435</xdr:rowOff>
    </xdr:to>
    <xdr:pic>
      <xdr:nvPicPr>
        <xdr:cNvPr id="9514" name="Picture 10" descr=" ">
          <a:extLst>
            <a:ext uri="{FF2B5EF4-FFF2-40B4-BE49-F238E27FC236}">
              <a16:creationId xmlns:a16="http://schemas.microsoft.com/office/drawing/2014/main" id="{00000000-0008-0000-0100-00002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24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</xdr:colOff>
      <xdr:row>64</xdr:row>
      <xdr:rowOff>51435</xdr:rowOff>
    </xdr:to>
    <xdr:pic>
      <xdr:nvPicPr>
        <xdr:cNvPr id="9515" name="Picture 11" descr=" ">
          <a:extLst>
            <a:ext uri="{FF2B5EF4-FFF2-40B4-BE49-F238E27FC236}">
              <a16:creationId xmlns:a16="http://schemas.microsoft.com/office/drawing/2014/main" id="{00000000-0008-0000-0100-00002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24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</xdr:colOff>
      <xdr:row>64</xdr:row>
      <xdr:rowOff>51435</xdr:rowOff>
    </xdr:to>
    <xdr:pic>
      <xdr:nvPicPr>
        <xdr:cNvPr id="9516" name="Picture 12" descr=" ">
          <a:extLst>
            <a:ext uri="{FF2B5EF4-FFF2-40B4-BE49-F238E27FC236}">
              <a16:creationId xmlns:a16="http://schemas.microsoft.com/office/drawing/2014/main" id="{00000000-0008-0000-0100-00002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24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</xdr:colOff>
      <xdr:row>65</xdr:row>
      <xdr:rowOff>51435</xdr:rowOff>
    </xdr:to>
    <xdr:pic>
      <xdr:nvPicPr>
        <xdr:cNvPr id="9517" name="Picture 7" descr=" ">
          <a:extLst>
            <a:ext uri="{FF2B5EF4-FFF2-40B4-BE49-F238E27FC236}">
              <a16:creationId xmlns:a16="http://schemas.microsoft.com/office/drawing/2014/main" id="{00000000-0008-0000-0100-00002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6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</xdr:colOff>
      <xdr:row>65</xdr:row>
      <xdr:rowOff>51435</xdr:rowOff>
    </xdr:to>
    <xdr:pic>
      <xdr:nvPicPr>
        <xdr:cNvPr id="9518" name="Picture 8" descr=" ">
          <a:extLst>
            <a:ext uri="{FF2B5EF4-FFF2-40B4-BE49-F238E27FC236}">
              <a16:creationId xmlns:a16="http://schemas.microsoft.com/office/drawing/2014/main" id="{00000000-0008-0000-0100-00002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6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</xdr:colOff>
      <xdr:row>65</xdr:row>
      <xdr:rowOff>51435</xdr:rowOff>
    </xdr:to>
    <xdr:pic>
      <xdr:nvPicPr>
        <xdr:cNvPr id="9519" name="Picture 9" descr=" ">
          <a:extLst>
            <a:ext uri="{FF2B5EF4-FFF2-40B4-BE49-F238E27FC236}">
              <a16:creationId xmlns:a16="http://schemas.microsoft.com/office/drawing/2014/main" id="{00000000-0008-0000-0100-00002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6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</xdr:colOff>
      <xdr:row>65</xdr:row>
      <xdr:rowOff>51435</xdr:rowOff>
    </xdr:to>
    <xdr:pic>
      <xdr:nvPicPr>
        <xdr:cNvPr id="9520" name="Picture 10" descr=" ">
          <a:extLst>
            <a:ext uri="{FF2B5EF4-FFF2-40B4-BE49-F238E27FC236}">
              <a16:creationId xmlns:a16="http://schemas.microsoft.com/office/drawing/2014/main" id="{00000000-0008-0000-0100-00003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6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</xdr:colOff>
      <xdr:row>65</xdr:row>
      <xdr:rowOff>51435</xdr:rowOff>
    </xdr:to>
    <xdr:pic>
      <xdr:nvPicPr>
        <xdr:cNvPr id="9521" name="Picture 11" descr=" ">
          <a:extLst>
            <a:ext uri="{FF2B5EF4-FFF2-40B4-BE49-F238E27FC236}">
              <a16:creationId xmlns:a16="http://schemas.microsoft.com/office/drawing/2014/main" id="{00000000-0008-0000-0100-00003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6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</xdr:colOff>
      <xdr:row>65</xdr:row>
      <xdr:rowOff>51435</xdr:rowOff>
    </xdr:to>
    <xdr:pic>
      <xdr:nvPicPr>
        <xdr:cNvPr id="9522" name="Picture 12" descr=" ">
          <a:extLst>
            <a:ext uri="{FF2B5EF4-FFF2-40B4-BE49-F238E27FC236}">
              <a16:creationId xmlns:a16="http://schemas.microsoft.com/office/drawing/2014/main" id="{00000000-0008-0000-0100-00003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86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</xdr:colOff>
      <xdr:row>66</xdr:row>
      <xdr:rowOff>51435</xdr:rowOff>
    </xdr:to>
    <xdr:pic>
      <xdr:nvPicPr>
        <xdr:cNvPr id="9523" name="Picture 7" descr=" ">
          <a:extLst>
            <a:ext uri="{FF2B5EF4-FFF2-40B4-BE49-F238E27FC236}">
              <a16:creationId xmlns:a16="http://schemas.microsoft.com/office/drawing/2014/main" id="{00000000-0008-0000-0100-00003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</xdr:colOff>
      <xdr:row>66</xdr:row>
      <xdr:rowOff>51435</xdr:rowOff>
    </xdr:to>
    <xdr:pic>
      <xdr:nvPicPr>
        <xdr:cNvPr id="9524" name="Picture 8" descr=" ">
          <a:extLst>
            <a:ext uri="{FF2B5EF4-FFF2-40B4-BE49-F238E27FC236}">
              <a16:creationId xmlns:a16="http://schemas.microsoft.com/office/drawing/2014/main" id="{00000000-0008-0000-0100-00003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</xdr:colOff>
      <xdr:row>66</xdr:row>
      <xdr:rowOff>51435</xdr:rowOff>
    </xdr:to>
    <xdr:pic>
      <xdr:nvPicPr>
        <xdr:cNvPr id="9525" name="Picture 9" descr=" ">
          <a:extLst>
            <a:ext uri="{FF2B5EF4-FFF2-40B4-BE49-F238E27FC236}">
              <a16:creationId xmlns:a16="http://schemas.microsoft.com/office/drawing/2014/main" id="{00000000-0008-0000-0100-00003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</xdr:colOff>
      <xdr:row>66</xdr:row>
      <xdr:rowOff>51435</xdr:rowOff>
    </xdr:to>
    <xdr:pic>
      <xdr:nvPicPr>
        <xdr:cNvPr id="9526" name="Picture 10" descr=" ">
          <a:extLst>
            <a:ext uri="{FF2B5EF4-FFF2-40B4-BE49-F238E27FC236}">
              <a16:creationId xmlns:a16="http://schemas.microsoft.com/office/drawing/2014/main" id="{00000000-0008-0000-0100-00003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</xdr:colOff>
      <xdr:row>66</xdr:row>
      <xdr:rowOff>51435</xdr:rowOff>
    </xdr:to>
    <xdr:pic>
      <xdr:nvPicPr>
        <xdr:cNvPr id="9527" name="Picture 11" descr=" ">
          <a:extLst>
            <a:ext uri="{FF2B5EF4-FFF2-40B4-BE49-F238E27FC236}">
              <a16:creationId xmlns:a16="http://schemas.microsoft.com/office/drawing/2014/main" id="{00000000-0008-0000-0100-00003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</xdr:colOff>
      <xdr:row>66</xdr:row>
      <xdr:rowOff>51435</xdr:rowOff>
    </xdr:to>
    <xdr:pic>
      <xdr:nvPicPr>
        <xdr:cNvPr id="9528" name="Picture 12" descr=" ">
          <a:extLst>
            <a:ext uri="{FF2B5EF4-FFF2-40B4-BE49-F238E27FC236}">
              <a16:creationId xmlns:a16="http://schemas.microsoft.com/office/drawing/2014/main" id="{00000000-0008-0000-0100-00003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</xdr:colOff>
      <xdr:row>67</xdr:row>
      <xdr:rowOff>51435</xdr:rowOff>
    </xdr:to>
    <xdr:pic>
      <xdr:nvPicPr>
        <xdr:cNvPr id="9529" name="Picture 7" descr=" ">
          <a:extLst>
            <a:ext uri="{FF2B5EF4-FFF2-40B4-BE49-F238E27FC236}">
              <a16:creationId xmlns:a16="http://schemas.microsoft.com/office/drawing/2014/main" id="{00000000-0008-0000-0100-00003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10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</xdr:colOff>
      <xdr:row>67</xdr:row>
      <xdr:rowOff>51435</xdr:rowOff>
    </xdr:to>
    <xdr:pic>
      <xdr:nvPicPr>
        <xdr:cNvPr id="9530" name="Picture 8" descr=" ">
          <a:extLst>
            <a:ext uri="{FF2B5EF4-FFF2-40B4-BE49-F238E27FC236}">
              <a16:creationId xmlns:a16="http://schemas.microsoft.com/office/drawing/2014/main" id="{00000000-0008-0000-0100-00003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10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</xdr:colOff>
      <xdr:row>67</xdr:row>
      <xdr:rowOff>51435</xdr:rowOff>
    </xdr:to>
    <xdr:pic>
      <xdr:nvPicPr>
        <xdr:cNvPr id="9531" name="Picture 9" descr=" ">
          <a:extLst>
            <a:ext uri="{FF2B5EF4-FFF2-40B4-BE49-F238E27FC236}">
              <a16:creationId xmlns:a16="http://schemas.microsoft.com/office/drawing/2014/main" id="{00000000-0008-0000-0100-00003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10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</xdr:colOff>
      <xdr:row>67</xdr:row>
      <xdr:rowOff>51435</xdr:rowOff>
    </xdr:to>
    <xdr:pic>
      <xdr:nvPicPr>
        <xdr:cNvPr id="9532" name="Picture 10" descr=" ">
          <a:extLst>
            <a:ext uri="{FF2B5EF4-FFF2-40B4-BE49-F238E27FC236}">
              <a16:creationId xmlns:a16="http://schemas.microsoft.com/office/drawing/2014/main" id="{00000000-0008-0000-0100-00003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10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</xdr:colOff>
      <xdr:row>67</xdr:row>
      <xdr:rowOff>51435</xdr:rowOff>
    </xdr:to>
    <xdr:pic>
      <xdr:nvPicPr>
        <xdr:cNvPr id="9533" name="Picture 11" descr=" ">
          <a:extLst>
            <a:ext uri="{FF2B5EF4-FFF2-40B4-BE49-F238E27FC236}">
              <a16:creationId xmlns:a16="http://schemas.microsoft.com/office/drawing/2014/main" id="{00000000-0008-0000-0100-00003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10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</xdr:colOff>
      <xdr:row>67</xdr:row>
      <xdr:rowOff>51435</xdr:rowOff>
    </xdr:to>
    <xdr:pic>
      <xdr:nvPicPr>
        <xdr:cNvPr id="9534" name="Picture 12" descr=" ">
          <a:extLst>
            <a:ext uri="{FF2B5EF4-FFF2-40B4-BE49-F238E27FC236}">
              <a16:creationId xmlns:a16="http://schemas.microsoft.com/office/drawing/2014/main" id="{00000000-0008-0000-0100-00003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10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</xdr:colOff>
      <xdr:row>68</xdr:row>
      <xdr:rowOff>51435</xdr:rowOff>
    </xdr:to>
    <xdr:pic>
      <xdr:nvPicPr>
        <xdr:cNvPr id="9535" name="Picture 7" descr=" ">
          <a:extLst>
            <a:ext uri="{FF2B5EF4-FFF2-40B4-BE49-F238E27FC236}">
              <a16:creationId xmlns:a16="http://schemas.microsoft.com/office/drawing/2014/main" id="{00000000-0008-0000-0100-00003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72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</xdr:colOff>
      <xdr:row>68</xdr:row>
      <xdr:rowOff>51435</xdr:rowOff>
    </xdr:to>
    <xdr:pic>
      <xdr:nvPicPr>
        <xdr:cNvPr id="9536" name="Picture 8" descr=" ">
          <a:extLst>
            <a:ext uri="{FF2B5EF4-FFF2-40B4-BE49-F238E27FC236}">
              <a16:creationId xmlns:a16="http://schemas.microsoft.com/office/drawing/2014/main" id="{00000000-0008-0000-0100-00004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72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</xdr:colOff>
      <xdr:row>68</xdr:row>
      <xdr:rowOff>51435</xdr:rowOff>
    </xdr:to>
    <xdr:pic>
      <xdr:nvPicPr>
        <xdr:cNvPr id="9537" name="Picture 9" descr=" ">
          <a:extLst>
            <a:ext uri="{FF2B5EF4-FFF2-40B4-BE49-F238E27FC236}">
              <a16:creationId xmlns:a16="http://schemas.microsoft.com/office/drawing/2014/main" id="{00000000-0008-0000-0100-00004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72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</xdr:colOff>
      <xdr:row>68</xdr:row>
      <xdr:rowOff>51435</xdr:rowOff>
    </xdr:to>
    <xdr:pic>
      <xdr:nvPicPr>
        <xdr:cNvPr id="9538" name="Picture 10" descr=" ">
          <a:extLst>
            <a:ext uri="{FF2B5EF4-FFF2-40B4-BE49-F238E27FC236}">
              <a16:creationId xmlns:a16="http://schemas.microsoft.com/office/drawing/2014/main" id="{00000000-0008-0000-0100-00004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72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</xdr:colOff>
      <xdr:row>68</xdr:row>
      <xdr:rowOff>51435</xdr:rowOff>
    </xdr:to>
    <xdr:pic>
      <xdr:nvPicPr>
        <xdr:cNvPr id="9539" name="Picture 11" descr=" ">
          <a:extLst>
            <a:ext uri="{FF2B5EF4-FFF2-40B4-BE49-F238E27FC236}">
              <a16:creationId xmlns:a16="http://schemas.microsoft.com/office/drawing/2014/main" id="{00000000-0008-0000-0100-00004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72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</xdr:colOff>
      <xdr:row>68</xdr:row>
      <xdr:rowOff>51435</xdr:rowOff>
    </xdr:to>
    <xdr:pic>
      <xdr:nvPicPr>
        <xdr:cNvPr id="9540" name="Picture 12" descr=" ">
          <a:extLst>
            <a:ext uri="{FF2B5EF4-FFF2-40B4-BE49-F238E27FC236}">
              <a16:creationId xmlns:a16="http://schemas.microsoft.com/office/drawing/2014/main" id="{00000000-0008-0000-0100-00004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72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</xdr:colOff>
      <xdr:row>69</xdr:row>
      <xdr:rowOff>51435</xdr:rowOff>
    </xdr:to>
    <xdr:pic>
      <xdr:nvPicPr>
        <xdr:cNvPr id="9541" name="Picture 7" descr=" ">
          <a:extLst>
            <a:ext uri="{FF2B5EF4-FFF2-40B4-BE49-F238E27FC236}">
              <a16:creationId xmlns:a16="http://schemas.microsoft.com/office/drawing/2014/main" id="{00000000-0008-0000-0100-00004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</xdr:colOff>
      <xdr:row>69</xdr:row>
      <xdr:rowOff>51435</xdr:rowOff>
    </xdr:to>
    <xdr:pic>
      <xdr:nvPicPr>
        <xdr:cNvPr id="9542" name="Picture 8" descr=" ">
          <a:extLst>
            <a:ext uri="{FF2B5EF4-FFF2-40B4-BE49-F238E27FC236}">
              <a16:creationId xmlns:a16="http://schemas.microsoft.com/office/drawing/2014/main" id="{00000000-0008-0000-0100-00004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</xdr:colOff>
      <xdr:row>69</xdr:row>
      <xdr:rowOff>51435</xdr:rowOff>
    </xdr:to>
    <xdr:pic>
      <xdr:nvPicPr>
        <xdr:cNvPr id="9543" name="Picture 9" descr=" ">
          <a:extLst>
            <a:ext uri="{FF2B5EF4-FFF2-40B4-BE49-F238E27FC236}">
              <a16:creationId xmlns:a16="http://schemas.microsoft.com/office/drawing/2014/main" id="{00000000-0008-0000-0100-00004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</xdr:colOff>
      <xdr:row>69</xdr:row>
      <xdr:rowOff>51435</xdr:rowOff>
    </xdr:to>
    <xdr:pic>
      <xdr:nvPicPr>
        <xdr:cNvPr id="9544" name="Picture 10" descr=" ">
          <a:extLst>
            <a:ext uri="{FF2B5EF4-FFF2-40B4-BE49-F238E27FC236}">
              <a16:creationId xmlns:a16="http://schemas.microsoft.com/office/drawing/2014/main" id="{00000000-0008-0000-0100-00004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</xdr:colOff>
      <xdr:row>69</xdr:row>
      <xdr:rowOff>51435</xdr:rowOff>
    </xdr:to>
    <xdr:pic>
      <xdr:nvPicPr>
        <xdr:cNvPr id="9545" name="Picture 11" descr=" ">
          <a:extLst>
            <a:ext uri="{FF2B5EF4-FFF2-40B4-BE49-F238E27FC236}">
              <a16:creationId xmlns:a16="http://schemas.microsoft.com/office/drawing/2014/main" id="{00000000-0008-0000-0100-00004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</xdr:colOff>
      <xdr:row>69</xdr:row>
      <xdr:rowOff>51435</xdr:rowOff>
    </xdr:to>
    <xdr:pic>
      <xdr:nvPicPr>
        <xdr:cNvPr id="9546" name="Picture 12" descr=" ">
          <a:extLst>
            <a:ext uri="{FF2B5EF4-FFF2-40B4-BE49-F238E27FC236}">
              <a16:creationId xmlns:a16="http://schemas.microsoft.com/office/drawing/2014/main" id="{00000000-0008-0000-0100-00004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</xdr:colOff>
      <xdr:row>70</xdr:row>
      <xdr:rowOff>51435</xdr:rowOff>
    </xdr:to>
    <xdr:pic>
      <xdr:nvPicPr>
        <xdr:cNvPr id="9547" name="Picture 7" descr=" ">
          <a:extLst>
            <a:ext uri="{FF2B5EF4-FFF2-40B4-BE49-F238E27FC236}">
              <a16:creationId xmlns:a16="http://schemas.microsoft.com/office/drawing/2014/main" id="{00000000-0008-0000-0100-00004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96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</xdr:colOff>
      <xdr:row>70</xdr:row>
      <xdr:rowOff>51435</xdr:rowOff>
    </xdr:to>
    <xdr:pic>
      <xdr:nvPicPr>
        <xdr:cNvPr id="9548" name="Picture 8" descr=" ">
          <a:extLst>
            <a:ext uri="{FF2B5EF4-FFF2-40B4-BE49-F238E27FC236}">
              <a16:creationId xmlns:a16="http://schemas.microsoft.com/office/drawing/2014/main" id="{00000000-0008-0000-0100-00004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96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</xdr:colOff>
      <xdr:row>70</xdr:row>
      <xdr:rowOff>51435</xdr:rowOff>
    </xdr:to>
    <xdr:pic>
      <xdr:nvPicPr>
        <xdr:cNvPr id="9549" name="Picture 9" descr=" ">
          <a:extLst>
            <a:ext uri="{FF2B5EF4-FFF2-40B4-BE49-F238E27FC236}">
              <a16:creationId xmlns:a16="http://schemas.microsoft.com/office/drawing/2014/main" id="{00000000-0008-0000-0100-00004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96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</xdr:colOff>
      <xdr:row>70</xdr:row>
      <xdr:rowOff>51435</xdr:rowOff>
    </xdr:to>
    <xdr:pic>
      <xdr:nvPicPr>
        <xdr:cNvPr id="9550" name="Picture 10" descr=" ">
          <a:extLst>
            <a:ext uri="{FF2B5EF4-FFF2-40B4-BE49-F238E27FC236}">
              <a16:creationId xmlns:a16="http://schemas.microsoft.com/office/drawing/2014/main" id="{00000000-0008-0000-0100-00004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96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</xdr:colOff>
      <xdr:row>70</xdr:row>
      <xdr:rowOff>51435</xdr:rowOff>
    </xdr:to>
    <xdr:pic>
      <xdr:nvPicPr>
        <xdr:cNvPr id="9551" name="Picture 11" descr=" ">
          <a:extLst>
            <a:ext uri="{FF2B5EF4-FFF2-40B4-BE49-F238E27FC236}">
              <a16:creationId xmlns:a16="http://schemas.microsoft.com/office/drawing/2014/main" id="{00000000-0008-0000-0100-00004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96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</xdr:colOff>
      <xdr:row>70</xdr:row>
      <xdr:rowOff>51435</xdr:rowOff>
    </xdr:to>
    <xdr:pic>
      <xdr:nvPicPr>
        <xdr:cNvPr id="9552" name="Picture 12" descr=" ">
          <a:extLst>
            <a:ext uri="{FF2B5EF4-FFF2-40B4-BE49-F238E27FC236}">
              <a16:creationId xmlns:a16="http://schemas.microsoft.com/office/drawing/2014/main" id="{00000000-0008-0000-0100-00005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96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</xdr:colOff>
      <xdr:row>71</xdr:row>
      <xdr:rowOff>51435</xdr:rowOff>
    </xdr:to>
    <xdr:pic>
      <xdr:nvPicPr>
        <xdr:cNvPr id="9553" name="Picture 7" descr=" ">
          <a:extLst>
            <a:ext uri="{FF2B5EF4-FFF2-40B4-BE49-F238E27FC236}">
              <a16:creationId xmlns:a16="http://schemas.microsoft.com/office/drawing/2014/main" id="{00000000-0008-0000-0100-00005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58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</xdr:colOff>
      <xdr:row>71</xdr:row>
      <xdr:rowOff>51435</xdr:rowOff>
    </xdr:to>
    <xdr:pic>
      <xdr:nvPicPr>
        <xdr:cNvPr id="9554" name="Picture 8" descr=" ">
          <a:extLst>
            <a:ext uri="{FF2B5EF4-FFF2-40B4-BE49-F238E27FC236}">
              <a16:creationId xmlns:a16="http://schemas.microsoft.com/office/drawing/2014/main" id="{00000000-0008-0000-0100-00005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58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</xdr:colOff>
      <xdr:row>71</xdr:row>
      <xdr:rowOff>51435</xdr:rowOff>
    </xdr:to>
    <xdr:pic>
      <xdr:nvPicPr>
        <xdr:cNvPr id="9555" name="Picture 9" descr=" ">
          <a:extLst>
            <a:ext uri="{FF2B5EF4-FFF2-40B4-BE49-F238E27FC236}">
              <a16:creationId xmlns:a16="http://schemas.microsoft.com/office/drawing/2014/main" id="{00000000-0008-0000-0100-00005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58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</xdr:colOff>
      <xdr:row>71</xdr:row>
      <xdr:rowOff>51435</xdr:rowOff>
    </xdr:to>
    <xdr:pic>
      <xdr:nvPicPr>
        <xdr:cNvPr id="9556" name="Picture 10" descr=" ">
          <a:extLst>
            <a:ext uri="{FF2B5EF4-FFF2-40B4-BE49-F238E27FC236}">
              <a16:creationId xmlns:a16="http://schemas.microsoft.com/office/drawing/2014/main" id="{00000000-0008-0000-0100-00005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58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</xdr:colOff>
      <xdr:row>71</xdr:row>
      <xdr:rowOff>51435</xdr:rowOff>
    </xdr:to>
    <xdr:pic>
      <xdr:nvPicPr>
        <xdr:cNvPr id="9557" name="Picture 11" descr=" ">
          <a:extLst>
            <a:ext uri="{FF2B5EF4-FFF2-40B4-BE49-F238E27FC236}">
              <a16:creationId xmlns:a16="http://schemas.microsoft.com/office/drawing/2014/main" id="{00000000-0008-0000-0100-00005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58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</xdr:colOff>
      <xdr:row>71</xdr:row>
      <xdr:rowOff>51435</xdr:rowOff>
    </xdr:to>
    <xdr:pic>
      <xdr:nvPicPr>
        <xdr:cNvPr id="9558" name="Picture 12" descr=" ">
          <a:extLst>
            <a:ext uri="{FF2B5EF4-FFF2-40B4-BE49-F238E27FC236}">
              <a16:creationId xmlns:a16="http://schemas.microsoft.com/office/drawing/2014/main" id="{00000000-0008-0000-0100-00005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58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</xdr:colOff>
      <xdr:row>72</xdr:row>
      <xdr:rowOff>51435</xdr:rowOff>
    </xdr:to>
    <xdr:pic>
      <xdr:nvPicPr>
        <xdr:cNvPr id="9559" name="Picture 7" descr=" ">
          <a:extLst>
            <a:ext uri="{FF2B5EF4-FFF2-40B4-BE49-F238E27FC236}">
              <a16:creationId xmlns:a16="http://schemas.microsoft.com/office/drawing/2014/main" id="{00000000-0008-0000-0100-00005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</xdr:colOff>
      <xdr:row>72</xdr:row>
      <xdr:rowOff>51435</xdr:rowOff>
    </xdr:to>
    <xdr:pic>
      <xdr:nvPicPr>
        <xdr:cNvPr id="9560" name="Picture 8" descr=" ">
          <a:extLst>
            <a:ext uri="{FF2B5EF4-FFF2-40B4-BE49-F238E27FC236}">
              <a16:creationId xmlns:a16="http://schemas.microsoft.com/office/drawing/2014/main" id="{00000000-0008-0000-0100-00005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</xdr:colOff>
      <xdr:row>72</xdr:row>
      <xdr:rowOff>51435</xdr:rowOff>
    </xdr:to>
    <xdr:pic>
      <xdr:nvPicPr>
        <xdr:cNvPr id="9561" name="Picture 9" descr=" ">
          <a:extLst>
            <a:ext uri="{FF2B5EF4-FFF2-40B4-BE49-F238E27FC236}">
              <a16:creationId xmlns:a16="http://schemas.microsoft.com/office/drawing/2014/main" id="{00000000-0008-0000-0100-00005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</xdr:colOff>
      <xdr:row>72</xdr:row>
      <xdr:rowOff>51435</xdr:rowOff>
    </xdr:to>
    <xdr:pic>
      <xdr:nvPicPr>
        <xdr:cNvPr id="9562" name="Picture 10" descr=" ">
          <a:extLst>
            <a:ext uri="{FF2B5EF4-FFF2-40B4-BE49-F238E27FC236}">
              <a16:creationId xmlns:a16="http://schemas.microsoft.com/office/drawing/2014/main" id="{00000000-0008-0000-0100-00005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</xdr:colOff>
      <xdr:row>72</xdr:row>
      <xdr:rowOff>51435</xdr:rowOff>
    </xdr:to>
    <xdr:pic>
      <xdr:nvPicPr>
        <xdr:cNvPr id="9563" name="Picture 11" descr=" ">
          <a:extLst>
            <a:ext uri="{FF2B5EF4-FFF2-40B4-BE49-F238E27FC236}">
              <a16:creationId xmlns:a16="http://schemas.microsoft.com/office/drawing/2014/main" id="{00000000-0008-0000-0100-00005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</xdr:colOff>
      <xdr:row>72</xdr:row>
      <xdr:rowOff>51435</xdr:rowOff>
    </xdr:to>
    <xdr:pic>
      <xdr:nvPicPr>
        <xdr:cNvPr id="9564" name="Picture 12" descr=" ">
          <a:extLst>
            <a:ext uri="{FF2B5EF4-FFF2-40B4-BE49-F238E27FC236}">
              <a16:creationId xmlns:a16="http://schemas.microsoft.com/office/drawing/2014/main" id="{00000000-0008-0000-0100-00005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</xdr:colOff>
      <xdr:row>73</xdr:row>
      <xdr:rowOff>51435</xdr:rowOff>
    </xdr:to>
    <xdr:pic>
      <xdr:nvPicPr>
        <xdr:cNvPr id="9565" name="Picture 7" descr=" ">
          <a:extLst>
            <a:ext uri="{FF2B5EF4-FFF2-40B4-BE49-F238E27FC236}">
              <a16:creationId xmlns:a16="http://schemas.microsoft.com/office/drawing/2014/main" id="{00000000-0008-0000-0100-00005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82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</xdr:colOff>
      <xdr:row>73</xdr:row>
      <xdr:rowOff>51435</xdr:rowOff>
    </xdr:to>
    <xdr:pic>
      <xdr:nvPicPr>
        <xdr:cNvPr id="9566" name="Picture 8" descr=" ">
          <a:extLst>
            <a:ext uri="{FF2B5EF4-FFF2-40B4-BE49-F238E27FC236}">
              <a16:creationId xmlns:a16="http://schemas.microsoft.com/office/drawing/2014/main" id="{00000000-0008-0000-0100-00005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82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</xdr:colOff>
      <xdr:row>73</xdr:row>
      <xdr:rowOff>51435</xdr:rowOff>
    </xdr:to>
    <xdr:pic>
      <xdr:nvPicPr>
        <xdr:cNvPr id="9567" name="Picture 9" descr=" ">
          <a:extLst>
            <a:ext uri="{FF2B5EF4-FFF2-40B4-BE49-F238E27FC236}">
              <a16:creationId xmlns:a16="http://schemas.microsoft.com/office/drawing/2014/main" id="{00000000-0008-0000-0100-00005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82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</xdr:colOff>
      <xdr:row>73</xdr:row>
      <xdr:rowOff>51435</xdr:rowOff>
    </xdr:to>
    <xdr:pic>
      <xdr:nvPicPr>
        <xdr:cNvPr id="9568" name="Picture 10" descr=" ">
          <a:extLst>
            <a:ext uri="{FF2B5EF4-FFF2-40B4-BE49-F238E27FC236}">
              <a16:creationId xmlns:a16="http://schemas.microsoft.com/office/drawing/2014/main" id="{00000000-0008-0000-0100-00006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82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</xdr:colOff>
      <xdr:row>73</xdr:row>
      <xdr:rowOff>51435</xdr:rowOff>
    </xdr:to>
    <xdr:pic>
      <xdr:nvPicPr>
        <xdr:cNvPr id="9569" name="Picture 11" descr=" ">
          <a:extLst>
            <a:ext uri="{FF2B5EF4-FFF2-40B4-BE49-F238E27FC236}">
              <a16:creationId xmlns:a16="http://schemas.microsoft.com/office/drawing/2014/main" id="{00000000-0008-0000-0100-00006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82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</xdr:colOff>
      <xdr:row>73</xdr:row>
      <xdr:rowOff>51435</xdr:rowOff>
    </xdr:to>
    <xdr:pic>
      <xdr:nvPicPr>
        <xdr:cNvPr id="9570" name="Picture 12" descr=" ">
          <a:extLst>
            <a:ext uri="{FF2B5EF4-FFF2-40B4-BE49-F238E27FC236}">
              <a16:creationId xmlns:a16="http://schemas.microsoft.com/office/drawing/2014/main" id="{00000000-0008-0000-0100-00006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82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</xdr:colOff>
      <xdr:row>74</xdr:row>
      <xdr:rowOff>51435</xdr:rowOff>
    </xdr:to>
    <xdr:pic>
      <xdr:nvPicPr>
        <xdr:cNvPr id="9571" name="Picture 7" descr=" ">
          <a:extLst>
            <a:ext uri="{FF2B5EF4-FFF2-40B4-BE49-F238E27FC236}">
              <a16:creationId xmlns:a16="http://schemas.microsoft.com/office/drawing/2014/main" id="{00000000-0008-0000-0100-00006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44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</xdr:colOff>
      <xdr:row>74</xdr:row>
      <xdr:rowOff>51435</xdr:rowOff>
    </xdr:to>
    <xdr:pic>
      <xdr:nvPicPr>
        <xdr:cNvPr id="9572" name="Picture 8" descr=" ">
          <a:extLst>
            <a:ext uri="{FF2B5EF4-FFF2-40B4-BE49-F238E27FC236}">
              <a16:creationId xmlns:a16="http://schemas.microsoft.com/office/drawing/2014/main" id="{00000000-0008-0000-0100-00006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44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</xdr:colOff>
      <xdr:row>74</xdr:row>
      <xdr:rowOff>51435</xdr:rowOff>
    </xdr:to>
    <xdr:pic>
      <xdr:nvPicPr>
        <xdr:cNvPr id="9573" name="Picture 9" descr=" ">
          <a:extLst>
            <a:ext uri="{FF2B5EF4-FFF2-40B4-BE49-F238E27FC236}">
              <a16:creationId xmlns:a16="http://schemas.microsoft.com/office/drawing/2014/main" id="{00000000-0008-0000-0100-00006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44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</xdr:colOff>
      <xdr:row>74</xdr:row>
      <xdr:rowOff>51435</xdr:rowOff>
    </xdr:to>
    <xdr:pic>
      <xdr:nvPicPr>
        <xdr:cNvPr id="9574" name="Picture 10" descr=" ">
          <a:extLst>
            <a:ext uri="{FF2B5EF4-FFF2-40B4-BE49-F238E27FC236}">
              <a16:creationId xmlns:a16="http://schemas.microsoft.com/office/drawing/2014/main" id="{00000000-0008-0000-0100-00006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44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</xdr:colOff>
      <xdr:row>74</xdr:row>
      <xdr:rowOff>51435</xdr:rowOff>
    </xdr:to>
    <xdr:pic>
      <xdr:nvPicPr>
        <xdr:cNvPr id="9575" name="Picture 11" descr=" ">
          <a:extLst>
            <a:ext uri="{FF2B5EF4-FFF2-40B4-BE49-F238E27FC236}">
              <a16:creationId xmlns:a16="http://schemas.microsoft.com/office/drawing/2014/main" id="{00000000-0008-0000-0100-00006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44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</xdr:colOff>
      <xdr:row>74</xdr:row>
      <xdr:rowOff>51435</xdr:rowOff>
    </xdr:to>
    <xdr:pic>
      <xdr:nvPicPr>
        <xdr:cNvPr id="9576" name="Picture 12" descr=" ">
          <a:extLst>
            <a:ext uri="{FF2B5EF4-FFF2-40B4-BE49-F238E27FC236}">
              <a16:creationId xmlns:a16="http://schemas.microsoft.com/office/drawing/2014/main" id="{00000000-0008-0000-0100-00006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44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75</xdr:row>
      <xdr:rowOff>51435</xdr:rowOff>
    </xdr:to>
    <xdr:pic>
      <xdr:nvPicPr>
        <xdr:cNvPr id="9577" name="Picture 7" descr=" ">
          <a:extLst>
            <a:ext uri="{FF2B5EF4-FFF2-40B4-BE49-F238E27FC236}">
              <a16:creationId xmlns:a16="http://schemas.microsoft.com/office/drawing/2014/main" id="{00000000-0008-0000-0100-00006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06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75</xdr:row>
      <xdr:rowOff>51435</xdr:rowOff>
    </xdr:to>
    <xdr:pic>
      <xdr:nvPicPr>
        <xdr:cNvPr id="9578" name="Picture 8" descr=" ">
          <a:extLst>
            <a:ext uri="{FF2B5EF4-FFF2-40B4-BE49-F238E27FC236}">
              <a16:creationId xmlns:a16="http://schemas.microsoft.com/office/drawing/2014/main" id="{00000000-0008-0000-0100-00006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06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75</xdr:row>
      <xdr:rowOff>51435</xdr:rowOff>
    </xdr:to>
    <xdr:pic>
      <xdr:nvPicPr>
        <xdr:cNvPr id="9579" name="Picture 9" descr=" ">
          <a:extLst>
            <a:ext uri="{FF2B5EF4-FFF2-40B4-BE49-F238E27FC236}">
              <a16:creationId xmlns:a16="http://schemas.microsoft.com/office/drawing/2014/main" id="{00000000-0008-0000-0100-00006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06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75</xdr:row>
      <xdr:rowOff>51435</xdr:rowOff>
    </xdr:to>
    <xdr:pic>
      <xdr:nvPicPr>
        <xdr:cNvPr id="9580" name="Picture 10" descr=" ">
          <a:extLst>
            <a:ext uri="{FF2B5EF4-FFF2-40B4-BE49-F238E27FC236}">
              <a16:creationId xmlns:a16="http://schemas.microsoft.com/office/drawing/2014/main" id="{00000000-0008-0000-0100-00006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06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75</xdr:row>
      <xdr:rowOff>51435</xdr:rowOff>
    </xdr:to>
    <xdr:pic>
      <xdr:nvPicPr>
        <xdr:cNvPr id="9581" name="Picture 11" descr=" ">
          <a:extLst>
            <a:ext uri="{FF2B5EF4-FFF2-40B4-BE49-F238E27FC236}">
              <a16:creationId xmlns:a16="http://schemas.microsoft.com/office/drawing/2014/main" id="{00000000-0008-0000-0100-00006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06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</xdr:colOff>
      <xdr:row>75</xdr:row>
      <xdr:rowOff>51435</xdr:rowOff>
    </xdr:to>
    <xdr:pic>
      <xdr:nvPicPr>
        <xdr:cNvPr id="9582" name="Picture 12" descr=" ">
          <a:extLst>
            <a:ext uri="{FF2B5EF4-FFF2-40B4-BE49-F238E27FC236}">
              <a16:creationId xmlns:a16="http://schemas.microsoft.com/office/drawing/2014/main" id="{00000000-0008-0000-0100-00006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06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</xdr:colOff>
      <xdr:row>76</xdr:row>
      <xdr:rowOff>51435</xdr:rowOff>
    </xdr:to>
    <xdr:pic>
      <xdr:nvPicPr>
        <xdr:cNvPr id="9583" name="Picture 7" descr=" ">
          <a:extLst>
            <a:ext uri="{FF2B5EF4-FFF2-40B4-BE49-F238E27FC236}">
              <a16:creationId xmlns:a16="http://schemas.microsoft.com/office/drawing/2014/main" id="{00000000-0008-0000-0100-00006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68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</xdr:colOff>
      <xdr:row>76</xdr:row>
      <xdr:rowOff>51435</xdr:rowOff>
    </xdr:to>
    <xdr:pic>
      <xdr:nvPicPr>
        <xdr:cNvPr id="9584" name="Picture 8" descr=" ">
          <a:extLst>
            <a:ext uri="{FF2B5EF4-FFF2-40B4-BE49-F238E27FC236}">
              <a16:creationId xmlns:a16="http://schemas.microsoft.com/office/drawing/2014/main" id="{00000000-0008-0000-0100-00007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68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</xdr:colOff>
      <xdr:row>76</xdr:row>
      <xdr:rowOff>51435</xdr:rowOff>
    </xdr:to>
    <xdr:pic>
      <xdr:nvPicPr>
        <xdr:cNvPr id="9585" name="Picture 9" descr=" ">
          <a:extLst>
            <a:ext uri="{FF2B5EF4-FFF2-40B4-BE49-F238E27FC236}">
              <a16:creationId xmlns:a16="http://schemas.microsoft.com/office/drawing/2014/main" id="{00000000-0008-0000-0100-00007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68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</xdr:colOff>
      <xdr:row>76</xdr:row>
      <xdr:rowOff>51435</xdr:rowOff>
    </xdr:to>
    <xdr:pic>
      <xdr:nvPicPr>
        <xdr:cNvPr id="9586" name="Picture 10" descr=" ">
          <a:extLst>
            <a:ext uri="{FF2B5EF4-FFF2-40B4-BE49-F238E27FC236}">
              <a16:creationId xmlns:a16="http://schemas.microsoft.com/office/drawing/2014/main" id="{00000000-0008-0000-0100-00007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68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</xdr:colOff>
      <xdr:row>76</xdr:row>
      <xdr:rowOff>51435</xdr:rowOff>
    </xdr:to>
    <xdr:pic>
      <xdr:nvPicPr>
        <xdr:cNvPr id="9587" name="Picture 11" descr=" ">
          <a:extLst>
            <a:ext uri="{FF2B5EF4-FFF2-40B4-BE49-F238E27FC236}">
              <a16:creationId xmlns:a16="http://schemas.microsoft.com/office/drawing/2014/main" id="{00000000-0008-0000-0100-00007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68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</xdr:colOff>
      <xdr:row>76</xdr:row>
      <xdr:rowOff>51435</xdr:rowOff>
    </xdr:to>
    <xdr:pic>
      <xdr:nvPicPr>
        <xdr:cNvPr id="9588" name="Picture 12" descr=" ">
          <a:extLst>
            <a:ext uri="{FF2B5EF4-FFF2-40B4-BE49-F238E27FC236}">
              <a16:creationId xmlns:a16="http://schemas.microsoft.com/office/drawing/2014/main" id="{00000000-0008-0000-0100-00007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68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</xdr:colOff>
      <xdr:row>77</xdr:row>
      <xdr:rowOff>51435</xdr:rowOff>
    </xdr:to>
    <xdr:pic>
      <xdr:nvPicPr>
        <xdr:cNvPr id="9589" name="Picture 7" descr=" ">
          <a:extLst>
            <a:ext uri="{FF2B5EF4-FFF2-40B4-BE49-F238E27FC236}">
              <a16:creationId xmlns:a16="http://schemas.microsoft.com/office/drawing/2014/main" id="{00000000-0008-0000-0100-00007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29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</xdr:colOff>
      <xdr:row>77</xdr:row>
      <xdr:rowOff>51435</xdr:rowOff>
    </xdr:to>
    <xdr:pic>
      <xdr:nvPicPr>
        <xdr:cNvPr id="9590" name="Picture 8" descr=" ">
          <a:extLst>
            <a:ext uri="{FF2B5EF4-FFF2-40B4-BE49-F238E27FC236}">
              <a16:creationId xmlns:a16="http://schemas.microsoft.com/office/drawing/2014/main" id="{00000000-0008-0000-0100-00007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29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</xdr:colOff>
      <xdr:row>77</xdr:row>
      <xdr:rowOff>51435</xdr:rowOff>
    </xdr:to>
    <xdr:pic>
      <xdr:nvPicPr>
        <xdr:cNvPr id="9591" name="Picture 9" descr=" ">
          <a:extLst>
            <a:ext uri="{FF2B5EF4-FFF2-40B4-BE49-F238E27FC236}">
              <a16:creationId xmlns:a16="http://schemas.microsoft.com/office/drawing/2014/main" id="{00000000-0008-0000-0100-00007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29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</xdr:colOff>
      <xdr:row>77</xdr:row>
      <xdr:rowOff>51435</xdr:rowOff>
    </xdr:to>
    <xdr:pic>
      <xdr:nvPicPr>
        <xdr:cNvPr id="9592" name="Picture 10" descr=" ">
          <a:extLst>
            <a:ext uri="{FF2B5EF4-FFF2-40B4-BE49-F238E27FC236}">
              <a16:creationId xmlns:a16="http://schemas.microsoft.com/office/drawing/2014/main" id="{00000000-0008-0000-0100-00007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29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</xdr:colOff>
      <xdr:row>77</xdr:row>
      <xdr:rowOff>51435</xdr:rowOff>
    </xdr:to>
    <xdr:pic>
      <xdr:nvPicPr>
        <xdr:cNvPr id="9593" name="Picture 11" descr=" ">
          <a:extLst>
            <a:ext uri="{FF2B5EF4-FFF2-40B4-BE49-F238E27FC236}">
              <a16:creationId xmlns:a16="http://schemas.microsoft.com/office/drawing/2014/main" id="{00000000-0008-0000-0100-00007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29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</xdr:colOff>
      <xdr:row>77</xdr:row>
      <xdr:rowOff>51435</xdr:rowOff>
    </xdr:to>
    <xdr:pic>
      <xdr:nvPicPr>
        <xdr:cNvPr id="9594" name="Picture 12" descr=" ">
          <a:extLst>
            <a:ext uri="{FF2B5EF4-FFF2-40B4-BE49-F238E27FC236}">
              <a16:creationId xmlns:a16="http://schemas.microsoft.com/office/drawing/2014/main" id="{00000000-0008-0000-0100-00007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29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9595" name="Picture 7" descr=" ">
          <a:extLst>
            <a:ext uri="{FF2B5EF4-FFF2-40B4-BE49-F238E27FC236}">
              <a16:creationId xmlns:a16="http://schemas.microsoft.com/office/drawing/2014/main" id="{00000000-0008-0000-0100-00007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9596" name="Picture 8" descr=" ">
          <a:extLst>
            <a:ext uri="{FF2B5EF4-FFF2-40B4-BE49-F238E27FC236}">
              <a16:creationId xmlns:a16="http://schemas.microsoft.com/office/drawing/2014/main" id="{00000000-0008-0000-0100-00007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9597" name="Picture 9" descr=" ">
          <a:extLst>
            <a:ext uri="{FF2B5EF4-FFF2-40B4-BE49-F238E27FC236}">
              <a16:creationId xmlns:a16="http://schemas.microsoft.com/office/drawing/2014/main" id="{00000000-0008-0000-0100-00007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9598" name="Picture 10" descr=" ">
          <a:extLst>
            <a:ext uri="{FF2B5EF4-FFF2-40B4-BE49-F238E27FC236}">
              <a16:creationId xmlns:a16="http://schemas.microsoft.com/office/drawing/2014/main" id="{00000000-0008-0000-0100-00007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9599" name="Picture 11" descr=" ">
          <a:extLst>
            <a:ext uri="{FF2B5EF4-FFF2-40B4-BE49-F238E27FC236}">
              <a16:creationId xmlns:a16="http://schemas.microsoft.com/office/drawing/2014/main" id="{00000000-0008-0000-0100-00007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9600" name="Picture 12" descr=" ">
          <a:extLst>
            <a:ext uri="{FF2B5EF4-FFF2-40B4-BE49-F238E27FC236}">
              <a16:creationId xmlns:a16="http://schemas.microsoft.com/office/drawing/2014/main" id="{00000000-0008-0000-0100-00008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</xdr:colOff>
      <xdr:row>79</xdr:row>
      <xdr:rowOff>47625</xdr:rowOff>
    </xdr:to>
    <xdr:pic>
      <xdr:nvPicPr>
        <xdr:cNvPr id="9601" name="Picture 7" descr=" ">
          <a:extLst>
            <a:ext uri="{FF2B5EF4-FFF2-40B4-BE49-F238E27FC236}">
              <a16:creationId xmlns:a16="http://schemas.microsoft.com/office/drawing/2014/main" id="{00000000-0008-0000-0100-00008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53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</xdr:colOff>
      <xdr:row>79</xdr:row>
      <xdr:rowOff>47625</xdr:rowOff>
    </xdr:to>
    <xdr:pic>
      <xdr:nvPicPr>
        <xdr:cNvPr id="9602" name="Picture 8" descr=" ">
          <a:extLst>
            <a:ext uri="{FF2B5EF4-FFF2-40B4-BE49-F238E27FC236}">
              <a16:creationId xmlns:a16="http://schemas.microsoft.com/office/drawing/2014/main" id="{00000000-0008-0000-0100-00008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53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</xdr:colOff>
      <xdr:row>79</xdr:row>
      <xdr:rowOff>47625</xdr:rowOff>
    </xdr:to>
    <xdr:pic>
      <xdr:nvPicPr>
        <xdr:cNvPr id="9603" name="Picture 9" descr=" ">
          <a:extLst>
            <a:ext uri="{FF2B5EF4-FFF2-40B4-BE49-F238E27FC236}">
              <a16:creationId xmlns:a16="http://schemas.microsoft.com/office/drawing/2014/main" id="{00000000-0008-0000-0100-00008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53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</xdr:colOff>
      <xdr:row>79</xdr:row>
      <xdr:rowOff>47625</xdr:rowOff>
    </xdr:to>
    <xdr:pic>
      <xdr:nvPicPr>
        <xdr:cNvPr id="9604" name="Picture 10" descr=" ">
          <a:extLst>
            <a:ext uri="{FF2B5EF4-FFF2-40B4-BE49-F238E27FC236}">
              <a16:creationId xmlns:a16="http://schemas.microsoft.com/office/drawing/2014/main" id="{00000000-0008-0000-0100-00008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53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</xdr:colOff>
      <xdr:row>79</xdr:row>
      <xdr:rowOff>47625</xdr:rowOff>
    </xdr:to>
    <xdr:pic>
      <xdr:nvPicPr>
        <xdr:cNvPr id="9605" name="Picture 11" descr=" ">
          <a:extLst>
            <a:ext uri="{FF2B5EF4-FFF2-40B4-BE49-F238E27FC236}">
              <a16:creationId xmlns:a16="http://schemas.microsoft.com/office/drawing/2014/main" id="{00000000-0008-0000-0100-00008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53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</xdr:colOff>
      <xdr:row>79</xdr:row>
      <xdr:rowOff>47625</xdr:rowOff>
    </xdr:to>
    <xdr:pic>
      <xdr:nvPicPr>
        <xdr:cNvPr id="9606" name="Picture 12" descr=" ">
          <a:extLst>
            <a:ext uri="{FF2B5EF4-FFF2-40B4-BE49-F238E27FC236}">
              <a16:creationId xmlns:a16="http://schemas.microsoft.com/office/drawing/2014/main" id="{00000000-0008-0000-0100-00008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53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</xdr:colOff>
      <xdr:row>80</xdr:row>
      <xdr:rowOff>51435</xdr:rowOff>
    </xdr:to>
    <xdr:pic>
      <xdr:nvPicPr>
        <xdr:cNvPr id="9607" name="Picture 7" descr=" ">
          <a:extLst>
            <a:ext uri="{FF2B5EF4-FFF2-40B4-BE49-F238E27FC236}">
              <a16:creationId xmlns:a16="http://schemas.microsoft.com/office/drawing/2014/main" id="{00000000-0008-0000-0100-00008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10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</xdr:colOff>
      <xdr:row>80</xdr:row>
      <xdr:rowOff>51435</xdr:rowOff>
    </xdr:to>
    <xdr:pic>
      <xdr:nvPicPr>
        <xdr:cNvPr id="9608" name="Picture 8" descr=" ">
          <a:extLst>
            <a:ext uri="{FF2B5EF4-FFF2-40B4-BE49-F238E27FC236}">
              <a16:creationId xmlns:a16="http://schemas.microsoft.com/office/drawing/2014/main" id="{00000000-0008-0000-0100-00008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10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</xdr:colOff>
      <xdr:row>80</xdr:row>
      <xdr:rowOff>51435</xdr:rowOff>
    </xdr:to>
    <xdr:pic>
      <xdr:nvPicPr>
        <xdr:cNvPr id="9609" name="Picture 9" descr=" ">
          <a:extLst>
            <a:ext uri="{FF2B5EF4-FFF2-40B4-BE49-F238E27FC236}">
              <a16:creationId xmlns:a16="http://schemas.microsoft.com/office/drawing/2014/main" id="{00000000-0008-0000-0100-00008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10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</xdr:colOff>
      <xdr:row>80</xdr:row>
      <xdr:rowOff>51435</xdr:rowOff>
    </xdr:to>
    <xdr:pic>
      <xdr:nvPicPr>
        <xdr:cNvPr id="9610" name="Picture 10" descr=" ">
          <a:extLst>
            <a:ext uri="{FF2B5EF4-FFF2-40B4-BE49-F238E27FC236}">
              <a16:creationId xmlns:a16="http://schemas.microsoft.com/office/drawing/2014/main" id="{00000000-0008-0000-0100-00008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10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</xdr:colOff>
      <xdr:row>80</xdr:row>
      <xdr:rowOff>51435</xdr:rowOff>
    </xdr:to>
    <xdr:pic>
      <xdr:nvPicPr>
        <xdr:cNvPr id="9611" name="Picture 11" descr=" ">
          <a:extLst>
            <a:ext uri="{FF2B5EF4-FFF2-40B4-BE49-F238E27FC236}">
              <a16:creationId xmlns:a16="http://schemas.microsoft.com/office/drawing/2014/main" id="{00000000-0008-0000-0100-00008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10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</xdr:colOff>
      <xdr:row>80</xdr:row>
      <xdr:rowOff>51435</xdr:rowOff>
    </xdr:to>
    <xdr:pic>
      <xdr:nvPicPr>
        <xdr:cNvPr id="9612" name="Picture 12" descr=" ">
          <a:extLst>
            <a:ext uri="{FF2B5EF4-FFF2-40B4-BE49-F238E27FC236}">
              <a16:creationId xmlns:a16="http://schemas.microsoft.com/office/drawing/2014/main" id="{00000000-0008-0000-0100-00008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10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</xdr:colOff>
      <xdr:row>81</xdr:row>
      <xdr:rowOff>51435</xdr:rowOff>
    </xdr:to>
    <xdr:pic>
      <xdr:nvPicPr>
        <xdr:cNvPr id="9613" name="Picture 7" descr=" ">
          <a:extLst>
            <a:ext uri="{FF2B5EF4-FFF2-40B4-BE49-F238E27FC236}">
              <a16:creationId xmlns:a16="http://schemas.microsoft.com/office/drawing/2014/main" id="{00000000-0008-0000-0100-00008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72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</xdr:colOff>
      <xdr:row>81</xdr:row>
      <xdr:rowOff>51435</xdr:rowOff>
    </xdr:to>
    <xdr:pic>
      <xdr:nvPicPr>
        <xdr:cNvPr id="9614" name="Picture 8" descr=" ">
          <a:extLst>
            <a:ext uri="{FF2B5EF4-FFF2-40B4-BE49-F238E27FC236}">
              <a16:creationId xmlns:a16="http://schemas.microsoft.com/office/drawing/2014/main" id="{00000000-0008-0000-0100-00008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72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</xdr:colOff>
      <xdr:row>81</xdr:row>
      <xdr:rowOff>51435</xdr:rowOff>
    </xdr:to>
    <xdr:pic>
      <xdr:nvPicPr>
        <xdr:cNvPr id="9615" name="Picture 9" descr=" ">
          <a:extLst>
            <a:ext uri="{FF2B5EF4-FFF2-40B4-BE49-F238E27FC236}">
              <a16:creationId xmlns:a16="http://schemas.microsoft.com/office/drawing/2014/main" id="{00000000-0008-0000-0100-00008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72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</xdr:colOff>
      <xdr:row>81</xdr:row>
      <xdr:rowOff>51435</xdr:rowOff>
    </xdr:to>
    <xdr:pic>
      <xdr:nvPicPr>
        <xdr:cNvPr id="9616" name="Picture 10" descr=" ">
          <a:extLst>
            <a:ext uri="{FF2B5EF4-FFF2-40B4-BE49-F238E27FC236}">
              <a16:creationId xmlns:a16="http://schemas.microsoft.com/office/drawing/2014/main" id="{00000000-0008-0000-0100-00009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72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</xdr:colOff>
      <xdr:row>81</xdr:row>
      <xdr:rowOff>51435</xdr:rowOff>
    </xdr:to>
    <xdr:pic>
      <xdr:nvPicPr>
        <xdr:cNvPr id="9617" name="Picture 11" descr=" ">
          <a:extLst>
            <a:ext uri="{FF2B5EF4-FFF2-40B4-BE49-F238E27FC236}">
              <a16:creationId xmlns:a16="http://schemas.microsoft.com/office/drawing/2014/main" id="{00000000-0008-0000-0100-00009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72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</xdr:colOff>
      <xdr:row>81</xdr:row>
      <xdr:rowOff>51435</xdr:rowOff>
    </xdr:to>
    <xdr:pic>
      <xdr:nvPicPr>
        <xdr:cNvPr id="9618" name="Picture 12" descr=" ">
          <a:extLst>
            <a:ext uri="{FF2B5EF4-FFF2-40B4-BE49-F238E27FC236}">
              <a16:creationId xmlns:a16="http://schemas.microsoft.com/office/drawing/2014/main" id="{00000000-0008-0000-0100-00009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72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</xdr:colOff>
      <xdr:row>82</xdr:row>
      <xdr:rowOff>51435</xdr:rowOff>
    </xdr:to>
    <xdr:pic>
      <xdr:nvPicPr>
        <xdr:cNvPr id="9619" name="Picture 7" descr=" ">
          <a:extLst>
            <a:ext uri="{FF2B5EF4-FFF2-40B4-BE49-F238E27FC236}">
              <a16:creationId xmlns:a16="http://schemas.microsoft.com/office/drawing/2014/main" id="{00000000-0008-0000-0100-00009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34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</xdr:colOff>
      <xdr:row>82</xdr:row>
      <xdr:rowOff>51435</xdr:rowOff>
    </xdr:to>
    <xdr:pic>
      <xdr:nvPicPr>
        <xdr:cNvPr id="9620" name="Picture 8" descr=" ">
          <a:extLst>
            <a:ext uri="{FF2B5EF4-FFF2-40B4-BE49-F238E27FC236}">
              <a16:creationId xmlns:a16="http://schemas.microsoft.com/office/drawing/2014/main" id="{00000000-0008-0000-0100-00009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34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</xdr:colOff>
      <xdr:row>82</xdr:row>
      <xdr:rowOff>51435</xdr:rowOff>
    </xdr:to>
    <xdr:pic>
      <xdr:nvPicPr>
        <xdr:cNvPr id="9621" name="Picture 9" descr=" ">
          <a:extLst>
            <a:ext uri="{FF2B5EF4-FFF2-40B4-BE49-F238E27FC236}">
              <a16:creationId xmlns:a16="http://schemas.microsoft.com/office/drawing/2014/main" id="{00000000-0008-0000-0100-00009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34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</xdr:colOff>
      <xdr:row>82</xdr:row>
      <xdr:rowOff>51435</xdr:rowOff>
    </xdr:to>
    <xdr:pic>
      <xdr:nvPicPr>
        <xdr:cNvPr id="9622" name="Picture 10" descr=" ">
          <a:extLst>
            <a:ext uri="{FF2B5EF4-FFF2-40B4-BE49-F238E27FC236}">
              <a16:creationId xmlns:a16="http://schemas.microsoft.com/office/drawing/2014/main" id="{00000000-0008-0000-0100-00009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34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</xdr:colOff>
      <xdr:row>82</xdr:row>
      <xdr:rowOff>51435</xdr:rowOff>
    </xdr:to>
    <xdr:pic>
      <xdr:nvPicPr>
        <xdr:cNvPr id="9623" name="Picture 11" descr=" ">
          <a:extLst>
            <a:ext uri="{FF2B5EF4-FFF2-40B4-BE49-F238E27FC236}">
              <a16:creationId xmlns:a16="http://schemas.microsoft.com/office/drawing/2014/main" id="{00000000-0008-0000-0100-00009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34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</xdr:colOff>
      <xdr:row>82</xdr:row>
      <xdr:rowOff>51435</xdr:rowOff>
    </xdr:to>
    <xdr:pic>
      <xdr:nvPicPr>
        <xdr:cNvPr id="9624" name="Picture 12" descr=" ">
          <a:extLst>
            <a:ext uri="{FF2B5EF4-FFF2-40B4-BE49-F238E27FC236}">
              <a16:creationId xmlns:a16="http://schemas.microsoft.com/office/drawing/2014/main" id="{00000000-0008-0000-0100-00009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34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</xdr:colOff>
      <xdr:row>83</xdr:row>
      <xdr:rowOff>51435</xdr:rowOff>
    </xdr:to>
    <xdr:pic>
      <xdr:nvPicPr>
        <xdr:cNvPr id="9625" name="Picture 7" descr=" ">
          <a:extLst>
            <a:ext uri="{FF2B5EF4-FFF2-40B4-BE49-F238E27FC236}">
              <a16:creationId xmlns:a16="http://schemas.microsoft.com/office/drawing/2014/main" id="{00000000-0008-0000-0100-00009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96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</xdr:colOff>
      <xdr:row>83</xdr:row>
      <xdr:rowOff>51435</xdr:rowOff>
    </xdr:to>
    <xdr:pic>
      <xdr:nvPicPr>
        <xdr:cNvPr id="9626" name="Picture 8" descr=" ">
          <a:extLst>
            <a:ext uri="{FF2B5EF4-FFF2-40B4-BE49-F238E27FC236}">
              <a16:creationId xmlns:a16="http://schemas.microsoft.com/office/drawing/2014/main" id="{00000000-0008-0000-0100-00009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96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</xdr:colOff>
      <xdr:row>83</xdr:row>
      <xdr:rowOff>51435</xdr:rowOff>
    </xdr:to>
    <xdr:pic>
      <xdr:nvPicPr>
        <xdr:cNvPr id="9627" name="Picture 9" descr=" ">
          <a:extLst>
            <a:ext uri="{FF2B5EF4-FFF2-40B4-BE49-F238E27FC236}">
              <a16:creationId xmlns:a16="http://schemas.microsoft.com/office/drawing/2014/main" id="{00000000-0008-0000-0100-00009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96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</xdr:colOff>
      <xdr:row>83</xdr:row>
      <xdr:rowOff>51435</xdr:rowOff>
    </xdr:to>
    <xdr:pic>
      <xdr:nvPicPr>
        <xdr:cNvPr id="9628" name="Picture 10" descr=" ">
          <a:extLst>
            <a:ext uri="{FF2B5EF4-FFF2-40B4-BE49-F238E27FC236}">
              <a16:creationId xmlns:a16="http://schemas.microsoft.com/office/drawing/2014/main" id="{00000000-0008-0000-0100-00009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96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</xdr:colOff>
      <xdr:row>83</xdr:row>
      <xdr:rowOff>51435</xdr:rowOff>
    </xdr:to>
    <xdr:pic>
      <xdr:nvPicPr>
        <xdr:cNvPr id="9629" name="Picture 11" descr=" ">
          <a:extLst>
            <a:ext uri="{FF2B5EF4-FFF2-40B4-BE49-F238E27FC236}">
              <a16:creationId xmlns:a16="http://schemas.microsoft.com/office/drawing/2014/main" id="{00000000-0008-0000-0100-00009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96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</xdr:colOff>
      <xdr:row>83</xdr:row>
      <xdr:rowOff>51435</xdr:rowOff>
    </xdr:to>
    <xdr:pic>
      <xdr:nvPicPr>
        <xdr:cNvPr id="9630" name="Picture 12" descr=" ">
          <a:extLst>
            <a:ext uri="{FF2B5EF4-FFF2-40B4-BE49-F238E27FC236}">
              <a16:creationId xmlns:a16="http://schemas.microsoft.com/office/drawing/2014/main" id="{00000000-0008-0000-0100-00009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96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</xdr:colOff>
      <xdr:row>84</xdr:row>
      <xdr:rowOff>51435</xdr:rowOff>
    </xdr:to>
    <xdr:pic>
      <xdr:nvPicPr>
        <xdr:cNvPr id="9631" name="Picture 7" descr=" ">
          <a:extLst>
            <a:ext uri="{FF2B5EF4-FFF2-40B4-BE49-F238E27FC236}">
              <a16:creationId xmlns:a16="http://schemas.microsoft.com/office/drawing/2014/main" id="{00000000-0008-0000-0100-00009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58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</xdr:colOff>
      <xdr:row>84</xdr:row>
      <xdr:rowOff>51435</xdr:rowOff>
    </xdr:to>
    <xdr:pic>
      <xdr:nvPicPr>
        <xdr:cNvPr id="9632" name="Picture 8" descr=" ">
          <a:extLst>
            <a:ext uri="{FF2B5EF4-FFF2-40B4-BE49-F238E27FC236}">
              <a16:creationId xmlns:a16="http://schemas.microsoft.com/office/drawing/2014/main" id="{00000000-0008-0000-0100-0000A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58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</xdr:colOff>
      <xdr:row>84</xdr:row>
      <xdr:rowOff>51435</xdr:rowOff>
    </xdr:to>
    <xdr:pic>
      <xdr:nvPicPr>
        <xdr:cNvPr id="9633" name="Picture 9" descr=" ">
          <a:extLst>
            <a:ext uri="{FF2B5EF4-FFF2-40B4-BE49-F238E27FC236}">
              <a16:creationId xmlns:a16="http://schemas.microsoft.com/office/drawing/2014/main" id="{00000000-0008-0000-0100-0000A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58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</xdr:colOff>
      <xdr:row>84</xdr:row>
      <xdr:rowOff>51435</xdr:rowOff>
    </xdr:to>
    <xdr:pic>
      <xdr:nvPicPr>
        <xdr:cNvPr id="9634" name="Picture 10" descr=" ">
          <a:extLst>
            <a:ext uri="{FF2B5EF4-FFF2-40B4-BE49-F238E27FC236}">
              <a16:creationId xmlns:a16="http://schemas.microsoft.com/office/drawing/2014/main" id="{00000000-0008-0000-0100-0000A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58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</xdr:colOff>
      <xdr:row>84</xdr:row>
      <xdr:rowOff>51435</xdr:rowOff>
    </xdr:to>
    <xdr:pic>
      <xdr:nvPicPr>
        <xdr:cNvPr id="9635" name="Picture 11" descr=" ">
          <a:extLst>
            <a:ext uri="{FF2B5EF4-FFF2-40B4-BE49-F238E27FC236}">
              <a16:creationId xmlns:a16="http://schemas.microsoft.com/office/drawing/2014/main" id="{00000000-0008-0000-0100-0000A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58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</xdr:colOff>
      <xdr:row>84</xdr:row>
      <xdr:rowOff>51435</xdr:rowOff>
    </xdr:to>
    <xdr:pic>
      <xdr:nvPicPr>
        <xdr:cNvPr id="9636" name="Picture 12" descr=" ">
          <a:extLst>
            <a:ext uri="{FF2B5EF4-FFF2-40B4-BE49-F238E27FC236}">
              <a16:creationId xmlns:a16="http://schemas.microsoft.com/office/drawing/2014/main" id="{00000000-0008-0000-0100-0000A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58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</xdr:colOff>
      <xdr:row>85</xdr:row>
      <xdr:rowOff>51435</xdr:rowOff>
    </xdr:to>
    <xdr:pic>
      <xdr:nvPicPr>
        <xdr:cNvPr id="9637" name="Picture 7" descr=" ">
          <a:extLst>
            <a:ext uri="{FF2B5EF4-FFF2-40B4-BE49-F238E27FC236}">
              <a16:creationId xmlns:a16="http://schemas.microsoft.com/office/drawing/2014/main" id="{00000000-0008-0000-0100-0000A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20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</xdr:colOff>
      <xdr:row>85</xdr:row>
      <xdr:rowOff>51435</xdr:rowOff>
    </xdr:to>
    <xdr:pic>
      <xdr:nvPicPr>
        <xdr:cNvPr id="9638" name="Picture 8" descr=" ">
          <a:extLst>
            <a:ext uri="{FF2B5EF4-FFF2-40B4-BE49-F238E27FC236}">
              <a16:creationId xmlns:a16="http://schemas.microsoft.com/office/drawing/2014/main" id="{00000000-0008-0000-0100-0000A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20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</xdr:colOff>
      <xdr:row>85</xdr:row>
      <xdr:rowOff>51435</xdr:rowOff>
    </xdr:to>
    <xdr:pic>
      <xdr:nvPicPr>
        <xdr:cNvPr id="9639" name="Picture 9" descr=" ">
          <a:extLst>
            <a:ext uri="{FF2B5EF4-FFF2-40B4-BE49-F238E27FC236}">
              <a16:creationId xmlns:a16="http://schemas.microsoft.com/office/drawing/2014/main" id="{00000000-0008-0000-0100-0000A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20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</xdr:colOff>
      <xdr:row>85</xdr:row>
      <xdr:rowOff>51435</xdr:rowOff>
    </xdr:to>
    <xdr:pic>
      <xdr:nvPicPr>
        <xdr:cNvPr id="9640" name="Picture 10" descr=" ">
          <a:extLst>
            <a:ext uri="{FF2B5EF4-FFF2-40B4-BE49-F238E27FC236}">
              <a16:creationId xmlns:a16="http://schemas.microsoft.com/office/drawing/2014/main" id="{00000000-0008-0000-0100-0000A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20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</xdr:colOff>
      <xdr:row>85</xdr:row>
      <xdr:rowOff>51435</xdr:rowOff>
    </xdr:to>
    <xdr:pic>
      <xdr:nvPicPr>
        <xdr:cNvPr id="9641" name="Picture 11" descr=" ">
          <a:extLst>
            <a:ext uri="{FF2B5EF4-FFF2-40B4-BE49-F238E27FC236}">
              <a16:creationId xmlns:a16="http://schemas.microsoft.com/office/drawing/2014/main" id="{00000000-0008-0000-0100-0000A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20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</xdr:colOff>
      <xdr:row>85</xdr:row>
      <xdr:rowOff>51435</xdr:rowOff>
    </xdr:to>
    <xdr:pic>
      <xdr:nvPicPr>
        <xdr:cNvPr id="9642" name="Picture 12" descr=" ">
          <a:extLst>
            <a:ext uri="{FF2B5EF4-FFF2-40B4-BE49-F238E27FC236}">
              <a16:creationId xmlns:a16="http://schemas.microsoft.com/office/drawing/2014/main" id="{00000000-0008-0000-0100-0000A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20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</xdr:colOff>
      <xdr:row>86</xdr:row>
      <xdr:rowOff>51435</xdr:rowOff>
    </xdr:to>
    <xdr:pic>
      <xdr:nvPicPr>
        <xdr:cNvPr id="9643" name="Picture 7" descr=" ">
          <a:extLst>
            <a:ext uri="{FF2B5EF4-FFF2-40B4-BE49-F238E27FC236}">
              <a16:creationId xmlns:a16="http://schemas.microsoft.com/office/drawing/2014/main" id="{00000000-0008-0000-0100-0000A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</xdr:colOff>
      <xdr:row>86</xdr:row>
      <xdr:rowOff>51435</xdr:rowOff>
    </xdr:to>
    <xdr:pic>
      <xdr:nvPicPr>
        <xdr:cNvPr id="9644" name="Picture 8" descr=" ">
          <a:extLst>
            <a:ext uri="{FF2B5EF4-FFF2-40B4-BE49-F238E27FC236}">
              <a16:creationId xmlns:a16="http://schemas.microsoft.com/office/drawing/2014/main" id="{00000000-0008-0000-0100-0000A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</xdr:colOff>
      <xdr:row>86</xdr:row>
      <xdr:rowOff>51435</xdr:rowOff>
    </xdr:to>
    <xdr:pic>
      <xdr:nvPicPr>
        <xdr:cNvPr id="9645" name="Picture 9" descr=" ">
          <a:extLst>
            <a:ext uri="{FF2B5EF4-FFF2-40B4-BE49-F238E27FC236}">
              <a16:creationId xmlns:a16="http://schemas.microsoft.com/office/drawing/2014/main" id="{00000000-0008-0000-0100-0000A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</xdr:colOff>
      <xdr:row>86</xdr:row>
      <xdr:rowOff>51435</xdr:rowOff>
    </xdr:to>
    <xdr:pic>
      <xdr:nvPicPr>
        <xdr:cNvPr id="9646" name="Picture 10" descr=" ">
          <a:extLst>
            <a:ext uri="{FF2B5EF4-FFF2-40B4-BE49-F238E27FC236}">
              <a16:creationId xmlns:a16="http://schemas.microsoft.com/office/drawing/2014/main" id="{00000000-0008-0000-0100-0000A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</xdr:colOff>
      <xdr:row>86</xdr:row>
      <xdr:rowOff>51435</xdr:rowOff>
    </xdr:to>
    <xdr:pic>
      <xdr:nvPicPr>
        <xdr:cNvPr id="9647" name="Picture 11" descr=" ">
          <a:extLst>
            <a:ext uri="{FF2B5EF4-FFF2-40B4-BE49-F238E27FC236}">
              <a16:creationId xmlns:a16="http://schemas.microsoft.com/office/drawing/2014/main" id="{00000000-0008-0000-0100-0000A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</xdr:colOff>
      <xdr:row>86</xdr:row>
      <xdr:rowOff>51435</xdr:rowOff>
    </xdr:to>
    <xdr:pic>
      <xdr:nvPicPr>
        <xdr:cNvPr id="9648" name="Picture 12" descr=" ">
          <a:extLst>
            <a:ext uri="{FF2B5EF4-FFF2-40B4-BE49-F238E27FC236}">
              <a16:creationId xmlns:a16="http://schemas.microsoft.com/office/drawing/2014/main" id="{00000000-0008-0000-0100-0000B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51435</xdr:rowOff>
    </xdr:to>
    <xdr:pic>
      <xdr:nvPicPr>
        <xdr:cNvPr id="9649" name="Picture 7" descr=" ">
          <a:extLst>
            <a:ext uri="{FF2B5EF4-FFF2-40B4-BE49-F238E27FC236}">
              <a16:creationId xmlns:a16="http://schemas.microsoft.com/office/drawing/2014/main" id="{00000000-0008-0000-0100-0000B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51435</xdr:rowOff>
    </xdr:to>
    <xdr:pic>
      <xdr:nvPicPr>
        <xdr:cNvPr id="9650" name="Picture 8" descr=" ">
          <a:extLst>
            <a:ext uri="{FF2B5EF4-FFF2-40B4-BE49-F238E27FC236}">
              <a16:creationId xmlns:a16="http://schemas.microsoft.com/office/drawing/2014/main" id="{00000000-0008-0000-0100-0000B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51435</xdr:rowOff>
    </xdr:to>
    <xdr:pic>
      <xdr:nvPicPr>
        <xdr:cNvPr id="9651" name="Picture 9" descr=" ">
          <a:extLst>
            <a:ext uri="{FF2B5EF4-FFF2-40B4-BE49-F238E27FC236}">
              <a16:creationId xmlns:a16="http://schemas.microsoft.com/office/drawing/2014/main" id="{00000000-0008-0000-0100-0000B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51435</xdr:rowOff>
    </xdr:to>
    <xdr:pic>
      <xdr:nvPicPr>
        <xdr:cNvPr id="9652" name="Picture 10" descr=" ">
          <a:extLst>
            <a:ext uri="{FF2B5EF4-FFF2-40B4-BE49-F238E27FC236}">
              <a16:creationId xmlns:a16="http://schemas.microsoft.com/office/drawing/2014/main" id="{00000000-0008-0000-0100-0000B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51435</xdr:rowOff>
    </xdr:to>
    <xdr:pic>
      <xdr:nvPicPr>
        <xdr:cNvPr id="9653" name="Picture 11" descr=" ">
          <a:extLst>
            <a:ext uri="{FF2B5EF4-FFF2-40B4-BE49-F238E27FC236}">
              <a16:creationId xmlns:a16="http://schemas.microsoft.com/office/drawing/2014/main" id="{00000000-0008-0000-0100-0000B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51435</xdr:rowOff>
    </xdr:to>
    <xdr:pic>
      <xdr:nvPicPr>
        <xdr:cNvPr id="9654" name="Picture 12" descr=" ">
          <a:extLst>
            <a:ext uri="{FF2B5EF4-FFF2-40B4-BE49-F238E27FC236}">
              <a16:creationId xmlns:a16="http://schemas.microsoft.com/office/drawing/2014/main" id="{00000000-0008-0000-0100-0000B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88</xdr:row>
      <xdr:rowOff>51435</xdr:rowOff>
    </xdr:to>
    <xdr:pic>
      <xdr:nvPicPr>
        <xdr:cNvPr id="9655" name="Picture 7" descr=" ">
          <a:extLst>
            <a:ext uri="{FF2B5EF4-FFF2-40B4-BE49-F238E27FC236}">
              <a16:creationId xmlns:a16="http://schemas.microsoft.com/office/drawing/2014/main" id="{00000000-0008-0000-0100-0000B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88</xdr:row>
      <xdr:rowOff>51435</xdr:rowOff>
    </xdr:to>
    <xdr:pic>
      <xdr:nvPicPr>
        <xdr:cNvPr id="9656" name="Picture 8" descr=" ">
          <a:extLst>
            <a:ext uri="{FF2B5EF4-FFF2-40B4-BE49-F238E27FC236}">
              <a16:creationId xmlns:a16="http://schemas.microsoft.com/office/drawing/2014/main" id="{00000000-0008-0000-0100-0000B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88</xdr:row>
      <xdr:rowOff>51435</xdr:rowOff>
    </xdr:to>
    <xdr:pic>
      <xdr:nvPicPr>
        <xdr:cNvPr id="9657" name="Picture 9" descr=" ">
          <a:extLst>
            <a:ext uri="{FF2B5EF4-FFF2-40B4-BE49-F238E27FC236}">
              <a16:creationId xmlns:a16="http://schemas.microsoft.com/office/drawing/2014/main" id="{00000000-0008-0000-0100-0000B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88</xdr:row>
      <xdr:rowOff>51435</xdr:rowOff>
    </xdr:to>
    <xdr:pic>
      <xdr:nvPicPr>
        <xdr:cNvPr id="9658" name="Picture 10" descr=" ">
          <a:extLst>
            <a:ext uri="{FF2B5EF4-FFF2-40B4-BE49-F238E27FC236}">
              <a16:creationId xmlns:a16="http://schemas.microsoft.com/office/drawing/2014/main" id="{00000000-0008-0000-0100-0000B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88</xdr:row>
      <xdr:rowOff>51435</xdr:rowOff>
    </xdr:to>
    <xdr:pic>
      <xdr:nvPicPr>
        <xdr:cNvPr id="9659" name="Picture 11" descr=" ">
          <a:extLst>
            <a:ext uri="{FF2B5EF4-FFF2-40B4-BE49-F238E27FC236}">
              <a16:creationId xmlns:a16="http://schemas.microsoft.com/office/drawing/2014/main" id="{00000000-0008-0000-0100-0000B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88</xdr:row>
      <xdr:rowOff>51435</xdr:rowOff>
    </xdr:to>
    <xdr:pic>
      <xdr:nvPicPr>
        <xdr:cNvPr id="9660" name="Picture 12" descr=" ">
          <a:extLst>
            <a:ext uri="{FF2B5EF4-FFF2-40B4-BE49-F238E27FC236}">
              <a16:creationId xmlns:a16="http://schemas.microsoft.com/office/drawing/2014/main" id="{00000000-0008-0000-0100-0000B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9661" name="Picture 7" descr=" ">
          <a:extLst>
            <a:ext uri="{FF2B5EF4-FFF2-40B4-BE49-F238E27FC236}">
              <a16:creationId xmlns:a16="http://schemas.microsoft.com/office/drawing/2014/main" id="{00000000-0008-0000-0100-0000B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9662" name="Picture 8" descr=" ">
          <a:extLst>
            <a:ext uri="{FF2B5EF4-FFF2-40B4-BE49-F238E27FC236}">
              <a16:creationId xmlns:a16="http://schemas.microsoft.com/office/drawing/2014/main" id="{00000000-0008-0000-0100-0000B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9663" name="Picture 9" descr=" ">
          <a:extLst>
            <a:ext uri="{FF2B5EF4-FFF2-40B4-BE49-F238E27FC236}">
              <a16:creationId xmlns:a16="http://schemas.microsoft.com/office/drawing/2014/main" id="{00000000-0008-0000-0100-0000B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9664" name="Picture 10" descr=" ">
          <a:extLst>
            <a:ext uri="{FF2B5EF4-FFF2-40B4-BE49-F238E27FC236}">
              <a16:creationId xmlns:a16="http://schemas.microsoft.com/office/drawing/2014/main" id="{00000000-0008-0000-0100-0000C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9665" name="Picture 11" descr=" ">
          <a:extLst>
            <a:ext uri="{FF2B5EF4-FFF2-40B4-BE49-F238E27FC236}">
              <a16:creationId xmlns:a16="http://schemas.microsoft.com/office/drawing/2014/main" id="{00000000-0008-0000-0100-0000C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9666" name="Picture 12" descr=" ">
          <a:extLst>
            <a:ext uri="{FF2B5EF4-FFF2-40B4-BE49-F238E27FC236}">
              <a16:creationId xmlns:a16="http://schemas.microsoft.com/office/drawing/2014/main" id="{00000000-0008-0000-0100-0000C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</xdr:colOff>
      <xdr:row>90</xdr:row>
      <xdr:rowOff>47625</xdr:rowOff>
    </xdr:to>
    <xdr:pic>
      <xdr:nvPicPr>
        <xdr:cNvPr id="9667" name="Picture 7" descr=" ">
          <a:extLst>
            <a:ext uri="{FF2B5EF4-FFF2-40B4-BE49-F238E27FC236}">
              <a16:creationId xmlns:a16="http://schemas.microsoft.com/office/drawing/2014/main" id="{00000000-0008-0000-0100-0000C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30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</xdr:colOff>
      <xdr:row>90</xdr:row>
      <xdr:rowOff>47625</xdr:rowOff>
    </xdr:to>
    <xdr:pic>
      <xdr:nvPicPr>
        <xdr:cNvPr id="9668" name="Picture 8" descr=" ">
          <a:extLst>
            <a:ext uri="{FF2B5EF4-FFF2-40B4-BE49-F238E27FC236}">
              <a16:creationId xmlns:a16="http://schemas.microsoft.com/office/drawing/2014/main" id="{00000000-0008-0000-0100-0000C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30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</xdr:colOff>
      <xdr:row>90</xdr:row>
      <xdr:rowOff>47625</xdr:rowOff>
    </xdr:to>
    <xdr:pic>
      <xdr:nvPicPr>
        <xdr:cNvPr id="9669" name="Picture 9" descr=" ">
          <a:extLst>
            <a:ext uri="{FF2B5EF4-FFF2-40B4-BE49-F238E27FC236}">
              <a16:creationId xmlns:a16="http://schemas.microsoft.com/office/drawing/2014/main" id="{00000000-0008-0000-0100-0000C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30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</xdr:colOff>
      <xdr:row>90</xdr:row>
      <xdr:rowOff>47625</xdr:rowOff>
    </xdr:to>
    <xdr:pic>
      <xdr:nvPicPr>
        <xdr:cNvPr id="9670" name="Picture 10" descr=" ">
          <a:extLst>
            <a:ext uri="{FF2B5EF4-FFF2-40B4-BE49-F238E27FC236}">
              <a16:creationId xmlns:a16="http://schemas.microsoft.com/office/drawing/2014/main" id="{00000000-0008-0000-0100-0000C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30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</xdr:colOff>
      <xdr:row>90</xdr:row>
      <xdr:rowOff>47625</xdr:rowOff>
    </xdr:to>
    <xdr:pic>
      <xdr:nvPicPr>
        <xdr:cNvPr id="9671" name="Picture 11" descr=" ">
          <a:extLst>
            <a:ext uri="{FF2B5EF4-FFF2-40B4-BE49-F238E27FC236}">
              <a16:creationId xmlns:a16="http://schemas.microsoft.com/office/drawing/2014/main" id="{00000000-0008-0000-0100-0000C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30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</xdr:colOff>
      <xdr:row>90</xdr:row>
      <xdr:rowOff>47625</xdr:rowOff>
    </xdr:to>
    <xdr:pic>
      <xdr:nvPicPr>
        <xdr:cNvPr id="9672" name="Picture 12" descr=" ">
          <a:extLst>
            <a:ext uri="{FF2B5EF4-FFF2-40B4-BE49-F238E27FC236}">
              <a16:creationId xmlns:a16="http://schemas.microsoft.com/office/drawing/2014/main" id="{00000000-0008-0000-0100-0000C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30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91</xdr:row>
      <xdr:rowOff>51435</xdr:rowOff>
    </xdr:to>
    <xdr:pic>
      <xdr:nvPicPr>
        <xdr:cNvPr id="9673" name="Picture 7" descr=" ">
          <a:extLst>
            <a:ext uri="{FF2B5EF4-FFF2-40B4-BE49-F238E27FC236}">
              <a16:creationId xmlns:a16="http://schemas.microsoft.com/office/drawing/2014/main" id="{00000000-0008-0000-0100-0000C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87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91</xdr:row>
      <xdr:rowOff>51435</xdr:rowOff>
    </xdr:to>
    <xdr:pic>
      <xdr:nvPicPr>
        <xdr:cNvPr id="9674" name="Picture 8" descr=" ">
          <a:extLst>
            <a:ext uri="{FF2B5EF4-FFF2-40B4-BE49-F238E27FC236}">
              <a16:creationId xmlns:a16="http://schemas.microsoft.com/office/drawing/2014/main" id="{00000000-0008-0000-0100-0000C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87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91</xdr:row>
      <xdr:rowOff>51435</xdr:rowOff>
    </xdr:to>
    <xdr:pic>
      <xdr:nvPicPr>
        <xdr:cNvPr id="9675" name="Picture 9" descr=" ">
          <a:extLst>
            <a:ext uri="{FF2B5EF4-FFF2-40B4-BE49-F238E27FC236}">
              <a16:creationId xmlns:a16="http://schemas.microsoft.com/office/drawing/2014/main" id="{00000000-0008-0000-0100-0000C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87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91</xdr:row>
      <xdr:rowOff>51435</xdr:rowOff>
    </xdr:to>
    <xdr:pic>
      <xdr:nvPicPr>
        <xdr:cNvPr id="9676" name="Picture 10" descr=" ">
          <a:extLst>
            <a:ext uri="{FF2B5EF4-FFF2-40B4-BE49-F238E27FC236}">
              <a16:creationId xmlns:a16="http://schemas.microsoft.com/office/drawing/2014/main" id="{00000000-0008-0000-0100-0000C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87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91</xdr:row>
      <xdr:rowOff>51435</xdr:rowOff>
    </xdr:to>
    <xdr:pic>
      <xdr:nvPicPr>
        <xdr:cNvPr id="9677" name="Picture 11" descr=" ">
          <a:extLst>
            <a:ext uri="{FF2B5EF4-FFF2-40B4-BE49-F238E27FC236}">
              <a16:creationId xmlns:a16="http://schemas.microsoft.com/office/drawing/2014/main" id="{00000000-0008-0000-0100-0000C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87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91</xdr:row>
      <xdr:rowOff>51435</xdr:rowOff>
    </xdr:to>
    <xdr:pic>
      <xdr:nvPicPr>
        <xdr:cNvPr id="9678" name="Picture 12" descr=" ">
          <a:extLst>
            <a:ext uri="{FF2B5EF4-FFF2-40B4-BE49-F238E27FC236}">
              <a16:creationId xmlns:a16="http://schemas.microsoft.com/office/drawing/2014/main" id="{00000000-0008-0000-0100-0000C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87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9525</xdr:colOff>
      <xdr:row>92</xdr:row>
      <xdr:rowOff>51435</xdr:rowOff>
    </xdr:to>
    <xdr:pic>
      <xdr:nvPicPr>
        <xdr:cNvPr id="9679" name="Picture 7" descr=" ">
          <a:extLst>
            <a:ext uri="{FF2B5EF4-FFF2-40B4-BE49-F238E27FC236}">
              <a16:creationId xmlns:a16="http://schemas.microsoft.com/office/drawing/2014/main" id="{00000000-0008-0000-0100-0000C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49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9525</xdr:colOff>
      <xdr:row>92</xdr:row>
      <xdr:rowOff>51435</xdr:rowOff>
    </xdr:to>
    <xdr:pic>
      <xdr:nvPicPr>
        <xdr:cNvPr id="9680" name="Picture 8" descr=" ">
          <a:extLst>
            <a:ext uri="{FF2B5EF4-FFF2-40B4-BE49-F238E27FC236}">
              <a16:creationId xmlns:a16="http://schemas.microsoft.com/office/drawing/2014/main" id="{00000000-0008-0000-0100-0000D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49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9525</xdr:colOff>
      <xdr:row>92</xdr:row>
      <xdr:rowOff>51435</xdr:rowOff>
    </xdr:to>
    <xdr:pic>
      <xdr:nvPicPr>
        <xdr:cNvPr id="9681" name="Picture 9" descr=" ">
          <a:extLst>
            <a:ext uri="{FF2B5EF4-FFF2-40B4-BE49-F238E27FC236}">
              <a16:creationId xmlns:a16="http://schemas.microsoft.com/office/drawing/2014/main" id="{00000000-0008-0000-0100-0000D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49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9525</xdr:colOff>
      <xdr:row>92</xdr:row>
      <xdr:rowOff>51435</xdr:rowOff>
    </xdr:to>
    <xdr:pic>
      <xdr:nvPicPr>
        <xdr:cNvPr id="9682" name="Picture 10" descr=" ">
          <a:extLst>
            <a:ext uri="{FF2B5EF4-FFF2-40B4-BE49-F238E27FC236}">
              <a16:creationId xmlns:a16="http://schemas.microsoft.com/office/drawing/2014/main" id="{00000000-0008-0000-0100-0000D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49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9525</xdr:colOff>
      <xdr:row>92</xdr:row>
      <xdr:rowOff>51435</xdr:rowOff>
    </xdr:to>
    <xdr:pic>
      <xdr:nvPicPr>
        <xdr:cNvPr id="9683" name="Picture 11" descr=" ">
          <a:extLst>
            <a:ext uri="{FF2B5EF4-FFF2-40B4-BE49-F238E27FC236}">
              <a16:creationId xmlns:a16="http://schemas.microsoft.com/office/drawing/2014/main" id="{00000000-0008-0000-0100-0000D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49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9525</xdr:colOff>
      <xdr:row>92</xdr:row>
      <xdr:rowOff>51435</xdr:rowOff>
    </xdr:to>
    <xdr:pic>
      <xdr:nvPicPr>
        <xdr:cNvPr id="9684" name="Picture 12" descr=" ">
          <a:extLst>
            <a:ext uri="{FF2B5EF4-FFF2-40B4-BE49-F238E27FC236}">
              <a16:creationId xmlns:a16="http://schemas.microsoft.com/office/drawing/2014/main" id="{00000000-0008-0000-0100-0000D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49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</xdr:colOff>
      <xdr:row>93</xdr:row>
      <xdr:rowOff>51435</xdr:rowOff>
    </xdr:to>
    <xdr:pic>
      <xdr:nvPicPr>
        <xdr:cNvPr id="9685" name="Picture 7" descr=" ">
          <a:extLst>
            <a:ext uri="{FF2B5EF4-FFF2-40B4-BE49-F238E27FC236}">
              <a16:creationId xmlns:a16="http://schemas.microsoft.com/office/drawing/2014/main" id="{00000000-0008-0000-0100-0000D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11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</xdr:colOff>
      <xdr:row>93</xdr:row>
      <xdr:rowOff>51435</xdr:rowOff>
    </xdr:to>
    <xdr:pic>
      <xdr:nvPicPr>
        <xdr:cNvPr id="9686" name="Picture 8" descr=" ">
          <a:extLst>
            <a:ext uri="{FF2B5EF4-FFF2-40B4-BE49-F238E27FC236}">
              <a16:creationId xmlns:a16="http://schemas.microsoft.com/office/drawing/2014/main" id="{00000000-0008-0000-0100-0000D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11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</xdr:colOff>
      <xdr:row>93</xdr:row>
      <xdr:rowOff>51435</xdr:rowOff>
    </xdr:to>
    <xdr:pic>
      <xdr:nvPicPr>
        <xdr:cNvPr id="9687" name="Picture 9" descr=" ">
          <a:extLst>
            <a:ext uri="{FF2B5EF4-FFF2-40B4-BE49-F238E27FC236}">
              <a16:creationId xmlns:a16="http://schemas.microsoft.com/office/drawing/2014/main" id="{00000000-0008-0000-0100-0000D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11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</xdr:colOff>
      <xdr:row>93</xdr:row>
      <xdr:rowOff>51435</xdr:rowOff>
    </xdr:to>
    <xdr:pic>
      <xdr:nvPicPr>
        <xdr:cNvPr id="9688" name="Picture 10" descr=" ">
          <a:extLst>
            <a:ext uri="{FF2B5EF4-FFF2-40B4-BE49-F238E27FC236}">
              <a16:creationId xmlns:a16="http://schemas.microsoft.com/office/drawing/2014/main" id="{00000000-0008-0000-0100-0000D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11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</xdr:colOff>
      <xdr:row>93</xdr:row>
      <xdr:rowOff>51435</xdr:rowOff>
    </xdr:to>
    <xdr:pic>
      <xdr:nvPicPr>
        <xdr:cNvPr id="9689" name="Picture 11" descr=" ">
          <a:extLst>
            <a:ext uri="{FF2B5EF4-FFF2-40B4-BE49-F238E27FC236}">
              <a16:creationId xmlns:a16="http://schemas.microsoft.com/office/drawing/2014/main" id="{00000000-0008-0000-0100-0000D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11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</xdr:colOff>
      <xdr:row>93</xdr:row>
      <xdr:rowOff>51435</xdr:rowOff>
    </xdr:to>
    <xdr:pic>
      <xdr:nvPicPr>
        <xdr:cNvPr id="9690" name="Picture 12" descr=" ">
          <a:extLst>
            <a:ext uri="{FF2B5EF4-FFF2-40B4-BE49-F238E27FC236}">
              <a16:creationId xmlns:a16="http://schemas.microsoft.com/office/drawing/2014/main" id="{00000000-0008-0000-0100-0000D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11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94</xdr:row>
      <xdr:rowOff>51435</xdr:rowOff>
    </xdr:to>
    <xdr:pic>
      <xdr:nvPicPr>
        <xdr:cNvPr id="9691" name="Picture 7" descr=" ">
          <a:extLst>
            <a:ext uri="{FF2B5EF4-FFF2-40B4-BE49-F238E27FC236}">
              <a16:creationId xmlns:a16="http://schemas.microsoft.com/office/drawing/2014/main" id="{00000000-0008-0000-0100-0000D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73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94</xdr:row>
      <xdr:rowOff>51435</xdr:rowOff>
    </xdr:to>
    <xdr:pic>
      <xdr:nvPicPr>
        <xdr:cNvPr id="9692" name="Picture 8" descr=" ">
          <a:extLst>
            <a:ext uri="{FF2B5EF4-FFF2-40B4-BE49-F238E27FC236}">
              <a16:creationId xmlns:a16="http://schemas.microsoft.com/office/drawing/2014/main" id="{00000000-0008-0000-0100-0000D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73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94</xdr:row>
      <xdr:rowOff>51435</xdr:rowOff>
    </xdr:to>
    <xdr:pic>
      <xdr:nvPicPr>
        <xdr:cNvPr id="9693" name="Picture 9" descr=" ">
          <a:extLst>
            <a:ext uri="{FF2B5EF4-FFF2-40B4-BE49-F238E27FC236}">
              <a16:creationId xmlns:a16="http://schemas.microsoft.com/office/drawing/2014/main" id="{00000000-0008-0000-0100-0000D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73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94</xdr:row>
      <xdr:rowOff>51435</xdr:rowOff>
    </xdr:to>
    <xdr:pic>
      <xdr:nvPicPr>
        <xdr:cNvPr id="9694" name="Picture 10" descr=" ">
          <a:extLst>
            <a:ext uri="{FF2B5EF4-FFF2-40B4-BE49-F238E27FC236}">
              <a16:creationId xmlns:a16="http://schemas.microsoft.com/office/drawing/2014/main" id="{00000000-0008-0000-0100-0000D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73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94</xdr:row>
      <xdr:rowOff>51435</xdr:rowOff>
    </xdr:to>
    <xdr:pic>
      <xdr:nvPicPr>
        <xdr:cNvPr id="9695" name="Picture 11" descr=" ">
          <a:extLst>
            <a:ext uri="{FF2B5EF4-FFF2-40B4-BE49-F238E27FC236}">
              <a16:creationId xmlns:a16="http://schemas.microsoft.com/office/drawing/2014/main" id="{00000000-0008-0000-0100-0000D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73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94</xdr:row>
      <xdr:rowOff>51435</xdr:rowOff>
    </xdr:to>
    <xdr:pic>
      <xdr:nvPicPr>
        <xdr:cNvPr id="9696" name="Picture 12" descr=" ">
          <a:extLst>
            <a:ext uri="{FF2B5EF4-FFF2-40B4-BE49-F238E27FC236}">
              <a16:creationId xmlns:a16="http://schemas.microsoft.com/office/drawing/2014/main" id="{00000000-0008-0000-0100-0000E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73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95</xdr:row>
      <xdr:rowOff>51435</xdr:rowOff>
    </xdr:to>
    <xdr:pic>
      <xdr:nvPicPr>
        <xdr:cNvPr id="9697" name="Picture 7" descr=" ">
          <a:extLst>
            <a:ext uri="{FF2B5EF4-FFF2-40B4-BE49-F238E27FC236}">
              <a16:creationId xmlns:a16="http://schemas.microsoft.com/office/drawing/2014/main" id="{00000000-0008-0000-0100-0000E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35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95</xdr:row>
      <xdr:rowOff>51435</xdr:rowOff>
    </xdr:to>
    <xdr:pic>
      <xdr:nvPicPr>
        <xdr:cNvPr id="9698" name="Picture 8" descr=" ">
          <a:extLst>
            <a:ext uri="{FF2B5EF4-FFF2-40B4-BE49-F238E27FC236}">
              <a16:creationId xmlns:a16="http://schemas.microsoft.com/office/drawing/2014/main" id="{00000000-0008-0000-0100-0000E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35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95</xdr:row>
      <xdr:rowOff>51435</xdr:rowOff>
    </xdr:to>
    <xdr:pic>
      <xdr:nvPicPr>
        <xdr:cNvPr id="9699" name="Picture 9" descr=" ">
          <a:extLst>
            <a:ext uri="{FF2B5EF4-FFF2-40B4-BE49-F238E27FC236}">
              <a16:creationId xmlns:a16="http://schemas.microsoft.com/office/drawing/2014/main" id="{00000000-0008-0000-0100-0000E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35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95</xdr:row>
      <xdr:rowOff>51435</xdr:rowOff>
    </xdr:to>
    <xdr:pic>
      <xdr:nvPicPr>
        <xdr:cNvPr id="9700" name="Picture 10" descr=" ">
          <a:extLst>
            <a:ext uri="{FF2B5EF4-FFF2-40B4-BE49-F238E27FC236}">
              <a16:creationId xmlns:a16="http://schemas.microsoft.com/office/drawing/2014/main" id="{00000000-0008-0000-0100-0000E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35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95</xdr:row>
      <xdr:rowOff>51435</xdr:rowOff>
    </xdr:to>
    <xdr:pic>
      <xdr:nvPicPr>
        <xdr:cNvPr id="9701" name="Picture 11" descr=" ">
          <a:extLst>
            <a:ext uri="{FF2B5EF4-FFF2-40B4-BE49-F238E27FC236}">
              <a16:creationId xmlns:a16="http://schemas.microsoft.com/office/drawing/2014/main" id="{00000000-0008-0000-0100-0000E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35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95</xdr:row>
      <xdr:rowOff>51435</xdr:rowOff>
    </xdr:to>
    <xdr:pic>
      <xdr:nvPicPr>
        <xdr:cNvPr id="9702" name="Picture 12" descr=" ">
          <a:extLst>
            <a:ext uri="{FF2B5EF4-FFF2-40B4-BE49-F238E27FC236}">
              <a16:creationId xmlns:a16="http://schemas.microsoft.com/office/drawing/2014/main" id="{00000000-0008-0000-0100-0000E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35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</xdr:colOff>
      <xdr:row>96</xdr:row>
      <xdr:rowOff>51435</xdr:rowOff>
    </xdr:to>
    <xdr:pic>
      <xdr:nvPicPr>
        <xdr:cNvPr id="9703" name="Picture 7" descr=" ">
          <a:extLst>
            <a:ext uri="{FF2B5EF4-FFF2-40B4-BE49-F238E27FC236}">
              <a16:creationId xmlns:a16="http://schemas.microsoft.com/office/drawing/2014/main" id="{00000000-0008-0000-0100-0000E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96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</xdr:colOff>
      <xdr:row>96</xdr:row>
      <xdr:rowOff>51435</xdr:rowOff>
    </xdr:to>
    <xdr:pic>
      <xdr:nvPicPr>
        <xdr:cNvPr id="9704" name="Picture 8" descr=" ">
          <a:extLst>
            <a:ext uri="{FF2B5EF4-FFF2-40B4-BE49-F238E27FC236}">
              <a16:creationId xmlns:a16="http://schemas.microsoft.com/office/drawing/2014/main" id="{00000000-0008-0000-0100-0000E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96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</xdr:colOff>
      <xdr:row>96</xdr:row>
      <xdr:rowOff>51435</xdr:rowOff>
    </xdr:to>
    <xdr:pic>
      <xdr:nvPicPr>
        <xdr:cNvPr id="9705" name="Picture 9" descr=" ">
          <a:extLst>
            <a:ext uri="{FF2B5EF4-FFF2-40B4-BE49-F238E27FC236}">
              <a16:creationId xmlns:a16="http://schemas.microsoft.com/office/drawing/2014/main" id="{00000000-0008-0000-0100-0000E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96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</xdr:colOff>
      <xdr:row>96</xdr:row>
      <xdr:rowOff>51435</xdr:rowOff>
    </xdr:to>
    <xdr:pic>
      <xdr:nvPicPr>
        <xdr:cNvPr id="9706" name="Picture 10" descr=" ">
          <a:extLst>
            <a:ext uri="{FF2B5EF4-FFF2-40B4-BE49-F238E27FC236}">
              <a16:creationId xmlns:a16="http://schemas.microsoft.com/office/drawing/2014/main" id="{00000000-0008-0000-0100-0000E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96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</xdr:colOff>
      <xdr:row>96</xdr:row>
      <xdr:rowOff>51435</xdr:rowOff>
    </xdr:to>
    <xdr:pic>
      <xdr:nvPicPr>
        <xdr:cNvPr id="9707" name="Picture 11" descr=" ">
          <a:extLst>
            <a:ext uri="{FF2B5EF4-FFF2-40B4-BE49-F238E27FC236}">
              <a16:creationId xmlns:a16="http://schemas.microsoft.com/office/drawing/2014/main" id="{00000000-0008-0000-0100-0000E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96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</xdr:colOff>
      <xdr:row>96</xdr:row>
      <xdr:rowOff>51435</xdr:rowOff>
    </xdr:to>
    <xdr:pic>
      <xdr:nvPicPr>
        <xdr:cNvPr id="9708" name="Picture 12" descr=" ">
          <a:extLst>
            <a:ext uri="{FF2B5EF4-FFF2-40B4-BE49-F238E27FC236}">
              <a16:creationId xmlns:a16="http://schemas.microsoft.com/office/drawing/2014/main" id="{00000000-0008-0000-0100-0000E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96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</xdr:colOff>
      <xdr:row>97</xdr:row>
      <xdr:rowOff>51435</xdr:rowOff>
    </xdr:to>
    <xdr:pic>
      <xdr:nvPicPr>
        <xdr:cNvPr id="9709" name="Picture 7" descr=" ">
          <a:extLst>
            <a:ext uri="{FF2B5EF4-FFF2-40B4-BE49-F238E27FC236}">
              <a16:creationId xmlns:a16="http://schemas.microsoft.com/office/drawing/2014/main" id="{00000000-0008-0000-0100-0000E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58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</xdr:colOff>
      <xdr:row>97</xdr:row>
      <xdr:rowOff>51435</xdr:rowOff>
    </xdr:to>
    <xdr:pic>
      <xdr:nvPicPr>
        <xdr:cNvPr id="9710" name="Picture 8" descr=" ">
          <a:extLst>
            <a:ext uri="{FF2B5EF4-FFF2-40B4-BE49-F238E27FC236}">
              <a16:creationId xmlns:a16="http://schemas.microsoft.com/office/drawing/2014/main" id="{00000000-0008-0000-0100-0000E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58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</xdr:colOff>
      <xdr:row>97</xdr:row>
      <xdr:rowOff>51435</xdr:rowOff>
    </xdr:to>
    <xdr:pic>
      <xdr:nvPicPr>
        <xdr:cNvPr id="9711" name="Picture 9" descr=" ">
          <a:extLst>
            <a:ext uri="{FF2B5EF4-FFF2-40B4-BE49-F238E27FC236}">
              <a16:creationId xmlns:a16="http://schemas.microsoft.com/office/drawing/2014/main" id="{00000000-0008-0000-0100-0000E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58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</xdr:colOff>
      <xdr:row>97</xdr:row>
      <xdr:rowOff>51435</xdr:rowOff>
    </xdr:to>
    <xdr:pic>
      <xdr:nvPicPr>
        <xdr:cNvPr id="9712" name="Picture 10" descr=" ">
          <a:extLst>
            <a:ext uri="{FF2B5EF4-FFF2-40B4-BE49-F238E27FC236}">
              <a16:creationId xmlns:a16="http://schemas.microsoft.com/office/drawing/2014/main" id="{00000000-0008-0000-0100-0000F0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58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</xdr:colOff>
      <xdr:row>97</xdr:row>
      <xdr:rowOff>51435</xdr:rowOff>
    </xdr:to>
    <xdr:pic>
      <xdr:nvPicPr>
        <xdr:cNvPr id="9713" name="Picture 11" descr=" ">
          <a:extLst>
            <a:ext uri="{FF2B5EF4-FFF2-40B4-BE49-F238E27FC236}">
              <a16:creationId xmlns:a16="http://schemas.microsoft.com/office/drawing/2014/main" id="{00000000-0008-0000-0100-0000F1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58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</xdr:colOff>
      <xdr:row>97</xdr:row>
      <xdr:rowOff>51435</xdr:rowOff>
    </xdr:to>
    <xdr:pic>
      <xdr:nvPicPr>
        <xdr:cNvPr id="9714" name="Picture 12" descr=" ">
          <a:extLst>
            <a:ext uri="{FF2B5EF4-FFF2-40B4-BE49-F238E27FC236}">
              <a16:creationId xmlns:a16="http://schemas.microsoft.com/office/drawing/2014/main" id="{00000000-0008-0000-0100-0000F2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58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51435</xdr:rowOff>
    </xdr:to>
    <xdr:pic>
      <xdr:nvPicPr>
        <xdr:cNvPr id="9715" name="Picture 7" descr=" ">
          <a:extLst>
            <a:ext uri="{FF2B5EF4-FFF2-40B4-BE49-F238E27FC236}">
              <a16:creationId xmlns:a16="http://schemas.microsoft.com/office/drawing/2014/main" id="{00000000-0008-0000-0100-0000F3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20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51435</xdr:rowOff>
    </xdr:to>
    <xdr:pic>
      <xdr:nvPicPr>
        <xdr:cNvPr id="9716" name="Picture 8" descr=" ">
          <a:extLst>
            <a:ext uri="{FF2B5EF4-FFF2-40B4-BE49-F238E27FC236}">
              <a16:creationId xmlns:a16="http://schemas.microsoft.com/office/drawing/2014/main" id="{00000000-0008-0000-0100-0000F4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20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51435</xdr:rowOff>
    </xdr:to>
    <xdr:pic>
      <xdr:nvPicPr>
        <xdr:cNvPr id="9717" name="Picture 9" descr=" ">
          <a:extLst>
            <a:ext uri="{FF2B5EF4-FFF2-40B4-BE49-F238E27FC236}">
              <a16:creationId xmlns:a16="http://schemas.microsoft.com/office/drawing/2014/main" id="{00000000-0008-0000-0100-0000F5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20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51435</xdr:rowOff>
    </xdr:to>
    <xdr:pic>
      <xdr:nvPicPr>
        <xdr:cNvPr id="9718" name="Picture 10" descr=" ">
          <a:extLst>
            <a:ext uri="{FF2B5EF4-FFF2-40B4-BE49-F238E27FC236}">
              <a16:creationId xmlns:a16="http://schemas.microsoft.com/office/drawing/2014/main" id="{00000000-0008-0000-0100-0000F6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20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51435</xdr:rowOff>
    </xdr:to>
    <xdr:pic>
      <xdr:nvPicPr>
        <xdr:cNvPr id="9719" name="Picture 11" descr=" ">
          <a:extLst>
            <a:ext uri="{FF2B5EF4-FFF2-40B4-BE49-F238E27FC236}">
              <a16:creationId xmlns:a16="http://schemas.microsoft.com/office/drawing/2014/main" id="{00000000-0008-0000-0100-0000F7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20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51435</xdr:rowOff>
    </xdr:to>
    <xdr:pic>
      <xdr:nvPicPr>
        <xdr:cNvPr id="9720" name="Picture 12" descr=" ">
          <a:extLst>
            <a:ext uri="{FF2B5EF4-FFF2-40B4-BE49-F238E27FC236}">
              <a16:creationId xmlns:a16="http://schemas.microsoft.com/office/drawing/2014/main" id="{00000000-0008-0000-0100-0000F8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20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</xdr:colOff>
      <xdr:row>99</xdr:row>
      <xdr:rowOff>51435</xdr:rowOff>
    </xdr:to>
    <xdr:pic>
      <xdr:nvPicPr>
        <xdr:cNvPr id="9721" name="Picture 7" descr=" ">
          <a:extLst>
            <a:ext uri="{FF2B5EF4-FFF2-40B4-BE49-F238E27FC236}">
              <a16:creationId xmlns:a16="http://schemas.microsoft.com/office/drawing/2014/main" id="{00000000-0008-0000-0100-0000F9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82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</xdr:colOff>
      <xdr:row>99</xdr:row>
      <xdr:rowOff>51435</xdr:rowOff>
    </xdr:to>
    <xdr:pic>
      <xdr:nvPicPr>
        <xdr:cNvPr id="9722" name="Picture 8" descr=" ">
          <a:extLst>
            <a:ext uri="{FF2B5EF4-FFF2-40B4-BE49-F238E27FC236}">
              <a16:creationId xmlns:a16="http://schemas.microsoft.com/office/drawing/2014/main" id="{00000000-0008-0000-0100-0000FA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82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</xdr:colOff>
      <xdr:row>99</xdr:row>
      <xdr:rowOff>51435</xdr:rowOff>
    </xdr:to>
    <xdr:pic>
      <xdr:nvPicPr>
        <xdr:cNvPr id="9723" name="Picture 9" descr=" ">
          <a:extLst>
            <a:ext uri="{FF2B5EF4-FFF2-40B4-BE49-F238E27FC236}">
              <a16:creationId xmlns:a16="http://schemas.microsoft.com/office/drawing/2014/main" id="{00000000-0008-0000-0100-0000FB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82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</xdr:colOff>
      <xdr:row>99</xdr:row>
      <xdr:rowOff>51435</xdr:rowOff>
    </xdr:to>
    <xdr:pic>
      <xdr:nvPicPr>
        <xdr:cNvPr id="9724" name="Picture 10" descr=" ">
          <a:extLst>
            <a:ext uri="{FF2B5EF4-FFF2-40B4-BE49-F238E27FC236}">
              <a16:creationId xmlns:a16="http://schemas.microsoft.com/office/drawing/2014/main" id="{00000000-0008-0000-0100-0000F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82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</xdr:colOff>
      <xdr:row>99</xdr:row>
      <xdr:rowOff>51435</xdr:rowOff>
    </xdr:to>
    <xdr:pic>
      <xdr:nvPicPr>
        <xdr:cNvPr id="9725" name="Picture 11" descr=" ">
          <a:extLst>
            <a:ext uri="{FF2B5EF4-FFF2-40B4-BE49-F238E27FC236}">
              <a16:creationId xmlns:a16="http://schemas.microsoft.com/office/drawing/2014/main" id="{00000000-0008-0000-0100-0000FD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82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</xdr:colOff>
      <xdr:row>99</xdr:row>
      <xdr:rowOff>51435</xdr:rowOff>
    </xdr:to>
    <xdr:pic>
      <xdr:nvPicPr>
        <xdr:cNvPr id="9726" name="Picture 12" descr=" ">
          <a:extLst>
            <a:ext uri="{FF2B5EF4-FFF2-40B4-BE49-F238E27FC236}">
              <a16:creationId xmlns:a16="http://schemas.microsoft.com/office/drawing/2014/main" id="{00000000-0008-0000-0100-0000FE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82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9525</xdr:colOff>
      <xdr:row>100</xdr:row>
      <xdr:rowOff>51435</xdr:rowOff>
    </xdr:to>
    <xdr:pic>
      <xdr:nvPicPr>
        <xdr:cNvPr id="9727" name="Picture 7" descr=" ">
          <a:extLst>
            <a:ext uri="{FF2B5EF4-FFF2-40B4-BE49-F238E27FC236}">
              <a16:creationId xmlns:a16="http://schemas.microsoft.com/office/drawing/2014/main" id="{00000000-0008-0000-0100-0000FF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44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9525</xdr:colOff>
      <xdr:row>100</xdr:row>
      <xdr:rowOff>51435</xdr:rowOff>
    </xdr:to>
    <xdr:pic>
      <xdr:nvPicPr>
        <xdr:cNvPr id="9728" name="Picture 8" descr=" ">
          <a:extLst>
            <a:ext uri="{FF2B5EF4-FFF2-40B4-BE49-F238E27FC236}">
              <a16:creationId xmlns:a16="http://schemas.microsoft.com/office/drawing/2014/main" id="{00000000-0008-0000-0100-00000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44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9525</xdr:colOff>
      <xdr:row>100</xdr:row>
      <xdr:rowOff>51435</xdr:rowOff>
    </xdr:to>
    <xdr:pic>
      <xdr:nvPicPr>
        <xdr:cNvPr id="9729" name="Picture 9" descr=" ">
          <a:extLst>
            <a:ext uri="{FF2B5EF4-FFF2-40B4-BE49-F238E27FC236}">
              <a16:creationId xmlns:a16="http://schemas.microsoft.com/office/drawing/2014/main" id="{00000000-0008-0000-0100-00000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44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9525</xdr:colOff>
      <xdr:row>100</xdr:row>
      <xdr:rowOff>51435</xdr:rowOff>
    </xdr:to>
    <xdr:pic>
      <xdr:nvPicPr>
        <xdr:cNvPr id="9730" name="Picture 10" descr=" ">
          <a:extLst>
            <a:ext uri="{FF2B5EF4-FFF2-40B4-BE49-F238E27FC236}">
              <a16:creationId xmlns:a16="http://schemas.microsoft.com/office/drawing/2014/main" id="{00000000-0008-0000-0100-00000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44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9525</xdr:colOff>
      <xdr:row>100</xdr:row>
      <xdr:rowOff>51435</xdr:rowOff>
    </xdr:to>
    <xdr:pic>
      <xdr:nvPicPr>
        <xdr:cNvPr id="9731" name="Picture 11" descr=" ">
          <a:extLst>
            <a:ext uri="{FF2B5EF4-FFF2-40B4-BE49-F238E27FC236}">
              <a16:creationId xmlns:a16="http://schemas.microsoft.com/office/drawing/2014/main" id="{00000000-0008-0000-0100-00000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44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9525</xdr:colOff>
      <xdr:row>100</xdr:row>
      <xdr:rowOff>51435</xdr:rowOff>
    </xdr:to>
    <xdr:pic>
      <xdr:nvPicPr>
        <xdr:cNvPr id="9732" name="Picture 12" descr=" ">
          <a:extLst>
            <a:ext uri="{FF2B5EF4-FFF2-40B4-BE49-F238E27FC236}">
              <a16:creationId xmlns:a16="http://schemas.microsoft.com/office/drawing/2014/main" id="{00000000-0008-0000-0100-00000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44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9525</xdr:colOff>
      <xdr:row>101</xdr:row>
      <xdr:rowOff>51435</xdr:rowOff>
    </xdr:to>
    <xdr:pic>
      <xdr:nvPicPr>
        <xdr:cNvPr id="9733" name="Picture 7" descr=" ">
          <a:extLst>
            <a:ext uri="{FF2B5EF4-FFF2-40B4-BE49-F238E27FC236}">
              <a16:creationId xmlns:a16="http://schemas.microsoft.com/office/drawing/2014/main" id="{00000000-0008-0000-0100-00000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06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9525</xdr:colOff>
      <xdr:row>101</xdr:row>
      <xdr:rowOff>51435</xdr:rowOff>
    </xdr:to>
    <xdr:pic>
      <xdr:nvPicPr>
        <xdr:cNvPr id="9734" name="Picture 8" descr=" ">
          <a:extLst>
            <a:ext uri="{FF2B5EF4-FFF2-40B4-BE49-F238E27FC236}">
              <a16:creationId xmlns:a16="http://schemas.microsoft.com/office/drawing/2014/main" id="{00000000-0008-0000-0100-00000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06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9525</xdr:colOff>
      <xdr:row>101</xdr:row>
      <xdr:rowOff>51435</xdr:rowOff>
    </xdr:to>
    <xdr:pic>
      <xdr:nvPicPr>
        <xdr:cNvPr id="9735" name="Picture 9" descr=" ">
          <a:extLst>
            <a:ext uri="{FF2B5EF4-FFF2-40B4-BE49-F238E27FC236}">
              <a16:creationId xmlns:a16="http://schemas.microsoft.com/office/drawing/2014/main" id="{00000000-0008-0000-0100-00000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06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9525</xdr:colOff>
      <xdr:row>101</xdr:row>
      <xdr:rowOff>51435</xdr:rowOff>
    </xdr:to>
    <xdr:pic>
      <xdr:nvPicPr>
        <xdr:cNvPr id="9736" name="Picture 10" descr=" ">
          <a:extLst>
            <a:ext uri="{FF2B5EF4-FFF2-40B4-BE49-F238E27FC236}">
              <a16:creationId xmlns:a16="http://schemas.microsoft.com/office/drawing/2014/main" id="{00000000-0008-0000-0100-00000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06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9525</xdr:colOff>
      <xdr:row>101</xdr:row>
      <xdr:rowOff>51435</xdr:rowOff>
    </xdr:to>
    <xdr:pic>
      <xdr:nvPicPr>
        <xdr:cNvPr id="9737" name="Picture 11" descr=" ">
          <a:extLst>
            <a:ext uri="{FF2B5EF4-FFF2-40B4-BE49-F238E27FC236}">
              <a16:creationId xmlns:a16="http://schemas.microsoft.com/office/drawing/2014/main" id="{00000000-0008-0000-0100-00000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06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9525</xdr:colOff>
      <xdr:row>101</xdr:row>
      <xdr:rowOff>51435</xdr:rowOff>
    </xdr:to>
    <xdr:pic>
      <xdr:nvPicPr>
        <xdr:cNvPr id="9738" name="Picture 12" descr=" ">
          <a:extLst>
            <a:ext uri="{FF2B5EF4-FFF2-40B4-BE49-F238E27FC236}">
              <a16:creationId xmlns:a16="http://schemas.microsoft.com/office/drawing/2014/main" id="{00000000-0008-0000-0100-00000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06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</xdr:colOff>
      <xdr:row>102</xdr:row>
      <xdr:rowOff>51435</xdr:rowOff>
    </xdr:to>
    <xdr:pic>
      <xdr:nvPicPr>
        <xdr:cNvPr id="9739" name="Picture 7" descr=" ">
          <a:extLst>
            <a:ext uri="{FF2B5EF4-FFF2-40B4-BE49-F238E27FC236}">
              <a16:creationId xmlns:a16="http://schemas.microsoft.com/office/drawing/2014/main" id="{00000000-0008-0000-0100-00000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68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</xdr:colOff>
      <xdr:row>102</xdr:row>
      <xdr:rowOff>51435</xdr:rowOff>
    </xdr:to>
    <xdr:pic>
      <xdr:nvPicPr>
        <xdr:cNvPr id="9740" name="Picture 8" descr=" ">
          <a:extLst>
            <a:ext uri="{FF2B5EF4-FFF2-40B4-BE49-F238E27FC236}">
              <a16:creationId xmlns:a16="http://schemas.microsoft.com/office/drawing/2014/main" id="{00000000-0008-0000-0100-00000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68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</xdr:colOff>
      <xdr:row>102</xdr:row>
      <xdr:rowOff>51435</xdr:rowOff>
    </xdr:to>
    <xdr:pic>
      <xdr:nvPicPr>
        <xdr:cNvPr id="9741" name="Picture 9" descr=" ">
          <a:extLst>
            <a:ext uri="{FF2B5EF4-FFF2-40B4-BE49-F238E27FC236}">
              <a16:creationId xmlns:a16="http://schemas.microsoft.com/office/drawing/2014/main" id="{00000000-0008-0000-0100-00000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68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</xdr:colOff>
      <xdr:row>102</xdr:row>
      <xdr:rowOff>51435</xdr:rowOff>
    </xdr:to>
    <xdr:pic>
      <xdr:nvPicPr>
        <xdr:cNvPr id="9742" name="Picture 10" descr=" ">
          <a:extLst>
            <a:ext uri="{FF2B5EF4-FFF2-40B4-BE49-F238E27FC236}">
              <a16:creationId xmlns:a16="http://schemas.microsoft.com/office/drawing/2014/main" id="{00000000-0008-0000-0100-00000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68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</xdr:colOff>
      <xdr:row>102</xdr:row>
      <xdr:rowOff>51435</xdr:rowOff>
    </xdr:to>
    <xdr:pic>
      <xdr:nvPicPr>
        <xdr:cNvPr id="9743" name="Picture 11" descr=" ">
          <a:extLst>
            <a:ext uri="{FF2B5EF4-FFF2-40B4-BE49-F238E27FC236}">
              <a16:creationId xmlns:a16="http://schemas.microsoft.com/office/drawing/2014/main" id="{00000000-0008-0000-0100-00000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68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</xdr:colOff>
      <xdr:row>102</xdr:row>
      <xdr:rowOff>51435</xdr:rowOff>
    </xdr:to>
    <xdr:pic>
      <xdr:nvPicPr>
        <xdr:cNvPr id="9744" name="Picture 12" descr=" ">
          <a:extLst>
            <a:ext uri="{FF2B5EF4-FFF2-40B4-BE49-F238E27FC236}">
              <a16:creationId xmlns:a16="http://schemas.microsoft.com/office/drawing/2014/main" id="{00000000-0008-0000-0100-00001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68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</xdr:colOff>
      <xdr:row>103</xdr:row>
      <xdr:rowOff>51435</xdr:rowOff>
    </xdr:to>
    <xdr:pic>
      <xdr:nvPicPr>
        <xdr:cNvPr id="9745" name="Picture 7" descr=" ">
          <a:extLst>
            <a:ext uri="{FF2B5EF4-FFF2-40B4-BE49-F238E27FC236}">
              <a16:creationId xmlns:a16="http://schemas.microsoft.com/office/drawing/2014/main" id="{00000000-0008-0000-0100-00001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30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</xdr:colOff>
      <xdr:row>103</xdr:row>
      <xdr:rowOff>51435</xdr:rowOff>
    </xdr:to>
    <xdr:pic>
      <xdr:nvPicPr>
        <xdr:cNvPr id="9746" name="Picture 8" descr=" ">
          <a:extLst>
            <a:ext uri="{FF2B5EF4-FFF2-40B4-BE49-F238E27FC236}">
              <a16:creationId xmlns:a16="http://schemas.microsoft.com/office/drawing/2014/main" id="{00000000-0008-0000-0100-00001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30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</xdr:colOff>
      <xdr:row>103</xdr:row>
      <xdr:rowOff>51435</xdr:rowOff>
    </xdr:to>
    <xdr:pic>
      <xdr:nvPicPr>
        <xdr:cNvPr id="9747" name="Picture 9" descr=" ">
          <a:extLst>
            <a:ext uri="{FF2B5EF4-FFF2-40B4-BE49-F238E27FC236}">
              <a16:creationId xmlns:a16="http://schemas.microsoft.com/office/drawing/2014/main" id="{00000000-0008-0000-0100-00001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30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</xdr:colOff>
      <xdr:row>103</xdr:row>
      <xdr:rowOff>51435</xdr:rowOff>
    </xdr:to>
    <xdr:pic>
      <xdr:nvPicPr>
        <xdr:cNvPr id="9748" name="Picture 10" descr=" ">
          <a:extLst>
            <a:ext uri="{FF2B5EF4-FFF2-40B4-BE49-F238E27FC236}">
              <a16:creationId xmlns:a16="http://schemas.microsoft.com/office/drawing/2014/main" id="{00000000-0008-0000-0100-00001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30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</xdr:colOff>
      <xdr:row>103</xdr:row>
      <xdr:rowOff>51435</xdr:rowOff>
    </xdr:to>
    <xdr:pic>
      <xdr:nvPicPr>
        <xdr:cNvPr id="9749" name="Picture 11" descr=" ">
          <a:extLst>
            <a:ext uri="{FF2B5EF4-FFF2-40B4-BE49-F238E27FC236}">
              <a16:creationId xmlns:a16="http://schemas.microsoft.com/office/drawing/2014/main" id="{00000000-0008-0000-0100-00001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30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</xdr:colOff>
      <xdr:row>103</xdr:row>
      <xdr:rowOff>51435</xdr:rowOff>
    </xdr:to>
    <xdr:pic>
      <xdr:nvPicPr>
        <xdr:cNvPr id="9750" name="Picture 12" descr=" ">
          <a:extLst>
            <a:ext uri="{FF2B5EF4-FFF2-40B4-BE49-F238E27FC236}">
              <a16:creationId xmlns:a16="http://schemas.microsoft.com/office/drawing/2014/main" id="{00000000-0008-0000-0100-00001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30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9525</xdr:colOff>
      <xdr:row>104</xdr:row>
      <xdr:rowOff>51435</xdr:rowOff>
    </xdr:to>
    <xdr:pic>
      <xdr:nvPicPr>
        <xdr:cNvPr id="9751" name="Picture 7" descr=" ">
          <a:extLst>
            <a:ext uri="{FF2B5EF4-FFF2-40B4-BE49-F238E27FC236}">
              <a16:creationId xmlns:a16="http://schemas.microsoft.com/office/drawing/2014/main" id="{00000000-0008-0000-0100-00001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92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9525</xdr:colOff>
      <xdr:row>104</xdr:row>
      <xdr:rowOff>51435</xdr:rowOff>
    </xdr:to>
    <xdr:pic>
      <xdr:nvPicPr>
        <xdr:cNvPr id="9752" name="Picture 8" descr=" ">
          <a:extLst>
            <a:ext uri="{FF2B5EF4-FFF2-40B4-BE49-F238E27FC236}">
              <a16:creationId xmlns:a16="http://schemas.microsoft.com/office/drawing/2014/main" id="{00000000-0008-0000-0100-00001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92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9525</xdr:colOff>
      <xdr:row>104</xdr:row>
      <xdr:rowOff>51435</xdr:rowOff>
    </xdr:to>
    <xdr:pic>
      <xdr:nvPicPr>
        <xdr:cNvPr id="9753" name="Picture 9" descr=" ">
          <a:extLst>
            <a:ext uri="{FF2B5EF4-FFF2-40B4-BE49-F238E27FC236}">
              <a16:creationId xmlns:a16="http://schemas.microsoft.com/office/drawing/2014/main" id="{00000000-0008-0000-0100-00001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92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9525</xdr:colOff>
      <xdr:row>104</xdr:row>
      <xdr:rowOff>51435</xdr:rowOff>
    </xdr:to>
    <xdr:pic>
      <xdr:nvPicPr>
        <xdr:cNvPr id="9754" name="Picture 10" descr=" ">
          <a:extLst>
            <a:ext uri="{FF2B5EF4-FFF2-40B4-BE49-F238E27FC236}">
              <a16:creationId xmlns:a16="http://schemas.microsoft.com/office/drawing/2014/main" id="{00000000-0008-0000-0100-00001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92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9525</xdr:colOff>
      <xdr:row>104</xdr:row>
      <xdr:rowOff>51435</xdr:rowOff>
    </xdr:to>
    <xdr:pic>
      <xdr:nvPicPr>
        <xdr:cNvPr id="9755" name="Picture 11" descr=" ">
          <a:extLst>
            <a:ext uri="{FF2B5EF4-FFF2-40B4-BE49-F238E27FC236}">
              <a16:creationId xmlns:a16="http://schemas.microsoft.com/office/drawing/2014/main" id="{00000000-0008-0000-0100-00001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92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9525</xdr:colOff>
      <xdr:row>104</xdr:row>
      <xdr:rowOff>51435</xdr:rowOff>
    </xdr:to>
    <xdr:pic>
      <xdr:nvPicPr>
        <xdr:cNvPr id="9756" name="Picture 12" descr=" ">
          <a:extLst>
            <a:ext uri="{FF2B5EF4-FFF2-40B4-BE49-F238E27FC236}">
              <a16:creationId xmlns:a16="http://schemas.microsoft.com/office/drawing/2014/main" id="{00000000-0008-0000-0100-00001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92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</xdr:colOff>
      <xdr:row>105</xdr:row>
      <xdr:rowOff>51435</xdr:rowOff>
    </xdr:to>
    <xdr:pic>
      <xdr:nvPicPr>
        <xdr:cNvPr id="9757" name="Picture 7" descr=" ">
          <a:extLst>
            <a:ext uri="{FF2B5EF4-FFF2-40B4-BE49-F238E27FC236}">
              <a16:creationId xmlns:a16="http://schemas.microsoft.com/office/drawing/2014/main" id="{00000000-0008-0000-0100-00001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54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</xdr:colOff>
      <xdr:row>105</xdr:row>
      <xdr:rowOff>51435</xdr:rowOff>
    </xdr:to>
    <xdr:pic>
      <xdr:nvPicPr>
        <xdr:cNvPr id="9758" name="Picture 8" descr=" ">
          <a:extLst>
            <a:ext uri="{FF2B5EF4-FFF2-40B4-BE49-F238E27FC236}">
              <a16:creationId xmlns:a16="http://schemas.microsoft.com/office/drawing/2014/main" id="{00000000-0008-0000-0100-00001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54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</xdr:colOff>
      <xdr:row>105</xdr:row>
      <xdr:rowOff>51435</xdr:rowOff>
    </xdr:to>
    <xdr:pic>
      <xdr:nvPicPr>
        <xdr:cNvPr id="9759" name="Picture 9" descr=" ">
          <a:extLst>
            <a:ext uri="{FF2B5EF4-FFF2-40B4-BE49-F238E27FC236}">
              <a16:creationId xmlns:a16="http://schemas.microsoft.com/office/drawing/2014/main" id="{00000000-0008-0000-0100-00001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54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</xdr:colOff>
      <xdr:row>105</xdr:row>
      <xdr:rowOff>51435</xdr:rowOff>
    </xdr:to>
    <xdr:pic>
      <xdr:nvPicPr>
        <xdr:cNvPr id="9760" name="Picture 10" descr=" ">
          <a:extLst>
            <a:ext uri="{FF2B5EF4-FFF2-40B4-BE49-F238E27FC236}">
              <a16:creationId xmlns:a16="http://schemas.microsoft.com/office/drawing/2014/main" id="{00000000-0008-0000-0100-00002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54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</xdr:colOff>
      <xdr:row>105</xdr:row>
      <xdr:rowOff>51435</xdr:rowOff>
    </xdr:to>
    <xdr:pic>
      <xdr:nvPicPr>
        <xdr:cNvPr id="9761" name="Picture 11" descr=" ">
          <a:extLst>
            <a:ext uri="{FF2B5EF4-FFF2-40B4-BE49-F238E27FC236}">
              <a16:creationId xmlns:a16="http://schemas.microsoft.com/office/drawing/2014/main" id="{00000000-0008-0000-0100-00002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54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</xdr:colOff>
      <xdr:row>105</xdr:row>
      <xdr:rowOff>51435</xdr:rowOff>
    </xdr:to>
    <xdr:pic>
      <xdr:nvPicPr>
        <xdr:cNvPr id="9762" name="Picture 12" descr=" ">
          <a:extLst>
            <a:ext uri="{FF2B5EF4-FFF2-40B4-BE49-F238E27FC236}">
              <a16:creationId xmlns:a16="http://schemas.microsoft.com/office/drawing/2014/main" id="{00000000-0008-0000-0100-00002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54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9525</xdr:colOff>
      <xdr:row>106</xdr:row>
      <xdr:rowOff>51435</xdr:rowOff>
    </xdr:to>
    <xdr:pic>
      <xdr:nvPicPr>
        <xdr:cNvPr id="9763" name="Picture 7" descr=" ">
          <a:extLst>
            <a:ext uri="{FF2B5EF4-FFF2-40B4-BE49-F238E27FC236}">
              <a16:creationId xmlns:a16="http://schemas.microsoft.com/office/drawing/2014/main" id="{00000000-0008-0000-0100-00002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16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9525</xdr:colOff>
      <xdr:row>106</xdr:row>
      <xdr:rowOff>51435</xdr:rowOff>
    </xdr:to>
    <xdr:pic>
      <xdr:nvPicPr>
        <xdr:cNvPr id="9764" name="Picture 8" descr=" ">
          <a:extLst>
            <a:ext uri="{FF2B5EF4-FFF2-40B4-BE49-F238E27FC236}">
              <a16:creationId xmlns:a16="http://schemas.microsoft.com/office/drawing/2014/main" id="{00000000-0008-0000-0100-00002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16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9525</xdr:colOff>
      <xdr:row>106</xdr:row>
      <xdr:rowOff>51435</xdr:rowOff>
    </xdr:to>
    <xdr:pic>
      <xdr:nvPicPr>
        <xdr:cNvPr id="9765" name="Picture 9" descr=" ">
          <a:extLst>
            <a:ext uri="{FF2B5EF4-FFF2-40B4-BE49-F238E27FC236}">
              <a16:creationId xmlns:a16="http://schemas.microsoft.com/office/drawing/2014/main" id="{00000000-0008-0000-0100-00002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16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9525</xdr:colOff>
      <xdr:row>106</xdr:row>
      <xdr:rowOff>51435</xdr:rowOff>
    </xdr:to>
    <xdr:pic>
      <xdr:nvPicPr>
        <xdr:cNvPr id="9766" name="Picture 10" descr=" ">
          <a:extLst>
            <a:ext uri="{FF2B5EF4-FFF2-40B4-BE49-F238E27FC236}">
              <a16:creationId xmlns:a16="http://schemas.microsoft.com/office/drawing/2014/main" id="{00000000-0008-0000-0100-00002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16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9525</xdr:colOff>
      <xdr:row>106</xdr:row>
      <xdr:rowOff>51435</xdr:rowOff>
    </xdr:to>
    <xdr:pic>
      <xdr:nvPicPr>
        <xdr:cNvPr id="9767" name="Picture 11" descr=" ">
          <a:extLst>
            <a:ext uri="{FF2B5EF4-FFF2-40B4-BE49-F238E27FC236}">
              <a16:creationId xmlns:a16="http://schemas.microsoft.com/office/drawing/2014/main" id="{00000000-0008-0000-0100-00002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16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9525</xdr:colOff>
      <xdr:row>106</xdr:row>
      <xdr:rowOff>51435</xdr:rowOff>
    </xdr:to>
    <xdr:pic>
      <xdr:nvPicPr>
        <xdr:cNvPr id="9768" name="Picture 12" descr=" ">
          <a:extLst>
            <a:ext uri="{FF2B5EF4-FFF2-40B4-BE49-F238E27FC236}">
              <a16:creationId xmlns:a16="http://schemas.microsoft.com/office/drawing/2014/main" id="{00000000-0008-0000-0100-00002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16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</xdr:colOff>
      <xdr:row>107</xdr:row>
      <xdr:rowOff>51435</xdr:rowOff>
    </xdr:to>
    <xdr:pic>
      <xdr:nvPicPr>
        <xdr:cNvPr id="9769" name="Picture 7" descr=" ">
          <a:extLst>
            <a:ext uri="{FF2B5EF4-FFF2-40B4-BE49-F238E27FC236}">
              <a16:creationId xmlns:a16="http://schemas.microsoft.com/office/drawing/2014/main" id="{00000000-0008-0000-0100-00002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78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</xdr:colOff>
      <xdr:row>107</xdr:row>
      <xdr:rowOff>51435</xdr:rowOff>
    </xdr:to>
    <xdr:pic>
      <xdr:nvPicPr>
        <xdr:cNvPr id="9770" name="Picture 8" descr=" ">
          <a:extLst>
            <a:ext uri="{FF2B5EF4-FFF2-40B4-BE49-F238E27FC236}">
              <a16:creationId xmlns:a16="http://schemas.microsoft.com/office/drawing/2014/main" id="{00000000-0008-0000-0100-00002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78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</xdr:colOff>
      <xdr:row>107</xdr:row>
      <xdr:rowOff>51435</xdr:rowOff>
    </xdr:to>
    <xdr:pic>
      <xdr:nvPicPr>
        <xdr:cNvPr id="9771" name="Picture 9" descr=" ">
          <a:extLst>
            <a:ext uri="{FF2B5EF4-FFF2-40B4-BE49-F238E27FC236}">
              <a16:creationId xmlns:a16="http://schemas.microsoft.com/office/drawing/2014/main" id="{00000000-0008-0000-0100-00002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78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</xdr:colOff>
      <xdr:row>107</xdr:row>
      <xdr:rowOff>51435</xdr:rowOff>
    </xdr:to>
    <xdr:pic>
      <xdr:nvPicPr>
        <xdr:cNvPr id="9772" name="Picture 10" descr=" ">
          <a:extLst>
            <a:ext uri="{FF2B5EF4-FFF2-40B4-BE49-F238E27FC236}">
              <a16:creationId xmlns:a16="http://schemas.microsoft.com/office/drawing/2014/main" id="{00000000-0008-0000-0100-00002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78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</xdr:colOff>
      <xdr:row>107</xdr:row>
      <xdr:rowOff>51435</xdr:rowOff>
    </xdr:to>
    <xdr:pic>
      <xdr:nvPicPr>
        <xdr:cNvPr id="9773" name="Picture 11" descr=" ">
          <a:extLst>
            <a:ext uri="{FF2B5EF4-FFF2-40B4-BE49-F238E27FC236}">
              <a16:creationId xmlns:a16="http://schemas.microsoft.com/office/drawing/2014/main" id="{00000000-0008-0000-0100-00002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78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</xdr:colOff>
      <xdr:row>107</xdr:row>
      <xdr:rowOff>51435</xdr:rowOff>
    </xdr:to>
    <xdr:pic>
      <xdr:nvPicPr>
        <xdr:cNvPr id="9774" name="Picture 12" descr=" ">
          <a:extLst>
            <a:ext uri="{FF2B5EF4-FFF2-40B4-BE49-F238E27FC236}">
              <a16:creationId xmlns:a16="http://schemas.microsoft.com/office/drawing/2014/main" id="{00000000-0008-0000-0100-00002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78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</xdr:colOff>
      <xdr:row>108</xdr:row>
      <xdr:rowOff>51435</xdr:rowOff>
    </xdr:to>
    <xdr:pic>
      <xdr:nvPicPr>
        <xdr:cNvPr id="9775" name="Picture 7" descr=" ">
          <a:extLst>
            <a:ext uri="{FF2B5EF4-FFF2-40B4-BE49-F238E27FC236}">
              <a16:creationId xmlns:a16="http://schemas.microsoft.com/office/drawing/2014/main" id="{00000000-0008-0000-0100-00002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4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</xdr:colOff>
      <xdr:row>108</xdr:row>
      <xdr:rowOff>51435</xdr:rowOff>
    </xdr:to>
    <xdr:pic>
      <xdr:nvPicPr>
        <xdr:cNvPr id="9776" name="Picture 8" descr=" ">
          <a:extLst>
            <a:ext uri="{FF2B5EF4-FFF2-40B4-BE49-F238E27FC236}">
              <a16:creationId xmlns:a16="http://schemas.microsoft.com/office/drawing/2014/main" id="{00000000-0008-0000-0100-00003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4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</xdr:colOff>
      <xdr:row>108</xdr:row>
      <xdr:rowOff>51435</xdr:rowOff>
    </xdr:to>
    <xdr:pic>
      <xdr:nvPicPr>
        <xdr:cNvPr id="9777" name="Picture 9" descr=" ">
          <a:extLst>
            <a:ext uri="{FF2B5EF4-FFF2-40B4-BE49-F238E27FC236}">
              <a16:creationId xmlns:a16="http://schemas.microsoft.com/office/drawing/2014/main" id="{00000000-0008-0000-0100-00003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4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</xdr:colOff>
      <xdr:row>108</xdr:row>
      <xdr:rowOff>51435</xdr:rowOff>
    </xdr:to>
    <xdr:pic>
      <xdr:nvPicPr>
        <xdr:cNvPr id="9778" name="Picture 10" descr=" ">
          <a:extLst>
            <a:ext uri="{FF2B5EF4-FFF2-40B4-BE49-F238E27FC236}">
              <a16:creationId xmlns:a16="http://schemas.microsoft.com/office/drawing/2014/main" id="{00000000-0008-0000-0100-00003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4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</xdr:colOff>
      <xdr:row>108</xdr:row>
      <xdr:rowOff>51435</xdr:rowOff>
    </xdr:to>
    <xdr:pic>
      <xdr:nvPicPr>
        <xdr:cNvPr id="9779" name="Picture 11" descr=" ">
          <a:extLst>
            <a:ext uri="{FF2B5EF4-FFF2-40B4-BE49-F238E27FC236}">
              <a16:creationId xmlns:a16="http://schemas.microsoft.com/office/drawing/2014/main" id="{00000000-0008-0000-0100-00003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4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</xdr:colOff>
      <xdr:row>108</xdr:row>
      <xdr:rowOff>51435</xdr:rowOff>
    </xdr:to>
    <xdr:pic>
      <xdr:nvPicPr>
        <xdr:cNvPr id="9780" name="Picture 12" descr=" ">
          <a:extLst>
            <a:ext uri="{FF2B5EF4-FFF2-40B4-BE49-F238E27FC236}">
              <a16:creationId xmlns:a16="http://schemas.microsoft.com/office/drawing/2014/main" id="{00000000-0008-0000-0100-00003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4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</xdr:colOff>
      <xdr:row>109</xdr:row>
      <xdr:rowOff>51435</xdr:rowOff>
    </xdr:to>
    <xdr:pic>
      <xdr:nvPicPr>
        <xdr:cNvPr id="9781" name="Picture 7" descr=" ">
          <a:extLst>
            <a:ext uri="{FF2B5EF4-FFF2-40B4-BE49-F238E27FC236}">
              <a16:creationId xmlns:a16="http://schemas.microsoft.com/office/drawing/2014/main" id="{00000000-0008-0000-0100-00003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</xdr:colOff>
      <xdr:row>109</xdr:row>
      <xdr:rowOff>51435</xdr:rowOff>
    </xdr:to>
    <xdr:pic>
      <xdr:nvPicPr>
        <xdr:cNvPr id="9782" name="Picture 8" descr=" ">
          <a:extLst>
            <a:ext uri="{FF2B5EF4-FFF2-40B4-BE49-F238E27FC236}">
              <a16:creationId xmlns:a16="http://schemas.microsoft.com/office/drawing/2014/main" id="{00000000-0008-0000-0100-00003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</xdr:colOff>
      <xdr:row>109</xdr:row>
      <xdr:rowOff>51435</xdr:rowOff>
    </xdr:to>
    <xdr:pic>
      <xdr:nvPicPr>
        <xdr:cNvPr id="9783" name="Picture 9" descr=" ">
          <a:extLst>
            <a:ext uri="{FF2B5EF4-FFF2-40B4-BE49-F238E27FC236}">
              <a16:creationId xmlns:a16="http://schemas.microsoft.com/office/drawing/2014/main" id="{00000000-0008-0000-0100-00003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</xdr:colOff>
      <xdr:row>109</xdr:row>
      <xdr:rowOff>51435</xdr:rowOff>
    </xdr:to>
    <xdr:pic>
      <xdr:nvPicPr>
        <xdr:cNvPr id="9784" name="Picture 10" descr=" ">
          <a:extLst>
            <a:ext uri="{FF2B5EF4-FFF2-40B4-BE49-F238E27FC236}">
              <a16:creationId xmlns:a16="http://schemas.microsoft.com/office/drawing/2014/main" id="{00000000-0008-0000-0100-00003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</xdr:colOff>
      <xdr:row>109</xdr:row>
      <xdr:rowOff>51435</xdr:rowOff>
    </xdr:to>
    <xdr:pic>
      <xdr:nvPicPr>
        <xdr:cNvPr id="9785" name="Picture 11" descr=" ">
          <a:extLst>
            <a:ext uri="{FF2B5EF4-FFF2-40B4-BE49-F238E27FC236}">
              <a16:creationId xmlns:a16="http://schemas.microsoft.com/office/drawing/2014/main" id="{00000000-0008-0000-0100-00003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</xdr:colOff>
      <xdr:row>109</xdr:row>
      <xdr:rowOff>51435</xdr:rowOff>
    </xdr:to>
    <xdr:pic>
      <xdr:nvPicPr>
        <xdr:cNvPr id="9786" name="Picture 12" descr=" ">
          <a:extLst>
            <a:ext uri="{FF2B5EF4-FFF2-40B4-BE49-F238E27FC236}">
              <a16:creationId xmlns:a16="http://schemas.microsoft.com/office/drawing/2014/main" id="{00000000-0008-0000-0100-00003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</xdr:colOff>
      <xdr:row>110</xdr:row>
      <xdr:rowOff>51435</xdr:rowOff>
    </xdr:to>
    <xdr:pic>
      <xdr:nvPicPr>
        <xdr:cNvPr id="9787" name="Picture 7" descr=" ">
          <a:extLst>
            <a:ext uri="{FF2B5EF4-FFF2-40B4-BE49-F238E27FC236}">
              <a16:creationId xmlns:a16="http://schemas.microsoft.com/office/drawing/2014/main" id="{00000000-0008-0000-0100-00003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6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</xdr:colOff>
      <xdr:row>110</xdr:row>
      <xdr:rowOff>51435</xdr:rowOff>
    </xdr:to>
    <xdr:pic>
      <xdr:nvPicPr>
        <xdr:cNvPr id="9788" name="Picture 8" descr=" ">
          <a:extLst>
            <a:ext uri="{FF2B5EF4-FFF2-40B4-BE49-F238E27FC236}">
              <a16:creationId xmlns:a16="http://schemas.microsoft.com/office/drawing/2014/main" id="{00000000-0008-0000-0100-00003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6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</xdr:colOff>
      <xdr:row>110</xdr:row>
      <xdr:rowOff>51435</xdr:rowOff>
    </xdr:to>
    <xdr:pic>
      <xdr:nvPicPr>
        <xdr:cNvPr id="9789" name="Picture 9" descr=" ">
          <a:extLst>
            <a:ext uri="{FF2B5EF4-FFF2-40B4-BE49-F238E27FC236}">
              <a16:creationId xmlns:a16="http://schemas.microsoft.com/office/drawing/2014/main" id="{00000000-0008-0000-0100-00003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6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</xdr:colOff>
      <xdr:row>110</xdr:row>
      <xdr:rowOff>51435</xdr:rowOff>
    </xdr:to>
    <xdr:pic>
      <xdr:nvPicPr>
        <xdr:cNvPr id="9790" name="Picture 10" descr=" ">
          <a:extLst>
            <a:ext uri="{FF2B5EF4-FFF2-40B4-BE49-F238E27FC236}">
              <a16:creationId xmlns:a16="http://schemas.microsoft.com/office/drawing/2014/main" id="{00000000-0008-0000-0100-00003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6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</xdr:colOff>
      <xdr:row>110</xdr:row>
      <xdr:rowOff>51435</xdr:rowOff>
    </xdr:to>
    <xdr:pic>
      <xdr:nvPicPr>
        <xdr:cNvPr id="9791" name="Picture 11" descr=" ">
          <a:extLst>
            <a:ext uri="{FF2B5EF4-FFF2-40B4-BE49-F238E27FC236}">
              <a16:creationId xmlns:a16="http://schemas.microsoft.com/office/drawing/2014/main" id="{00000000-0008-0000-0100-00003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6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</xdr:colOff>
      <xdr:row>110</xdr:row>
      <xdr:rowOff>51435</xdr:rowOff>
    </xdr:to>
    <xdr:pic>
      <xdr:nvPicPr>
        <xdr:cNvPr id="9792" name="Picture 12" descr=" ">
          <a:extLst>
            <a:ext uri="{FF2B5EF4-FFF2-40B4-BE49-F238E27FC236}">
              <a16:creationId xmlns:a16="http://schemas.microsoft.com/office/drawing/2014/main" id="{00000000-0008-0000-0100-00004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6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9525</xdr:colOff>
      <xdr:row>111</xdr:row>
      <xdr:rowOff>51435</xdr:rowOff>
    </xdr:to>
    <xdr:pic>
      <xdr:nvPicPr>
        <xdr:cNvPr id="9793" name="Picture 7" descr=" ">
          <a:extLst>
            <a:ext uri="{FF2B5EF4-FFF2-40B4-BE49-F238E27FC236}">
              <a16:creationId xmlns:a16="http://schemas.microsoft.com/office/drawing/2014/main" id="{00000000-0008-0000-0100-00004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2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9525</xdr:colOff>
      <xdr:row>111</xdr:row>
      <xdr:rowOff>51435</xdr:rowOff>
    </xdr:to>
    <xdr:pic>
      <xdr:nvPicPr>
        <xdr:cNvPr id="9794" name="Picture 8" descr=" ">
          <a:extLst>
            <a:ext uri="{FF2B5EF4-FFF2-40B4-BE49-F238E27FC236}">
              <a16:creationId xmlns:a16="http://schemas.microsoft.com/office/drawing/2014/main" id="{00000000-0008-0000-0100-00004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2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9525</xdr:colOff>
      <xdr:row>111</xdr:row>
      <xdr:rowOff>51435</xdr:rowOff>
    </xdr:to>
    <xdr:pic>
      <xdr:nvPicPr>
        <xdr:cNvPr id="9795" name="Picture 9" descr=" ">
          <a:extLst>
            <a:ext uri="{FF2B5EF4-FFF2-40B4-BE49-F238E27FC236}">
              <a16:creationId xmlns:a16="http://schemas.microsoft.com/office/drawing/2014/main" id="{00000000-0008-0000-0100-00004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2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9525</xdr:colOff>
      <xdr:row>111</xdr:row>
      <xdr:rowOff>51435</xdr:rowOff>
    </xdr:to>
    <xdr:pic>
      <xdr:nvPicPr>
        <xdr:cNvPr id="9796" name="Picture 10" descr=" ">
          <a:extLst>
            <a:ext uri="{FF2B5EF4-FFF2-40B4-BE49-F238E27FC236}">
              <a16:creationId xmlns:a16="http://schemas.microsoft.com/office/drawing/2014/main" id="{00000000-0008-0000-0100-00004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2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9525</xdr:colOff>
      <xdr:row>111</xdr:row>
      <xdr:rowOff>51435</xdr:rowOff>
    </xdr:to>
    <xdr:pic>
      <xdr:nvPicPr>
        <xdr:cNvPr id="9797" name="Picture 11" descr=" ">
          <a:extLst>
            <a:ext uri="{FF2B5EF4-FFF2-40B4-BE49-F238E27FC236}">
              <a16:creationId xmlns:a16="http://schemas.microsoft.com/office/drawing/2014/main" id="{00000000-0008-0000-0100-00004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2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9525</xdr:colOff>
      <xdr:row>111</xdr:row>
      <xdr:rowOff>51435</xdr:rowOff>
    </xdr:to>
    <xdr:pic>
      <xdr:nvPicPr>
        <xdr:cNvPr id="9798" name="Picture 12" descr=" ">
          <a:extLst>
            <a:ext uri="{FF2B5EF4-FFF2-40B4-BE49-F238E27FC236}">
              <a16:creationId xmlns:a16="http://schemas.microsoft.com/office/drawing/2014/main" id="{00000000-0008-0000-0100-00004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2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</xdr:colOff>
      <xdr:row>112</xdr:row>
      <xdr:rowOff>51435</xdr:rowOff>
    </xdr:to>
    <xdr:pic>
      <xdr:nvPicPr>
        <xdr:cNvPr id="9799" name="Picture 7" descr=" ">
          <a:extLst>
            <a:ext uri="{FF2B5EF4-FFF2-40B4-BE49-F238E27FC236}">
              <a16:creationId xmlns:a16="http://schemas.microsoft.com/office/drawing/2014/main" id="{00000000-0008-0000-0100-00004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87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</xdr:colOff>
      <xdr:row>112</xdr:row>
      <xdr:rowOff>51435</xdr:rowOff>
    </xdr:to>
    <xdr:pic>
      <xdr:nvPicPr>
        <xdr:cNvPr id="9800" name="Picture 8" descr=" ">
          <a:extLst>
            <a:ext uri="{FF2B5EF4-FFF2-40B4-BE49-F238E27FC236}">
              <a16:creationId xmlns:a16="http://schemas.microsoft.com/office/drawing/2014/main" id="{00000000-0008-0000-0100-00004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87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</xdr:colOff>
      <xdr:row>112</xdr:row>
      <xdr:rowOff>51435</xdr:rowOff>
    </xdr:to>
    <xdr:pic>
      <xdr:nvPicPr>
        <xdr:cNvPr id="9801" name="Picture 9" descr=" ">
          <a:extLst>
            <a:ext uri="{FF2B5EF4-FFF2-40B4-BE49-F238E27FC236}">
              <a16:creationId xmlns:a16="http://schemas.microsoft.com/office/drawing/2014/main" id="{00000000-0008-0000-0100-00004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87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</xdr:colOff>
      <xdr:row>112</xdr:row>
      <xdr:rowOff>51435</xdr:rowOff>
    </xdr:to>
    <xdr:pic>
      <xdr:nvPicPr>
        <xdr:cNvPr id="9802" name="Picture 10" descr=" ">
          <a:extLst>
            <a:ext uri="{FF2B5EF4-FFF2-40B4-BE49-F238E27FC236}">
              <a16:creationId xmlns:a16="http://schemas.microsoft.com/office/drawing/2014/main" id="{00000000-0008-0000-0100-00004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87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</xdr:colOff>
      <xdr:row>112</xdr:row>
      <xdr:rowOff>51435</xdr:rowOff>
    </xdr:to>
    <xdr:pic>
      <xdr:nvPicPr>
        <xdr:cNvPr id="9803" name="Picture 11" descr=" ">
          <a:extLst>
            <a:ext uri="{FF2B5EF4-FFF2-40B4-BE49-F238E27FC236}">
              <a16:creationId xmlns:a16="http://schemas.microsoft.com/office/drawing/2014/main" id="{00000000-0008-0000-0100-00004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87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</xdr:colOff>
      <xdr:row>112</xdr:row>
      <xdr:rowOff>51435</xdr:rowOff>
    </xdr:to>
    <xdr:pic>
      <xdr:nvPicPr>
        <xdr:cNvPr id="9804" name="Picture 12" descr=" ">
          <a:extLst>
            <a:ext uri="{FF2B5EF4-FFF2-40B4-BE49-F238E27FC236}">
              <a16:creationId xmlns:a16="http://schemas.microsoft.com/office/drawing/2014/main" id="{00000000-0008-0000-0100-00004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87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</xdr:colOff>
      <xdr:row>138</xdr:row>
      <xdr:rowOff>51435</xdr:rowOff>
    </xdr:to>
    <xdr:pic>
      <xdr:nvPicPr>
        <xdr:cNvPr id="9805" name="Picture 7" descr=" ">
          <a:extLst>
            <a:ext uri="{FF2B5EF4-FFF2-40B4-BE49-F238E27FC236}">
              <a16:creationId xmlns:a16="http://schemas.microsoft.com/office/drawing/2014/main" id="{00000000-0008-0000-0100-00004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49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</xdr:colOff>
      <xdr:row>138</xdr:row>
      <xdr:rowOff>51435</xdr:rowOff>
    </xdr:to>
    <xdr:pic>
      <xdr:nvPicPr>
        <xdr:cNvPr id="9806" name="Picture 8" descr=" ">
          <a:extLst>
            <a:ext uri="{FF2B5EF4-FFF2-40B4-BE49-F238E27FC236}">
              <a16:creationId xmlns:a16="http://schemas.microsoft.com/office/drawing/2014/main" id="{00000000-0008-0000-0100-00004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49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</xdr:colOff>
      <xdr:row>138</xdr:row>
      <xdr:rowOff>51435</xdr:rowOff>
    </xdr:to>
    <xdr:pic>
      <xdr:nvPicPr>
        <xdr:cNvPr id="9807" name="Picture 9" descr=" ">
          <a:extLst>
            <a:ext uri="{FF2B5EF4-FFF2-40B4-BE49-F238E27FC236}">
              <a16:creationId xmlns:a16="http://schemas.microsoft.com/office/drawing/2014/main" id="{00000000-0008-0000-0100-00004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49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</xdr:colOff>
      <xdr:row>138</xdr:row>
      <xdr:rowOff>51435</xdr:rowOff>
    </xdr:to>
    <xdr:pic>
      <xdr:nvPicPr>
        <xdr:cNvPr id="9808" name="Picture 10" descr=" ">
          <a:extLst>
            <a:ext uri="{FF2B5EF4-FFF2-40B4-BE49-F238E27FC236}">
              <a16:creationId xmlns:a16="http://schemas.microsoft.com/office/drawing/2014/main" id="{00000000-0008-0000-0100-00005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49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</xdr:colOff>
      <xdr:row>138</xdr:row>
      <xdr:rowOff>51435</xdr:rowOff>
    </xdr:to>
    <xdr:pic>
      <xdr:nvPicPr>
        <xdr:cNvPr id="9809" name="Picture 11" descr=" ">
          <a:extLst>
            <a:ext uri="{FF2B5EF4-FFF2-40B4-BE49-F238E27FC236}">
              <a16:creationId xmlns:a16="http://schemas.microsoft.com/office/drawing/2014/main" id="{00000000-0008-0000-0100-00005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49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</xdr:colOff>
      <xdr:row>138</xdr:row>
      <xdr:rowOff>51435</xdr:rowOff>
    </xdr:to>
    <xdr:pic>
      <xdr:nvPicPr>
        <xdr:cNvPr id="9810" name="Picture 12" descr=" ">
          <a:extLst>
            <a:ext uri="{FF2B5EF4-FFF2-40B4-BE49-F238E27FC236}">
              <a16:creationId xmlns:a16="http://schemas.microsoft.com/office/drawing/2014/main" id="{00000000-0008-0000-0100-00005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49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</xdr:colOff>
      <xdr:row>139</xdr:row>
      <xdr:rowOff>5715</xdr:rowOff>
    </xdr:to>
    <xdr:pic>
      <xdr:nvPicPr>
        <xdr:cNvPr id="9811" name="Picture 7" descr=" ">
          <a:extLst>
            <a:ext uri="{FF2B5EF4-FFF2-40B4-BE49-F238E27FC236}">
              <a16:creationId xmlns:a16="http://schemas.microsoft.com/office/drawing/2014/main" id="{00000000-0008-0000-0100-00005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11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</xdr:colOff>
      <xdr:row>139</xdr:row>
      <xdr:rowOff>5715</xdr:rowOff>
    </xdr:to>
    <xdr:pic>
      <xdr:nvPicPr>
        <xdr:cNvPr id="9812" name="Picture 8" descr=" ">
          <a:extLst>
            <a:ext uri="{FF2B5EF4-FFF2-40B4-BE49-F238E27FC236}">
              <a16:creationId xmlns:a16="http://schemas.microsoft.com/office/drawing/2014/main" id="{00000000-0008-0000-0100-00005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11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</xdr:colOff>
      <xdr:row>139</xdr:row>
      <xdr:rowOff>5715</xdr:rowOff>
    </xdr:to>
    <xdr:pic>
      <xdr:nvPicPr>
        <xdr:cNvPr id="9813" name="Picture 9" descr=" ">
          <a:extLst>
            <a:ext uri="{FF2B5EF4-FFF2-40B4-BE49-F238E27FC236}">
              <a16:creationId xmlns:a16="http://schemas.microsoft.com/office/drawing/2014/main" id="{00000000-0008-0000-0100-00005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11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</xdr:colOff>
      <xdr:row>139</xdr:row>
      <xdr:rowOff>5715</xdr:rowOff>
    </xdr:to>
    <xdr:pic>
      <xdr:nvPicPr>
        <xdr:cNvPr id="9814" name="Picture 10" descr=" ">
          <a:extLst>
            <a:ext uri="{FF2B5EF4-FFF2-40B4-BE49-F238E27FC236}">
              <a16:creationId xmlns:a16="http://schemas.microsoft.com/office/drawing/2014/main" id="{00000000-0008-0000-0100-00005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11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</xdr:colOff>
      <xdr:row>139</xdr:row>
      <xdr:rowOff>5715</xdr:rowOff>
    </xdr:to>
    <xdr:pic>
      <xdr:nvPicPr>
        <xdr:cNvPr id="9815" name="Picture 11" descr=" ">
          <a:extLst>
            <a:ext uri="{FF2B5EF4-FFF2-40B4-BE49-F238E27FC236}">
              <a16:creationId xmlns:a16="http://schemas.microsoft.com/office/drawing/2014/main" id="{00000000-0008-0000-0100-00005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11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</xdr:colOff>
      <xdr:row>139</xdr:row>
      <xdr:rowOff>5715</xdr:rowOff>
    </xdr:to>
    <xdr:pic>
      <xdr:nvPicPr>
        <xdr:cNvPr id="9816" name="Picture 12" descr=" ">
          <a:extLst>
            <a:ext uri="{FF2B5EF4-FFF2-40B4-BE49-F238E27FC236}">
              <a16:creationId xmlns:a16="http://schemas.microsoft.com/office/drawing/2014/main" id="{00000000-0008-0000-0100-00005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11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9817" name="Picture 7" descr=" ">
          <a:extLst>
            <a:ext uri="{FF2B5EF4-FFF2-40B4-BE49-F238E27FC236}">
              <a16:creationId xmlns:a16="http://schemas.microsoft.com/office/drawing/2014/main" id="{00000000-0008-0000-0100-00005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9818" name="Picture 8" descr=" ">
          <a:extLst>
            <a:ext uri="{FF2B5EF4-FFF2-40B4-BE49-F238E27FC236}">
              <a16:creationId xmlns:a16="http://schemas.microsoft.com/office/drawing/2014/main" id="{00000000-0008-0000-0100-00005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9819" name="Picture 9" descr=" ">
          <a:extLst>
            <a:ext uri="{FF2B5EF4-FFF2-40B4-BE49-F238E27FC236}">
              <a16:creationId xmlns:a16="http://schemas.microsoft.com/office/drawing/2014/main" id="{00000000-0008-0000-0100-00005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9820" name="Picture 10" descr=" ">
          <a:extLst>
            <a:ext uri="{FF2B5EF4-FFF2-40B4-BE49-F238E27FC236}">
              <a16:creationId xmlns:a16="http://schemas.microsoft.com/office/drawing/2014/main" id="{00000000-0008-0000-0100-00005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9821" name="Picture 11" descr=" ">
          <a:extLst>
            <a:ext uri="{FF2B5EF4-FFF2-40B4-BE49-F238E27FC236}">
              <a16:creationId xmlns:a16="http://schemas.microsoft.com/office/drawing/2014/main" id="{00000000-0008-0000-0100-00005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9822" name="Picture 12" descr=" ">
          <a:extLst>
            <a:ext uri="{FF2B5EF4-FFF2-40B4-BE49-F238E27FC236}">
              <a16:creationId xmlns:a16="http://schemas.microsoft.com/office/drawing/2014/main" id="{00000000-0008-0000-0100-00005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</xdr:colOff>
      <xdr:row>114</xdr:row>
      <xdr:rowOff>47625</xdr:rowOff>
    </xdr:to>
    <xdr:pic>
      <xdr:nvPicPr>
        <xdr:cNvPr id="9823" name="Picture 7" descr=" ">
          <a:extLst>
            <a:ext uri="{FF2B5EF4-FFF2-40B4-BE49-F238E27FC236}">
              <a16:creationId xmlns:a16="http://schemas.microsoft.com/office/drawing/2014/main" id="{00000000-0008-0000-0100-00005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35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</xdr:colOff>
      <xdr:row>114</xdr:row>
      <xdr:rowOff>47625</xdr:rowOff>
    </xdr:to>
    <xdr:pic>
      <xdr:nvPicPr>
        <xdr:cNvPr id="9824" name="Picture 8" descr=" ">
          <a:extLst>
            <a:ext uri="{FF2B5EF4-FFF2-40B4-BE49-F238E27FC236}">
              <a16:creationId xmlns:a16="http://schemas.microsoft.com/office/drawing/2014/main" id="{00000000-0008-0000-0100-00006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35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</xdr:colOff>
      <xdr:row>114</xdr:row>
      <xdr:rowOff>47625</xdr:rowOff>
    </xdr:to>
    <xdr:pic>
      <xdr:nvPicPr>
        <xdr:cNvPr id="9825" name="Picture 9" descr=" ">
          <a:extLst>
            <a:ext uri="{FF2B5EF4-FFF2-40B4-BE49-F238E27FC236}">
              <a16:creationId xmlns:a16="http://schemas.microsoft.com/office/drawing/2014/main" id="{00000000-0008-0000-0100-00006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35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</xdr:colOff>
      <xdr:row>114</xdr:row>
      <xdr:rowOff>47625</xdr:rowOff>
    </xdr:to>
    <xdr:pic>
      <xdr:nvPicPr>
        <xdr:cNvPr id="9826" name="Picture 10" descr=" ">
          <a:extLst>
            <a:ext uri="{FF2B5EF4-FFF2-40B4-BE49-F238E27FC236}">
              <a16:creationId xmlns:a16="http://schemas.microsoft.com/office/drawing/2014/main" id="{00000000-0008-0000-0100-00006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35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</xdr:colOff>
      <xdr:row>114</xdr:row>
      <xdr:rowOff>47625</xdr:rowOff>
    </xdr:to>
    <xdr:pic>
      <xdr:nvPicPr>
        <xdr:cNvPr id="9827" name="Picture 11" descr=" ">
          <a:extLst>
            <a:ext uri="{FF2B5EF4-FFF2-40B4-BE49-F238E27FC236}">
              <a16:creationId xmlns:a16="http://schemas.microsoft.com/office/drawing/2014/main" id="{00000000-0008-0000-0100-00006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35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</xdr:colOff>
      <xdr:row>114</xdr:row>
      <xdr:rowOff>47625</xdr:rowOff>
    </xdr:to>
    <xdr:pic>
      <xdr:nvPicPr>
        <xdr:cNvPr id="9828" name="Picture 12" descr=" ">
          <a:extLst>
            <a:ext uri="{FF2B5EF4-FFF2-40B4-BE49-F238E27FC236}">
              <a16:creationId xmlns:a16="http://schemas.microsoft.com/office/drawing/2014/main" id="{00000000-0008-0000-0100-00006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35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</xdr:colOff>
      <xdr:row>115</xdr:row>
      <xdr:rowOff>51435</xdr:rowOff>
    </xdr:to>
    <xdr:pic>
      <xdr:nvPicPr>
        <xdr:cNvPr id="9829" name="Picture 7" descr=" ">
          <a:extLst>
            <a:ext uri="{FF2B5EF4-FFF2-40B4-BE49-F238E27FC236}">
              <a16:creationId xmlns:a16="http://schemas.microsoft.com/office/drawing/2014/main" id="{00000000-0008-0000-0100-00006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92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</xdr:colOff>
      <xdr:row>115</xdr:row>
      <xdr:rowOff>51435</xdr:rowOff>
    </xdr:to>
    <xdr:pic>
      <xdr:nvPicPr>
        <xdr:cNvPr id="9830" name="Picture 8" descr=" ">
          <a:extLst>
            <a:ext uri="{FF2B5EF4-FFF2-40B4-BE49-F238E27FC236}">
              <a16:creationId xmlns:a16="http://schemas.microsoft.com/office/drawing/2014/main" id="{00000000-0008-0000-0100-00006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92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</xdr:colOff>
      <xdr:row>115</xdr:row>
      <xdr:rowOff>51435</xdr:rowOff>
    </xdr:to>
    <xdr:pic>
      <xdr:nvPicPr>
        <xdr:cNvPr id="9831" name="Picture 9" descr=" ">
          <a:extLst>
            <a:ext uri="{FF2B5EF4-FFF2-40B4-BE49-F238E27FC236}">
              <a16:creationId xmlns:a16="http://schemas.microsoft.com/office/drawing/2014/main" id="{00000000-0008-0000-0100-00006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92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</xdr:colOff>
      <xdr:row>115</xdr:row>
      <xdr:rowOff>51435</xdr:rowOff>
    </xdr:to>
    <xdr:pic>
      <xdr:nvPicPr>
        <xdr:cNvPr id="9832" name="Picture 10" descr=" ">
          <a:extLst>
            <a:ext uri="{FF2B5EF4-FFF2-40B4-BE49-F238E27FC236}">
              <a16:creationId xmlns:a16="http://schemas.microsoft.com/office/drawing/2014/main" id="{00000000-0008-0000-0100-00006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92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</xdr:colOff>
      <xdr:row>115</xdr:row>
      <xdr:rowOff>51435</xdr:rowOff>
    </xdr:to>
    <xdr:pic>
      <xdr:nvPicPr>
        <xdr:cNvPr id="9833" name="Picture 11" descr=" ">
          <a:extLst>
            <a:ext uri="{FF2B5EF4-FFF2-40B4-BE49-F238E27FC236}">
              <a16:creationId xmlns:a16="http://schemas.microsoft.com/office/drawing/2014/main" id="{00000000-0008-0000-0100-00006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92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</xdr:colOff>
      <xdr:row>115</xdr:row>
      <xdr:rowOff>51435</xdr:rowOff>
    </xdr:to>
    <xdr:pic>
      <xdr:nvPicPr>
        <xdr:cNvPr id="9834" name="Picture 12" descr=" ">
          <a:extLst>
            <a:ext uri="{FF2B5EF4-FFF2-40B4-BE49-F238E27FC236}">
              <a16:creationId xmlns:a16="http://schemas.microsoft.com/office/drawing/2014/main" id="{00000000-0008-0000-0100-00006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92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9525</xdr:colOff>
      <xdr:row>116</xdr:row>
      <xdr:rowOff>51435</xdr:rowOff>
    </xdr:to>
    <xdr:pic>
      <xdr:nvPicPr>
        <xdr:cNvPr id="9835" name="Picture 7" descr=" ">
          <a:extLst>
            <a:ext uri="{FF2B5EF4-FFF2-40B4-BE49-F238E27FC236}">
              <a16:creationId xmlns:a16="http://schemas.microsoft.com/office/drawing/2014/main" id="{00000000-0008-0000-0100-00006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54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9525</xdr:colOff>
      <xdr:row>116</xdr:row>
      <xdr:rowOff>51435</xdr:rowOff>
    </xdr:to>
    <xdr:pic>
      <xdr:nvPicPr>
        <xdr:cNvPr id="9836" name="Picture 8" descr=" ">
          <a:extLst>
            <a:ext uri="{FF2B5EF4-FFF2-40B4-BE49-F238E27FC236}">
              <a16:creationId xmlns:a16="http://schemas.microsoft.com/office/drawing/2014/main" id="{00000000-0008-0000-0100-00006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54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9525</xdr:colOff>
      <xdr:row>116</xdr:row>
      <xdr:rowOff>51435</xdr:rowOff>
    </xdr:to>
    <xdr:pic>
      <xdr:nvPicPr>
        <xdr:cNvPr id="9837" name="Picture 9" descr=" ">
          <a:extLst>
            <a:ext uri="{FF2B5EF4-FFF2-40B4-BE49-F238E27FC236}">
              <a16:creationId xmlns:a16="http://schemas.microsoft.com/office/drawing/2014/main" id="{00000000-0008-0000-0100-00006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54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9525</xdr:colOff>
      <xdr:row>116</xdr:row>
      <xdr:rowOff>51435</xdr:rowOff>
    </xdr:to>
    <xdr:pic>
      <xdr:nvPicPr>
        <xdr:cNvPr id="9838" name="Picture 10" descr=" ">
          <a:extLst>
            <a:ext uri="{FF2B5EF4-FFF2-40B4-BE49-F238E27FC236}">
              <a16:creationId xmlns:a16="http://schemas.microsoft.com/office/drawing/2014/main" id="{00000000-0008-0000-0100-00006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54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9525</xdr:colOff>
      <xdr:row>116</xdr:row>
      <xdr:rowOff>51435</xdr:rowOff>
    </xdr:to>
    <xdr:pic>
      <xdr:nvPicPr>
        <xdr:cNvPr id="9839" name="Picture 11" descr=" ">
          <a:extLst>
            <a:ext uri="{FF2B5EF4-FFF2-40B4-BE49-F238E27FC236}">
              <a16:creationId xmlns:a16="http://schemas.microsoft.com/office/drawing/2014/main" id="{00000000-0008-0000-0100-00006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54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9525</xdr:colOff>
      <xdr:row>116</xdr:row>
      <xdr:rowOff>51435</xdr:rowOff>
    </xdr:to>
    <xdr:pic>
      <xdr:nvPicPr>
        <xdr:cNvPr id="9840" name="Picture 12" descr=" ">
          <a:extLst>
            <a:ext uri="{FF2B5EF4-FFF2-40B4-BE49-F238E27FC236}">
              <a16:creationId xmlns:a16="http://schemas.microsoft.com/office/drawing/2014/main" id="{00000000-0008-0000-0100-00007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54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</xdr:colOff>
      <xdr:row>117</xdr:row>
      <xdr:rowOff>51435</xdr:rowOff>
    </xdr:to>
    <xdr:pic>
      <xdr:nvPicPr>
        <xdr:cNvPr id="9841" name="Picture 7" descr=" ">
          <a:extLst>
            <a:ext uri="{FF2B5EF4-FFF2-40B4-BE49-F238E27FC236}">
              <a16:creationId xmlns:a16="http://schemas.microsoft.com/office/drawing/2014/main" id="{00000000-0008-0000-0100-00007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16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</xdr:colOff>
      <xdr:row>117</xdr:row>
      <xdr:rowOff>51435</xdr:rowOff>
    </xdr:to>
    <xdr:pic>
      <xdr:nvPicPr>
        <xdr:cNvPr id="9842" name="Picture 8" descr=" ">
          <a:extLst>
            <a:ext uri="{FF2B5EF4-FFF2-40B4-BE49-F238E27FC236}">
              <a16:creationId xmlns:a16="http://schemas.microsoft.com/office/drawing/2014/main" id="{00000000-0008-0000-0100-00007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16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</xdr:colOff>
      <xdr:row>117</xdr:row>
      <xdr:rowOff>51435</xdr:rowOff>
    </xdr:to>
    <xdr:pic>
      <xdr:nvPicPr>
        <xdr:cNvPr id="9843" name="Picture 9" descr=" ">
          <a:extLst>
            <a:ext uri="{FF2B5EF4-FFF2-40B4-BE49-F238E27FC236}">
              <a16:creationId xmlns:a16="http://schemas.microsoft.com/office/drawing/2014/main" id="{00000000-0008-0000-0100-00007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16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</xdr:colOff>
      <xdr:row>117</xdr:row>
      <xdr:rowOff>51435</xdr:rowOff>
    </xdr:to>
    <xdr:pic>
      <xdr:nvPicPr>
        <xdr:cNvPr id="9844" name="Picture 10" descr=" ">
          <a:extLst>
            <a:ext uri="{FF2B5EF4-FFF2-40B4-BE49-F238E27FC236}">
              <a16:creationId xmlns:a16="http://schemas.microsoft.com/office/drawing/2014/main" id="{00000000-0008-0000-0100-00007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16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</xdr:colOff>
      <xdr:row>117</xdr:row>
      <xdr:rowOff>51435</xdr:rowOff>
    </xdr:to>
    <xdr:pic>
      <xdr:nvPicPr>
        <xdr:cNvPr id="9845" name="Picture 11" descr=" ">
          <a:extLst>
            <a:ext uri="{FF2B5EF4-FFF2-40B4-BE49-F238E27FC236}">
              <a16:creationId xmlns:a16="http://schemas.microsoft.com/office/drawing/2014/main" id="{00000000-0008-0000-0100-00007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16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</xdr:colOff>
      <xdr:row>117</xdr:row>
      <xdr:rowOff>51435</xdr:rowOff>
    </xdr:to>
    <xdr:pic>
      <xdr:nvPicPr>
        <xdr:cNvPr id="9846" name="Picture 12" descr=" ">
          <a:extLst>
            <a:ext uri="{FF2B5EF4-FFF2-40B4-BE49-F238E27FC236}">
              <a16:creationId xmlns:a16="http://schemas.microsoft.com/office/drawing/2014/main" id="{00000000-0008-0000-0100-00007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16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</xdr:colOff>
      <xdr:row>118</xdr:row>
      <xdr:rowOff>51435</xdr:rowOff>
    </xdr:to>
    <xdr:pic>
      <xdr:nvPicPr>
        <xdr:cNvPr id="9847" name="Picture 7" descr=" ">
          <a:extLst>
            <a:ext uri="{FF2B5EF4-FFF2-40B4-BE49-F238E27FC236}">
              <a16:creationId xmlns:a16="http://schemas.microsoft.com/office/drawing/2014/main" id="{00000000-0008-0000-0100-00007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78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</xdr:colOff>
      <xdr:row>118</xdr:row>
      <xdr:rowOff>51435</xdr:rowOff>
    </xdr:to>
    <xdr:pic>
      <xdr:nvPicPr>
        <xdr:cNvPr id="9848" name="Picture 8" descr=" ">
          <a:extLst>
            <a:ext uri="{FF2B5EF4-FFF2-40B4-BE49-F238E27FC236}">
              <a16:creationId xmlns:a16="http://schemas.microsoft.com/office/drawing/2014/main" id="{00000000-0008-0000-0100-00007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78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</xdr:colOff>
      <xdr:row>118</xdr:row>
      <xdr:rowOff>51435</xdr:rowOff>
    </xdr:to>
    <xdr:pic>
      <xdr:nvPicPr>
        <xdr:cNvPr id="9849" name="Picture 9" descr=" ">
          <a:extLst>
            <a:ext uri="{FF2B5EF4-FFF2-40B4-BE49-F238E27FC236}">
              <a16:creationId xmlns:a16="http://schemas.microsoft.com/office/drawing/2014/main" id="{00000000-0008-0000-0100-00007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78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</xdr:colOff>
      <xdr:row>118</xdr:row>
      <xdr:rowOff>51435</xdr:rowOff>
    </xdr:to>
    <xdr:pic>
      <xdr:nvPicPr>
        <xdr:cNvPr id="9850" name="Picture 10" descr=" ">
          <a:extLst>
            <a:ext uri="{FF2B5EF4-FFF2-40B4-BE49-F238E27FC236}">
              <a16:creationId xmlns:a16="http://schemas.microsoft.com/office/drawing/2014/main" id="{00000000-0008-0000-0100-00007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78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</xdr:colOff>
      <xdr:row>118</xdr:row>
      <xdr:rowOff>51435</xdr:rowOff>
    </xdr:to>
    <xdr:pic>
      <xdr:nvPicPr>
        <xdr:cNvPr id="9851" name="Picture 11" descr=" ">
          <a:extLst>
            <a:ext uri="{FF2B5EF4-FFF2-40B4-BE49-F238E27FC236}">
              <a16:creationId xmlns:a16="http://schemas.microsoft.com/office/drawing/2014/main" id="{00000000-0008-0000-0100-00007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78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</xdr:colOff>
      <xdr:row>118</xdr:row>
      <xdr:rowOff>51435</xdr:rowOff>
    </xdr:to>
    <xdr:pic>
      <xdr:nvPicPr>
        <xdr:cNvPr id="9852" name="Picture 12" descr=" ">
          <a:extLst>
            <a:ext uri="{FF2B5EF4-FFF2-40B4-BE49-F238E27FC236}">
              <a16:creationId xmlns:a16="http://schemas.microsoft.com/office/drawing/2014/main" id="{00000000-0008-0000-0100-00007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78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</xdr:colOff>
      <xdr:row>119</xdr:row>
      <xdr:rowOff>51435</xdr:rowOff>
    </xdr:to>
    <xdr:pic>
      <xdr:nvPicPr>
        <xdr:cNvPr id="9853" name="Picture 7" descr=" ">
          <a:extLst>
            <a:ext uri="{FF2B5EF4-FFF2-40B4-BE49-F238E27FC236}">
              <a16:creationId xmlns:a16="http://schemas.microsoft.com/office/drawing/2014/main" id="{00000000-0008-0000-0100-00007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40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</xdr:colOff>
      <xdr:row>119</xdr:row>
      <xdr:rowOff>51435</xdr:rowOff>
    </xdr:to>
    <xdr:pic>
      <xdr:nvPicPr>
        <xdr:cNvPr id="9854" name="Picture 8" descr=" ">
          <a:extLst>
            <a:ext uri="{FF2B5EF4-FFF2-40B4-BE49-F238E27FC236}">
              <a16:creationId xmlns:a16="http://schemas.microsoft.com/office/drawing/2014/main" id="{00000000-0008-0000-0100-00007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40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</xdr:colOff>
      <xdr:row>119</xdr:row>
      <xdr:rowOff>51435</xdr:rowOff>
    </xdr:to>
    <xdr:pic>
      <xdr:nvPicPr>
        <xdr:cNvPr id="9855" name="Picture 9" descr=" ">
          <a:extLst>
            <a:ext uri="{FF2B5EF4-FFF2-40B4-BE49-F238E27FC236}">
              <a16:creationId xmlns:a16="http://schemas.microsoft.com/office/drawing/2014/main" id="{00000000-0008-0000-0100-00007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40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</xdr:colOff>
      <xdr:row>119</xdr:row>
      <xdr:rowOff>51435</xdr:rowOff>
    </xdr:to>
    <xdr:pic>
      <xdr:nvPicPr>
        <xdr:cNvPr id="9856" name="Picture 10" descr=" ">
          <a:extLst>
            <a:ext uri="{FF2B5EF4-FFF2-40B4-BE49-F238E27FC236}">
              <a16:creationId xmlns:a16="http://schemas.microsoft.com/office/drawing/2014/main" id="{00000000-0008-0000-0100-00008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40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</xdr:colOff>
      <xdr:row>119</xdr:row>
      <xdr:rowOff>51435</xdr:rowOff>
    </xdr:to>
    <xdr:pic>
      <xdr:nvPicPr>
        <xdr:cNvPr id="9857" name="Picture 11" descr=" ">
          <a:extLst>
            <a:ext uri="{FF2B5EF4-FFF2-40B4-BE49-F238E27FC236}">
              <a16:creationId xmlns:a16="http://schemas.microsoft.com/office/drawing/2014/main" id="{00000000-0008-0000-0100-00008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40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</xdr:colOff>
      <xdr:row>119</xdr:row>
      <xdr:rowOff>51435</xdr:rowOff>
    </xdr:to>
    <xdr:pic>
      <xdr:nvPicPr>
        <xdr:cNvPr id="9858" name="Picture 12" descr=" ">
          <a:extLst>
            <a:ext uri="{FF2B5EF4-FFF2-40B4-BE49-F238E27FC236}">
              <a16:creationId xmlns:a16="http://schemas.microsoft.com/office/drawing/2014/main" id="{00000000-0008-0000-0100-00008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40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9525</xdr:colOff>
      <xdr:row>120</xdr:row>
      <xdr:rowOff>51435</xdr:rowOff>
    </xdr:to>
    <xdr:pic>
      <xdr:nvPicPr>
        <xdr:cNvPr id="9859" name="Picture 7" descr=" ">
          <a:extLst>
            <a:ext uri="{FF2B5EF4-FFF2-40B4-BE49-F238E27FC236}">
              <a16:creationId xmlns:a16="http://schemas.microsoft.com/office/drawing/2014/main" id="{00000000-0008-0000-0100-00008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9525</xdr:colOff>
      <xdr:row>120</xdr:row>
      <xdr:rowOff>51435</xdr:rowOff>
    </xdr:to>
    <xdr:pic>
      <xdr:nvPicPr>
        <xdr:cNvPr id="9860" name="Picture 8" descr=" ">
          <a:extLst>
            <a:ext uri="{FF2B5EF4-FFF2-40B4-BE49-F238E27FC236}">
              <a16:creationId xmlns:a16="http://schemas.microsoft.com/office/drawing/2014/main" id="{00000000-0008-0000-0100-00008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9525</xdr:colOff>
      <xdr:row>120</xdr:row>
      <xdr:rowOff>51435</xdr:rowOff>
    </xdr:to>
    <xdr:pic>
      <xdr:nvPicPr>
        <xdr:cNvPr id="9861" name="Picture 9" descr=" ">
          <a:extLst>
            <a:ext uri="{FF2B5EF4-FFF2-40B4-BE49-F238E27FC236}">
              <a16:creationId xmlns:a16="http://schemas.microsoft.com/office/drawing/2014/main" id="{00000000-0008-0000-0100-00008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9525</xdr:colOff>
      <xdr:row>120</xdr:row>
      <xdr:rowOff>51435</xdr:rowOff>
    </xdr:to>
    <xdr:pic>
      <xdr:nvPicPr>
        <xdr:cNvPr id="9862" name="Picture 10" descr=" ">
          <a:extLst>
            <a:ext uri="{FF2B5EF4-FFF2-40B4-BE49-F238E27FC236}">
              <a16:creationId xmlns:a16="http://schemas.microsoft.com/office/drawing/2014/main" id="{00000000-0008-0000-0100-00008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9525</xdr:colOff>
      <xdr:row>120</xdr:row>
      <xdr:rowOff>51435</xdr:rowOff>
    </xdr:to>
    <xdr:pic>
      <xdr:nvPicPr>
        <xdr:cNvPr id="9863" name="Picture 11" descr=" ">
          <a:extLst>
            <a:ext uri="{FF2B5EF4-FFF2-40B4-BE49-F238E27FC236}">
              <a16:creationId xmlns:a16="http://schemas.microsoft.com/office/drawing/2014/main" id="{00000000-0008-0000-0100-00008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9525</xdr:colOff>
      <xdr:row>120</xdr:row>
      <xdr:rowOff>51435</xdr:rowOff>
    </xdr:to>
    <xdr:pic>
      <xdr:nvPicPr>
        <xdr:cNvPr id="9864" name="Picture 12" descr=" ">
          <a:extLst>
            <a:ext uri="{FF2B5EF4-FFF2-40B4-BE49-F238E27FC236}">
              <a16:creationId xmlns:a16="http://schemas.microsoft.com/office/drawing/2014/main" id="{00000000-0008-0000-0100-00008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02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</xdr:colOff>
      <xdr:row>121</xdr:row>
      <xdr:rowOff>51435</xdr:rowOff>
    </xdr:to>
    <xdr:pic>
      <xdr:nvPicPr>
        <xdr:cNvPr id="9865" name="Picture 7" descr=" ">
          <a:extLst>
            <a:ext uri="{FF2B5EF4-FFF2-40B4-BE49-F238E27FC236}">
              <a16:creationId xmlns:a16="http://schemas.microsoft.com/office/drawing/2014/main" id="{00000000-0008-0000-0100-00008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64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</xdr:colOff>
      <xdr:row>121</xdr:row>
      <xdr:rowOff>51435</xdr:rowOff>
    </xdr:to>
    <xdr:pic>
      <xdr:nvPicPr>
        <xdr:cNvPr id="9866" name="Picture 8" descr=" ">
          <a:extLst>
            <a:ext uri="{FF2B5EF4-FFF2-40B4-BE49-F238E27FC236}">
              <a16:creationId xmlns:a16="http://schemas.microsoft.com/office/drawing/2014/main" id="{00000000-0008-0000-0100-00008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64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</xdr:colOff>
      <xdr:row>121</xdr:row>
      <xdr:rowOff>51435</xdr:rowOff>
    </xdr:to>
    <xdr:pic>
      <xdr:nvPicPr>
        <xdr:cNvPr id="9867" name="Picture 9" descr=" ">
          <a:extLst>
            <a:ext uri="{FF2B5EF4-FFF2-40B4-BE49-F238E27FC236}">
              <a16:creationId xmlns:a16="http://schemas.microsoft.com/office/drawing/2014/main" id="{00000000-0008-0000-0100-00008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64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</xdr:colOff>
      <xdr:row>121</xdr:row>
      <xdr:rowOff>51435</xdr:rowOff>
    </xdr:to>
    <xdr:pic>
      <xdr:nvPicPr>
        <xdr:cNvPr id="9868" name="Picture 10" descr=" ">
          <a:extLst>
            <a:ext uri="{FF2B5EF4-FFF2-40B4-BE49-F238E27FC236}">
              <a16:creationId xmlns:a16="http://schemas.microsoft.com/office/drawing/2014/main" id="{00000000-0008-0000-0100-00008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64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</xdr:colOff>
      <xdr:row>121</xdr:row>
      <xdr:rowOff>51435</xdr:rowOff>
    </xdr:to>
    <xdr:pic>
      <xdr:nvPicPr>
        <xdr:cNvPr id="9869" name="Picture 11" descr=" ">
          <a:extLst>
            <a:ext uri="{FF2B5EF4-FFF2-40B4-BE49-F238E27FC236}">
              <a16:creationId xmlns:a16="http://schemas.microsoft.com/office/drawing/2014/main" id="{00000000-0008-0000-0100-00008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64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</xdr:colOff>
      <xdr:row>121</xdr:row>
      <xdr:rowOff>51435</xdr:rowOff>
    </xdr:to>
    <xdr:pic>
      <xdr:nvPicPr>
        <xdr:cNvPr id="9870" name="Picture 12" descr=" ">
          <a:extLst>
            <a:ext uri="{FF2B5EF4-FFF2-40B4-BE49-F238E27FC236}">
              <a16:creationId xmlns:a16="http://schemas.microsoft.com/office/drawing/2014/main" id="{00000000-0008-0000-0100-00008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64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51435</xdr:rowOff>
    </xdr:to>
    <xdr:pic>
      <xdr:nvPicPr>
        <xdr:cNvPr id="9871" name="Picture 7" descr=" ">
          <a:extLst>
            <a:ext uri="{FF2B5EF4-FFF2-40B4-BE49-F238E27FC236}">
              <a16:creationId xmlns:a16="http://schemas.microsoft.com/office/drawing/2014/main" id="{00000000-0008-0000-0100-00008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26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51435</xdr:rowOff>
    </xdr:to>
    <xdr:pic>
      <xdr:nvPicPr>
        <xdr:cNvPr id="9872" name="Picture 8" descr=" ">
          <a:extLst>
            <a:ext uri="{FF2B5EF4-FFF2-40B4-BE49-F238E27FC236}">
              <a16:creationId xmlns:a16="http://schemas.microsoft.com/office/drawing/2014/main" id="{00000000-0008-0000-0100-00009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26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51435</xdr:rowOff>
    </xdr:to>
    <xdr:pic>
      <xdr:nvPicPr>
        <xdr:cNvPr id="9873" name="Picture 9" descr=" ">
          <a:extLst>
            <a:ext uri="{FF2B5EF4-FFF2-40B4-BE49-F238E27FC236}">
              <a16:creationId xmlns:a16="http://schemas.microsoft.com/office/drawing/2014/main" id="{00000000-0008-0000-0100-00009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26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51435</xdr:rowOff>
    </xdr:to>
    <xdr:pic>
      <xdr:nvPicPr>
        <xdr:cNvPr id="9874" name="Picture 10" descr=" ">
          <a:extLst>
            <a:ext uri="{FF2B5EF4-FFF2-40B4-BE49-F238E27FC236}">
              <a16:creationId xmlns:a16="http://schemas.microsoft.com/office/drawing/2014/main" id="{00000000-0008-0000-0100-00009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26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51435</xdr:rowOff>
    </xdr:to>
    <xdr:pic>
      <xdr:nvPicPr>
        <xdr:cNvPr id="9875" name="Picture 11" descr=" ">
          <a:extLst>
            <a:ext uri="{FF2B5EF4-FFF2-40B4-BE49-F238E27FC236}">
              <a16:creationId xmlns:a16="http://schemas.microsoft.com/office/drawing/2014/main" id="{00000000-0008-0000-0100-00009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26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51435</xdr:rowOff>
    </xdr:to>
    <xdr:pic>
      <xdr:nvPicPr>
        <xdr:cNvPr id="9876" name="Picture 12" descr=" ">
          <a:extLst>
            <a:ext uri="{FF2B5EF4-FFF2-40B4-BE49-F238E27FC236}">
              <a16:creationId xmlns:a16="http://schemas.microsoft.com/office/drawing/2014/main" id="{00000000-0008-0000-0100-00009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26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</xdr:colOff>
      <xdr:row>123</xdr:row>
      <xdr:rowOff>51435</xdr:rowOff>
    </xdr:to>
    <xdr:pic>
      <xdr:nvPicPr>
        <xdr:cNvPr id="9877" name="Picture 7" descr=" ">
          <a:extLst>
            <a:ext uri="{FF2B5EF4-FFF2-40B4-BE49-F238E27FC236}">
              <a16:creationId xmlns:a16="http://schemas.microsoft.com/office/drawing/2014/main" id="{00000000-0008-0000-0100-00009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88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</xdr:colOff>
      <xdr:row>123</xdr:row>
      <xdr:rowOff>51435</xdr:rowOff>
    </xdr:to>
    <xdr:pic>
      <xdr:nvPicPr>
        <xdr:cNvPr id="9878" name="Picture 8" descr=" ">
          <a:extLst>
            <a:ext uri="{FF2B5EF4-FFF2-40B4-BE49-F238E27FC236}">
              <a16:creationId xmlns:a16="http://schemas.microsoft.com/office/drawing/2014/main" id="{00000000-0008-0000-0100-00009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88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</xdr:colOff>
      <xdr:row>123</xdr:row>
      <xdr:rowOff>51435</xdr:rowOff>
    </xdr:to>
    <xdr:pic>
      <xdr:nvPicPr>
        <xdr:cNvPr id="9879" name="Picture 9" descr=" ">
          <a:extLst>
            <a:ext uri="{FF2B5EF4-FFF2-40B4-BE49-F238E27FC236}">
              <a16:creationId xmlns:a16="http://schemas.microsoft.com/office/drawing/2014/main" id="{00000000-0008-0000-0100-00009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88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</xdr:colOff>
      <xdr:row>123</xdr:row>
      <xdr:rowOff>51435</xdr:rowOff>
    </xdr:to>
    <xdr:pic>
      <xdr:nvPicPr>
        <xdr:cNvPr id="9880" name="Picture 10" descr=" ">
          <a:extLst>
            <a:ext uri="{FF2B5EF4-FFF2-40B4-BE49-F238E27FC236}">
              <a16:creationId xmlns:a16="http://schemas.microsoft.com/office/drawing/2014/main" id="{00000000-0008-0000-0100-00009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88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</xdr:colOff>
      <xdr:row>123</xdr:row>
      <xdr:rowOff>51435</xdr:rowOff>
    </xdr:to>
    <xdr:pic>
      <xdr:nvPicPr>
        <xdr:cNvPr id="9881" name="Picture 11" descr=" ">
          <a:extLst>
            <a:ext uri="{FF2B5EF4-FFF2-40B4-BE49-F238E27FC236}">
              <a16:creationId xmlns:a16="http://schemas.microsoft.com/office/drawing/2014/main" id="{00000000-0008-0000-0100-00009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88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</xdr:colOff>
      <xdr:row>123</xdr:row>
      <xdr:rowOff>51435</xdr:rowOff>
    </xdr:to>
    <xdr:pic>
      <xdr:nvPicPr>
        <xdr:cNvPr id="9882" name="Picture 12" descr=" ">
          <a:extLst>
            <a:ext uri="{FF2B5EF4-FFF2-40B4-BE49-F238E27FC236}">
              <a16:creationId xmlns:a16="http://schemas.microsoft.com/office/drawing/2014/main" id="{00000000-0008-0000-0100-00009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88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</xdr:colOff>
      <xdr:row>124</xdr:row>
      <xdr:rowOff>51435</xdr:rowOff>
    </xdr:to>
    <xdr:pic>
      <xdr:nvPicPr>
        <xdr:cNvPr id="9883" name="Picture 7" descr=" ">
          <a:extLst>
            <a:ext uri="{FF2B5EF4-FFF2-40B4-BE49-F238E27FC236}">
              <a16:creationId xmlns:a16="http://schemas.microsoft.com/office/drawing/2014/main" id="{00000000-0008-0000-0100-00009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49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</xdr:colOff>
      <xdr:row>124</xdr:row>
      <xdr:rowOff>51435</xdr:rowOff>
    </xdr:to>
    <xdr:pic>
      <xdr:nvPicPr>
        <xdr:cNvPr id="9884" name="Picture 8" descr=" ">
          <a:extLst>
            <a:ext uri="{FF2B5EF4-FFF2-40B4-BE49-F238E27FC236}">
              <a16:creationId xmlns:a16="http://schemas.microsoft.com/office/drawing/2014/main" id="{00000000-0008-0000-0100-00009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49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</xdr:colOff>
      <xdr:row>124</xdr:row>
      <xdr:rowOff>51435</xdr:rowOff>
    </xdr:to>
    <xdr:pic>
      <xdr:nvPicPr>
        <xdr:cNvPr id="9885" name="Picture 9" descr=" ">
          <a:extLst>
            <a:ext uri="{FF2B5EF4-FFF2-40B4-BE49-F238E27FC236}">
              <a16:creationId xmlns:a16="http://schemas.microsoft.com/office/drawing/2014/main" id="{00000000-0008-0000-0100-00009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49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</xdr:colOff>
      <xdr:row>124</xdr:row>
      <xdr:rowOff>51435</xdr:rowOff>
    </xdr:to>
    <xdr:pic>
      <xdr:nvPicPr>
        <xdr:cNvPr id="9886" name="Picture 10" descr=" ">
          <a:extLst>
            <a:ext uri="{FF2B5EF4-FFF2-40B4-BE49-F238E27FC236}">
              <a16:creationId xmlns:a16="http://schemas.microsoft.com/office/drawing/2014/main" id="{00000000-0008-0000-0100-00009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49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</xdr:colOff>
      <xdr:row>124</xdr:row>
      <xdr:rowOff>51435</xdr:rowOff>
    </xdr:to>
    <xdr:pic>
      <xdr:nvPicPr>
        <xdr:cNvPr id="9887" name="Picture 11" descr=" ">
          <a:extLst>
            <a:ext uri="{FF2B5EF4-FFF2-40B4-BE49-F238E27FC236}">
              <a16:creationId xmlns:a16="http://schemas.microsoft.com/office/drawing/2014/main" id="{00000000-0008-0000-0100-00009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49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</xdr:colOff>
      <xdr:row>124</xdr:row>
      <xdr:rowOff>51435</xdr:rowOff>
    </xdr:to>
    <xdr:pic>
      <xdr:nvPicPr>
        <xdr:cNvPr id="9888" name="Picture 12" descr=" ">
          <a:extLst>
            <a:ext uri="{FF2B5EF4-FFF2-40B4-BE49-F238E27FC236}">
              <a16:creationId xmlns:a16="http://schemas.microsoft.com/office/drawing/2014/main" id="{00000000-0008-0000-0100-0000A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49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9889" name="Picture 7" descr=" ">
          <a:extLst>
            <a:ext uri="{FF2B5EF4-FFF2-40B4-BE49-F238E27FC236}">
              <a16:creationId xmlns:a16="http://schemas.microsoft.com/office/drawing/2014/main" id="{00000000-0008-0000-0100-0000A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9890" name="Picture 8" descr=" ">
          <a:extLst>
            <a:ext uri="{FF2B5EF4-FFF2-40B4-BE49-F238E27FC236}">
              <a16:creationId xmlns:a16="http://schemas.microsoft.com/office/drawing/2014/main" id="{00000000-0008-0000-0100-0000A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9891" name="Picture 9" descr=" ">
          <a:extLst>
            <a:ext uri="{FF2B5EF4-FFF2-40B4-BE49-F238E27FC236}">
              <a16:creationId xmlns:a16="http://schemas.microsoft.com/office/drawing/2014/main" id="{00000000-0008-0000-0100-0000A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9892" name="Picture 10" descr=" ">
          <a:extLst>
            <a:ext uri="{FF2B5EF4-FFF2-40B4-BE49-F238E27FC236}">
              <a16:creationId xmlns:a16="http://schemas.microsoft.com/office/drawing/2014/main" id="{00000000-0008-0000-0100-0000A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9893" name="Picture 11" descr=" ">
          <a:extLst>
            <a:ext uri="{FF2B5EF4-FFF2-40B4-BE49-F238E27FC236}">
              <a16:creationId xmlns:a16="http://schemas.microsoft.com/office/drawing/2014/main" id="{00000000-0008-0000-0100-0000A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9894" name="Picture 12" descr=" ">
          <a:extLst>
            <a:ext uri="{FF2B5EF4-FFF2-40B4-BE49-F238E27FC236}">
              <a16:creationId xmlns:a16="http://schemas.microsoft.com/office/drawing/2014/main" id="{00000000-0008-0000-0100-0000A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9525</xdr:colOff>
      <xdr:row>126</xdr:row>
      <xdr:rowOff>47625</xdr:rowOff>
    </xdr:to>
    <xdr:pic>
      <xdr:nvPicPr>
        <xdr:cNvPr id="9895" name="Picture 7" descr=" ">
          <a:extLst>
            <a:ext uri="{FF2B5EF4-FFF2-40B4-BE49-F238E27FC236}">
              <a16:creationId xmlns:a16="http://schemas.microsoft.com/office/drawing/2014/main" id="{00000000-0008-0000-0100-0000A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73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9525</xdr:colOff>
      <xdr:row>126</xdr:row>
      <xdr:rowOff>47625</xdr:rowOff>
    </xdr:to>
    <xdr:pic>
      <xdr:nvPicPr>
        <xdr:cNvPr id="9896" name="Picture 8" descr=" ">
          <a:extLst>
            <a:ext uri="{FF2B5EF4-FFF2-40B4-BE49-F238E27FC236}">
              <a16:creationId xmlns:a16="http://schemas.microsoft.com/office/drawing/2014/main" id="{00000000-0008-0000-0100-0000A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73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9525</xdr:colOff>
      <xdr:row>126</xdr:row>
      <xdr:rowOff>47625</xdr:rowOff>
    </xdr:to>
    <xdr:pic>
      <xdr:nvPicPr>
        <xdr:cNvPr id="9897" name="Picture 9" descr=" ">
          <a:extLst>
            <a:ext uri="{FF2B5EF4-FFF2-40B4-BE49-F238E27FC236}">
              <a16:creationId xmlns:a16="http://schemas.microsoft.com/office/drawing/2014/main" id="{00000000-0008-0000-0100-0000A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73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9525</xdr:colOff>
      <xdr:row>126</xdr:row>
      <xdr:rowOff>47625</xdr:rowOff>
    </xdr:to>
    <xdr:pic>
      <xdr:nvPicPr>
        <xdr:cNvPr id="9898" name="Picture 10" descr=" ">
          <a:extLst>
            <a:ext uri="{FF2B5EF4-FFF2-40B4-BE49-F238E27FC236}">
              <a16:creationId xmlns:a16="http://schemas.microsoft.com/office/drawing/2014/main" id="{00000000-0008-0000-0100-0000A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73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9525</xdr:colOff>
      <xdr:row>126</xdr:row>
      <xdr:rowOff>47625</xdr:rowOff>
    </xdr:to>
    <xdr:pic>
      <xdr:nvPicPr>
        <xdr:cNvPr id="9899" name="Picture 11" descr=" ">
          <a:extLst>
            <a:ext uri="{FF2B5EF4-FFF2-40B4-BE49-F238E27FC236}">
              <a16:creationId xmlns:a16="http://schemas.microsoft.com/office/drawing/2014/main" id="{00000000-0008-0000-0100-0000A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73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9525</xdr:colOff>
      <xdr:row>126</xdr:row>
      <xdr:rowOff>47625</xdr:rowOff>
    </xdr:to>
    <xdr:pic>
      <xdr:nvPicPr>
        <xdr:cNvPr id="9900" name="Picture 12" descr=" ">
          <a:extLst>
            <a:ext uri="{FF2B5EF4-FFF2-40B4-BE49-F238E27FC236}">
              <a16:creationId xmlns:a16="http://schemas.microsoft.com/office/drawing/2014/main" id="{00000000-0008-0000-0100-0000A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973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</xdr:colOff>
      <xdr:row>127</xdr:row>
      <xdr:rowOff>51435</xdr:rowOff>
    </xdr:to>
    <xdr:pic>
      <xdr:nvPicPr>
        <xdr:cNvPr id="9901" name="Picture 7" descr=" ">
          <a:extLst>
            <a:ext uri="{FF2B5EF4-FFF2-40B4-BE49-F238E27FC236}">
              <a16:creationId xmlns:a16="http://schemas.microsoft.com/office/drawing/2014/main" id="{00000000-0008-0000-0100-0000A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30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</xdr:colOff>
      <xdr:row>127</xdr:row>
      <xdr:rowOff>51435</xdr:rowOff>
    </xdr:to>
    <xdr:pic>
      <xdr:nvPicPr>
        <xdr:cNvPr id="9902" name="Picture 8" descr=" ">
          <a:extLst>
            <a:ext uri="{FF2B5EF4-FFF2-40B4-BE49-F238E27FC236}">
              <a16:creationId xmlns:a16="http://schemas.microsoft.com/office/drawing/2014/main" id="{00000000-0008-0000-0100-0000A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30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</xdr:colOff>
      <xdr:row>127</xdr:row>
      <xdr:rowOff>51435</xdr:rowOff>
    </xdr:to>
    <xdr:pic>
      <xdr:nvPicPr>
        <xdr:cNvPr id="9903" name="Picture 9" descr=" ">
          <a:extLst>
            <a:ext uri="{FF2B5EF4-FFF2-40B4-BE49-F238E27FC236}">
              <a16:creationId xmlns:a16="http://schemas.microsoft.com/office/drawing/2014/main" id="{00000000-0008-0000-0100-0000A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30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</xdr:colOff>
      <xdr:row>127</xdr:row>
      <xdr:rowOff>51435</xdr:rowOff>
    </xdr:to>
    <xdr:pic>
      <xdr:nvPicPr>
        <xdr:cNvPr id="9904" name="Picture 10" descr=" ">
          <a:extLst>
            <a:ext uri="{FF2B5EF4-FFF2-40B4-BE49-F238E27FC236}">
              <a16:creationId xmlns:a16="http://schemas.microsoft.com/office/drawing/2014/main" id="{00000000-0008-0000-0100-0000B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30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</xdr:colOff>
      <xdr:row>127</xdr:row>
      <xdr:rowOff>51435</xdr:rowOff>
    </xdr:to>
    <xdr:pic>
      <xdr:nvPicPr>
        <xdr:cNvPr id="9905" name="Picture 11" descr=" ">
          <a:extLst>
            <a:ext uri="{FF2B5EF4-FFF2-40B4-BE49-F238E27FC236}">
              <a16:creationId xmlns:a16="http://schemas.microsoft.com/office/drawing/2014/main" id="{00000000-0008-0000-0100-0000B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30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</xdr:colOff>
      <xdr:row>127</xdr:row>
      <xdr:rowOff>51435</xdr:rowOff>
    </xdr:to>
    <xdr:pic>
      <xdr:nvPicPr>
        <xdr:cNvPr id="9906" name="Picture 12" descr=" ">
          <a:extLst>
            <a:ext uri="{FF2B5EF4-FFF2-40B4-BE49-F238E27FC236}">
              <a16:creationId xmlns:a16="http://schemas.microsoft.com/office/drawing/2014/main" id="{00000000-0008-0000-0100-0000B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30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9525</xdr:colOff>
      <xdr:row>128</xdr:row>
      <xdr:rowOff>51435</xdr:rowOff>
    </xdr:to>
    <xdr:pic>
      <xdr:nvPicPr>
        <xdr:cNvPr id="9907" name="Picture 7" descr=" ">
          <a:extLst>
            <a:ext uri="{FF2B5EF4-FFF2-40B4-BE49-F238E27FC236}">
              <a16:creationId xmlns:a16="http://schemas.microsoft.com/office/drawing/2014/main" id="{00000000-0008-0000-0100-0000B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92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9525</xdr:colOff>
      <xdr:row>128</xdr:row>
      <xdr:rowOff>51435</xdr:rowOff>
    </xdr:to>
    <xdr:pic>
      <xdr:nvPicPr>
        <xdr:cNvPr id="9908" name="Picture 8" descr=" ">
          <a:extLst>
            <a:ext uri="{FF2B5EF4-FFF2-40B4-BE49-F238E27FC236}">
              <a16:creationId xmlns:a16="http://schemas.microsoft.com/office/drawing/2014/main" id="{00000000-0008-0000-0100-0000B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92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9525</xdr:colOff>
      <xdr:row>128</xdr:row>
      <xdr:rowOff>51435</xdr:rowOff>
    </xdr:to>
    <xdr:pic>
      <xdr:nvPicPr>
        <xdr:cNvPr id="9909" name="Picture 9" descr=" ">
          <a:extLst>
            <a:ext uri="{FF2B5EF4-FFF2-40B4-BE49-F238E27FC236}">
              <a16:creationId xmlns:a16="http://schemas.microsoft.com/office/drawing/2014/main" id="{00000000-0008-0000-0100-0000B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92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9525</xdr:colOff>
      <xdr:row>128</xdr:row>
      <xdr:rowOff>51435</xdr:rowOff>
    </xdr:to>
    <xdr:pic>
      <xdr:nvPicPr>
        <xdr:cNvPr id="9910" name="Picture 10" descr=" ">
          <a:extLst>
            <a:ext uri="{FF2B5EF4-FFF2-40B4-BE49-F238E27FC236}">
              <a16:creationId xmlns:a16="http://schemas.microsoft.com/office/drawing/2014/main" id="{00000000-0008-0000-0100-0000B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92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9525</xdr:colOff>
      <xdr:row>128</xdr:row>
      <xdr:rowOff>51435</xdr:rowOff>
    </xdr:to>
    <xdr:pic>
      <xdr:nvPicPr>
        <xdr:cNvPr id="9911" name="Picture 11" descr=" ">
          <a:extLst>
            <a:ext uri="{FF2B5EF4-FFF2-40B4-BE49-F238E27FC236}">
              <a16:creationId xmlns:a16="http://schemas.microsoft.com/office/drawing/2014/main" id="{00000000-0008-0000-0100-0000B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92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9525</xdr:colOff>
      <xdr:row>128</xdr:row>
      <xdr:rowOff>51435</xdr:rowOff>
    </xdr:to>
    <xdr:pic>
      <xdr:nvPicPr>
        <xdr:cNvPr id="9912" name="Picture 12" descr=" ">
          <a:extLst>
            <a:ext uri="{FF2B5EF4-FFF2-40B4-BE49-F238E27FC236}">
              <a16:creationId xmlns:a16="http://schemas.microsoft.com/office/drawing/2014/main" id="{00000000-0008-0000-0100-0000B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92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9525</xdr:colOff>
      <xdr:row>129</xdr:row>
      <xdr:rowOff>51435</xdr:rowOff>
    </xdr:to>
    <xdr:pic>
      <xdr:nvPicPr>
        <xdr:cNvPr id="9913" name="Picture 7" descr=" ">
          <a:extLst>
            <a:ext uri="{FF2B5EF4-FFF2-40B4-BE49-F238E27FC236}">
              <a16:creationId xmlns:a16="http://schemas.microsoft.com/office/drawing/2014/main" id="{00000000-0008-0000-0100-0000B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54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9525</xdr:colOff>
      <xdr:row>129</xdr:row>
      <xdr:rowOff>51435</xdr:rowOff>
    </xdr:to>
    <xdr:pic>
      <xdr:nvPicPr>
        <xdr:cNvPr id="9914" name="Picture 8" descr=" ">
          <a:extLst>
            <a:ext uri="{FF2B5EF4-FFF2-40B4-BE49-F238E27FC236}">
              <a16:creationId xmlns:a16="http://schemas.microsoft.com/office/drawing/2014/main" id="{00000000-0008-0000-0100-0000B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54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9525</xdr:colOff>
      <xdr:row>129</xdr:row>
      <xdr:rowOff>51435</xdr:rowOff>
    </xdr:to>
    <xdr:pic>
      <xdr:nvPicPr>
        <xdr:cNvPr id="9915" name="Picture 9" descr=" ">
          <a:extLst>
            <a:ext uri="{FF2B5EF4-FFF2-40B4-BE49-F238E27FC236}">
              <a16:creationId xmlns:a16="http://schemas.microsoft.com/office/drawing/2014/main" id="{00000000-0008-0000-0100-0000B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54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9525</xdr:colOff>
      <xdr:row>129</xdr:row>
      <xdr:rowOff>51435</xdr:rowOff>
    </xdr:to>
    <xdr:pic>
      <xdr:nvPicPr>
        <xdr:cNvPr id="9916" name="Picture 10" descr=" ">
          <a:extLst>
            <a:ext uri="{FF2B5EF4-FFF2-40B4-BE49-F238E27FC236}">
              <a16:creationId xmlns:a16="http://schemas.microsoft.com/office/drawing/2014/main" id="{00000000-0008-0000-0100-0000B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54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9525</xdr:colOff>
      <xdr:row>129</xdr:row>
      <xdr:rowOff>51435</xdr:rowOff>
    </xdr:to>
    <xdr:pic>
      <xdr:nvPicPr>
        <xdr:cNvPr id="9917" name="Picture 11" descr=" ">
          <a:extLst>
            <a:ext uri="{FF2B5EF4-FFF2-40B4-BE49-F238E27FC236}">
              <a16:creationId xmlns:a16="http://schemas.microsoft.com/office/drawing/2014/main" id="{00000000-0008-0000-0100-0000B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54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9525</xdr:colOff>
      <xdr:row>129</xdr:row>
      <xdr:rowOff>51435</xdr:rowOff>
    </xdr:to>
    <xdr:pic>
      <xdr:nvPicPr>
        <xdr:cNvPr id="9918" name="Picture 12" descr=" ">
          <a:extLst>
            <a:ext uri="{FF2B5EF4-FFF2-40B4-BE49-F238E27FC236}">
              <a16:creationId xmlns:a16="http://schemas.microsoft.com/office/drawing/2014/main" id="{00000000-0008-0000-0100-0000B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54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</xdr:colOff>
      <xdr:row>130</xdr:row>
      <xdr:rowOff>51435</xdr:rowOff>
    </xdr:to>
    <xdr:pic>
      <xdr:nvPicPr>
        <xdr:cNvPr id="9919" name="Picture 7" descr=" ">
          <a:extLst>
            <a:ext uri="{FF2B5EF4-FFF2-40B4-BE49-F238E27FC236}">
              <a16:creationId xmlns:a16="http://schemas.microsoft.com/office/drawing/2014/main" id="{00000000-0008-0000-0100-0000B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16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</xdr:colOff>
      <xdr:row>130</xdr:row>
      <xdr:rowOff>51435</xdr:rowOff>
    </xdr:to>
    <xdr:pic>
      <xdr:nvPicPr>
        <xdr:cNvPr id="9920" name="Picture 8" descr=" ">
          <a:extLst>
            <a:ext uri="{FF2B5EF4-FFF2-40B4-BE49-F238E27FC236}">
              <a16:creationId xmlns:a16="http://schemas.microsoft.com/office/drawing/2014/main" id="{00000000-0008-0000-0100-0000C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16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</xdr:colOff>
      <xdr:row>130</xdr:row>
      <xdr:rowOff>51435</xdr:rowOff>
    </xdr:to>
    <xdr:pic>
      <xdr:nvPicPr>
        <xdr:cNvPr id="9921" name="Picture 9" descr=" ">
          <a:extLst>
            <a:ext uri="{FF2B5EF4-FFF2-40B4-BE49-F238E27FC236}">
              <a16:creationId xmlns:a16="http://schemas.microsoft.com/office/drawing/2014/main" id="{00000000-0008-0000-0100-0000C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16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</xdr:colOff>
      <xdr:row>130</xdr:row>
      <xdr:rowOff>51435</xdr:rowOff>
    </xdr:to>
    <xdr:pic>
      <xdr:nvPicPr>
        <xdr:cNvPr id="9922" name="Picture 10" descr=" ">
          <a:extLst>
            <a:ext uri="{FF2B5EF4-FFF2-40B4-BE49-F238E27FC236}">
              <a16:creationId xmlns:a16="http://schemas.microsoft.com/office/drawing/2014/main" id="{00000000-0008-0000-0100-0000C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16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</xdr:colOff>
      <xdr:row>130</xdr:row>
      <xdr:rowOff>51435</xdr:rowOff>
    </xdr:to>
    <xdr:pic>
      <xdr:nvPicPr>
        <xdr:cNvPr id="9923" name="Picture 11" descr=" ">
          <a:extLst>
            <a:ext uri="{FF2B5EF4-FFF2-40B4-BE49-F238E27FC236}">
              <a16:creationId xmlns:a16="http://schemas.microsoft.com/office/drawing/2014/main" id="{00000000-0008-0000-0100-0000C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16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</xdr:colOff>
      <xdr:row>130</xdr:row>
      <xdr:rowOff>51435</xdr:rowOff>
    </xdr:to>
    <xdr:pic>
      <xdr:nvPicPr>
        <xdr:cNvPr id="9924" name="Picture 12" descr=" ">
          <a:extLst>
            <a:ext uri="{FF2B5EF4-FFF2-40B4-BE49-F238E27FC236}">
              <a16:creationId xmlns:a16="http://schemas.microsoft.com/office/drawing/2014/main" id="{00000000-0008-0000-0100-0000C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16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</xdr:colOff>
      <xdr:row>131</xdr:row>
      <xdr:rowOff>51435</xdr:rowOff>
    </xdr:to>
    <xdr:pic>
      <xdr:nvPicPr>
        <xdr:cNvPr id="9925" name="Picture 7" descr=" ">
          <a:extLst>
            <a:ext uri="{FF2B5EF4-FFF2-40B4-BE49-F238E27FC236}">
              <a16:creationId xmlns:a16="http://schemas.microsoft.com/office/drawing/2014/main" id="{00000000-0008-0000-0100-0000C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78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</xdr:colOff>
      <xdr:row>131</xdr:row>
      <xdr:rowOff>51435</xdr:rowOff>
    </xdr:to>
    <xdr:pic>
      <xdr:nvPicPr>
        <xdr:cNvPr id="9926" name="Picture 8" descr=" ">
          <a:extLst>
            <a:ext uri="{FF2B5EF4-FFF2-40B4-BE49-F238E27FC236}">
              <a16:creationId xmlns:a16="http://schemas.microsoft.com/office/drawing/2014/main" id="{00000000-0008-0000-0100-0000C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78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</xdr:colOff>
      <xdr:row>131</xdr:row>
      <xdr:rowOff>51435</xdr:rowOff>
    </xdr:to>
    <xdr:pic>
      <xdr:nvPicPr>
        <xdr:cNvPr id="9927" name="Picture 9" descr=" ">
          <a:extLst>
            <a:ext uri="{FF2B5EF4-FFF2-40B4-BE49-F238E27FC236}">
              <a16:creationId xmlns:a16="http://schemas.microsoft.com/office/drawing/2014/main" id="{00000000-0008-0000-0100-0000C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78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</xdr:colOff>
      <xdr:row>131</xdr:row>
      <xdr:rowOff>51435</xdr:rowOff>
    </xdr:to>
    <xdr:pic>
      <xdr:nvPicPr>
        <xdr:cNvPr id="9928" name="Picture 10" descr=" ">
          <a:extLst>
            <a:ext uri="{FF2B5EF4-FFF2-40B4-BE49-F238E27FC236}">
              <a16:creationId xmlns:a16="http://schemas.microsoft.com/office/drawing/2014/main" id="{00000000-0008-0000-0100-0000C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78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</xdr:colOff>
      <xdr:row>131</xdr:row>
      <xdr:rowOff>51435</xdr:rowOff>
    </xdr:to>
    <xdr:pic>
      <xdr:nvPicPr>
        <xdr:cNvPr id="9929" name="Picture 11" descr=" ">
          <a:extLst>
            <a:ext uri="{FF2B5EF4-FFF2-40B4-BE49-F238E27FC236}">
              <a16:creationId xmlns:a16="http://schemas.microsoft.com/office/drawing/2014/main" id="{00000000-0008-0000-0100-0000C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78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</xdr:colOff>
      <xdr:row>131</xdr:row>
      <xdr:rowOff>51435</xdr:rowOff>
    </xdr:to>
    <xdr:pic>
      <xdr:nvPicPr>
        <xdr:cNvPr id="9930" name="Picture 12" descr=" ">
          <a:extLst>
            <a:ext uri="{FF2B5EF4-FFF2-40B4-BE49-F238E27FC236}">
              <a16:creationId xmlns:a16="http://schemas.microsoft.com/office/drawing/2014/main" id="{00000000-0008-0000-0100-0000C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78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9525</xdr:colOff>
      <xdr:row>132</xdr:row>
      <xdr:rowOff>51435</xdr:rowOff>
    </xdr:to>
    <xdr:pic>
      <xdr:nvPicPr>
        <xdr:cNvPr id="9931" name="Picture 7" descr=" ">
          <a:extLst>
            <a:ext uri="{FF2B5EF4-FFF2-40B4-BE49-F238E27FC236}">
              <a16:creationId xmlns:a16="http://schemas.microsoft.com/office/drawing/2014/main" id="{00000000-0008-0000-0100-0000C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40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9525</xdr:colOff>
      <xdr:row>132</xdr:row>
      <xdr:rowOff>51435</xdr:rowOff>
    </xdr:to>
    <xdr:pic>
      <xdr:nvPicPr>
        <xdr:cNvPr id="9932" name="Picture 8" descr=" ">
          <a:extLst>
            <a:ext uri="{FF2B5EF4-FFF2-40B4-BE49-F238E27FC236}">
              <a16:creationId xmlns:a16="http://schemas.microsoft.com/office/drawing/2014/main" id="{00000000-0008-0000-0100-0000C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40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9525</xdr:colOff>
      <xdr:row>132</xdr:row>
      <xdr:rowOff>51435</xdr:rowOff>
    </xdr:to>
    <xdr:pic>
      <xdr:nvPicPr>
        <xdr:cNvPr id="9933" name="Picture 9" descr=" ">
          <a:extLst>
            <a:ext uri="{FF2B5EF4-FFF2-40B4-BE49-F238E27FC236}">
              <a16:creationId xmlns:a16="http://schemas.microsoft.com/office/drawing/2014/main" id="{00000000-0008-0000-0100-0000C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40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9525</xdr:colOff>
      <xdr:row>132</xdr:row>
      <xdr:rowOff>51435</xdr:rowOff>
    </xdr:to>
    <xdr:pic>
      <xdr:nvPicPr>
        <xdr:cNvPr id="9934" name="Picture 10" descr=" ">
          <a:extLst>
            <a:ext uri="{FF2B5EF4-FFF2-40B4-BE49-F238E27FC236}">
              <a16:creationId xmlns:a16="http://schemas.microsoft.com/office/drawing/2014/main" id="{00000000-0008-0000-0100-0000C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40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9525</xdr:colOff>
      <xdr:row>132</xdr:row>
      <xdr:rowOff>51435</xdr:rowOff>
    </xdr:to>
    <xdr:pic>
      <xdr:nvPicPr>
        <xdr:cNvPr id="9935" name="Picture 11" descr=" ">
          <a:extLst>
            <a:ext uri="{FF2B5EF4-FFF2-40B4-BE49-F238E27FC236}">
              <a16:creationId xmlns:a16="http://schemas.microsoft.com/office/drawing/2014/main" id="{00000000-0008-0000-0100-0000C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40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9525</xdr:colOff>
      <xdr:row>132</xdr:row>
      <xdr:rowOff>51435</xdr:rowOff>
    </xdr:to>
    <xdr:pic>
      <xdr:nvPicPr>
        <xdr:cNvPr id="9936" name="Picture 12" descr=" ">
          <a:extLst>
            <a:ext uri="{FF2B5EF4-FFF2-40B4-BE49-F238E27FC236}">
              <a16:creationId xmlns:a16="http://schemas.microsoft.com/office/drawing/2014/main" id="{00000000-0008-0000-0100-0000D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40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</xdr:colOff>
      <xdr:row>133</xdr:row>
      <xdr:rowOff>51435</xdr:rowOff>
    </xdr:to>
    <xdr:pic>
      <xdr:nvPicPr>
        <xdr:cNvPr id="9937" name="Picture 7" descr=" ">
          <a:extLst>
            <a:ext uri="{FF2B5EF4-FFF2-40B4-BE49-F238E27FC236}">
              <a16:creationId xmlns:a16="http://schemas.microsoft.com/office/drawing/2014/main" id="{00000000-0008-0000-0100-0000D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</xdr:colOff>
      <xdr:row>133</xdr:row>
      <xdr:rowOff>51435</xdr:rowOff>
    </xdr:to>
    <xdr:pic>
      <xdr:nvPicPr>
        <xdr:cNvPr id="9938" name="Picture 8" descr=" ">
          <a:extLst>
            <a:ext uri="{FF2B5EF4-FFF2-40B4-BE49-F238E27FC236}">
              <a16:creationId xmlns:a16="http://schemas.microsoft.com/office/drawing/2014/main" id="{00000000-0008-0000-0100-0000D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</xdr:colOff>
      <xdr:row>133</xdr:row>
      <xdr:rowOff>51435</xdr:rowOff>
    </xdr:to>
    <xdr:pic>
      <xdr:nvPicPr>
        <xdr:cNvPr id="9939" name="Picture 9" descr=" ">
          <a:extLst>
            <a:ext uri="{FF2B5EF4-FFF2-40B4-BE49-F238E27FC236}">
              <a16:creationId xmlns:a16="http://schemas.microsoft.com/office/drawing/2014/main" id="{00000000-0008-0000-0100-0000D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</xdr:colOff>
      <xdr:row>133</xdr:row>
      <xdr:rowOff>51435</xdr:rowOff>
    </xdr:to>
    <xdr:pic>
      <xdr:nvPicPr>
        <xdr:cNvPr id="9940" name="Picture 10" descr=" ">
          <a:extLst>
            <a:ext uri="{FF2B5EF4-FFF2-40B4-BE49-F238E27FC236}">
              <a16:creationId xmlns:a16="http://schemas.microsoft.com/office/drawing/2014/main" id="{00000000-0008-0000-0100-0000D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</xdr:colOff>
      <xdr:row>133</xdr:row>
      <xdr:rowOff>51435</xdr:rowOff>
    </xdr:to>
    <xdr:pic>
      <xdr:nvPicPr>
        <xdr:cNvPr id="9941" name="Picture 11" descr=" ">
          <a:extLst>
            <a:ext uri="{FF2B5EF4-FFF2-40B4-BE49-F238E27FC236}">
              <a16:creationId xmlns:a16="http://schemas.microsoft.com/office/drawing/2014/main" id="{00000000-0008-0000-0100-0000D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</xdr:colOff>
      <xdr:row>133</xdr:row>
      <xdr:rowOff>51435</xdr:rowOff>
    </xdr:to>
    <xdr:pic>
      <xdr:nvPicPr>
        <xdr:cNvPr id="9942" name="Picture 12" descr=" ">
          <a:extLst>
            <a:ext uri="{FF2B5EF4-FFF2-40B4-BE49-F238E27FC236}">
              <a16:creationId xmlns:a16="http://schemas.microsoft.com/office/drawing/2014/main" id="{00000000-0008-0000-0100-0000D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51435</xdr:rowOff>
    </xdr:to>
    <xdr:pic>
      <xdr:nvPicPr>
        <xdr:cNvPr id="9943" name="Picture 7" descr=" ">
          <a:extLst>
            <a:ext uri="{FF2B5EF4-FFF2-40B4-BE49-F238E27FC236}">
              <a16:creationId xmlns:a16="http://schemas.microsoft.com/office/drawing/2014/main" id="{00000000-0008-0000-0100-0000D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64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51435</xdr:rowOff>
    </xdr:to>
    <xdr:pic>
      <xdr:nvPicPr>
        <xdr:cNvPr id="9944" name="Picture 8" descr=" ">
          <a:extLst>
            <a:ext uri="{FF2B5EF4-FFF2-40B4-BE49-F238E27FC236}">
              <a16:creationId xmlns:a16="http://schemas.microsoft.com/office/drawing/2014/main" id="{00000000-0008-0000-0100-0000D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64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51435</xdr:rowOff>
    </xdr:to>
    <xdr:pic>
      <xdr:nvPicPr>
        <xdr:cNvPr id="9945" name="Picture 9" descr=" ">
          <a:extLst>
            <a:ext uri="{FF2B5EF4-FFF2-40B4-BE49-F238E27FC236}">
              <a16:creationId xmlns:a16="http://schemas.microsoft.com/office/drawing/2014/main" id="{00000000-0008-0000-0100-0000D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64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51435</xdr:rowOff>
    </xdr:to>
    <xdr:pic>
      <xdr:nvPicPr>
        <xdr:cNvPr id="9946" name="Picture 10" descr=" ">
          <a:extLst>
            <a:ext uri="{FF2B5EF4-FFF2-40B4-BE49-F238E27FC236}">
              <a16:creationId xmlns:a16="http://schemas.microsoft.com/office/drawing/2014/main" id="{00000000-0008-0000-0100-0000D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64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51435</xdr:rowOff>
    </xdr:to>
    <xdr:pic>
      <xdr:nvPicPr>
        <xdr:cNvPr id="9947" name="Picture 11" descr=" ">
          <a:extLst>
            <a:ext uri="{FF2B5EF4-FFF2-40B4-BE49-F238E27FC236}">
              <a16:creationId xmlns:a16="http://schemas.microsoft.com/office/drawing/2014/main" id="{00000000-0008-0000-0100-0000D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64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51435</xdr:rowOff>
    </xdr:to>
    <xdr:pic>
      <xdr:nvPicPr>
        <xdr:cNvPr id="9948" name="Picture 12" descr=" ">
          <a:extLst>
            <a:ext uri="{FF2B5EF4-FFF2-40B4-BE49-F238E27FC236}">
              <a16:creationId xmlns:a16="http://schemas.microsoft.com/office/drawing/2014/main" id="{00000000-0008-0000-0100-0000D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64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</xdr:colOff>
      <xdr:row>135</xdr:row>
      <xdr:rowOff>51435</xdr:rowOff>
    </xdr:to>
    <xdr:pic>
      <xdr:nvPicPr>
        <xdr:cNvPr id="9949" name="Picture 7" descr=" ">
          <a:extLst>
            <a:ext uri="{FF2B5EF4-FFF2-40B4-BE49-F238E27FC236}">
              <a16:creationId xmlns:a16="http://schemas.microsoft.com/office/drawing/2014/main" id="{00000000-0008-0000-0100-0000D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26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</xdr:colOff>
      <xdr:row>135</xdr:row>
      <xdr:rowOff>51435</xdr:rowOff>
    </xdr:to>
    <xdr:pic>
      <xdr:nvPicPr>
        <xdr:cNvPr id="9950" name="Picture 8" descr=" ">
          <a:extLst>
            <a:ext uri="{FF2B5EF4-FFF2-40B4-BE49-F238E27FC236}">
              <a16:creationId xmlns:a16="http://schemas.microsoft.com/office/drawing/2014/main" id="{00000000-0008-0000-0100-0000D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26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</xdr:colOff>
      <xdr:row>135</xdr:row>
      <xdr:rowOff>51435</xdr:rowOff>
    </xdr:to>
    <xdr:pic>
      <xdr:nvPicPr>
        <xdr:cNvPr id="9951" name="Picture 9" descr=" ">
          <a:extLst>
            <a:ext uri="{FF2B5EF4-FFF2-40B4-BE49-F238E27FC236}">
              <a16:creationId xmlns:a16="http://schemas.microsoft.com/office/drawing/2014/main" id="{00000000-0008-0000-0100-0000D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26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</xdr:colOff>
      <xdr:row>135</xdr:row>
      <xdr:rowOff>51435</xdr:rowOff>
    </xdr:to>
    <xdr:pic>
      <xdr:nvPicPr>
        <xdr:cNvPr id="9952" name="Picture 10" descr=" ">
          <a:extLst>
            <a:ext uri="{FF2B5EF4-FFF2-40B4-BE49-F238E27FC236}">
              <a16:creationId xmlns:a16="http://schemas.microsoft.com/office/drawing/2014/main" id="{00000000-0008-0000-0100-0000E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26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</xdr:colOff>
      <xdr:row>135</xdr:row>
      <xdr:rowOff>51435</xdr:rowOff>
    </xdr:to>
    <xdr:pic>
      <xdr:nvPicPr>
        <xdr:cNvPr id="9953" name="Picture 11" descr=" ">
          <a:extLst>
            <a:ext uri="{FF2B5EF4-FFF2-40B4-BE49-F238E27FC236}">
              <a16:creationId xmlns:a16="http://schemas.microsoft.com/office/drawing/2014/main" id="{00000000-0008-0000-0100-0000E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26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</xdr:colOff>
      <xdr:row>135</xdr:row>
      <xdr:rowOff>51435</xdr:rowOff>
    </xdr:to>
    <xdr:pic>
      <xdr:nvPicPr>
        <xdr:cNvPr id="9954" name="Picture 12" descr=" ">
          <a:extLst>
            <a:ext uri="{FF2B5EF4-FFF2-40B4-BE49-F238E27FC236}">
              <a16:creationId xmlns:a16="http://schemas.microsoft.com/office/drawing/2014/main" id="{00000000-0008-0000-0100-0000E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26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</xdr:colOff>
      <xdr:row>136</xdr:row>
      <xdr:rowOff>51435</xdr:rowOff>
    </xdr:to>
    <xdr:pic>
      <xdr:nvPicPr>
        <xdr:cNvPr id="9955" name="Picture 7" descr=" ">
          <a:extLst>
            <a:ext uri="{FF2B5EF4-FFF2-40B4-BE49-F238E27FC236}">
              <a16:creationId xmlns:a16="http://schemas.microsoft.com/office/drawing/2014/main" id="{00000000-0008-0000-0100-0000E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8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</xdr:colOff>
      <xdr:row>136</xdr:row>
      <xdr:rowOff>51435</xdr:rowOff>
    </xdr:to>
    <xdr:pic>
      <xdr:nvPicPr>
        <xdr:cNvPr id="9956" name="Picture 8" descr=" ">
          <a:extLst>
            <a:ext uri="{FF2B5EF4-FFF2-40B4-BE49-F238E27FC236}">
              <a16:creationId xmlns:a16="http://schemas.microsoft.com/office/drawing/2014/main" id="{00000000-0008-0000-0100-0000E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8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</xdr:colOff>
      <xdr:row>136</xdr:row>
      <xdr:rowOff>51435</xdr:rowOff>
    </xdr:to>
    <xdr:pic>
      <xdr:nvPicPr>
        <xdr:cNvPr id="9957" name="Picture 9" descr=" ">
          <a:extLst>
            <a:ext uri="{FF2B5EF4-FFF2-40B4-BE49-F238E27FC236}">
              <a16:creationId xmlns:a16="http://schemas.microsoft.com/office/drawing/2014/main" id="{00000000-0008-0000-0100-0000E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8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</xdr:colOff>
      <xdr:row>136</xdr:row>
      <xdr:rowOff>51435</xdr:rowOff>
    </xdr:to>
    <xdr:pic>
      <xdr:nvPicPr>
        <xdr:cNvPr id="9958" name="Picture 10" descr=" ">
          <a:extLst>
            <a:ext uri="{FF2B5EF4-FFF2-40B4-BE49-F238E27FC236}">
              <a16:creationId xmlns:a16="http://schemas.microsoft.com/office/drawing/2014/main" id="{00000000-0008-0000-0100-0000E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8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</xdr:colOff>
      <xdr:row>136</xdr:row>
      <xdr:rowOff>51435</xdr:rowOff>
    </xdr:to>
    <xdr:pic>
      <xdr:nvPicPr>
        <xdr:cNvPr id="9959" name="Picture 11" descr=" ">
          <a:extLst>
            <a:ext uri="{FF2B5EF4-FFF2-40B4-BE49-F238E27FC236}">
              <a16:creationId xmlns:a16="http://schemas.microsoft.com/office/drawing/2014/main" id="{00000000-0008-0000-0100-0000E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8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</xdr:colOff>
      <xdr:row>136</xdr:row>
      <xdr:rowOff>51435</xdr:rowOff>
    </xdr:to>
    <xdr:pic>
      <xdr:nvPicPr>
        <xdr:cNvPr id="9960" name="Picture 12" descr=" ">
          <a:extLst>
            <a:ext uri="{FF2B5EF4-FFF2-40B4-BE49-F238E27FC236}">
              <a16:creationId xmlns:a16="http://schemas.microsoft.com/office/drawing/2014/main" id="{00000000-0008-0000-0100-0000E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8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</xdr:colOff>
      <xdr:row>137</xdr:row>
      <xdr:rowOff>51435</xdr:rowOff>
    </xdr:to>
    <xdr:pic>
      <xdr:nvPicPr>
        <xdr:cNvPr id="9961" name="Picture 7" descr=" ">
          <a:extLst>
            <a:ext uri="{FF2B5EF4-FFF2-40B4-BE49-F238E27FC236}">
              <a16:creationId xmlns:a16="http://schemas.microsoft.com/office/drawing/2014/main" id="{00000000-0008-0000-0100-0000E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50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</xdr:colOff>
      <xdr:row>137</xdr:row>
      <xdr:rowOff>51435</xdr:rowOff>
    </xdr:to>
    <xdr:pic>
      <xdr:nvPicPr>
        <xdr:cNvPr id="9962" name="Picture 8" descr=" ">
          <a:extLst>
            <a:ext uri="{FF2B5EF4-FFF2-40B4-BE49-F238E27FC236}">
              <a16:creationId xmlns:a16="http://schemas.microsoft.com/office/drawing/2014/main" id="{00000000-0008-0000-0100-0000E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50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</xdr:colOff>
      <xdr:row>137</xdr:row>
      <xdr:rowOff>51435</xdr:rowOff>
    </xdr:to>
    <xdr:pic>
      <xdr:nvPicPr>
        <xdr:cNvPr id="9963" name="Picture 9" descr=" ">
          <a:extLst>
            <a:ext uri="{FF2B5EF4-FFF2-40B4-BE49-F238E27FC236}">
              <a16:creationId xmlns:a16="http://schemas.microsoft.com/office/drawing/2014/main" id="{00000000-0008-0000-0100-0000E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50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</xdr:colOff>
      <xdr:row>137</xdr:row>
      <xdr:rowOff>51435</xdr:rowOff>
    </xdr:to>
    <xdr:pic>
      <xdr:nvPicPr>
        <xdr:cNvPr id="9964" name="Picture 10" descr=" ">
          <a:extLst>
            <a:ext uri="{FF2B5EF4-FFF2-40B4-BE49-F238E27FC236}">
              <a16:creationId xmlns:a16="http://schemas.microsoft.com/office/drawing/2014/main" id="{00000000-0008-0000-0100-0000E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50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</xdr:colOff>
      <xdr:row>137</xdr:row>
      <xdr:rowOff>51435</xdr:rowOff>
    </xdr:to>
    <xdr:pic>
      <xdr:nvPicPr>
        <xdr:cNvPr id="9965" name="Picture 11" descr=" ">
          <a:extLst>
            <a:ext uri="{FF2B5EF4-FFF2-40B4-BE49-F238E27FC236}">
              <a16:creationId xmlns:a16="http://schemas.microsoft.com/office/drawing/2014/main" id="{00000000-0008-0000-0100-0000E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50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</xdr:colOff>
      <xdr:row>137</xdr:row>
      <xdr:rowOff>51435</xdr:rowOff>
    </xdr:to>
    <xdr:pic>
      <xdr:nvPicPr>
        <xdr:cNvPr id="9966" name="Picture 12" descr=" ">
          <a:extLst>
            <a:ext uri="{FF2B5EF4-FFF2-40B4-BE49-F238E27FC236}">
              <a16:creationId xmlns:a16="http://schemas.microsoft.com/office/drawing/2014/main" id="{00000000-0008-0000-0100-0000E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50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9525</xdr:colOff>
      <xdr:row>141</xdr:row>
      <xdr:rowOff>51435</xdr:rowOff>
    </xdr:to>
    <xdr:pic>
      <xdr:nvPicPr>
        <xdr:cNvPr id="9967" name="Picture 7" descr=" ">
          <a:extLst>
            <a:ext uri="{FF2B5EF4-FFF2-40B4-BE49-F238E27FC236}">
              <a16:creationId xmlns:a16="http://schemas.microsoft.com/office/drawing/2014/main" id="{00000000-0008-0000-0100-0000E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12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9525</xdr:colOff>
      <xdr:row>141</xdr:row>
      <xdr:rowOff>51435</xdr:rowOff>
    </xdr:to>
    <xdr:pic>
      <xdr:nvPicPr>
        <xdr:cNvPr id="9968" name="Picture 8" descr=" ">
          <a:extLst>
            <a:ext uri="{FF2B5EF4-FFF2-40B4-BE49-F238E27FC236}">
              <a16:creationId xmlns:a16="http://schemas.microsoft.com/office/drawing/2014/main" id="{00000000-0008-0000-0100-0000F0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12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9525</xdr:colOff>
      <xdr:row>141</xdr:row>
      <xdr:rowOff>51435</xdr:rowOff>
    </xdr:to>
    <xdr:pic>
      <xdr:nvPicPr>
        <xdr:cNvPr id="9969" name="Picture 9" descr=" ">
          <a:extLst>
            <a:ext uri="{FF2B5EF4-FFF2-40B4-BE49-F238E27FC236}">
              <a16:creationId xmlns:a16="http://schemas.microsoft.com/office/drawing/2014/main" id="{00000000-0008-0000-0100-0000F1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12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9525</xdr:colOff>
      <xdr:row>141</xdr:row>
      <xdr:rowOff>51435</xdr:rowOff>
    </xdr:to>
    <xdr:pic>
      <xdr:nvPicPr>
        <xdr:cNvPr id="9970" name="Picture 10" descr=" ">
          <a:extLst>
            <a:ext uri="{FF2B5EF4-FFF2-40B4-BE49-F238E27FC236}">
              <a16:creationId xmlns:a16="http://schemas.microsoft.com/office/drawing/2014/main" id="{00000000-0008-0000-0100-0000F2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12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9525</xdr:colOff>
      <xdr:row>141</xdr:row>
      <xdr:rowOff>51435</xdr:rowOff>
    </xdr:to>
    <xdr:pic>
      <xdr:nvPicPr>
        <xdr:cNvPr id="9971" name="Picture 11" descr=" ">
          <a:extLst>
            <a:ext uri="{FF2B5EF4-FFF2-40B4-BE49-F238E27FC236}">
              <a16:creationId xmlns:a16="http://schemas.microsoft.com/office/drawing/2014/main" id="{00000000-0008-0000-0100-0000F3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12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9525</xdr:colOff>
      <xdr:row>141</xdr:row>
      <xdr:rowOff>51435</xdr:rowOff>
    </xdr:to>
    <xdr:pic>
      <xdr:nvPicPr>
        <xdr:cNvPr id="9972" name="Picture 12" descr=" ">
          <a:extLst>
            <a:ext uri="{FF2B5EF4-FFF2-40B4-BE49-F238E27FC236}">
              <a16:creationId xmlns:a16="http://schemas.microsoft.com/office/drawing/2014/main" id="{00000000-0008-0000-0100-0000F4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12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9525</xdr:colOff>
      <xdr:row>142</xdr:row>
      <xdr:rowOff>51435</xdr:rowOff>
    </xdr:to>
    <xdr:pic>
      <xdr:nvPicPr>
        <xdr:cNvPr id="9973" name="Picture 7" descr=" ">
          <a:extLst>
            <a:ext uri="{FF2B5EF4-FFF2-40B4-BE49-F238E27FC236}">
              <a16:creationId xmlns:a16="http://schemas.microsoft.com/office/drawing/2014/main" id="{00000000-0008-0000-0100-0000F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74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9525</xdr:colOff>
      <xdr:row>142</xdr:row>
      <xdr:rowOff>51435</xdr:rowOff>
    </xdr:to>
    <xdr:pic>
      <xdr:nvPicPr>
        <xdr:cNvPr id="9974" name="Picture 8" descr=" ">
          <a:extLst>
            <a:ext uri="{FF2B5EF4-FFF2-40B4-BE49-F238E27FC236}">
              <a16:creationId xmlns:a16="http://schemas.microsoft.com/office/drawing/2014/main" id="{00000000-0008-0000-0100-0000F6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74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9525</xdr:colOff>
      <xdr:row>142</xdr:row>
      <xdr:rowOff>51435</xdr:rowOff>
    </xdr:to>
    <xdr:pic>
      <xdr:nvPicPr>
        <xdr:cNvPr id="9975" name="Picture 9" descr=" ">
          <a:extLst>
            <a:ext uri="{FF2B5EF4-FFF2-40B4-BE49-F238E27FC236}">
              <a16:creationId xmlns:a16="http://schemas.microsoft.com/office/drawing/2014/main" id="{00000000-0008-0000-0100-0000F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74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9525</xdr:colOff>
      <xdr:row>142</xdr:row>
      <xdr:rowOff>51435</xdr:rowOff>
    </xdr:to>
    <xdr:pic>
      <xdr:nvPicPr>
        <xdr:cNvPr id="9976" name="Picture 10" descr=" ">
          <a:extLst>
            <a:ext uri="{FF2B5EF4-FFF2-40B4-BE49-F238E27FC236}">
              <a16:creationId xmlns:a16="http://schemas.microsoft.com/office/drawing/2014/main" id="{00000000-0008-0000-0100-0000F8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74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9525</xdr:colOff>
      <xdr:row>142</xdr:row>
      <xdr:rowOff>51435</xdr:rowOff>
    </xdr:to>
    <xdr:pic>
      <xdr:nvPicPr>
        <xdr:cNvPr id="9977" name="Picture 11" descr=" ">
          <a:extLst>
            <a:ext uri="{FF2B5EF4-FFF2-40B4-BE49-F238E27FC236}">
              <a16:creationId xmlns:a16="http://schemas.microsoft.com/office/drawing/2014/main" id="{00000000-0008-0000-0100-0000F9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74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9525</xdr:colOff>
      <xdr:row>142</xdr:row>
      <xdr:rowOff>51435</xdr:rowOff>
    </xdr:to>
    <xdr:pic>
      <xdr:nvPicPr>
        <xdr:cNvPr id="9978" name="Picture 12" descr=" ">
          <a:extLst>
            <a:ext uri="{FF2B5EF4-FFF2-40B4-BE49-F238E27FC236}">
              <a16:creationId xmlns:a16="http://schemas.microsoft.com/office/drawing/2014/main" id="{00000000-0008-0000-0100-0000FA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74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9525</xdr:colOff>
      <xdr:row>143</xdr:row>
      <xdr:rowOff>51435</xdr:rowOff>
    </xdr:to>
    <xdr:pic>
      <xdr:nvPicPr>
        <xdr:cNvPr id="9979" name="Picture 7" descr=" ">
          <a:extLst>
            <a:ext uri="{FF2B5EF4-FFF2-40B4-BE49-F238E27FC236}">
              <a16:creationId xmlns:a16="http://schemas.microsoft.com/office/drawing/2014/main" id="{00000000-0008-0000-0100-0000FB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35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9525</xdr:colOff>
      <xdr:row>143</xdr:row>
      <xdr:rowOff>51435</xdr:rowOff>
    </xdr:to>
    <xdr:pic>
      <xdr:nvPicPr>
        <xdr:cNvPr id="9980" name="Picture 8" descr=" ">
          <a:extLst>
            <a:ext uri="{FF2B5EF4-FFF2-40B4-BE49-F238E27FC236}">
              <a16:creationId xmlns:a16="http://schemas.microsoft.com/office/drawing/2014/main" id="{00000000-0008-0000-0100-0000FC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35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9525</xdr:colOff>
      <xdr:row>143</xdr:row>
      <xdr:rowOff>51435</xdr:rowOff>
    </xdr:to>
    <xdr:pic>
      <xdr:nvPicPr>
        <xdr:cNvPr id="9981" name="Picture 9" descr=" ">
          <a:extLst>
            <a:ext uri="{FF2B5EF4-FFF2-40B4-BE49-F238E27FC236}">
              <a16:creationId xmlns:a16="http://schemas.microsoft.com/office/drawing/2014/main" id="{00000000-0008-0000-0100-0000FD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35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9525</xdr:colOff>
      <xdr:row>143</xdr:row>
      <xdr:rowOff>51435</xdr:rowOff>
    </xdr:to>
    <xdr:pic>
      <xdr:nvPicPr>
        <xdr:cNvPr id="9982" name="Picture 10" descr=" ">
          <a:extLst>
            <a:ext uri="{FF2B5EF4-FFF2-40B4-BE49-F238E27FC236}">
              <a16:creationId xmlns:a16="http://schemas.microsoft.com/office/drawing/2014/main" id="{00000000-0008-0000-0100-0000FE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35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9525</xdr:colOff>
      <xdr:row>143</xdr:row>
      <xdr:rowOff>51435</xdr:rowOff>
    </xdr:to>
    <xdr:pic>
      <xdr:nvPicPr>
        <xdr:cNvPr id="9983" name="Picture 11" descr=" ">
          <a:extLst>
            <a:ext uri="{FF2B5EF4-FFF2-40B4-BE49-F238E27FC236}">
              <a16:creationId xmlns:a16="http://schemas.microsoft.com/office/drawing/2014/main" id="{00000000-0008-0000-0100-0000FF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35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9525</xdr:colOff>
      <xdr:row>143</xdr:row>
      <xdr:rowOff>51435</xdr:rowOff>
    </xdr:to>
    <xdr:pic>
      <xdr:nvPicPr>
        <xdr:cNvPr id="9984" name="Picture 12" descr=" ">
          <a:extLst>
            <a:ext uri="{FF2B5EF4-FFF2-40B4-BE49-F238E27FC236}">
              <a16:creationId xmlns:a16="http://schemas.microsoft.com/office/drawing/2014/main" id="{00000000-0008-0000-0100-00000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35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9525</xdr:colOff>
      <xdr:row>144</xdr:row>
      <xdr:rowOff>51435</xdr:rowOff>
    </xdr:to>
    <xdr:pic>
      <xdr:nvPicPr>
        <xdr:cNvPr id="9985" name="Picture 7" descr=" ">
          <a:extLst>
            <a:ext uri="{FF2B5EF4-FFF2-40B4-BE49-F238E27FC236}">
              <a16:creationId xmlns:a16="http://schemas.microsoft.com/office/drawing/2014/main" id="{00000000-0008-0000-0100-00000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97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9525</xdr:colOff>
      <xdr:row>144</xdr:row>
      <xdr:rowOff>51435</xdr:rowOff>
    </xdr:to>
    <xdr:pic>
      <xdr:nvPicPr>
        <xdr:cNvPr id="9986" name="Picture 8" descr=" ">
          <a:extLst>
            <a:ext uri="{FF2B5EF4-FFF2-40B4-BE49-F238E27FC236}">
              <a16:creationId xmlns:a16="http://schemas.microsoft.com/office/drawing/2014/main" id="{00000000-0008-0000-0100-00000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97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9525</xdr:colOff>
      <xdr:row>144</xdr:row>
      <xdr:rowOff>51435</xdr:rowOff>
    </xdr:to>
    <xdr:pic>
      <xdr:nvPicPr>
        <xdr:cNvPr id="9987" name="Picture 9" descr=" ">
          <a:extLst>
            <a:ext uri="{FF2B5EF4-FFF2-40B4-BE49-F238E27FC236}">
              <a16:creationId xmlns:a16="http://schemas.microsoft.com/office/drawing/2014/main" id="{00000000-0008-0000-0100-00000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97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9525</xdr:colOff>
      <xdr:row>144</xdr:row>
      <xdr:rowOff>51435</xdr:rowOff>
    </xdr:to>
    <xdr:pic>
      <xdr:nvPicPr>
        <xdr:cNvPr id="9988" name="Picture 10" descr=" ">
          <a:extLst>
            <a:ext uri="{FF2B5EF4-FFF2-40B4-BE49-F238E27FC236}">
              <a16:creationId xmlns:a16="http://schemas.microsoft.com/office/drawing/2014/main" id="{00000000-0008-0000-0100-00000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97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9525</xdr:colOff>
      <xdr:row>144</xdr:row>
      <xdr:rowOff>51435</xdr:rowOff>
    </xdr:to>
    <xdr:pic>
      <xdr:nvPicPr>
        <xdr:cNvPr id="9989" name="Picture 11" descr=" ">
          <a:extLst>
            <a:ext uri="{FF2B5EF4-FFF2-40B4-BE49-F238E27FC236}">
              <a16:creationId xmlns:a16="http://schemas.microsoft.com/office/drawing/2014/main" id="{00000000-0008-0000-0100-00000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97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9525</xdr:colOff>
      <xdr:row>144</xdr:row>
      <xdr:rowOff>51435</xdr:rowOff>
    </xdr:to>
    <xdr:pic>
      <xdr:nvPicPr>
        <xdr:cNvPr id="9990" name="Picture 12" descr=" ">
          <a:extLst>
            <a:ext uri="{FF2B5EF4-FFF2-40B4-BE49-F238E27FC236}">
              <a16:creationId xmlns:a16="http://schemas.microsoft.com/office/drawing/2014/main" id="{00000000-0008-0000-0100-00000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97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9991" name="Picture 7" descr=" ">
          <a:extLst>
            <a:ext uri="{FF2B5EF4-FFF2-40B4-BE49-F238E27FC236}">
              <a16:creationId xmlns:a16="http://schemas.microsoft.com/office/drawing/2014/main" id="{00000000-0008-0000-0100-00000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9992" name="Picture 8" descr=" ">
          <a:extLst>
            <a:ext uri="{FF2B5EF4-FFF2-40B4-BE49-F238E27FC236}">
              <a16:creationId xmlns:a16="http://schemas.microsoft.com/office/drawing/2014/main" id="{00000000-0008-0000-0100-00000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9993" name="Picture 9" descr=" ">
          <a:extLst>
            <a:ext uri="{FF2B5EF4-FFF2-40B4-BE49-F238E27FC236}">
              <a16:creationId xmlns:a16="http://schemas.microsoft.com/office/drawing/2014/main" id="{00000000-0008-0000-0100-00000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9994" name="Picture 10" descr=" ">
          <a:extLst>
            <a:ext uri="{FF2B5EF4-FFF2-40B4-BE49-F238E27FC236}">
              <a16:creationId xmlns:a16="http://schemas.microsoft.com/office/drawing/2014/main" id="{00000000-0008-0000-0100-00000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9995" name="Picture 11" descr=" ">
          <a:extLst>
            <a:ext uri="{FF2B5EF4-FFF2-40B4-BE49-F238E27FC236}">
              <a16:creationId xmlns:a16="http://schemas.microsoft.com/office/drawing/2014/main" id="{00000000-0008-0000-0100-00000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9996" name="Picture 12" descr=" ">
          <a:extLst>
            <a:ext uri="{FF2B5EF4-FFF2-40B4-BE49-F238E27FC236}">
              <a16:creationId xmlns:a16="http://schemas.microsoft.com/office/drawing/2014/main" id="{00000000-0008-0000-0100-00000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9997" name="Picture 7" descr=" ">
          <a:extLst>
            <a:ext uri="{FF2B5EF4-FFF2-40B4-BE49-F238E27FC236}">
              <a16:creationId xmlns:a16="http://schemas.microsoft.com/office/drawing/2014/main" id="{00000000-0008-0000-0100-00000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9998" name="Picture 8" descr=" ">
          <a:extLst>
            <a:ext uri="{FF2B5EF4-FFF2-40B4-BE49-F238E27FC236}">
              <a16:creationId xmlns:a16="http://schemas.microsoft.com/office/drawing/2014/main" id="{00000000-0008-0000-0100-00000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9999" name="Picture 9" descr=" ">
          <a:extLst>
            <a:ext uri="{FF2B5EF4-FFF2-40B4-BE49-F238E27FC236}">
              <a16:creationId xmlns:a16="http://schemas.microsoft.com/office/drawing/2014/main" id="{00000000-0008-0000-0100-00000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00" name="Picture 10" descr=" ">
          <a:extLst>
            <a:ext uri="{FF2B5EF4-FFF2-40B4-BE49-F238E27FC236}">
              <a16:creationId xmlns:a16="http://schemas.microsoft.com/office/drawing/2014/main" id="{00000000-0008-0000-0100-00001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01" name="Picture 11" descr=" ">
          <a:extLst>
            <a:ext uri="{FF2B5EF4-FFF2-40B4-BE49-F238E27FC236}">
              <a16:creationId xmlns:a16="http://schemas.microsoft.com/office/drawing/2014/main" id="{00000000-0008-0000-0100-00001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02" name="Picture 12" descr=" ">
          <a:extLst>
            <a:ext uri="{FF2B5EF4-FFF2-40B4-BE49-F238E27FC236}">
              <a16:creationId xmlns:a16="http://schemas.microsoft.com/office/drawing/2014/main" id="{00000000-0008-0000-0100-00001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03" name="Picture 7" descr=" ">
          <a:extLst>
            <a:ext uri="{FF2B5EF4-FFF2-40B4-BE49-F238E27FC236}">
              <a16:creationId xmlns:a16="http://schemas.microsoft.com/office/drawing/2014/main" id="{00000000-0008-0000-0100-00001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04" name="Picture 8" descr=" ">
          <a:extLst>
            <a:ext uri="{FF2B5EF4-FFF2-40B4-BE49-F238E27FC236}">
              <a16:creationId xmlns:a16="http://schemas.microsoft.com/office/drawing/2014/main" id="{00000000-0008-0000-0100-00001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05" name="Picture 9" descr=" ">
          <a:extLst>
            <a:ext uri="{FF2B5EF4-FFF2-40B4-BE49-F238E27FC236}">
              <a16:creationId xmlns:a16="http://schemas.microsoft.com/office/drawing/2014/main" id="{00000000-0008-0000-0100-00001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06" name="Picture 10" descr=" ">
          <a:extLst>
            <a:ext uri="{FF2B5EF4-FFF2-40B4-BE49-F238E27FC236}">
              <a16:creationId xmlns:a16="http://schemas.microsoft.com/office/drawing/2014/main" id="{00000000-0008-0000-0100-00001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07" name="Picture 11" descr=" ">
          <a:extLst>
            <a:ext uri="{FF2B5EF4-FFF2-40B4-BE49-F238E27FC236}">
              <a16:creationId xmlns:a16="http://schemas.microsoft.com/office/drawing/2014/main" id="{00000000-0008-0000-0100-00001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08" name="Picture 12" descr=" ">
          <a:extLst>
            <a:ext uri="{FF2B5EF4-FFF2-40B4-BE49-F238E27FC236}">
              <a16:creationId xmlns:a16="http://schemas.microsoft.com/office/drawing/2014/main" id="{00000000-0008-0000-0100-00001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09" name="Picture 7" descr=" ">
          <a:extLst>
            <a:ext uri="{FF2B5EF4-FFF2-40B4-BE49-F238E27FC236}">
              <a16:creationId xmlns:a16="http://schemas.microsoft.com/office/drawing/2014/main" id="{00000000-0008-0000-0100-00001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10" name="Picture 8" descr=" ">
          <a:extLst>
            <a:ext uri="{FF2B5EF4-FFF2-40B4-BE49-F238E27FC236}">
              <a16:creationId xmlns:a16="http://schemas.microsoft.com/office/drawing/2014/main" id="{00000000-0008-0000-0100-00001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11" name="Picture 9" descr=" ">
          <a:extLst>
            <a:ext uri="{FF2B5EF4-FFF2-40B4-BE49-F238E27FC236}">
              <a16:creationId xmlns:a16="http://schemas.microsoft.com/office/drawing/2014/main" id="{00000000-0008-0000-0100-00001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12" name="Picture 10" descr=" ">
          <a:extLst>
            <a:ext uri="{FF2B5EF4-FFF2-40B4-BE49-F238E27FC236}">
              <a16:creationId xmlns:a16="http://schemas.microsoft.com/office/drawing/2014/main" id="{00000000-0008-0000-0100-00001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13" name="Picture 11" descr=" ">
          <a:extLst>
            <a:ext uri="{FF2B5EF4-FFF2-40B4-BE49-F238E27FC236}">
              <a16:creationId xmlns:a16="http://schemas.microsoft.com/office/drawing/2014/main" id="{00000000-0008-0000-0100-00001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14" name="Picture 12" descr=" ">
          <a:extLst>
            <a:ext uri="{FF2B5EF4-FFF2-40B4-BE49-F238E27FC236}">
              <a16:creationId xmlns:a16="http://schemas.microsoft.com/office/drawing/2014/main" id="{00000000-0008-0000-0100-00001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15" name="Picture 7" descr=" ">
          <a:extLst>
            <a:ext uri="{FF2B5EF4-FFF2-40B4-BE49-F238E27FC236}">
              <a16:creationId xmlns:a16="http://schemas.microsoft.com/office/drawing/2014/main" id="{00000000-0008-0000-0100-00001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16" name="Picture 8" descr=" ">
          <a:extLst>
            <a:ext uri="{FF2B5EF4-FFF2-40B4-BE49-F238E27FC236}">
              <a16:creationId xmlns:a16="http://schemas.microsoft.com/office/drawing/2014/main" id="{00000000-0008-0000-0100-00002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17" name="Picture 9" descr=" ">
          <a:extLst>
            <a:ext uri="{FF2B5EF4-FFF2-40B4-BE49-F238E27FC236}">
              <a16:creationId xmlns:a16="http://schemas.microsoft.com/office/drawing/2014/main" id="{00000000-0008-0000-0100-00002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18" name="Picture 10" descr=" ">
          <a:extLst>
            <a:ext uri="{FF2B5EF4-FFF2-40B4-BE49-F238E27FC236}">
              <a16:creationId xmlns:a16="http://schemas.microsoft.com/office/drawing/2014/main" id="{00000000-0008-0000-0100-00002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19" name="Picture 11" descr=" ">
          <a:extLst>
            <a:ext uri="{FF2B5EF4-FFF2-40B4-BE49-F238E27FC236}">
              <a16:creationId xmlns:a16="http://schemas.microsoft.com/office/drawing/2014/main" id="{00000000-0008-0000-0100-00002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20" name="Picture 12" descr=" ">
          <a:extLst>
            <a:ext uri="{FF2B5EF4-FFF2-40B4-BE49-F238E27FC236}">
              <a16:creationId xmlns:a16="http://schemas.microsoft.com/office/drawing/2014/main" id="{00000000-0008-0000-0100-00002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21" name="Picture 7" descr=" ">
          <a:extLst>
            <a:ext uri="{FF2B5EF4-FFF2-40B4-BE49-F238E27FC236}">
              <a16:creationId xmlns:a16="http://schemas.microsoft.com/office/drawing/2014/main" id="{00000000-0008-0000-0100-00002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22" name="Picture 8" descr=" ">
          <a:extLst>
            <a:ext uri="{FF2B5EF4-FFF2-40B4-BE49-F238E27FC236}">
              <a16:creationId xmlns:a16="http://schemas.microsoft.com/office/drawing/2014/main" id="{00000000-0008-0000-0100-00002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23" name="Picture 9" descr=" ">
          <a:extLst>
            <a:ext uri="{FF2B5EF4-FFF2-40B4-BE49-F238E27FC236}">
              <a16:creationId xmlns:a16="http://schemas.microsoft.com/office/drawing/2014/main" id="{00000000-0008-0000-0100-00002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24" name="Picture 10" descr=" ">
          <a:extLst>
            <a:ext uri="{FF2B5EF4-FFF2-40B4-BE49-F238E27FC236}">
              <a16:creationId xmlns:a16="http://schemas.microsoft.com/office/drawing/2014/main" id="{00000000-0008-0000-0100-00002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25" name="Picture 11" descr=" ">
          <a:extLst>
            <a:ext uri="{FF2B5EF4-FFF2-40B4-BE49-F238E27FC236}">
              <a16:creationId xmlns:a16="http://schemas.microsoft.com/office/drawing/2014/main" id="{00000000-0008-0000-0100-00002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26" name="Picture 12" descr=" ">
          <a:extLst>
            <a:ext uri="{FF2B5EF4-FFF2-40B4-BE49-F238E27FC236}">
              <a16:creationId xmlns:a16="http://schemas.microsoft.com/office/drawing/2014/main" id="{00000000-0008-0000-0100-00002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27" name="Picture 7" descr=" ">
          <a:extLst>
            <a:ext uri="{FF2B5EF4-FFF2-40B4-BE49-F238E27FC236}">
              <a16:creationId xmlns:a16="http://schemas.microsoft.com/office/drawing/2014/main" id="{00000000-0008-0000-0100-00002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28" name="Picture 8" descr=" ">
          <a:extLst>
            <a:ext uri="{FF2B5EF4-FFF2-40B4-BE49-F238E27FC236}">
              <a16:creationId xmlns:a16="http://schemas.microsoft.com/office/drawing/2014/main" id="{00000000-0008-0000-0100-00002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29" name="Picture 9" descr=" ">
          <a:extLst>
            <a:ext uri="{FF2B5EF4-FFF2-40B4-BE49-F238E27FC236}">
              <a16:creationId xmlns:a16="http://schemas.microsoft.com/office/drawing/2014/main" id="{00000000-0008-0000-0100-00002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30" name="Picture 10" descr=" ">
          <a:extLst>
            <a:ext uri="{FF2B5EF4-FFF2-40B4-BE49-F238E27FC236}">
              <a16:creationId xmlns:a16="http://schemas.microsoft.com/office/drawing/2014/main" id="{00000000-0008-0000-0100-00002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31" name="Picture 11" descr=" ">
          <a:extLst>
            <a:ext uri="{FF2B5EF4-FFF2-40B4-BE49-F238E27FC236}">
              <a16:creationId xmlns:a16="http://schemas.microsoft.com/office/drawing/2014/main" id="{00000000-0008-0000-0100-00002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32" name="Picture 12" descr=" ">
          <a:extLst>
            <a:ext uri="{FF2B5EF4-FFF2-40B4-BE49-F238E27FC236}">
              <a16:creationId xmlns:a16="http://schemas.microsoft.com/office/drawing/2014/main" id="{00000000-0008-0000-0100-00003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33" name="Picture 7" descr=" ">
          <a:extLst>
            <a:ext uri="{FF2B5EF4-FFF2-40B4-BE49-F238E27FC236}">
              <a16:creationId xmlns:a16="http://schemas.microsoft.com/office/drawing/2014/main" id="{00000000-0008-0000-0100-00003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34" name="Picture 8" descr=" ">
          <a:extLst>
            <a:ext uri="{FF2B5EF4-FFF2-40B4-BE49-F238E27FC236}">
              <a16:creationId xmlns:a16="http://schemas.microsoft.com/office/drawing/2014/main" id="{00000000-0008-0000-0100-00003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35" name="Picture 9" descr=" ">
          <a:extLst>
            <a:ext uri="{FF2B5EF4-FFF2-40B4-BE49-F238E27FC236}">
              <a16:creationId xmlns:a16="http://schemas.microsoft.com/office/drawing/2014/main" id="{00000000-0008-0000-0100-00003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36" name="Picture 10" descr=" ">
          <a:extLst>
            <a:ext uri="{FF2B5EF4-FFF2-40B4-BE49-F238E27FC236}">
              <a16:creationId xmlns:a16="http://schemas.microsoft.com/office/drawing/2014/main" id="{00000000-0008-0000-0100-00003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37" name="Picture 11" descr=" ">
          <a:extLst>
            <a:ext uri="{FF2B5EF4-FFF2-40B4-BE49-F238E27FC236}">
              <a16:creationId xmlns:a16="http://schemas.microsoft.com/office/drawing/2014/main" id="{00000000-0008-0000-0100-00003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38" name="Picture 12" descr=" ">
          <a:extLst>
            <a:ext uri="{FF2B5EF4-FFF2-40B4-BE49-F238E27FC236}">
              <a16:creationId xmlns:a16="http://schemas.microsoft.com/office/drawing/2014/main" id="{00000000-0008-0000-0100-00003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39" name="Picture 7" descr=" ">
          <a:extLst>
            <a:ext uri="{FF2B5EF4-FFF2-40B4-BE49-F238E27FC236}">
              <a16:creationId xmlns:a16="http://schemas.microsoft.com/office/drawing/2014/main" id="{00000000-0008-0000-0100-00003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40" name="Picture 8" descr=" ">
          <a:extLst>
            <a:ext uri="{FF2B5EF4-FFF2-40B4-BE49-F238E27FC236}">
              <a16:creationId xmlns:a16="http://schemas.microsoft.com/office/drawing/2014/main" id="{00000000-0008-0000-0100-00003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41" name="Picture 9" descr=" ">
          <a:extLst>
            <a:ext uri="{FF2B5EF4-FFF2-40B4-BE49-F238E27FC236}">
              <a16:creationId xmlns:a16="http://schemas.microsoft.com/office/drawing/2014/main" id="{00000000-0008-0000-0100-00003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42" name="Picture 10" descr=" ">
          <a:extLst>
            <a:ext uri="{FF2B5EF4-FFF2-40B4-BE49-F238E27FC236}">
              <a16:creationId xmlns:a16="http://schemas.microsoft.com/office/drawing/2014/main" id="{00000000-0008-0000-0100-00003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43" name="Picture 11" descr=" ">
          <a:extLst>
            <a:ext uri="{FF2B5EF4-FFF2-40B4-BE49-F238E27FC236}">
              <a16:creationId xmlns:a16="http://schemas.microsoft.com/office/drawing/2014/main" id="{00000000-0008-0000-0100-00003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44" name="Picture 12" descr=" ">
          <a:extLst>
            <a:ext uri="{FF2B5EF4-FFF2-40B4-BE49-F238E27FC236}">
              <a16:creationId xmlns:a16="http://schemas.microsoft.com/office/drawing/2014/main" id="{00000000-0008-0000-0100-00003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45" name="Picture 7" descr=" ">
          <a:extLst>
            <a:ext uri="{FF2B5EF4-FFF2-40B4-BE49-F238E27FC236}">
              <a16:creationId xmlns:a16="http://schemas.microsoft.com/office/drawing/2014/main" id="{00000000-0008-0000-0100-00003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46" name="Picture 8" descr=" ">
          <a:extLst>
            <a:ext uri="{FF2B5EF4-FFF2-40B4-BE49-F238E27FC236}">
              <a16:creationId xmlns:a16="http://schemas.microsoft.com/office/drawing/2014/main" id="{00000000-0008-0000-0100-00003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47" name="Picture 9" descr=" ">
          <a:extLst>
            <a:ext uri="{FF2B5EF4-FFF2-40B4-BE49-F238E27FC236}">
              <a16:creationId xmlns:a16="http://schemas.microsoft.com/office/drawing/2014/main" id="{00000000-0008-0000-0100-00003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48" name="Picture 10" descr=" ">
          <a:extLst>
            <a:ext uri="{FF2B5EF4-FFF2-40B4-BE49-F238E27FC236}">
              <a16:creationId xmlns:a16="http://schemas.microsoft.com/office/drawing/2014/main" id="{00000000-0008-0000-0100-00004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49" name="Picture 11" descr=" ">
          <a:extLst>
            <a:ext uri="{FF2B5EF4-FFF2-40B4-BE49-F238E27FC236}">
              <a16:creationId xmlns:a16="http://schemas.microsoft.com/office/drawing/2014/main" id="{00000000-0008-0000-0100-00004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50" name="Picture 12" descr=" ">
          <a:extLst>
            <a:ext uri="{FF2B5EF4-FFF2-40B4-BE49-F238E27FC236}">
              <a16:creationId xmlns:a16="http://schemas.microsoft.com/office/drawing/2014/main" id="{00000000-0008-0000-0100-00004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51" name="Picture 7" descr=" ">
          <a:extLst>
            <a:ext uri="{FF2B5EF4-FFF2-40B4-BE49-F238E27FC236}">
              <a16:creationId xmlns:a16="http://schemas.microsoft.com/office/drawing/2014/main" id="{00000000-0008-0000-0100-00004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52" name="Picture 8" descr=" ">
          <a:extLst>
            <a:ext uri="{FF2B5EF4-FFF2-40B4-BE49-F238E27FC236}">
              <a16:creationId xmlns:a16="http://schemas.microsoft.com/office/drawing/2014/main" id="{00000000-0008-0000-0100-00004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53" name="Picture 9" descr=" ">
          <a:extLst>
            <a:ext uri="{FF2B5EF4-FFF2-40B4-BE49-F238E27FC236}">
              <a16:creationId xmlns:a16="http://schemas.microsoft.com/office/drawing/2014/main" id="{00000000-0008-0000-0100-00004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54" name="Picture 10" descr=" ">
          <a:extLst>
            <a:ext uri="{FF2B5EF4-FFF2-40B4-BE49-F238E27FC236}">
              <a16:creationId xmlns:a16="http://schemas.microsoft.com/office/drawing/2014/main" id="{00000000-0008-0000-0100-00004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55" name="Picture 11" descr=" ">
          <a:extLst>
            <a:ext uri="{FF2B5EF4-FFF2-40B4-BE49-F238E27FC236}">
              <a16:creationId xmlns:a16="http://schemas.microsoft.com/office/drawing/2014/main" id="{00000000-0008-0000-0100-00004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56" name="Picture 12" descr=" ">
          <a:extLst>
            <a:ext uri="{FF2B5EF4-FFF2-40B4-BE49-F238E27FC236}">
              <a16:creationId xmlns:a16="http://schemas.microsoft.com/office/drawing/2014/main" id="{00000000-0008-0000-0100-00004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57" name="Picture 7" descr=" ">
          <a:extLst>
            <a:ext uri="{FF2B5EF4-FFF2-40B4-BE49-F238E27FC236}">
              <a16:creationId xmlns:a16="http://schemas.microsoft.com/office/drawing/2014/main" id="{00000000-0008-0000-0100-00004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58" name="Picture 8" descr=" ">
          <a:extLst>
            <a:ext uri="{FF2B5EF4-FFF2-40B4-BE49-F238E27FC236}">
              <a16:creationId xmlns:a16="http://schemas.microsoft.com/office/drawing/2014/main" id="{00000000-0008-0000-0100-00004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59" name="Picture 9" descr=" ">
          <a:extLst>
            <a:ext uri="{FF2B5EF4-FFF2-40B4-BE49-F238E27FC236}">
              <a16:creationId xmlns:a16="http://schemas.microsoft.com/office/drawing/2014/main" id="{00000000-0008-0000-0100-00004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60" name="Picture 10" descr=" ">
          <a:extLst>
            <a:ext uri="{FF2B5EF4-FFF2-40B4-BE49-F238E27FC236}">
              <a16:creationId xmlns:a16="http://schemas.microsoft.com/office/drawing/2014/main" id="{00000000-0008-0000-0100-00004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61" name="Picture 11" descr=" ">
          <a:extLst>
            <a:ext uri="{FF2B5EF4-FFF2-40B4-BE49-F238E27FC236}">
              <a16:creationId xmlns:a16="http://schemas.microsoft.com/office/drawing/2014/main" id="{00000000-0008-0000-0100-00004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62" name="Picture 12" descr=" ">
          <a:extLst>
            <a:ext uri="{FF2B5EF4-FFF2-40B4-BE49-F238E27FC236}">
              <a16:creationId xmlns:a16="http://schemas.microsoft.com/office/drawing/2014/main" id="{00000000-0008-0000-0100-00004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63" name="Picture 7" descr=" ">
          <a:extLst>
            <a:ext uri="{FF2B5EF4-FFF2-40B4-BE49-F238E27FC236}">
              <a16:creationId xmlns:a16="http://schemas.microsoft.com/office/drawing/2014/main" id="{00000000-0008-0000-0100-00004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64" name="Picture 8" descr=" ">
          <a:extLst>
            <a:ext uri="{FF2B5EF4-FFF2-40B4-BE49-F238E27FC236}">
              <a16:creationId xmlns:a16="http://schemas.microsoft.com/office/drawing/2014/main" id="{00000000-0008-0000-0100-00005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65" name="Picture 9" descr=" ">
          <a:extLst>
            <a:ext uri="{FF2B5EF4-FFF2-40B4-BE49-F238E27FC236}">
              <a16:creationId xmlns:a16="http://schemas.microsoft.com/office/drawing/2014/main" id="{00000000-0008-0000-0100-00005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66" name="Picture 10" descr=" ">
          <a:extLst>
            <a:ext uri="{FF2B5EF4-FFF2-40B4-BE49-F238E27FC236}">
              <a16:creationId xmlns:a16="http://schemas.microsoft.com/office/drawing/2014/main" id="{00000000-0008-0000-0100-00005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67" name="Picture 11" descr=" ">
          <a:extLst>
            <a:ext uri="{FF2B5EF4-FFF2-40B4-BE49-F238E27FC236}">
              <a16:creationId xmlns:a16="http://schemas.microsoft.com/office/drawing/2014/main" id="{00000000-0008-0000-0100-00005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68" name="Picture 12" descr=" ">
          <a:extLst>
            <a:ext uri="{FF2B5EF4-FFF2-40B4-BE49-F238E27FC236}">
              <a16:creationId xmlns:a16="http://schemas.microsoft.com/office/drawing/2014/main" id="{00000000-0008-0000-0100-00005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69" name="Picture 7" descr=" ">
          <a:extLst>
            <a:ext uri="{FF2B5EF4-FFF2-40B4-BE49-F238E27FC236}">
              <a16:creationId xmlns:a16="http://schemas.microsoft.com/office/drawing/2014/main" id="{00000000-0008-0000-0100-00005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70" name="Picture 8" descr=" ">
          <a:extLst>
            <a:ext uri="{FF2B5EF4-FFF2-40B4-BE49-F238E27FC236}">
              <a16:creationId xmlns:a16="http://schemas.microsoft.com/office/drawing/2014/main" id="{00000000-0008-0000-0100-00005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71" name="Picture 9" descr=" ">
          <a:extLst>
            <a:ext uri="{FF2B5EF4-FFF2-40B4-BE49-F238E27FC236}">
              <a16:creationId xmlns:a16="http://schemas.microsoft.com/office/drawing/2014/main" id="{00000000-0008-0000-0100-00005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72" name="Picture 10" descr=" ">
          <a:extLst>
            <a:ext uri="{FF2B5EF4-FFF2-40B4-BE49-F238E27FC236}">
              <a16:creationId xmlns:a16="http://schemas.microsoft.com/office/drawing/2014/main" id="{00000000-0008-0000-0100-00005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73" name="Picture 11" descr=" ">
          <a:extLst>
            <a:ext uri="{FF2B5EF4-FFF2-40B4-BE49-F238E27FC236}">
              <a16:creationId xmlns:a16="http://schemas.microsoft.com/office/drawing/2014/main" id="{00000000-0008-0000-0100-00005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74" name="Picture 12" descr=" ">
          <a:extLst>
            <a:ext uri="{FF2B5EF4-FFF2-40B4-BE49-F238E27FC236}">
              <a16:creationId xmlns:a16="http://schemas.microsoft.com/office/drawing/2014/main" id="{00000000-0008-0000-0100-00005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75" name="Picture 7" descr=" ">
          <a:extLst>
            <a:ext uri="{FF2B5EF4-FFF2-40B4-BE49-F238E27FC236}">
              <a16:creationId xmlns:a16="http://schemas.microsoft.com/office/drawing/2014/main" id="{00000000-0008-0000-0100-00005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76" name="Picture 8" descr=" ">
          <a:extLst>
            <a:ext uri="{FF2B5EF4-FFF2-40B4-BE49-F238E27FC236}">
              <a16:creationId xmlns:a16="http://schemas.microsoft.com/office/drawing/2014/main" id="{00000000-0008-0000-0100-00005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77" name="Picture 9" descr=" ">
          <a:extLst>
            <a:ext uri="{FF2B5EF4-FFF2-40B4-BE49-F238E27FC236}">
              <a16:creationId xmlns:a16="http://schemas.microsoft.com/office/drawing/2014/main" id="{00000000-0008-0000-0100-00005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78" name="Picture 10" descr=" ">
          <a:extLst>
            <a:ext uri="{FF2B5EF4-FFF2-40B4-BE49-F238E27FC236}">
              <a16:creationId xmlns:a16="http://schemas.microsoft.com/office/drawing/2014/main" id="{00000000-0008-0000-0100-00005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79" name="Picture 11" descr=" ">
          <a:extLst>
            <a:ext uri="{FF2B5EF4-FFF2-40B4-BE49-F238E27FC236}">
              <a16:creationId xmlns:a16="http://schemas.microsoft.com/office/drawing/2014/main" id="{00000000-0008-0000-0100-00005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80" name="Picture 12" descr=" ">
          <a:extLst>
            <a:ext uri="{FF2B5EF4-FFF2-40B4-BE49-F238E27FC236}">
              <a16:creationId xmlns:a16="http://schemas.microsoft.com/office/drawing/2014/main" id="{00000000-0008-0000-0100-00006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81" name="Picture 7" descr=" ">
          <a:extLst>
            <a:ext uri="{FF2B5EF4-FFF2-40B4-BE49-F238E27FC236}">
              <a16:creationId xmlns:a16="http://schemas.microsoft.com/office/drawing/2014/main" id="{00000000-0008-0000-0100-00006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82" name="Picture 8" descr=" ">
          <a:extLst>
            <a:ext uri="{FF2B5EF4-FFF2-40B4-BE49-F238E27FC236}">
              <a16:creationId xmlns:a16="http://schemas.microsoft.com/office/drawing/2014/main" id="{00000000-0008-0000-0100-00006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83" name="Picture 9" descr=" ">
          <a:extLst>
            <a:ext uri="{FF2B5EF4-FFF2-40B4-BE49-F238E27FC236}">
              <a16:creationId xmlns:a16="http://schemas.microsoft.com/office/drawing/2014/main" id="{00000000-0008-0000-0100-00006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84" name="Picture 10" descr=" ">
          <a:extLst>
            <a:ext uri="{FF2B5EF4-FFF2-40B4-BE49-F238E27FC236}">
              <a16:creationId xmlns:a16="http://schemas.microsoft.com/office/drawing/2014/main" id="{00000000-0008-0000-0100-00006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85" name="Picture 11" descr=" ">
          <a:extLst>
            <a:ext uri="{FF2B5EF4-FFF2-40B4-BE49-F238E27FC236}">
              <a16:creationId xmlns:a16="http://schemas.microsoft.com/office/drawing/2014/main" id="{00000000-0008-0000-0100-00006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86" name="Picture 12" descr=" ">
          <a:extLst>
            <a:ext uri="{FF2B5EF4-FFF2-40B4-BE49-F238E27FC236}">
              <a16:creationId xmlns:a16="http://schemas.microsoft.com/office/drawing/2014/main" id="{00000000-0008-0000-0100-00006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87" name="Picture 7" descr=" ">
          <a:extLst>
            <a:ext uri="{FF2B5EF4-FFF2-40B4-BE49-F238E27FC236}">
              <a16:creationId xmlns:a16="http://schemas.microsoft.com/office/drawing/2014/main" id="{00000000-0008-0000-0100-00006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88" name="Picture 8" descr=" ">
          <a:extLst>
            <a:ext uri="{FF2B5EF4-FFF2-40B4-BE49-F238E27FC236}">
              <a16:creationId xmlns:a16="http://schemas.microsoft.com/office/drawing/2014/main" id="{00000000-0008-0000-0100-00006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89" name="Picture 9" descr=" ">
          <a:extLst>
            <a:ext uri="{FF2B5EF4-FFF2-40B4-BE49-F238E27FC236}">
              <a16:creationId xmlns:a16="http://schemas.microsoft.com/office/drawing/2014/main" id="{00000000-0008-0000-0100-00006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90" name="Picture 10" descr=" ">
          <a:extLst>
            <a:ext uri="{FF2B5EF4-FFF2-40B4-BE49-F238E27FC236}">
              <a16:creationId xmlns:a16="http://schemas.microsoft.com/office/drawing/2014/main" id="{00000000-0008-0000-0100-00006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91" name="Picture 11" descr=" ">
          <a:extLst>
            <a:ext uri="{FF2B5EF4-FFF2-40B4-BE49-F238E27FC236}">
              <a16:creationId xmlns:a16="http://schemas.microsoft.com/office/drawing/2014/main" id="{00000000-0008-0000-0100-00006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92" name="Picture 12" descr=" ">
          <a:extLst>
            <a:ext uri="{FF2B5EF4-FFF2-40B4-BE49-F238E27FC236}">
              <a16:creationId xmlns:a16="http://schemas.microsoft.com/office/drawing/2014/main" id="{00000000-0008-0000-0100-00006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93" name="Picture 7" descr=" ">
          <a:extLst>
            <a:ext uri="{FF2B5EF4-FFF2-40B4-BE49-F238E27FC236}">
              <a16:creationId xmlns:a16="http://schemas.microsoft.com/office/drawing/2014/main" id="{00000000-0008-0000-0100-00006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94" name="Picture 8" descr=" ">
          <a:extLst>
            <a:ext uri="{FF2B5EF4-FFF2-40B4-BE49-F238E27FC236}">
              <a16:creationId xmlns:a16="http://schemas.microsoft.com/office/drawing/2014/main" id="{00000000-0008-0000-0100-00006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95" name="Picture 9" descr=" ">
          <a:extLst>
            <a:ext uri="{FF2B5EF4-FFF2-40B4-BE49-F238E27FC236}">
              <a16:creationId xmlns:a16="http://schemas.microsoft.com/office/drawing/2014/main" id="{00000000-0008-0000-0100-00006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96" name="Picture 10" descr=" ">
          <a:extLst>
            <a:ext uri="{FF2B5EF4-FFF2-40B4-BE49-F238E27FC236}">
              <a16:creationId xmlns:a16="http://schemas.microsoft.com/office/drawing/2014/main" id="{00000000-0008-0000-0100-00007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97" name="Picture 11" descr=" ">
          <a:extLst>
            <a:ext uri="{FF2B5EF4-FFF2-40B4-BE49-F238E27FC236}">
              <a16:creationId xmlns:a16="http://schemas.microsoft.com/office/drawing/2014/main" id="{00000000-0008-0000-0100-00007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98" name="Picture 12" descr=" ">
          <a:extLst>
            <a:ext uri="{FF2B5EF4-FFF2-40B4-BE49-F238E27FC236}">
              <a16:creationId xmlns:a16="http://schemas.microsoft.com/office/drawing/2014/main" id="{00000000-0008-0000-0100-00007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099" name="Picture 7" descr=" ">
          <a:extLst>
            <a:ext uri="{FF2B5EF4-FFF2-40B4-BE49-F238E27FC236}">
              <a16:creationId xmlns:a16="http://schemas.microsoft.com/office/drawing/2014/main" id="{00000000-0008-0000-0100-00007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00" name="Picture 8" descr=" ">
          <a:extLst>
            <a:ext uri="{FF2B5EF4-FFF2-40B4-BE49-F238E27FC236}">
              <a16:creationId xmlns:a16="http://schemas.microsoft.com/office/drawing/2014/main" id="{00000000-0008-0000-0100-00007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01" name="Picture 9" descr=" ">
          <a:extLst>
            <a:ext uri="{FF2B5EF4-FFF2-40B4-BE49-F238E27FC236}">
              <a16:creationId xmlns:a16="http://schemas.microsoft.com/office/drawing/2014/main" id="{00000000-0008-0000-0100-00007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02" name="Picture 10" descr=" ">
          <a:extLst>
            <a:ext uri="{FF2B5EF4-FFF2-40B4-BE49-F238E27FC236}">
              <a16:creationId xmlns:a16="http://schemas.microsoft.com/office/drawing/2014/main" id="{00000000-0008-0000-0100-00007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03" name="Picture 11" descr=" ">
          <a:extLst>
            <a:ext uri="{FF2B5EF4-FFF2-40B4-BE49-F238E27FC236}">
              <a16:creationId xmlns:a16="http://schemas.microsoft.com/office/drawing/2014/main" id="{00000000-0008-0000-0100-00007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04" name="Picture 12" descr=" ">
          <a:extLst>
            <a:ext uri="{FF2B5EF4-FFF2-40B4-BE49-F238E27FC236}">
              <a16:creationId xmlns:a16="http://schemas.microsoft.com/office/drawing/2014/main" id="{00000000-0008-0000-0100-00007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05" name="Picture 7" descr=" ">
          <a:extLst>
            <a:ext uri="{FF2B5EF4-FFF2-40B4-BE49-F238E27FC236}">
              <a16:creationId xmlns:a16="http://schemas.microsoft.com/office/drawing/2014/main" id="{00000000-0008-0000-0100-00007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06" name="Picture 8" descr=" ">
          <a:extLst>
            <a:ext uri="{FF2B5EF4-FFF2-40B4-BE49-F238E27FC236}">
              <a16:creationId xmlns:a16="http://schemas.microsoft.com/office/drawing/2014/main" id="{00000000-0008-0000-0100-00007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07" name="Picture 9" descr=" ">
          <a:extLst>
            <a:ext uri="{FF2B5EF4-FFF2-40B4-BE49-F238E27FC236}">
              <a16:creationId xmlns:a16="http://schemas.microsoft.com/office/drawing/2014/main" id="{00000000-0008-0000-0100-00007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08" name="Picture 10" descr=" ">
          <a:extLst>
            <a:ext uri="{FF2B5EF4-FFF2-40B4-BE49-F238E27FC236}">
              <a16:creationId xmlns:a16="http://schemas.microsoft.com/office/drawing/2014/main" id="{00000000-0008-0000-0100-00007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09" name="Picture 11" descr=" ">
          <a:extLst>
            <a:ext uri="{FF2B5EF4-FFF2-40B4-BE49-F238E27FC236}">
              <a16:creationId xmlns:a16="http://schemas.microsoft.com/office/drawing/2014/main" id="{00000000-0008-0000-0100-00007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10" name="Picture 12" descr=" ">
          <a:extLst>
            <a:ext uri="{FF2B5EF4-FFF2-40B4-BE49-F238E27FC236}">
              <a16:creationId xmlns:a16="http://schemas.microsoft.com/office/drawing/2014/main" id="{00000000-0008-0000-0100-00007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11" name="Picture 7" descr=" ">
          <a:extLst>
            <a:ext uri="{FF2B5EF4-FFF2-40B4-BE49-F238E27FC236}">
              <a16:creationId xmlns:a16="http://schemas.microsoft.com/office/drawing/2014/main" id="{00000000-0008-0000-0100-00007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12" name="Picture 8" descr=" ">
          <a:extLst>
            <a:ext uri="{FF2B5EF4-FFF2-40B4-BE49-F238E27FC236}">
              <a16:creationId xmlns:a16="http://schemas.microsoft.com/office/drawing/2014/main" id="{00000000-0008-0000-0100-00008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13" name="Picture 9" descr=" ">
          <a:extLst>
            <a:ext uri="{FF2B5EF4-FFF2-40B4-BE49-F238E27FC236}">
              <a16:creationId xmlns:a16="http://schemas.microsoft.com/office/drawing/2014/main" id="{00000000-0008-0000-0100-00008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14" name="Picture 10" descr=" ">
          <a:extLst>
            <a:ext uri="{FF2B5EF4-FFF2-40B4-BE49-F238E27FC236}">
              <a16:creationId xmlns:a16="http://schemas.microsoft.com/office/drawing/2014/main" id="{00000000-0008-0000-0100-00008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15" name="Picture 11" descr=" ">
          <a:extLst>
            <a:ext uri="{FF2B5EF4-FFF2-40B4-BE49-F238E27FC236}">
              <a16:creationId xmlns:a16="http://schemas.microsoft.com/office/drawing/2014/main" id="{00000000-0008-0000-0100-00008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16" name="Picture 12" descr=" ">
          <a:extLst>
            <a:ext uri="{FF2B5EF4-FFF2-40B4-BE49-F238E27FC236}">
              <a16:creationId xmlns:a16="http://schemas.microsoft.com/office/drawing/2014/main" id="{00000000-0008-0000-0100-00008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17" name="Picture 7" descr=" ">
          <a:extLst>
            <a:ext uri="{FF2B5EF4-FFF2-40B4-BE49-F238E27FC236}">
              <a16:creationId xmlns:a16="http://schemas.microsoft.com/office/drawing/2014/main" id="{00000000-0008-0000-0100-00008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18" name="Picture 8" descr=" ">
          <a:extLst>
            <a:ext uri="{FF2B5EF4-FFF2-40B4-BE49-F238E27FC236}">
              <a16:creationId xmlns:a16="http://schemas.microsoft.com/office/drawing/2014/main" id="{00000000-0008-0000-0100-00008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19" name="Picture 9" descr=" ">
          <a:extLst>
            <a:ext uri="{FF2B5EF4-FFF2-40B4-BE49-F238E27FC236}">
              <a16:creationId xmlns:a16="http://schemas.microsoft.com/office/drawing/2014/main" id="{00000000-0008-0000-0100-00008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20" name="Picture 10" descr=" ">
          <a:extLst>
            <a:ext uri="{FF2B5EF4-FFF2-40B4-BE49-F238E27FC236}">
              <a16:creationId xmlns:a16="http://schemas.microsoft.com/office/drawing/2014/main" id="{00000000-0008-0000-0100-00008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21" name="Picture 11" descr=" ">
          <a:extLst>
            <a:ext uri="{FF2B5EF4-FFF2-40B4-BE49-F238E27FC236}">
              <a16:creationId xmlns:a16="http://schemas.microsoft.com/office/drawing/2014/main" id="{00000000-0008-0000-0100-00008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22" name="Picture 12" descr=" ">
          <a:extLst>
            <a:ext uri="{FF2B5EF4-FFF2-40B4-BE49-F238E27FC236}">
              <a16:creationId xmlns:a16="http://schemas.microsoft.com/office/drawing/2014/main" id="{00000000-0008-0000-0100-00008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23" name="Picture 7" descr=" ">
          <a:extLst>
            <a:ext uri="{FF2B5EF4-FFF2-40B4-BE49-F238E27FC236}">
              <a16:creationId xmlns:a16="http://schemas.microsoft.com/office/drawing/2014/main" id="{00000000-0008-0000-0100-00008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24" name="Picture 8" descr=" ">
          <a:extLst>
            <a:ext uri="{FF2B5EF4-FFF2-40B4-BE49-F238E27FC236}">
              <a16:creationId xmlns:a16="http://schemas.microsoft.com/office/drawing/2014/main" id="{00000000-0008-0000-0100-00008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25" name="Picture 9" descr=" ">
          <a:extLst>
            <a:ext uri="{FF2B5EF4-FFF2-40B4-BE49-F238E27FC236}">
              <a16:creationId xmlns:a16="http://schemas.microsoft.com/office/drawing/2014/main" id="{00000000-0008-0000-0100-00008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26" name="Picture 10" descr=" ">
          <a:extLst>
            <a:ext uri="{FF2B5EF4-FFF2-40B4-BE49-F238E27FC236}">
              <a16:creationId xmlns:a16="http://schemas.microsoft.com/office/drawing/2014/main" id="{00000000-0008-0000-0100-00008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27" name="Picture 11" descr=" ">
          <a:extLst>
            <a:ext uri="{FF2B5EF4-FFF2-40B4-BE49-F238E27FC236}">
              <a16:creationId xmlns:a16="http://schemas.microsoft.com/office/drawing/2014/main" id="{00000000-0008-0000-0100-00008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28" name="Picture 12" descr=" ">
          <a:extLst>
            <a:ext uri="{FF2B5EF4-FFF2-40B4-BE49-F238E27FC236}">
              <a16:creationId xmlns:a16="http://schemas.microsoft.com/office/drawing/2014/main" id="{00000000-0008-0000-0100-00009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29" name="Picture 7" descr=" ">
          <a:extLst>
            <a:ext uri="{FF2B5EF4-FFF2-40B4-BE49-F238E27FC236}">
              <a16:creationId xmlns:a16="http://schemas.microsoft.com/office/drawing/2014/main" id="{00000000-0008-0000-0100-00009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30" name="Picture 8" descr=" ">
          <a:extLst>
            <a:ext uri="{FF2B5EF4-FFF2-40B4-BE49-F238E27FC236}">
              <a16:creationId xmlns:a16="http://schemas.microsoft.com/office/drawing/2014/main" id="{00000000-0008-0000-0100-00009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31" name="Picture 9" descr=" ">
          <a:extLst>
            <a:ext uri="{FF2B5EF4-FFF2-40B4-BE49-F238E27FC236}">
              <a16:creationId xmlns:a16="http://schemas.microsoft.com/office/drawing/2014/main" id="{00000000-0008-0000-0100-00009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32" name="Picture 10" descr=" ">
          <a:extLst>
            <a:ext uri="{FF2B5EF4-FFF2-40B4-BE49-F238E27FC236}">
              <a16:creationId xmlns:a16="http://schemas.microsoft.com/office/drawing/2014/main" id="{00000000-0008-0000-0100-00009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33" name="Picture 11" descr=" ">
          <a:extLst>
            <a:ext uri="{FF2B5EF4-FFF2-40B4-BE49-F238E27FC236}">
              <a16:creationId xmlns:a16="http://schemas.microsoft.com/office/drawing/2014/main" id="{00000000-0008-0000-0100-00009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34" name="Picture 12" descr=" ">
          <a:extLst>
            <a:ext uri="{FF2B5EF4-FFF2-40B4-BE49-F238E27FC236}">
              <a16:creationId xmlns:a16="http://schemas.microsoft.com/office/drawing/2014/main" id="{00000000-0008-0000-0100-00009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35" name="Picture 7" descr=" ">
          <a:extLst>
            <a:ext uri="{FF2B5EF4-FFF2-40B4-BE49-F238E27FC236}">
              <a16:creationId xmlns:a16="http://schemas.microsoft.com/office/drawing/2014/main" id="{00000000-0008-0000-0100-00009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36" name="Picture 8" descr=" ">
          <a:extLst>
            <a:ext uri="{FF2B5EF4-FFF2-40B4-BE49-F238E27FC236}">
              <a16:creationId xmlns:a16="http://schemas.microsoft.com/office/drawing/2014/main" id="{00000000-0008-0000-0100-00009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37" name="Picture 9" descr=" ">
          <a:extLst>
            <a:ext uri="{FF2B5EF4-FFF2-40B4-BE49-F238E27FC236}">
              <a16:creationId xmlns:a16="http://schemas.microsoft.com/office/drawing/2014/main" id="{00000000-0008-0000-0100-00009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38" name="Picture 10" descr=" ">
          <a:extLst>
            <a:ext uri="{FF2B5EF4-FFF2-40B4-BE49-F238E27FC236}">
              <a16:creationId xmlns:a16="http://schemas.microsoft.com/office/drawing/2014/main" id="{00000000-0008-0000-0100-00009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39" name="Picture 11" descr=" ">
          <a:extLst>
            <a:ext uri="{FF2B5EF4-FFF2-40B4-BE49-F238E27FC236}">
              <a16:creationId xmlns:a16="http://schemas.microsoft.com/office/drawing/2014/main" id="{00000000-0008-0000-0100-00009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40" name="Picture 12" descr=" ">
          <a:extLst>
            <a:ext uri="{FF2B5EF4-FFF2-40B4-BE49-F238E27FC236}">
              <a16:creationId xmlns:a16="http://schemas.microsoft.com/office/drawing/2014/main" id="{00000000-0008-0000-0100-00009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41" name="Picture 7" descr=" ">
          <a:extLst>
            <a:ext uri="{FF2B5EF4-FFF2-40B4-BE49-F238E27FC236}">
              <a16:creationId xmlns:a16="http://schemas.microsoft.com/office/drawing/2014/main" id="{00000000-0008-0000-0100-00009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42" name="Picture 8" descr=" ">
          <a:extLst>
            <a:ext uri="{FF2B5EF4-FFF2-40B4-BE49-F238E27FC236}">
              <a16:creationId xmlns:a16="http://schemas.microsoft.com/office/drawing/2014/main" id="{00000000-0008-0000-0100-00009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43" name="Picture 9" descr=" ">
          <a:extLst>
            <a:ext uri="{FF2B5EF4-FFF2-40B4-BE49-F238E27FC236}">
              <a16:creationId xmlns:a16="http://schemas.microsoft.com/office/drawing/2014/main" id="{00000000-0008-0000-0100-00009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44" name="Picture 10" descr=" ">
          <a:extLst>
            <a:ext uri="{FF2B5EF4-FFF2-40B4-BE49-F238E27FC236}">
              <a16:creationId xmlns:a16="http://schemas.microsoft.com/office/drawing/2014/main" id="{00000000-0008-0000-0100-0000A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45" name="Picture 11" descr=" ">
          <a:extLst>
            <a:ext uri="{FF2B5EF4-FFF2-40B4-BE49-F238E27FC236}">
              <a16:creationId xmlns:a16="http://schemas.microsoft.com/office/drawing/2014/main" id="{00000000-0008-0000-0100-0000A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46" name="Picture 12" descr=" ">
          <a:extLst>
            <a:ext uri="{FF2B5EF4-FFF2-40B4-BE49-F238E27FC236}">
              <a16:creationId xmlns:a16="http://schemas.microsoft.com/office/drawing/2014/main" id="{00000000-0008-0000-0100-0000A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47" name="Picture 7" descr=" ">
          <a:extLst>
            <a:ext uri="{FF2B5EF4-FFF2-40B4-BE49-F238E27FC236}">
              <a16:creationId xmlns:a16="http://schemas.microsoft.com/office/drawing/2014/main" id="{00000000-0008-0000-0100-0000A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48" name="Picture 8" descr=" ">
          <a:extLst>
            <a:ext uri="{FF2B5EF4-FFF2-40B4-BE49-F238E27FC236}">
              <a16:creationId xmlns:a16="http://schemas.microsoft.com/office/drawing/2014/main" id="{00000000-0008-0000-0100-0000A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49" name="Picture 9" descr=" ">
          <a:extLst>
            <a:ext uri="{FF2B5EF4-FFF2-40B4-BE49-F238E27FC236}">
              <a16:creationId xmlns:a16="http://schemas.microsoft.com/office/drawing/2014/main" id="{00000000-0008-0000-0100-0000A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50" name="Picture 10" descr=" ">
          <a:extLst>
            <a:ext uri="{FF2B5EF4-FFF2-40B4-BE49-F238E27FC236}">
              <a16:creationId xmlns:a16="http://schemas.microsoft.com/office/drawing/2014/main" id="{00000000-0008-0000-0100-0000A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51" name="Picture 11" descr=" ">
          <a:extLst>
            <a:ext uri="{FF2B5EF4-FFF2-40B4-BE49-F238E27FC236}">
              <a16:creationId xmlns:a16="http://schemas.microsoft.com/office/drawing/2014/main" id="{00000000-0008-0000-0100-0000A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52" name="Picture 12" descr=" ">
          <a:extLst>
            <a:ext uri="{FF2B5EF4-FFF2-40B4-BE49-F238E27FC236}">
              <a16:creationId xmlns:a16="http://schemas.microsoft.com/office/drawing/2014/main" id="{00000000-0008-0000-0100-0000A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53" name="Picture 7" descr=" ">
          <a:extLst>
            <a:ext uri="{FF2B5EF4-FFF2-40B4-BE49-F238E27FC236}">
              <a16:creationId xmlns:a16="http://schemas.microsoft.com/office/drawing/2014/main" id="{00000000-0008-0000-0100-0000A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54" name="Picture 8" descr=" ">
          <a:extLst>
            <a:ext uri="{FF2B5EF4-FFF2-40B4-BE49-F238E27FC236}">
              <a16:creationId xmlns:a16="http://schemas.microsoft.com/office/drawing/2014/main" id="{00000000-0008-0000-0100-0000A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55" name="Picture 9" descr=" ">
          <a:extLst>
            <a:ext uri="{FF2B5EF4-FFF2-40B4-BE49-F238E27FC236}">
              <a16:creationId xmlns:a16="http://schemas.microsoft.com/office/drawing/2014/main" id="{00000000-0008-0000-0100-0000A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56" name="Picture 10" descr=" ">
          <a:extLst>
            <a:ext uri="{FF2B5EF4-FFF2-40B4-BE49-F238E27FC236}">
              <a16:creationId xmlns:a16="http://schemas.microsoft.com/office/drawing/2014/main" id="{00000000-0008-0000-0100-0000A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57" name="Picture 11" descr=" ">
          <a:extLst>
            <a:ext uri="{FF2B5EF4-FFF2-40B4-BE49-F238E27FC236}">
              <a16:creationId xmlns:a16="http://schemas.microsoft.com/office/drawing/2014/main" id="{00000000-0008-0000-0100-0000A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58" name="Picture 12" descr=" ">
          <a:extLst>
            <a:ext uri="{FF2B5EF4-FFF2-40B4-BE49-F238E27FC236}">
              <a16:creationId xmlns:a16="http://schemas.microsoft.com/office/drawing/2014/main" id="{00000000-0008-0000-0100-0000A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59" name="Picture 7" descr=" ">
          <a:extLst>
            <a:ext uri="{FF2B5EF4-FFF2-40B4-BE49-F238E27FC236}">
              <a16:creationId xmlns:a16="http://schemas.microsoft.com/office/drawing/2014/main" id="{00000000-0008-0000-0100-0000A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60" name="Picture 8" descr=" ">
          <a:extLst>
            <a:ext uri="{FF2B5EF4-FFF2-40B4-BE49-F238E27FC236}">
              <a16:creationId xmlns:a16="http://schemas.microsoft.com/office/drawing/2014/main" id="{00000000-0008-0000-0100-0000B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61" name="Picture 9" descr=" ">
          <a:extLst>
            <a:ext uri="{FF2B5EF4-FFF2-40B4-BE49-F238E27FC236}">
              <a16:creationId xmlns:a16="http://schemas.microsoft.com/office/drawing/2014/main" id="{00000000-0008-0000-0100-0000B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62" name="Picture 10" descr=" ">
          <a:extLst>
            <a:ext uri="{FF2B5EF4-FFF2-40B4-BE49-F238E27FC236}">
              <a16:creationId xmlns:a16="http://schemas.microsoft.com/office/drawing/2014/main" id="{00000000-0008-0000-0100-0000B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63" name="Picture 11" descr=" ">
          <a:extLst>
            <a:ext uri="{FF2B5EF4-FFF2-40B4-BE49-F238E27FC236}">
              <a16:creationId xmlns:a16="http://schemas.microsoft.com/office/drawing/2014/main" id="{00000000-0008-0000-0100-0000B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64" name="Picture 12" descr=" ">
          <a:extLst>
            <a:ext uri="{FF2B5EF4-FFF2-40B4-BE49-F238E27FC236}">
              <a16:creationId xmlns:a16="http://schemas.microsoft.com/office/drawing/2014/main" id="{00000000-0008-0000-0100-0000B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65" name="Picture 7" descr=" ">
          <a:extLst>
            <a:ext uri="{FF2B5EF4-FFF2-40B4-BE49-F238E27FC236}">
              <a16:creationId xmlns:a16="http://schemas.microsoft.com/office/drawing/2014/main" id="{00000000-0008-0000-0100-0000B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66" name="Picture 8" descr=" ">
          <a:extLst>
            <a:ext uri="{FF2B5EF4-FFF2-40B4-BE49-F238E27FC236}">
              <a16:creationId xmlns:a16="http://schemas.microsoft.com/office/drawing/2014/main" id="{00000000-0008-0000-0100-0000B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67" name="Picture 9" descr=" ">
          <a:extLst>
            <a:ext uri="{FF2B5EF4-FFF2-40B4-BE49-F238E27FC236}">
              <a16:creationId xmlns:a16="http://schemas.microsoft.com/office/drawing/2014/main" id="{00000000-0008-0000-0100-0000B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68" name="Picture 10" descr=" ">
          <a:extLst>
            <a:ext uri="{FF2B5EF4-FFF2-40B4-BE49-F238E27FC236}">
              <a16:creationId xmlns:a16="http://schemas.microsoft.com/office/drawing/2014/main" id="{00000000-0008-0000-0100-0000B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69" name="Picture 11" descr=" ">
          <a:extLst>
            <a:ext uri="{FF2B5EF4-FFF2-40B4-BE49-F238E27FC236}">
              <a16:creationId xmlns:a16="http://schemas.microsoft.com/office/drawing/2014/main" id="{00000000-0008-0000-0100-0000B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70" name="Picture 12" descr=" ">
          <a:extLst>
            <a:ext uri="{FF2B5EF4-FFF2-40B4-BE49-F238E27FC236}">
              <a16:creationId xmlns:a16="http://schemas.microsoft.com/office/drawing/2014/main" id="{00000000-0008-0000-0100-0000B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71" name="Picture 7" descr=" ">
          <a:extLst>
            <a:ext uri="{FF2B5EF4-FFF2-40B4-BE49-F238E27FC236}">
              <a16:creationId xmlns:a16="http://schemas.microsoft.com/office/drawing/2014/main" id="{00000000-0008-0000-0100-0000B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72" name="Picture 8" descr=" ">
          <a:extLst>
            <a:ext uri="{FF2B5EF4-FFF2-40B4-BE49-F238E27FC236}">
              <a16:creationId xmlns:a16="http://schemas.microsoft.com/office/drawing/2014/main" id="{00000000-0008-0000-0100-0000B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73" name="Picture 9" descr=" ">
          <a:extLst>
            <a:ext uri="{FF2B5EF4-FFF2-40B4-BE49-F238E27FC236}">
              <a16:creationId xmlns:a16="http://schemas.microsoft.com/office/drawing/2014/main" id="{00000000-0008-0000-0100-0000B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74" name="Picture 10" descr=" ">
          <a:extLst>
            <a:ext uri="{FF2B5EF4-FFF2-40B4-BE49-F238E27FC236}">
              <a16:creationId xmlns:a16="http://schemas.microsoft.com/office/drawing/2014/main" id="{00000000-0008-0000-0100-0000B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75" name="Picture 11" descr=" ">
          <a:extLst>
            <a:ext uri="{FF2B5EF4-FFF2-40B4-BE49-F238E27FC236}">
              <a16:creationId xmlns:a16="http://schemas.microsoft.com/office/drawing/2014/main" id="{00000000-0008-0000-0100-0000B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76" name="Picture 12" descr=" ">
          <a:extLst>
            <a:ext uri="{FF2B5EF4-FFF2-40B4-BE49-F238E27FC236}">
              <a16:creationId xmlns:a16="http://schemas.microsoft.com/office/drawing/2014/main" id="{00000000-0008-0000-0100-0000C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77" name="Picture 7" descr=" ">
          <a:extLst>
            <a:ext uri="{FF2B5EF4-FFF2-40B4-BE49-F238E27FC236}">
              <a16:creationId xmlns:a16="http://schemas.microsoft.com/office/drawing/2014/main" id="{00000000-0008-0000-0100-0000C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78" name="Picture 8" descr=" ">
          <a:extLst>
            <a:ext uri="{FF2B5EF4-FFF2-40B4-BE49-F238E27FC236}">
              <a16:creationId xmlns:a16="http://schemas.microsoft.com/office/drawing/2014/main" id="{00000000-0008-0000-0100-0000C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79" name="Picture 9" descr=" ">
          <a:extLst>
            <a:ext uri="{FF2B5EF4-FFF2-40B4-BE49-F238E27FC236}">
              <a16:creationId xmlns:a16="http://schemas.microsoft.com/office/drawing/2014/main" id="{00000000-0008-0000-0100-0000C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80" name="Picture 10" descr=" ">
          <a:extLst>
            <a:ext uri="{FF2B5EF4-FFF2-40B4-BE49-F238E27FC236}">
              <a16:creationId xmlns:a16="http://schemas.microsoft.com/office/drawing/2014/main" id="{00000000-0008-0000-0100-0000C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81" name="Picture 11" descr=" ">
          <a:extLst>
            <a:ext uri="{FF2B5EF4-FFF2-40B4-BE49-F238E27FC236}">
              <a16:creationId xmlns:a16="http://schemas.microsoft.com/office/drawing/2014/main" id="{00000000-0008-0000-0100-0000C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82" name="Picture 12" descr=" ">
          <a:extLst>
            <a:ext uri="{FF2B5EF4-FFF2-40B4-BE49-F238E27FC236}">
              <a16:creationId xmlns:a16="http://schemas.microsoft.com/office/drawing/2014/main" id="{00000000-0008-0000-0100-0000C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83" name="Picture 7" descr=" ">
          <a:extLst>
            <a:ext uri="{FF2B5EF4-FFF2-40B4-BE49-F238E27FC236}">
              <a16:creationId xmlns:a16="http://schemas.microsoft.com/office/drawing/2014/main" id="{00000000-0008-0000-0100-0000C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84" name="Picture 8" descr=" ">
          <a:extLst>
            <a:ext uri="{FF2B5EF4-FFF2-40B4-BE49-F238E27FC236}">
              <a16:creationId xmlns:a16="http://schemas.microsoft.com/office/drawing/2014/main" id="{00000000-0008-0000-0100-0000C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85" name="Picture 9" descr=" ">
          <a:extLst>
            <a:ext uri="{FF2B5EF4-FFF2-40B4-BE49-F238E27FC236}">
              <a16:creationId xmlns:a16="http://schemas.microsoft.com/office/drawing/2014/main" id="{00000000-0008-0000-0100-0000C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86" name="Picture 10" descr=" ">
          <a:extLst>
            <a:ext uri="{FF2B5EF4-FFF2-40B4-BE49-F238E27FC236}">
              <a16:creationId xmlns:a16="http://schemas.microsoft.com/office/drawing/2014/main" id="{00000000-0008-0000-0100-0000C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87" name="Picture 11" descr=" ">
          <a:extLst>
            <a:ext uri="{FF2B5EF4-FFF2-40B4-BE49-F238E27FC236}">
              <a16:creationId xmlns:a16="http://schemas.microsoft.com/office/drawing/2014/main" id="{00000000-0008-0000-0100-0000C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88" name="Picture 12" descr=" ">
          <a:extLst>
            <a:ext uri="{FF2B5EF4-FFF2-40B4-BE49-F238E27FC236}">
              <a16:creationId xmlns:a16="http://schemas.microsoft.com/office/drawing/2014/main" id="{00000000-0008-0000-0100-0000C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89" name="Picture 7" descr=" ">
          <a:extLst>
            <a:ext uri="{FF2B5EF4-FFF2-40B4-BE49-F238E27FC236}">
              <a16:creationId xmlns:a16="http://schemas.microsoft.com/office/drawing/2014/main" id="{00000000-0008-0000-0100-0000C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90" name="Picture 8" descr=" ">
          <a:extLst>
            <a:ext uri="{FF2B5EF4-FFF2-40B4-BE49-F238E27FC236}">
              <a16:creationId xmlns:a16="http://schemas.microsoft.com/office/drawing/2014/main" id="{00000000-0008-0000-0100-0000C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91" name="Picture 9" descr=" ">
          <a:extLst>
            <a:ext uri="{FF2B5EF4-FFF2-40B4-BE49-F238E27FC236}">
              <a16:creationId xmlns:a16="http://schemas.microsoft.com/office/drawing/2014/main" id="{00000000-0008-0000-0100-0000C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92" name="Picture 10" descr=" ">
          <a:extLst>
            <a:ext uri="{FF2B5EF4-FFF2-40B4-BE49-F238E27FC236}">
              <a16:creationId xmlns:a16="http://schemas.microsoft.com/office/drawing/2014/main" id="{00000000-0008-0000-0100-0000D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93" name="Picture 11" descr=" ">
          <a:extLst>
            <a:ext uri="{FF2B5EF4-FFF2-40B4-BE49-F238E27FC236}">
              <a16:creationId xmlns:a16="http://schemas.microsoft.com/office/drawing/2014/main" id="{00000000-0008-0000-0100-0000D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94" name="Picture 12" descr=" ">
          <a:extLst>
            <a:ext uri="{FF2B5EF4-FFF2-40B4-BE49-F238E27FC236}">
              <a16:creationId xmlns:a16="http://schemas.microsoft.com/office/drawing/2014/main" id="{00000000-0008-0000-0100-0000D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95" name="Picture 7" descr=" ">
          <a:extLst>
            <a:ext uri="{FF2B5EF4-FFF2-40B4-BE49-F238E27FC236}">
              <a16:creationId xmlns:a16="http://schemas.microsoft.com/office/drawing/2014/main" id="{00000000-0008-0000-0100-0000D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96" name="Picture 8" descr=" ">
          <a:extLst>
            <a:ext uri="{FF2B5EF4-FFF2-40B4-BE49-F238E27FC236}">
              <a16:creationId xmlns:a16="http://schemas.microsoft.com/office/drawing/2014/main" id="{00000000-0008-0000-0100-0000D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97" name="Picture 9" descr=" ">
          <a:extLst>
            <a:ext uri="{FF2B5EF4-FFF2-40B4-BE49-F238E27FC236}">
              <a16:creationId xmlns:a16="http://schemas.microsoft.com/office/drawing/2014/main" id="{00000000-0008-0000-0100-0000D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98" name="Picture 10" descr=" ">
          <a:extLst>
            <a:ext uri="{FF2B5EF4-FFF2-40B4-BE49-F238E27FC236}">
              <a16:creationId xmlns:a16="http://schemas.microsoft.com/office/drawing/2014/main" id="{00000000-0008-0000-0100-0000D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199" name="Picture 11" descr=" ">
          <a:extLst>
            <a:ext uri="{FF2B5EF4-FFF2-40B4-BE49-F238E27FC236}">
              <a16:creationId xmlns:a16="http://schemas.microsoft.com/office/drawing/2014/main" id="{00000000-0008-0000-0100-0000D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00" name="Picture 12" descr=" ">
          <a:extLst>
            <a:ext uri="{FF2B5EF4-FFF2-40B4-BE49-F238E27FC236}">
              <a16:creationId xmlns:a16="http://schemas.microsoft.com/office/drawing/2014/main" id="{00000000-0008-0000-0100-0000D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01" name="Picture 7" descr=" ">
          <a:extLst>
            <a:ext uri="{FF2B5EF4-FFF2-40B4-BE49-F238E27FC236}">
              <a16:creationId xmlns:a16="http://schemas.microsoft.com/office/drawing/2014/main" id="{00000000-0008-0000-0100-0000D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02" name="Picture 8" descr=" ">
          <a:extLst>
            <a:ext uri="{FF2B5EF4-FFF2-40B4-BE49-F238E27FC236}">
              <a16:creationId xmlns:a16="http://schemas.microsoft.com/office/drawing/2014/main" id="{00000000-0008-0000-0100-0000D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03" name="Picture 9" descr=" ">
          <a:extLst>
            <a:ext uri="{FF2B5EF4-FFF2-40B4-BE49-F238E27FC236}">
              <a16:creationId xmlns:a16="http://schemas.microsoft.com/office/drawing/2014/main" id="{00000000-0008-0000-0100-0000D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04" name="Picture 10" descr=" ">
          <a:extLst>
            <a:ext uri="{FF2B5EF4-FFF2-40B4-BE49-F238E27FC236}">
              <a16:creationId xmlns:a16="http://schemas.microsoft.com/office/drawing/2014/main" id="{00000000-0008-0000-0100-0000D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05" name="Picture 11" descr=" ">
          <a:extLst>
            <a:ext uri="{FF2B5EF4-FFF2-40B4-BE49-F238E27FC236}">
              <a16:creationId xmlns:a16="http://schemas.microsoft.com/office/drawing/2014/main" id="{00000000-0008-0000-0100-0000D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06" name="Picture 12" descr=" ">
          <a:extLst>
            <a:ext uri="{FF2B5EF4-FFF2-40B4-BE49-F238E27FC236}">
              <a16:creationId xmlns:a16="http://schemas.microsoft.com/office/drawing/2014/main" id="{00000000-0008-0000-0100-0000D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07" name="Picture 7" descr=" ">
          <a:extLst>
            <a:ext uri="{FF2B5EF4-FFF2-40B4-BE49-F238E27FC236}">
              <a16:creationId xmlns:a16="http://schemas.microsoft.com/office/drawing/2014/main" id="{00000000-0008-0000-0100-0000D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08" name="Picture 8" descr=" ">
          <a:extLst>
            <a:ext uri="{FF2B5EF4-FFF2-40B4-BE49-F238E27FC236}">
              <a16:creationId xmlns:a16="http://schemas.microsoft.com/office/drawing/2014/main" id="{00000000-0008-0000-0100-0000E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09" name="Picture 9" descr=" ">
          <a:extLst>
            <a:ext uri="{FF2B5EF4-FFF2-40B4-BE49-F238E27FC236}">
              <a16:creationId xmlns:a16="http://schemas.microsoft.com/office/drawing/2014/main" id="{00000000-0008-0000-0100-0000E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10" name="Picture 10" descr=" ">
          <a:extLst>
            <a:ext uri="{FF2B5EF4-FFF2-40B4-BE49-F238E27FC236}">
              <a16:creationId xmlns:a16="http://schemas.microsoft.com/office/drawing/2014/main" id="{00000000-0008-0000-0100-0000E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11" name="Picture 11" descr=" ">
          <a:extLst>
            <a:ext uri="{FF2B5EF4-FFF2-40B4-BE49-F238E27FC236}">
              <a16:creationId xmlns:a16="http://schemas.microsoft.com/office/drawing/2014/main" id="{00000000-0008-0000-0100-0000E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12" name="Picture 12" descr=" ">
          <a:extLst>
            <a:ext uri="{FF2B5EF4-FFF2-40B4-BE49-F238E27FC236}">
              <a16:creationId xmlns:a16="http://schemas.microsoft.com/office/drawing/2014/main" id="{00000000-0008-0000-0100-0000E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13" name="Picture 7" descr=" ">
          <a:extLst>
            <a:ext uri="{FF2B5EF4-FFF2-40B4-BE49-F238E27FC236}">
              <a16:creationId xmlns:a16="http://schemas.microsoft.com/office/drawing/2014/main" id="{00000000-0008-0000-0100-0000E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14" name="Picture 8" descr=" ">
          <a:extLst>
            <a:ext uri="{FF2B5EF4-FFF2-40B4-BE49-F238E27FC236}">
              <a16:creationId xmlns:a16="http://schemas.microsoft.com/office/drawing/2014/main" id="{00000000-0008-0000-0100-0000E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15" name="Picture 9" descr=" ">
          <a:extLst>
            <a:ext uri="{FF2B5EF4-FFF2-40B4-BE49-F238E27FC236}">
              <a16:creationId xmlns:a16="http://schemas.microsoft.com/office/drawing/2014/main" id="{00000000-0008-0000-0100-0000E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16" name="Picture 10" descr=" ">
          <a:extLst>
            <a:ext uri="{FF2B5EF4-FFF2-40B4-BE49-F238E27FC236}">
              <a16:creationId xmlns:a16="http://schemas.microsoft.com/office/drawing/2014/main" id="{00000000-0008-0000-0100-0000E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17" name="Picture 11" descr=" ">
          <a:extLst>
            <a:ext uri="{FF2B5EF4-FFF2-40B4-BE49-F238E27FC236}">
              <a16:creationId xmlns:a16="http://schemas.microsoft.com/office/drawing/2014/main" id="{00000000-0008-0000-0100-0000E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18" name="Picture 12" descr=" ">
          <a:extLst>
            <a:ext uri="{FF2B5EF4-FFF2-40B4-BE49-F238E27FC236}">
              <a16:creationId xmlns:a16="http://schemas.microsoft.com/office/drawing/2014/main" id="{00000000-0008-0000-0100-0000E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19" name="Picture 7" descr=" ">
          <a:extLst>
            <a:ext uri="{FF2B5EF4-FFF2-40B4-BE49-F238E27FC236}">
              <a16:creationId xmlns:a16="http://schemas.microsoft.com/office/drawing/2014/main" id="{00000000-0008-0000-0100-0000E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20" name="Picture 8" descr=" ">
          <a:extLst>
            <a:ext uri="{FF2B5EF4-FFF2-40B4-BE49-F238E27FC236}">
              <a16:creationId xmlns:a16="http://schemas.microsoft.com/office/drawing/2014/main" id="{00000000-0008-0000-0100-0000E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21" name="Picture 9" descr=" ">
          <a:extLst>
            <a:ext uri="{FF2B5EF4-FFF2-40B4-BE49-F238E27FC236}">
              <a16:creationId xmlns:a16="http://schemas.microsoft.com/office/drawing/2014/main" id="{00000000-0008-0000-0100-0000E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22" name="Picture 10" descr=" ">
          <a:extLst>
            <a:ext uri="{FF2B5EF4-FFF2-40B4-BE49-F238E27FC236}">
              <a16:creationId xmlns:a16="http://schemas.microsoft.com/office/drawing/2014/main" id="{00000000-0008-0000-0100-0000E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23" name="Picture 11" descr=" ">
          <a:extLst>
            <a:ext uri="{FF2B5EF4-FFF2-40B4-BE49-F238E27FC236}">
              <a16:creationId xmlns:a16="http://schemas.microsoft.com/office/drawing/2014/main" id="{00000000-0008-0000-0100-0000E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24" name="Picture 12" descr=" ">
          <a:extLst>
            <a:ext uri="{FF2B5EF4-FFF2-40B4-BE49-F238E27FC236}">
              <a16:creationId xmlns:a16="http://schemas.microsoft.com/office/drawing/2014/main" id="{00000000-0008-0000-0100-0000F0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25" name="Picture 7" descr=" ">
          <a:extLst>
            <a:ext uri="{FF2B5EF4-FFF2-40B4-BE49-F238E27FC236}">
              <a16:creationId xmlns:a16="http://schemas.microsoft.com/office/drawing/2014/main" id="{00000000-0008-0000-0100-0000F1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26" name="Picture 8" descr=" ">
          <a:extLst>
            <a:ext uri="{FF2B5EF4-FFF2-40B4-BE49-F238E27FC236}">
              <a16:creationId xmlns:a16="http://schemas.microsoft.com/office/drawing/2014/main" id="{00000000-0008-0000-0100-0000F2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27" name="Picture 9" descr=" ">
          <a:extLst>
            <a:ext uri="{FF2B5EF4-FFF2-40B4-BE49-F238E27FC236}">
              <a16:creationId xmlns:a16="http://schemas.microsoft.com/office/drawing/2014/main" id="{00000000-0008-0000-0100-0000F3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28" name="Picture 10" descr=" ">
          <a:extLst>
            <a:ext uri="{FF2B5EF4-FFF2-40B4-BE49-F238E27FC236}">
              <a16:creationId xmlns:a16="http://schemas.microsoft.com/office/drawing/2014/main" id="{00000000-0008-0000-0100-0000F4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29" name="Picture 11" descr=" ">
          <a:extLst>
            <a:ext uri="{FF2B5EF4-FFF2-40B4-BE49-F238E27FC236}">
              <a16:creationId xmlns:a16="http://schemas.microsoft.com/office/drawing/2014/main" id="{00000000-0008-0000-0100-0000F5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30" name="Picture 12" descr=" ">
          <a:extLst>
            <a:ext uri="{FF2B5EF4-FFF2-40B4-BE49-F238E27FC236}">
              <a16:creationId xmlns:a16="http://schemas.microsoft.com/office/drawing/2014/main" id="{00000000-0008-0000-0100-0000F6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31" name="Picture 7" descr=" ">
          <a:extLst>
            <a:ext uri="{FF2B5EF4-FFF2-40B4-BE49-F238E27FC236}">
              <a16:creationId xmlns:a16="http://schemas.microsoft.com/office/drawing/2014/main" id="{00000000-0008-0000-0100-0000F7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32" name="Picture 8" descr=" ">
          <a:extLst>
            <a:ext uri="{FF2B5EF4-FFF2-40B4-BE49-F238E27FC236}">
              <a16:creationId xmlns:a16="http://schemas.microsoft.com/office/drawing/2014/main" id="{00000000-0008-0000-0100-0000F8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33" name="Picture 9" descr=" ">
          <a:extLst>
            <a:ext uri="{FF2B5EF4-FFF2-40B4-BE49-F238E27FC236}">
              <a16:creationId xmlns:a16="http://schemas.microsoft.com/office/drawing/2014/main" id="{00000000-0008-0000-0100-0000F9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34" name="Picture 10" descr=" ">
          <a:extLst>
            <a:ext uri="{FF2B5EF4-FFF2-40B4-BE49-F238E27FC236}">
              <a16:creationId xmlns:a16="http://schemas.microsoft.com/office/drawing/2014/main" id="{00000000-0008-0000-0100-0000FA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35" name="Picture 11" descr=" ">
          <a:extLst>
            <a:ext uri="{FF2B5EF4-FFF2-40B4-BE49-F238E27FC236}">
              <a16:creationId xmlns:a16="http://schemas.microsoft.com/office/drawing/2014/main" id="{00000000-0008-0000-0100-0000F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36" name="Picture 12" descr=" ">
          <a:extLst>
            <a:ext uri="{FF2B5EF4-FFF2-40B4-BE49-F238E27FC236}">
              <a16:creationId xmlns:a16="http://schemas.microsoft.com/office/drawing/2014/main" id="{00000000-0008-0000-0100-0000F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37" name="Picture 7" descr=" ">
          <a:extLst>
            <a:ext uri="{FF2B5EF4-FFF2-40B4-BE49-F238E27FC236}">
              <a16:creationId xmlns:a16="http://schemas.microsoft.com/office/drawing/2014/main" id="{00000000-0008-0000-0100-0000FD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38" name="Picture 8" descr=" ">
          <a:extLst>
            <a:ext uri="{FF2B5EF4-FFF2-40B4-BE49-F238E27FC236}">
              <a16:creationId xmlns:a16="http://schemas.microsoft.com/office/drawing/2014/main" id="{00000000-0008-0000-0100-0000FE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39" name="Picture 9" descr=" ">
          <a:extLst>
            <a:ext uri="{FF2B5EF4-FFF2-40B4-BE49-F238E27FC236}">
              <a16:creationId xmlns:a16="http://schemas.microsoft.com/office/drawing/2014/main" id="{00000000-0008-0000-0100-0000FF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40" name="Picture 10" descr=" ">
          <a:extLst>
            <a:ext uri="{FF2B5EF4-FFF2-40B4-BE49-F238E27FC236}">
              <a16:creationId xmlns:a16="http://schemas.microsoft.com/office/drawing/2014/main" id="{00000000-0008-0000-0100-00000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41" name="Picture 11" descr=" ">
          <a:extLst>
            <a:ext uri="{FF2B5EF4-FFF2-40B4-BE49-F238E27FC236}">
              <a16:creationId xmlns:a16="http://schemas.microsoft.com/office/drawing/2014/main" id="{00000000-0008-0000-0100-00000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42" name="Picture 12" descr=" ">
          <a:extLst>
            <a:ext uri="{FF2B5EF4-FFF2-40B4-BE49-F238E27FC236}">
              <a16:creationId xmlns:a16="http://schemas.microsoft.com/office/drawing/2014/main" id="{00000000-0008-0000-0100-00000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43" name="Picture 7" descr=" ">
          <a:extLst>
            <a:ext uri="{FF2B5EF4-FFF2-40B4-BE49-F238E27FC236}">
              <a16:creationId xmlns:a16="http://schemas.microsoft.com/office/drawing/2014/main" id="{00000000-0008-0000-0100-00000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44" name="Picture 8" descr=" ">
          <a:extLst>
            <a:ext uri="{FF2B5EF4-FFF2-40B4-BE49-F238E27FC236}">
              <a16:creationId xmlns:a16="http://schemas.microsoft.com/office/drawing/2014/main" id="{00000000-0008-0000-0100-00000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45" name="Picture 9" descr=" ">
          <a:extLst>
            <a:ext uri="{FF2B5EF4-FFF2-40B4-BE49-F238E27FC236}">
              <a16:creationId xmlns:a16="http://schemas.microsoft.com/office/drawing/2014/main" id="{00000000-0008-0000-0100-00000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46" name="Picture 10" descr=" ">
          <a:extLst>
            <a:ext uri="{FF2B5EF4-FFF2-40B4-BE49-F238E27FC236}">
              <a16:creationId xmlns:a16="http://schemas.microsoft.com/office/drawing/2014/main" id="{00000000-0008-0000-0100-00000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47" name="Picture 11" descr=" ">
          <a:extLst>
            <a:ext uri="{FF2B5EF4-FFF2-40B4-BE49-F238E27FC236}">
              <a16:creationId xmlns:a16="http://schemas.microsoft.com/office/drawing/2014/main" id="{00000000-0008-0000-0100-00000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48" name="Picture 12" descr=" ">
          <a:extLst>
            <a:ext uri="{FF2B5EF4-FFF2-40B4-BE49-F238E27FC236}">
              <a16:creationId xmlns:a16="http://schemas.microsoft.com/office/drawing/2014/main" id="{00000000-0008-0000-0100-00000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49" name="Picture 7" descr=" ">
          <a:extLst>
            <a:ext uri="{FF2B5EF4-FFF2-40B4-BE49-F238E27FC236}">
              <a16:creationId xmlns:a16="http://schemas.microsoft.com/office/drawing/2014/main" id="{00000000-0008-0000-0100-00000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50" name="Picture 8" descr=" ">
          <a:extLst>
            <a:ext uri="{FF2B5EF4-FFF2-40B4-BE49-F238E27FC236}">
              <a16:creationId xmlns:a16="http://schemas.microsoft.com/office/drawing/2014/main" id="{00000000-0008-0000-0100-00000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51" name="Picture 9" descr=" ">
          <a:extLst>
            <a:ext uri="{FF2B5EF4-FFF2-40B4-BE49-F238E27FC236}">
              <a16:creationId xmlns:a16="http://schemas.microsoft.com/office/drawing/2014/main" id="{00000000-0008-0000-0100-00000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52" name="Picture 10" descr=" ">
          <a:extLst>
            <a:ext uri="{FF2B5EF4-FFF2-40B4-BE49-F238E27FC236}">
              <a16:creationId xmlns:a16="http://schemas.microsoft.com/office/drawing/2014/main" id="{00000000-0008-0000-0100-00000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53" name="Picture 11" descr=" ">
          <a:extLst>
            <a:ext uri="{FF2B5EF4-FFF2-40B4-BE49-F238E27FC236}">
              <a16:creationId xmlns:a16="http://schemas.microsoft.com/office/drawing/2014/main" id="{00000000-0008-0000-0100-00000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54" name="Picture 12" descr=" ">
          <a:extLst>
            <a:ext uri="{FF2B5EF4-FFF2-40B4-BE49-F238E27FC236}">
              <a16:creationId xmlns:a16="http://schemas.microsoft.com/office/drawing/2014/main" id="{00000000-0008-0000-0100-00000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55" name="Picture 7" descr=" ">
          <a:extLst>
            <a:ext uri="{FF2B5EF4-FFF2-40B4-BE49-F238E27FC236}">
              <a16:creationId xmlns:a16="http://schemas.microsoft.com/office/drawing/2014/main" id="{00000000-0008-0000-0100-00000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56" name="Picture 8" descr=" ">
          <a:extLst>
            <a:ext uri="{FF2B5EF4-FFF2-40B4-BE49-F238E27FC236}">
              <a16:creationId xmlns:a16="http://schemas.microsoft.com/office/drawing/2014/main" id="{00000000-0008-0000-0100-00001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57" name="Picture 9" descr=" ">
          <a:extLst>
            <a:ext uri="{FF2B5EF4-FFF2-40B4-BE49-F238E27FC236}">
              <a16:creationId xmlns:a16="http://schemas.microsoft.com/office/drawing/2014/main" id="{00000000-0008-0000-0100-00001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58" name="Picture 10" descr=" ">
          <a:extLst>
            <a:ext uri="{FF2B5EF4-FFF2-40B4-BE49-F238E27FC236}">
              <a16:creationId xmlns:a16="http://schemas.microsoft.com/office/drawing/2014/main" id="{00000000-0008-0000-0100-00001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59" name="Picture 11" descr=" ">
          <a:extLst>
            <a:ext uri="{FF2B5EF4-FFF2-40B4-BE49-F238E27FC236}">
              <a16:creationId xmlns:a16="http://schemas.microsoft.com/office/drawing/2014/main" id="{00000000-0008-0000-0100-00001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60" name="Picture 12" descr=" ">
          <a:extLst>
            <a:ext uri="{FF2B5EF4-FFF2-40B4-BE49-F238E27FC236}">
              <a16:creationId xmlns:a16="http://schemas.microsoft.com/office/drawing/2014/main" id="{00000000-0008-0000-0100-00001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61" name="Picture 7" descr=" ">
          <a:extLst>
            <a:ext uri="{FF2B5EF4-FFF2-40B4-BE49-F238E27FC236}">
              <a16:creationId xmlns:a16="http://schemas.microsoft.com/office/drawing/2014/main" id="{00000000-0008-0000-0100-00001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62" name="Picture 8" descr=" ">
          <a:extLst>
            <a:ext uri="{FF2B5EF4-FFF2-40B4-BE49-F238E27FC236}">
              <a16:creationId xmlns:a16="http://schemas.microsoft.com/office/drawing/2014/main" id="{00000000-0008-0000-0100-00001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63" name="Picture 9" descr=" ">
          <a:extLst>
            <a:ext uri="{FF2B5EF4-FFF2-40B4-BE49-F238E27FC236}">
              <a16:creationId xmlns:a16="http://schemas.microsoft.com/office/drawing/2014/main" id="{00000000-0008-0000-0100-00001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64" name="Picture 10" descr=" ">
          <a:extLst>
            <a:ext uri="{FF2B5EF4-FFF2-40B4-BE49-F238E27FC236}">
              <a16:creationId xmlns:a16="http://schemas.microsoft.com/office/drawing/2014/main" id="{00000000-0008-0000-0100-00001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65" name="Picture 11" descr=" ">
          <a:extLst>
            <a:ext uri="{FF2B5EF4-FFF2-40B4-BE49-F238E27FC236}">
              <a16:creationId xmlns:a16="http://schemas.microsoft.com/office/drawing/2014/main" id="{00000000-0008-0000-0100-00001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66" name="Picture 12" descr=" ">
          <a:extLst>
            <a:ext uri="{FF2B5EF4-FFF2-40B4-BE49-F238E27FC236}">
              <a16:creationId xmlns:a16="http://schemas.microsoft.com/office/drawing/2014/main" id="{00000000-0008-0000-0100-00001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67" name="Picture 7" descr=" ">
          <a:extLst>
            <a:ext uri="{FF2B5EF4-FFF2-40B4-BE49-F238E27FC236}">
              <a16:creationId xmlns:a16="http://schemas.microsoft.com/office/drawing/2014/main" id="{00000000-0008-0000-0100-00001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68" name="Picture 8" descr=" ">
          <a:extLst>
            <a:ext uri="{FF2B5EF4-FFF2-40B4-BE49-F238E27FC236}">
              <a16:creationId xmlns:a16="http://schemas.microsoft.com/office/drawing/2014/main" id="{00000000-0008-0000-0100-00001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69" name="Picture 9" descr=" ">
          <a:extLst>
            <a:ext uri="{FF2B5EF4-FFF2-40B4-BE49-F238E27FC236}">
              <a16:creationId xmlns:a16="http://schemas.microsoft.com/office/drawing/2014/main" id="{00000000-0008-0000-0100-00001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70" name="Picture 10" descr=" ">
          <a:extLst>
            <a:ext uri="{FF2B5EF4-FFF2-40B4-BE49-F238E27FC236}">
              <a16:creationId xmlns:a16="http://schemas.microsoft.com/office/drawing/2014/main" id="{00000000-0008-0000-0100-00001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71" name="Picture 11" descr=" ">
          <a:extLst>
            <a:ext uri="{FF2B5EF4-FFF2-40B4-BE49-F238E27FC236}">
              <a16:creationId xmlns:a16="http://schemas.microsoft.com/office/drawing/2014/main" id="{00000000-0008-0000-0100-00001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72" name="Picture 12" descr=" ">
          <a:extLst>
            <a:ext uri="{FF2B5EF4-FFF2-40B4-BE49-F238E27FC236}">
              <a16:creationId xmlns:a16="http://schemas.microsoft.com/office/drawing/2014/main" id="{00000000-0008-0000-0100-00002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73" name="Picture 7" descr=" ">
          <a:extLst>
            <a:ext uri="{FF2B5EF4-FFF2-40B4-BE49-F238E27FC236}">
              <a16:creationId xmlns:a16="http://schemas.microsoft.com/office/drawing/2014/main" id="{00000000-0008-0000-0100-00002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74" name="Picture 8" descr=" ">
          <a:extLst>
            <a:ext uri="{FF2B5EF4-FFF2-40B4-BE49-F238E27FC236}">
              <a16:creationId xmlns:a16="http://schemas.microsoft.com/office/drawing/2014/main" id="{00000000-0008-0000-0100-00002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75" name="Picture 9" descr=" ">
          <a:extLst>
            <a:ext uri="{FF2B5EF4-FFF2-40B4-BE49-F238E27FC236}">
              <a16:creationId xmlns:a16="http://schemas.microsoft.com/office/drawing/2014/main" id="{00000000-0008-0000-0100-00002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76" name="Picture 10" descr=" ">
          <a:extLst>
            <a:ext uri="{FF2B5EF4-FFF2-40B4-BE49-F238E27FC236}">
              <a16:creationId xmlns:a16="http://schemas.microsoft.com/office/drawing/2014/main" id="{00000000-0008-0000-0100-00002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77" name="Picture 11" descr=" ">
          <a:extLst>
            <a:ext uri="{FF2B5EF4-FFF2-40B4-BE49-F238E27FC236}">
              <a16:creationId xmlns:a16="http://schemas.microsoft.com/office/drawing/2014/main" id="{00000000-0008-0000-0100-00002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78" name="Picture 12" descr=" ">
          <a:extLst>
            <a:ext uri="{FF2B5EF4-FFF2-40B4-BE49-F238E27FC236}">
              <a16:creationId xmlns:a16="http://schemas.microsoft.com/office/drawing/2014/main" id="{00000000-0008-0000-0100-00002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79" name="Picture 7" descr=" ">
          <a:extLst>
            <a:ext uri="{FF2B5EF4-FFF2-40B4-BE49-F238E27FC236}">
              <a16:creationId xmlns:a16="http://schemas.microsoft.com/office/drawing/2014/main" id="{00000000-0008-0000-0100-00002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80" name="Picture 8" descr=" ">
          <a:extLst>
            <a:ext uri="{FF2B5EF4-FFF2-40B4-BE49-F238E27FC236}">
              <a16:creationId xmlns:a16="http://schemas.microsoft.com/office/drawing/2014/main" id="{00000000-0008-0000-0100-00002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81" name="Picture 9" descr=" ">
          <a:extLst>
            <a:ext uri="{FF2B5EF4-FFF2-40B4-BE49-F238E27FC236}">
              <a16:creationId xmlns:a16="http://schemas.microsoft.com/office/drawing/2014/main" id="{00000000-0008-0000-0100-00002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82" name="Picture 10" descr=" ">
          <a:extLst>
            <a:ext uri="{FF2B5EF4-FFF2-40B4-BE49-F238E27FC236}">
              <a16:creationId xmlns:a16="http://schemas.microsoft.com/office/drawing/2014/main" id="{00000000-0008-0000-0100-00002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83" name="Picture 11" descr=" ">
          <a:extLst>
            <a:ext uri="{FF2B5EF4-FFF2-40B4-BE49-F238E27FC236}">
              <a16:creationId xmlns:a16="http://schemas.microsoft.com/office/drawing/2014/main" id="{00000000-0008-0000-0100-00002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84" name="Picture 12" descr=" ">
          <a:extLst>
            <a:ext uri="{FF2B5EF4-FFF2-40B4-BE49-F238E27FC236}">
              <a16:creationId xmlns:a16="http://schemas.microsoft.com/office/drawing/2014/main" id="{00000000-0008-0000-0100-00002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85" name="Picture 7" descr=" ">
          <a:extLst>
            <a:ext uri="{FF2B5EF4-FFF2-40B4-BE49-F238E27FC236}">
              <a16:creationId xmlns:a16="http://schemas.microsoft.com/office/drawing/2014/main" id="{00000000-0008-0000-0100-00002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86" name="Picture 8" descr=" ">
          <a:extLst>
            <a:ext uri="{FF2B5EF4-FFF2-40B4-BE49-F238E27FC236}">
              <a16:creationId xmlns:a16="http://schemas.microsoft.com/office/drawing/2014/main" id="{00000000-0008-0000-0100-00002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87" name="Picture 9" descr=" ">
          <a:extLst>
            <a:ext uri="{FF2B5EF4-FFF2-40B4-BE49-F238E27FC236}">
              <a16:creationId xmlns:a16="http://schemas.microsoft.com/office/drawing/2014/main" id="{00000000-0008-0000-0100-00002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88" name="Picture 10" descr=" ">
          <a:extLst>
            <a:ext uri="{FF2B5EF4-FFF2-40B4-BE49-F238E27FC236}">
              <a16:creationId xmlns:a16="http://schemas.microsoft.com/office/drawing/2014/main" id="{00000000-0008-0000-0100-00003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89" name="Picture 11" descr=" ">
          <a:extLst>
            <a:ext uri="{FF2B5EF4-FFF2-40B4-BE49-F238E27FC236}">
              <a16:creationId xmlns:a16="http://schemas.microsoft.com/office/drawing/2014/main" id="{00000000-0008-0000-0100-00003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90" name="Picture 12" descr=" ">
          <a:extLst>
            <a:ext uri="{FF2B5EF4-FFF2-40B4-BE49-F238E27FC236}">
              <a16:creationId xmlns:a16="http://schemas.microsoft.com/office/drawing/2014/main" id="{00000000-0008-0000-0100-00003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91" name="Picture 7" descr=" ">
          <a:extLst>
            <a:ext uri="{FF2B5EF4-FFF2-40B4-BE49-F238E27FC236}">
              <a16:creationId xmlns:a16="http://schemas.microsoft.com/office/drawing/2014/main" id="{00000000-0008-0000-0100-00003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92" name="Picture 8" descr=" ">
          <a:extLst>
            <a:ext uri="{FF2B5EF4-FFF2-40B4-BE49-F238E27FC236}">
              <a16:creationId xmlns:a16="http://schemas.microsoft.com/office/drawing/2014/main" id="{00000000-0008-0000-0100-00003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93" name="Picture 9" descr=" ">
          <a:extLst>
            <a:ext uri="{FF2B5EF4-FFF2-40B4-BE49-F238E27FC236}">
              <a16:creationId xmlns:a16="http://schemas.microsoft.com/office/drawing/2014/main" id="{00000000-0008-0000-0100-00003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94" name="Picture 10" descr=" ">
          <a:extLst>
            <a:ext uri="{FF2B5EF4-FFF2-40B4-BE49-F238E27FC236}">
              <a16:creationId xmlns:a16="http://schemas.microsoft.com/office/drawing/2014/main" id="{00000000-0008-0000-0100-00003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95" name="Picture 11" descr=" ">
          <a:extLst>
            <a:ext uri="{FF2B5EF4-FFF2-40B4-BE49-F238E27FC236}">
              <a16:creationId xmlns:a16="http://schemas.microsoft.com/office/drawing/2014/main" id="{00000000-0008-0000-0100-00003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96" name="Picture 12" descr=" ">
          <a:extLst>
            <a:ext uri="{FF2B5EF4-FFF2-40B4-BE49-F238E27FC236}">
              <a16:creationId xmlns:a16="http://schemas.microsoft.com/office/drawing/2014/main" id="{00000000-0008-0000-0100-00003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97" name="Picture 7" descr=" ">
          <a:extLst>
            <a:ext uri="{FF2B5EF4-FFF2-40B4-BE49-F238E27FC236}">
              <a16:creationId xmlns:a16="http://schemas.microsoft.com/office/drawing/2014/main" id="{00000000-0008-0000-0100-00003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98" name="Picture 8" descr=" ">
          <a:extLst>
            <a:ext uri="{FF2B5EF4-FFF2-40B4-BE49-F238E27FC236}">
              <a16:creationId xmlns:a16="http://schemas.microsoft.com/office/drawing/2014/main" id="{00000000-0008-0000-0100-00003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299" name="Picture 9" descr=" ">
          <a:extLst>
            <a:ext uri="{FF2B5EF4-FFF2-40B4-BE49-F238E27FC236}">
              <a16:creationId xmlns:a16="http://schemas.microsoft.com/office/drawing/2014/main" id="{00000000-0008-0000-0100-00003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00" name="Picture 10" descr=" ">
          <a:extLst>
            <a:ext uri="{FF2B5EF4-FFF2-40B4-BE49-F238E27FC236}">
              <a16:creationId xmlns:a16="http://schemas.microsoft.com/office/drawing/2014/main" id="{00000000-0008-0000-0100-00003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01" name="Picture 11" descr=" ">
          <a:extLst>
            <a:ext uri="{FF2B5EF4-FFF2-40B4-BE49-F238E27FC236}">
              <a16:creationId xmlns:a16="http://schemas.microsoft.com/office/drawing/2014/main" id="{00000000-0008-0000-0100-00003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02" name="Picture 12" descr=" ">
          <a:extLst>
            <a:ext uri="{FF2B5EF4-FFF2-40B4-BE49-F238E27FC236}">
              <a16:creationId xmlns:a16="http://schemas.microsoft.com/office/drawing/2014/main" id="{00000000-0008-0000-0100-00003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03" name="Picture 7" descr=" ">
          <a:extLst>
            <a:ext uri="{FF2B5EF4-FFF2-40B4-BE49-F238E27FC236}">
              <a16:creationId xmlns:a16="http://schemas.microsoft.com/office/drawing/2014/main" id="{00000000-0008-0000-0100-00003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04" name="Picture 8" descr=" ">
          <a:extLst>
            <a:ext uri="{FF2B5EF4-FFF2-40B4-BE49-F238E27FC236}">
              <a16:creationId xmlns:a16="http://schemas.microsoft.com/office/drawing/2014/main" id="{00000000-0008-0000-0100-00004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05" name="Picture 9" descr=" ">
          <a:extLst>
            <a:ext uri="{FF2B5EF4-FFF2-40B4-BE49-F238E27FC236}">
              <a16:creationId xmlns:a16="http://schemas.microsoft.com/office/drawing/2014/main" id="{00000000-0008-0000-0100-00004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06" name="Picture 10" descr=" ">
          <a:extLst>
            <a:ext uri="{FF2B5EF4-FFF2-40B4-BE49-F238E27FC236}">
              <a16:creationId xmlns:a16="http://schemas.microsoft.com/office/drawing/2014/main" id="{00000000-0008-0000-0100-00004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07" name="Picture 11" descr=" ">
          <a:extLst>
            <a:ext uri="{FF2B5EF4-FFF2-40B4-BE49-F238E27FC236}">
              <a16:creationId xmlns:a16="http://schemas.microsoft.com/office/drawing/2014/main" id="{00000000-0008-0000-0100-00004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08" name="Picture 12" descr=" ">
          <a:extLst>
            <a:ext uri="{FF2B5EF4-FFF2-40B4-BE49-F238E27FC236}">
              <a16:creationId xmlns:a16="http://schemas.microsoft.com/office/drawing/2014/main" id="{00000000-0008-0000-0100-00004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09" name="Picture 7" descr=" ">
          <a:extLst>
            <a:ext uri="{FF2B5EF4-FFF2-40B4-BE49-F238E27FC236}">
              <a16:creationId xmlns:a16="http://schemas.microsoft.com/office/drawing/2014/main" id="{00000000-0008-0000-0100-00004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10" name="Picture 8" descr=" ">
          <a:extLst>
            <a:ext uri="{FF2B5EF4-FFF2-40B4-BE49-F238E27FC236}">
              <a16:creationId xmlns:a16="http://schemas.microsoft.com/office/drawing/2014/main" id="{00000000-0008-0000-0100-00004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11" name="Picture 9" descr=" ">
          <a:extLst>
            <a:ext uri="{FF2B5EF4-FFF2-40B4-BE49-F238E27FC236}">
              <a16:creationId xmlns:a16="http://schemas.microsoft.com/office/drawing/2014/main" id="{00000000-0008-0000-0100-00004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12" name="Picture 10" descr=" ">
          <a:extLst>
            <a:ext uri="{FF2B5EF4-FFF2-40B4-BE49-F238E27FC236}">
              <a16:creationId xmlns:a16="http://schemas.microsoft.com/office/drawing/2014/main" id="{00000000-0008-0000-0100-00004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13" name="Picture 11" descr=" ">
          <a:extLst>
            <a:ext uri="{FF2B5EF4-FFF2-40B4-BE49-F238E27FC236}">
              <a16:creationId xmlns:a16="http://schemas.microsoft.com/office/drawing/2014/main" id="{00000000-0008-0000-0100-00004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14" name="Picture 12" descr=" ">
          <a:extLst>
            <a:ext uri="{FF2B5EF4-FFF2-40B4-BE49-F238E27FC236}">
              <a16:creationId xmlns:a16="http://schemas.microsoft.com/office/drawing/2014/main" id="{00000000-0008-0000-0100-00004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15" name="Picture 7" descr=" ">
          <a:extLst>
            <a:ext uri="{FF2B5EF4-FFF2-40B4-BE49-F238E27FC236}">
              <a16:creationId xmlns:a16="http://schemas.microsoft.com/office/drawing/2014/main" id="{00000000-0008-0000-0100-00004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16" name="Picture 8" descr=" ">
          <a:extLst>
            <a:ext uri="{FF2B5EF4-FFF2-40B4-BE49-F238E27FC236}">
              <a16:creationId xmlns:a16="http://schemas.microsoft.com/office/drawing/2014/main" id="{00000000-0008-0000-0100-00004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17" name="Picture 9" descr=" ">
          <a:extLst>
            <a:ext uri="{FF2B5EF4-FFF2-40B4-BE49-F238E27FC236}">
              <a16:creationId xmlns:a16="http://schemas.microsoft.com/office/drawing/2014/main" id="{00000000-0008-0000-0100-00004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18" name="Picture 10" descr=" ">
          <a:extLst>
            <a:ext uri="{FF2B5EF4-FFF2-40B4-BE49-F238E27FC236}">
              <a16:creationId xmlns:a16="http://schemas.microsoft.com/office/drawing/2014/main" id="{00000000-0008-0000-0100-00004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19" name="Picture 11" descr=" ">
          <a:extLst>
            <a:ext uri="{FF2B5EF4-FFF2-40B4-BE49-F238E27FC236}">
              <a16:creationId xmlns:a16="http://schemas.microsoft.com/office/drawing/2014/main" id="{00000000-0008-0000-0100-00004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20" name="Picture 12" descr=" ">
          <a:extLst>
            <a:ext uri="{FF2B5EF4-FFF2-40B4-BE49-F238E27FC236}">
              <a16:creationId xmlns:a16="http://schemas.microsoft.com/office/drawing/2014/main" id="{00000000-0008-0000-0100-00005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21" name="Picture 7" descr=" ">
          <a:extLst>
            <a:ext uri="{FF2B5EF4-FFF2-40B4-BE49-F238E27FC236}">
              <a16:creationId xmlns:a16="http://schemas.microsoft.com/office/drawing/2014/main" id="{00000000-0008-0000-0100-00005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22" name="Picture 8" descr=" ">
          <a:extLst>
            <a:ext uri="{FF2B5EF4-FFF2-40B4-BE49-F238E27FC236}">
              <a16:creationId xmlns:a16="http://schemas.microsoft.com/office/drawing/2014/main" id="{00000000-0008-0000-0100-00005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23" name="Picture 9" descr=" ">
          <a:extLst>
            <a:ext uri="{FF2B5EF4-FFF2-40B4-BE49-F238E27FC236}">
              <a16:creationId xmlns:a16="http://schemas.microsoft.com/office/drawing/2014/main" id="{00000000-0008-0000-0100-00005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24" name="Picture 10" descr=" ">
          <a:extLst>
            <a:ext uri="{FF2B5EF4-FFF2-40B4-BE49-F238E27FC236}">
              <a16:creationId xmlns:a16="http://schemas.microsoft.com/office/drawing/2014/main" id="{00000000-0008-0000-0100-00005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25" name="Picture 11" descr=" ">
          <a:extLst>
            <a:ext uri="{FF2B5EF4-FFF2-40B4-BE49-F238E27FC236}">
              <a16:creationId xmlns:a16="http://schemas.microsoft.com/office/drawing/2014/main" id="{00000000-0008-0000-0100-00005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26" name="Picture 12" descr=" ">
          <a:extLst>
            <a:ext uri="{FF2B5EF4-FFF2-40B4-BE49-F238E27FC236}">
              <a16:creationId xmlns:a16="http://schemas.microsoft.com/office/drawing/2014/main" id="{00000000-0008-0000-0100-00005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27" name="Picture 7" descr=" ">
          <a:extLst>
            <a:ext uri="{FF2B5EF4-FFF2-40B4-BE49-F238E27FC236}">
              <a16:creationId xmlns:a16="http://schemas.microsoft.com/office/drawing/2014/main" id="{00000000-0008-0000-0100-00005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28" name="Picture 8" descr=" ">
          <a:extLst>
            <a:ext uri="{FF2B5EF4-FFF2-40B4-BE49-F238E27FC236}">
              <a16:creationId xmlns:a16="http://schemas.microsoft.com/office/drawing/2014/main" id="{00000000-0008-0000-0100-00005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29" name="Picture 9" descr=" ">
          <a:extLst>
            <a:ext uri="{FF2B5EF4-FFF2-40B4-BE49-F238E27FC236}">
              <a16:creationId xmlns:a16="http://schemas.microsoft.com/office/drawing/2014/main" id="{00000000-0008-0000-0100-00005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30" name="Picture 10" descr=" ">
          <a:extLst>
            <a:ext uri="{FF2B5EF4-FFF2-40B4-BE49-F238E27FC236}">
              <a16:creationId xmlns:a16="http://schemas.microsoft.com/office/drawing/2014/main" id="{00000000-0008-0000-0100-00005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31" name="Picture 11" descr=" ">
          <a:extLst>
            <a:ext uri="{FF2B5EF4-FFF2-40B4-BE49-F238E27FC236}">
              <a16:creationId xmlns:a16="http://schemas.microsoft.com/office/drawing/2014/main" id="{00000000-0008-0000-0100-00005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32" name="Picture 12" descr=" ">
          <a:extLst>
            <a:ext uri="{FF2B5EF4-FFF2-40B4-BE49-F238E27FC236}">
              <a16:creationId xmlns:a16="http://schemas.microsoft.com/office/drawing/2014/main" id="{00000000-0008-0000-0100-00005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33" name="Picture 7" descr=" ">
          <a:extLst>
            <a:ext uri="{FF2B5EF4-FFF2-40B4-BE49-F238E27FC236}">
              <a16:creationId xmlns:a16="http://schemas.microsoft.com/office/drawing/2014/main" id="{00000000-0008-0000-0100-00005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34" name="Picture 8" descr=" ">
          <a:extLst>
            <a:ext uri="{FF2B5EF4-FFF2-40B4-BE49-F238E27FC236}">
              <a16:creationId xmlns:a16="http://schemas.microsoft.com/office/drawing/2014/main" id="{00000000-0008-0000-0100-00005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35" name="Picture 9" descr=" ">
          <a:extLst>
            <a:ext uri="{FF2B5EF4-FFF2-40B4-BE49-F238E27FC236}">
              <a16:creationId xmlns:a16="http://schemas.microsoft.com/office/drawing/2014/main" id="{00000000-0008-0000-0100-00005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36" name="Picture 10" descr=" ">
          <a:extLst>
            <a:ext uri="{FF2B5EF4-FFF2-40B4-BE49-F238E27FC236}">
              <a16:creationId xmlns:a16="http://schemas.microsoft.com/office/drawing/2014/main" id="{00000000-0008-0000-0100-00006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37" name="Picture 11" descr=" ">
          <a:extLst>
            <a:ext uri="{FF2B5EF4-FFF2-40B4-BE49-F238E27FC236}">
              <a16:creationId xmlns:a16="http://schemas.microsoft.com/office/drawing/2014/main" id="{00000000-0008-0000-0100-00006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38" name="Picture 12" descr=" ">
          <a:extLst>
            <a:ext uri="{FF2B5EF4-FFF2-40B4-BE49-F238E27FC236}">
              <a16:creationId xmlns:a16="http://schemas.microsoft.com/office/drawing/2014/main" id="{00000000-0008-0000-0100-00006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39" name="Picture 7" descr=" ">
          <a:extLst>
            <a:ext uri="{FF2B5EF4-FFF2-40B4-BE49-F238E27FC236}">
              <a16:creationId xmlns:a16="http://schemas.microsoft.com/office/drawing/2014/main" id="{00000000-0008-0000-0100-00006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40" name="Picture 8" descr=" ">
          <a:extLst>
            <a:ext uri="{FF2B5EF4-FFF2-40B4-BE49-F238E27FC236}">
              <a16:creationId xmlns:a16="http://schemas.microsoft.com/office/drawing/2014/main" id="{00000000-0008-0000-0100-00006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41" name="Picture 9" descr=" ">
          <a:extLst>
            <a:ext uri="{FF2B5EF4-FFF2-40B4-BE49-F238E27FC236}">
              <a16:creationId xmlns:a16="http://schemas.microsoft.com/office/drawing/2014/main" id="{00000000-0008-0000-0100-00006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42" name="Picture 10" descr=" ">
          <a:extLst>
            <a:ext uri="{FF2B5EF4-FFF2-40B4-BE49-F238E27FC236}">
              <a16:creationId xmlns:a16="http://schemas.microsoft.com/office/drawing/2014/main" id="{00000000-0008-0000-0100-00006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43" name="Picture 11" descr=" ">
          <a:extLst>
            <a:ext uri="{FF2B5EF4-FFF2-40B4-BE49-F238E27FC236}">
              <a16:creationId xmlns:a16="http://schemas.microsoft.com/office/drawing/2014/main" id="{00000000-0008-0000-0100-00006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44" name="Picture 12" descr=" ">
          <a:extLst>
            <a:ext uri="{FF2B5EF4-FFF2-40B4-BE49-F238E27FC236}">
              <a16:creationId xmlns:a16="http://schemas.microsoft.com/office/drawing/2014/main" id="{00000000-0008-0000-0100-00006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45" name="Picture 7" descr=" ">
          <a:extLst>
            <a:ext uri="{FF2B5EF4-FFF2-40B4-BE49-F238E27FC236}">
              <a16:creationId xmlns:a16="http://schemas.microsoft.com/office/drawing/2014/main" id="{00000000-0008-0000-0100-00006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46" name="Picture 8" descr=" ">
          <a:extLst>
            <a:ext uri="{FF2B5EF4-FFF2-40B4-BE49-F238E27FC236}">
              <a16:creationId xmlns:a16="http://schemas.microsoft.com/office/drawing/2014/main" id="{00000000-0008-0000-0100-00006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47" name="Picture 9" descr=" ">
          <a:extLst>
            <a:ext uri="{FF2B5EF4-FFF2-40B4-BE49-F238E27FC236}">
              <a16:creationId xmlns:a16="http://schemas.microsoft.com/office/drawing/2014/main" id="{00000000-0008-0000-0100-00006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48" name="Picture 10" descr=" ">
          <a:extLst>
            <a:ext uri="{FF2B5EF4-FFF2-40B4-BE49-F238E27FC236}">
              <a16:creationId xmlns:a16="http://schemas.microsoft.com/office/drawing/2014/main" id="{00000000-0008-0000-0100-00006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49" name="Picture 11" descr=" ">
          <a:extLst>
            <a:ext uri="{FF2B5EF4-FFF2-40B4-BE49-F238E27FC236}">
              <a16:creationId xmlns:a16="http://schemas.microsoft.com/office/drawing/2014/main" id="{00000000-0008-0000-0100-00006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50" name="Picture 12" descr=" ">
          <a:extLst>
            <a:ext uri="{FF2B5EF4-FFF2-40B4-BE49-F238E27FC236}">
              <a16:creationId xmlns:a16="http://schemas.microsoft.com/office/drawing/2014/main" id="{00000000-0008-0000-0100-00006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51" name="Picture 7" descr=" ">
          <a:extLst>
            <a:ext uri="{FF2B5EF4-FFF2-40B4-BE49-F238E27FC236}">
              <a16:creationId xmlns:a16="http://schemas.microsoft.com/office/drawing/2014/main" id="{00000000-0008-0000-0100-00006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52" name="Picture 8" descr=" ">
          <a:extLst>
            <a:ext uri="{FF2B5EF4-FFF2-40B4-BE49-F238E27FC236}">
              <a16:creationId xmlns:a16="http://schemas.microsoft.com/office/drawing/2014/main" id="{00000000-0008-0000-0100-00007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53" name="Picture 9" descr=" ">
          <a:extLst>
            <a:ext uri="{FF2B5EF4-FFF2-40B4-BE49-F238E27FC236}">
              <a16:creationId xmlns:a16="http://schemas.microsoft.com/office/drawing/2014/main" id="{00000000-0008-0000-0100-00007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54" name="Picture 10" descr=" ">
          <a:extLst>
            <a:ext uri="{FF2B5EF4-FFF2-40B4-BE49-F238E27FC236}">
              <a16:creationId xmlns:a16="http://schemas.microsoft.com/office/drawing/2014/main" id="{00000000-0008-0000-0100-00007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55" name="Picture 11" descr=" ">
          <a:extLst>
            <a:ext uri="{FF2B5EF4-FFF2-40B4-BE49-F238E27FC236}">
              <a16:creationId xmlns:a16="http://schemas.microsoft.com/office/drawing/2014/main" id="{00000000-0008-0000-0100-00007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56" name="Picture 12" descr=" ">
          <a:extLst>
            <a:ext uri="{FF2B5EF4-FFF2-40B4-BE49-F238E27FC236}">
              <a16:creationId xmlns:a16="http://schemas.microsoft.com/office/drawing/2014/main" id="{00000000-0008-0000-0100-00007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57" name="Picture 7" descr=" ">
          <a:extLst>
            <a:ext uri="{FF2B5EF4-FFF2-40B4-BE49-F238E27FC236}">
              <a16:creationId xmlns:a16="http://schemas.microsoft.com/office/drawing/2014/main" id="{00000000-0008-0000-0100-00007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58" name="Picture 8" descr=" ">
          <a:extLst>
            <a:ext uri="{FF2B5EF4-FFF2-40B4-BE49-F238E27FC236}">
              <a16:creationId xmlns:a16="http://schemas.microsoft.com/office/drawing/2014/main" id="{00000000-0008-0000-0100-00007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59" name="Picture 9" descr=" ">
          <a:extLst>
            <a:ext uri="{FF2B5EF4-FFF2-40B4-BE49-F238E27FC236}">
              <a16:creationId xmlns:a16="http://schemas.microsoft.com/office/drawing/2014/main" id="{00000000-0008-0000-0100-00007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60" name="Picture 10" descr=" ">
          <a:extLst>
            <a:ext uri="{FF2B5EF4-FFF2-40B4-BE49-F238E27FC236}">
              <a16:creationId xmlns:a16="http://schemas.microsoft.com/office/drawing/2014/main" id="{00000000-0008-0000-0100-00007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61" name="Picture 11" descr=" ">
          <a:extLst>
            <a:ext uri="{FF2B5EF4-FFF2-40B4-BE49-F238E27FC236}">
              <a16:creationId xmlns:a16="http://schemas.microsoft.com/office/drawing/2014/main" id="{00000000-0008-0000-0100-00007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62" name="Picture 12" descr=" ">
          <a:extLst>
            <a:ext uri="{FF2B5EF4-FFF2-40B4-BE49-F238E27FC236}">
              <a16:creationId xmlns:a16="http://schemas.microsoft.com/office/drawing/2014/main" id="{00000000-0008-0000-0100-00007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63" name="Picture 7" descr=" ">
          <a:extLst>
            <a:ext uri="{FF2B5EF4-FFF2-40B4-BE49-F238E27FC236}">
              <a16:creationId xmlns:a16="http://schemas.microsoft.com/office/drawing/2014/main" id="{00000000-0008-0000-0100-00007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64" name="Picture 8" descr=" ">
          <a:extLst>
            <a:ext uri="{FF2B5EF4-FFF2-40B4-BE49-F238E27FC236}">
              <a16:creationId xmlns:a16="http://schemas.microsoft.com/office/drawing/2014/main" id="{00000000-0008-0000-0100-00007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65" name="Picture 9" descr=" ">
          <a:extLst>
            <a:ext uri="{FF2B5EF4-FFF2-40B4-BE49-F238E27FC236}">
              <a16:creationId xmlns:a16="http://schemas.microsoft.com/office/drawing/2014/main" id="{00000000-0008-0000-0100-00007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66" name="Picture 10" descr=" ">
          <a:extLst>
            <a:ext uri="{FF2B5EF4-FFF2-40B4-BE49-F238E27FC236}">
              <a16:creationId xmlns:a16="http://schemas.microsoft.com/office/drawing/2014/main" id="{00000000-0008-0000-0100-00007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67" name="Picture 11" descr=" ">
          <a:extLst>
            <a:ext uri="{FF2B5EF4-FFF2-40B4-BE49-F238E27FC236}">
              <a16:creationId xmlns:a16="http://schemas.microsoft.com/office/drawing/2014/main" id="{00000000-0008-0000-0100-00007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68" name="Picture 12" descr=" ">
          <a:extLst>
            <a:ext uri="{FF2B5EF4-FFF2-40B4-BE49-F238E27FC236}">
              <a16:creationId xmlns:a16="http://schemas.microsoft.com/office/drawing/2014/main" id="{00000000-0008-0000-0100-00008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69" name="Picture 7" descr=" ">
          <a:extLst>
            <a:ext uri="{FF2B5EF4-FFF2-40B4-BE49-F238E27FC236}">
              <a16:creationId xmlns:a16="http://schemas.microsoft.com/office/drawing/2014/main" id="{00000000-0008-0000-0100-00008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70" name="Picture 8" descr=" ">
          <a:extLst>
            <a:ext uri="{FF2B5EF4-FFF2-40B4-BE49-F238E27FC236}">
              <a16:creationId xmlns:a16="http://schemas.microsoft.com/office/drawing/2014/main" id="{00000000-0008-0000-0100-00008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71" name="Picture 9" descr=" ">
          <a:extLst>
            <a:ext uri="{FF2B5EF4-FFF2-40B4-BE49-F238E27FC236}">
              <a16:creationId xmlns:a16="http://schemas.microsoft.com/office/drawing/2014/main" id="{00000000-0008-0000-0100-00008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72" name="Picture 10" descr=" ">
          <a:extLst>
            <a:ext uri="{FF2B5EF4-FFF2-40B4-BE49-F238E27FC236}">
              <a16:creationId xmlns:a16="http://schemas.microsoft.com/office/drawing/2014/main" id="{00000000-0008-0000-0100-00008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73" name="Picture 11" descr=" ">
          <a:extLst>
            <a:ext uri="{FF2B5EF4-FFF2-40B4-BE49-F238E27FC236}">
              <a16:creationId xmlns:a16="http://schemas.microsoft.com/office/drawing/2014/main" id="{00000000-0008-0000-0100-00008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74" name="Picture 12" descr=" ">
          <a:extLst>
            <a:ext uri="{FF2B5EF4-FFF2-40B4-BE49-F238E27FC236}">
              <a16:creationId xmlns:a16="http://schemas.microsoft.com/office/drawing/2014/main" id="{00000000-0008-0000-0100-00008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75" name="Picture 7" descr=" ">
          <a:extLst>
            <a:ext uri="{FF2B5EF4-FFF2-40B4-BE49-F238E27FC236}">
              <a16:creationId xmlns:a16="http://schemas.microsoft.com/office/drawing/2014/main" id="{00000000-0008-0000-0100-00008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76" name="Picture 8" descr=" ">
          <a:extLst>
            <a:ext uri="{FF2B5EF4-FFF2-40B4-BE49-F238E27FC236}">
              <a16:creationId xmlns:a16="http://schemas.microsoft.com/office/drawing/2014/main" id="{00000000-0008-0000-0100-00008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77" name="Picture 9" descr=" ">
          <a:extLst>
            <a:ext uri="{FF2B5EF4-FFF2-40B4-BE49-F238E27FC236}">
              <a16:creationId xmlns:a16="http://schemas.microsoft.com/office/drawing/2014/main" id="{00000000-0008-0000-0100-00008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78" name="Picture 10" descr=" ">
          <a:extLst>
            <a:ext uri="{FF2B5EF4-FFF2-40B4-BE49-F238E27FC236}">
              <a16:creationId xmlns:a16="http://schemas.microsoft.com/office/drawing/2014/main" id="{00000000-0008-0000-0100-00008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79" name="Picture 11" descr=" ">
          <a:extLst>
            <a:ext uri="{FF2B5EF4-FFF2-40B4-BE49-F238E27FC236}">
              <a16:creationId xmlns:a16="http://schemas.microsoft.com/office/drawing/2014/main" id="{00000000-0008-0000-0100-00008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80" name="Picture 12" descr=" ">
          <a:extLst>
            <a:ext uri="{FF2B5EF4-FFF2-40B4-BE49-F238E27FC236}">
              <a16:creationId xmlns:a16="http://schemas.microsoft.com/office/drawing/2014/main" id="{00000000-0008-0000-0100-00008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81" name="Picture 7" descr=" ">
          <a:extLst>
            <a:ext uri="{FF2B5EF4-FFF2-40B4-BE49-F238E27FC236}">
              <a16:creationId xmlns:a16="http://schemas.microsoft.com/office/drawing/2014/main" id="{00000000-0008-0000-0100-00008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82" name="Picture 8" descr=" ">
          <a:extLst>
            <a:ext uri="{FF2B5EF4-FFF2-40B4-BE49-F238E27FC236}">
              <a16:creationId xmlns:a16="http://schemas.microsoft.com/office/drawing/2014/main" id="{00000000-0008-0000-0100-00008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83" name="Picture 9" descr=" ">
          <a:extLst>
            <a:ext uri="{FF2B5EF4-FFF2-40B4-BE49-F238E27FC236}">
              <a16:creationId xmlns:a16="http://schemas.microsoft.com/office/drawing/2014/main" id="{00000000-0008-0000-0100-00008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84" name="Picture 10" descr=" ">
          <a:extLst>
            <a:ext uri="{FF2B5EF4-FFF2-40B4-BE49-F238E27FC236}">
              <a16:creationId xmlns:a16="http://schemas.microsoft.com/office/drawing/2014/main" id="{00000000-0008-0000-0100-00009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85" name="Picture 11" descr=" ">
          <a:extLst>
            <a:ext uri="{FF2B5EF4-FFF2-40B4-BE49-F238E27FC236}">
              <a16:creationId xmlns:a16="http://schemas.microsoft.com/office/drawing/2014/main" id="{00000000-0008-0000-0100-00009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86" name="Picture 12" descr=" ">
          <a:extLst>
            <a:ext uri="{FF2B5EF4-FFF2-40B4-BE49-F238E27FC236}">
              <a16:creationId xmlns:a16="http://schemas.microsoft.com/office/drawing/2014/main" id="{00000000-0008-0000-0100-00009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87" name="Picture 7" descr=" ">
          <a:extLst>
            <a:ext uri="{FF2B5EF4-FFF2-40B4-BE49-F238E27FC236}">
              <a16:creationId xmlns:a16="http://schemas.microsoft.com/office/drawing/2014/main" id="{00000000-0008-0000-0100-00009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88" name="Picture 8" descr=" ">
          <a:extLst>
            <a:ext uri="{FF2B5EF4-FFF2-40B4-BE49-F238E27FC236}">
              <a16:creationId xmlns:a16="http://schemas.microsoft.com/office/drawing/2014/main" id="{00000000-0008-0000-0100-00009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89" name="Picture 9" descr=" ">
          <a:extLst>
            <a:ext uri="{FF2B5EF4-FFF2-40B4-BE49-F238E27FC236}">
              <a16:creationId xmlns:a16="http://schemas.microsoft.com/office/drawing/2014/main" id="{00000000-0008-0000-0100-00009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90" name="Picture 10" descr=" ">
          <a:extLst>
            <a:ext uri="{FF2B5EF4-FFF2-40B4-BE49-F238E27FC236}">
              <a16:creationId xmlns:a16="http://schemas.microsoft.com/office/drawing/2014/main" id="{00000000-0008-0000-0100-00009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91" name="Picture 11" descr=" ">
          <a:extLst>
            <a:ext uri="{FF2B5EF4-FFF2-40B4-BE49-F238E27FC236}">
              <a16:creationId xmlns:a16="http://schemas.microsoft.com/office/drawing/2014/main" id="{00000000-0008-0000-0100-00009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92" name="Picture 12" descr=" ">
          <a:extLst>
            <a:ext uri="{FF2B5EF4-FFF2-40B4-BE49-F238E27FC236}">
              <a16:creationId xmlns:a16="http://schemas.microsoft.com/office/drawing/2014/main" id="{00000000-0008-0000-0100-00009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93" name="Picture 7" descr=" ">
          <a:extLst>
            <a:ext uri="{FF2B5EF4-FFF2-40B4-BE49-F238E27FC236}">
              <a16:creationId xmlns:a16="http://schemas.microsoft.com/office/drawing/2014/main" id="{00000000-0008-0000-0100-00009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94" name="Picture 8" descr=" ">
          <a:extLst>
            <a:ext uri="{FF2B5EF4-FFF2-40B4-BE49-F238E27FC236}">
              <a16:creationId xmlns:a16="http://schemas.microsoft.com/office/drawing/2014/main" id="{00000000-0008-0000-0100-00009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95" name="Picture 9" descr=" ">
          <a:extLst>
            <a:ext uri="{FF2B5EF4-FFF2-40B4-BE49-F238E27FC236}">
              <a16:creationId xmlns:a16="http://schemas.microsoft.com/office/drawing/2014/main" id="{00000000-0008-0000-0100-00009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96" name="Picture 10" descr=" ">
          <a:extLst>
            <a:ext uri="{FF2B5EF4-FFF2-40B4-BE49-F238E27FC236}">
              <a16:creationId xmlns:a16="http://schemas.microsoft.com/office/drawing/2014/main" id="{00000000-0008-0000-0100-00009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97" name="Picture 11" descr=" ">
          <a:extLst>
            <a:ext uri="{FF2B5EF4-FFF2-40B4-BE49-F238E27FC236}">
              <a16:creationId xmlns:a16="http://schemas.microsoft.com/office/drawing/2014/main" id="{00000000-0008-0000-0100-00009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98" name="Picture 12" descr=" ">
          <a:extLst>
            <a:ext uri="{FF2B5EF4-FFF2-40B4-BE49-F238E27FC236}">
              <a16:creationId xmlns:a16="http://schemas.microsoft.com/office/drawing/2014/main" id="{00000000-0008-0000-0100-00009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399" name="Picture 7" descr=" ">
          <a:extLst>
            <a:ext uri="{FF2B5EF4-FFF2-40B4-BE49-F238E27FC236}">
              <a16:creationId xmlns:a16="http://schemas.microsoft.com/office/drawing/2014/main" id="{00000000-0008-0000-0100-00009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00" name="Picture 8" descr=" ">
          <a:extLst>
            <a:ext uri="{FF2B5EF4-FFF2-40B4-BE49-F238E27FC236}">
              <a16:creationId xmlns:a16="http://schemas.microsoft.com/office/drawing/2014/main" id="{00000000-0008-0000-0100-0000A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01" name="Picture 9" descr=" ">
          <a:extLst>
            <a:ext uri="{FF2B5EF4-FFF2-40B4-BE49-F238E27FC236}">
              <a16:creationId xmlns:a16="http://schemas.microsoft.com/office/drawing/2014/main" id="{00000000-0008-0000-0100-0000A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02" name="Picture 10" descr=" ">
          <a:extLst>
            <a:ext uri="{FF2B5EF4-FFF2-40B4-BE49-F238E27FC236}">
              <a16:creationId xmlns:a16="http://schemas.microsoft.com/office/drawing/2014/main" id="{00000000-0008-0000-0100-0000A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03" name="Picture 11" descr=" ">
          <a:extLst>
            <a:ext uri="{FF2B5EF4-FFF2-40B4-BE49-F238E27FC236}">
              <a16:creationId xmlns:a16="http://schemas.microsoft.com/office/drawing/2014/main" id="{00000000-0008-0000-0100-0000A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04" name="Picture 12" descr=" ">
          <a:extLst>
            <a:ext uri="{FF2B5EF4-FFF2-40B4-BE49-F238E27FC236}">
              <a16:creationId xmlns:a16="http://schemas.microsoft.com/office/drawing/2014/main" id="{00000000-0008-0000-0100-0000A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05" name="Picture 7" descr=" ">
          <a:extLst>
            <a:ext uri="{FF2B5EF4-FFF2-40B4-BE49-F238E27FC236}">
              <a16:creationId xmlns:a16="http://schemas.microsoft.com/office/drawing/2014/main" id="{00000000-0008-0000-0100-0000A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06" name="Picture 8" descr=" ">
          <a:extLst>
            <a:ext uri="{FF2B5EF4-FFF2-40B4-BE49-F238E27FC236}">
              <a16:creationId xmlns:a16="http://schemas.microsoft.com/office/drawing/2014/main" id="{00000000-0008-0000-0100-0000A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07" name="Picture 9" descr=" ">
          <a:extLst>
            <a:ext uri="{FF2B5EF4-FFF2-40B4-BE49-F238E27FC236}">
              <a16:creationId xmlns:a16="http://schemas.microsoft.com/office/drawing/2014/main" id="{00000000-0008-0000-0100-0000A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08" name="Picture 10" descr=" ">
          <a:extLst>
            <a:ext uri="{FF2B5EF4-FFF2-40B4-BE49-F238E27FC236}">
              <a16:creationId xmlns:a16="http://schemas.microsoft.com/office/drawing/2014/main" id="{00000000-0008-0000-0100-0000A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09" name="Picture 11" descr=" ">
          <a:extLst>
            <a:ext uri="{FF2B5EF4-FFF2-40B4-BE49-F238E27FC236}">
              <a16:creationId xmlns:a16="http://schemas.microsoft.com/office/drawing/2014/main" id="{00000000-0008-0000-0100-0000A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10" name="Picture 12" descr=" ">
          <a:extLst>
            <a:ext uri="{FF2B5EF4-FFF2-40B4-BE49-F238E27FC236}">
              <a16:creationId xmlns:a16="http://schemas.microsoft.com/office/drawing/2014/main" id="{00000000-0008-0000-0100-0000A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11" name="Picture 7" descr=" ">
          <a:extLst>
            <a:ext uri="{FF2B5EF4-FFF2-40B4-BE49-F238E27FC236}">
              <a16:creationId xmlns:a16="http://schemas.microsoft.com/office/drawing/2014/main" id="{00000000-0008-0000-0100-0000A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12" name="Picture 8" descr=" ">
          <a:extLst>
            <a:ext uri="{FF2B5EF4-FFF2-40B4-BE49-F238E27FC236}">
              <a16:creationId xmlns:a16="http://schemas.microsoft.com/office/drawing/2014/main" id="{00000000-0008-0000-0100-0000A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13" name="Picture 9" descr=" ">
          <a:extLst>
            <a:ext uri="{FF2B5EF4-FFF2-40B4-BE49-F238E27FC236}">
              <a16:creationId xmlns:a16="http://schemas.microsoft.com/office/drawing/2014/main" id="{00000000-0008-0000-0100-0000A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14" name="Picture 10" descr=" ">
          <a:extLst>
            <a:ext uri="{FF2B5EF4-FFF2-40B4-BE49-F238E27FC236}">
              <a16:creationId xmlns:a16="http://schemas.microsoft.com/office/drawing/2014/main" id="{00000000-0008-0000-0100-0000A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15" name="Picture 11" descr=" ">
          <a:extLst>
            <a:ext uri="{FF2B5EF4-FFF2-40B4-BE49-F238E27FC236}">
              <a16:creationId xmlns:a16="http://schemas.microsoft.com/office/drawing/2014/main" id="{00000000-0008-0000-0100-0000A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16" name="Picture 12" descr=" ">
          <a:extLst>
            <a:ext uri="{FF2B5EF4-FFF2-40B4-BE49-F238E27FC236}">
              <a16:creationId xmlns:a16="http://schemas.microsoft.com/office/drawing/2014/main" id="{00000000-0008-0000-0100-0000B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17" name="Picture 7" descr=" ">
          <a:extLst>
            <a:ext uri="{FF2B5EF4-FFF2-40B4-BE49-F238E27FC236}">
              <a16:creationId xmlns:a16="http://schemas.microsoft.com/office/drawing/2014/main" id="{00000000-0008-0000-0100-0000B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18" name="Picture 8" descr=" ">
          <a:extLst>
            <a:ext uri="{FF2B5EF4-FFF2-40B4-BE49-F238E27FC236}">
              <a16:creationId xmlns:a16="http://schemas.microsoft.com/office/drawing/2014/main" id="{00000000-0008-0000-0100-0000B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19" name="Picture 9" descr=" ">
          <a:extLst>
            <a:ext uri="{FF2B5EF4-FFF2-40B4-BE49-F238E27FC236}">
              <a16:creationId xmlns:a16="http://schemas.microsoft.com/office/drawing/2014/main" id="{00000000-0008-0000-0100-0000B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20" name="Picture 10" descr=" ">
          <a:extLst>
            <a:ext uri="{FF2B5EF4-FFF2-40B4-BE49-F238E27FC236}">
              <a16:creationId xmlns:a16="http://schemas.microsoft.com/office/drawing/2014/main" id="{00000000-0008-0000-0100-0000B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21" name="Picture 11" descr=" ">
          <a:extLst>
            <a:ext uri="{FF2B5EF4-FFF2-40B4-BE49-F238E27FC236}">
              <a16:creationId xmlns:a16="http://schemas.microsoft.com/office/drawing/2014/main" id="{00000000-0008-0000-0100-0000B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22" name="Picture 12" descr=" ">
          <a:extLst>
            <a:ext uri="{FF2B5EF4-FFF2-40B4-BE49-F238E27FC236}">
              <a16:creationId xmlns:a16="http://schemas.microsoft.com/office/drawing/2014/main" id="{00000000-0008-0000-0100-0000B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23" name="Picture 7" descr=" ">
          <a:extLst>
            <a:ext uri="{FF2B5EF4-FFF2-40B4-BE49-F238E27FC236}">
              <a16:creationId xmlns:a16="http://schemas.microsoft.com/office/drawing/2014/main" id="{00000000-0008-0000-0100-0000B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24" name="Picture 8" descr=" ">
          <a:extLst>
            <a:ext uri="{FF2B5EF4-FFF2-40B4-BE49-F238E27FC236}">
              <a16:creationId xmlns:a16="http://schemas.microsoft.com/office/drawing/2014/main" id="{00000000-0008-0000-0100-0000B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25" name="Picture 9" descr=" ">
          <a:extLst>
            <a:ext uri="{FF2B5EF4-FFF2-40B4-BE49-F238E27FC236}">
              <a16:creationId xmlns:a16="http://schemas.microsoft.com/office/drawing/2014/main" id="{00000000-0008-0000-0100-0000B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26" name="Picture 10" descr=" ">
          <a:extLst>
            <a:ext uri="{FF2B5EF4-FFF2-40B4-BE49-F238E27FC236}">
              <a16:creationId xmlns:a16="http://schemas.microsoft.com/office/drawing/2014/main" id="{00000000-0008-0000-0100-0000B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27" name="Picture 11" descr=" ">
          <a:extLst>
            <a:ext uri="{FF2B5EF4-FFF2-40B4-BE49-F238E27FC236}">
              <a16:creationId xmlns:a16="http://schemas.microsoft.com/office/drawing/2014/main" id="{00000000-0008-0000-0100-0000B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28" name="Picture 12" descr=" ">
          <a:extLst>
            <a:ext uri="{FF2B5EF4-FFF2-40B4-BE49-F238E27FC236}">
              <a16:creationId xmlns:a16="http://schemas.microsoft.com/office/drawing/2014/main" id="{00000000-0008-0000-0100-0000B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29" name="Picture 7" descr=" ">
          <a:extLst>
            <a:ext uri="{FF2B5EF4-FFF2-40B4-BE49-F238E27FC236}">
              <a16:creationId xmlns:a16="http://schemas.microsoft.com/office/drawing/2014/main" id="{00000000-0008-0000-0100-0000B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30" name="Picture 8" descr=" ">
          <a:extLst>
            <a:ext uri="{FF2B5EF4-FFF2-40B4-BE49-F238E27FC236}">
              <a16:creationId xmlns:a16="http://schemas.microsoft.com/office/drawing/2014/main" id="{00000000-0008-0000-0100-0000B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31" name="Picture 9" descr=" ">
          <a:extLst>
            <a:ext uri="{FF2B5EF4-FFF2-40B4-BE49-F238E27FC236}">
              <a16:creationId xmlns:a16="http://schemas.microsoft.com/office/drawing/2014/main" id="{00000000-0008-0000-0100-0000B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32" name="Picture 10" descr=" ">
          <a:extLst>
            <a:ext uri="{FF2B5EF4-FFF2-40B4-BE49-F238E27FC236}">
              <a16:creationId xmlns:a16="http://schemas.microsoft.com/office/drawing/2014/main" id="{00000000-0008-0000-0100-0000C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33" name="Picture 11" descr=" ">
          <a:extLst>
            <a:ext uri="{FF2B5EF4-FFF2-40B4-BE49-F238E27FC236}">
              <a16:creationId xmlns:a16="http://schemas.microsoft.com/office/drawing/2014/main" id="{00000000-0008-0000-0100-0000C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34" name="Picture 12" descr=" ">
          <a:extLst>
            <a:ext uri="{FF2B5EF4-FFF2-40B4-BE49-F238E27FC236}">
              <a16:creationId xmlns:a16="http://schemas.microsoft.com/office/drawing/2014/main" id="{00000000-0008-0000-0100-0000C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35" name="Picture 7" descr=" ">
          <a:extLst>
            <a:ext uri="{FF2B5EF4-FFF2-40B4-BE49-F238E27FC236}">
              <a16:creationId xmlns:a16="http://schemas.microsoft.com/office/drawing/2014/main" id="{00000000-0008-0000-0100-0000C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36" name="Picture 8" descr=" ">
          <a:extLst>
            <a:ext uri="{FF2B5EF4-FFF2-40B4-BE49-F238E27FC236}">
              <a16:creationId xmlns:a16="http://schemas.microsoft.com/office/drawing/2014/main" id="{00000000-0008-0000-0100-0000C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37" name="Picture 9" descr=" ">
          <a:extLst>
            <a:ext uri="{FF2B5EF4-FFF2-40B4-BE49-F238E27FC236}">
              <a16:creationId xmlns:a16="http://schemas.microsoft.com/office/drawing/2014/main" id="{00000000-0008-0000-0100-0000C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38" name="Picture 10" descr=" ">
          <a:extLst>
            <a:ext uri="{FF2B5EF4-FFF2-40B4-BE49-F238E27FC236}">
              <a16:creationId xmlns:a16="http://schemas.microsoft.com/office/drawing/2014/main" id="{00000000-0008-0000-0100-0000C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39" name="Picture 11" descr=" ">
          <a:extLst>
            <a:ext uri="{FF2B5EF4-FFF2-40B4-BE49-F238E27FC236}">
              <a16:creationId xmlns:a16="http://schemas.microsoft.com/office/drawing/2014/main" id="{00000000-0008-0000-0100-0000C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40" name="Picture 12" descr=" ">
          <a:extLst>
            <a:ext uri="{FF2B5EF4-FFF2-40B4-BE49-F238E27FC236}">
              <a16:creationId xmlns:a16="http://schemas.microsoft.com/office/drawing/2014/main" id="{00000000-0008-0000-0100-0000C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41" name="Picture 7" descr=" ">
          <a:extLst>
            <a:ext uri="{FF2B5EF4-FFF2-40B4-BE49-F238E27FC236}">
              <a16:creationId xmlns:a16="http://schemas.microsoft.com/office/drawing/2014/main" id="{00000000-0008-0000-0100-0000C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42" name="Picture 8" descr=" ">
          <a:extLst>
            <a:ext uri="{FF2B5EF4-FFF2-40B4-BE49-F238E27FC236}">
              <a16:creationId xmlns:a16="http://schemas.microsoft.com/office/drawing/2014/main" id="{00000000-0008-0000-0100-0000C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43" name="Picture 9" descr=" ">
          <a:extLst>
            <a:ext uri="{FF2B5EF4-FFF2-40B4-BE49-F238E27FC236}">
              <a16:creationId xmlns:a16="http://schemas.microsoft.com/office/drawing/2014/main" id="{00000000-0008-0000-0100-0000C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44" name="Picture 10" descr=" ">
          <a:extLst>
            <a:ext uri="{FF2B5EF4-FFF2-40B4-BE49-F238E27FC236}">
              <a16:creationId xmlns:a16="http://schemas.microsoft.com/office/drawing/2014/main" id="{00000000-0008-0000-0100-0000C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45" name="Picture 11" descr=" ">
          <a:extLst>
            <a:ext uri="{FF2B5EF4-FFF2-40B4-BE49-F238E27FC236}">
              <a16:creationId xmlns:a16="http://schemas.microsoft.com/office/drawing/2014/main" id="{00000000-0008-0000-0100-0000C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46" name="Picture 12" descr=" ">
          <a:extLst>
            <a:ext uri="{FF2B5EF4-FFF2-40B4-BE49-F238E27FC236}">
              <a16:creationId xmlns:a16="http://schemas.microsoft.com/office/drawing/2014/main" id="{00000000-0008-0000-0100-0000C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47" name="Picture 7" descr=" ">
          <a:extLst>
            <a:ext uri="{FF2B5EF4-FFF2-40B4-BE49-F238E27FC236}">
              <a16:creationId xmlns:a16="http://schemas.microsoft.com/office/drawing/2014/main" id="{00000000-0008-0000-0100-0000C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48" name="Picture 8" descr=" ">
          <a:extLst>
            <a:ext uri="{FF2B5EF4-FFF2-40B4-BE49-F238E27FC236}">
              <a16:creationId xmlns:a16="http://schemas.microsoft.com/office/drawing/2014/main" id="{00000000-0008-0000-0100-0000D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49" name="Picture 9" descr=" ">
          <a:extLst>
            <a:ext uri="{FF2B5EF4-FFF2-40B4-BE49-F238E27FC236}">
              <a16:creationId xmlns:a16="http://schemas.microsoft.com/office/drawing/2014/main" id="{00000000-0008-0000-0100-0000D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50" name="Picture 10" descr=" ">
          <a:extLst>
            <a:ext uri="{FF2B5EF4-FFF2-40B4-BE49-F238E27FC236}">
              <a16:creationId xmlns:a16="http://schemas.microsoft.com/office/drawing/2014/main" id="{00000000-0008-0000-0100-0000D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51" name="Picture 11" descr=" ">
          <a:extLst>
            <a:ext uri="{FF2B5EF4-FFF2-40B4-BE49-F238E27FC236}">
              <a16:creationId xmlns:a16="http://schemas.microsoft.com/office/drawing/2014/main" id="{00000000-0008-0000-0100-0000D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52" name="Picture 12" descr=" ">
          <a:extLst>
            <a:ext uri="{FF2B5EF4-FFF2-40B4-BE49-F238E27FC236}">
              <a16:creationId xmlns:a16="http://schemas.microsoft.com/office/drawing/2014/main" id="{00000000-0008-0000-0100-0000D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53" name="Picture 7" descr=" ">
          <a:extLst>
            <a:ext uri="{FF2B5EF4-FFF2-40B4-BE49-F238E27FC236}">
              <a16:creationId xmlns:a16="http://schemas.microsoft.com/office/drawing/2014/main" id="{00000000-0008-0000-0100-0000D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54" name="Picture 8" descr=" ">
          <a:extLst>
            <a:ext uri="{FF2B5EF4-FFF2-40B4-BE49-F238E27FC236}">
              <a16:creationId xmlns:a16="http://schemas.microsoft.com/office/drawing/2014/main" id="{00000000-0008-0000-0100-0000D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55" name="Picture 9" descr=" ">
          <a:extLst>
            <a:ext uri="{FF2B5EF4-FFF2-40B4-BE49-F238E27FC236}">
              <a16:creationId xmlns:a16="http://schemas.microsoft.com/office/drawing/2014/main" id="{00000000-0008-0000-0100-0000D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56" name="Picture 10" descr=" ">
          <a:extLst>
            <a:ext uri="{FF2B5EF4-FFF2-40B4-BE49-F238E27FC236}">
              <a16:creationId xmlns:a16="http://schemas.microsoft.com/office/drawing/2014/main" id="{00000000-0008-0000-0100-0000D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57" name="Picture 11" descr=" ">
          <a:extLst>
            <a:ext uri="{FF2B5EF4-FFF2-40B4-BE49-F238E27FC236}">
              <a16:creationId xmlns:a16="http://schemas.microsoft.com/office/drawing/2014/main" id="{00000000-0008-0000-0100-0000D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58" name="Picture 12" descr=" ">
          <a:extLst>
            <a:ext uri="{FF2B5EF4-FFF2-40B4-BE49-F238E27FC236}">
              <a16:creationId xmlns:a16="http://schemas.microsoft.com/office/drawing/2014/main" id="{00000000-0008-0000-0100-0000D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59" name="Picture 7" descr=" ">
          <a:extLst>
            <a:ext uri="{FF2B5EF4-FFF2-40B4-BE49-F238E27FC236}">
              <a16:creationId xmlns:a16="http://schemas.microsoft.com/office/drawing/2014/main" id="{00000000-0008-0000-0100-0000D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60" name="Picture 8" descr=" ">
          <a:extLst>
            <a:ext uri="{FF2B5EF4-FFF2-40B4-BE49-F238E27FC236}">
              <a16:creationId xmlns:a16="http://schemas.microsoft.com/office/drawing/2014/main" id="{00000000-0008-0000-0100-0000D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61" name="Picture 9" descr=" ">
          <a:extLst>
            <a:ext uri="{FF2B5EF4-FFF2-40B4-BE49-F238E27FC236}">
              <a16:creationId xmlns:a16="http://schemas.microsoft.com/office/drawing/2014/main" id="{00000000-0008-0000-0100-0000D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62" name="Picture 10" descr=" ">
          <a:extLst>
            <a:ext uri="{FF2B5EF4-FFF2-40B4-BE49-F238E27FC236}">
              <a16:creationId xmlns:a16="http://schemas.microsoft.com/office/drawing/2014/main" id="{00000000-0008-0000-0100-0000D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63" name="Picture 11" descr=" ">
          <a:extLst>
            <a:ext uri="{FF2B5EF4-FFF2-40B4-BE49-F238E27FC236}">
              <a16:creationId xmlns:a16="http://schemas.microsoft.com/office/drawing/2014/main" id="{00000000-0008-0000-0100-0000D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64" name="Picture 12" descr=" ">
          <a:extLst>
            <a:ext uri="{FF2B5EF4-FFF2-40B4-BE49-F238E27FC236}">
              <a16:creationId xmlns:a16="http://schemas.microsoft.com/office/drawing/2014/main" id="{00000000-0008-0000-0100-0000E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65" name="Picture 7" descr=" ">
          <a:extLst>
            <a:ext uri="{FF2B5EF4-FFF2-40B4-BE49-F238E27FC236}">
              <a16:creationId xmlns:a16="http://schemas.microsoft.com/office/drawing/2014/main" id="{00000000-0008-0000-0100-0000E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66" name="Picture 8" descr=" ">
          <a:extLst>
            <a:ext uri="{FF2B5EF4-FFF2-40B4-BE49-F238E27FC236}">
              <a16:creationId xmlns:a16="http://schemas.microsoft.com/office/drawing/2014/main" id="{00000000-0008-0000-0100-0000E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67" name="Picture 9" descr=" ">
          <a:extLst>
            <a:ext uri="{FF2B5EF4-FFF2-40B4-BE49-F238E27FC236}">
              <a16:creationId xmlns:a16="http://schemas.microsoft.com/office/drawing/2014/main" id="{00000000-0008-0000-0100-0000E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68" name="Picture 10" descr=" ">
          <a:extLst>
            <a:ext uri="{FF2B5EF4-FFF2-40B4-BE49-F238E27FC236}">
              <a16:creationId xmlns:a16="http://schemas.microsoft.com/office/drawing/2014/main" id="{00000000-0008-0000-0100-0000E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69" name="Picture 11" descr=" ">
          <a:extLst>
            <a:ext uri="{FF2B5EF4-FFF2-40B4-BE49-F238E27FC236}">
              <a16:creationId xmlns:a16="http://schemas.microsoft.com/office/drawing/2014/main" id="{00000000-0008-0000-0100-0000E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70" name="Picture 12" descr=" ">
          <a:extLst>
            <a:ext uri="{FF2B5EF4-FFF2-40B4-BE49-F238E27FC236}">
              <a16:creationId xmlns:a16="http://schemas.microsoft.com/office/drawing/2014/main" id="{00000000-0008-0000-0100-0000E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71" name="Picture 7" descr=" ">
          <a:extLst>
            <a:ext uri="{FF2B5EF4-FFF2-40B4-BE49-F238E27FC236}">
              <a16:creationId xmlns:a16="http://schemas.microsoft.com/office/drawing/2014/main" id="{00000000-0008-0000-0100-0000E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72" name="Picture 8" descr=" ">
          <a:extLst>
            <a:ext uri="{FF2B5EF4-FFF2-40B4-BE49-F238E27FC236}">
              <a16:creationId xmlns:a16="http://schemas.microsoft.com/office/drawing/2014/main" id="{00000000-0008-0000-0100-0000E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73" name="Picture 9" descr=" ">
          <a:extLst>
            <a:ext uri="{FF2B5EF4-FFF2-40B4-BE49-F238E27FC236}">
              <a16:creationId xmlns:a16="http://schemas.microsoft.com/office/drawing/2014/main" id="{00000000-0008-0000-0100-0000E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74" name="Picture 10" descr=" ">
          <a:extLst>
            <a:ext uri="{FF2B5EF4-FFF2-40B4-BE49-F238E27FC236}">
              <a16:creationId xmlns:a16="http://schemas.microsoft.com/office/drawing/2014/main" id="{00000000-0008-0000-0100-0000E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75" name="Picture 11" descr=" ">
          <a:extLst>
            <a:ext uri="{FF2B5EF4-FFF2-40B4-BE49-F238E27FC236}">
              <a16:creationId xmlns:a16="http://schemas.microsoft.com/office/drawing/2014/main" id="{00000000-0008-0000-0100-0000E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76" name="Picture 12" descr=" ">
          <a:extLst>
            <a:ext uri="{FF2B5EF4-FFF2-40B4-BE49-F238E27FC236}">
              <a16:creationId xmlns:a16="http://schemas.microsoft.com/office/drawing/2014/main" id="{00000000-0008-0000-0100-0000E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77" name="Picture 7" descr=" ">
          <a:extLst>
            <a:ext uri="{FF2B5EF4-FFF2-40B4-BE49-F238E27FC236}">
              <a16:creationId xmlns:a16="http://schemas.microsoft.com/office/drawing/2014/main" id="{00000000-0008-0000-0100-0000E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78" name="Picture 8" descr=" ">
          <a:extLst>
            <a:ext uri="{FF2B5EF4-FFF2-40B4-BE49-F238E27FC236}">
              <a16:creationId xmlns:a16="http://schemas.microsoft.com/office/drawing/2014/main" id="{00000000-0008-0000-0100-0000E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79" name="Picture 9" descr=" ">
          <a:extLst>
            <a:ext uri="{FF2B5EF4-FFF2-40B4-BE49-F238E27FC236}">
              <a16:creationId xmlns:a16="http://schemas.microsoft.com/office/drawing/2014/main" id="{00000000-0008-0000-0100-0000E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80" name="Picture 10" descr=" ">
          <a:extLst>
            <a:ext uri="{FF2B5EF4-FFF2-40B4-BE49-F238E27FC236}">
              <a16:creationId xmlns:a16="http://schemas.microsoft.com/office/drawing/2014/main" id="{00000000-0008-0000-0100-0000F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81" name="Picture 11" descr=" ">
          <a:extLst>
            <a:ext uri="{FF2B5EF4-FFF2-40B4-BE49-F238E27FC236}">
              <a16:creationId xmlns:a16="http://schemas.microsoft.com/office/drawing/2014/main" id="{00000000-0008-0000-0100-0000F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82" name="Picture 12" descr=" ">
          <a:extLst>
            <a:ext uri="{FF2B5EF4-FFF2-40B4-BE49-F238E27FC236}">
              <a16:creationId xmlns:a16="http://schemas.microsoft.com/office/drawing/2014/main" id="{00000000-0008-0000-0100-0000F2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83" name="Picture 7" descr=" ">
          <a:extLst>
            <a:ext uri="{FF2B5EF4-FFF2-40B4-BE49-F238E27FC236}">
              <a16:creationId xmlns:a16="http://schemas.microsoft.com/office/drawing/2014/main" id="{00000000-0008-0000-0100-0000F3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84" name="Picture 8" descr=" ">
          <a:extLst>
            <a:ext uri="{FF2B5EF4-FFF2-40B4-BE49-F238E27FC236}">
              <a16:creationId xmlns:a16="http://schemas.microsoft.com/office/drawing/2014/main" id="{00000000-0008-0000-0100-0000F4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85" name="Picture 9" descr=" ">
          <a:extLst>
            <a:ext uri="{FF2B5EF4-FFF2-40B4-BE49-F238E27FC236}">
              <a16:creationId xmlns:a16="http://schemas.microsoft.com/office/drawing/2014/main" id="{00000000-0008-0000-0100-0000F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86" name="Picture 10" descr=" ">
          <a:extLst>
            <a:ext uri="{FF2B5EF4-FFF2-40B4-BE49-F238E27FC236}">
              <a16:creationId xmlns:a16="http://schemas.microsoft.com/office/drawing/2014/main" id="{00000000-0008-0000-0100-0000F6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87" name="Picture 11" descr=" ">
          <a:extLst>
            <a:ext uri="{FF2B5EF4-FFF2-40B4-BE49-F238E27FC236}">
              <a16:creationId xmlns:a16="http://schemas.microsoft.com/office/drawing/2014/main" id="{00000000-0008-0000-0100-0000F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88" name="Picture 12" descr=" ">
          <a:extLst>
            <a:ext uri="{FF2B5EF4-FFF2-40B4-BE49-F238E27FC236}">
              <a16:creationId xmlns:a16="http://schemas.microsoft.com/office/drawing/2014/main" id="{00000000-0008-0000-0100-0000F8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89" name="Picture 7" descr=" ">
          <a:extLst>
            <a:ext uri="{FF2B5EF4-FFF2-40B4-BE49-F238E27FC236}">
              <a16:creationId xmlns:a16="http://schemas.microsoft.com/office/drawing/2014/main" id="{00000000-0008-0000-0100-0000F9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90" name="Picture 8" descr=" ">
          <a:extLst>
            <a:ext uri="{FF2B5EF4-FFF2-40B4-BE49-F238E27FC236}">
              <a16:creationId xmlns:a16="http://schemas.microsoft.com/office/drawing/2014/main" id="{00000000-0008-0000-0100-0000FA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91" name="Picture 9" descr=" ">
          <a:extLst>
            <a:ext uri="{FF2B5EF4-FFF2-40B4-BE49-F238E27FC236}">
              <a16:creationId xmlns:a16="http://schemas.microsoft.com/office/drawing/2014/main" id="{00000000-0008-0000-0100-0000FB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92" name="Picture 10" descr=" ">
          <a:extLst>
            <a:ext uri="{FF2B5EF4-FFF2-40B4-BE49-F238E27FC236}">
              <a16:creationId xmlns:a16="http://schemas.microsoft.com/office/drawing/2014/main" id="{00000000-0008-0000-0100-0000FC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93" name="Picture 11" descr=" ">
          <a:extLst>
            <a:ext uri="{FF2B5EF4-FFF2-40B4-BE49-F238E27FC236}">
              <a16:creationId xmlns:a16="http://schemas.microsoft.com/office/drawing/2014/main" id="{00000000-0008-0000-0100-0000FD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94" name="Picture 12" descr=" ">
          <a:extLst>
            <a:ext uri="{FF2B5EF4-FFF2-40B4-BE49-F238E27FC236}">
              <a16:creationId xmlns:a16="http://schemas.microsoft.com/office/drawing/2014/main" id="{00000000-0008-0000-0100-0000FE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95" name="Picture 7" descr=" ">
          <a:extLst>
            <a:ext uri="{FF2B5EF4-FFF2-40B4-BE49-F238E27FC236}">
              <a16:creationId xmlns:a16="http://schemas.microsoft.com/office/drawing/2014/main" id="{00000000-0008-0000-0100-0000FF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96" name="Picture 8" descr=" ">
          <a:extLst>
            <a:ext uri="{FF2B5EF4-FFF2-40B4-BE49-F238E27FC236}">
              <a16:creationId xmlns:a16="http://schemas.microsoft.com/office/drawing/2014/main" id="{00000000-0008-0000-0100-00000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97" name="Picture 9" descr=" ">
          <a:extLst>
            <a:ext uri="{FF2B5EF4-FFF2-40B4-BE49-F238E27FC236}">
              <a16:creationId xmlns:a16="http://schemas.microsoft.com/office/drawing/2014/main" id="{00000000-0008-0000-0100-00000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98" name="Picture 10" descr=" ">
          <a:extLst>
            <a:ext uri="{FF2B5EF4-FFF2-40B4-BE49-F238E27FC236}">
              <a16:creationId xmlns:a16="http://schemas.microsoft.com/office/drawing/2014/main" id="{00000000-0008-0000-0100-00000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499" name="Picture 11" descr=" ">
          <a:extLst>
            <a:ext uri="{FF2B5EF4-FFF2-40B4-BE49-F238E27FC236}">
              <a16:creationId xmlns:a16="http://schemas.microsoft.com/office/drawing/2014/main" id="{00000000-0008-0000-0100-00000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00" name="Picture 12" descr=" ">
          <a:extLst>
            <a:ext uri="{FF2B5EF4-FFF2-40B4-BE49-F238E27FC236}">
              <a16:creationId xmlns:a16="http://schemas.microsoft.com/office/drawing/2014/main" id="{00000000-0008-0000-0100-00000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01" name="Picture 7" descr=" ">
          <a:extLst>
            <a:ext uri="{FF2B5EF4-FFF2-40B4-BE49-F238E27FC236}">
              <a16:creationId xmlns:a16="http://schemas.microsoft.com/office/drawing/2014/main" id="{00000000-0008-0000-0100-00000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02" name="Picture 8" descr=" ">
          <a:extLst>
            <a:ext uri="{FF2B5EF4-FFF2-40B4-BE49-F238E27FC236}">
              <a16:creationId xmlns:a16="http://schemas.microsoft.com/office/drawing/2014/main" id="{00000000-0008-0000-0100-00000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03" name="Picture 9" descr=" ">
          <a:extLst>
            <a:ext uri="{FF2B5EF4-FFF2-40B4-BE49-F238E27FC236}">
              <a16:creationId xmlns:a16="http://schemas.microsoft.com/office/drawing/2014/main" id="{00000000-0008-0000-0100-00000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04" name="Picture 10" descr=" ">
          <a:extLst>
            <a:ext uri="{FF2B5EF4-FFF2-40B4-BE49-F238E27FC236}">
              <a16:creationId xmlns:a16="http://schemas.microsoft.com/office/drawing/2014/main" id="{00000000-0008-0000-0100-00000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05" name="Picture 11" descr=" ">
          <a:extLst>
            <a:ext uri="{FF2B5EF4-FFF2-40B4-BE49-F238E27FC236}">
              <a16:creationId xmlns:a16="http://schemas.microsoft.com/office/drawing/2014/main" id="{00000000-0008-0000-0100-00000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06" name="Picture 12" descr=" ">
          <a:extLst>
            <a:ext uri="{FF2B5EF4-FFF2-40B4-BE49-F238E27FC236}">
              <a16:creationId xmlns:a16="http://schemas.microsoft.com/office/drawing/2014/main" id="{00000000-0008-0000-0100-00000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07" name="Picture 7" descr=" ">
          <a:extLst>
            <a:ext uri="{FF2B5EF4-FFF2-40B4-BE49-F238E27FC236}">
              <a16:creationId xmlns:a16="http://schemas.microsoft.com/office/drawing/2014/main" id="{00000000-0008-0000-0100-00000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08" name="Picture 8" descr=" ">
          <a:extLst>
            <a:ext uri="{FF2B5EF4-FFF2-40B4-BE49-F238E27FC236}">
              <a16:creationId xmlns:a16="http://schemas.microsoft.com/office/drawing/2014/main" id="{00000000-0008-0000-0100-00000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09" name="Picture 9" descr=" ">
          <a:extLst>
            <a:ext uri="{FF2B5EF4-FFF2-40B4-BE49-F238E27FC236}">
              <a16:creationId xmlns:a16="http://schemas.microsoft.com/office/drawing/2014/main" id="{00000000-0008-0000-0100-00000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10" name="Picture 10" descr=" ">
          <a:extLst>
            <a:ext uri="{FF2B5EF4-FFF2-40B4-BE49-F238E27FC236}">
              <a16:creationId xmlns:a16="http://schemas.microsoft.com/office/drawing/2014/main" id="{00000000-0008-0000-0100-00000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11" name="Picture 11" descr=" ">
          <a:extLst>
            <a:ext uri="{FF2B5EF4-FFF2-40B4-BE49-F238E27FC236}">
              <a16:creationId xmlns:a16="http://schemas.microsoft.com/office/drawing/2014/main" id="{00000000-0008-0000-0100-00000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12" name="Picture 12" descr=" ">
          <a:extLst>
            <a:ext uri="{FF2B5EF4-FFF2-40B4-BE49-F238E27FC236}">
              <a16:creationId xmlns:a16="http://schemas.microsoft.com/office/drawing/2014/main" id="{00000000-0008-0000-0100-00001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13" name="Picture 7" descr=" ">
          <a:extLst>
            <a:ext uri="{FF2B5EF4-FFF2-40B4-BE49-F238E27FC236}">
              <a16:creationId xmlns:a16="http://schemas.microsoft.com/office/drawing/2014/main" id="{00000000-0008-0000-0100-00001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14" name="Picture 8" descr=" ">
          <a:extLst>
            <a:ext uri="{FF2B5EF4-FFF2-40B4-BE49-F238E27FC236}">
              <a16:creationId xmlns:a16="http://schemas.microsoft.com/office/drawing/2014/main" id="{00000000-0008-0000-0100-00001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15" name="Picture 9" descr=" ">
          <a:extLst>
            <a:ext uri="{FF2B5EF4-FFF2-40B4-BE49-F238E27FC236}">
              <a16:creationId xmlns:a16="http://schemas.microsoft.com/office/drawing/2014/main" id="{00000000-0008-0000-0100-00001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16" name="Picture 10" descr=" ">
          <a:extLst>
            <a:ext uri="{FF2B5EF4-FFF2-40B4-BE49-F238E27FC236}">
              <a16:creationId xmlns:a16="http://schemas.microsoft.com/office/drawing/2014/main" id="{00000000-0008-0000-0100-00001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17" name="Picture 11" descr=" ">
          <a:extLst>
            <a:ext uri="{FF2B5EF4-FFF2-40B4-BE49-F238E27FC236}">
              <a16:creationId xmlns:a16="http://schemas.microsoft.com/office/drawing/2014/main" id="{00000000-0008-0000-0100-00001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18" name="Picture 12" descr=" ">
          <a:extLst>
            <a:ext uri="{FF2B5EF4-FFF2-40B4-BE49-F238E27FC236}">
              <a16:creationId xmlns:a16="http://schemas.microsoft.com/office/drawing/2014/main" id="{00000000-0008-0000-0100-00001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19" name="Picture 7" descr=" ">
          <a:extLst>
            <a:ext uri="{FF2B5EF4-FFF2-40B4-BE49-F238E27FC236}">
              <a16:creationId xmlns:a16="http://schemas.microsoft.com/office/drawing/2014/main" id="{00000000-0008-0000-0100-00001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20" name="Picture 8" descr=" ">
          <a:extLst>
            <a:ext uri="{FF2B5EF4-FFF2-40B4-BE49-F238E27FC236}">
              <a16:creationId xmlns:a16="http://schemas.microsoft.com/office/drawing/2014/main" id="{00000000-0008-0000-0100-00001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21" name="Picture 9" descr=" ">
          <a:extLst>
            <a:ext uri="{FF2B5EF4-FFF2-40B4-BE49-F238E27FC236}">
              <a16:creationId xmlns:a16="http://schemas.microsoft.com/office/drawing/2014/main" id="{00000000-0008-0000-0100-00001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22" name="Picture 10" descr=" ">
          <a:extLst>
            <a:ext uri="{FF2B5EF4-FFF2-40B4-BE49-F238E27FC236}">
              <a16:creationId xmlns:a16="http://schemas.microsoft.com/office/drawing/2014/main" id="{00000000-0008-0000-0100-00001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23" name="Picture 11" descr=" ">
          <a:extLst>
            <a:ext uri="{FF2B5EF4-FFF2-40B4-BE49-F238E27FC236}">
              <a16:creationId xmlns:a16="http://schemas.microsoft.com/office/drawing/2014/main" id="{00000000-0008-0000-0100-00001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24" name="Picture 12" descr=" ">
          <a:extLst>
            <a:ext uri="{FF2B5EF4-FFF2-40B4-BE49-F238E27FC236}">
              <a16:creationId xmlns:a16="http://schemas.microsoft.com/office/drawing/2014/main" id="{00000000-0008-0000-0100-00001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25" name="Picture 7" descr=" ">
          <a:extLst>
            <a:ext uri="{FF2B5EF4-FFF2-40B4-BE49-F238E27FC236}">
              <a16:creationId xmlns:a16="http://schemas.microsoft.com/office/drawing/2014/main" id="{00000000-0008-0000-0100-00001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26" name="Picture 8" descr=" ">
          <a:extLst>
            <a:ext uri="{FF2B5EF4-FFF2-40B4-BE49-F238E27FC236}">
              <a16:creationId xmlns:a16="http://schemas.microsoft.com/office/drawing/2014/main" id="{00000000-0008-0000-0100-00001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27" name="Picture 9" descr=" ">
          <a:extLst>
            <a:ext uri="{FF2B5EF4-FFF2-40B4-BE49-F238E27FC236}">
              <a16:creationId xmlns:a16="http://schemas.microsoft.com/office/drawing/2014/main" id="{00000000-0008-0000-0100-00001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28" name="Picture 10" descr=" ">
          <a:extLst>
            <a:ext uri="{FF2B5EF4-FFF2-40B4-BE49-F238E27FC236}">
              <a16:creationId xmlns:a16="http://schemas.microsoft.com/office/drawing/2014/main" id="{00000000-0008-0000-0100-00002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29" name="Picture 11" descr=" ">
          <a:extLst>
            <a:ext uri="{FF2B5EF4-FFF2-40B4-BE49-F238E27FC236}">
              <a16:creationId xmlns:a16="http://schemas.microsoft.com/office/drawing/2014/main" id="{00000000-0008-0000-0100-00002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30" name="Picture 12" descr=" ">
          <a:extLst>
            <a:ext uri="{FF2B5EF4-FFF2-40B4-BE49-F238E27FC236}">
              <a16:creationId xmlns:a16="http://schemas.microsoft.com/office/drawing/2014/main" id="{00000000-0008-0000-0100-00002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31" name="Picture 7" descr=" ">
          <a:extLst>
            <a:ext uri="{FF2B5EF4-FFF2-40B4-BE49-F238E27FC236}">
              <a16:creationId xmlns:a16="http://schemas.microsoft.com/office/drawing/2014/main" id="{00000000-0008-0000-0100-00002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32" name="Picture 8" descr=" ">
          <a:extLst>
            <a:ext uri="{FF2B5EF4-FFF2-40B4-BE49-F238E27FC236}">
              <a16:creationId xmlns:a16="http://schemas.microsoft.com/office/drawing/2014/main" id="{00000000-0008-0000-0100-00002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33" name="Picture 9" descr=" ">
          <a:extLst>
            <a:ext uri="{FF2B5EF4-FFF2-40B4-BE49-F238E27FC236}">
              <a16:creationId xmlns:a16="http://schemas.microsoft.com/office/drawing/2014/main" id="{00000000-0008-0000-0100-00002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34" name="Picture 10" descr=" ">
          <a:extLst>
            <a:ext uri="{FF2B5EF4-FFF2-40B4-BE49-F238E27FC236}">
              <a16:creationId xmlns:a16="http://schemas.microsoft.com/office/drawing/2014/main" id="{00000000-0008-0000-0100-00002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35" name="Picture 11" descr=" ">
          <a:extLst>
            <a:ext uri="{FF2B5EF4-FFF2-40B4-BE49-F238E27FC236}">
              <a16:creationId xmlns:a16="http://schemas.microsoft.com/office/drawing/2014/main" id="{00000000-0008-0000-0100-00002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36" name="Picture 12" descr=" ">
          <a:extLst>
            <a:ext uri="{FF2B5EF4-FFF2-40B4-BE49-F238E27FC236}">
              <a16:creationId xmlns:a16="http://schemas.microsoft.com/office/drawing/2014/main" id="{00000000-0008-0000-0100-00002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37" name="Picture 7" descr=" ">
          <a:extLst>
            <a:ext uri="{FF2B5EF4-FFF2-40B4-BE49-F238E27FC236}">
              <a16:creationId xmlns:a16="http://schemas.microsoft.com/office/drawing/2014/main" id="{00000000-0008-0000-0100-00002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38" name="Picture 8" descr=" ">
          <a:extLst>
            <a:ext uri="{FF2B5EF4-FFF2-40B4-BE49-F238E27FC236}">
              <a16:creationId xmlns:a16="http://schemas.microsoft.com/office/drawing/2014/main" id="{00000000-0008-0000-0100-00002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39" name="Picture 9" descr=" ">
          <a:extLst>
            <a:ext uri="{FF2B5EF4-FFF2-40B4-BE49-F238E27FC236}">
              <a16:creationId xmlns:a16="http://schemas.microsoft.com/office/drawing/2014/main" id="{00000000-0008-0000-0100-00002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40" name="Picture 10" descr=" ">
          <a:extLst>
            <a:ext uri="{FF2B5EF4-FFF2-40B4-BE49-F238E27FC236}">
              <a16:creationId xmlns:a16="http://schemas.microsoft.com/office/drawing/2014/main" id="{00000000-0008-0000-0100-00002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41" name="Picture 11" descr=" ">
          <a:extLst>
            <a:ext uri="{FF2B5EF4-FFF2-40B4-BE49-F238E27FC236}">
              <a16:creationId xmlns:a16="http://schemas.microsoft.com/office/drawing/2014/main" id="{00000000-0008-0000-0100-00002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42" name="Picture 12" descr=" ">
          <a:extLst>
            <a:ext uri="{FF2B5EF4-FFF2-40B4-BE49-F238E27FC236}">
              <a16:creationId xmlns:a16="http://schemas.microsoft.com/office/drawing/2014/main" id="{00000000-0008-0000-0100-00002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43" name="Picture 7" descr=" ">
          <a:extLst>
            <a:ext uri="{FF2B5EF4-FFF2-40B4-BE49-F238E27FC236}">
              <a16:creationId xmlns:a16="http://schemas.microsoft.com/office/drawing/2014/main" id="{00000000-0008-0000-0100-00002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44" name="Picture 8" descr=" ">
          <a:extLst>
            <a:ext uri="{FF2B5EF4-FFF2-40B4-BE49-F238E27FC236}">
              <a16:creationId xmlns:a16="http://schemas.microsoft.com/office/drawing/2014/main" id="{00000000-0008-0000-0100-00003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45" name="Picture 9" descr=" ">
          <a:extLst>
            <a:ext uri="{FF2B5EF4-FFF2-40B4-BE49-F238E27FC236}">
              <a16:creationId xmlns:a16="http://schemas.microsoft.com/office/drawing/2014/main" id="{00000000-0008-0000-0100-00003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46" name="Picture 10" descr=" ">
          <a:extLst>
            <a:ext uri="{FF2B5EF4-FFF2-40B4-BE49-F238E27FC236}">
              <a16:creationId xmlns:a16="http://schemas.microsoft.com/office/drawing/2014/main" id="{00000000-0008-0000-0100-00003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47" name="Picture 11" descr=" ">
          <a:extLst>
            <a:ext uri="{FF2B5EF4-FFF2-40B4-BE49-F238E27FC236}">
              <a16:creationId xmlns:a16="http://schemas.microsoft.com/office/drawing/2014/main" id="{00000000-0008-0000-0100-00003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48" name="Picture 12" descr=" ">
          <a:extLst>
            <a:ext uri="{FF2B5EF4-FFF2-40B4-BE49-F238E27FC236}">
              <a16:creationId xmlns:a16="http://schemas.microsoft.com/office/drawing/2014/main" id="{00000000-0008-0000-0100-00003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49" name="Picture 7" descr=" ">
          <a:extLst>
            <a:ext uri="{FF2B5EF4-FFF2-40B4-BE49-F238E27FC236}">
              <a16:creationId xmlns:a16="http://schemas.microsoft.com/office/drawing/2014/main" id="{00000000-0008-0000-0100-00003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50" name="Picture 8" descr=" ">
          <a:extLst>
            <a:ext uri="{FF2B5EF4-FFF2-40B4-BE49-F238E27FC236}">
              <a16:creationId xmlns:a16="http://schemas.microsoft.com/office/drawing/2014/main" id="{00000000-0008-0000-0100-00003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51" name="Picture 9" descr=" ">
          <a:extLst>
            <a:ext uri="{FF2B5EF4-FFF2-40B4-BE49-F238E27FC236}">
              <a16:creationId xmlns:a16="http://schemas.microsoft.com/office/drawing/2014/main" id="{00000000-0008-0000-0100-00003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52" name="Picture 10" descr=" ">
          <a:extLst>
            <a:ext uri="{FF2B5EF4-FFF2-40B4-BE49-F238E27FC236}">
              <a16:creationId xmlns:a16="http://schemas.microsoft.com/office/drawing/2014/main" id="{00000000-0008-0000-0100-00003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53" name="Picture 11" descr=" ">
          <a:extLst>
            <a:ext uri="{FF2B5EF4-FFF2-40B4-BE49-F238E27FC236}">
              <a16:creationId xmlns:a16="http://schemas.microsoft.com/office/drawing/2014/main" id="{00000000-0008-0000-0100-00003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54" name="Picture 12" descr=" ">
          <a:extLst>
            <a:ext uri="{FF2B5EF4-FFF2-40B4-BE49-F238E27FC236}">
              <a16:creationId xmlns:a16="http://schemas.microsoft.com/office/drawing/2014/main" id="{00000000-0008-0000-0100-00003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55" name="Picture 7" descr=" ">
          <a:extLst>
            <a:ext uri="{FF2B5EF4-FFF2-40B4-BE49-F238E27FC236}">
              <a16:creationId xmlns:a16="http://schemas.microsoft.com/office/drawing/2014/main" id="{00000000-0008-0000-0100-00003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56" name="Picture 8" descr=" ">
          <a:extLst>
            <a:ext uri="{FF2B5EF4-FFF2-40B4-BE49-F238E27FC236}">
              <a16:creationId xmlns:a16="http://schemas.microsoft.com/office/drawing/2014/main" id="{00000000-0008-0000-0100-00003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57" name="Picture 9" descr=" ">
          <a:extLst>
            <a:ext uri="{FF2B5EF4-FFF2-40B4-BE49-F238E27FC236}">
              <a16:creationId xmlns:a16="http://schemas.microsoft.com/office/drawing/2014/main" id="{00000000-0008-0000-0100-00003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58" name="Picture 10" descr=" ">
          <a:extLst>
            <a:ext uri="{FF2B5EF4-FFF2-40B4-BE49-F238E27FC236}">
              <a16:creationId xmlns:a16="http://schemas.microsoft.com/office/drawing/2014/main" id="{00000000-0008-0000-0100-00003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59" name="Picture 11" descr=" ">
          <a:extLst>
            <a:ext uri="{FF2B5EF4-FFF2-40B4-BE49-F238E27FC236}">
              <a16:creationId xmlns:a16="http://schemas.microsoft.com/office/drawing/2014/main" id="{00000000-0008-0000-0100-00003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60" name="Picture 12" descr=" ">
          <a:extLst>
            <a:ext uri="{FF2B5EF4-FFF2-40B4-BE49-F238E27FC236}">
              <a16:creationId xmlns:a16="http://schemas.microsoft.com/office/drawing/2014/main" id="{00000000-0008-0000-0100-00004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61" name="Picture 7" descr=" ">
          <a:extLst>
            <a:ext uri="{FF2B5EF4-FFF2-40B4-BE49-F238E27FC236}">
              <a16:creationId xmlns:a16="http://schemas.microsoft.com/office/drawing/2014/main" id="{00000000-0008-0000-0100-00004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62" name="Picture 8" descr=" ">
          <a:extLst>
            <a:ext uri="{FF2B5EF4-FFF2-40B4-BE49-F238E27FC236}">
              <a16:creationId xmlns:a16="http://schemas.microsoft.com/office/drawing/2014/main" id="{00000000-0008-0000-0100-00004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63" name="Picture 9" descr=" ">
          <a:extLst>
            <a:ext uri="{FF2B5EF4-FFF2-40B4-BE49-F238E27FC236}">
              <a16:creationId xmlns:a16="http://schemas.microsoft.com/office/drawing/2014/main" id="{00000000-0008-0000-0100-00004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64" name="Picture 10" descr=" ">
          <a:extLst>
            <a:ext uri="{FF2B5EF4-FFF2-40B4-BE49-F238E27FC236}">
              <a16:creationId xmlns:a16="http://schemas.microsoft.com/office/drawing/2014/main" id="{00000000-0008-0000-0100-00004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65" name="Picture 11" descr=" ">
          <a:extLst>
            <a:ext uri="{FF2B5EF4-FFF2-40B4-BE49-F238E27FC236}">
              <a16:creationId xmlns:a16="http://schemas.microsoft.com/office/drawing/2014/main" id="{00000000-0008-0000-0100-00004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66" name="Picture 12" descr=" ">
          <a:extLst>
            <a:ext uri="{FF2B5EF4-FFF2-40B4-BE49-F238E27FC236}">
              <a16:creationId xmlns:a16="http://schemas.microsoft.com/office/drawing/2014/main" id="{00000000-0008-0000-0100-00004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67" name="Picture 7" descr=" ">
          <a:extLst>
            <a:ext uri="{FF2B5EF4-FFF2-40B4-BE49-F238E27FC236}">
              <a16:creationId xmlns:a16="http://schemas.microsoft.com/office/drawing/2014/main" id="{00000000-0008-0000-0100-00004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68" name="Picture 8" descr=" ">
          <a:extLst>
            <a:ext uri="{FF2B5EF4-FFF2-40B4-BE49-F238E27FC236}">
              <a16:creationId xmlns:a16="http://schemas.microsoft.com/office/drawing/2014/main" id="{00000000-0008-0000-0100-00004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69" name="Picture 9" descr=" ">
          <a:extLst>
            <a:ext uri="{FF2B5EF4-FFF2-40B4-BE49-F238E27FC236}">
              <a16:creationId xmlns:a16="http://schemas.microsoft.com/office/drawing/2014/main" id="{00000000-0008-0000-0100-00004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70" name="Picture 10" descr=" ">
          <a:extLst>
            <a:ext uri="{FF2B5EF4-FFF2-40B4-BE49-F238E27FC236}">
              <a16:creationId xmlns:a16="http://schemas.microsoft.com/office/drawing/2014/main" id="{00000000-0008-0000-0100-00004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71" name="Picture 11" descr=" ">
          <a:extLst>
            <a:ext uri="{FF2B5EF4-FFF2-40B4-BE49-F238E27FC236}">
              <a16:creationId xmlns:a16="http://schemas.microsoft.com/office/drawing/2014/main" id="{00000000-0008-0000-0100-00004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72" name="Picture 12" descr=" ">
          <a:extLst>
            <a:ext uri="{FF2B5EF4-FFF2-40B4-BE49-F238E27FC236}">
              <a16:creationId xmlns:a16="http://schemas.microsoft.com/office/drawing/2014/main" id="{00000000-0008-0000-0100-00004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73" name="Picture 7" descr=" ">
          <a:extLst>
            <a:ext uri="{FF2B5EF4-FFF2-40B4-BE49-F238E27FC236}">
              <a16:creationId xmlns:a16="http://schemas.microsoft.com/office/drawing/2014/main" id="{00000000-0008-0000-0100-00004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74" name="Picture 8" descr=" ">
          <a:extLst>
            <a:ext uri="{FF2B5EF4-FFF2-40B4-BE49-F238E27FC236}">
              <a16:creationId xmlns:a16="http://schemas.microsoft.com/office/drawing/2014/main" id="{00000000-0008-0000-0100-00004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75" name="Picture 9" descr=" ">
          <a:extLst>
            <a:ext uri="{FF2B5EF4-FFF2-40B4-BE49-F238E27FC236}">
              <a16:creationId xmlns:a16="http://schemas.microsoft.com/office/drawing/2014/main" id="{00000000-0008-0000-0100-00004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76" name="Picture 10" descr=" ">
          <a:extLst>
            <a:ext uri="{FF2B5EF4-FFF2-40B4-BE49-F238E27FC236}">
              <a16:creationId xmlns:a16="http://schemas.microsoft.com/office/drawing/2014/main" id="{00000000-0008-0000-0100-00005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77" name="Picture 11" descr=" ">
          <a:extLst>
            <a:ext uri="{FF2B5EF4-FFF2-40B4-BE49-F238E27FC236}">
              <a16:creationId xmlns:a16="http://schemas.microsoft.com/office/drawing/2014/main" id="{00000000-0008-0000-0100-00005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78" name="Picture 12" descr=" ">
          <a:extLst>
            <a:ext uri="{FF2B5EF4-FFF2-40B4-BE49-F238E27FC236}">
              <a16:creationId xmlns:a16="http://schemas.microsoft.com/office/drawing/2014/main" id="{00000000-0008-0000-0100-00005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79" name="Picture 7" descr=" ">
          <a:extLst>
            <a:ext uri="{FF2B5EF4-FFF2-40B4-BE49-F238E27FC236}">
              <a16:creationId xmlns:a16="http://schemas.microsoft.com/office/drawing/2014/main" id="{00000000-0008-0000-0100-00005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80" name="Picture 8" descr=" ">
          <a:extLst>
            <a:ext uri="{FF2B5EF4-FFF2-40B4-BE49-F238E27FC236}">
              <a16:creationId xmlns:a16="http://schemas.microsoft.com/office/drawing/2014/main" id="{00000000-0008-0000-0100-00005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81" name="Picture 9" descr=" ">
          <a:extLst>
            <a:ext uri="{FF2B5EF4-FFF2-40B4-BE49-F238E27FC236}">
              <a16:creationId xmlns:a16="http://schemas.microsoft.com/office/drawing/2014/main" id="{00000000-0008-0000-0100-00005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82" name="Picture 10" descr=" ">
          <a:extLst>
            <a:ext uri="{FF2B5EF4-FFF2-40B4-BE49-F238E27FC236}">
              <a16:creationId xmlns:a16="http://schemas.microsoft.com/office/drawing/2014/main" id="{00000000-0008-0000-0100-00005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83" name="Picture 11" descr=" ">
          <a:extLst>
            <a:ext uri="{FF2B5EF4-FFF2-40B4-BE49-F238E27FC236}">
              <a16:creationId xmlns:a16="http://schemas.microsoft.com/office/drawing/2014/main" id="{00000000-0008-0000-0100-00005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84" name="Picture 12" descr=" ">
          <a:extLst>
            <a:ext uri="{FF2B5EF4-FFF2-40B4-BE49-F238E27FC236}">
              <a16:creationId xmlns:a16="http://schemas.microsoft.com/office/drawing/2014/main" id="{00000000-0008-0000-0100-00005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85" name="Picture 7" descr=" ">
          <a:extLst>
            <a:ext uri="{FF2B5EF4-FFF2-40B4-BE49-F238E27FC236}">
              <a16:creationId xmlns:a16="http://schemas.microsoft.com/office/drawing/2014/main" id="{00000000-0008-0000-0100-00005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86" name="Picture 8" descr=" ">
          <a:extLst>
            <a:ext uri="{FF2B5EF4-FFF2-40B4-BE49-F238E27FC236}">
              <a16:creationId xmlns:a16="http://schemas.microsoft.com/office/drawing/2014/main" id="{00000000-0008-0000-0100-00005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87" name="Picture 9" descr=" ">
          <a:extLst>
            <a:ext uri="{FF2B5EF4-FFF2-40B4-BE49-F238E27FC236}">
              <a16:creationId xmlns:a16="http://schemas.microsoft.com/office/drawing/2014/main" id="{00000000-0008-0000-0100-00005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88" name="Picture 10" descr=" ">
          <a:extLst>
            <a:ext uri="{FF2B5EF4-FFF2-40B4-BE49-F238E27FC236}">
              <a16:creationId xmlns:a16="http://schemas.microsoft.com/office/drawing/2014/main" id="{00000000-0008-0000-0100-00005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89" name="Picture 11" descr=" ">
          <a:extLst>
            <a:ext uri="{FF2B5EF4-FFF2-40B4-BE49-F238E27FC236}">
              <a16:creationId xmlns:a16="http://schemas.microsoft.com/office/drawing/2014/main" id="{00000000-0008-0000-0100-00005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90" name="Picture 12" descr=" ">
          <a:extLst>
            <a:ext uri="{FF2B5EF4-FFF2-40B4-BE49-F238E27FC236}">
              <a16:creationId xmlns:a16="http://schemas.microsoft.com/office/drawing/2014/main" id="{00000000-0008-0000-0100-00005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91" name="Picture 7" descr=" ">
          <a:extLst>
            <a:ext uri="{FF2B5EF4-FFF2-40B4-BE49-F238E27FC236}">
              <a16:creationId xmlns:a16="http://schemas.microsoft.com/office/drawing/2014/main" id="{00000000-0008-0000-0100-00005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92" name="Picture 8" descr=" ">
          <a:extLst>
            <a:ext uri="{FF2B5EF4-FFF2-40B4-BE49-F238E27FC236}">
              <a16:creationId xmlns:a16="http://schemas.microsoft.com/office/drawing/2014/main" id="{00000000-0008-0000-0100-00006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93" name="Picture 9" descr=" ">
          <a:extLst>
            <a:ext uri="{FF2B5EF4-FFF2-40B4-BE49-F238E27FC236}">
              <a16:creationId xmlns:a16="http://schemas.microsoft.com/office/drawing/2014/main" id="{00000000-0008-0000-0100-00006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94" name="Picture 10" descr=" ">
          <a:extLst>
            <a:ext uri="{FF2B5EF4-FFF2-40B4-BE49-F238E27FC236}">
              <a16:creationId xmlns:a16="http://schemas.microsoft.com/office/drawing/2014/main" id="{00000000-0008-0000-0100-00006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95" name="Picture 11" descr=" ">
          <a:extLst>
            <a:ext uri="{FF2B5EF4-FFF2-40B4-BE49-F238E27FC236}">
              <a16:creationId xmlns:a16="http://schemas.microsoft.com/office/drawing/2014/main" id="{00000000-0008-0000-0100-00006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96" name="Picture 12" descr=" ">
          <a:extLst>
            <a:ext uri="{FF2B5EF4-FFF2-40B4-BE49-F238E27FC236}">
              <a16:creationId xmlns:a16="http://schemas.microsoft.com/office/drawing/2014/main" id="{00000000-0008-0000-0100-00006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97" name="Picture 7" descr=" ">
          <a:extLst>
            <a:ext uri="{FF2B5EF4-FFF2-40B4-BE49-F238E27FC236}">
              <a16:creationId xmlns:a16="http://schemas.microsoft.com/office/drawing/2014/main" id="{00000000-0008-0000-0100-00006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98" name="Picture 8" descr=" ">
          <a:extLst>
            <a:ext uri="{FF2B5EF4-FFF2-40B4-BE49-F238E27FC236}">
              <a16:creationId xmlns:a16="http://schemas.microsoft.com/office/drawing/2014/main" id="{00000000-0008-0000-0100-00006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599" name="Picture 9" descr=" ">
          <a:extLst>
            <a:ext uri="{FF2B5EF4-FFF2-40B4-BE49-F238E27FC236}">
              <a16:creationId xmlns:a16="http://schemas.microsoft.com/office/drawing/2014/main" id="{00000000-0008-0000-0100-00006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00" name="Picture 10" descr=" ">
          <a:extLst>
            <a:ext uri="{FF2B5EF4-FFF2-40B4-BE49-F238E27FC236}">
              <a16:creationId xmlns:a16="http://schemas.microsoft.com/office/drawing/2014/main" id="{00000000-0008-0000-0100-00006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01" name="Picture 11" descr=" ">
          <a:extLst>
            <a:ext uri="{FF2B5EF4-FFF2-40B4-BE49-F238E27FC236}">
              <a16:creationId xmlns:a16="http://schemas.microsoft.com/office/drawing/2014/main" id="{00000000-0008-0000-0100-00006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02" name="Picture 12" descr=" ">
          <a:extLst>
            <a:ext uri="{FF2B5EF4-FFF2-40B4-BE49-F238E27FC236}">
              <a16:creationId xmlns:a16="http://schemas.microsoft.com/office/drawing/2014/main" id="{00000000-0008-0000-0100-00006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03" name="Picture 7" descr=" ">
          <a:extLst>
            <a:ext uri="{FF2B5EF4-FFF2-40B4-BE49-F238E27FC236}">
              <a16:creationId xmlns:a16="http://schemas.microsoft.com/office/drawing/2014/main" id="{00000000-0008-0000-0100-00006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04" name="Picture 8" descr=" ">
          <a:extLst>
            <a:ext uri="{FF2B5EF4-FFF2-40B4-BE49-F238E27FC236}">
              <a16:creationId xmlns:a16="http://schemas.microsoft.com/office/drawing/2014/main" id="{00000000-0008-0000-0100-00006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05" name="Picture 9" descr=" ">
          <a:extLst>
            <a:ext uri="{FF2B5EF4-FFF2-40B4-BE49-F238E27FC236}">
              <a16:creationId xmlns:a16="http://schemas.microsoft.com/office/drawing/2014/main" id="{00000000-0008-0000-0100-00006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06" name="Picture 10" descr=" ">
          <a:extLst>
            <a:ext uri="{FF2B5EF4-FFF2-40B4-BE49-F238E27FC236}">
              <a16:creationId xmlns:a16="http://schemas.microsoft.com/office/drawing/2014/main" id="{00000000-0008-0000-0100-00006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07" name="Picture 11" descr=" ">
          <a:extLst>
            <a:ext uri="{FF2B5EF4-FFF2-40B4-BE49-F238E27FC236}">
              <a16:creationId xmlns:a16="http://schemas.microsoft.com/office/drawing/2014/main" id="{00000000-0008-0000-0100-00006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08" name="Picture 12" descr=" ">
          <a:extLst>
            <a:ext uri="{FF2B5EF4-FFF2-40B4-BE49-F238E27FC236}">
              <a16:creationId xmlns:a16="http://schemas.microsoft.com/office/drawing/2014/main" id="{00000000-0008-0000-0100-00007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09" name="Picture 7" descr=" ">
          <a:extLst>
            <a:ext uri="{FF2B5EF4-FFF2-40B4-BE49-F238E27FC236}">
              <a16:creationId xmlns:a16="http://schemas.microsoft.com/office/drawing/2014/main" id="{00000000-0008-0000-0100-00007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10" name="Picture 8" descr=" ">
          <a:extLst>
            <a:ext uri="{FF2B5EF4-FFF2-40B4-BE49-F238E27FC236}">
              <a16:creationId xmlns:a16="http://schemas.microsoft.com/office/drawing/2014/main" id="{00000000-0008-0000-0100-00007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11" name="Picture 9" descr=" ">
          <a:extLst>
            <a:ext uri="{FF2B5EF4-FFF2-40B4-BE49-F238E27FC236}">
              <a16:creationId xmlns:a16="http://schemas.microsoft.com/office/drawing/2014/main" id="{00000000-0008-0000-0100-00007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12" name="Picture 10" descr=" ">
          <a:extLst>
            <a:ext uri="{FF2B5EF4-FFF2-40B4-BE49-F238E27FC236}">
              <a16:creationId xmlns:a16="http://schemas.microsoft.com/office/drawing/2014/main" id="{00000000-0008-0000-0100-00007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13" name="Picture 11" descr=" ">
          <a:extLst>
            <a:ext uri="{FF2B5EF4-FFF2-40B4-BE49-F238E27FC236}">
              <a16:creationId xmlns:a16="http://schemas.microsoft.com/office/drawing/2014/main" id="{00000000-0008-0000-0100-00007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14" name="Picture 12" descr=" ">
          <a:extLst>
            <a:ext uri="{FF2B5EF4-FFF2-40B4-BE49-F238E27FC236}">
              <a16:creationId xmlns:a16="http://schemas.microsoft.com/office/drawing/2014/main" id="{00000000-0008-0000-0100-00007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15" name="Picture 7" descr=" ">
          <a:extLst>
            <a:ext uri="{FF2B5EF4-FFF2-40B4-BE49-F238E27FC236}">
              <a16:creationId xmlns:a16="http://schemas.microsoft.com/office/drawing/2014/main" id="{00000000-0008-0000-0100-00007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16" name="Picture 8" descr=" ">
          <a:extLst>
            <a:ext uri="{FF2B5EF4-FFF2-40B4-BE49-F238E27FC236}">
              <a16:creationId xmlns:a16="http://schemas.microsoft.com/office/drawing/2014/main" id="{00000000-0008-0000-0100-00007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17" name="Picture 9" descr=" ">
          <a:extLst>
            <a:ext uri="{FF2B5EF4-FFF2-40B4-BE49-F238E27FC236}">
              <a16:creationId xmlns:a16="http://schemas.microsoft.com/office/drawing/2014/main" id="{00000000-0008-0000-0100-00007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18" name="Picture 10" descr=" ">
          <a:extLst>
            <a:ext uri="{FF2B5EF4-FFF2-40B4-BE49-F238E27FC236}">
              <a16:creationId xmlns:a16="http://schemas.microsoft.com/office/drawing/2014/main" id="{00000000-0008-0000-0100-00007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19" name="Picture 11" descr=" ">
          <a:extLst>
            <a:ext uri="{FF2B5EF4-FFF2-40B4-BE49-F238E27FC236}">
              <a16:creationId xmlns:a16="http://schemas.microsoft.com/office/drawing/2014/main" id="{00000000-0008-0000-0100-00007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20" name="Picture 12" descr=" ">
          <a:extLst>
            <a:ext uri="{FF2B5EF4-FFF2-40B4-BE49-F238E27FC236}">
              <a16:creationId xmlns:a16="http://schemas.microsoft.com/office/drawing/2014/main" id="{00000000-0008-0000-0100-00007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21" name="Picture 7" descr=" ">
          <a:extLst>
            <a:ext uri="{FF2B5EF4-FFF2-40B4-BE49-F238E27FC236}">
              <a16:creationId xmlns:a16="http://schemas.microsoft.com/office/drawing/2014/main" id="{00000000-0008-0000-0100-00007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22" name="Picture 8" descr=" ">
          <a:extLst>
            <a:ext uri="{FF2B5EF4-FFF2-40B4-BE49-F238E27FC236}">
              <a16:creationId xmlns:a16="http://schemas.microsoft.com/office/drawing/2014/main" id="{00000000-0008-0000-0100-00007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23" name="Picture 9" descr=" ">
          <a:extLst>
            <a:ext uri="{FF2B5EF4-FFF2-40B4-BE49-F238E27FC236}">
              <a16:creationId xmlns:a16="http://schemas.microsoft.com/office/drawing/2014/main" id="{00000000-0008-0000-0100-00007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24" name="Picture 10" descr=" ">
          <a:extLst>
            <a:ext uri="{FF2B5EF4-FFF2-40B4-BE49-F238E27FC236}">
              <a16:creationId xmlns:a16="http://schemas.microsoft.com/office/drawing/2014/main" id="{00000000-0008-0000-0100-00008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25" name="Picture 11" descr=" ">
          <a:extLst>
            <a:ext uri="{FF2B5EF4-FFF2-40B4-BE49-F238E27FC236}">
              <a16:creationId xmlns:a16="http://schemas.microsoft.com/office/drawing/2014/main" id="{00000000-0008-0000-0100-00008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26" name="Picture 12" descr=" ">
          <a:extLst>
            <a:ext uri="{FF2B5EF4-FFF2-40B4-BE49-F238E27FC236}">
              <a16:creationId xmlns:a16="http://schemas.microsoft.com/office/drawing/2014/main" id="{00000000-0008-0000-0100-00008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27" name="Picture 7" descr=" ">
          <a:extLst>
            <a:ext uri="{FF2B5EF4-FFF2-40B4-BE49-F238E27FC236}">
              <a16:creationId xmlns:a16="http://schemas.microsoft.com/office/drawing/2014/main" id="{00000000-0008-0000-0100-00008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28" name="Picture 8" descr=" ">
          <a:extLst>
            <a:ext uri="{FF2B5EF4-FFF2-40B4-BE49-F238E27FC236}">
              <a16:creationId xmlns:a16="http://schemas.microsoft.com/office/drawing/2014/main" id="{00000000-0008-0000-0100-00008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29" name="Picture 9" descr=" ">
          <a:extLst>
            <a:ext uri="{FF2B5EF4-FFF2-40B4-BE49-F238E27FC236}">
              <a16:creationId xmlns:a16="http://schemas.microsoft.com/office/drawing/2014/main" id="{00000000-0008-0000-0100-00008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30" name="Picture 10" descr=" ">
          <a:extLst>
            <a:ext uri="{FF2B5EF4-FFF2-40B4-BE49-F238E27FC236}">
              <a16:creationId xmlns:a16="http://schemas.microsoft.com/office/drawing/2014/main" id="{00000000-0008-0000-0100-00008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31" name="Picture 11" descr=" ">
          <a:extLst>
            <a:ext uri="{FF2B5EF4-FFF2-40B4-BE49-F238E27FC236}">
              <a16:creationId xmlns:a16="http://schemas.microsoft.com/office/drawing/2014/main" id="{00000000-0008-0000-0100-00008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32" name="Picture 12" descr=" ">
          <a:extLst>
            <a:ext uri="{FF2B5EF4-FFF2-40B4-BE49-F238E27FC236}">
              <a16:creationId xmlns:a16="http://schemas.microsoft.com/office/drawing/2014/main" id="{00000000-0008-0000-0100-00008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33" name="Picture 7" descr=" ">
          <a:extLst>
            <a:ext uri="{FF2B5EF4-FFF2-40B4-BE49-F238E27FC236}">
              <a16:creationId xmlns:a16="http://schemas.microsoft.com/office/drawing/2014/main" id="{00000000-0008-0000-0100-00008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34" name="Picture 8" descr=" ">
          <a:extLst>
            <a:ext uri="{FF2B5EF4-FFF2-40B4-BE49-F238E27FC236}">
              <a16:creationId xmlns:a16="http://schemas.microsoft.com/office/drawing/2014/main" id="{00000000-0008-0000-0100-00008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35" name="Picture 9" descr=" ">
          <a:extLst>
            <a:ext uri="{FF2B5EF4-FFF2-40B4-BE49-F238E27FC236}">
              <a16:creationId xmlns:a16="http://schemas.microsoft.com/office/drawing/2014/main" id="{00000000-0008-0000-0100-00008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36" name="Picture 10" descr=" ">
          <a:extLst>
            <a:ext uri="{FF2B5EF4-FFF2-40B4-BE49-F238E27FC236}">
              <a16:creationId xmlns:a16="http://schemas.microsoft.com/office/drawing/2014/main" id="{00000000-0008-0000-0100-00008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37" name="Picture 11" descr=" ">
          <a:extLst>
            <a:ext uri="{FF2B5EF4-FFF2-40B4-BE49-F238E27FC236}">
              <a16:creationId xmlns:a16="http://schemas.microsoft.com/office/drawing/2014/main" id="{00000000-0008-0000-0100-00008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38" name="Picture 12" descr=" ">
          <a:extLst>
            <a:ext uri="{FF2B5EF4-FFF2-40B4-BE49-F238E27FC236}">
              <a16:creationId xmlns:a16="http://schemas.microsoft.com/office/drawing/2014/main" id="{00000000-0008-0000-0100-00008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39" name="Picture 7" descr=" ">
          <a:extLst>
            <a:ext uri="{FF2B5EF4-FFF2-40B4-BE49-F238E27FC236}">
              <a16:creationId xmlns:a16="http://schemas.microsoft.com/office/drawing/2014/main" id="{00000000-0008-0000-0100-00008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40" name="Picture 8" descr=" ">
          <a:extLst>
            <a:ext uri="{FF2B5EF4-FFF2-40B4-BE49-F238E27FC236}">
              <a16:creationId xmlns:a16="http://schemas.microsoft.com/office/drawing/2014/main" id="{00000000-0008-0000-0100-00009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41" name="Picture 9" descr=" ">
          <a:extLst>
            <a:ext uri="{FF2B5EF4-FFF2-40B4-BE49-F238E27FC236}">
              <a16:creationId xmlns:a16="http://schemas.microsoft.com/office/drawing/2014/main" id="{00000000-0008-0000-0100-00009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42" name="Picture 10" descr=" ">
          <a:extLst>
            <a:ext uri="{FF2B5EF4-FFF2-40B4-BE49-F238E27FC236}">
              <a16:creationId xmlns:a16="http://schemas.microsoft.com/office/drawing/2014/main" id="{00000000-0008-0000-0100-00009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43" name="Picture 11" descr=" ">
          <a:extLst>
            <a:ext uri="{FF2B5EF4-FFF2-40B4-BE49-F238E27FC236}">
              <a16:creationId xmlns:a16="http://schemas.microsoft.com/office/drawing/2014/main" id="{00000000-0008-0000-0100-00009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44" name="Picture 12" descr=" ">
          <a:extLst>
            <a:ext uri="{FF2B5EF4-FFF2-40B4-BE49-F238E27FC236}">
              <a16:creationId xmlns:a16="http://schemas.microsoft.com/office/drawing/2014/main" id="{00000000-0008-0000-0100-00009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45" name="Picture 7" descr=" ">
          <a:extLst>
            <a:ext uri="{FF2B5EF4-FFF2-40B4-BE49-F238E27FC236}">
              <a16:creationId xmlns:a16="http://schemas.microsoft.com/office/drawing/2014/main" id="{00000000-0008-0000-0100-00009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46" name="Picture 8" descr=" ">
          <a:extLst>
            <a:ext uri="{FF2B5EF4-FFF2-40B4-BE49-F238E27FC236}">
              <a16:creationId xmlns:a16="http://schemas.microsoft.com/office/drawing/2014/main" id="{00000000-0008-0000-0100-00009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47" name="Picture 9" descr=" ">
          <a:extLst>
            <a:ext uri="{FF2B5EF4-FFF2-40B4-BE49-F238E27FC236}">
              <a16:creationId xmlns:a16="http://schemas.microsoft.com/office/drawing/2014/main" id="{00000000-0008-0000-0100-00009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48" name="Picture 10" descr=" ">
          <a:extLst>
            <a:ext uri="{FF2B5EF4-FFF2-40B4-BE49-F238E27FC236}">
              <a16:creationId xmlns:a16="http://schemas.microsoft.com/office/drawing/2014/main" id="{00000000-0008-0000-0100-00009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49" name="Picture 11" descr=" ">
          <a:extLst>
            <a:ext uri="{FF2B5EF4-FFF2-40B4-BE49-F238E27FC236}">
              <a16:creationId xmlns:a16="http://schemas.microsoft.com/office/drawing/2014/main" id="{00000000-0008-0000-0100-00009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50" name="Picture 12" descr=" ">
          <a:extLst>
            <a:ext uri="{FF2B5EF4-FFF2-40B4-BE49-F238E27FC236}">
              <a16:creationId xmlns:a16="http://schemas.microsoft.com/office/drawing/2014/main" id="{00000000-0008-0000-0100-00009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51" name="Picture 7" descr=" ">
          <a:extLst>
            <a:ext uri="{FF2B5EF4-FFF2-40B4-BE49-F238E27FC236}">
              <a16:creationId xmlns:a16="http://schemas.microsoft.com/office/drawing/2014/main" id="{00000000-0008-0000-0100-00009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52" name="Picture 8" descr=" ">
          <a:extLst>
            <a:ext uri="{FF2B5EF4-FFF2-40B4-BE49-F238E27FC236}">
              <a16:creationId xmlns:a16="http://schemas.microsoft.com/office/drawing/2014/main" id="{00000000-0008-0000-0100-00009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53" name="Picture 9" descr=" ">
          <a:extLst>
            <a:ext uri="{FF2B5EF4-FFF2-40B4-BE49-F238E27FC236}">
              <a16:creationId xmlns:a16="http://schemas.microsoft.com/office/drawing/2014/main" id="{00000000-0008-0000-0100-00009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54" name="Picture 10" descr=" ">
          <a:extLst>
            <a:ext uri="{FF2B5EF4-FFF2-40B4-BE49-F238E27FC236}">
              <a16:creationId xmlns:a16="http://schemas.microsoft.com/office/drawing/2014/main" id="{00000000-0008-0000-0100-00009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55" name="Picture 11" descr=" ">
          <a:extLst>
            <a:ext uri="{FF2B5EF4-FFF2-40B4-BE49-F238E27FC236}">
              <a16:creationId xmlns:a16="http://schemas.microsoft.com/office/drawing/2014/main" id="{00000000-0008-0000-0100-00009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56" name="Picture 12" descr=" ">
          <a:extLst>
            <a:ext uri="{FF2B5EF4-FFF2-40B4-BE49-F238E27FC236}">
              <a16:creationId xmlns:a16="http://schemas.microsoft.com/office/drawing/2014/main" id="{00000000-0008-0000-0100-0000A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57" name="Picture 7" descr=" ">
          <a:extLst>
            <a:ext uri="{FF2B5EF4-FFF2-40B4-BE49-F238E27FC236}">
              <a16:creationId xmlns:a16="http://schemas.microsoft.com/office/drawing/2014/main" id="{00000000-0008-0000-0100-0000A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58" name="Picture 8" descr=" ">
          <a:extLst>
            <a:ext uri="{FF2B5EF4-FFF2-40B4-BE49-F238E27FC236}">
              <a16:creationId xmlns:a16="http://schemas.microsoft.com/office/drawing/2014/main" id="{00000000-0008-0000-0100-0000A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59" name="Picture 9" descr=" ">
          <a:extLst>
            <a:ext uri="{FF2B5EF4-FFF2-40B4-BE49-F238E27FC236}">
              <a16:creationId xmlns:a16="http://schemas.microsoft.com/office/drawing/2014/main" id="{00000000-0008-0000-0100-0000A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60" name="Picture 10" descr=" ">
          <a:extLst>
            <a:ext uri="{FF2B5EF4-FFF2-40B4-BE49-F238E27FC236}">
              <a16:creationId xmlns:a16="http://schemas.microsoft.com/office/drawing/2014/main" id="{00000000-0008-0000-0100-0000A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61" name="Picture 11" descr=" ">
          <a:extLst>
            <a:ext uri="{FF2B5EF4-FFF2-40B4-BE49-F238E27FC236}">
              <a16:creationId xmlns:a16="http://schemas.microsoft.com/office/drawing/2014/main" id="{00000000-0008-0000-0100-0000A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62" name="Picture 12" descr=" ">
          <a:extLst>
            <a:ext uri="{FF2B5EF4-FFF2-40B4-BE49-F238E27FC236}">
              <a16:creationId xmlns:a16="http://schemas.microsoft.com/office/drawing/2014/main" id="{00000000-0008-0000-0100-0000A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63" name="Picture 7" descr=" ">
          <a:extLst>
            <a:ext uri="{FF2B5EF4-FFF2-40B4-BE49-F238E27FC236}">
              <a16:creationId xmlns:a16="http://schemas.microsoft.com/office/drawing/2014/main" id="{00000000-0008-0000-0100-0000A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64" name="Picture 8" descr=" ">
          <a:extLst>
            <a:ext uri="{FF2B5EF4-FFF2-40B4-BE49-F238E27FC236}">
              <a16:creationId xmlns:a16="http://schemas.microsoft.com/office/drawing/2014/main" id="{00000000-0008-0000-0100-0000A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65" name="Picture 9" descr=" ">
          <a:extLst>
            <a:ext uri="{FF2B5EF4-FFF2-40B4-BE49-F238E27FC236}">
              <a16:creationId xmlns:a16="http://schemas.microsoft.com/office/drawing/2014/main" id="{00000000-0008-0000-0100-0000A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66" name="Picture 10" descr=" ">
          <a:extLst>
            <a:ext uri="{FF2B5EF4-FFF2-40B4-BE49-F238E27FC236}">
              <a16:creationId xmlns:a16="http://schemas.microsoft.com/office/drawing/2014/main" id="{00000000-0008-0000-0100-0000A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67" name="Picture 11" descr=" ">
          <a:extLst>
            <a:ext uri="{FF2B5EF4-FFF2-40B4-BE49-F238E27FC236}">
              <a16:creationId xmlns:a16="http://schemas.microsoft.com/office/drawing/2014/main" id="{00000000-0008-0000-0100-0000A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68" name="Picture 12" descr=" ">
          <a:extLst>
            <a:ext uri="{FF2B5EF4-FFF2-40B4-BE49-F238E27FC236}">
              <a16:creationId xmlns:a16="http://schemas.microsoft.com/office/drawing/2014/main" id="{00000000-0008-0000-0100-0000A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69" name="Picture 7" descr=" ">
          <a:extLst>
            <a:ext uri="{FF2B5EF4-FFF2-40B4-BE49-F238E27FC236}">
              <a16:creationId xmlns:a16="http://schemas.microsoft.com/office/drawing/2014/main" id="{00000000-0008-0000-0100-0000A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70" name="Picture 8" descr=" ">
          <a:extLst>
            <a:ext uri="{FF2B5EF4-FFF2-40B4-BE49-F238E27FC236}">
              <a16:creationId xmlns:a16="http://schemas.microsoft.com/office/drawing/2014/main" id="{00000000-0008-0000-0100-0000A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71" name="Picture 9" descr=" ">
          <a:extLst>
            <a:ext uri="{FF2B5EF4-FFF2-40B4-BE49-F238E27FC236}">
              <a16:creationId xmlns:a16="http://schemas.microsoft.com/office/drawing/2014/main" id="{00000000-0008-0000-0100-0000A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72" name="Picture 10" descr=" ">
          <a:extLst>
            <a:ext uri="{FF2B5EF4-FFF2-40B4-BE49-F238E27FC236}">
              <a16:creationId xmlns:a16="http://schemas.microsoft.com/office/drawing/2014/main" id="{00000000-0008-0000-0100-0000B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73" name="Picture 11" descr=" ">
          <a:extLst>
            <a:ext uri="{FF2B5EF4-FFF2-40B4-BE49-F238E27FC236}">
              <a16:creationId xmlns:a16="http://schemas.microsoft.com/office/drawing/2014/main" id="{00000000-0008-0000-0100-0000B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74" name="Picture 12" descr=" ">
          <a:extLst>
            <a:ext uri="{FF2B5EF4-FFF2-40B4-BE49-F238E27FC236}">
              <a16:creationId xmlns:a16="http://schemas.microsoft.com/office/drawing/2014/main" id="{00000000-0008-0000-0100-0000B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75" name="Picture 7" descr=" ">
          <a:extLst>
            <a:ext uri="{FF2B5EF4-FFF2-40B4-BE49-F238E27FC236}">
              <a16:creationId xmlns:a16="http://schemas.microsoft.com/office/drawing/2014/main" id="{00000000-0008-0000-0100-0000B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76" name="Picture 8" descr=" ">
          <a:extLst>
            <a:ext uri="{FF2B5EF4-FFF2-40B4-BE49-F238E27FC236}">
              <a16:creationId xmlns:a16="http://schemas.microsoft.com/office/drawing/2014/main" id="{00000000-0008-0000-0100-0000B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77" name="Picture 9" descr=" ">
          <a:extLst>
            <a:ext uri="{FF2B5EF4-FFF2-40B4-BE49-F238E27FC236}">
              <a16:creationId xmlns:a16="http://schemas.microsoft.com/office/drawing/2014/main" id="{00000000-0008-0000-0100-0000B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78" name="Picture 10" descr=" ">
          <a:extLst>
            <a:ext uri="{FF2B5EF4-FFF2-40B4-BE49-F238E27FC236}">
              <a16:creationId xmlns:a16="http://schemas.microsoft.com/office/drawing/2014/main" id="{00000000-0008-0000-0100-0000B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79" name="Picture 11" descr=" ">
          <a:extLst>
            <a:ext uri="{FF2B5EF4-FFF2-40B4-BE49-F238E27FC236}">
              <a16:creationId xmlns:a16="http://schemas.microsoft.com/office/drawing/2014/main" id="{00000000-0008-0000-0100-0000B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80" name="Picture 12" descr=" ">
          <a:extLst>
            <a:ext uri="{FF2B5EF4-FFF2-40B4-BE49-F238E27FC236}">
              <a16:creationId xmlns:a16="http://schemas.microsoft.com/office/drawing/2014/main" id="{00000000-0008-0000-0100-0000B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81" name="Picture 7" descr=" ">
          <a:extLst>
            <a:ext uri="{FF2B5EF4-FFF2-40B4-BE49-F238E27FC236}">
              <a16:creationId xmlns:a16="http://schemas.microsoft.com/office/drawing/2014/main" id="{00000000-0008-0000-0100-0000B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82" name="Picture 8" descr=" ">
          <a:extLst>
            <a:ext uri="{FF2B5EF4-FFF2-40B4-BE49-F238E27FC236}">
              <a16:creationId xmlns:a16="http://schemas.microsoft.com/office/drawing/2014/main" id="{00000000-0008-0000-0100-0000B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83" name="Picture 9" descr=" ">
          <a:extLst>
            <a:ext uri="{FF2B5EF4-FFF2-40B4-BE49-F238E27FC236}">
              <a16:creationId xmlns:a16="http://schemas.microsoft.com/office/drawing/2014/main" id="{00000000-0008-0000-0100-0000B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84" name="Picture 10" descr=" ">
          <a:extLst>
            <a:ext uri="{FF2B5EF4-FFF2-40B4-BE49-F238E27FC236}">
              <a16:creationId xmlns:a16="http://schemas.microsoft.com/office/drawing/2014/main" id="{00000000-0008-0000-0100-0000B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85" name="Picture 11" descr=" ">
          <a:extLst>
            <a:ext uri="{FF2B5EF4-FFF2-40B4-BE49-F238E27FC236}">
              <a16:creationId xmlns:a16="http://schemas.microsoft.com/office/drawing/2014/main" id="{00000000-0008-0000-0100-0000B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86" name="Picture 12" descr=" ">
          <a:extLst>
            <a:ext uri="{FF2B5EF4-FFF2-40B4-BE49-F238E27FC236}">
              <a16:creationId xmlns:a16="http://schemas.microsoft.com/office/drawing/2014/main" id="{00000000-0008-0000-0100-0000B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87" name="Picture 7" descr=" ">
          <a:extLst>
            <a:ext uri="{FF2B5EF4-FFF2-40B4-BE49-F238E27FC236}">
              <a16:creationId xmlns:a16="http://schemas.microsoft.com/office/drawing/2014/main" id="{00000000-0008-0000-0100-0000B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88" name="Picture 8" descr=" ">
          <a:extLst>
            <a:ext uri="{FF2B5EF4-FFF2-40B4-BE49-F238E27FC236}">
              <a16:creationId xmlns:a16="http://schemas.microsoft.com/office/drawing/2014/main" id="{00000000-0008-0000-0100-0000C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89" name="Picture 9" descr=" ">
          <a:extLst>
            <a:ext uri="{FF2B5EF4-FFF2-40B4-BE49-F238E27FC236}">
              <a16:creationId xmlns:a16="http://schemas.microsoft.com/office/drawing/2014/main" id="{00000000-0008-0000-0100-0000C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90" name="Picture 10" descr=" ">
          <a:extLst>
            <a:ext uri="{FF2B5EF4-FFF2-40B4-BE49-F238E27FC236}">
              <a16:creationId xmlns:a16="http://schemas.microsoft.com/office/drawing/2014/main" id="{00000000-0008-0000-0100-0000C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91" name="Picture 11" descr=" ">
          <a:extLst>
            <a:ext uri="{FF2B5EF4-FFF2-40B4-BE49-F238E27FC236}">
              <a16:creationId xmlns:a16="http://schemas.microsoft.com/office/drawing/2014/main" id="{00000000-0008-0000-0100-0000C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92" name="Picture 12" descr=" ">
          <a:extLst>
            <a:ext uri="{FF2B5EF4-FFF2-40B4-BE49-F238E27FC236}">
              <a16:creationId xmlns:a16="http://schemas.microsoft.com/office/drawing/2014/main" id="{00000000-0008-0000-0100-0000C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93" name="Picture 7" descr=" ">
          <a:extLst>
            <a:ext uri="{FF2B5EF4-FFF2-40B4-BE49-F238E27FC236}">
              <a16:creationId xmlns:a16="http://schemas.microsoft.com/office/drawing/2014/main" id="{00000000-0008-0000-0100-0000C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94" name="Picture 8" descr=" ">
          <a:extLst>
            <a:ext uri="{FF2B5EF4-FFF2-40B4-BE49-F238E27FC236}">
              <a16:creationId xmlns:a16="http://schemas.microsoft.com/office/drawing/2014/main" id="{00000000-0008-0000-0100-0000C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95" name="Picture 9" descr=" ">
          <a:extLst>
            <a:ext uri="{FF2B5EF4-FFF2-40B4-BE49-F238E27FC236}">
              <a16:creationId xmlns:a16="http://schemas.microsoft.com/office/drawing/2014/main" id="{00000000-0008-0000-0100-0000C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96" name="Picture 10" descr=" ">
          <a:extLst>
            <a:ext uri="{FF2B5EF4-FFF2-40B4-BE49-F238E27FC236}">
              <a16:creationId xmlns:a16="http://schemas.microsoft.com/office/drawing/2014/main" id="{00000000-0008-0000-0100-0000C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97" name="Picture 11" descr=" ">
          <a:extLst>
            <a:ext uri="{FF2B5EF4-FFF2-40B4-BE49-F238E27FC236}">
              <a16:creationId xmlns:a16="http://schemas.microsoft.com/office/drawing/2014/main" id="{00000000-0008-0000-0100-0000C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98" name="Picture 12" descr=" ">
          <a:extLst>
            <a:ext uri="{FF2B5EF4-FFF2-40B4-BE49-F238E27FC236}">
              <a16:creationId xmlns:a16="http://schemas.microsoft.com/office/drawing/2014/main" id="{00000000-0008-0000-0100-0000C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699" name="Picture 7" descr=" ">
          <a:extLst>
            <a:ext uri="{FF2B5EF4-FFF2-40B4-BE49-F238E27FC236}">
              <a16:creationId xmlns:a16="http://schemas.microsoft.com/office/drawing/2014/main" id="{00000000-0008-0000-0100-0000C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00" name="Picture 8" descr=" ">
          <a:extLst>
            <a:ext uri="{FF2B5EF4-FFF2-40B4-BE49-F238E27FC236}">
              <a16:creationId xmlns:a16="http://schemas.microsoft.com/office/drawing/2014/main" id="{00000000-0008-0000-0100-0000C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01" name="Picture 9" descr=" ">
          <a:extLst>
            <a:ext uri="{FF2B5EF4-FFF2-40B4-BE49-F238E27FC236}">
              <a16:creationId xmlns:a16="http://schemas.microsoft.com/office/drawing/2014/main" id="{00000000-0008-0000-0100-0000C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02" name="Picture 10" descr=" ">
          <a:extLst>
            <a:ext uri="{FF2B5EF4-FFF2-40B4-BE49-F238E27FC236}">
              <a16:creationId xmlns:a16="http://schemas.microsoft.com/office/drawing/2014/main" id="{00000000-0008-0000-0100-0000C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03" name="Picture 11" descr=" ">
          <a:extLst>
            <a:ext uri="{FF2B5EF4-FFF2-40B4-BE49-F238E27FC236}">
              <a16:creationId xmlns:a16="http://schemas.microsoft.com/office/drawing/2014/main" id="{00000000-0008-0000-0100-0000C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04" name="Picture 12" descr=" ">
          <a:extLst>
            <a:ext uri="{FF2B5EF4-FFF2-40B4-BE49-F238E27FC236}">
              <a16:creationId xmlns:a16="http://schemas.microsoft.com/office/drawing/2014/main" id="{00000000-0008-0000-0100-0000D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05" name="Picture 7" descr=" ">
          <a:extLst>
            <a:ext uri="{FF2B5EF4-FFF2-40B4-BE49-F238E27FC236}">
              <a16:creationId xmlns:a16="http://schemas.microsoft.com/office/drawing/2014/main" id="{00000000-0008-0000-0100-0000D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06" name="Picture 8" descr=" ">
          <a:extLst>
            <a:ext uri="{FF2B5EF4-FFF2-40B4-BE49-F238E27FC236}">
              <a16:creationId xmlns:a16="http://schemas.microsoft.com/office/drawing/2014/main" id="{00000000-0008-0000-0100-0000D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07" name="Picture 9" descr=" ">
          <a:extLst>
            <a:ext uri="{FF2B5EF4-FFF2-40B4-BE49-F238E27FC236}">
              <a16:creationId xmlns:a16="http://schemas.microsoft.com/office/drawing/2014/main" id="{00000000-0008-0000-0100-0000D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08" name="Picture 10" descr=" ">
          <a:extLst>
            <a:ext uri="{FF2B5EF4-FFF2-40B4-BE49-F238E27FC236}">
              <a16:creationId xmlns:a16="http://schemas.microsoft.com/office/drawing/2014/main" id="{00000000-0008-0000-0100-0000D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09" name="Picture 11" descr=" ">
          <a:extLst>
            <a:ext uri="{FF2B5EF4-FFF2-40B4-BE49-F238E27FC236}">
              <a16:creationId xmlns:a16="http://schemas.microsoft.com/office/drawing/2014/main" id="{00000000-0008-0000-0100-0000D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10" name="Picture 12" descr=" ">
          <a:extLst>
            <a:ext uri="{FF2B5EF4-FFF2-40B4-BE49-F238E27FC236}">
              <a16:creationId xmlns:a16="http://schemas.microsoft.com/office/drawing/2014/main" id="{00000000-0008-0000-0100-0000D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11" name="Picture 7" descr=" ">
          <a:extLst>
            <a:ext uri="{FF2B5EF4-FFF2-40B4-BE49-F238E27FC236}">
              <a16:creationId xmlns:a16="http://schemas.microsoft.com/office/drawing/2014/main" id="{00000000-0008-0000-0100-0000D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12" name="Picture 8" descr=" ">
          <a:extLst>
            <a:ext uri="{FF2B5EF4-FFF2-40B4-BE49-F238E27FC236}">
              <a16:creationId xmlns:a16="http://schemas.microsoft.com/office/drawing/2014/main" id="{00000000-0008-0000-0100-0000D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13" name="Picture 9" descr=" ">
          <a:extLst>
            <a:ext uri="{FF2B5EF4-FFF2-40B4-BE49-F238E27FC236}">
              <a16:creationId xmlns:a16="http://schemas.microsoft.com/office/drawing/2014/main" id="{00000000-0008-0000-0100-0000D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14" name="Picture 10" descr=" ">
          <a:extLst>
            <a:ext uri="{FF2B5EF4-FFF2-40B4-BE49-F238E27FC236}">
              <a16:creationId xmlns:a16="http://schemas.microsoft.com/office/drawing/2014/main" id="{00000000-0008-0000-0100-0000D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15" name="Picture 11" descr=" ">
          <a:extLst>
            <a:ext uri="{FF2B5EF4-FFF2-40B4-BE49-F238E27FC236}">
              <a16:creationId xmlns:a16="http://schemas.microsoft.com/office/drawing/2014/main" id="{00000000-0008-0000-0100-0000D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16" name="Picture 12" descr=" ">
          <a:extLst>
            <a:ext uri="{FF2B5EF4-FFF2-40B4-BE49-F238E27FC236}">
              <a16:creationId xmlns:a16="http://schemas.microsoft.com/office/drawing/2014/main" id="{00000000-0008-0000-0100-0000D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17" name="Picture 7" descr=" ">
          <a:extLst>
            <a:ext uri="{FF2B5EF4-FFF2-40B4-BE49-F238E27FC236}">
              <a16:creationId xmlns:a16="http://schemas.microsoft.com/office/drawing/2014/main" id="{00000000-0008-0000-0100-0000D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18" name="Picture 8" descr=" ">
          <a:extLst>
            <a:ext uri="{FF2B5EF4-FFF2-40B4-BE49-F238E27FC236}">
              <a16:creationId xmlns:a16="http://schemas.microsoft.com/office/drawing/2014/main" id="{00000000-0008-0000-0100-0000D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19" name="Picture 9" descr=" ">
          <a:extLst>
            <a:ext uri="{FF2B5EF4-FFF2-40B4-BE49-F238E27FC236}">
              <a16:creationId xmlns:a16="http://schemas.microsoft.com/office/drawing/2014/main" id="{00000000-0008-0000-0100-0000D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20" name="Picture 10" descr=" ">
          <a:extLst>
            <a:ext uri="{FF2B5EF4-FFF2-40B4-BE49-F238E27FC236}">
              <a16:creationId xmlns:a16="http://schemas.microsoft.com/office/drawing/2014/main" id="{00000000-0008-0000-0100-0000E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21" name="Picture 11" descr=" ">
          <a:extLst>
            <a:ext uri="{FF2B5EF4-FFF2-40B4-BE49-F238E27FC236}">
              <a16:creationId xmlns:a16="http://schemas.microsoft.com/office/drawing/2014/main" id="{00000000-0008-0000-0100-0000E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22" name="Picture 12" descr=" ">
          <a:extLst>
            <a:ext uri="{FF2B5EF4-FFF2-40B4-BE49-F238E27FC236}">
              <a16:creationId xmlns:a16="http://schemas.microsoft.com/office/drawing/2014/main" id="{00000000-0008-0000-0100-0000E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23" name="Picture 7" descr=" ">
          <a:extLst>
            <a:ext uri="{FF2B5EF4-FFF2-40B4-BE49-F238E27FC236}">
              <a16:creationId xmlns:a16="http://schemas.microsoft.com/office/drawing/2014/main" id="{00000000-0008-0000-0100-0000E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24" name="Picture 8" descr=" ">
          <a:extLst>
            <a:ext uri="{FF2B5EF4-FFF2-40B4-BE49-F238E27FC236}">
              <a16:creationId xmlns:a16="http://schemas.microsoft.com/office/drawing/2014/main" id="{00000000-0008-0000-0100-0000E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25" name="Picture 9" descr=" ">
          <a:extLst>
            <a:ext uri="{FF2B5EF4-FFF2-40B4-BE49-F238E27FC236}">
              <a16:creationId xmlns:a16="http://schemas.microsoft.com/office/drawing/2014/main" id="{00000000-0008-0000-0100-0000E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26" name="Picture 10" descr=" ">
          <a:extLst>
            <a:ext uri="{FF2B5EF4-FFF2-40B4-BE49-F238E27FC236}">
              <a16:creationId xmlns:a16="http://schemas.microsoft.com/office/drawing/2014/main" id="{00000000-0008-0000-0100-0000E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27" name="Picture 11" descr=" ">
          <a:extLst>
            <a:ext uri="{FF2B5EF4-FFF2-40B4-BE49-F238E27FC236}">
              <a16:creationId xmlns:a16="http://schemas.microsoft.com/office/drawing/2014/main" id="{00000000-0008-0000-0100-0000E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28" name="Picture 12" descr=" ">
          <a:extLst>
            <a:ext uri="{FF2B5EF4-FFF2-40B4-BE49-F238E27FC236}">
              <a16:creationId xmlns:a16="http://schemas.microsoft.com/office/drawing/2014/main" id="{00000000-0008-0000-0100-0000E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29" name="Picture 7" descr=" ">
          <a:extLst>
            <a:ext uri="{FF2B5EF4-FFF2-40B4-BE49-F238E27FC236}">
              <a16:creationId xmlns:a16="http://schemas.microsoft.com/office/drawing/2014/main" id="{00000000-0008-0000-0100-0000E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30" name="Picture 8" descr=" ">
          <a:extLst>
            <a:ext uri="{FF2B5EF4-FFF2-40B4-BE49-F238E27FC236}">
              <a16:creationId xmlns:a16="http://schemas.microsoft.com/office/drawing/2014/main" id="{00000000-0008-0000-0100-0000E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31" name="Picture 9" descr=" ">
          <a:extLst>
            <a:ext uri="{FF2B5EF4-FFF2-40B4-BE49-F238E27FC236}">
              <a16:creationId xmlns:a16="http://schemas.microsoft.com/office/drawing/2014/main" id="{00000000-0008-0000-0100-0000E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32" name="Picture 10" descr=" ">
          <a:extLst>
            <a:ext uri="{FF2B5EF4-FFF2-40B4-BE49-F238E27FC236}">
              <a16:creationId xmlns:a16="http://schemas.microsoft.com/office/drawing/2014/main" id="{00000000-0008-0000-0100-0000E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33" name="Picture 11" descr=" ">
          <a:extLst>
            <a:ext uri="{FF2B5EF4-FFF2-40B4-BE49-F238E27FC236}">
              <a16:creationId xmlns:a16="http://schemas.microsoft.com/office/drawing/2014/main" id="{00000000-0008-0000-0100-0000E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34" name="Picture 12" descr=" ">
          <a:extLst>
            <a:ext uri="{FF2B5EF4-FFF2-40B4-BE49-F238E27FC236}">
              <a16:creationId xmlns:a16="http://schemas.microsoft.com/office/drawing/2014/main" id="{00000000-0008-0000-0100-0000E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35" name="Picture 7" descr=" ">
          <a:extLst>
            <a:ext uri="{FF2B5EF4-FFF2-40B4-BE49-F238E27FC236}">
              <a16:creationId xmlns:a16="http://schemas.microsoft.com/office/drawing/2014/main" id="{00000000-0008-0000-0100-0000E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36" name="Picture 8" descr=" ">
          <a:extLst>
            <a:ext uri="{FF2B5EF4-FFF2-40B4-BE49-F238E27FC236}">
              <a16:creationId xmlns:a16="http://schemas.microsoft.com/office/drawing/2014/main" id="{00000000-0008-0000-0100-0000F0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37" name="Picture 9" descr=" ">
          <a:extLst>
            <a:ext uri="{FF2B5EF4-FFF2-40B4-BE49-F238E27FC236}">
              <a16:creationId xmlns:a16="http://schemas.microsoft.com/office/drawing/2014/main" id="{00000000-0008-0000-0100-0000F1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38" name="Picture 10" descr=" ">
          <a:extLst>
            <a:ext uri="{FF2B5EF4-FFF2-40B4-BE49-F238E27FC236}">
              <a16:creationId xmlns:a16="http://schemas.microsoft.com/office/drawing/2014/main" id="{00000000-0008-0000-0100-0000F2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39" name="Picture 11" descr=" ">
          <a:extLst>
            <a:ext uri="{FF2B5EF4-FFF2-40B4-BE49-F238E27FC236}">
              <a16:creationId xmlns:a16="http://schemas.microsoft.com/office/drawing/2014/main" id="{00000000-0008-0000-0100-0000F3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40" name="Picture 12" descr=" ">
          <a:extLst>
            <a:ext uri="{FF2B5EF4-FFF2-40B4-BE49-F238E27FC236}">
              <a16:creationId xmlns:a16="http://schemas.microsoft.com/office/drawing/2014/main" id="{00000000-0008-0000-0100-0000F4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41" name="Picture 7" descr=" ">
          <a:extLst>
            <a:ext uri="{FF2B5EF4-FFF2-40B4-BE49-F238E27FC236}">
              <a16:creationId xmlns:a16="http://schemas.microsoft.com/office/drawing/2014/main" id="{00000000-0008-0000-0100-0000F5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42" name="Picture 8" descr=" ">
          <a:extLst>
            <a:ext uri="{FF2B5EF4-FFF2-40B4-BE49-F238E27FC236}">
              <a16:creationId xmlns:a16="http://schemas.microsoft.com/office/drawing/2014/main" id="{00000000-0008-0000-0100-0000F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43" name="Picture 9" descr=" ">
          <a:extLst>
            <a:ext uri="{FF2B5EF4-FFF2-40B4-BE49-F238E27FC236}">
              <a16:creationId xmlns:a16="http://schemas.microsoft.com/office/drawing/2014/main" id="{00000000-0008-0000-0100-0000F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44" name="Picture 10" descr=" ">
          <a:extLst>
            <a:ext uri="{FF2B5EF4-FFF2-40B4-BE49-F238E27FC236}">
              <a16:creationId xmlns:a16="http://schemas.microsoft.com/office/drawing/2014/main" id="{00000000-0008-0000-0100-0000F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45" name="Picture 11" descr=" ">
          <a:extLst>
            <a:ext uri="{FF2B5EF4-FFF2-40B4-BE49-F238E27FC236}">
              <a16:creationId xmlns:a16="http://schemas.microsoft.com/office/drawing/2014/main" id="{00000000-0008-0000-0100-0000F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46" name="Picture 12" descr=" ">
          <a:extLst>
            <a:ext uri="{FF2B5EF4-FFF2-40B4-BE49-F238E27FC236}">
              <a16:creationId xmlns:a16="http://schemas.microsoft.com/office/drawing/2014/main" id="{00000000-0008-0000-0100-0000FA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47" name="Picture 7" descr=" ">
          <a:extLst>
            <a:ext uri="{FF2B5EF4-FFF2-40B4-BE49-F238E27FC236}">
              <a16:creationId xmlns:a16="http://schemas.microsoft.com/office/drawing/2014/main" id="{00000000-0008-0000-0100-0000FB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48" name="Picture 8" descr=" ">
          <a:extLst>
            <a:ext uri="{FF2B5EF4-FFF2-40B4-BE49-F238E27FC236}">
              <a16:creationId xmlns:a16="http://schemas.microsoft.com/office/drawing/2014/main" id="{00000000-0008-0000-0100-0000FC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49" name="Picture 9" descr=" ">
          <a:extLst>
            <a:ext uri="{FF2B5EF4-FFF2-40B4-BE49-F238E27FC236}">
              <a16:creationId xmlns:a16="http://schemas.microsoft.com/office/drawing/2014/main" id="{00000000-0008-0000-0100-0000FD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50" name="Picture 10" descr=" ">
          <a:extLst>
            <a:ext uri="{FF2B5EF4-FFF2-40B4-BE49-F238E27FC236}">
              <a16:creationId xmlns:a16="http://schemas.microsoft.com/office/drawing/2014/main" id="{00000000-0008-0000-0100-0000FE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51" name="Picture 11" descr=" ">
          <a:extLst>
            <a:ext uri="{FF2B5EF4-FFF2-40B4-BE49-F238E27FC236}">
              <a16:creationId xmlns:a16="http://schemas.microsoft.com/office/drawing/2014/main" id="{00000000-0008-0000-0100-0000FF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52" name="Picture 12" descr=" ">
          <a:extLst>
            <a:ext uri="{FF2B5EF4-FFF2-40B4-BE49-F238E27FC236}">
              <a16:creationId xmlns:a16="http://schemas.microsoft.com/office/drawing/2014/main" id="{00000000-0008-0000-0100-00000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53" name="Picture 7" descr=" ">
          <a:extLst>
            <a:ext uri="{FF2B5EF4-FFF2-40B4-BE49-F238E27FC236}">
              <a16:creationId xmlns:a16="http://schemas.microsoft.com/office/drawing/2014/main" id="{00000000-0008-0000-0100-00000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54" name="Picture 8" descr=" ">
          <a:extLst>
            <a:ext uri="{FF2B5EF4-FFF2-40B4-BE49-F238E27FC236}">
              <a16:creationId xmlns:a16="http://schemas.microsoft.com/office/drawing/2014/main" id="{00000000-0008-0000-0100-00000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55" name="Picture 9" descr=" ">
          <a:extLst>
            <a:ext uri="{FF2B5EF4-FFF2-40B4-BE49-F238E27FC236}">
              <a16:creationId xmlns:a16="http://schemas.microsoft.com/office/drawing/2014/main" id="{00000000-0008-0000-0100-00000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56" name="Picture 10" descr=" ">
          <a:extLst>
            <a:ext uri="{FF2B5EF4-FFF2-40B4-BE49-F238E27FC236}">
              <a16:creationId xmlns:a16="http://schemas.microsoft.com/office/drawing/2014/main" id="{00000000-0008-0000-0100-00000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57" name="Picture 11" descr=" ">
          <a:extLst>
            <a:ext uri="{FF2B5EF4-FFF2-40B4-BE49-F238E27FC236}">
              <a16:creationId xmlns:a16="http://schemas.microsoft.com/office/drawing/2014/main" id="{00000000-0008-0000-0100-00000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58" name="Picture 12" descr=" ">
          <a:extLst>
            <a:ext uri="{FF2B5EF4-FFF2-40B4-BE49-F238E27FC236}">
              <a16:creationId xmlns:a16="http://schemas.microsoft.com/office/drawing/2014/main" id="{00000000-0008-0000-0100-00000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59" name="Picture 7" descr=" ">
          <a:extLst>
            <a:ext uri="{FF2B5EF4-FFF2-40B4-BE49-F238E27FC236}">
              <a16:creationId xmlns:a16="http://schemas.microsoft.com/office/drawing/2014/main" id="{00000000-0008-0000-0100-00000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60" name="Picture 8" descr=" ">
          <a:extLst>
            <a:ext uri="{FF2B5EF4-FFF2-40B4-BE49-F238E27FC236}">
              <a16:creationId xmlns:a16="http://schemas.microsoft.com/office/drawing/2014/main" id="{00000000-0008-0000-0100-00000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61" name="Picture 9" descr=" ">
          <a:extLst>
            <a:ext uri="{FF2B5EF4-FFF2-40B4-BE49-F238E27FC236}">
              <a16:creationId xmlns:a16="http://schemas.microsoft.com/office/drawing/2014/main" id="{00000000-0008-0000-0100-00000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62" name="Picture 10" descr=" ">
          <a:extLst>
            <a:ext uri="{FF2B5EF4-FFF2-40B4-BE49-F238E27FC236}">
              <a16:creationId xmlns:a16="http://schemas.microsoft.com/office/drawing/2014/main" id="{00000000-0008-0000-0100-00000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63" name="Picture 11" descr=" ">
          <a:extLst>
            <a:ext uri="{FF2B5EF4-FFF2-40B4-BE49-F238E27FC236}">
              <a16:creationId xmlns:a16="http://schemas.microsoft.com/office/drawing/2014/main" id="{00000000-0008-0000-0100-00000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64" name="Picture 12" descr=" ">
          <a:extLst>
            <a:ext uri="{FF2B5EF4-FFF2-40B4-BE49-F238E27FC236}">
              <a16:creationId xmlns:a16="http://schemas.microsoft.com/office/drawing/2014/main" id="{00000000-0008-0000-0100-00000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65" name="Picture 7" descr=" ">
          <a:extLst>
            <a:ext uri="{FF2B5EF4-FFF2-40B4-BE49-F238E27FC236}">
              <a16:creationId xmlns:a16="http://schemas.microsoft.com/office/drawing/2014/main" id="{00000000-0008-0000-0100-00000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66" name="Picture 8" descr=" ">
          <a:extLst>
            <a:ext uri="{FF2B5EF4-FFF2-40B4-BE49-F238E27FC236}">
              <a16:creationId xmlns:a16="http://schemas.microsoft.com/office/drawing/2014/main" id="{00000000-0008-0000-0100-00000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67" name="Picture 9" descr=" ">
          <a:extLst>
            <a:ext uri="{FF2B5EF4-FFF2-40B4-BE49-F238E27FC236}">
              <a16:creationId xmlns:a16="http://schemas.microsoft.com/office/drawing/2014/main" id="{00000000-0008-0000-0100-00000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68" name="Picture 10" descr=" ">
          <a:extLst>
            <a:ext uri="{FF2B5EF4-FFF2-40B4-BE49-F238E27FC236}">
              <a16:creationId xmlns:a16="http://schemas.microsoft.com/office/drawing/2014/main" id="{00000000-0008-0000-0100-00001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69" name="Picture 11" descr=" ">
          <a:extLst>
            <a:ext uri="{FF2B5EF4-FFF2-40B4-BE49-F238E27FC236}">
              <a16:creationId xmlns:a16="http://schemas.microsoft.com/office/drawing/2014/main" id="{00000000-0008-0000-0100-00001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70" name="Picture 12" descr=" ">
          <a:extLst>
            <a:ext uri="{FF2B5EF4-FFF2-40B4-BE49-F238E27FC236}">
              <a16:creationId xmlns:a16="http://schemas.microsoft.com/office/drawing/2014/main" id="{00000000-0008-0000-0100-00001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71" name="Picture 7" descr=" ">
          <a:extLst>
            <a:ext uri="{FF2B5EF4-FFF2-40B4-BE49-F238E27FC236}">
              <a16:creationId xmlns:a16="http://schemas.microsoft.com/office/drawing/2014/main" id="{00000000-0008-0000-0100-00001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72" name="Picture 8" descr=" ">
          <a:extLst>
            <a:ext uri="{FF2B5EF4-FFF2-40B4-BE49-F238E27FC236}">
              <a16:creationId xmlns:a16="http://schemas.microsoft.com/office/drawing/2014/main" id="{00000000-0008-0000-0100-00001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73" name="Picture 9" descr=" ">
          <a:extLst>
            <a:ext uri="{FF2B5EF4-FFF2-40B4-BE49-F238E27FC236}">
              <a16:creationId xmlns:a16="http://schemas.microsoft.com/office/drawing/2014/main" id="{00000000-0008-0000-0100-00001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74" name="Picture 10" descr=" ">
          <a:extLst>
            <a:ext uri="{FF2B5EF4-FFF2-40B4-BE49-F238E27FC236}">
              <a16:creationId xmlns:a16="http://schemas.microsoft.com/office/drawing/2014/main" id="{00000000-0008-0000-0100-00001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75" name="Picture 11" descr=" ">
          <a:extLst>
            <a:ext uri="{FF2B5EF4-FFF2-40B4-BE49-F238E27FC236}">
              <a16:creationId xmlns:a16="http://schemas.microsoft.com/office/drawing/2014/main" id="{00000000-0008-0000-0100-00001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76" name="Picture 12" descr=" ">
          <a:extLst>
            <a:ext uri="{FF2B5EF4-FFF2-40B4-BE49-F238E27FC236}">
              <a16:creationId xmlns:a16="http://schemas.microsoft.com/office/drawing/2014/main" id="{00000000-0008-0000-0100-00001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77" name="Picture 7" descr=" ">
          <a:extLst>
            <a:ext uri="{FF2B5EF4-FFF2-40B4-BE49-F238E27FC236}">
              <a16:creationId xmlns:a16="http://schemas.microsoft.com/office/drawing/2014/main" id="{00000000-0008-0000-0100-00001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78" name="Picture 8" descr=" ">
          <a:extLst>
            <a:ext uri="{FF2B5EF4-FFF2-40B4-BE49-F238E27FC236}">
              <a16:creationId xmlns:a16="http://schemas.microsoft.com/office/drawing/2014/main" id="{00000000-0008-0000-0100-00001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79" name="Picture 9" descr=" ">
          <a:extLst>
            <a:ext uri="{FF2B5EF4-FFF2-40B4-BE49-F238E27FC236}">
              <a16:creationId xmlns:a16="http://schemas.microsoft.com/office/drawing/2014/main" id="{00000000-0008-0000-0100-00001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80" name="Picture 10" descr=" ">
          <a:extLst>
            <a:ext uri="{FF2B5EF4-FFF2-40B4-BE49-F238E27FC236}">
              <a16:creationId xmlns:a16="http://schemas.microsoft.com/office/drawing/2014/main" id="{00000000-0008-0000-0100-00001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81" name="Picture 11" descr=" ">
          <a:extLst>
            <a:ext uri="{FF2B5EF4-FFF2-40B4-BE49-F238E27FC236}">
              <a16:creationId xmlns:a16="http://schemas.microsoft.com/office/drawing/2014/main" id="{00000000-0008-0000-0100-00001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82" name="Picture 12" descr=" ">
          <a:extLst>
            <a:ext uri="{FF2B5EF4-FFF2-40B4-BE49-F238E27FC236}">
              <a16:creationId xmlns:a16="http://schemas.microsoft.com/office/drawing/2014/main" id="{00000000-0008-0000-0100-00001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83" name="Picture 7" descr=" ">
          <a:extLst>
            <a:ext uri="{FF2B5EF4-FFF2-40B4-BE49-F238E27FC236}">
              <a16:creationId xmlns:a16="http://schemas.microsoft.com/office/drawing/2014/main" id="{00000000-0008-0000-0100-00001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84" name="Picture 8" descr=" ">
          <a:extLst>
            <a:ext uri="{FF2B5EF4-FFF2-40B4-BE49-F238E27FC236}">
              <a16:creationId xmlns:a16="http://schemas.microsoft.com/office/drawing/2014/main" id="{00000000-0008-0000-0100-00002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85" name="Picture 9" descr=" ">
          <a:extLst>
            <a:ext uri="{FF2B5EF4-FFF2-40B4-BE49-F238E27FC236}">
              <a16:creationId xmlns:a16="http://schemas.microsoft.com/office/drawing/2014/main" id="{00000000-0008-0000-0100-00002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86" name="Picture 10" descr=" ">
          <a:extLst>
            <a:ext uri="{FF2B5EF4-FFF2-40B4-BE49-F238E27FC236}">
              <a16:creationId xmlns:a16="http://schemas.microsoft.com/office/drawing/2014/main" id="{00000000-0008-0000-0100-00002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87" name="Picture 11" descr=" ">
          <a:extLst>
            <a:ext uri="{FF2B5EF4-FFF2-40B4-BE49-F238E27FC236}">
              <a16:creationId xmlns:a16="http://schemas.microsoft.com/office/drawing/2014/main" id="{00000000-0008-0000-0100-00002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88" name="Picture 12" descr=" ">
          <a:extLst>
            <a:ext uri="{FF2B5EF4-FFF2-40B4-BE49-F238E27FC236}">
              <a16:creationId xmlns:a16="http://schemas.microsoft.com/office/drawing/2014/main" id="{00000000-0008-0000-0100-00002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89" name="Picture 7" descr=" ">
          <a:extLst>
            <a:ext uri="{FF2B5EF4-FFF2-40B4-BE49-F238E27FC236}">
              <a16:creationId xmlns:a16="http://schemas.microsoft.com/office/drawing/2014/main" id="{00000000-0008-0000-0100-00002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90" name="Picture 8" descr=" ">
          <a:extLst>
            <a:ext uri="{FF2B5EF4-FFF2-40B4-BE49-F238E27FC236}">
              <a16:creationId xmlns:a16="http://schemas.microsoft.com/office/drawing/2014/main" id="{00000000-0008-0000-0100-00002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91" name="Picture 9" descr=" ">
          <a:extLst>
            <a:ext uri="{FF2B5EF4-FFF2-40B4-BE49-F238E27FC236}">
              <a16:creationId xmlns:a16="http://schemas.microsoft.com/office/drawing/2014/main" id="{00000000-0008-0000-0100-00002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92" name="Picture 10" descr=" ">
          <a:extLst>
            <a:ext uri="{FF2B5EF4-FFF2-40B4-BE49-F238E27FC236}">
              <a16:creationId xmlns:a16="http://schemas.microsoft.com/office/drawing/2014/main" id="{00000000-0008-0000-0100-00002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93" name="Picture 11" descr=" ">
          <a:extLst>
            <a:ext uri="{FF2B5EF4-FFF2-40B4-BE49-F238E27FC236}">
              <a16:creationId xmlns:a16="http://schemas.microsoft.com/office/drawing/2014/main" id="{00000000-0008-0000-0100-00002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0794" name="Picture 12" descr=" ">
          <a:extLst>
            <a:ext uri="{FF2B5EF4-FFF2-40B4-BE49-F238E27FC236}">
              <a16:creationId xmlns:a16="http://schemas.microsoft.com/office/drawing/2014/main" id="{00000000-0008-0000-0100-00002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47625</xdr:rowOff>
    </xdr:to>
    <xdr:pic>
      <xdr:nvPicPr>
        <xdr:cNvPr id="10795" name="Picture 7" descr=" ">
          <a:extLst>
            <a:ext uri="{FF2B5EF4-FFF2-40B4-BE49-F238E27FC236}">
              <a16:creationId xmlns:a16="http://schemas.microsoft.com/office/drawing/2014/main" id="{00000000-0008-0000-0100-00002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2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47625</xdr:rowOff>
    </xdr:to>
    <xdr:pic>
      <xdr:nvPicPr>
        <xdr:cNvPr id="10796" name="Picture 8" descr=" ">
          <a:extLst>
            <a:ext uri="{FF2B5EF4-FFF2-40B4-BE49-F238E27FC236}">
              <a16:creationId xmlns:a16="http://schemas.microsoft.com/office/drawing/2014/main" id="{00000000-0008-0000-0100-00002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2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47625</xdr:rowOff>
    </xdr:to>
    <xdr:pic>
      <xdr:nvPicPr>
        <xdr:cNvPr id="10797" name="Picture 9" descr=" ">
          <a:extLst>
            <a:ext uri="{FF2B5EF4-FFF2-40B4-BE49-F238E27FC236}">
              <a16:creationId xmlns:a16="http://schemas.microsoft.com/office/drawing/2014/main" id="{00000000-0008-0000-0100-00002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2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47625</xdr:rowOff>
    </xdr:to>
    <xdr:pic>
      <xdr:nvPicPr>
        <xdr:cNvPr id="10798" name="Picture 10" descr=" ">
          <a:extLst>
            <a:ext uri="{FF2B5EF4-FFF2-40B4-BE49-F238E27FC236}">
              <a16:creationId xmlns:a16="http://schemas.microsoft.com/office/drawing/2014/main" id="{00000000-0008-0000-0100-00002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2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47625</xdr:rowOff>
    </xdr:to>
    <xdr:pic>
      <xdr:nvPicPr>
        <xdr:cNvPr id="10799" name="Picture 11" descr=" ">
          <a:extLst>
            <a:ext uri="{FF2B5EF4-FFF2-40B4-BE49-F238E27FC236}">
              <a16:creationId xmlns:a16="http://schemas.microsoft.com/office/drawing/2014/main" id="{00000000-0008-0000-0100-00002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2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47625</xdr:rowOff>
    </xdr:to>
    <xdr:pic>
      <xdr:nvPicPr>
        <xdr:cNvPr id="10800" name="Picture 12" descr=" ">
          <a:extLst>
            <a:ext uri="{FF2B5EF4-FFF2-40B4-BE49-F238E27FC236}">
              <a16:creationId xmlns:a16="http://schemas.microsoft.com/office/drawing/2014/main" id="{00000000-0008-0000-0100-00003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2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</xdr:colOff>
      <xdr:row>21</xdr:row>
      <xdr:rowOff>47625</xdr:rowOff>
    </xdr:to>
    <xdr:pic>
      <xdr:nvPicPr>
        <xdr:cNvPr id="10801" name="Picture 7" descr=" ">
          <a:extLst>
            <a:ext uri="{FF2B5EF4-FFF2-40B4-BE49-F238E27FC236}">
              <a16:creationId xmlns:a16="http://schemas.microsoft.com/office/drawing/2014/main" id="{00000000-0008-0000-0100-00003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4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</xdr:colOff>
      <xdr:row>21</xdr:row>
      <xdr:rowOff>47625</xdr:rowOff>
    </xdr:to>
    <xdr:pic>
      <xdr:nvPicPr>
        <xdr:cNvPr id="10802" name="Picture 8" descr=" ">
          <a:extLst>
            <a:ext uri="{FF2B5EF4-FFF2-40B4-BE49-F238E27FC236}">
              <a16:creationId xmlns:a16="http://schemas.microsoft.com/office/drawing/2014/main" id="{00000000-0008-0000-0100-00003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4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</xdr:colOff>
      <xdr:row>21</xdr:row>
      <xdr:rowOff>47625</xdr:rowOff>
    </xdr:to>
    <xdr:pic>
      <xdr:nvPicPr>
        <xdr:cNvPr id="10803" name="Picture 9" descr=" ">
          <a:extLst>
            <a:ext uri="{FF2B5EF4-FFF2-40B4-BE49-F238E27FC236}">
              <a16:creationId xmlns:a16="http://schemas.microsoft.com/office/drawing/2014/main" id="{00000000-0008-0000-0100-00003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4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</xdr:colOff>
      <xdr:row>21</xdr:row>
      <xdr:rowOff>47625</xdr:rowOff>
    </xdr:to>
    <xdr:pic>
      <xdr:nvPicPr>
        <xdr:cNvPr id="10804" name="Picture 10" descr=" ">
          <a:extLst>
            <a:ext uri="{FF2B5EF4-FFF2-40B4-BE49-F238E27FC236}">
              <a16:creationId xmlns:a16="http://schemas.microsoft.com/office/drawing/2014/main" id="{00000000-0008-0000-0100-00003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4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</xdr:colOff>
      <xdr:row>21</xdr:row>
      <xdr:rowOff>47625</xdr:rowOff>
    </xdr:to>
    <xdr:pic>
      <xdr:nvPicPr>
        <xdr:cNvPr id="10805" name="Picture 11" descr=" ">
          <a:extLst>
            <a:ext uri="{FF2B5EF4-FFF2-40B4-BE49-F238E27FC236}">
              <a16:creationId xmlns:a16="http://schemas.microsoft.com/office/drawing/2014/main" id="{00000000-0008-0000-0100-00003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4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</xdr:colOff>
      <xdr:row>21</xdr:row>
      <xdr:rowOff>47625</xdr:rowOff>
    </xdr:to>
    <xdr:pic>
      <xdr:nvPicPr>
        <xdr:cNvPr id="10806" name="Picture 12" descr=" ">
          <a:extLst>
            <a:ext uri="{FF2B5EF4-FFF2-40B4-BE49-F238E27FC236}">
              <a16:creationId xmlns:a16="http://schemas.microsoft.com/office/drawing/2014/main" id="{00000000-0008-0000-0100-00003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4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47625</xdr:rowOff>
    </xdr:to>
    <xdr:pic>
      <xdr:nvPicPr>
        <xdr:cNvPr id="10819" name="Picture 7" descr=" ">
          <a:extLst>
            <a:ext uri="{FF2B5EF4-FFF2-40B4-BE49-F238E27FC236}">
              <a16:creationId xmlns:a16="http://schemas.microsoft.com/office/drawing/2014/main" id="{00000000-0008-0000-0100-00004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47625</xdr:rowOff>
    </xdr:to>
    <xdr:pic>
      <xdr:nvPicPr>
        <xdr:cNvPr id="10820" name="Picture 8" descr=" ">
          <a:extLst>
            <a:ext uri="{FF2B5EF4-FFF2-40B4-BE49-F238E27FC236}">
              <a16:creationId xmlns:a16="http://schemas.microsoft.com/office/drawing/2014/main" id="{00000000-0008-0000-0100-00004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47625</xdr:rowOff>
    </xdr:to>
    <xdr:pic>
      <xdr:nvPicPr>
        <xdr:cNvPr id="10821" name="Picture 9" descr=" ">
          <a:extLst>
            <a:ext uri="{FF2B5EF4-FFF2-40B4-BE49-F238E27FC236}">
              <a16:creationId xmlns:a16="http://schemas.microsoft.com/office/drawing/2014/main" id="{00000000-0008-0000-0100-00004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47625</xdr:rowOff>
    </xdr:to>
    <xdr:pic>
      <xdr:nvPicPr>
        <xdr:cNvPr id="10822" name="Picture 10" descr=" ">
          <a:extLst>
            <a:ext uri="{FF2B5EF4-FFF2-40B4-BE49-F238E27FC236}">
              <a16:creationId xmlns:a16="http://schemas.microsoft.com/office/drawing/2014/main" id="{00000000-0008-0000-0100-00004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47625</xdr:rowOff>
    </xdr:to>
    <xdr:pic>
      <xdr:nvPicPr>
        <xdr:cNvPr id="10823" name="Picture 11" descr=" ">
          <a:extLst>
            <a:ext uri="{FF2B5EF4-FFF2-40B4-BE49-F238E27FC236}">
              <a16:creationId xmlns:a16="http://schemas.microsoft.com/office/drawing/2014/main" id="{00000000-0008-0000-0100-00004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47625</xdr:rowOff>
    </xdr:to>
    <xdr:pic>
      <xdr:nvPicPr>
        <xdr:cNvPr id="10824" name="Picture 12" descr=" ">
          <a:extLst>
            <a:ext uri="{FF2B5EF4-FFF2-40B4-BE49-F238E27FC236}">
              <a16:creationId xmlns:a16="http://schemas.microsoft.com/office/drawing/2014/main" id="{00000000-0008-0000-0100-00004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47625</xdr:rowOff>
    </xdr:to>
    <xdr:pic>
      <xdr:nvPicPr>
        <xdr:cNvPr id="10825" name="Picture 7" descr=" ">
          <a:extLst>
            <a:ext uri="{FF2B5EF4-FFF2-40B4-BE49-F238E27FC236}">
              <a16:creationId xmlns:a16="http://schemas.microsoft.com/office/drawing/2014/main" id="{00000000-0008-0000-0100-00004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47625</xdr:rowOff>
    </xdr:to>
    <xdr:pic>
      <xdr:nvPicPr>
        <xdr:cNvPr id="10826" name="Picture 8" descr=" ">
          <a:extLst>
            <a:ext uri="{FF2B5EF4-FFF2-40B4-BE49-F238E27FC236}">
              <a16:creationId xmlns:a16="http://schemas.microsoft.com/office/drawing/2014/main" id="{00000000-0008-0000-0100-00004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47625</xdr:rowOff>
    </xdr:to>
    <xdr:pic>
      <xdr:nvPicPr>
        <xdr:cNvPr id="10827" name="Picture 9" descr=" ">
          <a:extLst>
            <a:ext uri="{FF2B5EF4-FFF2-40B4-BE49-F238E27FC236}">
              <a16:creationId xmlns:a16="http://schemas.microsoft.com/office/drawing/2014/main" id="{00000000-0008-0000-0100-00004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47625</xdr:rowOff>
    </xdr:to>
    <xdr:pic>
      <xdr:nvPicPr>
        <xdr:cNvPr id="10828" name="Picture 10" descr=" ">
          <a:extLst>
            <a:ext uri="{FF2B5EF4-FFF2-40B4-BE49-F238E27FC236}">
              <a16:creationId xmlns:a16="http://schemas.microsoft.com/office/drawing/2014/main" id="{00000000-0008-0000-0100-00004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47625</xdr:rowOff>
    </xdr:to>
    <xdr:pic>
      <xdr:nvPicPr>
        <xdr:cNvPr id="10829" name="Picture 11" descr=" ">
          <a:extLst>
            <a:ext uri="{FF2B5EF4-FFF2-40B4-BE49-F238E27FC236}">
              <a16:creationId xmlns:a16="http://schemas.microsoft.com/office/drawing/2014/main" id="{00000000-0008-0000-0100-00004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47625</xdr:rowOff>
    </xdr:to>
    <xdr:pic>
      <xdr:nvPicPr>
        <xdr:cNvPr id="10830" name="Picture 12" descr=" ">
          <a:extLst>
            <a:ext uri="{FF2B5EF4-FFF2-40B4-BE49-F238E27FC236}">
              <a16:creationId xmlns:a16="http://schemas.microsoft.com/office/drawing/2014/main" id="{00000000-0008-0000-0100-00004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10831" name="Picture 7" descr=" ">
          <a:extLst>
            <a:ext uri="{FF2B5EF4-FFF2-40B4-BE49-F238E27FC236}">
              <a16:creationId xmlns:a16="http://schemas.microsoft.com/office/drawing/2014/main" id="{00000000-0008-0000-0100-00004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10832" name="Picture 8" descr=" ">
          <a:extLst>
            <a:ext uri="{FF2B5EF4-FFF2-40B4-BE49-F238E27FC236}">
              <a16:creationId xmlns:a16="http://schemas.microsoft.com/office/drawing/2014/main" id="{00000000-0008-0000-0100-00005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10833" name="Picture 9" descr=" ">
          <a:extLst>
            <a:ext uri="{FF2B5EF4-FFF2-40B4-BE49-F238E27FC236}">
              <a16:creationId xmlns:a16="http://schemas.microsoft.com/office/drawing/2014/main" id="{00000000-0008-0000-0100-00005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10834" name="Picture 10" descr=" ">
          <a:extLst>
            <a:ext uri="{FF2B5EF4-FFF2-40B4-BE49-F238E27FC236}">
              <a16:creationId xmlns:a16="http://schemas.microsoft.com/office/drawing/2014/main" id="{00000000-0008-0000-0100-00005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10835" name="Picture 11" descr=" ">
          <a:extLst>
            <a:ext uri="{FF2B5EF4-FFF2-40B4-BE49-F238E27FC236}">
              <a16:creationId xmlns:a16="http://schemas.microsoft.com/office/drawing/2014/main" id="{00000000-0008-0000-0100-00005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10836" name="Picture 12" descr=" ">
          <a:extLst>
            <a:ext uri="{FF2B5EF4-FFF2-40B4-BE49-F238E27FC236}">
              <a16:creationId xmlns:a16="http://schemas.microsoft.com/office/drawing/2014/main" id="{00000000-0008-0000-0100-00005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10837" name="Picture 7" descr=" ">
          <a:extLst>
            <a:ext uri="{FF2B5EF4-FFF2-40B4-BE49-F238E27FC236}">
              <a16:creationId xmlns:a16="http://schemas.microsoft.com/office/drawing/2014/main" id="{00000000-0008-0000-0100-00005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10838" name="Picture 8" descr=" ">
          <a:extLst>
            <a:ext uri="{FF2B5EF4-FFF2-40B4-BE49-F238E27FC236}">
              <a16:creationId xmlns:a16="http://schemas.microsoft.com/office/drawing/2014/main" id="{00000000-0008-0000-0100-00005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10839" name="Picture 9" descr=" ">
          <a:extLst>
            <a:ext uri="{FF2B5EF4-FFF2-40B4-BE49-F238E27FC236}">
              <a16:creationId xmlns:a16="http://schemas.microsoft.com/office/drawing/2014/main" id="{00000000-0008-0000-0100-00005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10840" name="Picture 10" descr=" ">
          <a:extLst>
            <a:ext uri="{FF2B5EF4-FFF2-40B4-BE49-F238E27FC236}">
              <a16:creationId xmlns:a16="http://schemas.microsoft.com/office/drawing/2014/main" id="{00000000-0008-0000-0100-00005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10841" name="Picture 11" descr=" ">
          <a:extLst>
            <a:ext uri="{FF2B5EF4-FFF2-40B4-BE49-F238E27FC236}">
              <a16:creationId xmlns:a16="http://schemas.microsoft.com/office/drawing/2014/main" id="{00000000-0008-0000-0100-00005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10842" name="Picture 12" descr=" ">
          <a:extLst>
            <a:ext uri="{FF2B5EF4-FFF2-40B4-BE49-F238E27FC236}">
              <a16:creationId xmlns:a16="http://schemas.microsoft.com/office/drawing/2014/main" id="{00000000-0008-0000-0100-00005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10843" name="Picture 7" descr=" ">
          <a:extLst>
            <a:ext uri="{FF2B5EF4-FFF2-40B4-BE49-F238E27FC236}">
              <a16:creationId xmlns:a16="http://schemas.microsoft.com/office/drawing/2014/main" id="{00000000-0008-0000-0100-00005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10844" name="Picture 8" descr=" ">
          <a:extLst>
            <a:ext uri="{FF2B5EF4-FFF2-40B4-BE49-F238E27FC236}">
              <a16:creationId xmlns:a16="http://schemas.microsoft.com/office/drawing/2014/main" id="{00000000-0008-0000-0100-00005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10845" name="Picture 9" descr=" ">
          <a:extLst>
            <a:ext uri="{FF2B5EF4-FFF2-40B4-BE49-F238E27FC236}">
              <a16:creationId xmlns:a16="http://schemas.microsoft.com/office/drawing/2014/main" id="{00000000-0008-0000-0100-00005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10846" name="Picture 10" descr=" ">
          <a:extLst>
            <a:ext uri="{FF2B5EF4-FFF2-40B4-BE49-F238E27FC236}">
              <a16:creationId xmlns:a16="http://schemas.microsoft.com/office/drawing/2014/main" id="{00000000-0008-0000-0100-00005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10847" name="Picture 11" descr=" ">
          <a:extLst>
            <a:ext uri="{FF2B5EF4-FFF2-40B4-BE49-F238E27FC236}">
              <a16:creationId xmlns:a16="http://schemas.microsoft.com/office/drawing/2014/main" id="{00000000-0008-0000-0100-00005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47625</xdr:rowOff>
    </xdr:to>
    <xdr:pic>
      <xdr:nvPicPr>
        <xdr:cNvPr id="10848" name="Picture 12" descr=" ">
          <a:extLst>
            <a:ext uri="{FF2B5EF4-FFF2-40B4-BE49-F238E27FC236}">
              <a16:creationId xmlns:a16="http://schemas.microsoft.com/office/drawing/2014/main" id="{00000000-0008-0000-0100-00006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49" name="Picture 7" descr=" ">
          <a:extLst>
            <a:ext uri="{FF2B5EF4-FFF2-40B4-BE49-F238E27FC236}">
              <a16:creationId xmlns:a16="http://schemas.microsoft.com/office/drawing/2014/main" id="{00000000-0008-0000-0100-00006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50" name="Picture 8" descr=" ">
          <a:extLst>
            <a:ext uri="{FF2B5EF4-FFF2-40B4-BE49-F238E27FC236}">
              <a16:creationId xmlns:a16="http://schemas.microsoft.com/office/drawing/2014/main" id="{00000000-0008-0000-0100-00006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51" name="Picture 9" descr=" ">
          <a:extLst>
            <a:ext uri="{FF2B5EF4-FFF2-40B4-BE49-F238E27FC236}">
              <a16:creationId xmlns:a16="http://schemas.microsoft.com/office/drawing/2014/main" id="{00000000-0008-0000-0100-00006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52" name="Picture 10" descr=" ">
          <a:extLst>
            <a:ext uri="{FF2B5EF4-FFF2-40B4-BE49-F238E27FC236}">
              <a16:creationId xmlns:a16="http://schemas.microsoft.com/office/drawing/2014/main" id="{00000000-0008-0000-0100-00006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53" name="Picture 11" descr=" ">
          <a:extLst>
            <a:ext uri="{FF2B5EF4-FFF2-40B4-BE49-F238E27FC236}">
              <a16:creationId xmlns:a16="http://schemas.microsoft.com/office/drawing/2014/main" id="{00000000-0008-0000-0100-00006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54" name="Picture 12" descr=" ">
          <a:extLst>
            <a:ext uri="{FF2B5EF4-FFF2-40B4-BE49-F238E27FC236}">
              <a16:creationId xmlns:a16="http://schemas.microsoft.com/office/drawing/2014/main" id="{00000000-0008-0000-0100-00006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55" name="Picture 7" descr=" ">
          <a:extLst>
            <a:ext uri="{FF2B5EF4-FFF2-40B4-BE49-F238E27FC236}">
              <a16:creationId xmlns:a16="http://schemas.microsoft.com/office/drawing/2014/main" id="{00000000-0008-0000-0100-00006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56" name="Picture 8" descr=" ">
          <a:extLst>
            <a:ext uri="{FF2B5EF4-FFF2-40B4-BE49-F238E27FC236}">
              <a16:creationId xmlns:a16="http://schemas.microsoft.com/office/drawing/2014/main" id="{00000000-0008-0000-0100-00006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57" name="Picture 9" descr=" ">
          <a:extLst>
            <a:ext uri="{FF2B5EF4-FFF2-40B4-BE49-F238E27FC236}">
              <a16:creationId xmlns:a16="http://schemas.microsoft.com/office/drawing/2014/main" id="{00000000-0008-0000-0100-00006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58" name="Picture 10" descr=" ">
          <a:extLst>
            <a:ext uri="{FF2B5EF4-FFF2-40B4-BE49-F238E27FC236}">
              <a16:creationId xmlns:a16="http://schemas.microsoft.com/office/drawing/2014/main" id="{00000000-0008-0000-0100-00006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59" name="Picture 11" descr=" ">
          <a:extLst>
            <a:ext uri="{FF2B5EF4-FFF2-40B4-BE49-F238E27FC236}">
              <a16:creationId xmlns:a16="http://schemas.microsoft.com/office/drawing/2014/main" id="{00000000-0008-0000-0100-00006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60" name="Picture 12" descr=" ">
          <a:extLst>
            <a:ext uri="{FF2B5EF4-FFF2-40B4-BE49-F238E27FC236}">
              <a16:creationId xmlns:a16="http://schemas.microsoft.com/office/drawing/2014/main" id="{00000000-0008-0000-0100-00006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61" name="Picture 7" descr=" ">
          <a:extLst>
            <a:ext uri="{FF2B5EF4-FFF2-40B4-BE49-F238E27FC236}">
              <a16:creationId xmlns:a16="http://schemas.microsoft.com/office/drawing/2014/main" id="{00000000-0008-0000-0100-00006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62" name="Picture 8" descr=" ">
          <a:extLst>
            <a:ext uri="{FF2B5EF4-FFF2-40B4-BE49-F238E27FC236}">
              <a16:creationId xmlns:a16="http://schemas.microsoft.com/office/drawing/2014/main" id="{00000000-0008-0000-0100-00006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63" name="Picture 9" descr=" ">
          <a:extLst>
            <a:ext uri="{FF2B5EF4-FFF2-40B4-BE49-F238E27FC236}">
              <a16:creationId xmlns:a16="http://schemas.microsoft.com/office/drawing/2014/main" id="{00000000-0008-0000-0100-00006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64" name="Picture 10" descr=" ">
          <a:extLst>
            <a:ext uri="{FF2B5EF4-FFF2-40B4-BE49-F238E27FC236}">
              <a16:creationId xmlns:a16="http://schemas.microsoft.com/office/drawing/2014/main" id="{00000000-0008-0000-0100-00007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65" name="Picture 11" descr=" ">
          <a:extLst>
            <a:ext uri="{FF2B5EF4-FFF2-40B4-BE49-F238E27FC236}">
              <a16:creationId xmlns:a16="http://schemas.microsoft.com/office/drawing/2014/main" id="{00000000-0008-0000-0100-00007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66" name="Picture 12" descr=" ">
          <a:extLst>
            <a:ext uri="{FF2B5EF4-FFF2-40B4-BE49-F238E27FC236}">
              <a16:creationId xmlns:a16="http://schemas.microsoft.com/office/drawing/2014/main" id="{00000000-0008-0000-0100-00007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67" name="Picture 7" descr=" ">
          <a:extLst>
            <a:ext uri="{FF2B5EF4-FFF2-40B4-BE49-F238E27FC236}">
              <a16:creationId xmlns:a16="http://schemas.microsoft.com/office/drawing/2014/main" id="{00000000-0008-0000-0100-00007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68" name="Picture 8" descr=" ">
          <a:extLst>
            <a:ext uri="{FF2B5EF4-FFF2-40B4-BE49-F238E27FC236}">
              <a16:creationId xmlns:a16="http://schemas.microsoft.com/office/drawing/2014/main" id="{00000000-0008-0000-0100-00007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69" name="Picture 9" descr=" ">
          <a:extLst>
            <a:ext uri="{FF2B5EF4-FFF2-40B4-BE49-F238E27FC236}">
              <a16:creationId xmlns:a16="http://schemas.microsoft.com/office/drawing/2014/main" id="{00000000-0008-0000-0100-00007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70" name="Picture 10" descr=" ">
          <a:extLst>
            <a:ext uri="{FF2B5EF4-FFF2-40B4-BE49-F238E27FC236}">
              <a16:creationId xmlns:a16="http://schemas.microsoft.com/office/drawing/2014/main" id="{00000000-0008-0000-0100-00007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71" name="Picture 11" descr=" ">
          <a:extLst>
            <a:ext uri="{FF2B5EF4-FFF2-40B4-BE49-F238E27FC236}">
              <a16:creationId xmlns:a16="http://schemas.microsoft.com/office/drawing/2014/main" id="{00000000-0008-0000-0100-00007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47625</xdr:rowOff>
    </xdr:to>
    <xdr:pic>
      <xdr:nvPicPr>
        <xdr:cNvPr id="10872" name="Picture 12" descr=" ">
          <a:extLst>
            <a:ext uri="{FF2B5EF4-FFF2-40B4-BE49-F238E27FC236}">
              <a16:creationId xmlns:a16="http://schemas.microsoft.com/office/drawing/2014/main" id="{00000000-0008-0000-0100-00007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72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73" name="Picture 7" descr=" ">
          <a:extLst>
            <a:ext uri="{FF2B5EF4-FFF2-40B4-BE49-F238E27FC236}">
              <a16:creationId xmlns:a16="http://schemas.microsoft.com/office/drawing/2014/main" id="{00000000-0008-0000-0100-00007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74" name="Picture 8" descr=" ">
          <a:extLst>
            <a:ext uri="{FF2B5EF4-FFF2-40B4-BE49-F238E27FC236}">
              <a16:creationId xmlns:a16="http://schemas.microsoft.com/office/drawing/2014/main" id="{00000000-0008-0000-0100-00007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75" name="Picture 9" descr=" ">
          <a:extLst>
            <a:ext uri="{FF2B5EF4-FFF2-40B4-BE49-F238E27FC236}">
              <a16:creationId xmlns:a16="http://schemas.microsoft.com/office/drawing/2014/main" id="{00000000-0008-0000-0100-00007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76" name="Picture 10" descr=" ">
          <a:extLst>
            <a:ext uri="{FF2B5EF4-FFF2-40B4-BE49-F238E27FC236}">
              <a16:creationId xmlns:a16="http://schemas.microsoft.com/office/drawing/2014/main" id="{00000000-0008-0000-0100-00007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77" name="Picture 11" descr=" ">
          <a:extLst>
            <a:ext uri="{FF2B5EF4-FFF2-40B4-BE49-F238E27FC236}">
              <a16:creationId xmlns:a16="http://schemas.microsoft.com/office/drawing/2014/main" id="{00000000-0008-0000-0100-00007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78" name="Picture 12" descr=" ">
          <a:extLst>
            <a:ext uri="{FF2B5EF4-FFF2-40B4-BE49-F238E27FC236}">
              <a16:creationId xmlns:a16="http://schemas.microsoft.com/office/drawing/2014/main" id="{00000000-0008-0000-0100-00007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79" name="Picture 7" descr=" ">
          <a:extLst>
            <a:ext uri="{FF2B5EF4-FFF2-40B4-BE49-F238E27FC236}">
              <a16:creationId xmlns:a16="http://schemas.microsoft.com/office/drawing/2014/main" id="{00000000-0008-0000-0100-00007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80" name="Picture 8" descr=" ">
          <a:extLst>
            <a:ext uri="{FF2B5EF4-FFF2-40B4-BE49-F238E27FC236}">
              <a16:creationId xmlns:a16="http://schemas.microsoft.com/office/drawing/2014/main" id="{00000000-0008-0000-0100-00008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81" name="Picture 9" descr=" ">
          <a:extLst>
            <a:ext uri="{FF2B5EF4-FFF2-40B4-BE49-F238E27FC236}">
              <a16:creationId xmlns:a16="http://schemas.microsoft.com/office/drawing/2014/main" id="{00000000-0008-0000-0100-00008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82" name="Picture 10" descr=" ">
          <a:extLst>
            <a:ext uri="{FF2B5EF4-FFF2-40B4-BE49-F238E27FC236}">
              <a16:creationId xmlns:a16="http://schemas.microsoft.com/office/drawing/2014/main" id="{00000000-0008-0000-0100-00008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83" name="Picture 11" descr=" ">
          <a:extLst>
            <a:ext uri="{FF2B5EF4-FFF2-40B4-BE49-F238E27FC236}">
              <a16:creationId xmlns:a16="http://schemas.microsoft.com/office/drawing/2014/main" id="{00000000-0008-0000-0100-00008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84" name="Picture 12" descr=" ">
          <a:extLst>
            <a:ext uri="{FF2B5EF4-FFF2-40B4-BE49-F238E27FC236}">
              <a16:creationId xmlns:a16="http://schemas.microsoft.com/office/drawing/2014/main" id="{00000000-0008-0000-0100-00008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85" name="Picture 7" descr=" ">
          <a:extLst>
            <a:ext uri="{FF2B5EF4-FFF2-40B4-BE49-F238E27FC236}">
              <a16:creationId xmlns:a16="http://schemas.microsoft.com/office/drawing/2014/main" id="{00000000-0008-0000-0100-00008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86" name="Picture 8" descr=" ">
          <a:extLst>
            <a:ext uri="{FF2B5EF4-FFF2-40B4-BE49-F238E27FC236}">
              <a16:creationId xmlns:a16="http://schemas.microsoft.com/office/drawing/2014/main" id="{00000000-0008-0000-0100-00008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87" name="Picture 9" descr=" ">
          <a:extLst>
            <a:ext uri="{FF2B5EF4-FFF2-40B4-BE49-F238E27FC236}">
              <a16:creationId xmlns:a16="http://schemas.microsoft.com/office/drawing/2014/main" id="{00000000-0008-0000-0100-00008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88" name="Picture 10" descr=" ">
          <a:extLst>
            <a:ext uri="{FF2B5EF4-FFF2-40B4-BE49-F238E27FC236}">
              <a16:creationId xmlns:a16="http://schemas.microsoft.com/office/drawing/2014/main" id="{00000000-0008-0000-0100-00008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89" name="Picture 11" descr=" ">
          <a:extLst>
            <a:ext uri="{FF2B5EF4-FFF2-40B4-BE49-F238E27FC236}">
              <a16:creationId xmlns:a16="http://schemas.microsoft.com/office/drawing/2014/main" id="{00000000-0008-0000-0100-00008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90" name="Picture 12" descr=" ">
          <a:extLst>
            <a:ext uri="{FF2B5EF4-FFF2-40B4-BE49-F238E27FC236}">
              <a16:creationId xmlns:a16="http://schemas.microsoft.com/office/drawing/2014/main" id="{00000000-0008-0000-0100-00008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91" name="Picture 7" descr=" ">
          <a:extLst>
            <a:ext uri="{FF2B5EF4-FFF2-40B4-BE49-F238E27FC236}">
              <a16:creationId xmlns:a16="http://schemas.microsoft.com/office/drawing/2014/main" id="{00000000-0008-0000-0100-00008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92" name="Picture 8" descr=" ">
          <a:extLst>
            <a:ext uri="{FF2B5EF4-FFF2-40B4-BE49-F238E27FC236}">
              <a16:creationId xmlns:a16="http://schemas.microsoft.com/office/drawing/2014/main" id="{00000000-0008-0000-0100-00008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93" name="Picture 9" descr=" ">
          <a:extLst>
            <a:ext uri="{FF2B5EF4-FFF2-40B4-BE49-F238E27FC236}">
              <a16:creationId xmlns:a16="http://schemas.microsoft.com/office/drawing/2014/main" id="{00000000-0008-0000-0100-00008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94" name="Picture 10" descr=" ">
          <a:extLst>
            <a:ext uri="{FF2B5EF4-FFF2-40B4-BE49-F238E27FC236}">
              <a16:creationId xmlns:a16="http://schemas.microsoft.com/office/drawing/2014/main" id="{00000000-0008-0000-0100-00008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95" name="Picture 11" descr=" ">
          <a:extLst>
            <a:ext uri="{FF2B5EF4-FFF2-40B4-BE49-F238E27FC236}">
              <a16:creationId xmlns:a16="http://schemas.microsoft.com/office/drawing/2014/main" id="{00000000-0008-0000-0100-00008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96" name="Picture 12" descr=" ">
          <a:extLst>
            <a:ext uri="{FF2B5EF4-FFF2-40B4-BE49-F238E27FC236}">
              <a16:creationId xmlns:a16="http://schemas.microsoft.com/office/drawing/2014/main" id="{00000000-0008-0000-0100-00009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97" name="Picture 7" descr=" ">
          <a:extLst>
            <a:ext uri="{FF2B5EF4-FFF2-40B4-BE49-F238E27FC236}">
              <a16:creationId xmlns:a16="http://schemas.microsoft.com/office/drawing/2014/main" id="{00000000-0008-0000-0100-00009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98" name="Picture 8" descr=" ">
          <a:extLst>
            <a:ext uri="{FF2B5EF4-FFF2-40B4-BE49-F238E27FC236}">
              <a16:creationId xmlns:a16="http://schemas.microsoft.com/office/drawing/2014/main" id="{00000000-0008-0000-0100-00009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899" name="Picture 9" descr=" ">
          <a:extLst>
            <a:ext uri="{FF2B5EF4-FFF2-40B4-BE49-F238E27FC236}">
              <a16:creationId xmlns:a16="http://schemas.microsoft.com/office/drawing/2014/main" id="{00000000-0008-0000-0100-00009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900" name="Picture 10" descr=" ">
          <a:extLst>
            <a:ext uri="{FF2B5EF4-FFF2-40B4-BE49-F238E27FC236}">
              <a16:creationId xmlns:a16="http://schemas.microsoft.com/office/drawing/2014/main" id="{00000000-0008-0000-0100-00009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901" name="Picture 11" descr=" ">
          <a:extLst>
            <a:ext uri="{FF2B5EF4-FFF2-40B4-BE49-F238E27FC236}">
              <a16:creationId xmlns:a16="http://schemas.microsoft.com/office/drawing/2014/main" id="{00000000-0008-0000-0100-00009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47625</xdr:rowOff>
    </xdr:to>
    <xdr:pic>
      <xdr:nvPicPr>
        <xdr:cNvPr id="10902" name="Picture 12" descr=" ">
          <a:extLst>
            <a:ext uri="{FF2B5EF4-FFF2-40B4-BE49-F238E27FC236}">
              <a16:creationId xmlns:a16="http://schemas.microsoft.com/office/drawing/2014/main" id="{00000000-0008-0000-0100-00009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03" name="Picture 7" descr=" ">
          <a:extLst>
            <a:ext uri="{FF2B5EF4-FFF2-40B4-BE49-F238E27FC236}">
              <a16:creationId xmlns:a16="http://schemas.microsoft.com/office/drawing/2014/main" id="{00000000-0008-0000-0100-00009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04" name="Picture 8" descr=" ">
          <a:extLst>
            <a:ext uri="{FF2B5EF4-FFF2-40B4-BE49-F238E27FC236}">
              <a16:creationId xmlns:a16="http://schemas.microsoft.com/office/drawing/2014/main" id="{00000000-0008-0000-0100-00009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05" name="Picture 9" descr=" ">
          <a:extLst>
            <a:ext uri="{FF2B5EF4-FFF2-40B4-BE49-F238E27FC236}">
              <a16:creationId xmlns:a16="http://schemas.microsoft.com/office/drawing/2014/main" id="{00000000-0008-0000-0100-00009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06" name="Picture 10" descr=" ">
          <a:extLst>
            <a:ext uri="{FF2B5EF4-FFF2-40B4-BE49-F238E27FC236}">
              <a16:creationId xmlns:a16="http://schemas.microsoft.com/office/drawing/2014/main" id="{00000000-0008-0000-0100-00009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07" name="Picture 11" descr=" ">
          <a:extLst>
            <a:ext uri="{FF2B5EF4-FFF2-40B4-BE49-F238E27FC236}">
              <a16:creationId xmlns:a16="http://schemas.microsoft.com/office/drawing/2014/main" id="{00000000-0008-0000-0100-00009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08" name="Picture 12" descr=" ">
          <a:extLst>
            <a:ext uri="{FF2B5EF4-FFF2-40B4-BE49-F238E27FC236}">
              <a16:creationId xmlns:a16="http://schemas.microsoft.com/office/drawing/2014/main" id="{00000000-0008-0000-0100-00009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09" name="Picture 7" descr=" ">
          <a:extLst>
            <a:ext uri="{FF2B5EF4-FFF2-40B4-BE49-F238E27FC236}">
              <a16:creationId xmlns:a16="http://schemas.microsoft.com/office/drawing/2014/main" id="{00000000-0008-0000-0100-00009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10" name="Picture 8" descr=" ">
          <a:extLst>
            <a:ext uri="{FF2B5EF4-FFF2-40B4-BE49-F238E27FC236}">
              <a16:creationId xmlns:a16="http://schemas.microsoft.com/office/drawing/2014/main" id="{00000000-0008-0000-0100-00009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11" name="Picture 9" descr=" ">
          <a:extLst>
            <a:ext uri="{FF2B5EF4-FFF2-40B4-BE49-F238E27FC236}">
              <a16:creationId xmlns:a16="http://schemas.microsoft.com/office/drawing/2014/main" id="{00000000-0008-0000-0100-00009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12" name="Picture 10" descr=" ">
          <a:extLst>
            <a:ext uri="{FF2B5EF4-FFF2-40B4-BE49-F238E27FC236}">
              <a16:creationId xmlns:a16="http://schemas.microsoft.com/office/drawing/2014/main" id="{00000000-0008-0000-0100-0000A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13" name="Picture 11" descr=" ">
          <a:extLst>
            <a:ext uri="{FF2B5EF4-FFF2-40B4-BE49-F238E27FC236}">
              <a16:creationId xmlns:a16="http://schemas.microsoft.com/office/drawing/2014/main" id="{00000000-0008-0000-0100-0000A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14" name="Picture 12" descr=" ">
          <a:extLst>
            <a:ext uri="{FF2B5EF4-FFF2-40B4-BE49-F238E27FC236}">
              <a16:creationId xmlns:a16="http://schemas.microsoft.com/office/drawing/2014/main" id="{00000000-0008-0000-0100-0000A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15" name="Picture 7" descr=" ">
          <a:extLst>
            <a:ext uri="{FF2B5EF4-FFF2-40B4-BE49-F238E27FC236}">
              <a16:creationId xmlns:a16="http://schemas.microsoft.com/office/drawing/2014/main" id="{00000000-0008-0000-0100-0000A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16" name="Picture 8" descr=" ">
          <a:extLst>
            <a:ext uri="{FF2B5EF4-FFF2-40B4-BE49-F238E27FC236}">
              <a16:creationId xmlns:a16="http://schemas.microsoft.com/office/drawing/2014/main" id="{00000000-0008-0000-0100-0000A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17" name="Picture 9" descr=" ">
          <a:extLst>
            <a:ext uri="{FF2B5EF4-FFF2-40B4-BE49-F238E27FC236}">
              <a16:creationId xmlns:a16="http://schemas.microsoft.com/office/drawing/2014/main" id="{00000000-0008-0000-0100-0000A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18" name="Picture 10" descr=" ">
          <a:extLst>
            <a:ext uri="{FF2B5EF4-FFF2-40B4-BE49-F238E27FC236}">
              <a16:creationId xmlns:a16="http://schemas.microsoft.com/office/drawing/2014/main" id="{00000000-0008-0000-0100-0000A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19" name="Picture 11" descr=" ">
          <a:extLst>
            <a:ext uri="{FF2B5EF4-FFF2-40B4-BE49-F238E27FC236}">
              <a16:creationId xmlns:a16="http://schemas.microsoft.com/office/drawing/2014/main" id="{00000000-0008-0000-0100-0000A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20" name="Picture 12" descr=" ">
          <a:extLst>
            <a:ext uri="{FF2B5EF4-FFF2-40B4-BE49-F238E27FC236}">
              <a16:creationId xmlns:a16="http://schemas.microsoft.com/office/drawing/2014/main" id="{00000000-0008-0000-0100-0000A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21" name="Picture 7" descr=" ">
          <a:extLst>
            <a:ext uri="{FF2B5EF4-FFF2-40B4-BE49-F238E27FC236}">
              <a16:creationId xmlns:a16="http://schemas.microsoft.com/office/drawing/2014/main" id="{00000000-0008-0000-0100-0000A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22" name="Picture 8" descr=" ">
          <a:extLst>
            <a:ext uri="{FF2B5EF4-FFF2-40B4-BE49-F238E27FC236}">
              <a16:creationId xmlns:a16="http://schemas.microsoft.com/office/drawing/2014/main" id="{00000000-0008-0000-0100-0000A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23" name="Picture 9" descr=" ">
          <a:extLst>
            <a:ext uri="{FF2B5EF4-FFF2-40B4-BE49-F238E27FC236}">
              <a16:creationId xmlns:a16="http://schemas.microsoft.com/office/drawing/2014/main" id="{00000000-0008-0000-0100-0000A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24" name="Picture 10" descr=" ">
          <a:extLst>
            <a:ext uri="{FF2B5EF4-FFF2-40B4-BE49-F238E27FC236}">
              <a16:creationId xmlns:a16="http://schemas.microsoft.com/office/drawing/2014/main" id="{00000000-0008-0000-0100-0000A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25" name="Picture 11" descr=" ">
          <a:extLst>
            <a:ext uri="{FF2B5EF4-FFF2-40B4-BE49-F238E27FC236}">
              <a16:creationId xmlns:a16="http://schemas.microsoft.com/office/drawing/2014/main" id="{00000000-0008-0000-0100-0000A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26" name="Picture 12" descr=" ">
          <a:extLst>
            <a:ext uri="{FF2B5EF4-FFF2-40B4-BE49-F238E27FC236}">
              <a16:creationId xmlns:a16="http://schemas.microsoft.com/office/drawing/2014/main" id="{00000000-0008-0000-0100-0000A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27" name="Picture 7" descr=" ">
          <a:extLst>
            <a:ext uri="{FF2B5EF4-FFF2-40B4-BE49-F238E27FC236}">
              <a16:creationId xmlns:a16="http://schemas.microsoft.com/office/drawing/2014/main" id="{00000000-0008-0000-0100-0000A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28" name="Picture 8" descr=" ">
          <a:extLst>
            <a:ext uri="{FF2B5EF4-FFF2-40B4-BE49-F238E27FC236}">
              <a16:creationId xmlns:a16="http://schemas.microsoft.com/office/drawing/2014/main" id="{00000000-0008-0000-0100-0000B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29" name="Picture 9" descr=" ">
          <a:extLst>
            <a:ext uri="{FF2B5EF4-FFF2-40B4-BE49-F238E27FC236}">
              <a16:creationId xmlns:a16="http://schemas.microsoft.com/office/drawing/2014/main" id="{00000000-0008-0000-0100-0000B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30" name="Picture 10" descr=" ">
          <a:extLst>
            <a:ext uri="{FF2B5EF4-FFF2-40B4-BE49-F238E27FC236}">
              <a16:creationId xmlns:a16="http://schemas.microsoft.com/office/drawing/2014/main" id="{00000000-0008-0000-0100-0000B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31" name="Picture 11" descr=" ">
          <a:extLst>
            <a:ext uri="{FF2B5EF4-FFF2-40B4-BE49-F238E27FC236}">
              <a16:creationId xmlns:a16="http://schemas.microsoft.com/office/drawing/2014/main" id="{00000000-0008-0000-0100-0000B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32" name="Picture 12" descr=" ">
          <a:extLst>
            <a:ext uri="{FF2B5EF4-FFF2-40B4-BE49-F238E27FC236}">
              <a16:creationId xmlns:a16="http://schemas.microsoft.com/office/drawing/2014/main" id="{00000000-0008-0000-0100-0000B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33" name="Picture 7" descr=" ">
          <a:extLst>
            <a:ext uri="{FF2B5EF4-FFF2-40B4-BE49-F238E27FC236}">
              <a16:creationId xmlns:a16="http://schemas.microsoft.com/office/drawing/2014/main" id="{00000000-0008-0000-0100-0000B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34" name="Picture 8" descr=" ">
          <a:extLst>
            <a:ext uri="{FF2B5EF4-FFF2-40B4-BE49-F238E27FC236}">
              <a16:creationId xmlns:a16="http://schemas.microsoft.com/office/drawing/2014/main" id="{00000000-0008-0000-0100-0000B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35" name="Picture 9" descr=" ">
          <a:extLst>
            <a:ext uri="{FF2B5EF4-FFF2-40B4-BE49-F238E27FC236}">
              <a16:creationId xmlns:a16="http://schemas.microsoft.com/office/drawing/2014/main" id="{00000000-0008-0000-0100-0000B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36" name="Picture 10" descr=" ">
          <a:extLst>
            <a:ext uri="{FF2B5EF4-FFF2-40B4-BE49-F238E27FC236}">
              <a16:creationId xmlns:a16="http://schemas.microsoft.com/office/drawing/2014/main" id="{00000000-0008-0000-0100-0000B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37" name="Picture 11" descr=" ">
          <a:extLst>
            <a:ext uri="{FF2B5EF4-FFF2-40B4-BE49-F238E27FC236}">
              <a16:creationId xmlns:a16="http://schemas.microsoft.com/office/drawing/2014/main" id="{00000000-0008-0000-0100-0000B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47625</xdr:rowOff>
    </xdr:to>
    <xdr:pic>
      <xdr:nvPicPr>
        <xdr:cNvPr id="10938" name="Picture 12" descr=" ">
          <a:extLst>
            <a:ext uri="{FF2B5EF4-FFF2-40B4-BE49-F238E27FC236}">
              <a16:creationId xmlns:a16="http://schemas.microsoft.com/office/drawing/2014/main" id="{00000000-0008-0000-0100-0000B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39" name="Picture 7" descr=" ">
          <a:extLst>
            <a:ext uri="{FF2B5EF4-FFF2-40B4-BE49-F238E27FC236}">
              <a16:creationId xmlns:a16="http://schemas.microsoft.com/office/drawing/2014/main" id="{00000000-0008-0000-0100-0000B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40" name="Picture 8" descr=" ">
          <a:extLst>
            <a:ext uri="{FF2B5EF4-FFF2-40B4-BE49-F238E27FC236}">
              <a16:creationId xmlns:a16="http://schemas.microsoft.com/office/drawing/2014/main" id="{00000000-0008-0000-0100-0000B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41" name="Picture 9" descr=" ">
          <a:extLst>
            <a:ext uri="{FF2B5EF4-FFF2-40B4-BE49-F238E27FC236}">
              <a16:creationId xmlns:a16="http://schemas.microsoft.com/office/drawing/2014/main" id="{00000000-0008-0000-0100-0000B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42" name="Picture 10" descr=" ">
          <a:extLst>
            <a:ext uri="{FF2B5EF4-FFF2-40B4-BE49-F238E27FC236}">
              <a16:creationId xmlns:a16="http://schemas.microsoft.com/office/drawing/2014/main" id="{00000000-0008-0000-0100-0000B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43" name="Picture 11" descr=" ">
          <a:extLst>
            <a:ext uri="{FF2B5EF4-FFF2-40B4-BE49-F238E27FC236}">
              <a16:creationId xmlns:a16="http://schemas.microsoft.com/office/drawing/2014/main" id="{00000000-0008-0000-0100-0000B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44" name="Picture 12" descr=" ">
          <a:extLst>
            <a:ext uri="{FF2B5EF4-FFF2-40B4-BE49-F238E27FC236}">
              <a16:creationId xmlns:a16="http://schemas.microsoft.com/office/drawing/2014/main" id="{00000000-0008-0000-0100-0000C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45" name="Picture 7" descr=" ">
          <a:extLst>
            <a:ext uri="{FF2B5EF4-FFF2-40B4-BE49-F238E27FC236}">
              <a16:creationId xmlns:a16="http://schemas.microsoft.com/office/drawing/2014/main" id="{00000000-0008-0000-0100-0000C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46" name="Picture 8" descr=" ">
          <a:extLst>
            <a:ext uri="{FF2B5EF4-FFF2-40B4-BE49-F238E27FC236}">
              <a16:creationId xmlns:a16="http://schemas.microsoft.com/office/drawing/2014/main" id="{00000000-0008-0000-0100-0000C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47" name="Picture 9" descr=" ">
          <a:extLst>
            <a:ext uri="{FF2B5EF4-FFF2-40B4-BE49-F238E27FC236}">
              <a16:creationId xmlns:a16="http://schemas.microsoft.com/office/drawing/2014/main" id="{00000000-0008-0000-0100-0000C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48" name="Picture 10" descr=" ">
          <a:extLst>
            <a:ext uri="{FF2B5EF4-FFF2-40B4-BE49-F238E27FC236}">
              <a16:creationId xmlns:a16="http://schemas.microsoft.com/office/drawing/2014/main" id="{00000000-0008-0000-0100-0000C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49" name="Picture 11" descr=" ">
          <a:extLst>
            <a:ext uri="{FF2B5EF4-FFF2-40B4-BE49-F238E27FC236}">
              <a16:creationId xmlns:a16="http://schemas.microsoft.com/office/drawing/2014/main" id="{00000000-0008-0000-0100-0000C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50" name="Picture 12" descr=" ">
          <a:extLst>
            <a:ext uri="{FF2B5EF4-FFF2-40B4-BE49-F238E27FC236}">
              <a16:creationId xmlns:a16="http://schemas.microsoft.com/office/drawing/2014/main" id="{00000000-0008-0000-0100-0000C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51" name="Picture 7" descr=" ">
          <a:extLst>
            <a:ext uri="{FF2B5EF4-FFF2-40B4-BE49-F238E27FC236}">
              <a16:creationId xmlns:a16="http://schemas.microsoft.com/office/drawing/2014/main" id="{00000000-0008-0000-0100-0000C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52" name="Picture 8" descr=" ">
          <a:extLst>
            <a:ext uri="{FF2B5EF4-FFF2-40B4-BE49-F238E27FC236}">
              <a16:creationId xmlns:a16="http://schemas.microsoft.com/office/drawing/2014/main" id="{00000000-0008-0000-0100-0000C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53" name="Picture 9" descr=" ">
          <a:extLst>
            <a:ext uri="{FF2B5EF4-FFF2-40B4-BE49-F238E27FC236}">
              <a16:creationId xmlns:a16="http://schemas.microsoft.com/office/drawing/2014/main" id="{00000000-0008-0000-0100-0000C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54" name="Picture 10" descr=" ">
          <a:extLst>
            <a:ext uri="{FF2B5EF4-FFF2-40B4-BE49-F238E27FC236}">
              <a16:creationId xmlns:a16="http://schemas.microsoft.com/office/drawing/2014/main" id="{00000000-0008-0000-0100-0000C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55" name="Picture 11" descr=" ">
          <a:extLst>
            <a:ext uri="{FF2B5EF4-FFF2-40B4-BE49-F238E27FC236}">
              <a16:creationId xmlns:a16="http://schemas.microsoft.com/office/drawing/2014/main" id="{00000000-0008-0000-0100-0000C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56" name="Picture 12" descr=" ">
          <a:extLst>
            <a:ext uri="{FF2B5EF4-FFF2-40B4-BE49-F238E27FC236}">
              <a16:creationId xmlns:a16="http://schemas.microsoft.com/office/drawing/2014/main" id="{00000000-0008-0000-0100-0000C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57" name="Picture 7" descr=" ">
          <a:extLst>
            <a:ext uri="{FF2B5EF4-FFF2-40B4-BE49-F238E27FC236}">
              <a16:creationId xmlns:a16="http://schemas.microsoft.com/office/drawing/2014/main" id="{00000000-0008-0000-0100-0000C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58" name="Picture 8" descr=" ">
          <a:extLst>
            <a:ext uri="{FF2B5EF4-FFF2-40B4-BE49-F238E27FC236}">
              <a16:creationId xmlns:a16="http://schemas.microsoft.com/office/drawing/2014/main" id="{00000000-0008-0000-0100-0000C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59" name="Picture 9" descr=" ">
          <a:extLst>
            <a:ext uri="{FF2B5EF4-FFF2-40B4-BE49-F238E27FC236}">
              <a16:creationId xmlns:a16="http://schemas.microsoft.com/office/drawing/2014/main" id="{00000000-0008-0000-0100-0000C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60" name="Picture 10" descr=" ">
          <a:extLst>
            <a:ext uri="{FF2B5EF4-FFF2-40B4-BE49-F238E27FC236}">
              <a16:creationId xmlns:a16="http://schemas.microsoft.com/office/drawing/2014/main" id="{00000000-0008-0000-0100-0000D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61" name="Picture 11" descr=" ">
          <a:extLst>
            <a:ext uri="{FF2B5EF4-FFF2-40B4-BE49-F238E27FC236}">
              <a16:creationId xmlns:a16="http://schemas.microsoft.com/office/drawing/2014/main" id="{00000000-0008-0000-0100-0000D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62" name="Picture 12" descr=" ">
          <a:extLst>
            <a:ext uri="{FF2B5EF4-FFF2-40B4-BE49-F238E27FC236}">
              <a16:creationId xmlns:a16="http://schemas.microsoft.com/office/drawing/2014/main" id="{00000000-0008-0000-0100-0000D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63" name="Picture 7" descr=" ">
          <a:extLst>
            <a:ext uri="{FF2B5EF4-FFF2-40B4-BE49-F238E27FC236}">
              <a16:creationId xmlns:a16="http://schemas.microsoft.com/office/drawing/2014/main" id="{00000000-0008-0000-0100-0000D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64" name="Picture 8" descr=" ">
          <a:extLst>
            <a:ext uri="{FF2B5EF4-FFF2-40B4-BE49-F238E27FC236}">
              <a16:creationId xmlns:a16="http://schemas.microsoft.com/office/drawing/2014/main" id="{00000000-0008-0000-0100-0000D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65" name="Picture 9" descr=" ">
          <a:extLst>
            <a:ext uri="{FF2B5EF4-FFF2-40B4-BE49-F238E27FC236}">
              <a16:creationId xmlns:a16="http://schemas.microsoft.com/office/drawing/2014/main" id="{00000000-0008-0000-0100-0000D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66" name="Picture 10" descr=" ">
          <a:extLst>
            <a:ext uri="{FF2B5EF4-FFF2-40B4-BE49-F238E27FC236}">
              <a16:creationId xmlns:a16="http://schemas.microsoft.com/office/drawing/2014/main" id="{00000000-0008-0000-0100-0000D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67" name="Picture 11" descr=" ">
          <a:extLst>
            <a:ext uri="{FF2B5EF4-FFF2-40B4-BE49-F238E27FC236}">
              <a16:creationId xmlns:a16="http://schemas.microsoft.com/office/drawing/2014/main" id="{00000000-0008-0000-0100-0000D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68" name="Picture 12" descr=" ">
          <a:extLst>
            <a:ext uri="{FF2B5EF4-FFF2-40B4-BE49-F238E27FC236}">
              <a16:creationId xmlns:a16="http://schemas.microsoft.com/office/drawing/2014/main" id="{00000000-0008-0000-0100-0000D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69" name="Picture 7" descr=" ">
          <a:extLst>
            <a:ext uri="{FF2B5EF4-FFF2-40B4-BE49-F238E27FC236}">
              <a16:creationId xmlns:a16="http://schemas.microsoft.com/office/drawing/2014/main" id="{00000000-0008-0000-0100-0000D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70" name="Picture 8" descr=" ">
          <a:extLst>
            <a:ext uri="{FF2B5EF4-FFF2-40B4-BE49-F238E27FC236}">
              <a16:creationId xmlns:a16="http://schemas.microsoft.com/office/drawing/2014/main" id="{00000000-0008-0000-0100-0000D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71" name="Picture 9" descr=" ">
          <a:extLst>
            <a:ext uri="{FF2B5EF4-FFF2-40B4-BE49-F238E27FC236}">
              <a16:creationId xmlns:a16="http://schemas.microsoft.com/office/drawing/2014/main" id="{00000000-0008-0000-0100-0000D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72" name="Picture 10" descr=" ">
          <a:extLst>
            <a:ext uri="{FF2B5EF4-FFF2-40B4-BE49-F238E27FC236}">
              <a16:creationId xmlns:a16="http://schemas.microsoft.com/office/drawing/2014/main" id="{00000000-0008-0000-0100-0000D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73" name="Picture 11" descr=" ">
          <a:extLst>
            <a:ext uri="{FF2B5EF4-FFF2-40B4-BE49-F238E27FC236}">
              <a16:creationId xmlns:a16="http://schemas.microsoft.com/office/drawing/2014/main" id="{00000000-0008-0000-0100-0000D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74" name="Picture 12" descr=" ">
          <a:extLst>
            <a:ext uri="{FF2B5EF4-FFF2-40B4-BE49-F238E27FC236}">
              <a16:creationId xmlns:a16="http://schemas.microsoft.com/office/drawing/2014/main" id="{00000000-0008-0000-0100-0000D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75" name="Picture 7" descr=" ">
          <a:extLst>
            <a:ext uri="{FF2B5EF4-FFF2-40B4-BE49-F238E27FC236}">
              <a16:creationId xmlns:a16="http://schemas.microsoft.com/office/drawing/2014/main" id="{00000000-0008-0000-0100-0000D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76" name="Picture 8" descr=" ">
          <a:extLst>
            <a:ext uri="{FF2B5EF4-FFF2-40B4-BE49-F238E27FC236}">
              <a16:creationId xmlns:a16="http://schemas.microsoft.com/office/drawing/2014/main" id="{00000000-0008-0000-0100-0000E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77" name="Picture 9" descr=" ">
          <a:extLst>
            <a:ext uri="{FF2B5EF4-FFF2-40B4-BE49-F238E27FC236}">
              <a16:creationId xmlns:a16="http://schemas.microsoft.com/office/drawing/2014/main" id="{00000000-0008-0000-0100-0000E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78" name="Picture 10" descr=" ">
          <a:extLst>
            <a:ext uri="{FF2B5EF4-FFF2-40B4-BE49-F238E27FC236}">
              <a16:creationId xmlns:a16="http://schemas.microsoft.com/office/drawing/2014/main" id="{00000000-0008-0000-0100-0000E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79" name="Picture 11" descr=" ">
          <a:extLst>
            <a:ext uri="{FF2B5EF4-FFF2-40B4-BE49-F238E27FC236}">
              <a16:creationId xmlns:a16="http://schemas.microsoft.com/office/drawing/2014/main" id="{00000000-0008-0000-0100-0000E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47625</xdr:rowOff>
    </xdr:to>
    <xdr:pic>
      <xdr:nvPicPr>
        <xdr:cNvPr id="10980" name="Picture 12" descr=" ">
          <a:extLst>
            <a:ext uri="{FF2B5EF4-FFF2-40B4-BE49-F238E27FC236}">
              <a16:creationId xmlns:a16="http://schemas.microsoft.com/office/drawing/2014/main" id="{00000000-0008-0000-0100-0000E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0981" name="Picture 7" descr=" ">
          <a:extLst>
            <a:ext uri="{FF2B5EF4-FFF2-40B4-BE49-F238E27FC236}">
              <a16:creationId xmlns:a16="http://schemas.microsoft.com/office/drawing/2014/main" id="{00000000-0008-0000-0100-0000E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0982" name="Picture 8" descr=" ">
          <a:extLst>
            <a:ext uri="{FF2B5EF4-FFF2-40B4-BE49-F238E27FC236}">
              <a16:creationId xmlns:a16="http://schemas.microsoft.com/office/drawing/2014/main" id="{00000000-0008-0000-0100-0000E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0983" name="Picture 9" descr=" ">
          <a:extLst>
            <a:ext uri="{FF2B5EF4-FFF2-40B4-BE49-F238E27FC236}">
              <a16:creationId xmlns:a16="http://schemas.microsoft.com/office/drawing/2014/main" id="{00000000-0008-0000-0100-0000E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0984" name="Picture 10" descr=" ">
          <a:extLst>
            <a:ext uri="{FF2B5EF4-FFF2-40B4-BE49-F238E27FC236}">
              <a16:creationId xmlns:a16="http://schemas.microsoft.com/office/drawing/2014/main" id="{00000000-0008-0000-0100-0000E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0985" name="Picture 11" descr=" ">
          <a:extLst>
            <a:ext uri="{FF2B5EF4-FFF2-40B4-BE49-F238E27FC236}">
              <a16:creationId xmlns:a16="http://schemas.microsoft.com/office/drawing/2014/main" id="{00000000-0008-0000-0100-0000E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0986" name="Picture 12" descr=" ">
          <a:extLst>
            <a:ext uri="{FF2B5EF4-FFF2-40B4-BE49-F238E27FC236}">
              <a16:creationId xmlns:a16="http://schemas.microsoft.com/office/drawing/2014/main" id="{00000000-0008-0000-0100-0000E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0987" name="Picture 7" descr=" ">
          <a:extLst>
            <a:ext uri="{FF2B5EF4-FFF2-40B4-BE49-F238E27FC236}">
              <a16:creationId xmlns:a16="http://schemas.microsoft.com/office/drawing/2014/main" id="{00000000-0008-0000-0100-0000E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0988" name="Picture 8" descr=" ">
          <a:extLst>
            <a:ext uri="{FF2B5EF4-FFF2-40B4-BE49-F238E27FC236}">
              <a16:creationId xmlns:a16="http://schemas.microsoft.com/office/drawing/2014/main" id="{00000000-0008-0000-0100-0000E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0989" name="Picture 9" descr=" ">
          <a:extLst>
            <a:ext uri="{FF2B5EF4-FFF2-40B4-BE49-F238E27FC236}">
              <a16:creationId xmlns:a16="http://schemas.microsoft.com/office/drawing/2014/main" id="{00000000-0008-0000-0100-0000E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0990" name="Picture 10" descr=" ">
          <a:extLst>
            <a:ext uri="{FF2B5EF4-FFF2-40B4-BE49-F238E27FC236}">
              <a16:creationId xmlns:a16="http://schemas.microsoft.com/office/drawing/2014/main" id="{00000000-0008-0000-0100-0000E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0991" name="Picture 11" descr=" ">
          <a:extLst>
            <a:ext uri="{FF2B5EF4-FFF2-40B4-BE49-F238E27FC236}">
              <a16:creationId xmlns:a16="http://schemas.microsoft.com/office/drawing/2014/main" id="{00000000-0008-0000-0100-0000E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0992" name="Picture 12" descr=" ">
          <a:extLst>
            <a:ext uri="{FF2B5EF4-FFF2-40B4-BE49-F238E27FC236}">
              <a16:creationId xmlns:a16="http://schemas.microsoft.com/office/drawing/2014/main" id="{00000000-0008-0000-0100-0000F0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0993" name="Picture 7" descr=" ">
          <a:extLst>
            <a:ext uri="{FF2B5EF4-FFF2-40B4-BE49-F238E27FC236}">
              <a16:creationId xmlns:a16="http://schemas.microsoft.com/office/drawing/2014/main" id="{00000000-0008-0000-0100-0000F1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0994" name="Picture 8" descr=" ">
          <a:extLst>
            <a:ext uri="{FF2B5EF4-FFF2-40B4-BE49-F238E27FC236}">
              <a16:creationId xmlns:a16="http://schemas.microsoft.com/office/drawing/2014/main" id="{00000000-0008-0000-0100-0000F2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0995" name="Picture 9" descr=" ">
          <a:extLst>
            <a:ext uri="{FF2B5EF4-FFF2-40B4-BE49-F238E27FC236}">
              <a16:creationId xmlns:a16="http://schemas.microsoft.com/office/drawing/2014/main" id="{00000000-0008-0000-0100-0000F3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0996" name="Picture 10" descr=" ">
          <a:extLst>
            <a:ext uri="{FF2B5EF4-FFF2-40B4-BE49-F238E27FC236}">
              <a16:creationId xmlns:a16="http://schemas.microsoft.com/office/drawing/2014/main" id="{00000000-0008-0000-0100-0000F4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0997" name="Picture 11" descr=" ">
          <a:extLst>
            <a:ext uri="{FF2B5EF4-FFF2-40B4-BE49-F238E27FC236}">
              <a16:creationId xmlns:a16="http://schemas.microsoft.com/office/drawing/2014/main" id="{00000000-0008-0000-0100-0000F5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0998" name="Picture 12" descr=" ">
          <a:extLst>
            <a:ext uri="{FF2B5EF4-FFF2-40B4-BE49-F238E27FC236}">
              <a16:creationId xmlns:a16="http://schemas.microsoft.com/office/drawing/2014/main" id="{00000000-0008-0000-0100-0000F6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0999" name="Picture 7" descr=" ">
          <a:extLst>
            <a:ext uri="{FF2B5EF4-FFF2-40B4-BE49-F238E27FC236}">
              <a16:creationId xmlns:a16="http://schemas.microsoft.com/office/drawing/2014/main" id="{00000000-0008-0000-0100-0000F7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00" name="Picture 8" descr=" ">
          <a:extLst>
            <a:ext uri="{FF2B5EF4-FFF2-40B4-BE49-F238E27FC236}">
              <a16:creationId xmlns:a16="http://schemas.microsoft.com/office/drawing/2014/main" id="{00000000-0008-0000-0100-0000F8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01" name="Picture 9" descr=" ">
          <a:extLst>
            <a:ext uri="{FF2B5EF4-FFF2-40B4-BE49-F238E27FC236}">
              <a16:creationId xmlns:a16="http://schemas.microsoft.com/office/drawing/2014/main" id="{00000000-0008-0000-0100-0000F9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02" name="Picture 10" descr=" ">
          <a:extLst>
            <a:ext uri="{FF2B5EF4-FFF2-40B4-BE49-F238E27FC236}">
              <a16:creationId xmlns:a16="http://schemas.microsoft.com/office/drawing/2014/main" id="{00000000-0008-0000-0100-0000FA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03" name="Picture 11" descr=" ">
          <a:extLst>
            <a:ext uri="{FF2B5EF4-FFF2-40B4-BE49-F238E27FC236}">
              <a16:creationId xmlns:a16="http://schemas.microsoft.com/office/drawing/2014/main" id="{00000000-0008-0000-0100-0000FB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04" name="Picture 12" descr=" ">
          <a:extLst>
            <a:ext uri="{FF2B5EF4-FFF2-40B4-BE49-F238E27FC236}">
              <a16:creationId xmlns:a16="http://schemas.microsoft.com/office/drawing/2014/main" id="{00000000-0008-0000-0100-0000FC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05" name="Picture 7" descr=" ">
          <a:extLst>
            <a:ext uri="{FF2B5EF4-FFF2-40B4-BE49-F238E27FC236}">
              <a16:creationId xmlns:a16="http://schemas.microsoft.com/office/drawing/2014/main" id="{00000000-0008-0000-0100-0000FD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06" name="Picture 8" descr=" ">
          <a:extLst>
            <a:ext uri="{FF2B5EF4-FFF2-40B4-BE49-F238E27FC236}">
              <a16:creationId xmlns:a16="http://schemas.microsoft.com/office/drawing/2014/main" id="{00000000-0008-0000-0100-0000FE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07" name="Picture 9" descr=" ">
          <a:extLst>
            <a:ext uri="{FF2B5EF4-FFF2-40B4-BE49-F238E27FC236}">
              <a16:creationId xmlns:a16="http://schemas.microsoft.com/office/drawing/2014/main" id="{00000000-0008-0000-0100-0000FF2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08" name="Picture 10" descr=" ">
          <a:extLst>
            <a:ext uri="{FF2B5EF4-FFF2-40B4-BE49-F238E27FC236}">
              <a16:creationId xmlns:a16="http://schemas.microsoft.com/office/drawing/2014/main" id="{00000000-0008-0000-0100-00000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09" name="Picture 11" descr=" ">
          <a:extLst>
            <a:ext uri="{FF2B5EF4-FFF2-40B4-BE49-F238E27FC236}">
              <a16:creationId xmlns:a16="http://schemas.microsoft.com/office/drawing/2014/main" id="{00000000-0008-0000-0100-00000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10" name="Picture 12" descr=" ">
          <a:extLst>
            <a:ext uri="{FF2B5EF4-FFF2-40B4-BE49-F238E27FC236}">
              <a16:creationId xmlns:a16="http://schemas.microsoft.com/office/drawing/2014/main" id="{00000000-0008-0000-0100-00000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11" name="Picture 7" descr=" ">
          <a:extLst>
            <a:ext uri="{FF2B5EF4-FFF2-40B4-BE49-F238E27FC236}">
              <a16:creationId xmlns:a16="http://schemas.microsoft.com/office/drawing/2014/main" id="{00000000-0008-0000-0100-00000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12" name="Picture 8" descr=" ">
          <a:extLst>
            <a:ext uri="{FF2B5EF4-FFF2-40B4-BE49-F238E27FC236}">
              <a16:creationId xmlns:a16="http://schemas.microsoft.com/office/drawing/2014/main" id="{00000000-0008-0000-0100-00000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13" name="Picture 9" descr=" ">
          <a:extLst>
            <a:ext uri="{FF2B5EF4-FFF2-40B4-BE49-F238E27FC236}">
              <a16:creationId xmlns:a16="http://schemas.microsoft.com/office/drawing/2014/main" id="{00000000-0008-0000-0100-00000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14" name="Picture 10" descr=" ">
          <a:extLst>
            <a:ext uri="{FF2B5EF4-FFF2-40B4-BE49-F238E27FC236}">
              <a16:creationId xmlns:a16="http://schemas.microsoft.com/office/drawing/2014/main" id="{00000000-0008-0000-0100-00000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15" name="Picture 11" descr=" ">
          <a:extLst>
            <a:ext uri="{FF2B5EF4-FFF2-40B4-BE49-F238E27FC236}">
              <a16:creationId xmlns:a16="http://schemas.microsoft.com/office/drawing/2014/main" id="{00000000-0008-0000-0100-00000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16" name="Picture 12" descr=" ">
          <a:extLst>
            <a:ext uri="{FF2B5EF4-FFF2-40B4-BE49-F238E27FC236}">
              <a16:creationId xmlns:a16="http://schemas.microsoft.com/office/drawing/2014/main" id="{00000000-0008-0000-0100-00000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17" name="Picture 7" descr=" ">
          <a:extLst>
            <a:ext uri="{FF2B5EF4-FFF2-40B4-BE49-F238E27FC236}">
              <a16:creationId xmlns:a16="http://schemas.microsoft.com/office/drawing/2014/main" id="{00000000-0008-0000-0100-00000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18" name="Picture 8" descr=" ">
          <a:extLst>
            <a:ext uri="{FF2B5EF4-FFF2-40B4-BE49-F238E27FC236}">
              <a16:creationId xmlns:a16="http://schemas.microsoft.com/office/drawing/2014/main" id="{00000000-0008-0000-0100-00000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19" name="Picture 9" descr=" ">
          <a:extLst>
            <a:ext uri="{FF2B5EF4-FFF2-40B4-BE49-F238E27FC236}">
              <a16:creationId xmlns:a16="http://schemas.microsoft.com/office/drawing/2014/main" id="{00000000-0008-0000-0100-00000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20" name="Picture 10" descr=" ">
          <a:extLst>
            <a:ext uri="{FF2B5EF4-FFF2-40B4-BE49-F238E27FC236}">
              <a16:creationId xmlns:a16="http://schemas.microsoft.com/office/drawing/2014/main" id="{00000000-0008-0000-0100-00000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21" name="Picture 11" descr=" ">
          <a:extLst>
            <a:ext uri="{FF2B5EF4-FFF2-40B4-BE49-F238E27FC236}">
              <a16:creationId xmlns:a16="http://schemas.microsoft.com/office/drawing/2014/main" id="{00000000-0008-0000-0100-00000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22" name="Picture 12" descr=" ">
          <a:extLst>
            <a:ext uri="{FF2B5EF4-FFF2-40B4-BE49-F238E27FC236}">
              <a16:creationId xmlns:a16="http://schemas.microsoft.com/office/drawing/2014/main" id="{00000000-0008-0000-0100-00000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23" name="Picture 7" descr=" ">
          <a:extLst>
            <a:ext uri="{FF2B5EF4-FFF2-40B4-BE49-F238E27FC236}">
              <a16:creationId xmlns:a16="http://schemas.microsoft.com/office/drawing/2014/main" id="{00000000-0008-0000-0100-00000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24" name="Picture 8" descr=" ">
          <a:extLst>
            <a:ext uri="{FF2B5EF4-FFF2-40B4-BE49-F238E27FC236}">
              <a16:creationId xmlns:a16="http://schemas.microsoft.com/office/drawing/2014/main" id="{00000000-0008-0000-0100-00001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25" name="Picture 9" descr=" ">
          <a:extLst>
            <a:ext uri="{FF2B5EF4-FFF2-40B4-BE49-F238E27FC236}">
              <a16:creationId xmlns:a16="http://schemas.microsoft.com/office/drawing/2014/main" id="{00000000-0008-0000-0100-00001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26" name="Picture 10" descr=" ">
          <a:extLst>
            <a:ext uri="{FF2B5EF4-FFF2-40B4-BE49-F238E27FC236}">
              <a16:creationId xmlns:a16="http://schemas.microsoft.com/office/drawing/2014/main" id="{00000000-0008-0000-0100-00001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27" name="Picture 11" descr=" ">
          <a:extLst>
            <a:ext uri="{FF2B5EF4-FFF2-40B4-BE49-F238E27FC236}">
              <a16:creationId xmlns:a16="http://schemas.microsoft.com/office/drawing/2014/main" id="{00000000-0008-0000-0100-00001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47625</xdr:rowOff>
    </xdr:to>
    <xdr:pic>
      <xdr:nvPicPr>
        <xdr:cNvPr id="11028" name="Picture 12" descr=" ">
          <a:extLst>
            <a:ext uri="{FF2B5EF4-FFF2-40B4-BE49-F238E27FC236}">
              <a16:creationId xmlns:a16="http://schemas.microsoft.com/office/drawing/2014/main" id="{00000000-0008-0000-0100-00001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68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29" name="Picture 7" descr=" ">
          <a:extLst>
            <a:ext uri="{FF2B5EF4-FFF2-40B4-BE49-F238E27FC236}">
              <a16:creationId xmlns:a16="http://schemas.microsoft.com/office/drawing/2014/main" id="{00000000-0008-0000-0100-00001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30" name="Picture 8" descr=" ">
          <a:extLst>
            <a:ext uri="{FF2B5EF4-FFF2-40B4-BE49-F238E27FC236}">
              <a16:creationId xmlns:a16="http://schemas.microsoft.com/office/drawing/2014/main" id="{00000000-0008-0000-0100-00001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31" name="Picture 9" descr=" ">
          <a:extLst>
            <a:ext uri="{FF2B5EF4-FFF2-40B4-BE49-F238E27FC236}">
              <a16:creationId xmlns:a16="http://schemas.microsoft.com/office/drawing/2014/main" id="{00000000-0008-0000-0100-00001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32" name="Picture 10" descr=" ">
          <a:extLst>
            <a:ext uri="{FF2B5EF4-FFF2-40B4-BE49-F238E27FC236}">
              <a16:creationId xmlns:a16="http://schemas.microsoft.com/office/drawing/2014/main" id="{00000000-0008-0000-0100-00001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33" name="Picture 11" descr=" ">
          <a:extLst>
            <a:ext uri="{FF2B5EF4-FFF2-40B4-BE49-F238E27FC236}">
              <a16:creationId xmlns:a16="http://schemas.microsoft.com/office/drawing/2014/main" id="{00000000-0008-0000-0100-00001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34" name="Picture 12" descr=" ">
          <a:extLst>
            <a:ext uri="{FF2B5EF4-FFF2-40B4-BE49-F238E27FC236}">
              <a16:creationId xmlns:a16="http://schemas.microsoft.com/office/drawing/2014/main" id="{00000000-0008-0000-0100-00001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35" name="Picture 7" descr=" ">
          <a:extLst>
            <a:ext uri="{FF2B5EF4-FFF2-40B4-BE49-F238E27FC236}">
              <a16:creationId xmlns:a16="http://schemas.microsoft.com/office/drawing/2014/main" id="{00000000-0008-0000-0100-00001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36" name="Picture 8" descr=" ">
          <a:extLst>
            <a:ext uri="{FF2B5EF4-FFF2-40B4-BE49-F238E27FC236}">
              <a16:creationId xmlns:a16="http://schemas.microsoft.com/office/drawing/2014/main" id="{00000000-0008-0000-0100-00001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37" name="Picture 9" descr=" ">
          <a:extLst>
            <a:ext uri="{FF2B5EF4-FFF2-40B4-BE49-F238E27FC236}">
              <a16:creationId xmlns:a16="http://schemas.microsoft.com/office/drawing/2014/main" id="{00000000-0008-0000-0100-00001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38" name="Picture 10" descr=" ">
          <a:extLst>
            <a:ext uri="{FF2B5EF4-FFF2-40B4-BE49-F238E27FC236}">
              <a16:creationId xmlns:a16="http://schemas.microsoft.com/office/drawing/2014/main" id="{00000000-0008-0000-0100-00001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39" name="Picture 11" descr=" ">
          <a:extLst>
            <a:ext uri="{FF2B5EF4-FFF2-40B4-BE49-F238E27FC236}">
              <a16:creationId xmlns:a16="http://schemas.microsoft.com/office/drawing/2014/main" id="{00000000-0008-0000-0100-00001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40" name="Picture 12" descr=" ">
          <a:extLst>
            <a:ext uri="{FF2B5EF4-FFF2-40B4-BE49-F238E27FC236}">
              <a16:creationId xmlns:a16="http://schemas.microsoft.com/office/drawing/2014/main" id="{00000000-0008-0000-0100-00002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41" name="Picture 7" descr=" ">
          <a:extLst>
            <a:ext uri="{FF2B5EF4-FFF2-40B4-BE49-F238E27FC236}">
              <a16:creationId xmlns:a16="http://schemas.microsoft.com/office/drawing/2014/main" id="{00000000-0008-0000-0100-00002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42" name="Picture 8" descr=" ">
          <a:extLst>
            <a:ext uri="{FF2B5EF4-FFF2-40B4-BE49-F238E27FC236}">
              <a16:creationId xmlns:a16="http://schemas.microsoft.com/office/drawing/2014/main" id="{00000000-0008-0000-0100-00002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43" name="Picture 9" descr=" ">
          <a:extLst>
            <a:ext uri="{FF2B5EF4-FFF2-40B4-BE49-F238E27FC236}">
              <a16:creationId xmlns:a16="http://schemas.microsoft.com/office/drawing/2014/main" id="{00000000-0008-0000-0100-00002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44" name="Picture 10" descr=" ">
          <a:extLst>
            <a:ext uri="{FF2B5EF4-FFF2-40B4-BE49-F238E27FC236}">
              <a16:creationId xmlns:a16="http://schemas.microsoft.com/office/drawing/2014/main" id="{00000000-0008-0000-0100-00002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45" name="Picture 11" descr=" ">
          <a:extLst>
            <a:ext uri="{FF2B5EF4-FFF2-40B4-BE49-F238E27FC236}">
              <a16:creationId xmlns:a16="http://schemas.microsoft.com/office/drawing/2014/main" id="{00000000-0008-0000-0100-00002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46" name="Picture 12" descr=" ">
          <a:extLst>
            <a:ext uri="{FF2B5EF4-FFF2-40B4-BE49-F238E27FC236}">
              <a16:creationId xmlns:a16="http://schemas.microsoft.com/office/drawing/2014/main" id="{00000000-0008-0000-0100-00002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47" name="Picture 7" descr=" ">
          <a:extLst>
            <a:ext uri="{FF2B5EF4-FFF2-40B4-BE49-F238E27FC236}">
              <a16:creationId xmlns:a16="http://schemas.microsoft.com/office/drawing/2014/main" id="{00000000-0008-0000-0100-00002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48" name="Picture 8" descr=" ">
          <a:extLst>
            <a:ext uri="{FF2B5EF4-FFF2-40B4-BE49-F238E27FC236}">
              <a16:creationId xmlns:a16="http://schemas.microsoft.com/office/drawing/2014/main" id="{00000000-0008-0000-0100-00002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49" name="Picture 9" descr=" ">
          <a:extLst>
            <a:ext uri="{FF2B5EF4-FFF2-40B4-BE49-F238E27FC236}">
              <a16:creationId xmlns:a16="http://schemas.microsoft.com/office/drawing/2014/main" id="{00000000-0008-0000-0100-00002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50" name="Picture 10" descr=" ">
          <a:extLst>
            <a:ext uri="{FF2B5EF4-FFF2-40B4-BE49-F238E27FC236}">
              <a16:creationId xmlns:a16="http://schemas.microsoft.com/office/drawing/2014/main" id="{00000000-0008-0000-0100-00002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51" name="Picture 11" descr=" ">
          <a:extLst>
            <a:ext uri="{FF2B5EF4-FFF2-40B4-BE49-F238E27FC236}">
              <a16:creationId xmlns:a16="http://schemas.microsoft.com/office/drawing/2014/main" id="{00000000-0008-0000-0100-00002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52" name="Picture 12" descr=" ">
          <a:extLst>
            <a:ext uri="{FF2B5EF4-FFF2-40B4-BE49-F238E27FC236}">
              <a16:creationId xmlns:a16="http://schemas.microsoft.com/office/drawing/2014/main" id="{00000000-0008-0000-0100-00002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53" name="Picture 7" descr=" ">
          <a:extLst>
            <a:ext uri="{FF2B5EF4-FFF2-40B4-BE49-F238E27FC236}">
              <a16:creationId xmlns:a16="http://schemas.microsoft.com/office/drawing/2014/main" id="{00000000-0008-0000-0100-00002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54" name="Picture 8" descr=" ">
          <a:extLst>
            <a:ext uri="{FF2B5EF4-FFF2-40B4-BE49-F238E27FC236}">
              <a16:creationId xmlns:a16="http://schemas.microsoft.com/office/drawing/2014/main" id="{00000000-0008-0000-0100-00002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55" name="Picture 9" descr=" ">
          <a:extLst>
            <a:ext uri="{FF2B5EF4-FFF2-40B4-BE49-F238E27FC236}">
              <a16:creationId xmlns:a16="http://schemas.microsoft.com/office/drawing/2014/main" id="{00000000-0008-0000-0100-00002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56" name="Picture 10" descr=" ">
          <a:extLst>
            <a:ext uri="{FF2B5EF4-FFF2-40B4-BE49-F238E27FC236}">
              <a16:creationId xmlns:a16="http://schemas.microsoft.com/office/drawing/2014/main" id="{00000000-0008-0000-0100-00003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57" name="Picture 11" descr=" ">
          <a:extLst>
            <a:ext uri="{FF2B5EF4-FFF2-40B4-BE49-F238E27FC236}">
              <a16:creationId xmlns:a16="http://schemas.microsoft.com/office/drawing/2014/main" id="{00000000-0008-0000-0100-00003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58" name="Picture 12" descr=" ">
          <a:extLst>
            <a:ext uri="{FF2B5EF4-FFF2-40B4-BE49-F238E27FC236}">
              <a16:creationId xmlns:a16="http://schemas.microsoft.com/office/drawing/2014/main" id="{00000000-0008-0000-0100-00003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59" name="Picture 7" descr=" ">
          <a:extLst>
            <a:ext uri="{FF2B5EF4-FFF2-40B4-BE49-F238E27FC236}">
              <a16:creationId xmlns:a16="http://schemas.microsoft.com/office/drawing/2014/main" id="{00000000-0008-0000-0100-00003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60" name="Picture 8" descr=" ">
          <a:extLst>
            <a:ext uri="{FF2B5EF4-FFF2-40B4-BE49-F238E27FC236}">
              <a16:creationId xmlns:a16="http://schemas.microsoft.com/office/drawing/2014/main" id="{00000000-0008-0000-0100-00003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61" name="Picture 9" descr=" ">
          <a:extLst>
            <a:ext uri="{FF2B5EF4-FFF2-40B4-BE49-F238E27FC236}">
              <a16:creationId xmlns:a16="http://schemas.microsoft.com/office/drawing/2014/main" id="{00000000-0008-0000-0100-00003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62" name="Picture 10" descr=" ">
          <a:extLst>
            <a:ext uri="{FF2B5EF4-FFF2-40B4-BE49-F238E27FC236}">
              <a16:creationId xmlns:a16="http://schemas.microsoft.com/office/drawing/2014/main" id="{00000000-0008-0000-0100-00003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63" name="Picture 11" descr=" ">
          <a:extLst>
            <a:ext uri="{FF2B5EF4-FFF2-40B4-BE49-F238E27FC236}">
              <a16:creationId xmlns:a16="http://schemas.microsoft.com/office/drawing/2014/main" id="{00000000-0008-0000-0100-00003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64" name="Picture 12" descr=" ">
          <a:extLst>
            <a:ext uri="{FF2B5EF4-FFF2-40B4-BE49-F238E27FC236}">
              <a16:creationId xmlns:a16="http://schemas.microsoft.com/office/drawing/2014/main" id="{00000000-0008-0000-0100-00003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65" name="Picture 7" descr=" ">
          <a:extLst>
            <a:ext uri="{FF2B5EF4-FFF2-40B4-BE49-F238E27FC236}">
              <a16:creationId xmlns:a16="http://schemas.microsoft.com/office/drawing/2014/main" id="{00000000-0008-0000-0100-00003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66" name="Picture 8" descr=" ">
          <a:extLst>
            <a:ext uri="{FF2B5EF4-FFF2-40B4-BE49-F238E27FC236}">
              <a16:creationId xmlns:a16="http://schemas.microsoft.com/office/drawing/2014/main" id="{00000000-0008-0000-0100-00003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67" name="Picture 9" descr=" ">
          <a:extLst>
            <a:ext uri="{FF2B5EF4-FFF2-40B4-BE49-F238E27FC236}">
              <a16:creationId xmlns:a16="http://schemas.microsoft.com/office/drawing/2014/main" id="{00000000-0008-0000-0100-00003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68" name="Picture 10" descr=" ">
          <a:extLst>
            <a:ext uri="{FF2B5EF4-FFF2-40B4-BE49-F238E27FC236}">
              <a16:creationId xmlns:a16="http://schemas.microsoft.com/office/drawing/2014/main" id="{00000000-0008-0000-0100-00003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69" name="Picture 11" descr=" ">
          <a:extLst>
            <a:ext uri="{FF2B5EF4-FFF2-40B4-BE49-F238E27FC236}">
              <a16:creationId xmlns:a16="http://schemas.microsoft.com/office/drawing/2014/main" id="{00000000-0008-0000-0100-00003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70" name="Picture 12" descr=" ">
          <a:extLst>
            <a:ext uri="{FF2B5EF4-FFF2-40B4-BE49-F238E27FC236}">
              <a16:creationId xmlns:a16="http://schemas.microsoft.com/office/drawing/2014/main" id="{00000000-0008-0000-0100-00003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71" name="Picture 7" descr=" ">
          <a:extLst>
            <a:ext uri="{FF2B5EF4-FFF2-40B4-BE49-F238E27FC236}">
              <a16:creationId xmlns:a16="http://schemas.microsoft.com/office/drawing/2014/main" id="{00000000-0008-0000-0100-00003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72" name="Picture 8" descr=" ">
          <a:extLst>
            <a:ext uri="{FF2B5EF4-FFF2-40B4-BE49-F238E27FC236}">
              <a16:creationId xmlns:a16="http://schemas.microsoft.com/office/drawing/2014/main" id="{00000000-0008-0000-0100-00004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73" name="Picture 9" descr=" ">
          <a:extLst>
            <a:ext uri="{FF2B5EF4-FFF2-40B4-BE49-F238E27FC236}">
              <a16:creationId xmlns:a16="http://schemas.microsoft.com/office/drawing/2014/main" id="{00000000-0008-0000-0100-00004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74" name="Picture 10" descr=" ">
          <a:extLst>
            <a:ext uri="{FF2B5EF4-FFF2-40B4-BE49-F238E27FC236}">
              <a16:creationId xmlns:a16="http://schemas.microsoft.com/office/drawing/2014/main" id="{00000000-0008-0000-0100-00004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75" name="Picture 11" descr=" ">
          <a:extLst>
            <a:ext uri="{FF2B5EF4-FFF2-40B4-BE49-F238E27FC236}">
              <a16:creationId xmlns:a16="http://schemas.microsoft.com/office/drawing/2014/main" id="{00000000-0008-0000-0100-00004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76" name="Picture 12" descr=" ">
          <a:extLst>
            <a:ext uri="{FF2B5EF4-FFF2-40B4-BE49-F238E27FC236}">
              <a16:creationId xmlns:a16="http://schemas.microsoft.com/office/drawing/2014/main" id="{00000000-0008-0000-0100-00004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77" name="Picture 7" descr=" ">
          <a:extLst>
            <a:ext uri="{FF2B5EF4-FFF2-40B4-BE49-F238E27FC236}">
              <a16:creationId xmlns:a16="http://schemas.microsoft.com/office/drawing/2014/main" id="{00000000-0008-0000-0100-00004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78" name="Picture 8" descr=" ">
          <a:extLst>
            <a:ext uri="{FF2B5EF4-FFF2-40B4-BE49-F238E27FC236}">
              <a16:creationId xmlns:a16="http://schemas.microsoft.com/office/drawing/2014/main" id="{00000000-0008-0000-0100-00004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79" name="Picture 9" descr=" ">
          <a:extLst>
            <a:ext uri="{FF2B5EF4-FFF2-40B4-BE49-F238E27FC236}">
              <a16:creationId xmlns:a16="http://schemas.microsoft.com/office/drawing/2014/main" id="{00000000-0008-0000-0100-00004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80" name="Picture 10" descr=" ">
          <a:extLst>
            <a:ext uri="{FF2B5EF4-FFF2-40B4-BE49-F238E27FC236}">
              <a16:creationId xmlns:a16="http://schemas.microsoft.com/office/drawing/2014/main" id="{00000000-0008-0000-0100-00004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81" name="Picture 11" descr=" ">
          <a:extLst>
            <a:ext uri="{FF2B5EF4-FFF2-40B4-BE49-F238E27FC236}">
              <a16:creationId xmlns:a16="http://schemas.microsoft.com/office/drawing/2014/main" id="{00000000-0008-0000-0100-00004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47625</xdr:rowOff>
    </xdr:to>
    <xdr:pic>
      <xdr:nvPicPr>
        <xdr:cNvPr id="11082" name="Picture 12" descr=" ">
          <a:extLst>
            <a:ext uri="{FF2B5EF4-FFF2-40B4-BE49-F238E27FC236}">
              <a16:creationId xmlns:a16="http://schemas.microsoft.com/office/drawing/2014/main" id="{00000000-0008-0000-0100-00004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7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083" name="Picture 7" descr=" ">
          <a:extLst>
            <a:ext uri="{FF2B5EF4-FFF2-40B4-BE49-F238E27FC236}">
              <a16:creationId xmlns:a16="http://schemas.microsoft.com/office/drawing/2014/main" id="{00000000-0008-0000-0100-00004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084" name="Picture 8" descr=" ">
          <a:extLst>
            <a:ext uri="{FF2B5EF4-FFF2-40B4-BE49-F238E27FC236}">
              <a16:creationId xmlns:a16="http://schemas.microsoft.com/office/drawing/2014/main" id="{00000000-0008-0000-0100-00004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085" name="Picture 9" descr=" ">
          <a:extLst>
            <a:ext uri="{FF2B5EF4-FFF2-40B4-BE49-F238E27FC236}">
              <a16:creationId xmlns:a16="http://schemas.microsoft.com/office/drawing/2014/main" id="{00000000-0008-0000-0100-00004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086" name="Picture 10" descr=" ">
          <a:extLst>
            <a:ext uri="{FF2B5EF4-FFF2-40B4-BE49-F238E27FC236}">
              <a16:creationId xmlns:a16="http://schemas.microsoft.com/office/drawing/2014/main" id="{00000000-0008-0000-0100-00004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087" name="Picture 11" descr=" ">
          <a:extLst>
            <a:ext uri="{FF2B5EF4-FFF2-40B4-BE49-F238E27FC236}">
              <a16:creationId xmlns:a16="http://schemas.microsoft.com/office/drawing/2014/main" id="{00000000-0008-0000-0100-00004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088" name="Picture 12" descr=" ">
          <a:extLst>
            <a:ext uri="{FF2B5EF4-FFF2-40B4-BE49-F238E27FC236}">
              <a16:creationId xmlns:a16="http://schemas.microsoft.com/office/drawing/2014/main" id="{00000000-0008-0000-0100-00005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089" name="Picture 7" descr=" ">
          <a:extLst>
            <a:ext uri="{FF2B5EF4-FFF2-40B4-BE49-F238E27FC236}">
              <a16:creationId xmlns:a16="http://schemas.microsoft.com/office/drawing/2014/main" id="{00000000-0008-0000-0100-00005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090" name="Picture 8" descr=" ">
          <a:extLst>
            <a:ext uri="{FF2B5EF4-FFF2-40B4-BE49-F238E27FC236}">
              <a16:creationId xmlns:a16="http://schemas.microsoft.com/office/drawing/2014/main" id="{00000000-0008-0000-0100-00005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091" name="Picture 9" descr=" ">
          <a:extLst>
            <a:ext uri="{FF2B5EF4-FFF2-40B4-BE49-F238E27FC236}">
              <a16:creationId xmlns:a16="http://schemas.microsoft.com/office/drawing/2014/main" id="{00000000-0008-0000-0100-00005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092" name="Picture 10" descr=" ">
          <a:extLst>
            <a:ext uri="{FF2B5EF4-FFF2-40B4-BE49-F238E27FC236}">
              <a16:creationId xmlns:a16="http://schemas.microsoft.com/office/drawing/2014/main" id="{00000000-0008-0000-0100-00005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093" name="Picture 11" descr=" ">
          <a:extLst>
            <a:ext uri="{FF2B5EF4-FFF2-40B4-BE49-F238E27FC236}">
              <a16:creationId xmlns:a16="http://schemas.microsoft.com/office/drawing/2014/main" id="{00000000-0008-0000-0100-00005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094" name="Picture 12" descr=" ">
          <a:extLst>
            <a:ext uri="{FF2B5EF4-FFF2-40B4-BE49-F238E27FC236}">
              <a16:creationId xmlns:a16="http://schemas.microsoft.com/office/drawing/2014/main" id="{00000000-0008-0000-0100-00005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095" name="Picture 7" descr=" ">
          <a:extLst>
            <a:ext uri="{FF2B5EF4-FFF2-40B4-BE49-F238E27FC236}">
              <a16:creationId xmlns:a16="http://schemas.microsoft.com/office/drawing/2014/main" id="{00000000-0008-0000-0100-00005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096" name="Picture 8" descr=" ">
          <a:extLst>
            <a:ext uri="{FF2B5EF4-FFF2-40B4-BE49-F238E27FC236}">
              <a16:creationId xmlns:a16="http://schemas.microsoft.com/office/drawing/2014/main" id="{00000000-0008-0000-0100-00005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097" name="Picture 9" descr=" ">
          <a:extLst>
            <a:ext uri="{FF2B5EF4-FFF2-40B4-BE49-F238E27FC236}">
              <a16:creationId xmlns:a16="http://schemas.microsoft.com/office/drawing/2014/main" id="{00000000-0008-0000-0100-00005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098" name="Picture 10" descr=" ">
          <a:extLst>
            <a:ext uri="{FF2B5EF4-FFF2-40B4-BE49-F238E27FC236}">
              <a16:creationId xmlns:a16="http://schemas.microsoft.com/office/drawing/2014/main" id="{00000000-0008-0000-0100-00005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099" name="Picture 11" descr=" ">
          <a:extLst>
            <a:ext uri="{FF2B5EF4-FFF2-40B4-BE49-F238E27FC236}">
              <a16:creationId xmlns:a16="http://schemas.microsoft.com/office/drawing/2014/main" id="{00000000-0008-0000-0100-00005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00" name="Picture 12" descr=" ">
          <a:extLst>
            <a:ext uri="{FF2B5EF4-FFF2-40B4-BE49-F238E27FC236}">
              <a16:creationId xmlns:a16="http://schemas.microsoft.com/office/drawing/2014/main" id="{00000000-0008-0000-0100-00005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01" name="Picture 7" descr=" ">
          <a:extLst>
            <a:ext uri="{FF2B5EF4-FFF2-40B4-BE49-F238E27FC236}">
              <a16:creationId xmlns:a16="http://schemas.microsoft.com/office/drawing/2014/main" id="{00000000-0008-0000-0100-00005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02" name="Picture 8" descr=" ">
          <a:extLst>
            <a:ext uri="{FF2B5EF4-FFF2-40B4-BE49-F238E27FC236}">
              <a16:creationId xmlns:a16="http://schemas.microsoft.com/office/drawing/2014/main" id="{00000000-0008-0000-0100-00005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03" name="Picture 9" descr=" ">
          <a:extLst>
            <a:ext uri="{FF2B5EF4-FFF2-40B4-BE49-F238E27FC236}">
              <a16:creationId xmlns:a16="http://schemas.microsoft.com/office/drawing/2014/main" id="{00000000-0008-0000-0100-00005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04" name="Picture 10" descr=" ">
          <a:extLst>
            <a:ext uri="{FF2B5EF4-FFF2-40B4-BE49-F238E27FC236}">
              <a16:creationId xmlns:a16="http://schemas.microsoft.com/office/drawing/2014/main" id="{00000000-0008-0000-0100-00006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05" name="Picture 11" descr=" ">
          <a:extLst>
            <a:ext uri="{FF2B5EF4-FFF2-40B4-BE49-F238E27FC236}">
              <a16:creationId xmlns:a16="http://schemas.microsoft.com/office/drawing/2014/main" id="{00000000-0008-0000-0100-00006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06" name="Picture 12" descr=" ">
          <a:extLst>
            <a:ext uri="{FF2B5EF4-FFF2-40B4-BE49-F238E27FC236}">
              <a16:creationId xmlns:a16="http://schemas.microsoft.com/office/drawing/2014/main" id="{00000000-0008-0000-0100-00006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07" name="Picture 7" descr=" ">
          <a:extLst>
            <a:ext uri="{FF2B5EF4-FFF2-40B4-BE49-F238E27FC236}">
              <a16:creationId xmlns:a16="http://schemas.microsoft.com/office/drawing/2014/main" id="{00000000-0008-0000-0100-00006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08" name="Picture 8" descr=" ">
          <a:extLst>
            <a:ext uri="{FF2B5EF4-FFF2-40B4-BE49-F238E27FC236}">
              <a16:creationId xmlns:a16="http://schemas.microsoft.com/office/drawing/2014/main" id="{00000000-0008-0000-0100-00006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09" name="Picture 9" descr=" ">
          <a:extLst>
            <a:ext uri="{FF2B5EF4-FFF2-40B4-BE49-F238E27FC236}">
              <a16:creationId xmlns:a16="http://schemas.microsoft.com/office/drawing/2014/main" id="{00000000-0008-0000-0100-00006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10" name="Picture 10" descr=" ">
          <a:extLst>
            <a:ext uri="{FF2B5EF4-FFF2-40B4-BE49-F238E27FC236}">
              <a16:creationId xmlns:a16="http://schemas.microsoft.com/office/drawing/2014/main" id="{00000000-0008-0000-0100-00006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11" name="Picture 11" descr=" ">
          <a:extLst>
            <a:ext uri="{FF2B5EF4-FFF2-40B4-BE49-F238E27FC236}">
              <a16:creationId xmlns:a16="http://schemas.microsoft.com/office/drawing/2014/main" id="{00000000-0008-0000-0100-00006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12" name="Picture 12" descr=" ">
          <a:extLst>
            <a:ext uri="{FF2B5EF4-FFF2-40B4-BE49-F238E27FC236}">
              <a16:creationId xmlns:a16="http://schemas.microsoft.com/office/drawing/2014/main" id="{00000000-0008-0000-0100-00006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13" name="Picture 7" descr=" ">
          <a:extLst>
            <a:ext uri="{FF2B5EF4-FFF2-40B4-BE49-F238E27FC236}">
              <a16:creationId xmlns:a16="http://schemas.microsoft.com/office/drawing/2014/main" id="{00000000-0008-0000-0100-00006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14" name="Picture 8" descr=" ">
          <a:extLst>
            <a:ext uri="{FF2B5EF4-FFF2-40B4-BE49-F238E27FC236}">
              <a16:creationId xmlns:a16="http://schemas.microsoft.com/office/drawing/2014/main" id="{00000000-0008-0000-0100-00006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15" name="Picture 9" descr=" ">
          <a:extLst>
            <a:ext uri="{FF2B5EF4-FFF2-40B4-BE49-F238E27FC236}">
              <a16:creationId xmlns:a16="http://schemas.microsoft.com/office/drawing/2014/main" id="{00000000-0008-0000-0100-00006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16" name="Picture 10" descr=" ">
          <a:extLst>
            <a:ext uri="{FF2B5EF4-FFF2-40B4-BE49-F238E27FC236}">
              <a16:creationId xmlns:a16="http://schemas.microsoft.com/office/drawing/2014/main" id="{00000000-0008-0000-0100-00006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17" name="Picture 11" descr=" ">
          <a:extLst>
            <a:ext uri="{FF2B5EF4-FFF2-40B4-BE49-F238E27FC236}">
              <a16:creationId xmlns:a16="http://schemas.microsoft.com/office/drawing/2014/main" id="{00000000-0008-0000-0100-00006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18" name="Picture 12" descr=" ">
          <a:extLst>
            <a:ext uri="{FF2B5EF4-FFF2-40B4-BE49-F238E27FC236}">
              <a16:creationId xmlns:a16="http://schemas.microsoft.com/office/drawing/2014/main" id="{00000000-0008-0000-0100-00006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19" name="Picture 7" descr=" ">
          <a:extLst>
            <a:ext uri="{FF2B5EF4-FFF2-40B4-BE49-F238E27FC236}">
              <a16:creationId xmlns:a16="http://schemas.microsoft.com/office/drawing/2014/main" id="{00000000-0008-0000-0100-00006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20" name="Picture 8" descr=" ">
          <a:extLst>
            <a:ext uri="{FF2B5EF4-FFF2-40B4-BE49-F238E27FC236}">
              <a16:creationId xmlns:a16="http://schemas.microsoft.com/office/drawing/2014/main" id="{00000000-0008-0000-0100-00007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21" name="Picture 9" descr=" ">
          <a:extLst>
            <a:ext uri="{FF2B5EF4-FFF2-40B4-BE49-F238E27FC236}">
              <a16:creationId xmlns:a16="http://schemas.microsoft.com/office/drawing/2014/main" id="{00000000-0008-0000-0100-00007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22" name="Picture 10" descr=" ">
          <a:extLst>
            <a:ext uri="{FF2B5EF4-FFF2-40B4-BE49-F238E27FC236}">
              <a16:creationId xmlns:a16="http://schemas.microsoft.com/office/drawing/2014/main" id="{00000000-0008-0000-0100-00007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23" name="Picture 11" descr=" ">
          <a:extLst>
            <a:ext uri="{FF2B5EF4-FFF2-40B4-BE49-F238E27FC236}">
              <a16:creationId xmlns:a16="http://schemas.microsoft.com/office/drawing/2014/main" id="{00000000-0008-0000-0100-00007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24" name="Picture 12" descr=" ">
          <a:extLst>
            <a:ext uri="{FF2B5EF4-FFF2-40B4-BE49-F238E27FC236}">
              <a16:creationId xmlns:a16="http://schemas.microsoft.com/office/drawing/2014/main" id="{00000000-0008-0000-0100-00007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25" name="Picture 7" descr=" ">
          <a:extLst>
            <a:ext uri="{FF2B5EF4-FFF2-40B4-BE49-F238E27FC236}">
              <a16:creationId xmlns:a16="http://schemas.microsoft.com/office/drawing/2014/main" id="{00000000-0008-0000-0100-00007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26" name="Picture 8" descr=" ">
          <a:extLst>
            <a:ext uri="{FF2B5EF4-FFF2-40B4-BE49-F238E27FC236}">
              <a16:creationId xmlns:a16="http://schemas.microsoft.com/office/drawing/2014/main" id="{00000000-0008-0000-0100-00007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27" name="Picture 9" descr=" ">
          <a:extLst>
            <a:ext uri="{FF2B5EF4-FFF2-40B4-BE49-F238E27FC236}">
              <a16:creationId xmlns:a16="http://schemas.microsoft.com/office/drawing/2014/main" id="{00000000-0008-0000-0100-00007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28" name="Picture 10" descr=" ">
          <a:extLst>
            <a:ext uri="{FF2B5EF4-FFF2-40B4-BE49-F238E27FC236}">
              <a16:creationId xmlns:a16="http://schemas.microsoft.com/office/drawing/2014/main" id="{00000000-0008-0000-0100-00007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29" name="Picture 11" descr=" ">
          <a:extLst>
            <a:ext uri="{FF2B5EF4-FFF2-40B4-BE49-F238E27FC236}">
              <a16:creationId xmlns:a16="http://schemas.microsoft.com/office/drawing/2014/main" id="{00000000-0008-0000-0100-00007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30" name="Picture 12" descr=" ">
          <a:extLst>
            <a:ext uri="{FF2B5EF4-FFF2-40B4-BE49-F238E27FC236}">
              <a16:creationId xmlns:a16="http://schemas.microsoft.com/office/drawing/2014/main" id="{00000000-0008-0000-0100-00007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31" name="Picture 7" descr=" ">
          <a:extLst>
            <a:ext uri="{FF2B5EF4-FFF2-40B4-BE49-F238E27FC236}">
              <a16:creationId xmlns:a16="http://schemas.microsoft.com/office/drawing/2014/main" id="{00000000-0008-0000-0100-00007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32" name="Picture 8" descr=" ">
          <a:extLst>
            <a:ext uri="{FF2B5EF4-FFF2-40B4-BE49-F238E27FC236}">
              <a16:creationId xmlns:a16="http://schemas.microsoft.com/office/drawing/2014/main" id="{00000000-0008-0000-0100-00007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33" name="Picture 9" descr=" ">
          <a:extLst>
            <a:ext uri="{FF2B5EF4-FFF2-40B4-BE49-F238E27FC236}">
              <a16:creationId xmlns:a16="http://schemas.microsoft.com/office/drawing/2014/main" id="{00000000-0008-0000-0100-00007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34" name="Picture 10" descr=" ">
          <a:extLst>
            <a:ext uri="{FF2B5EF4-FFF2-40B4-BE49-F238E27FC236}">
              <a16:creationId xmlns:a16="http://schemas.microsoft.com/office/drawing/2014/main" id="{00000000-0008-0000-0100-00007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35" name="Picture 11" descr=" ">
          <a:extLst>
            <a:ext uri="{FF2B5EF4-FFF2-40B4-BE49-F238E27FC236}">
              <a16:creationId xmlns:a16="http://schemas.microsoft.com/office/drawing/2014/main" id="{00000000-0008-0000-0100-00007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36" name="Picture 12" descr=" ">
          <a:extLst>
            <a:ext uri="{FF2B5EF4-FFF2-40B4-BE49-F238E27FC236}">
              <a16:creationId xmlns:a16="http://schemas.microsoft.com/office/drawing/2014/main" id="{00000000-0008-0000-0100-00008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37" name="Picture 7" descr=" ">
          <a:extLst>
            <a:ext uri="{FF2B5EF4-FFF2-40B4-BE49-F238E27FC236}">
              <a16:creationId xmlns:a16="http://schemas.microsoft.com/office/drawing/2014/main" id="{00000000-0008-0000-0100-00008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38" name="Picture 8" descr=" ">
          <a:extLst>
            <a:ext uri="{FF2B5EF4-FFF2-40B4-BE49-F238E27FC236}">
              <a16:creationId xmlns:a16="http://schemas.microsoft.com/office/drawing/2014/main" id="{00000000-0008-0000-0100-00008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39" name="Picture 9" descr=" ">
          <a:extLst>
            <a:ext uri="{FF2B5EF4-FFF2-40B4-BE49-F238E27FC236}">
              <a16:creationId xmlns:a16="http://schemas.microsoft.com/office/drawing/2014/main" id="{00000000-0008-0000-0100-00008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40" name="Picture 10" descr=" ">
          <a:extLst>
            <a:ext uri="{FF2B5EF4-FFF2-40B4-BE49-F238E27FC236}">
              <a16:creationId xmlns:a16="http://schemas.microsoft.com/office/drawing/2014/main" id="{00000000-0008-0000-0100-00008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41" name="Picture 11" descr=" ">
          <a:extLst>
            <a:ext uri="{FF2B5EF4-FFF2-40B4-BE49-F238E27FC236}">
              <a16:creationId xmlns:a16="http://schemas.microsoft.com/office/drawing/2014/main" id="{00000000-0008-0000-0100-00008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47625</xdr:rowOff>
    </xdr:to>
    <xdr:pic>
      <xdr:nvPicPr>
        <xdr:cNvPr id="11142" name="Picture 12" descr=" ">
          <a:extLst>
            <a:ext uri="{FF2B5EF4-FFF2-40B4-BE49-F238E27FC236}">
              <a16:creationId xmlns:a16="http://schemas.microsoft.com/office/drawing/2014/main" id="{00000000-0008-0000-0100-00008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11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43" name="Picture 7" descr=" ">
          <a:extLst>
            <a:ext uri="{FF2B5EF4-FFF2-40B4-BE49-F238E27FC236}">
              <a16:creationId xmlns:a16="http://schemas.microsoft.com/office/drawing/2014/main" id="{00000000-0008-0000-0100-00008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44" name="Picture 8" descr=" ">
          <a:extLst>
            <a:ext uri="{FF2B5EF4-FFF2-40B4-BE49-F238E27FC236}">
              <a16:creationId xmlns:a16="http://schemas.microsoft.com/office/drawing/2014/main" id="{00000000-0008-0000-0100-00008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45" name="Picture 9" descr=" ">
          <a:extLst>
            <a:ext uri="{FF2B5EF4-FFF2-40B4-BE49-F238E27FC236}">
              <a16:creationId xmlns:a16="http://schemas.microsoft.com/office/drawing/2014/main" id="{00000000-0008-0000-0100-00008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46" name="Picture 10" descr=" ">
          <a:extLst>
            <a:ext uri="{FF2B5EF4-FFF2-40B4-BE49-F238E27FC236}">
              <a16:creationId xmlns:a16="http://schemas.microsoft.com/office/drawing/2014/main" id="{00000000-0008-0000-0100-00008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47" name="Picture 11" descr=" ">
          <a:extLst>
            <a:ext uri="{FF2B5EF4-FFF2-40B4-BE49-F238E27FC236}">
              <a16:creationId xmlns:a16="http://schemas.microsoft.com/office/drawing/2014/main" id="{00000000-0008-0000-0100-00008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48" name="Picture 12" descr=" ">
          <a:extLst>
            <a:ext uri="{FF2B5EF4-FFF2-40B4-BE49-F238E27FC236}">
              <a16:creationId xmlns:a16="http://schemas.microsoft.com/office/drawing/2014/main" id="{00000000-0008-0000-0100-00008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1149" name="Picture 7" descr=" ">
          <a:extLst>
            <a:ext uri="{FF2B5EF4-FFF2-40B4-BE49-F238E27FC236}">
              <a16:creationId xmlns:a16="http://schemas.microsoft.com/office/drawing/2014/main" id="{00000000-0008-0000-0100-00008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1150" name="Picture 8" descr=" ">
          <a:extLst>
            <a:ext uri="{FF2B5EF4-FFF2-40B4-BE49-F238E27FC236}">
              <a16:creationId xmlns:a16="http://schemas.microsoft.com/office/drawing/2014/main" id="{00000000-0008-0000-0100-00008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1151" name="Picture 9" descr=" ">
          <a:extLst>
            <a:ext uri="{FF2B5EF4-FFF2-40B4-BE49-F238E27FC236}">
              <a16:creationId xmlns:a16="http://schemas.microsoft.com/office/drawing/2014/main" id="{00000000-0008-0000-0100-00008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1152" name="Picture 10" descr=" ">
          <a:extLst>
            <a:ext uri="{FF2B5EF4-FFF2-40B4-BE49-F238E27FC236}">
              <a16:creationId xmlns:a16="http://schemas.microsoft.com/office/drawing/2014/main" id="{00000000-0008-0000-0100-00009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1153" name="Picture 11" descr=" ">
          <a:extLst>
            <a:ext uri="{FF2B5EF4-FFF2-40B4-BE49-F238E27FC236}">
              <a16:creationId xmlns:a16="http://schemas.microsoft.com/office/drawing/2014/main" id="{00000000-0008-0000-0100-00009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47625</xdr:rowOff>
    </xdr:to>
    <xdr:pic>
      <xdr:nvPicPr>
        <xdr:cNvPr id="11154" name="Picture 12" descr=" ">
          <a:extLst>
            <a:ext uri="{FF2B5EF4-FFF2-40B4-BE49-F238E27FC236}">
              <a16:creationId xmlns:a16="http://schemas.microsoft.com/office/drawing/2014/main" id="{00000000-0008-0000-0100-00009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21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</xdr:colOff>
      <xdr:row>147</xdr:row>
      <xdr:rowOff>51435</xdr:rowOff>
    </xdr:to>
    <xdr:pic>
      <xdr:nvPicPr>
        <xdr:cNvPr id="11155" name="Picture 7" descr=" ">
          <a:extLst>
            <a:ext uri="{FF2B5EF4-FFF2-40B4-BE49-F238E27FC236}">
              <a16:creationId xmlns:a16="http://schemas.microsoft.com/office/drawing/2014/main" id="{00000000-0008-0000-0100-00009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78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</xdr:colOff>
      <xdr:row>147</xdr:row>
      <xdr:rowOff>51435</xdr:rowOff>
    </xdr:to>
    <xdr:pic>
      <xdr:nvPicPr>
        <xdr:cNvPr id="11156" name="Picture 8" descr=" ">
          <a:extLst>
            <a:ext uri="{FF2B5EF4-FFF2-40B4-BE49-F238E27FC236}">
              <a16:creationId xmlns:a16="http://schemas.microsoft.com/office/drawing/2014/main" id="{00000000-0008-0000-0100-00009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78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</xdr:colOff>
      <xdr:row>147</xdr:row>
      <xdr:rowOff>51435</xdr:rowOff>
    </xdr:to>
    <xdr:pic>
      <xdr:nvPicPr>
        <xdr:cNvPr id="11157" name="Picture 9" descr=" ">
          <a:extLst>
            <a:ext uri="{FF2B5EF4-FFF2-40B4-BE49-F238E27FC236}">
              <a16:creationId xmlns:a16="http://schemas.microsoft.com/office/drawing/2014/main" id="{00000000-0008-0000-0100-00009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78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</xdr:colOff>
      <xdr:row>147</xdr:row>
      <xdr:rowOff>51435</xdr:rowOff>
    </xdr:to>
    <xdr:pic>
      <xdr:nvPicPr>
        <xdr:cNvPr id="11158" name="Picture 10" descr=" ">
          <a:extLst>
            <a:ext uri="{FF2B5EF4-FFF2-40B4-BE49-F238E27FC236}">
              <a16:creationId xmlns:a16="http://schemas.microsoft.com/office/drawing/2014/main" id="{00000000-0008-0000-0100-00009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78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</xdr:colOff>
      <xdr:row>147</xdr:row>
      <xdr:rowOff>51435</xdr:rowOff>
    </xdr:to>
    <xdr:pic>
      <xdr:nvPicPr>
        <xdr:cNvPr id="11159" name="Picture 11" descr=" ">
          <a:extLst>
            <a:ext uri="{FF2B5EF4-FFF2-40B4-BE49-F238E27FC236}">
              <a16:creationId xmlns:a16="http://schemas.microsoft.com/office/drawing/2014/main" id="{00000000-0008-0000-0100-00009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78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</xdr:colOff>
      <xdr:row>147</xdr:row>
      <xdr:rowOff>51435</xdr:rowOff>
    </xdr:to>
    <xdr:pic>
      <xdr:nvPicPr>
        <xdr:cNvPr id="11160" name="Picture 12" descr=" ">
          <a:extLst>
            <a:ext uri="{FF2B5EF4-FFF2-40B4-BE49-F238E27FC236}">
              <a16:creationId xmlns:a16="http://schemas.microsoft.com/office/drawing/2014/main" id="{00000000-0008-0000-0100-00009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78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61" name="Picture 7" descr=" ">
          <a:extLst>
            <a:ext uri="{FF2B5EF4-FFF2-40B4-BE49-F238E27FC236}">
              <a16:creationId xmlns:a16="http://schemas.microsoft.com/office/drawing/2014/main" id="{00000000-0008-0000-0100-00009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62" name="Picture 8" descr=" ">
          <a:extLst>
            <a:ext uri="{FF2B5EF4-FFF2-40B4-BE49-F238E27FC236}">
              <a16:creationId xmlns:a16="http://schemas.microsoft.com/office/drawing/2014/main" id="{00000000-0008-0000-0100-00009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63" name="Picture 9" descr=" ">
          <a:extLst>
            <a:ext uri="{FF2B5EF4-FFF2-40B4-BE49-F238E27FC236}">
              <a16:creationId xmlns:a16="http://schemas.microsoft.com/office/drawing/2014/main" id="{00000000-0008-0000-0100-00009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64" name="Picture 10" descr=" ">
          <a:extLst>
            <a:ext uri="{FF2B5EF4-FFF2-40B4-BE49-F238E27FC236}">
              <a16:creationId xmlns:a16="http://schemas.microsoft.com/office/drawing/2014/main" id="{00000000-0008-0000-0100-00009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65" name="Picture 11" descr=" ">
          <a:extLst>
            <a:ext uri="{FF2B5EF4-FFF2-40B4-BE49-F238E27FC236}">
              <a16:creationId xmlns:a16="http://schemas.microsoft.com/office/drawing/2014/main" id="{00000000-0008-0000-0100-00009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66" name="Picture 12" descr=" ">
          <a:extLst>
            <a:ext uri="{FF2B5EF4-FFF2-40B4-BE49-F238E27FC236}">
              <a16:creationId xmlns:a16="http://schemas.microsoft.com/office/drawing/2014/main" id="{00000000-0008-0000-0100-00009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67" name="Picture 7" descr=" ">
          <a:extLst>
            <a:ext uri="{FF2B5EF4-FFF2-40B4-BE49-F238E27FC236}">
              <a16:creationId xmlns:a16="http://schemas.microsoft.com/office/drawing/2014/main" id="{00000000-0008-0000-0100-00009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68" name="Picture 8" descr=" ">
          <a:extLst>
            <a:ext uri="{FF2B5EF4-FFF2-40B4-BE49-F238E27FC236}">
              <a16:creationId xmlns:a16="http://schemas.microsoft.com/office/drawing/2014/main" id="{00000000-0008-0000-0100-0000A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69" name="Picture 9" descr=" ">
          <a:extLst>
            <a:ext uri="{FF2B5EF4-FFF2-40B4-BE49-F238E27FC236}">
              <a16:creationId xmlns:a16="http://schemas.microsoft.com/office/drawing/2014/main" id="{00000000-0008-0000-0100-0000A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70" name="Picture 10" descr=" ">
          <a:extLst>
            <a:ext uri="{FF2B5EF4-FFF2-40B4-BE49-F238E27FC236}">
              <a16:creationId xmlns:a16="http://schemas.microsoft.com/office/drawing/2014/main" id="{00000000-0008-0000-0100-0000A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71" name="Picture 11" descr=" ">
          <a:extLst>
            <a:ext uri="{FF2B5EF4-FFF2-40B4-BE49-F238E27FC236}">
              <a16:creationId xmlns:a16="http://schemas.microsoft.com/office/drawing/2014/main" id="{00000000-0008-0000-0100-0000A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72" name="Picture 12" descr=" ">
          <a:extLst>
            <a:ext uri="{FF2B5EF4-FFF2-40B4-BE49-F238E27FC236}">
              <a16:creationId xmlns:a16="http://schemas.microsoft.com/office/drawing/2014/main" id="{00000000-0008-0000-0100-0000A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73" name="Picture 7" descr=" ">
          <a:extLst>
            <a:ext uri="{FF2B5EF4-FFF2-40B4-BE49-F238E27FC236}">
              <a16:creationId xmlns:a16="http://schemas.microsoft.com/office/drawing/2014/main" id="{00000000-0008-0000-0100-0000A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74" name="Picture 8" descr=" ">
          <a:extLst>
            <a:ext uri="{FF2B5EF4-FFF2-40B4-BE49-F238E27FC236}">
              <a16:creationId xmlns:a16="http://schemas.microsoft.com/office/drawing/2014/main" id="{00000000-0008-0000-0100-0000A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75" name="Picture 9" descr=" ">
          <a:extLst>
            <a:ext uri="{FF2B5EF4-FFF2-40B4-BE49-F238E27FC236}">
              <a16:creationId xmlns:a16="http://schemas.microsoft.com/office/drawing/2014/main" id="{00000000-0008-0000-0100-0000A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76" name="Picture 10" descr=" ">
          <a:extLst>
            <a:ext uri="{FF2B5EF4-FFF2-40B4-BE49-F238E27FC236}">
              <a16:creationId xmlns:a16="http://schemas.microsoft.com/office/drawing/2014/main" id="{00000000-0008-0000-0100-0000A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77" name="Picture 11" descr=" ">
          <a:extLst>
            <a:ext uri="{FF2B5EF4-FFF2-40B4-BE49-F238E27FC236}">
              <a16:creationId xmlns:a16="http://schemas.microsoft.com/office/drawing/2014/main" id="{00000000-0008-0000-0100-0000A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78" name="Picture 12" descr=" ">
          <a:extLst>
            <a:ext uri="{FF2B5EF4-FFF2-40B4-BE49-F238E27FC236}">
              <a16:creationId xmlns:a16="http://schemas.microsoft.com/office/drawing/2014/main" id="{00000000-0008-0000-0100-0000A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79" name="Picture 7" descr=" ">
          <a:extLst>
            <a:ext uri="{FF2B5EF4-FFF2-40B4-BE49-F238E27FC236}">
              <a16:creationId xmlns:a16="http://schemas.microsoft.com/office/drawing/2014/main" id="{00000000-0008-0000-0100-0000A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80" name="Picture 8" descr=" ">
          <a:extLst>
            <a:ext uri="{FF2B5EF4-FFF2-40B4-BE49-F238E27FC236}">
              <a16:creationId xmlns:a16="http://schemas.microsoft.com/office/drawing/2014/main" id="{00000000-0008-0000-0100-0000A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81" name="Picture 9" descr=" ">
          <a:extLst>
            <a:ext uri="{FF2B5EF4-FFF2-40B4-BE49-F238E27FC236}">
              <a16:creationId xmlns:a16="http://schemas.microsoft.com/office/drawing/2014/main" id="{00000000-0008-0000-0100-0000A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82" name="Picture 10" descr=" ">
          <a:extLst>
            <a:ext uri="{FF2B5EF4-FFF2-40B4-BE49-F238E27FC236}">
              <a16:creationId xmlns:a16="http://schemas.microsoft.com/office/drawing/2014/main" id="{00000000-0008-0000-0100-0000A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83" name="Picture 11" descr=" ">
          <a:extLst>
            <a:ext uri="{FF2B5EF4-FFF2-40B4-BE49-F238E27FC236}">
              <a16:creationId xmlns:a16="http://schemas.microsoft.com/office/drawing/2014/main" id="{00000000-0008-0000-0100-0000A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84" name="Picture 12" descr=" ">
          <a:extLst>
            <a:ext uri="{FF2B5EF4-FFF2-40B4-BE49-F238E27FC236}">
              <a16:creationId xmlns:a16="http://schemas.microsoft.com/office/drawing/2014/main" id="{00000000-0008-0000-0100-0000B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85" name="Picture 7" descr=" ">
          <a:extLst>
            <a:ext uri="{FF2B5EF4-FFF2-40B4-BE49-F238E27FC236}">
              <a16:creationId xmlns:a16="http://schemas.microsoft.com/office/drawing/2014/main" id="{00000000-0008-0000-0100-0000B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86" name="Picture 8" descr=" ">
          <a:extLst>
            <a:ext uri="{FF2B5EF4-FFF2-40B4-BE49-F238E27FC236}">
              <a16:creationId xmlns:a16="http://schemas.microsoft.com/office/drawing/2014/main" id="{00000000-0008-0000-0100-0000B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87" name="Picture 9" descr=" ">
          <a:extLst>
            <a:ext uri="{FF2B5EF4-FFF2-40B4-BE49-F238E27FC236}">
              <a16:creationId xmlns:a16="http://schemas.microsoft.com/office/drawing/2014/main" id="{00000000-0008-0000-0100-0000B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88" name="Picture 10" descr=" ">
          <a:extLst>
            <a:ext uri="{FF2B5EF4-FFF2-40B4-BE49-F238E27FC236}">
              <a16:creationId xmlns:a16="http://schemas.microsoft.com/office/drawing/2014/main" id="{00000000-0008-0000-0100-0000B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89" name="Picture 11" descr=" ">
          <a:extLst>
            <a:ext uri="{FF2B5EF4-FFF2-40B4-BE49-F238E27FC236}">
              <a16:creationId xmlns:a16="http://schemas.microsoft.com/office/drawing/2014/main" id="{00000000-0008-0000-0100-0000B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90" name="Picture 12" descr=" ">
          <a:extLst>
            <a:ext uri="{FF2B5EF4-FFF2-40B4-BE49-F238E27FC236}">
              <a16:creationId xmlns:a16="http://schemas.microsoft.com/office/drawing/2014/main" id="{00000000-0008-0000-0100-0000B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91" name="Picture 7" descr=" ">
          <a:extLst>
            <a:ext uri="{FF2B5EF4-FFF2-40B4-BE49-F238E27FC236}">
              <a16:creationId xmlns:a16="http://schemas.microsoft.com/office/drawing/2014/main" id="{00000000-0008-0000-0100-0000B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92" name="Picture 8" descr=" ">
          <a:extLst>
            <a:ext uri="{FF2B5EF4-FFF2-40B4-BE49-F238E27FC236}">
              <a16:creationId xmlns:a16="http://schemas.microsoft.com/office/drawing/2014/main" id="{00000000-0008-0000-0100-0000B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93" name="Picture 9" descr=" ">
          <a:extLst>
            <a:ext uri="{FF2B5EF4-FFF2-40B4-BE49-F238E27FC236}">
              <a16:creationId xmlns:a16="http://schemas.microsoft.com/office/drawing/2014/main" id="{00000000-0008-0000-0100-0000B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94" name="Picture 10" descr=" ">
          <a:extLst>
            <a:ext uri="{FF2B5EF4-FFF2-40B4-BE49-F238E27FC236}">
              <a16:creationId xmlns:a16="http://schemas.microsoft.com/office/drawing/2014/main" id="{00000000-0008-0000-0100-0000B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95" name="Picture 11" descr=" ">
          <a:extLst>
            <a:ext uri="{FF2B5EF4-FFF2-40B4-BE49-F238E27FC236}">
              <a16:creationId xmlns:a16="http://schemas.microsoft.com/office/drawing/2014/main" id="{00000000-0008-0000-0100-0000B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96" name="Picture 12" descr=" ">
          <a:extLst>
            <a:ext uri="{FF2B5EF4-FFF2-40B4-BE49-F238E27FC236}">
              <a16:creationId xmlns:a16="http://schemas.microsoft.com/office/drawing/2014/main" id="{00000000-0008-0000-0100-0000B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97" name="Picture 7" descr=" ">
          <a:extLst>
            <a:ext uri="{FF2B5EF4-FFF2-40B4-BE49-F238E27FC236}">
              <a16:creationId xmlns:a16="http://schemas.microsoft.com/office/drawing/2014/main" id="{00000000-0008-0000-0100-0000B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98" name="Picture 8" descr=" ">
          <a:extLst>
            <a:ext uri="{FF2B5EF4-FFF2-40B4-BE49-F238E27FC236}">
              <a16:creationId xmlns:a16="http://schemas.microsoft.com/office/drawing/2014/main" id="{00000000-0008-0000-0100-0000B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199" name="Picture 9" descr=" ">
          <a:extLst>
            <a:ext uri="{FF2B5EF4-FFF2-40B4-BE49-F238E27FC236}">
              <a16:creationId xmlns:a16="http://schemas.microsoft.com/office/drawing/2014/main" id="{00000000-0008-0000-0100-0000B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200" name="Picture 10" descr=" ">
          <a:extLst>
            <a:ext uri="{FF2B5EF4-FFF2-40B4-BE49-F238E27FC236}">
              <a16:creationId xmlns:a16="http://schemas.microsoft.com/office/drawing/2014/main" id="{00000000-0008-0000-0100-0000C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201" name="Picture 11" descr=" ">
          <a:extLst>
            <a:ext uri="{FF2B5EF4-FFF2-40B4-BE49-F238E27FC236}">
              <a16:creationId xmlns:a16="http://schemas.microsoft.com/office/drawing/2014/main" id="{00000000-0008-0000-0100-0000C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202" name="Picture 12" descr=" ">
          <a:extLst>
            <a:ext uri="{FF2B5EF4-FFF2-40B4-BE49-F238E27FC236}">
              <a16:creationId xmlns:a16="http://schemas.microsoft.com/office/drawing/2014/main" id="{00000000-0008-0000-0100-0000C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203" name="Picture 7" descr=" ">
          <a:extLst>
            <a:ext uri="{FF2B5EF4-FFF2-40B4-BE49-F238E27FC236}">
              <a16:creationId xmlns:a16="http://schemas.microsoft.com/office/drawing/2014/main" id="{00000000-0008-0000-0100-0000C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204" name="Picture 8" descr=" ">
          <a:extLst>
            <a:ext uri="{FF2B5EF4-FFF2-40B4-BE49-F238E27FC236}">
              <a16:creationId xmlns:a16="http://schemas.microsoft.com/office/drawing/2014/main" id="{00000000-0008-0000-0100-0000C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205" name="Picture 9" descr=" ">
          <a:extLst>
            <a:ext uri="{FF2B5EF4-FFF2-40B4-BE49-F238E27FC236}">
              <a16:creationId xmlns:a16="http://schemas.microsoft.com/office/drawing/2014/main" id="{00000000-0008-0000-0100-0000C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206" name="Picture 10" descr=" ">
          <a:extLst>
            <a:ext uri="{FF2B5EF4-FFF2-40B4-BE49-F238E27FC236}">
              <a16:creationId xmlns:a16="http://schemas.microsoft.com/office/drawing/2014/main" id="{00000000-0008-0000-0100-0000C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207" name="Picture 11" descr=" ">
          <a:extLst>
            <a:ext uri="{FF2B5EF4-FFF2-40B4-BE49-F238E27FC236}">
              <a16:creationId xmlns:a16="http://schemas.microsoft.com/office/drawing/2014/main" id="{00000000-0008-0000-0100-0000C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208" name="Picture 12" descr=" ">
          <a:extLst>
            <a:ext uri="{FF2B5EF4-FFF2-40B4-BE49-F238E27FC236}">
              <a16:creationId xmlns:a16="http://schemas.microsoft.com/office/drawing/2014/main" id="{00000000-0008-0000-0100-0000C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209" name="Picture 7" descr=" ">
          <a:extLst>
            <a:ext uri="{FF2B5EF4-FFF2-40B4-BE49-F238E27FC236}">
              <a16:creationId xmlns:a16="http://schemas.microsoft.com/office/drawing/2014/main" id="{00000000-0008-0000-0100-0000C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210" name="Picture 8" descr=" ">
          <a:extLst>
            <a:ext uri="{FF2B5EF4-FFF2-40B4-BE49-F238E27FC236}">
              <a16:creationId xmlns:a16="http://schemas.microsoft.com/office/drawing/2014/main" id="{00000000-0008-0000-0100-0000C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211" name="Picture 9" descr=" ">
          <a:extLst>
            <a:ext uri="{FF2B5EF4-FFF2-40B4-BE49-F238E27FC236}">
              <a16:creationId xmlns:a16="http://schemas.microsoft.com/office/drawing/2014/main" id="{00000000-0008-0000-0100-0000C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212" name="Picture 10" descr=" ">
          <a:extLst>
            <a:ext uri="{FF2B5EF4-FFF2-40B4-BE49-F238E27FC236}">
              <a16:creationId xmlns:a16="http://schemas.microsoft.com/office/drawing/2014/main" id="{00000000-0008-0000-0100-0000C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213" name="Picture 11" descr=" ">
          <a:extLst>
            <a:ext uri="{FF2B5EF4-FFF2-40B4-BE49-F238E27FC236}">
              <a16:creationId xmlns:a16="http://schemas.microsoft.com/office/drawing/2014/main" id="{00000000-0008-0000-0100-0000C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47625</xdr:rowOff>
    </xdr:to>
    <xdr:pic>
      <xdr:nvPicPr>
        <xdr:cNvPr id="11214" name="Picture 12" descr=" ">
          <a:extLst>
            <a:ext uri="{FF2B5EF4-FFF2-40B4-BE49-F238E27FC236}">
              <a16:creationId xmlns:a16="http://schemas.microsoft.com/office/drawing/2014/main" id="{00000000-0008-0000-0100-0000C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59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</xdr:colOff>
      <xdr:row>151</xdr:row>
      <xdr:rowOff>51435</xdr:rowOff>
    </xdr:to>
    <xdr:pic>
      <xdr:nvPicPr>
        <xdr:cNvPr id="11215" name="Picture 7" descr=" ">
          <a:extLst>
            <a:ext uri="{FF2B5EF4-FFF2-40B4-BE49-F238E27FC236}">
              <a16:creationId xmlns:a16="http://schemas.microsoft.com/office/drawing/2014/main" id="{00000000-0008-0000-0100-0000C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26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</xdr:colOff>
      <xdr:row>151</xdr:row>
      <xdr:rowOff>51435</xdr:rowOff>
    </xdr:to>
    <xdr:pic>
      <xdr:nvPicPr>
        <xdr:cNvPr id="11216" name="Picture 8" descr=" ">
          <a:extLst>
            <a:ext uri="{FF2B5EF4-FFF2-40B4-BE49-F238E27FC236}">
              <a16:creationId xmlns:a16="http://schemas.microsoft.com/office/drawing/2014/main" id="{00000000-0008-0000-0100-0000D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26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</xdr:colOff>
      <xdr:row>151</xdr:row>
      <xdr:rowOff>51435</xdr:rowOff>
    </xdr:to>
    <xdr:pic>
      <xdr:nvPicPr>
        <xdr:cNvPr id="11217" name="Picture 9" descr=" ">
          <a:extLst>
            <a:ext uri="{FF2B5EF4-FFF2-40B4-BE49-F238E27FC236}">
              <a16:creationId xmlns:a16="http://schemas.microsoft.com/office/drawing/2014/main" id="{00000000-0008-0000-0100-0000D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26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</xdr:colOff>
      <xdr:row>151</xdr:row>
      <xdr:rowOff>51435</xdr:rowOff>
    </xdr:to>
    <xdr:pic>
      <xdr:nvPicPr>
        <xdr:cNvPr id="11218" name="Picture 10" descr=" ">
          <a:extLst>
            <a:ext uri="{FF2B5EF4-FFF2-40B4-BE49-F238E27FC236}">
              <a16:creationId xmlns:a16="http://schemas.microsoft.com/office/drawing/2014/main" id="{00000000-0008-0000-0100-0000D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26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</xdr:colOff>
      <xdr:row>151</xdr:row>
      <xdr:rowOff>51435</xdr:rowOff>
    </xdr:to>
    <xdr:pic>
      <xdr:nvPicPr>
        <xdr:cNvPr id="11219" name="Picture 11" descr=" ">
          <a:extLst>
            <a:ext uri="{FF2B5EF4-FFF2-40B4-BE49-F238E27FC236}">
              <a16:creationId xmlns:a16="http://schemas.microsoft.com/office/drawing/2014/main" id="{00000000-0008-0000-0100-0000D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26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</xdr:colOff>
      <xdr:row>151</xdr:row>
      <xdr:rowOff>51435</xdr:rowOff>
    </xdr:to>
    <xdr:pic>
      <xdr:nvPicPr>
        <xdr:cNvPr id="11220" name="Picture 12" descr=" ">
          <a:extLst>
            <a:ext uri="{FF2B5EF4-FFF2-40B4-BE49-F238E27FC236}">
              <a16:creationId xmlns:a16="http://schemas.microsoft.com/office/drawing/2014/main" id="{00000000-0008-0000-0100-0000D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266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</xdr:colOff>
      <xdr:row>152</xdr:row>
      <xdr:rowOff>51435</xdr:rowOff>
    </xdr:to>
    <xdr:pic>
      <xdr:nvPicPr>
        <xdr:cNvPr id="11221" name="Picture 7" descr=" ">
          <a:extLst>
            <a:ext uri="{FF2B5EF4-FFF2-40B4-BE49-F238E27FC236}">
              <a16:creationId xmlns:a16="http://schemas.microsoft.com/office/drawing/2014/main" id="{00000000-0008-0000-0100-0000D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88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</xdr:colOff>
      <xdr:row>152</xdr:row>
      <xdr:rowOff>51435</xdr:rowOff>
    </xdr:to>
    <xdr:pic>
      <xdr:nvPicPr>
        <xdr:cNvPr id="11222" name="Picture 8" descr=" ">
          <a:extLst>
            <a:ext uri="{FF2B5EF4-FFF2-40B4-BE49-F238E27FC236}">
              <a16:creationId xmlns:a16="http://schemas.microsoft.com/office/drawing/2014/main" id="{00000000-0008-0000-0100-0000D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88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</xdr:colOff>
      <xdr:row>152</xdr:row>
      <xdr:rowOff>51435</xdr:rowOff>
    </xdr:to>
    <xdr:pic>
      <xdr:nvPicPr>
        <xdr:cNvPr id="11223" name="Picture 9" descr=" ">
          <a:extLst>
            <a:ext uri="{FF2B5EF4-FFF2-40B4-BE49-F238E27FC236}">
              <a16:creationId xmlns:a16="http://schemas.microsoft.com/office/drawing/2014/main" id="{00000000-0008-0000-0100-0000D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88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</xdr:colOff>
      <xdr:row>152</xdr:row>
      <xdr:rowOff>51435</xdr:rowOff>
    </xdr:to>
    <xdr:pic>
      <xdr:nvPicPr>
        <xdr:cNvPr id="11224" name="Picture 10" descr=" ">
          <a:extLst>
            <a:ext uri="{FF2B5EF4-FFF2-40B4-BE49-F238E27FC236}">
              <a16:creationId xmlns:a16="http://schemas.microsoft.com/office/drawing/2014/main" id="{00000000-0008-0000-0100-0000D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88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</xdr:colOff>
      <xdr:row>152</xdr:row>
      <xdr:rowOff>51435</xdr:rowOff>
    </xdr:to>
    <xdr:pic>
      <xdr:nvPicPr>
        <xdr:cNvPr id="11225" name="Picture 11" descr=" ">
          <a:extLst>
            <a:ext uri="{FF2B5EF4-FFF2-40B4-BE49-F238E27FC236}">
              <a16:creationId xmlns:a16="http://schemas.microsoft.com/office/drawing/2014/main" id="{00000000-0008-0000-0100-0000D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88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</xdr:colOff>
      <xdr:row>152</xdr:row>
      <xdr:rowOff>51435</xdr:rowOff>
    </xdr:to>
    <xdr:pic>
      <xdr:nvPicPr>
        <xdr:cNvPr id="11226" name="Picture 12" descr=" ">
          <a:extLst>
            <a:ext uri="{FF2B5EF4-FFF2-40B4-BE49-F238E27FC236}">
              <a16:creationId xmlns:a16="http://schemas.microsoft.com/office/drawing/2014/main" id="{00000000-0008-0000-0100-0000D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88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</xdr:colOff>
      <xdr:row>152</xdr:row>
      <xdr:rowOff>51435</xdr:rowOff>
    </xdr:to>
    <xdr:pic>
      <xdr:nvPicPr>
        <xdr:cNvPr id="11227" name="Picture 7" descr=" ">
          <a:extLst>
            <a:ext uri="{FF2B5EF4-FFF2-40B4-BE49-F238E27FC236}">
              <a16:creationId xmlns:a16="http://schemas.microsoft.com/office/drawing/2014/main" id="{00000000-0008-0000-0100-0000D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88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</xdr:colOff>
      <xdr:row>152</xdr:row>
      <xdr:rowOff>51435</xdr:rowOff>
    </xdr:to>
    <xdr:pic>
      <xdr:nvPicPr>
        <xdr:cNvPr id="11228" name="Picture 8" descr=" ">
          <a:extLst>
            <a:ext uri="{FF2B5EF4-FFF2-40B4-BE49-F238E27FC236}">
              <a16:creationId xmlns:a16="http://schemas.microsoft.com/office/drawing/2014/main" id="{00000000-0008-0000-0100-0000D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88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</xdr:colOff>
      <xdr:row>152</xdr:row>
      <xdr:rowOff>51435</xdr:rowOff>
    </xdr:to>
    <xdr:pic>
      <xdr:nvPicPr>
        <xdr:cNvPr id="11229" name="Picture 9" descr=" ">
          <a:extLst>
            <a:ext uri="{FF2B5EF4-FFF2-40B4-BE49-F238E27FC236}">
              <a16:creationId xmlns:a16="http://schemas.microsoft.com/office/drawing/2014/main" id="{00000000-0008-0000-0100-0000D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88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</xdr:colOff>
      <xdr:row>152</xdr:row>
      <xdr:rowOff>51435</xdr:rowOff>
    </xdr:to>
    <xdr:pic>
      <xdr:nvPicPr>
        <xdr:cNvPr id="11230" name="Picture 10" descr=" ">
          <a:extLst>
            <a:ext uri="{FF2B5EF4-FFF2-40B4-BE49-F238E27FC236}">
              <a16:creationId xmlns:a16="http://schemas.microsoft.com/office/drawing/2014/main" id="{00000000-0008-0000-0100-0000D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88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</xdr:colOff>
      <xdr:row>152</xdr:row>
      <xdr:rowOff>51435</xdr:rowOff>
    </xdr:to>
    <xdr:pic>
      <xdr:nvPicPr>
        <xdr:cNvPr id="11231" name="Picture 11" descr=" ">
          <a:extLst>
            <a:ext uri="{FF2B5EF4-FFF2-40B4-BE49-F238E27FC236}">
              <a16:creationId xmlns:a16="http://schemas.microsoft.com/office/drawing/2014/main" id="{00000000-0008-0000-0100-0000D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88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</xdr:colOff>
      <xdr:row>152</xdr:row>
      <xdr:rowOff>51435</xdr:rowOff>
    </xdr:to>
    <xdr:pic>
      <xdr:nvPicPr>
        <xdr:cNvPr id="11232" name="Picture 12" descr=" ">
          <a:extLst>
            <a:ext uri="{FF2B5EF4-FFF2-40B4-BE49-F238E27FC236}">
              <a16:creationId xmlns:a16="http://schemas.microsoft.com/office/drawing/2014/main" id="{00000000-0008-0000-0100-0000E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885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9525</xdr:colOff>
      <xdr:row>153</xdr:row>
      <xdr:rowOff>51435</xdr:rowOff>
    </xdr:to>
    <xdr:pic>
      <xdr:nvPicPr>
        <xdr:cNvPr id="11233" name="Picture 7" descr=" ">
          <a:extLst>
            <a:ext uri="{FF2B5EF4-FFF2-40B4-BE49-F238E27FC236}">
              <a16:creationId xmlns:a16="http://schemas.microsoft.com/office/drawing/2014/main" id="{00000000-0008-0000-0100-0000E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50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9525</xdr:colOff>
      <xdr:row>153</xdr:row>
      <xdr:rowOff>51435</xdr:rowOff>
    </xdr:to>
    <xdr:pic>
      <xdr:nvPicPr>
        <xdr:cNvPr id="11234" name="Picture 8" descr=" ">
          <a:extLst>
            <a:ext uri="{FF2B5EF4-FFF2-40B4-BE49-F238E27FC236}">
              <a16:creationId xmlns:a16="http://schemas.microsoft.com/office/drawing/2014/main" id="{00000000-0008-0000-0100-0000E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50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9525</xdr:colOff>
      <xdr:row>153</xdr:row>
      <xdr:rowOff>51435</xdr:rowOff>
    </xdr:to>
    <xdr:pic>
      <xdr:nvPicPr>
        <xdr:cNvPr id="11235" name="Picture 9" descr=" ">
          <a:extLst>
            <a:ext uri="{FF2B5EF4-FFF2-40B4-BE49-F238E27FC236}">
              <a16:creationId xmlns:a16="http://schemas.microsoft.com/office/drawing/2014/main" id="{00000000-0008-0000-0100-0000E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50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9525</xdr:colOff>
      <xdr:row>153</xdr:row>
      <xdr:rowOff>51435</xdr:rowOff>
    </xdr:to>
    <xdr:pic>
      <xdr:nvPicPr>
        <xdr:cNvPr id="11236" name="Picture 10" descr=" ">
          <a:extLst>
            <a:ext uri="{FF2B5EF4-FFF2-40B4-BE49-F238E27FC236}">
              <a16:creationId xmlns:a16="http://schemas.microsoft.com/office/drawing/2014/main" id="{00000000-0008-0000-0100-0000E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50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9525</xdr:colOff>
      <xdr:row>153</xdr:row>
      <xdr:rowOff>51435</xdr:rowOff>
    </xdr:to>
    <xdr:pic>
      <xdr:nvPicPr>
        <xdr:cNvPr id="11237" name="Picture 11" descr=" ">
          <a:extLst>
            <a:ext uri="{FF2B5EF4-FFF2-40B4-BE49-F238E27FC236}">
              <a16:creationId xmlns:a16="http://schemas.microsoft.com/office/drawing/2014/main" id="{00000000-0008-0000-0100-0000E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50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9525</xdr:colOff>
      <xdr:row>153</xdr:row>
      <xdr:rowOff>51435</xdr:rowOff>
    </xdr:to>
    <xdr:pic>
      <xdr:nvPicPr>
        <xdr:cNvPr id="11238" name="Picture 12" descr=" ">
          <a:extLst>
            <a:ext uri="{FF2B5EF4-FFF2-40B4-BE49-F238E27FC236}">
              <a16:creationId xmlns:a16="http://schemas.microsoft.com/office/drawing/2014/main" id="{00000000-0008-0000-0100-0000E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50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9525</xdr:colOff>
      <xdr:row>153</xdr:row>
      <xdr:rowOff>51435</xdr:rowOff>
    </xdr:to>
    <xdr:pic>
      <xdr:nvPicPr>
        <xdr:cNvPr id="11239" name="Picture 7" descr=" ">
          <a:extLst>
            <a:ext uri="{FF2B5EF4-FFF2-40B4-BE49-F238E27FC236}">
              <a16:creationId xmlns:a16="http://schemas.microsoft.com/office/drawing/2014/main" id="{00000000-0008-0000-0100-0000E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50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9525</xdr:colOff>
      <xdr:row>153</xdr:row>
      <xdr:rowOff>51435</xdr:rowOff>
    </xdr:to>
    <xdr:pic>
      <xdr:nvPicPr>
        <xdr:cNvPr id="11240" name="Picture 8" descr=" ">
          <a:extLst>
            <a:ext uri="{FF2B5EF4-FFF2-40B4-BE49-F238E27FC236}">
              <a16:creationId xmlns:a16="http://schemas.microsoft.com/office/drawing/2014/main" id="{00000000-0008-0000-0100-0000E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50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9525</xdr:colOff>
      <xdr:row>153</xdr:row>
      <xdr:rowOff>51435</xdr:rowOff>
    </xdr:to>
    <xdr:pic>
      <xdr:nvPicPr>
        <xdr:cNvPr id="11241" name="Picture 9" descr=" ">
          <a:extLst>
            <a:ext uri="{FF2B5EF4-FFF2-40B4-BE49-F238E27FC236}">
              <a16:creationId xmlns:a16="http://schemas.microsoft.com/office/drawing/2014/main" id="{00000000-0008-0000-0100-0000E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50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9525</xdr:colOff>
      <xdr:row>153</xdr:row>
      <xdr:rowOff>51435</xdr:rowOff>
    </xdr:to>
    <xdr:pic>
      <xdr:nvPicPr>
        <xdr:cNvPr id="11242" name="Picture 10" descr=" ">
          <a:extLst>
            <a:ext uri="{FF2B5EF4-FFF2-40B4-BE49-F238E27FC236}">
              <a16:creationId xmlns:a16="http://schemas.microsoft.com/office/drawing/2014/main" id="{00000000-0008-0000-0100-0000E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50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9525</xdr:colOff>
      <xdr:row>153</xdr:row>
      <xdr:rowOff>51435</xdr:rowOff>
    </xdr:to>
    <xdr:pic>
      <xdr:nvPicPr>
        <xdr:cNvPr id="11243" name="Picture 11" descr=" ">
          <a:extLst>
            <a:ext uri="{FF2B5EF4-FFF2-40B4-BE49-F238E27FC236}">
              <a16:creationId xmlns:a16="http://schemas.microsoft.com/office/drawing/2014/main" id="{00000000-0008-0000-0100-0000E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50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9525</xdr:colOff>
      <xdr:row>153</xdr:row>
      <xdr:rowOff>51435</xdr:rowOff>
    </xdr:to>
    <xdr:pic>
      <xdr:nvPicPr>
        <xdr:cNvPr id="11244" name="Picture 12" descr=" ">
          <a:extLst>
            <a:ext uri="{FF2B5EF4-FFF2-40B4-BE49-F238E27FC236}">
              <a16:creationId xmlns:a16="http://schemas.microsoft.com/office/drawing/2014/main" id="{00000000-0008-0000-0100-0000E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6504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51435</xdr:rowOff>
    </xdr:to>
    <xdr:pic>
      <xdr:nvPicPr>
        <xdr:cNvPr id="11245" name="Picture 7" descr=" ">
          <a:extLst>
            <a:ext uri="{FF2B5EF4-FFF2-40B4-BE49-F238E27FC236}">
              <a16:creationId xmlns:a16="http://schemas.microsoft.com/office/drawing/2014/main" id="{00000000-0008-0000-0100-0000E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12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51435</xdr:rowOff>
    </xdr:to>
    <xdr:pic>
      <xdr:nvPicPr>
        <xdr:cNvPr id="11246" name="Picture 8" descr=" ">
          <a:extLst>
            <a:ext uri="{FF2B5EF4-FFF2-40B4-BE49-F238E27FC236}">
              <a16:creationId xmlns:a16="http://schemas.microsoft.com/office/drawing/2014/main" id="{00000000-0008-0000-0100-0000E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12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51435</xdr:rowOff>
    </xdr:to>
    <xdr:pic>
      <xdr:nvPicPr>
        <xdr:cNvPr id="11247" name="Picture 9" descr=" ">
          <a:extLst>
            <a:ext uri="{FF2B5EF4-FFF2-40B4-BE49-F238E27FC236}">
              <a16:creationId xmlns:a16="http://schemas.microsoft.com/office/drawing/2014/main" id="{00000000-0008-0000-0100-0000E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12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51435</xdr:rowOff>
    </xdr:to>
    <xdr:pic>
      <xdr:nvPicPr>
        <xdr:cNvPr id="11248" name="Picture 10" descr=" ">
          <a:extLst>
            <a:ext uri="{FF2B5EF4-FFF2-40B4-BE49-F238E27FC236}">
              <a16:creationId xmlns:a16="http://schemas.microsoft.com/office/drawing/2014/main" id="{00000000-0008-0000-0100-0000F0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12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51435</xdr:rowOff>
    </xdr:to>
    <xdr:pic>
      <xdr:nvPicPr>
        <xdr:cNvPr id="11249" name="Picture 11" descr=" ">
          <a:extLst>
            <a:ext uri="{FF2B5EF4-FFF2-40B4-BE49-F238E27FC236}">
              <a16:creationId xmlns:a16="http://schemas.microsoft.com/office/drawing/2014/main" id="{00000000-0008-0000-0100-0000F1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12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51435</xdr:rowOff>
    </xdr:to>
    <xdr:pic>
      <xdr:nvPicPr>
        <xdr:cNvPr id="11250" name="Picture 12" descr=" ">
          <a:extLst>
            <a:ext uri="{FF2B5EF4-FFF2-40B4-BE49-F238E27FC236}">
              <a16:creationId xmlns:a16="http://schemas.microsoft.com/office/drawing/2014/main" id="{00000000-0008-0000-0100-0000F2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12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51435</xdr:rowOff>
    </xdr:to>
    <xdr:pic>
      <xdr:nvPicPr>
        <xdr:cNvPr id="11251" name="Picture 7" descr=" ">
          <a:extLst>
            <a:ext uri="{FF2B5EF4-FFF2-40B4-BE49-F238E27FC236}">
              <a16:creationId xmlns:a16="http://schemas.microsoft.com/office/drawing/2014/main" id="{00000000-0008-0000-0100-0000F3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12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51435</xdr:rowOff>
    </xdr:to>
    <xdr:pic>
      <xdr:nvPicPr>
        <xdr:cNvPr id="11252" name="Picture 8" descr=" ">
          <a:extLst>
            <a:ext uri="{FF2B5EF4-FFF2-40B4-BE49-F238E27FC236}">
              <a16:creationId xmlns:a16="http://schemas.microsoft.com/office/drawing/2014/main" id="{00000000-0008-0000-0100-0000F4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12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51435</xdr:rowOff>
    </xdr:to>
    <xdr:pic>
      <xdr:nvPicPr>
        <xdr:cNvPr id="11253" name="Picture 9" descr=" ">
          <a:extLst>
            <a:ext uri="{FF2B5EF4-FFF2-40B4-BE49-F238E27FC236}">
              <a16:creationId xmlns:a16="http://schemas.microsoft.com/office/drawing/2014/main" id="{00000000-0008-0000-0100-0000F5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12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51435</xdr:rowOff>
    </xdr:to>
    <xdr:pic>
      <xdr:nvPicPr>
        <xdr:cNvPr id="11254" name="Picture 10" descr=" ">
          <a:extLst>
            <a:ext uri="{FF2B5EF4-FFF2-40B4-BE49-F238E27FC236}">
              <a16:creationId xmlns:a16="http://schemas.microsoft.com/office/drawing/2014/main" id="{00000000-0008-0000-0100-0000F6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12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51435</xdr:rowOff>
    </xdr:to>
    <xdr:pic>
      <xdr:nvPicPr>
        <xdr:cNvPr id="11255" name="Picture 11" descr=" ">
          <a:extLst>
            <a:ext uri="{FF2B5EF4-FFF2-40B4-BE49-F238E27FC236}">
              <a16:creationId xmlns:a16="http://schemas.microsoft.com/office/drawing/2014/main" id="{00000000-0008-0000-0100-0000F7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12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51435</xdr:rowOff>
    </xdr:to>
    <xdr:pic>
      <xdr:nvPicPr>
        <xdr:cNvPr id="11256" name="Picture 12" descr=" ">
          <a:extLst>
            <a:ext uri="{FF2B5EF4-FFF2-40B4-BE49-F238E27FC236}">
              <a16:creationId xmlns:a16="http://schemas.microsoft.com/office/drawing/2014/main" id="{00000000-0008-0000-0100-0000F8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123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51435</xdr:rowOff>
    </xdr:to>
    <xdr:pic>
      <xdr:nvPicPr>
        <xdr:cNvPr id="11257" name="Picture 7" descr=" ">
          <a:extLst>
            <a:ext uri="{FF2B5EF4-FFF2-40B4-BE49-F238E27FC236}">
              <a16:creationId xmlns:a16="http://schemas.microsoft.com/office/drawing/2014/main" id="{00000000-0008-0000-0100-0000F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74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51435</xdr:rowOff>
    </xdr:to>
    <xdr:pic>
      <xdr:nvPicPr>
        <xdr:cNvPr id="11258" name="Picture 8" descr=" ">
          <a:extLst>
            <a:ext uri="{FF2B5EF4-FFF2-40B4-BE49-F238E27FC236}">
              <a16:creationId xmlns:a16="http://schemas.microsoft.com/office/drawing/2014/main" id="{00000000-0008-0000-0100-0000FA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74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51435</xdr:rowOff>
    </xdr:to>
    <xdr:pic>
      <xdr:nvPicPr>
        <xdr:cNvPr id="11259" name="Picture 9" descr=" ">
          <a:extLst>
            <a:ext uri="{FF2B5EF4-FFF2-40B4-BE49-F238E27FC236}">
              <a16:creationId xmlns:a16="http://schemas.microsoft.com/office/drawing/2014/main" id="{00000000-0008-0000-0100-0000FB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74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51435</xdr:rowOff>
    </xdr:to>
    <xdr:pic>
      <xdr:nvPicPr>
        <xdr:cNvPr id="11260" name="Picture 10" descr=" ">
          <a:extLst>
            <a:ext uri="{FF2B5EF4-FFF2-40B4-BE49-F238E27FC236}">
              <a16:creationId xmlns:a16="http://schemas.microsoft.com/office/drawing/2014/main" id="{00000000-0008-0000-0100-0000FC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74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51435</xdr:rowOff>
    </xdr:to>
    <xdr:pic>
      <xdr:nvPicPr>
        <xdr:cNvPr id="11261" name="Picture 11" descr=" ">
          <a:extLst>
            <a:ext uri="{FF2B5EF4-FFF2-40B4-BE49-F238E27FC236}">
              <a16:creationId xmlns:a16="http://schemas.microsoft.com/office/drawing/2014/main" id="{00000000-0008-0000-0100-0000FD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74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51435</xdr:rowOff>
    </xdr:to>
    <xdr:pic>
      <xdr:nvPicPr>
        <xdr:cNvPr id="11262" name="Picture 12" descr=" ">
          <a:extLst>
            <a:ext uri="{FF2B5EF4-FFF2-40B4-BE49-F238E27FC236}">
              <a16:creationId xmlns:a16="http://schemas.microsoft.com/office/drawing/2014/main" id="{00000000-0008-0000-0100-0000FE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74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51435</xdr:rowOff>
    </xdr:to>
    <xdr:pic>
      <xdr:nvPicPr>
        <xdr:cNvPr id="11263" name="Picture 7" descr=" ">
          <a:extLst>
            <a:ext uri="{FF2B5EF4-FFF2-40B4-BE49-F238E27FC236}">
              <a16:creationId xmlns:a16="http://schemas.microsoft.com/office/drawing/2014/main" id="{00000000-0008-0000-0100-0000FF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74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51435</xdr:rowOff>
    </xdr:to>
    <xdr:pic>
      <xdr:nvPicPr>
        <xdr:cNvPr id="11264" name="Picture 8" descr=" ">
          <a:extLst>
            <a:ext uri="{FF2B5EF4-FFF2-40B4-BE49-F238E27FC236}">
              <a16:creationId xmlns:a16="http://schemas.microsoft.com/office/drawing/2014/main" id="{00000000-0008-0000-0100-00000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74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51435</xdr:rowOff>
    </xdr:to>
    <xdr:pic>
      <xdr:nvPicPr>
        <xdr:cNvPr id="11265" name="Picture 9" descr=" ">
          <a:extLst>
            <a:ext uri="{FF2B5EF4-FFF2-40B4-BE49-F238E27FC236}">
              <a16:creationId xmlns:a16="http://schemas.microsoft.com/office/drawing/2014/main" id="{00000000-0008-0000-01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74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51435</xdr:rowOff>
    </xdr:to>
    <xdr:pic>
      <xdr:nvPicPr>
        <xdr:cNvPr id="11266" name="Picture 10" descr=" ">
          <a:extLst>
            <a:ext uri="{FF2B5EF4-FFF2-40B4-BE49-F238E27FC236}">
              <a16:creationId xmlns:a16="http://schemas.microsoft.com/office/drawing/2014/main" id="{00000000-0008-0000-0100-00000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74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51435</xdr:rowOff>
    </xdr:to>
    <xdr:pic>
      <xdr:nvPicPr>
        <xdr:cNvPr id="11267" name="Picture 11" descr=" ">
          <a:extLst>
            <a:ext uri="{FF2B5EF4-FFF2-40B4-BE49-F238E27FC236}">
              <a16:creationId xmlns:a16="http://schemas.microsoft.com/office/drawing/2014/main" id="{00000000-0008-0000-0100-00000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74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51435</xdr:rowOff>
    </xdr:to>
    <xdr:pic>
      <xdr:nvPicPr>
        <xdr:cNvPr id="11268" name="Picture 12" descr=" ">
          <a:extLst>
            <a:ext uri="{FF2B5EF4-FFF2-40B4-BE49-F238E27FC236}">
              <a16:creationId xmlns:a16="http://schemas.microsoft.com/office/drawing/2014/main" id="{00000000-0008-0000-0100-00000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74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9525</xdr:colOff>
      <xdr:row>156</xdr:row>
      <xdr:rowOff>51435</xdr:rowOff>
    </xdr:to>
    <xdr:pic>
      <xdr:nvPicPr>
        <xdr:cNvPr id="11269" name="Picture 7" descr=" ">
          <a:extLst>
            <a:ext uri="{FF2B5EF4-FFF2-40B4-BE49-F238E27FC236}">
              <a16:creationId xmlns:a16="http://schemas.microsoft.com/office/drawing/2014/main" id="{00000000-0008-0000-0100-00000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36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9525</xdr:colOff>
      <xdr:row>156</xdr:row>
      <xdr:rowOff>51435</xdr:rowOff>
    </xdr:to>
    <xdr:pic>
      <xdr:nvPicPr>
        <xdr:cNvPr id="11270" name="Picture 8" descr=" ">
          <a:extLst>
            <a:ext uri="{FF2B5EF4-FFF2-40B4-BE49-F238E27FC236}">
              <a16:creationId xmlns:a16="http://schemas.microsoft.com/office/drawing/2014/main" id="{00000000-0008-0000-0100-00000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36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9525</xdr:colOff>
      <xdr:row>156</xdr:row>
      <xdr:rowOff>51435</xdr:rowOff>
    </xdr:to>
    <xdr:pic>
      <xdr:nvPicPr>
        <xdr:cNvPr id="11271" name="Picture 9" descr=" ">
          <a:extLst>
            <a:ext uri="{FF2B5EF4-FFF2-40B4-BE49-F238E27FC236}">
              <a16:creationId xmlns:a16="http://schemas.microsoft.com/office/drawing/2014/main" id="{00000000-0008-0000-0100-00000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36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9525</xdr:colOff>
      <xdr:row>156</xdr:row>
      <xdr:rowOff>51435</xdr:rowOff>
    </xdr:to>
    <xdr:pic>
      <xdr:nvPicPr>
        <xdr:cNvPr id="11272" name="Picture 10" descr=" ">
          <a:extLst>
            <a:ext uri="{FF2B5EF4-FFF2-40B4-BE49-F238E27FC236}">
              <a16:creationId xmlns:a16="http://schemas.microsoft.com/office/drawing/2014/main" id="{00000000-0008-0000-0100-00000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36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9525</xdr:colOff>
      <xdr:row>156</xdr:row>
      <xdr:rowOff>51435</xdr:rowOff>
    </xdr:to>
    <xdr:pic>
      <xdr:nvPicPr>
        <xdr:cNvPr id="11273" name="Picture 11" descr=" ">
          <a:extLst>
            <a:ext uri="{FF2B5EF4-FFF2-40B4-BE49-F238E27FC236}">
              <a16:creationId xmlns:a16="http://schemas.microsoft.com/office/drawing/2014/main" id="{00000000-0008-0000-0100-00000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36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9525</xdr:colOff>
      <xdr:row>156</xdr:row>
      <xdr:rowOff>51435</xdr:rowOff>
    </xdr:to>
    <xdr:pic>
      <xdr:nvPicPr>
        <xdr:cNvPr id="11274" name="Picture 12" descr=" ">
          <a:extLst>
            <a:ext uri="{FF2B5EF4-FFF2-40B4-BE49-F238E27FC236}">
              <a16:creationId xmlns:a16="http://schemas.microsoft.com/office/drawing/2014/main" id="{00000000-0008-0000-0100-00000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36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9525</xdr:colOff>
      <xdr:row>156</xdr:row>
      <xdr:rowOff>51435</xdr:rowOff>
    </xdr:to>
    <xdr:pic>
      <xdr:nvPicPr>
        <xdr:cNvPr id="11275" name="Picture 7" descr=" ">
          <a:extLst>
            <a:ext uri="{FF2B5EF4-FFF2-40B4-BE49-F238E27FC236}">
              <a16:creationId xmlns:a16="http://schemas.microsoft.com/office/drawing/2014/main" id="{00000000-0008-0000-0100-00000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36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9525</xdr:colOff>
      <xdr:row>156</xdr:row>
      <xdr:rowOff>51435</xdr:rowOff>
    </xdr:to>
    <xdr:pic>
      <xdr:nvPicPr>
        <xdr:cNvPr id="11276" name="Picture 8" descr=" ">
          <a:extLst>
            <a:ext uri="{FF2B5EF4-FFF2-40B4-BE49-F238E27FC236}">
              <a16:creationId xmlns:a16="http://schemas.microsoft.com/office/drawing/2014/main" id="{00000000-0008-0000-0100-00000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36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9525</xdr:colOff>
      <xdr:row>156</xdr:row>
      <xdr:rowOff>51435</xdr:rowOff>
    </xdr:to>
    <xdr:pic>
      <xdr:nvPicPr>
        <xdr:cNvPr id="11277" name="Picture 9" descr=" ">
          <a:extLst>
            <a:ext uri="{FF2B5EF4-FFF2-40B4-BE49-F238E27FC236}">
              <a16:creationId xmlns:a16="http://schemas.microsoft.com/office/drawing/2014/main" id="{00000000-0008-0000-0100-00000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36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9525</xdr:colOff>
      <xdr:row>156</xdr:row>
      <xdr:rowOff>51435</xdr:rowOff>
    </xdr:to>
    <xdr:pic>
      <xdr:nvPicPr>
        <xdr:cNvPr id="11278" name="Picture 10" descr=" ">
          <a:extLst>
            <a:ext uri="{FF2B5EF4-FFF2-40B4-BE49-F238E27FC236}">
              <a16:creationId xmlns:a16="http://schemas.microsoft.com/office/drawing/2014/main" id="{00000000-0008-0000-0100-00000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36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9525</xdr:colOff>
      <xdr:row>156</xdr:row>
      <xdr:rowOff>51435</xdr:rowOff>
    </xdr:to>
    <xdr:pic>
      <xdr:nvPicPr>
        <xdr:cNvPr id="11279" name="Picture 11" descr=" ">
          <a:extLst>
            <a:ext uri="{FF2B5EF4-FFF2-40B4-BE49-F238E27FC236}">
              <a16:creationId xmlns:a16="http://schemas.microsoft.com/office/drawing/2014/main" id="{00000000-0008-0000-0100-00000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36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9525</xdr:colOff>
      <xdr:row>156</xdr:row>
      <xdr:rowOff>51435</xdr:rowOff>
    </xdr:to>
    <xdr:pic>
      <xdr:nvPicPr>
        <xdr:cNvPr id="11280" name="Picture 12" descr=" ">
          <a:extLst>
            <a:ext uri="{FF2B5EF4-FFF2-40B4-BE49-F238E27FC236}">
              <a16:creationId xmlns:a16="http://schemas.microsoft.com/office/drawing/2014/main" id="{00000000-0008-0000-0100-00001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362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</xdr:colOff>
      <xdr:row>157</xdr:row>
      <xdr:rowOff>51435</xdr:rowOff>
    </xdr:to>
    <xdr:pic>
      <xdr:nvPicPr>
        <xdr:cNvPr id="11281" name="Picture 7" descr=" ">
          <a:extLst>
            <a:ext uri="{FF2B5EF4-FFF2-40B4-BE49-F238E27FC236}">
              <a16:creationId xmlns:a16="http://schemas.microsoft.com/office/drawing/2014/main" id="{00000000-0008-0000-0100-00001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98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</xdr:colOff>
      <xdr:row>157</xdr:row>
      <xdr:rowOff>51435</xdr:rowOff>
    </xdr:to>
    <xdr:pic>
      <xdr:nvPicPr>
        <xdr:cNvPr id="11282" name="Picture 8" descr=" ">
          <a:extLst>
            <a:ext uri="{FF2B5EF4-FFF2-40B4-BE49-F238E27FC236}">
              <a16:creationId xmlns:a16="http://schemas.microsoft.com/office/drawing/2014/main" id="{00000000-0008-0000-0100-00001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98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</xdr:colOff>
      <xdr:row>157</xdr:row>
      <xdr:rowOff>51435</xdr:rowOff>
    </xdr:to>
    <xdr:pic>
      <xdr:nvPicPr>
        <xdr:cNvPr id="11283" name="Picture 9" descr=" ">
          <a:extLst>
            <a:ext uri="{FF2B5EF4-FFF2-40B4-BE49-F238E27FC236}">
              <a16:creationId xmlns:a16="http://schemas.microsoft.com/office/drawing/2014/main" id="{00000000-0008-0000-0100-00001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98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</xdr:colOff>
      <xdr:row>157</xdr:row>
      <xdr:rowOff>51435</xdr:rowOff>
    </xdr:to>
    <xdr:pic>
      <xdr:nvPicPr>
        <xdr:cNvPr id="11284" name="Picture 10" descr=" ">
          <a:extLst>
            <a:ext uri="{FF2B5EF4-FFF2-40B4-BE49-F238E27FC236}">
              <a16:creationId xmlns:a16="http://schemas.microsoft.com/office/drawing/2014/main" id="{00000000-0008-0000-0100-00001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98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</xdr:colOff>
      <xdr:row>157</xdr:row>
      <xdr:rowOff>51435</xdr:rowOff>
    </xdr:to>
    <xdr:pic>
      <xdr:nvPicPr>
        <xdr:cNvPr id="11285" name="Picture 11" descr=" ">
          <a:extLst>
            <a:ext uri="{FF2B5EF4-FFF2-40B4-BE49-F238E27FC236}">
              <a16:creationId xmlns:a16="http://schemas.microsoft.com/office/drawing/2014/main" id="{00000000-0008-0000-0100-00001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98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</xdr:colOff>
      <xdr:row>157</xdr:row>
      <xdr:rowOff>51435</xdr:rowOff>
    </xdr:to>
    <xdr:pic>
      <xdr:nvPicPr>
        <xdr:cNvPr id="11286" name="Picture 12" descr=" ">
          <a:extLst>
            <a:ext uri="{FF2B5EF4-FFF2-40B4-BE49-F238E27FC236}">
              <a16:creationId xmlns:a16="http://schemas.microsoft.com/office/drawing/2014/main" id="{00000000-0008-0000-0100-00001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98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</xdr:colOff>
      <xdr:row>157</xdr:row>
      <xdr:rowOff>51435</xdr:rowOff>
    </xdr:to>
    <xdr:pic>
      <xdr:nvPicPr>
        <xdr:cNvPr id="11287" name="Picture 7" descr=" ">
          <a:extLst>
            <a:ext uri="{FF2B5EF4-FFF2-40B4-BE49-F238E27FC236}">
              <a16:creationId xmlns:a16="http://schemas.microsoft.com/office/drawing/2014/main" id="{00000000-0008-0000-0100-00001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98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</xdr:colOff>
      <xdr:row>157</xdr:row>
      <xdr:rowOff>51435</xdr:rowOff>
    </xdr:to>
    <xdr:pic>
      <xdr:nvPicPr>
        <xdr:cNvPr id="11288" name="Picture 8" descr=" ">
          <a:extLst>
            <a:ext uri="{FF2B5EF4-FFF2-40B4-BE49-F238E27FC236}">
              <a16:creationId xmlns:a16="http://schemas.microsoft.com/office/drawing/2014/main" id="{00000000-0008-0000-0100-00001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98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</xdr:colOff>
      <xdr:row>157</xdr:row>
      <xdr:rowOff>51435</xdr:rowOff>
    </xdr:to>
    <xdr:pic>
      <xdr:nvPicPr>
        <xdr:cNvPr id="11289" name="Picture 9" descr=" ">
          <a:extLst>
            <a:ext uri="{FF2B5EF4-FFF2-40B4-BE49-F238E27FC236}">
              <a16:creationId xmlns:a16="http://schemas.microsoft.com/office/drawing/2014/main" id="{00000000-0008-0000-0100-00001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98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</xdr:colOff>
      <xdr:row>157</xdr:row>
      <xdr:rowOff>51435</xdr:rowOff>
    </xdr:to>
    <xdr:pic>
      <xdr:nvPicPr>
        <xdr:cNvPr id="11290" name="Picture 10" descr=" ">
          <a:extLst>
            <a:ext uri="{FF2B5EF4-FFF2-40B4-BE49-F238E27FC236}">
              <a16:creationId xmlns:a16="http://schemas.microsoft.com/office/drawing/2014/main" id="{00000000-0008-0000-0100-00001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98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</xdr:colOff>
      <xdr:row>157</xdr:row>
      <xdr:rowOff>51435</xdr:rowOff>
    </xdr:to>
    <xdr:pic>
      <xdr:nvPicPr>
        <xdr:cNvPr id="11291" name="Picture 11" descr=" ">
          <a:extLst>
            <a:ext uri="{FF2B5EF4-FFF2-40B4-BE49-F238E27FC236}">
              <a16:creationId xmlns:a16="http://schemas.microsoft.com/office/drawing/2014/main" id="{00000000-0008-0000-0100-00001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98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</xdr:colOff>
      <xdr:row>157</xdr:row>
      <xdr:rowOff>51435</xdr:rowOff>
    </xdr:to>
    <xdr:pic>
      <xdr:nvPicPr>
        <xdr:cNvPr id="11292" name="Picture 12" descr=" ">
          <a:extLst>
            <a:ext uri="{FF2B5EF4-FFF2-40B4-BE49-F238E27FC236}">
              <a16:creationId xmlns:a16="http://schemas.microsoft.com/office/drawing/2014/main" id="{00000000-0008-0000-0100-00001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981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</xdr:colOff>
      <xdr:row>158</xdr:row>
      <xdr:rowOff>51435</xdr:rowOff>
    </xdr:to>
    <xdr:pic>
      <xdr:nvPicPr>
        <xdr:cNvPr id="11293" name="Picture 7" descr=" ">
          <a:extLst>
            <a:ext uri="{FF2B5EF4-FFF2-40B4-BE49-F238E27FC236}">
              <a16:creationId xmlns:a16="http://schemas.microsoft.com/office/drawing/2014/main" id="{00000000-0008-0000-0100-00001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6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</xdr:colOff>
      <xdr:row>158</xdr:row>
      <xdr:rowOff>51435</xdr:rowOff>
    </xdr:to>
    <xdr:pic>
      <xdr:nvPicPr>
        <xdr:cNvPr id="11294" name="Picture 8" descr=" ">
          <a:extLst>
            <a:ext uri="{FF2B5EF4-FFF2-40B4-BE49-F238E27FC236}">
              <a16:creationId xmlns:a16="http://schemas.microsoft.com/office/drawing/2014/main" id="{00000000-0008-0000-0100-00001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6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</xdr:colOff>
      <xdr:row>158</xdr:row>
      <xdr:rowOff>51435</xdr:rowOff>
    </xdr:to>
    <xdr:pic>
      <xdr:nvPicPr>
        <xdr:cNvPr id="11295" name="Picture 9" descr=" ">
          <a:extLst>
            <a:ext uri="{FF2B5EF4-FFF2-40B4-BE49-F238E27FC236}">
              <a16:creationId xmlns:a16="http://schemas.microsoft.com/office/drawing/2014/main" id="{00000000-0008-0000-0100-00001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6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</xdr:colOff>
      <xdr:row>158</xdr:row>
      <xdr:rowOff>51435</xdr:rowOff>
    </xdr:to>
    <xdr:pic>
      <xdr:nvPicPr>
        <xdr:cNvPr id="11296" name="Picture 10" descr=" ">
          <a:extLst>
            <a:ext uri="{FF2B5EF4-FFF2-40B4-BE49-F238E27FC236}">
              <a16:creationId xmlns:a16="http://schemas.microsoft.com/office/drawing/2014/main" id="{00000000-0008-0000-0100-00002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6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</xdr:colOff>
      <xdr:row>158</xdr:row>
      <xdr:rowOff>51435</xdr:rowOff>
    </xdr:to>
    <xdr:pic>
      <xdr:nvPicPr>
        <xdr:cNvPr id="11297" name="Picture 11" descr=" ">
          <a:extLst>
            <a:ext uri="{FF2B5EF4-FFF2-40B4-BE49-F238E27FC236}">
              <a16:creationId xmlns:a16="http://schemas.microsoft.com/office/drawing/2014/main" id="{00000000-0008-0000-0100-00002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6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</xdr:colOff>
      <xdr:row>158</xdr:row>
      <xdr:rowOff>51435</xdr:rowOff>
    </xdr:to>
    <xdr:pic>
      <xdr:nvPicPr>
        <xdr:cNvPr id="11298" name="Picture 12" descr=" ">
          <a:extLst>
            <a:ext uri="{FF2B5EF4-FFF2-40B4-BE49-F238E27FC236}">
              <a16:creationId xmlns:a16="http://schemas.microsoft.com/office/drawing/2014/main" id="{00000000-0008-0000-0100-00002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6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</xdr:colOff>
      <xdr:row>158</xdr:row>
      <xdr:rowOff>51435</xdr:rowOff>
    </xdr:to>
    <xdr:pic>
      <xdr:nvPicPr>
        <xdr:cNvPr id="11299" name="Picture 7" descr=" ">
          <a:extLst>
            <a:ext uri="{FF2B5EF4-FFF2-40B4-BE49-F238E27FC236}">
              <a16:creationId xmlns:a16="http://schemas.microsoft.com/office/drawing/2014/main" id="{00000000-0008-0000-0100-00002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6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</xdr:colOff>
      <xdr:row>158</xdr:row>
      <xdr:rowOff>51435</xdr:rowOff>
    </xdr:to>
    <xdr:pic>
      <xdr:nvPicPr>
        <xdr:cNvPr id="11300" name="Picture 8" descr=" ">
          <a:extLst>
            <a:ext uri="{FF2B5EF4-FFF2-40B4-BE49-F238E27FC236}">
              <a16:creationId xmlns:a16="http://schemas.microsoft.com/office/drawing/2014/main" id="{00000000-0008-0000-0100-00002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6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</xdr:colOff>
      <xdr:row>158</xdr:row>
      <xdr:rowOff>51435</xdr:rowOff>
    </xdr:to>
    <xdr:pic>
      <xdr:nvPicPr>
        <xdr:cNvPr id="11301" name="Picture 9" descr=" ">
          <a:extLst>
            <a:ext uri="{FF2B5EF4-FFF2-40B4-BE49-F238E27FC236}">
              <a16:creationId xmlns:a16="http://schemas.microsoft.com/office/drawing/2014/main" id="{00000000-0008-0000-0100-00002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6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</xdr:colOff>
      <xdr:row>158</xdr:row>
      <xdr:rowOff>51435</xdr:rowOff>
    </xdr:to>
    <xdr:pic>
      <xdr:nvPicPr>
        <xdr:cNvPr id="11302" name="Picture 10" descr=" ">
          <a:extLst>
            <a:ext uri="{FF2B5EF4-FFF2-40B4-BE49-F238E27FC236}">
              <a16:creationId xmlns:a16="http://schemas.microsoft.com/office/drawing/2014/main" id="{00000000-0008-0000-0100-00002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6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</xdr:colOff>
      <xdr:row>158</xdr:row>
      <xdr:rowOff>51435</xdr:rowOff>
    </xdr:to>
    <xdr:pic>
      <xdr:nvPicPr>
        <xdr:cNvPr id="11303" name="Picture 11" descr=" ">
          <a:extLst>
            <a:ext uri="{FF2B5EF4-FFF2-40B4-BE49-F238E27FC236}">
              <a16:creationId xmlns:a16="http://schemas.microsoft.com/office/drawing/2014/main" id="{00000000-0008-0000-0100-00002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6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</xdr:colOff>
      <xdr:row>158</xdr:row>
      <xdr:rowOff>51435</xdr:rowOff>
    </xdr:to>
    <xdr:pic>
      <xdr:nvPicPr>
        <xdr:cNvPr id="11304" name="Picture 12" descr=" ">
          <a:extLst>
            <a:ext uri="{FF2B5EF4-FFF2-40B4-BE49-F238E27FC236}">
              <a16:creationId xmlns:a16="http://schemas.microsoft.com/office/drawing/2014/main" id="{00000000-0008-0000-0100-00002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600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</xdr:colOff>
      <xdr:row>159</xdr:row>
      <xdr:rowOff>51435</xdr:rowOff>
    </xdr:to>
    <xdr:pic>
      <xdr:nvPicPr>
        <xdr:cNvPr id="11305" name="Picture 7" descr=" ">
          <a:extLst>
            <a:ext uri="{FF2B5EF4-FFF2-40B4-BE49-F238E27FC236}">
              <a16:creationId xmlns:a16="http://schemas.microsoft.com/office/drawing/2014/main" id="{00000000-0008-0000-0100-00002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</xdr:colOff>
      <xdr:row>159</xdr:row>
      <xdr:rowOff>51435</xdr:rowOff>
    </xdr:to>
    <xdr:pic>
      <xdr:nvPicPr>
        <xdr:cNvPr id="11306" name="Picture 8" descr=" ">
          <a:extLst>
            <a:ext uri="{FF2B5EF4-FFF2-40B4-BE49-F238E27FC236}">
              <a16:creationId xmlns:a16="http://schemas.microsoft.com/office/drawing/2014/main" id="{00000000-0008-0000-0100-00002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</xdr:colOff>
      <xdr:row>159</xdr:row>
      <xdr:rowOff>51435</xdr:rowOff>
    </xdr:to>
    <xdr:pic>
      <xdr:nvPicPr>
        <xdr:cNvPr id="11307" name="Picture 9" descr=" ">
          <a:extLst>
            <a:ext uri="{FF2B5EF4-FFF2-40B4-BE49-F238E27FC236}">
              <a16:creationId xmlns:a16="http://schemas.microsoft.com/office/drawing/2014/main" id="{00000000-0008-0000-0100-00002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</xdr:colOff>
      <xdr:row>159</xdr:row>
      <xdr:rowOff>51435</xdr:rowOff>
    </xdr:to>
    <xdr:pic>
      <xdr:nvPicPr>
        <xdr:cNvPr id="11308" name="Picture 10" descr=" ">
          <a:extLst>
            <a:ext uri="{FF2B5EF4-FFF2-40B4-BE49-F238E27FC236}">
              <a16:creationId xmlns:a16="http://schemas.microsoft.com/office/drawing/2014/main" id="{00000000-0008-0000-0100-00002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</xdr:colOff>
      <xdr:row>159</xdr:row>
      <xdr:rowOff>51435</xdr:rowOff>
    </xdr:to>
    <xdr:pic>
      <xdr:nvPicPr>
        <xdr:cNvPr id="11309" name="Picture 11" descr=" ">
          <a:extLst>
            <a:ext uri="{FF2B5EF4-FFF2-40B4-BE49-F238E27FC236}">
              <a16:creationId xmlns:a16="http://schemas.microsoft.com/office/drawing/2014/main" id="{00000000-0008-0000-0100-00002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</xdr:colOff>
      <xdr:row>159</xdr:row>
      <xdr:rowOff>51435</xdr:rowOff>
    </xdr:to>
    <xdr:pic>
      <xdr:nvPicPr>
        <xdr:cNvPr id="11310" name="Picture 12" descr=" ">
          <a:extLst>
            <a:ext uri="{FF2B5EF4-FFF2-40B4-BE49-F238E27FC236}">
              <a16:creationId xmlns:a16="http://schemas.microsoft.com/office/drawing/2014/main" id="{00000000-0008-0000-0100-00002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</xdr:colOff>
      <xdr:row>159</xdr:row>
      <xdr:rowOff>51435</xdr:rowOff>
    </xdr:to>
    <xdr:pic>
      <xdr:nvPicPr>
        <xdr:cNvPr id="11311" name="Picture 7" descr=" ">
          <a:extLst>
            <a:ext uri="{FF2B5EF4-FFF2-40B4-BE49-F238E27FC236}">
              <a16:creationId xmlns:a16="http://schemas.microsoft.com/office/drawing/2014/main" id="{00000000-0008-0000-0100-00002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</xdr:colOff>
      <xdr:row>159</xdr:row>
      <xdr:rowOff>51435</xdr:rowOff>
    </xdr:to>
    <xdr:pic>
      <xdr:nvPicPr>
        <xdr:cNvPr id="11312" name="Picture 8" descr=" ">
          <a:extLst>
            <a:ext uri="{FF2B5EF4-FFF2-40B4-BE49-F238E27FC236}">
              <a16:creationId xmlns:a16="http://schemas.microsoft.com/office/drawing/2014/main" id="{00000000-0008-0000-0100-00003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</xdr:colOff>
      <xdr:row>159</xdr:row>
      <xdr:rowOff>51435</xdr:rowOff>
    </xdr:to>
    <xdr:pic>
      <xdr:nvPicPr>
        <xdr:cNvPr id="11313" name="Picture 9" descr=" ">
          <a:extLst>
            <a:ext uri="{FF2B5EF4-FFF2-40B4-BE49-F238E27FC236}">
              <a16:creationId xmlns:a16="http://schemas.microsoft.com/office/drawing/2014/main" id="{00000000-0008-0000-0100-00003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</xdr:colOff>
      <xdr:row>159</xdr:row>
      <xdr:rowOff>51435</xdr:rowOff>
    </xdr:to>
    <xdr:pic>
      <xdr:nvPicPr>
        <xdr:cNvPr id="11314" name="Picture 10" descr=" ">
          <a:extLst>
            <a:ext uri="{FF2B5EF4-FFF2-40B4-BE49-F238E27FC236}">
              <a16:creationId xmlns:a16="http://schemas.microsoft.com/office/drawing/2014/main" id="{00000000-0008-0000-0100-00003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</xdr:colOff>
      <xdr:row>159</xdr:row>
      <xdr:rowOff>51435</xdr:rowOff>
    </xdr:to>
    <xdr:pic>
      <xdr:nvPicPr>
        <xdr:cNvPr id="11315" name="Picture 11" descr=" ">
          <a:extLst>
            <a:ext uri="{FF2B5EF4-FFF2-40B4-BE49-F238E27FC236}">
              <a16:creationId xmlns:a16="http://schemas.microsoft.com/office/drawing/2014/main" id="{00000000-0008-0000-0100-00003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</xdr:colOff>
      <xdr:row>159</xdr:row>
      <xdr:rowOff>51435</xdr:rowOff>
    </xdr:to>
    <xdr:pic>
      <xdr:nvPicPr>
        <xdr:cNvPr id="11316" name="Picture 12" descr=" ">
          <a:extLst>
            <a:ext uri="{FF2B5EF4-FFF2-40B4-BE49-F238E27FC236}">
              <a16:creationId xmlns:a16="http://schemas.microsoft.com/office/drawing/2014/main" id="{00000000-0008-0000-0100-00003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</xdr:colOff>
      <xdr:row>160</xdr:row>
      <xdr:rowOff>51435</xdr:rowOff>
    </xdr:to>
    <xdr:pic>
      <xdr:nvPicPr>
        <xdr:cNvPr id="11317" name="Picture 7" descr=" ">
          <a:extLst>
            <a:ext uri="{FF2B5EF4-FFF2-40B4-BE49-F238E27FC236}">
              <a16:creationId xmlns:a16="http://schemas.microsoft.com/office/drawing/2014/main" id="{00000000-0008-0000-0100-00003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8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</xdr:colOff>
      <xdr:row>160</xdr:row>
      <xdr:rowOff>51435</xdr:rowOff>
    </xdr:to>
    <xdr:pic>
      <xdr:nvPicPr>
        <xdr:cNvPr id="11318" name="Picture 8" descr=" ">
          <a:extLst>
            <a:ext uri="{FF2B5EF4-FFF2-40B4-BE49-F238E27FC236}">
              <a16:creationId xmlns:a16="http://schemas.microsoft.com/office/drawing/2014/main" id="{00000000-0008-0000-0100-00003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8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</xdr:colOff>
      <xdr:row>160</xdr:row>
      <xdr:rowOff>51435</xdr:rowOff>
    </xdr:to>
    <xdr:pic>
      <xdr:nvPicPr>
        <xdr:cNvPr id="11319" name="Picture 9" descr=" ">
          <a:extLst>
            <a:ext uri="{FF2B5EF4-FFF2-40B4-BE49-F238E27FC236}">
              <a16:creationId xmlns:a16="http://schemas.microsoft.com/office/drawing/2014/main" id="{00000000-0008-0000-0100-00003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8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</xdr:colOff>
      <xdr:row>160</xdr:row>
      <xdr:rowOff>51435</xdr:rowOff>
    </xdr:to>
    <xdr:pic>
      <xdr:nvPicPr>
        <xdr:cNvPr id="11320" name="Picture 10" descr=" ">
          <a:extLst>
            <a:ext uri="{FF2B5EF4-FFF2-40B4-BE49-F238E27FC236}">
              <a16:creationId xmlns:a16="http://schemas.microsoft.com/office/drawing/2014/main" id="{00000000-0008-0000-0100-00003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8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</xdr:colOff>
      <xdr:row>160</xdr:row>
      <xdr:rowOff>51435</xdr:rowOff>
    </xdr:to>
    <xdr:pic>
      <xdr:nvPicPr>
        <xdr:cNvPr id="11321" name="Picture 11" descr=" ">
          <a:extLst>
            <a:ext uri="{FF2B5EF4-FFF2-40B4-BE49-F238E27FC236}">
              <a16:creationId xmlns:a16="http://schemas.microsoft.com/office/drawing/2014/main" id="{00000000-0008-0000-0100-00003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8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</xdr:colOff>
      <xdr:row>160</xdr:row>
      <xdr:rowOff>51435</xdr:rowOff>
    </xdr:to>
    <xdr:pic>
      <xdr:nvPicPr>
        <xdr:cNvPr id="11322" name="Picture 12" descr=" ">
          <a:extLst>
            <a:ext uri="{FF2B5EF4-FFF2-40B4-BE49-F238E27FC236}">
              <a16:creationId xmlns:a16="http://schemas.microsoft.com/office/drawing/2014/main" id="{00000000-0008-0000-0100-00003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8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</xdr:colOff>
      <xdr:row>160</xdr:row>
      <xdr:rowOff>51435</xdr:rowOff>
    </xdr:to>
    <xdr:pic>
      <xdr:nvPicPr>
        <xdr:cNvPr id="11323" name="Picture 7" descr=" ">
          <a:extLst>
            <a:ext uri="{FF2B5EF4-FFF2-40B4-BE49-F238E27FC236}">
              <a16:creationId xmlns:a16="http://schemas.microsoft.com/office/drawing/2014/main" id="{00000000-0008-0000-0100-00003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8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</xdr:colOff>
      <xdr:row>160</xdr:row>
      <xdr:rowOff>51435</xdr:rowOff>
    </xdr:to>
    <xdr:pic>
      <xdr:nvPicPr>
        <xdr:cNvPr id="11324" name="Picture 8" descr=" ">
          <a:extLst>
            <a:ext uri="{FF2B5EF4-FFF2-40B4-BE49-F238E27FC236}">
              <a16:creationId xmlns:a16="http://schemas.microsoft.com/office/drawing/2014/main" id="{00000000-0008-0000-0100-00003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8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</xdr:colOff>
      <xdr:row>160</xdr:row>
      <xdr:rowOff>51435</xdr:rowOff>
    </xdr:to>
    <xdr:pic>
      <xdr:nvPicPr>
        <xdr:cNvPr id="11325" name="Picture 9" descr=" ">
          <a:extLst>
            <a:ext uri="{FF2B5EF4-FFF2-40B4-BE49-F238E27FC236}">
              <a16:creationId xmlns:a16="http://schemas.microsoft.com/office/drawing/2014/main" id="{00000000-0008-0000-0100-00003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8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</xdr:colOff>
      <xdr:row>160</xdr:row>
      <xdr:rowOff>51435</xdr:rowOff>
    </xdr:to>
    <xdr:pic>
      <xdr:nvPicPr>
        <xdr:cNvPr id="11326" name="Picture 10" descr=" ">
          <a:extLst>
            <a:ext uri="{FF2B5EF4-FFF2-40B4-BE49-F238E27FC236}">
              <a16:creationId xmlns:a16="http://schemas.microsoft.com/office/drawing/2014/main" id="{00000000-0008-0000-0100-00003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8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</xdr:colOff>
      <xdr:row>160</xdr:row>
      <xdr:rowOff>51435</xdr:rowOff>
    </xdr:to>
    <xdr:pic>
      <xdr:nvPicPr>
        <xdr:cNvPr id="11327" name="Picture 11" descr=" ">
          <a:extLst>
            <a:ext uri="{FF2B5EF4-FFF2-40B4-BE49-F238E27FC236}">
              <a16:creationId xmlns:a16="http://schemas.microsoft.com/office/drawing/2014/main" id="{00000000-0008-0000-0100-00003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8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</xdr:colOff>
      <xdr:row>160</xdr:row>
      <xdr:rowOff>51435</xdr:rowOff>
    </xdr:to>
    <xdr:pic>
      <xdr:nvPicPr>
        <xdr:cNvPr id="11328" name="Picture 12" descr=" ">
          <a:extLst>
            <a:ext uri="{FF2B5EF4-FFF2-40B4-BE49-F238E27FC236}">
              <a16:creationId xmlns:a16="http://schemas.microsoft.com/office/drawing/2014/main" id="{00000000-0008-0000-0100-00004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839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51435</xdr:rowOff>
    </xdr:to>
    <xdr:pic>
      <xdr:nvPicPr>
        <xdr:cNvPr id="11329" name="Picture 7" descr=" ">
          <a:extLst>
            <a:ext uri="{FF2B5EF4-FFF2-40B4-BE49-F238E27FC236}">
              <a16:creationId xmlns:a16="http://schemas.microsoft.com/office/drawing/2014/main" id="{00000000-0008-0000-0100-00004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4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51435</xdr:rowOff>
    </xdr:to>
    <xdr:pic>
      <xdr:nvPicPr>
        <xdr:cNvPr id="11330" name="Picture 8" descr=" ">
          <a:extLst>
            <a:ext uri="{FF2B5EF4-FFF2-40B4-BE49-F238E27FC236}">
              <a16:creationId xmlns:a16="http://schemas.microsoft.com/office/drawing/2014/main" id="{00000000-0008-0000-0100-00004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4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51435</xdr:rowOff>
    </xdr:to>
    <xdr:pic>
      <xdr:nvPicPr>
        <xdr:cNvPr id="11331" name="Picture 9" descr=" ">
          <a:extLst>
            <a:ext uri="{FF2B5EF4-FFF2-40B4-BE49-F238E27FC236}">
              <a16:creationId xmlns:a16="http://schemas.microsoft.com/office/drawing/2014/main" id="{00000000-0008-0000-0100-00004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4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51435</xdr:rowOff>
    </xdr:to>
    <xdr:pic>
      <xdr:nvPicPr>
        <xdr:cNvPr id="11332" name="Picture 10" descr=" ">
          <a:extLst>
            <a:ext uri="{FF2B5EF4-FFF2-40B4-BE49-F238E27FC236}">
              <a16:creationId xmlns:a16="http://schemas.microsoft.com/office/drawing/2014/main" id="{00000000-0008-0000-0100-00004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4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51435</xdr:rowOff>
    </xdr:to>
    <xdr:pic>
      <xdr:nvPicPr>
        <xdr:cNvPr id="11333" name="Picture 11" descr=" ">
          <a:extLst>
            <a:ext uri="{FF2B5EF4-FFF2-40B4-BE49-F238E27FC236}">
              <a16:creationId xmlns:a16="http://schemas.microsoft.com/office/drawing/2014/main" id="{00000000-0008-0000-0100-00004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4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51435</xdr:rowOff>
    </xdr:to>
    <xdr:pic>
      <xdr:nvPicPr>
        <xdr:cNvPr id="11334" name="Picture 12" descr=" ">
          <a:extLst>
            <a:ext uri="{FF2B5EF4-FFF2-40B4-BE49-F238E27FC236}">
              <a16:creationId xmlns:a16="http://schemas.microsoft.com/office/drawing/2014/main" id="{00000000-0008-0000-0100-00004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4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51435</xdr:rowOff>
    </xdr:to>
    <xdr:pic>
      <xdr:nvPicPr>
        <xdr:cNvPr id="11335" name="Picture 7" descr=" ">
          <a:extLst>
            <a:ext uri="{FF2B5EF4-FFF2-40B4-BE49-F238E27FC236}">
              <a16:creationId xmlns:a16="http://schemas.microsoft.com/office/drawing/2014/main" id="{00000000-0008-0000-0100-00004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4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51435</xdr:rowOff>
    </xdr:to>
    <xdr:pic>
      <xdr:nvPicPr>
        <xdr:cNvPr id="11336" name="Picture 8" descr=" ">
          <a:extLst>
            <a:ext uri="{FF2B5EF4-FFF2-40B4-BE49-F238E27FC236}">
              <a16:creationId xmlns:a16="http://schemas.microsoft.com/office/drawing/2014/main" id="{00000000-0008-0000-0100-00004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4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51435</xdr:rowOff>
    </xdr:to>
    <xdr:pic>
      <xdr:nvPicPr>
        <xdr:cNvPr id="11337" name="Picture 9" descr=" ">
          <a:extLst>
            <a:ext uri="{FF2B5EF4-FFF2-40B4-BE49-F238E27FC236}">
              <a16:creationId xmlns:a16="http://schemas.microsoft.com/office/drawing/2014/main" id="{00000000-0008-0000-0100-00004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4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51435</xdr:rowOff>
    </xdr:to>
    <xdr:pic>
      <xdr:nvPicPr>
        <xdr:cNvPr id="11338" name="Picture 10" descr=" ">
          <a:extLst>
            <a:ext uri="{FF2B5EF4-FFF2-40B4-BE49-F238E27FC236}">
              <a16:creationId xmlns:a16="http://schemas.microsoft.com/office/drawing/2014/main" id="{00000000-0008-0000-0100-00004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4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51435</xdr:rowOff>
    </xdr:to>
    <xdr:pic>
      <xdr:nvPicPr>
        <xdr:cNvPr id="11339" name="Picture 11" descr=" ">
          <a:extLst>
            <a:ext uri="{FF2B5EF4-FFF2-40B4-BE49-F238E27FC236}">
              <a16:creationId xmlns:a16="http://schemas.microsoft.com/office/drawing/2014/main" id="{00000000-0008-0000-0100-00004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4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51435</xdr:rowOff>
    </xdr:to>
    <xdr:pic>
      <xdr:nvPicPr>
        <xdr:cNvPr id="11340" name="Picture 12" descr=" ">
          <a:extLst>
            <a:ext uri="{FF2B5EF4-FFF2-40B4-BE49-F238E27FC236}">
              <a16:creationId xmlns:a16="http://schemas.microsoft.com/office/drawing/2014/main" id="{00000000-0008-0000-0100-00004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458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51435</xdr:rowOff>
    </xdr:to>
    <xdr:pic>
      <xdr:nvPicPr>
        <xdr:cNvPr id="11341" name="Picture 7" descr=" ">
          <a:extLst>
            <a:ext uri="{FF2B5EF4-FFF2-40B4-BE49-F238E27FC236}">
              <a16:creationId xmlns:a16="http://schemas.microsoft.com/office/drawing/2014/main" id="{00000000-0008-0000-0100-00004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07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51435</xdr:rowOff>
    </xdr:to>
    <xdr:pic>
      <xdr:nvPicPr>
        <xdr:cNvPr id="11342" name="Picture 8" descr=" ">
          <a:extLst>
            <a:ext uri="{FF2B5EF4-FFF2-40B4-BE49-F238E27FC236}">
              <a16:creationId xmlns:a16="http://schemas.microsoft.com/office/drawing/2014/main" id="{00000000-0008-0000-0100-00004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07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51435</xdr:rowOff>
    </xdr:to>
    <xdr:pic>
      <xdr:nvPicPr>
        <xdr:cNvPr id="11343" name="Picture 9" descr=" ">
          <a:extLst>
            <a:ext uri="{FF2B5EF4-FFF2-40B4-BE49-F238E27FC236}">
              <a16:creationId xmlns:a16="http://schemas.microsoft.com/office/drawing/2014/main" id="{00000000-0008-0000-0100-00004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07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51435</xdr:rowOff>
    </xdr:to>
    <xdr:pic>
      <xdr:nvPicPr>
        <xdr:cNvPr id="11344" name="Picture 10" descr=" ">
          <a:extLst>
            <a:ext uri="{FF2B5EF4-FFF2-40B4-BE49-F238E27FC236}">
              <a16:creationId xmlns:a16="http://schemas.microsoft.com/office/drawing/2014/main" id="{00000000-0008-0000-0100-00005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07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51435</xdr:rowOff>
    </xdr:to>
    <xdr:pic>
      <xdr:nvPicPr>
        <xdr:cNvPr id="11345" name="Picture 11" descr=" ">
          <a:extLst>
            <a:ext uri="{FF2B5EF4-FFF2-40B4-BE49-F238E27FC236}">
              <a16:creationId xmlns:a16="http://schemas.microsoft.com/office/drawing/2014/main" id="{00000000-0008-0000-0100-00005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07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51435</xdr:rowOff>
    </xdr:to>
    <xdr:pic>
      <xdr:nvPicPr>
        <xdr:cNvPr id="11346" name="Picture 12" descr=" ">
          <a:extLst>
            <a:ext uri="{FF2B5EF4-FFF2-40B4-BE49-F238E27FC236}">
              <a16:creationId xmlns:a16="http://schemas.microsoft.com/office/drawing/2014/main" id="{00000000-0008-0000-0100-00005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07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51435</xdr:rowOff>
    </xdr:to>
    <xdr:pic>
      <xdr:nvPicPr>
        <xdr:cNvPr id="11347" name="Picture 7" descr=" ">
          <a:extLst>
            <a:ext uri="{FF2B5EF4-FFF2-40B4-BE49-F238E27FC236}">
              <a16:creationId xmlns:a16="http://schemas.microsoft.com/office/drawing/2014/main" id="{00000000-0008-0000-0100-00005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07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51435</xdr:rowOff>
    </xdr:to>
    <xdr:pic>
      <xdr:nvPicPr>
        <xdr:cNvPr id="11348" name="Picture 8" descr=" ">
          <a:extLst>
            <a:ext uri="{FF2B5EF4-FFF2-40B4-BE49-F238E27FC236}">
              <a16:creationId xmlns:a16="http://schemas.microsoft.com/office/drawing/2014/main" id="{00000000-0008-0000-0100-00005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07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51435</xdr:rowOff>
    </xdr:to>
    <xdr:pic>
      <xdr:nvPicPr>
        <xdr:cNvPr id="11349" name="Picture 9" descr=" ">
          <a:extLst>
            <a:ext uri="{FF2B5EF4-FFF2-40B4-BE49-F238E27FC236}">
              <a16:creationId xmlns:a16="http://schemas.microsoft.com/office/drawing/2014/main" id="{00000000-0008-0000-0100-00005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07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51435</xdr:rowOff>
    </xdr:to>
    <xdr:pic>
      <xdr:nvPicPr>
        <xdr:cNvPr id="11350" name="Picture 10" descr=" ">
          <a:extLst>
            <a:ext uri="{FF2B5EF4-FFF2-40B4-BE49-F238E27FC236}">
              <a16:creationId xmlns:a16="http://schemas.microsoft.com/office/drawing/2014/main" id="{00000000-0008-0000-0100-00005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07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51435</xdr:rowOff>
    </xdr:to>
    <xdr:pic>
      <xdr:nvPicPr>
        <xdr:cNvPr id="11351" name="Picture 11" descr=" ">
          <a:extLst>
            <a:ext uri="{FF2B5EF4-FFF2-40B4-BE49-F238E27FC236}">
              <a16:creationId xmlns:a16="http://schemas.microsoft.com/office/drawing/2014/main" id="{00000000-0008-0000-0100-00005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07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51435</xdr:rowOff>
    </xdr:to>
    <xdr:pic>
      <xdr:nvPicPr>
        <xdr:cNvPr id="11352" name="Picture 12" descr=" ">
          <a:extLst>
            <a:ext uri="{FF2B5EF4-FFF2-40B4-BE49-F238E27FC236}">
              <a16:creationId xmlns:a16="http://schemas.microsoft.com/office/drawing/2014/main" id="{00000000-0008-0000-0100-00005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077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51435</xdr:rowOff>
    </xdr:to>
    <xdr:pic>
      <xdr:nvPicPr>
        <xdr:cNvPr id="11353" name="Picture 7" descr=" ">
          <a:extLst>
            <a:ext uri="{FF2B5EF4-FFF2-40B4-BE49-F238E27FC236}">
              <a16:creationId xmlns:a16="http://schemas.microsoft.com/office/drawing/2014/main" id="{00000000-0008-0000-0100-00005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69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51435</xdr:rowOff>
    </xdr:to>
    <xdr:pic>
      <xdr:nvPicPr>
        <xdr:cNvPr id="11354" name="Picture 8" descr=" ">
          <a:extLst>
            <a:ext uri="{FF2B5EF4-FFF2-40B4-BE49-F238E27FC236}">
              <a16:creationId xmlns:a16="http://schemas.microsoft.com/office/drawing/2014/main" id="{00000000-0008-0000-0100-00005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69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51435</xdr:rowOff>
    </xdr:to>
    <xdr:pic>
      <xdr:nvPicPr>
        <xdr:cNvPr id="11355" name="Picture 9" descr=" ">
          <a:extLst>
            <a:ext uri="{FF2B5EF4-FFF2-40B4-BE49-F238E27FC236}">
              <a16:creationId xmlns:a16="http://schemas.microsoft.com/office/drawing/2014/main" id="{00000000-0008-0000-0100-00005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69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51435</xdr:rowOff>
    </xdr:to>
    <xdr:pic>
      <xdr:nvPicPr>
        <xdr:cNvPr id="11356" name="Picture 10" descr=" ">
          <a:extLst>
            <a:ext uri="{FF2B5EF4-FFF2-40B4-BE49-F238E27FC236}">
              <a16:creationId xmlns:a16="http://schemas.microsoft.com/office/drawing/2014/main" id="{00000000-0008-0000-0100-00005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69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51435</xdr:rowOff>
    </xdr:to>
    <xdr:pic>
      <xdr:nvPicPr>
        <xdr:cNvPr id="11357" name="Picture 11" descr=" ">
          <a:extLst>
            <a:ext uri="{FF2B5EF4-FFF2-40B4-BE49-F238E27FC236}">
              <a16:creationId xmlns:a16="http://schemas.microsoft.com/office/drawing/2014/main" id="{00000000-0008-0000-0100-00005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69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51435</xdr:rowOff>
    </xdr:to>
    <xdr:pic>
      <xdr:nvPicPr>
        <xdr:cNvPr id="11358" name="Picture 12" descr=" ">
          <a:extLst>
            <a:ext uri="{FF2B5EF4-FFF2-40B4-BE49-F238E27FC236}">
              <a16:creationId xmlns:a16="http://schemas.microsoft.com/office/drawing/2014/main" id="{00000000-0008-0000-0100-00005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69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51435</xdr:rowOff>
    </xdr:to>
    <xdr:pic>
      <xdr:nvPicPr>
        <xdr:cNvPr id="11359" name="Picture 7" descr=" ">
          <a:extLst>
            <a:ext uri="{FF2B5EF4-FFF2-40B4-BE49-F238E27FC236}">
              <a16:creationId xmlns:a16="http://schemas.microsoft.com/office/drawing/2014/main" id="{00000000-0008-0000-0100-00005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69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51435</xdr:rowOff>
    </xdr:to>
    <xdr:pic>
      <xdr:nvPicPr>
        <xdr:cNvPr id="11360" name="Picture 8" descr=" ">
          <a:extLst>
            <a:ext uri="{FF2B5EF4-FFF2-40B4-BE49-F238E27FC236}">
              <a16:creationId xmlns:a16="http://schemas.microsoft.com/office/drawing/2014/main" id="{00000000-0008-0000-0100-00006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69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51435</xdr:rowOff>
    </xdr:to>
    <xdr:pic>
      <xdr:nvPicPr>
        <xdr:cNvPr id="11361" name="Picture 9" descr=" ">
          <a:extLst>
            <a:ext uri="{FF2B5EF4-FFF2-40B4-BE49-F238E27FC236}">
              <a16:creationId xmlns:a16="http://schemas.microsoft.com/office/drawing/2014/main" id="{00000000-0008-0000-0100-00006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69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51435</xdr:rowOff>
    </xdr:to>
    <xdr:pic>
      <xdr:nvPicPr>
        <xdr:cNvPr id="11362" name="Picture 10" descr=" ">
          <a:extLst>
            <a:ext uri="{FF2B5EF4-FFF2-40B4-BE49-F238E27FC236}">
              <a16:creationId xmlns:a16="http://schemas.microsoft.com/office/drawing/2014/main" id="{00000000-0008-0000-0100-00006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69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51435</xdr:rowOff>
    </xdr:to>
    <xdr:pic>
      <xdr:nvPicPr>
        <xdr:cNvPr id="11363" name="Picture 11" descr=" ">
          <a:extLst>
            <a:ext uri="{FF2B5EF4-FFF2-40B4-BE49-F238E27FC236}">
              <a16:creationId xmlns:a16="http://schemas.microsoft.com/office/drawing/2014/main" id="{00000000-0008-0000-0100-00006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69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51435</xdr:rowOff>
    </xdr:to>
    <xdr:pic>
      <xdr:nvPicPr>
        <xdr:cNvPr id="11364" name="Picture 12" descr=" ">
          <a:extLst>
            <a:ext uri="{FF2B5EF4-FFF2-40B4-BE49-F238E27FC236}">
              <a16:creationId xmlns:a16="http://schemas.microsoft.com/office/drawing/2014/main" id="{00000000-0008-0000-0100-00006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2697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51435</xdr:rowOff>
    </xdr:to>
    <xdr:pic>
      <xdr:nvPicPr>
        <xdr:cNvPr id="11365" name="Picture 7" descr=" ">
          <a:extLst>
            <a:ext uri="{FF2B5EF4-FFF2-40B4-BE49-F238E27FC236}">
              <a16:creationId xmlns:a16="http://schemas.microsoft.com/office/drawing/2014/main" id="{00000000-0008-0000-0100-00006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31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51435</xdr:rowOff>
    </xdr:to>
    <xdr:pic>
      <xdr:nvPicPr>
        <xdr:cNvPr id="11366" name="Picture 8" descr=" ">
          <a:extLst>
            <a:ext uri="{FF2B5EF4-FFF2-40B4-BE49-F238E27FC236}">
              <a16:creationId xmlns:a16="http://schemas.microsoft.com/office/drawing/2014/main" id="{00000000-0008-0000-0100-00006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31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51435</xdr:rowOff>
    </xdr:to>
    <xdr:pic>
      <xdr:nvPicPr>
        <xdr:cNvPr id="11367" name="Picture 9" descr=" ">
          <a:extLst>
            <a:ext uri="{FF2B5EF4-FFF2-40B4-BE49-F238E27FC236}">
              <a16:creationId xmlns:a16="http://schemas.microsoft.com/office/drawing/2014/main" id="{00000000-0008-0000-0100-00006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31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51435</xdr:rowOff>
    </xdr:to>
    <xdr:pic>
      <xdr:nvPicPr>
        <xdr:cNvPr id="11368" name="Picture 10" descr=" ">
          <a:extLst>
            <a:ext uri="{FF2B5EF4-FFF2-40B4-BE49-F238E27FC236}">
              <a16:creationId xmlns:a16="http://schemas.microsoft.com/office/drawing/2014/main" id="{00000000-0008-0000-0100-00006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31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51435</xdr:rowOff>
    </xdr:to>
    <xdr:pic>
      <xdr:nvPicPr>
        <xdr:cNvPr id="11369" name="Picture 11" descr=" ">
          <a:extLst>
            <a:ext uri="{FF2B5EF4-FFF2-40B4-BE49-F238E27FC236}">
              <a16:creationId xmlns:a16="http://schemas.microsoft.com/office/drawing/2014/main" id="{00000000-0008-0000-0100-00006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31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51435</xdr:rowOff>
    </xdr:to>
    <xdr:pic>
      <xdr:nvPicPr>
        <xdr:cNvPr id="11370" name="Picture 12" descr=" ">
          <a:extLst>
            <a:ext uri="{FF2B5EF4-FFF2-40B4-BE49-F238E27FC236}">
              <a16:creationId xmlns:a16="http://schemas.microsoft.com/office/drawing/2014/main" id="{00000000-0008-0000-0100-00006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31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51435</xdr:rowOff>
    </xdr:to>
    <xdr:pic>
      <xdr:nvPicPr>
        <xdr:cNvPr id="11371" name="Picture 7" descr=" ">
          <a:extLst>
            <a:ext uri="{FF2B5EF4-FFF2-40B4-BE49-F238E27FC236}">
              <a16:creationId xmlns:a16="http://schemas.microsoft.com/office/drawing/2014/main" id="{00000000-0008-0000-0100-00006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31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51435</xdr:rowOff>
    </xdr:to>
    <xdr:pic>
      <xdr:nvPicPr>
        <xdr:cNvPr id="11372" name="Picture 8" descr=" ">
          <a:extLst>
            <a:ext uri="{FF2B5EF4-FFF2-40B4-BE49-F238E27FC236}">
              <a16:creationId xmlns:a16="http://schemas.microsoft.com/office/drawing/2014/main" id="{00000000-0008-0000-0100-00006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31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51435</xdr:rowOff>
    </xdr:to>
    <xdr:pic>
      <xdr:nvPicPr>
        <xdr:cNvPr id="11373" name="Picture 9" descr=" ">
          <a:extLst>
            <a:ext uri="{FF2B5EF4-FFF2-40B4-BE49-F238E27FC236}">
              <a16:creationId xmlns:a16="http://schemas.microsoft.com/office/drawing/2014/main" id="{00000000-0008-0000-0100-00006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31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51435</xdr:rowOff>
    </xdr:to>
    <xdr:pic>
      <xdr:nvPicPr>
        <xdr:cNvPr id="11374" name="Picture 10" descr=" ">
          <a:extLst>
            <a:ext uri="{FF2B5EF4-FFF2-40B4-BE49-F238E27FC236}">
              <a16:creationId xmlns:a16="http://schemas.microsoft.com/office/drawing/2014/main" id="{00000000-0008-0000-0100-00006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31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51435</xdr:rowOff>
    </xdr:to>
    <xdr:pic>
      <xdr:nvPicPr>
        <xdr:cNvPr id="11375" name="Picture 11" descr=" ">
          <a:extLst>
            <a:ext uri="{FF2B5EF4-FFF2-40B4-BE49-F238E27FC236}">
              <a16:creationId xmlns:a16="http://schemas.microsoft.com/office/drawing/2014/main" id="{00000000-0008-0000-0100-00006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31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51435</xdr:rowOff>
    </xdr:to>
    <xdr:pic>
      <xdr:nvPicPr>
        <xdr:cNvPr id="11376" name="Picture 12" descr=" ">
          <a:extLst>
            <a:ext uri="{FF2B5EF4-FFF2-40B4-BE49-F238E27FC236}">
              <a16:creationId xmlns:a16="http://schemas.microsoft.com/office/drawing/2014/main" id="{00000000-0008-0000-0100-00007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316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51435</xdr:rowOff>
    </xdr:to>
    <xdr:pic>
      <xdr:nvPicPr>
        <xdr:cNvPr id="11377" name="Picture 7" descr=" ">
          <a:extLst>
            <a:ext uri="{FF2B5EF4-FFF2-40B4-BE49-F238E27FC236}">
              <a16:creationId xmlns:a16="http://schemas.microsoft.com/office/drawing/2014/main" id="{00000000-0008-0000-0100-00007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9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51435</xdr:rowOff>
    </xdr:to>
    <xdr:pic>
      <xdr:nvPicPr>
        <xdr:cNvPr id="11378" name="Picture 8" descr=" ">
          <a:extLst>
            <a:ext uri="{FF2B5EF4-FFF2-40B4-BE49-F238E27FC236}">
              <a16:creationId xmlns:a16="http://schemas.microsoft.com/office/drawing/2014/main" id="{00000000-0008-0000-0100-00007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9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51435</xdr:rowOff>
    </xdr:to>
    <xdr:pic>
      <xdr:nvPicPr>
        <xdr:cNvPr id="11379" name="Picture 9" descr=" ">
          <a:extLst>
            <a:ext uri="{FF2B5EF4-FFF2-40B4-BE49-F238E27FC236}">
              <a16:creationId xmlns:a16="http://schemas.microsoft.com/office/drawing/2014/main" id="{00000000-0008-0000-0100-00007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9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51435</xdr:rowOff>
    </xdr:to>
    <xdr:pic>
      <xdr:nvPicPr>
        <xdr:cNvPr id="11380" name="Picture 10" descr=" ">
          <a:extLst>
            <a:ext uri="{FF2B5EF4-FFF2-40B4-BE49-F238E27FC236}">
              <a16:creationId xmlns:a16="http://schemas.microsoft.com/office/drawing/2014/main" id="{00000000-0008-0000-0100-00007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9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51435</xdr:rowOff>
    </xdr:to>
    <xdr:pic>
      <xdr:nvPicPr>
        <xdr:cNvPr id="11381" name="Picture 11" descr=" ">
          <a:extLst>
            <a:ext uri="{FF2B5EF4-FFF2-40B4-BE49-F238E27FC236}">
              <a16:creationId xmlns:a16="http://schemas.microsoft.com/office/drawing/2014/main" id="{00000000-0008-0000-0100-00007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9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51435</xdr:rowOff>
    </xdr:to>
    <xdr:pic>
      <xdr:nvPicPr>
        <xdr:cNvPr id="11382" name="Picture 12" descr=" ">
          <a:extLst>
            <a:ext uri="{FF2B5EF4-FFF2-40B4-BE49-F238E27FC236}">
              <a16:creationId xmlns:a16="http://schemas.microsoft.com/office/drawing/2014/main" id="{00000000-0008-0000-0100-00007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9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51435</xdr:rowOff>
    </xdr:to>
    <xdr:pic>
      <xdr:nvPicPr>
        <xdr:cNvPr id="11383" name="Picture 7" descr=" ">
          <a:extLst>
            <a:ext uri="{FF2B5EF4-FFF2-40B4-BE49-F238E27FC236}">
              <a16:creationId xmlns:a16="http://schemas.microsoft.com/office/drawing/2014/main" id="{00000000-0008-0000-0100-00007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9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51435</xdr:rowOff>
    </xdr:to>
    <xdr:pic>
      <xdr:nvPicPr>
        <xdr:cNvPr id="11384" name="Picture 8" descr=" ">
          <a:extLst>
            <a:ext uri="{FF2B5EF4-FFF2-40B4-BE49-F238E27FC236}">
              <a16:creationId xmlns:a16="http://schemas.microsoft.com/office/drawing/2014/main" id="{00000000-0008-0000-0100-00007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9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51435</xdr:rowOff>
    </xdr:to>
    <xdr:pic>
      <xdr:nvPicPr>
        <xdr:cNvPr id="11385" name="Picture 9" descr=" ">
          <a:extLst>
            <a:ext uri="{FF2B5EF4-FFF2-40B4-BE49-F238E27FC236}">
              <a16:creationId xmlns:a16="http://schemas.microsoft.com/office/drawing/2014/main" id="{00000000-0008-0000-0100-00007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9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51435</xdr:rowOff>
    </xdr:to>
    <xdr:pic>
      <xdr:nvPicPr>
        <xdr:cNvPr id="11386" name="Picture 10" descr=" ">
          <a:extLst>
            <a:ext uri="{FF2B5EF4-FFF2-40B4-BE49-F238E27FC236}">
              <a16:creationId xmlns:a16="http://schemas.microsoft.com/office/drawing/2014/main" id="{00000000-0008-0000-0100-00007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9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51435</xdr:rowOff>
    </xdr:to>
    <xdr:pic>
      <xdr:nvPicPr>
        <xdr:cNvPr id="11387" name="Picture 11" descr=" ">
          <a:extLst>
            <a:ext uri="{FF2B5EF4-FFF2-40B4-BE49-F238E27FC236}">
              <a16:creationId xmlns:a16="http://schemas.microsoft.com/office/drawing/2014/main" id="{00000000-0008-0000-0100-00007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9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51435</xdr:rowOff>
    </xdr:to>
    <xdr:pic>
      <xdr:nvPicPr>
        <xdr:cNvPr id="11388" name="Picture 12" descr=" ">
          <a:extLst>
            <a:ext uri="{FF2B5EF4-FFF2-40B4-BE49-F238E27FC236}">
              <a16:creationId xmlns:a16="http://schemas.microsoft.com/office/drawing/2014/main" id="{00000000-0008-0000-0100-00007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935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51435</xdr:rowOff>
    </xdr:to>
    <xdr:pic>
      <xdr:nvPicPr>
        <xdr:cNvPr id="11389" name="Picture 7" descr=" ">
          <a:extLst>
            <a:ext uri="{FF2B5EF4-FFF2-40B4-BE49-F238E27FC236}">
              <a16:creationId xmlns:a16="http://schemas.microsoft.com/office/drawing/2014/main" id="{00000000-0008-0000-0100-00007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55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51435</xdr:rowOff>
    </xdr:to>
    <xdr:pic>
      <xdr:nvPicPr>
        <xdr:cNvPr id="11390" name="Picture 8" descr=" ">
          <a:extLst>
            <a:ext uri="{FF2B5EF4-FFF2-40B4-BE49-F238E27FC236}">
              <a16:creationId xmlns:a16="http://schemas.microsoft.com/office/drawing/2014/main" id="{00000000-0008-0000-0100-00007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55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51435</xdr:rowOff>
    </xdr:to>
    <xdr:pic>
      <xdr:nvPicPr>
        <xdr:cNvPr id="11391" name="Picture 9" descr=" ">
          <a:extLst>
            <a:ext uri="{FF2B5EF4-FFF2-40B4-BE49-F238E27FC236}">
              <a16:creationId xmlns:a16="http://schemas.microsoft.com/office/drawing/2014/main" id="{00000000-0008-0000-0100-00007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55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51435</xdr:rowOff>
    </xdr:to>
    <xdr:pic>
      <xdr:nvPicPr>
        <xdr:cNvPr id="11392" name="Picture 10" descr=" ">
          <a:extLst>
            <a:ext uri="{FF2B5EF4-FFF2-40B4-BE49-F238E27FC236}">
              <a16:creationId xmlns:a16="http://schemas.microsoft.com/office/drawing/2014/main" id="{00000000-0008-0000-0100-00008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55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51435</xdr:rowOff>
    </xdr:to>
    <xdr:pic>
      <xdr:nvPicPr>
        <xdr:cNvPr id="11393" name="Picture 11" descr=" ">
          <a:extLst>
            <a:ext uri="{FF2B5EF4-FFF2-40B4-BE49-F238E27FC236}">
              <a16:creationId xmlns:a16="http://schemas.microsoft.com/office/drawing/2014/main" id="{00000000-0008-0000-0100-00008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55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51435</xdr:rowOff>
    </xdr:to>
    <xdr:pic>
      <xdr:nvPicPr>
        <xdr:cNvPr id="11394" name="Picture 12" descr=" ">
          <a:extLst>
            <a:ext uri="{FF2B5EF4-FFF2-40B4-BE49-F238E27FC236}">
              <a16:creationId xmlns:a16="http://schemas.microsoft.com/office/drawing/2014/main" id="{00000000-0008-0000-0100-00008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55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51435</xdr:rowOff>
    </xdr:to>
    <xdr:pic>
      <xdr:nvPicPr>
        <xdr:cNvPr id="11395" name="Picture 7" descr=" ">
          <a:extLst>
            <a:ext uri="{FF2B5EF4-FFF2-40B4-BE49-F238E27FC236}">
              <a16:creationId xmlns:a16="http://schemas.microsoft.com/office/drawing/2014/main" id="{00000000-0008-0000-0100-00008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55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51435</xdr:rowOff>
    </xdr:to>
    <xdr:pic>
      <xdr:nvPicPr>
        <xdr:cNvPr id="11396" name="Picture 8" descr=" ">
          <a:extLst>
            <a:ext uri="{FF2B5EF4-FFF2-40B4-BE49-F238E27FC236}">
              <a16:creationId xmlns:a16="http://schemas.microsoft.com/office/drawing/2014/main" id="{00000000-0008-0000-0100-00008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55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51435</xdr:rowOff>
    </xdr:to>
    <xdr:pic>
      <xdr:nvPicPr>
        <xdr:cNvPr id="11397" name="Picture 9" descr=" ">
          <a:extLst>
            <a:ext uri="{FF2B5EF4-FFF2-40B4-BE49-F238E27FC236}">
              <a16:creationId xmlns:a16="http://schemas.microsoft.com/office/drawing/2014/main" id="{00000000-0008-0000-0100-00008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55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51435</xdr:rowOff>
    </xdr:to>
    <xdr:pic>
      <xdr:nvPicPr>
        <xdr:cNvPr id="11398" name="Picture 10" descr=" ">
          <a:extLst>
            <a:ext uri="{FF2B5EF4-FFF2-40B4-BE49-F238E27FC236}">
              <a16:creationId xmlns:a16="http://schemas.microsoft.com/office/drawing/2014/main" id="{00000000-0008-0000-0100-00008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55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51435</xdr:rowOff>
    </xdr:to>
    <xdr:pic>
      <xdr:nvPicPr>
        <xdr:cNvPr id="11399" name="Picture 11" descr=" ">
          <a:extLst>
            <a:ext uri="{FF2B5EF4-FFF2-40B4-BE49-F238E27FC236}">
              <a16:creationId xmlns:a16="http://schemas.microsoft.com/office/drawing/2014/main" id="{00000000-0008-0000-0100-00008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55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51435</xdr:rowOff>
    </xdr:to>
    <xdr:pic>
      <xdr:nvPicPr>
        <xdr:cNvPr id="11400" name="Picture 12" descr=" ">
          <a:extLst>
            <a:ext uri="{FF2B5EF4-FFF2-40B4-BE49-F238E27FC236}">
              <a16:creationId xmlns:a16="http://schemas.microsoft.com/office/drawing/2014/main" id="{00000000-0008-0000-0100-00008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554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51435</xdr:rowOff>
    </xdr:to>
    <xdr:pic>
      <xdr:nvPicPr>
        <xdr:cNvPr id="11401" name="Picture 7" descr=" ">
          <a:extLst>
            <a:ext uri="{FF2B5EF4-FFF2-40B4-BE49-F238E27FC236}">
              <a16:creationId xmlns:a16="http://schemas.microsoft.com/office/drawing/2014/main" id="{00000000-0008-0000-0100-00008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17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51435</xdr:rowOff>
    </xdr:to>
    <xdr:pic>
      <xdr:nvPicPr>
        <xdr:cNvPr id="11402" name="Picture 8" descr=" ">
          <a:extLst>
            <a:ext uri="{FF2B5EF4-FFF2-40B4-BE49-F238E27FC236}">
              <a16:creationId xmlns:a16="http://schemas.microsoft.com/office/drawing/2014/main" id="{00000000-0008-0000-0100-00008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17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51435</xdr:rowOff>
    </xdr:to>
    <xdr:pic>
      <xdr:nvPicPr>
        <xdr:cNvPr id="11403" name="Picture 9" descr=" ">
          <a:extLst>
            <a:ext uri="{FF2B5EF4-FFF2-40B4-BE49-F238E27FC236}">
              <a16:creationId xmlns:a16="http://schemas.microsoft.com/office/drawing/2014/main" id="{00000000-0008-0000-0100-00008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17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51435</xdr:rowOff>
    </xdr:to>
    <xdr:pic>
      <xdr:nvPicPr>
        <xdr:cNvPr id="11404" name="Picture 10" descr=" ">
          <a:extLst>
            <a:ext uri="{FF2B5EF4-FFF2-40B4-BE49-F238E27FC236}">
              <a16:creationId xmlns:a16="http://schemas.microsoft.com/office/drawing/2014/main" id="{00000000-0008-0000-0100-00008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17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51435</xdr:rowOff>
    </xdr:to>
    <xdr:pic>
      <xdr:nvPicPr>
        <xdr:cNvPr id="11405" name="Picture 11" descr=" ">
          <a:extLst>
            <a:ext uri="{FF2B5EF4-FFF2-40B4-BE49-F238E27FC236}">
              <a16:creationId xmlns:a16="http://schemas.microsoft.com/office/drawing/2014/main" id="{00000000-0008-0000-0100-00008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17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51435</xdr:rowOff>
    </xdr:to>
    <xdr:pic>
      <xdr:nvPicPr>
        <xdr:cNvPr id="11406" name="Picture 12" descr=" ">
          <a:extLst>
            <a:ext uri="{FF2B5EF4-FFF2-40B4-BE49-F238E27FC236}">
              <a16:creationId xmlns:a16="http://schemas.microsoft.com/office/drawing/2014/main" id="{00000000-0008-0000-0100-00008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17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51435</xdr:rowOff>
    </xdr:to>
    <xdr:pic>
      <xdr:nvPicPr>
        <xdr:cNvPr id="11407" name="Picture 7" descr=" ">
          <a:extLst>
            <a:ext uri="{FF2B5EF4-FFF2-40B4-BE49-F238E27FC236}">
              <a16:creationId xmlns:a16="http://schemas.microsoft.com/office/drawing/2014/main" id="{00000000-0008-0000-0100-00008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17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51435</xdr:rowOff>
    </xdr:to>
    <xdr:pic>
      <xdr:nvPicPr>
        <xdr:cNvPr id="11408" name="Picture 8" descr=" ">
          <a:extLst>
            <a:ext uri="{FF2B5EF4-FFF2-40B4-BE49-F238E27FC236}">
              <a16:creationId xmlns:a16="http://schemas.microsoft.com/office/drawing/2014/main" id="{00000000-0008-0000-0100-00009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17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51435</xdr:rowOff>
    </xdr:to>
    <xdr:pic>
      <xdr:nvPicPr>
        <xdr:cNvPr id="11409" name="Picture 9" descr=" ">
          <a:extLst>
            <a:ext uri="{FF2B5EF4-FFF2-40B4-BE49-F238E27FC236}">
              <a16:creationId xmlns:a16="http://schemas.microsoft.com/office/drawing/2014/main" id="{00000000-0008-0000-0100-00009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17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51435</xdr:rowOff>
    </xdr:to>
    <xdr:pic>
      <xdr:nvPicPr>
        <xdr:cNvPr id="11410" name="Picture 10" descr=" ">
          <a:extLst>
            <a:ext uri="{FF2B5EF4-FFF2-40B4-BE49-F238E27FC236}">
              <a16:creationId xmlns:a16="http://schemas.microsoft.com/office/drawing/2014/main" id="{00000000-0008-0000-0100-00009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17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51435</xdr:rowOff>
    </xdr:to>
    <xdr:pic>
      <xdr:nvPicPr>
        <xdr:cNvPr id="11411" name="Picture 11" descr=" ">
          <a:extLst>
            <a:ext uri="{FF2B5EF4-FFF2-40B4-BE49-F238E27FC236}">
              <a16:creationId xmlns:a16="http://schemas.microsoft.com/office/drawing/2014/main" id="{00000000-0008-0000-0100-00009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17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51435</xdr:rowOff>
    </xdr:to>
    <xdr:pic>
      <xdr:nvPicPr>
        <xdr:cNvPr id="11412" name="Picture 12" descr=" ">
          <a:extLst>
            <a:ext uri="{FF2B5EF4-FFF2-40B4-BE49-F238E27FC236}">
              <a16:creationId xmlns:a16="http://schemas.microsoft.com/office/drawing/2014/main" id="{00000000-0008-0000-0100-00009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174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51435</xdr:rowOff>
    </xdr:to>
    <xdr:pic>
      <xdr:nvPicPr>
        <xdr:cNvPr id="11413" name="Picture 7" descr=" ">
          <a:extLst>
            <a:ext uri="{FF2B5EF4-FFF2-40B4-BE49-F238E27FC236}">
              <a16:creationId xmlns:a16="http://schemas.microsoft.com/office/drawing/2014/main" id="{00000000-0008-0000-0100-00009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79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51435</xdr:rowOff>
    </xdr:to>
    <xdr:pic>
      <xdr:nvPicPr>
        <xdr:cNvPr id="11414" name="Picture 8" descr=" ">
          <a:extLst>
            <a:ext uri="{FF2B5EF4-FFF2-40B4-BE49-F238E27FC236}">
              <a16:creationId xmlns:a16="http://schemas.microsoft.com/office/drawing/2014/main" id="{00000000-0008-0000-0100-00009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79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51435</xdr:rowOff>
    </xdr:to>
    <xdr:pic>
      <xdr:nvPicPr>
        <xdr:cNvPr id="11415" name="Picture 9" descr=" ">
          <a:extLst>
            <a:ext uri="{FF2B5EF4-FFF2-40B4-BE49-F238E27FC236}">
              <a16:creationId xmlns:a16="http://schemas.microsoft.com/office/drawing/2014/main" id="{00000000-0008-0000-0100-00009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79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51435</xdr:rowOff>
    </xdr:to>
    <xdr:pic>
      <xdr:nvPicPr>
        <xdr:cNvPr id="11416" name="Picture 10" descr=" ">
          <a:extLst>
            <a:ext uri="{FF2B5EF4-FFF2-40B4-BE49-F238E27FC236}">
              <a16:creationId xmlns:a16="http://schemas.microsoft.com/office/drawing/2014/main" id="{00000000-0008-0000-0100-00009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79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51435</xdr:rowOff>
    </xdr:to>
    <xdr:pic>
      <xdr:nvPicPr>
        <xdr:cNvPr id="11417" name="Picture 11" descr=" ">
          <a:extLst>
            <a:ext uri="{FF2B5EF4-FFF2-40B4-BE49-F238E27FC236}">
              <a16:creationId xmlns:a16="http://schemas.microsoft.com/office/drawing/2014/main" id="{00000000-0008-0000-0100-00009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79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51435</xdr:rowOff>
    </xdr:to>
    <xdr:pic>
      <xdr:nvPicPr>
        <xdr:cNvPr id="11418" name="Picture 12" descr=" ">
          <a:extLst>
            <a:ext uri="{FF2B5EF4-FFF2-40B4-BE49-F238E27FC236}">
              <a16:creationId xmlns:a16="http://schemas.microsoft.com/office/drawing/2014/main" id="{00000000-0008-0000-0100-00009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79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51435</xdr:rowOff>
    </xdr:to>
    <xdr:pic>
      <xdr:nvPicPr>
        <xdr:cNvPr id="11419" name="Picture 7" descr=" ">
          <a:extLst>
            <a:ext uri="{FF2B5EF4-FFF2-40B4-BE49-F238E27FC236}">
              <a16:creationId xmlns:a16="http://schemas.microsoft.com/office/drawing/2014/main" id="{00000000-0008-0000-0100-00009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79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51435</xdr:rowOff>
    </xdr:to>
    <xdr:pic>
      <xdr:nvPicPr>
        <xdr:cNvPr id="11420" name="Picture 8" descr=" ">
          <a:extLst>
            <a:ext uri="{FF2B5EF4-FFF2-40B4-BE49-F238E27FC236}">
              <a16:creationId xmlns:a16="http://schemas.microsoft.com/office/drawing/2014/main" id="{00000000-0008-0000-0100-00009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79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51435</xdr:rowOff>
    </xdr:to>
    <xdr:pic>
      <xdr:nvPicPr>
        <xdr:cNvPr id="11421" name="Picture 9" descr=" ">
          <a:extLst>
            <a:ext uri="{FF2B5EF4-FFF2-40B4-BE49-F238E27FC236}">
              <a16:creationId xmlns:a16="http://schemas.microsoft.com/office/drawing/2014/main" id="{00000000-0008-0000-0100-00009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79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51435</xdr:rowOff>
    </xdr:to>
    <xdr:pic>
      <xdr:nvPicPr>
        <xdr:cNvPr id="11422" name="Picture 10" descr=" ">
          <a:extLst>
            <a:ext uri="{FF2B5EF4-FFF2-40B4-BE49-F238E27FC236}">
              <a16:creationId xmlns:a16="http://schemas.microsoft.com/office/drawing/2014/main" id="{00000000-0008-0000-0100-00009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79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51435</xdr:rowOff>
    </xdr:to>
    <xdr:pic>
      <xdr:nvPicPr>
        <xdr:cNvPr id="11423" name="Picture 11" descr=" ">
          <a:extLst>
            <a:ext uri="{FF2B5EF4-FFF2-40B4-BE49-F238E27FC236}">
              <a16:creationId xmlns:a16="http://schemas.microsoft.com/office/drawing/2014/main" id="{00000000-0008-0000-0100-00009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79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51435</xdr:rowOff>
    </xdr:to>
    <xdr:pic>
      <xdr:nvPicPr>
        <xdr:cNvPr id="11424" name="Picture 12" descr=" ">
          <a:extLst>
            <a:ext uri="{FF2B5EF4-FFF2-40B4-BE49-F238E27FC236}">
              <a16:creationId xmlns:a16="http://schemas.microsoft.com/office/drawing/2014/main" id="{00000000-0008-0000-0100-0000A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793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51435</xdr:rowOff>
    </xdr:to>
    <xdr:pic>
      <xdr:nvPicPr>
        <xdr:cNvPr id="11425" name="Picture 7" descr=" ">
          <a:extLst>
            <a:ext uri="{FF2B5EF4-FFF2-40B4-BE49-F238E27FC236}">
              <a16:creationId xmlns:a16="http://schemas.microsoft.com/office/drawing/2014/main" id="{00000000-0008-0000-0100-0000A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41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51435</xdr:rowOff>
    </xdr:to>
    <xdr:pic>
      <xdr:nvPicPr>
        <xdr:cNvPr id="11426" name="Picture 8" descr=" ">
          <a:extLst>
            <a:ext uri="{FF2B5EF4-FFF2-40B4-BE49-F238E27FC236}">
              <a16:creationId xmlns:a16="http://schemas.microsoft.com/office/drawing/2014/main" id="{00000000-0008-0000-0100-0000A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41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51435</xdr:rowOff>
    </xdr:to>
    <xdr:pic>
      <xdr:nvPicPr>
        <xdr:cNvPr id="11427" name="Picture 9" descr=" ">
          <a:extLst>
            <a:ext uri="{FF2B5EF4-FFF2-40B4-BE49-F238E27FC236}">
              <a16:creationId xmlns:a16="http://schemas.microsoft.com/office/drawing/2014/main" id="{00000000-0008-0000-0100-0000A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41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51435</xdr:rowOff>
    </xdr:to>
    <xdr:pic>
      <xdr:nvPicPr>
        <xdr:cNvPr id="11428" name="Picture 10" descr=" ">
          <a:extLst>
            <a:ext uri="{FF2B5EF4-FFF2-40B4-BE49-F238E27FC236}">
              <a16:creationId xmlns:a16="http://schemas.microsoft.com/office/drawing/2014/main" id="{00000000-0008-0000-0100-0000A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41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51435</xdr:rowOff>
    </xdr:to>
    <xdr:pic>
      <xdr:nvPicPr>
        <xdr:cNvPr id="11429" name="Picture 11" descr=" ">
          <a:extLst>
            <a:ext uri="{FF2B5EF4-FFF2-40B4-BE49-F238E27FC236}">
              <a16:creationId xmlns:a16="http://schemas.microsoft.com/office/drawing/2014/main" id="{00000000-0008-0000-0100-0000A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41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51435</xdr:rowOff>
    </xdr:to>
    <xdr:pic>
      <xdr:nvPicPr>
        <xdr:cNvPr id="11430" name="Picture 12" descr=" ">
          <a:extLst>
            <a:ext uri="{FF2B5EF4-FFF2-40B4-BE49-F238E27FC236}">
              <a16:creationId xmlns:a16="http://schemas.microsoft.com/office/drawing/2014/main" id="{00000000-0008-0000-0100-0000A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41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51435</xdr:rowOff>
    </xdr:to>
    <xdr:pic>
      <xdr:nvPicPr>
        <xdr:cNvPr id="11431" name="Picture 7" descr=" ">
          <a:extLst>
            <a:ext uri="{FF2B5EF4-FFF2-40B4-BE49-F238E27FC236}">
              <a16:creationId xmlns:a16="http://schemas.microsoft.com/office/drawing/2014/main" id="{00000000-0008-0000-0100-0000A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41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51435</xdr:rowOff>
    </xdr:to>
    <xdr:pic>
      <xdr:nvPicPr>
        <xdr:cNvPr id="11432" name="Picture 8" descr=" ">
          <a:extLst>
            <a:ext uri="{FF2B5EF4-FFF2-40B4-BE49-F238E27FC236}">
              <a16:creationId xmlns:a16="http://schemas.microsoft.com/office/drawing/2014/main" id="{00000000-0008-0000-0100-0000A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41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51435</xdr:rowOff>
    </xdr:to>
    <xdr:pic>
      <xdr:nvPicPr>
        <xdr:cNvPr id="11433" name="Picture 9" descr=" ">
          <a:extLst>
            <a:ext uri="{FF2B5EF4-FFF2-40B4-BE49-F238E27FC236}">
              <a16:creationId xmlns:a16="http://schemas.microsoft.com/office/drawing/2014/main" id="{00000000-0008-0000-0100-0000A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41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51435</xdr:rowOff>
    </xdr:to>
    <xdr:pic>
      <xdr:nvPicPr>
        <xdr:cNvPr id="11434" name="Picture 10" descr=" ">
          <a:extLst>
            <a:ext uri="{FF2B5EF4-FFF2-40B4-BE49-F238E27FC236}">
              <a16:creationId xmlns:a16="http://schemas.microsoft.com/office/drawing/2014/main" id="{00000000-0008-0000-0100-0000A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41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51435</xdr:rowOff>
    </xdr:to>
    <xdr:pic>
      <xdr:nvPicPr>
        <xdr:cNvPr id="11435" name="Picture 11" descr=" ">
          <a:extLst>
            <a:ext uri="{FF2B5EF4-FFF2-40B4-BE49-F238E27FC236}">
              <a16:creationId xmlns:a16="http://schemas.microsoft.com/office/drawing/2014/main" id="{00000000-0008-0000-0100-0000A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41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51435</xdr:rowOff>
    </xdr:to>
    <xdr:pic>
      <xdr:nvPicPr>
        <xdr:cNvPr id="11436" name="Picture 12" descr=" ">
          <a:extLst>
            <a:ext uri="{FF2B5EF4-FFF2-40B4-BE49-F238E27FC236}">
              <a16:creationId xmlns:a16="http://schemas.microsoft.com/office/drawing/2014/main" id="{00000000-0008-0000-0100-0000A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412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51435</xdr:rowOff>
    </xdr:to>
    <xdr:pic>
      <xdr:nvPicPr>
        <xdr:cNvPr id="11437" name="Picture 7" descr=" ">
          <a:extLst>
            <a:ext uri="{FF2B5EF4-FFF2-40B4-BE49-F238E27FC236}">
              <a16:creationId xmlns:a16="http://schemas.microsoft.com/office/drawing/2014/main" id="{00000000-0008-0000-0100-0000A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03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51435</xdr:rowOff>
    </xdr:to>
    <xdr:pic>
      <xdr:nvPicPr>
        <xdr:cNvPr id="11438" name="Picture 8" descr=" ">
          <a:extLst>
            <a:ext uri="{FF2B5EF4-FFF2-40B4-BE49-F238E27FC236}">
              <a16:creationId xmlns:a16="http://schemas.microsoft.com/office/drawing/2014/main" id="{00000000-0008-0000-0100-0000A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03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51435</xdr:rowOff>
    </xdr:to>
    <xdr:pic>
      <xdr:nvPicPr>
        <xdr:cNvPr id="11439" name="Picture 9" descr=" ">
          <a:extLst>
            <a:ext uri="{FF2B5EF4-FFF2-40B4-BE49-F238E27FC236}">
              <a16:creationId xmlns:a16="http://schemas.microsoft.com/office/drawing/2014/main" id="{00000000-0008-0000-0100-0000A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03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51435</xdr:rowOff>
    </xdr:to>
    <xdr:pic>
      <xdr:nvPicPr>
        <xdr:cNvPr id="11440" name="Picture 10" descr=" ">
          <a:extLst>
            <a:ext uri="{FF2B5EF4-FFF2-40B4-BE49-F238E27FC236}">
              <a16:creationId xmlns:a16="http://schemas.microsoft.com/office/drawing/2014/main" id="{00000000-0008-0000-0100-0000B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03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51435</xdr:rowOff>
    </xdr:to>
    <xdr:pic>
      <xdr:nvPicPr>
        <xdr:cNvPr id="11441" name="Picture 11" descr=" ">
          <a:extLst>
            <a:ext uri="{FF2B5EF4-FFF2-40B4-BE49-F238E27FC236}">
              <a16:creationId xmlns:a16="http://schemas.microsoft.com/office/drawing/2014/main" id="{00000000-0008-0000-0100-0000B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03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51435</xdr:rowOff>
    </xdr:to>
    <xdr:pic>
      <xdr:nvPicPr>
        <xdr:cNvPr id="11442" name="Picture 12" descr=" ">
          <a:extLst>
            <a:ext uri="{FF2B5EF4-FFF2-40B4-BE49-F238E27FC236}">
              <a16:creationId xmlns:a16="http://schemas.microsoft.com/office/drawing/2014/main" id="{00000000-0008-0000-0100-0000B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03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51435</xdr:rowOff>
    </xdr:to>
    <xdr:pic>
      <xdr:nvPicPr>
        <xdr:cNvPr id="11443" name="Picture 7" descr=" ">
          <a:extLst>
            <a:ext uri="{FF2B5EF4-FFF2-40B4-BE49-F238E27FC236}">
              <a16:creationId xmlns:a16="http://schemas.microsoft.com/office/drawing/2014/main" id="{00000000-0008-0000-0100-0000B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03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51435</xdr:rowOff>
    </xdr:to>
    <xdr:pic>
      <xdr:nvPicPr>
        <xdr:cNvPr id="11444" name="Picture 8" descr=" ">
          <a:extLst>
            <a:ext uri="{FF2B5EF4-FFF2-40B4-BE49-F238E27FC236}">
              <a16:creationId xmlns:a16="http://schemas.microsoft.com/office/drawing/2014/main" id="{00000000-0008-0000-0100-0000B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03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51435</xdr:rowOff>
    </xdr:to>
    <xdr:pic>
      <xdr:nvPicPr>
        <xdr:cNvPr id="11445" name="Picture 9" descr=" ">
          <a:extLst>
            <a:ext uri="{FF2B5EF4-FFF2-40B4-BE49-F238E27FC236}">
              <a16:creationId xmlns:a16="http://schemas.microsoft.com/office/drawing/2014/main" id="{00000000-0008-0000-0100-0000B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03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51435</xdr:rowOff>
    </xdr:to>
    <xdr:pic>
      <xdr:nvPicPr>
        <xdr:cNvPr id="11446" name="Picture 10" descr=" ">
          <a:extLst>
            <a:ext uri="{FF2B5EF4-FFF2-40B4-BE49-F238E27FC236}">
              <a16:creationId xmlns:a16="http://schemas.microsoft.com/office/drawing/2014/main" id="{00000000-0008-0000-0100-0000B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03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51435</xdr:rowOff>
    </xdr:to>
    <xdr:pic>
      <xdr:nvPicPr>
        <xdr:cNvPr id="11447" name="Picture 11" descr=" ">
          <a:extLst>
            <a:ext uri="{FF2B5EF4-FFF2-40B4-BE49-F238E27FC236}">
              <a16:creationId xmlns:a16="http://schemas.microsoft.com/office/drawing/2014/main" id="{00000000-0008-0000-0100-0000B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03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51435</xdr:rowOff>
    </xdr:to>
    <xdr:pic>
      <xdr:nvPicPr>
        <xdr:cNvPr id="11448" name="Picture 12" descr=" ">
          <a:extLst>
            <a:ext uri="{FF2B5EF4-FFF2-40B4-BE49-F238E27FC236}">
              <a16:creationId xmlns:a16="http://schemas.microsoft.com/office/drawing/2014/main" id="{00000000-0008-0000-0100-0000B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031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51435</xdr:rowOff>
    </xdr:to>
    <xdr:pic>
      <xdr:nvPicPr>
        <xdr:cNvPr id="11449" name="Picture 7" descr=" ">
          <a:extLst>
            <a:ext uri="{FF2B5EF4-FFF2-40B4-BE49-F238E27FC236}">
              <a16:creationId xmlns:a16="http://schemas.microsoft.com/office/drawing/2014/main" id="{00000000-0008-0000-0100-0000B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65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51435</xdr:rowOff>
    </xdr:to>
    <xdr:pic>
      <xdr:nvPicPr>
        <xdr:cNvPr id="11450" name="Picture 8" descr=" ">
          <a:extLst>
            <a:ext uri="{FF2B5EF4-FFF2-40B4-BE49-F238E27FC236}">
              <a16:creationId xmlns:a16="http://schemas.microsoft.com/office/drawing/2014/main" id="{00000000-0008-0000-0100-0000B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65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51435</xdr:rowOff>
    </xdr:to>
    <xdr:pic>
      <xdr:nvPicPr>
        <xdr:cNvPr id="11451" name="Picture 9" descr=" ">
          <a:extLst>
            <a:ext uri="{FF2B5EF4-FFF2-40B4-BE49-F238E27FC236}">
              <a16:creationId xmlns:a16="http://schemas.microsoft.com/office/drawing/2014/main" id="{00000000-0008-0000-0100-0000B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65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51435</xdr:rowOff>
    </xdr:to>
    <xdr:pic>
      <xdr:nvPicPr>
        <xdr:cNvPr id="11452" name="Picture 10" descr=" ">
          <a:extLst>
            <a:ext uri="{FF2B5EF4-FFF2-40B4-BE49-F238E27FC236}">
              <a16:creationId xmlns:a16="http://schemas.microsoft.com/office/drawing/2014/main" id="{00000000-0008-0000-0100-0000B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65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51435</xdr:rowOff>
    </xdr:to>
    <xdr:pic>
      <xdr:nvPicPr>
        <xdr:cNvPr id="11453" name="Picture 11" descr=" ">
          <a:extLst>
            <a:ext uri="{FF2B5EF4-FFF2-40B4-BE49-F238E27FC236}">
              <a16:creationId xmlns:a16="http://schemas.microsoft.com/office/drawing/2014/main" id="{00000000-0008-0000-0100-0000B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65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51435</xdr:rowOff>
    </xdr:to>
    <xdr:pic>
      <xdr:nvPicPr>
        <xdr:cNvPr id="11454" name="Picture 12" descr=" ">
          <a:extLst>
            <a:ext uri="{FF2B5EF4-FFF2-40B4-BE49-F238E27FC236}">
              <a16:creationId xmlns:a16="http://schemas.microsoft.com/office/drawing/2014/main" id="{00000000-0008-0000-0100-0000B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65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51435</xdr:rowOff>
    </xdr:to>
    <xdr:pic>
      <xdr:nvPicPr>
        <xdr:cNvPr id="11455" name="Picture 7" descr=" ">
          <a:extLst>
            <a:ext uri="{FF2B5EF4-FFF2-40B4-BE49-F238E27FC236}">
              <a16:creationId xmlns:a16="http://schemas.microsoft.com/office/drawing/2014/main" id="{00000000-0008-0000-0100-0000B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65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51435</xdr:rowOff>
    </xdr:to>
    <xdr:pic>
      <xdr:nvPicPr>
        <xdr:cNvPr id="11456" name="Picture 8" descr=" ">
          <a:extLst>
            <a:ext uri="{FF2B5EF4-FFF2-40B4-BE49-F238E27FC236}">
              <a16:creationId xmlns:a16="http://schemas.microsoft.com/office/drawing/2014/main" id="{00000000-0008-0000-0100-0000C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65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51435</xdr:rowOff>
    </xdr:to>
    <xdr:pic>
      <xdr:nvPicPr>
        <xdr:cNvPr id="11457" name="Picture 9" descr=" ">
          <a:extLst>
            <a:ext uri="{FF2B5EF4-FFF2-40B4-BE49-F238E27FC236}">
              <a16:creationId xmlns:a16="http://schemas.microsoft.com/office/drawing/2014/main" id="{00000000-0008-0000-0100-0000C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65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51435</xdr:rowOff>
    </xdr:to>
    <xdr:pic>
      <xdr:nvPicPr>
        <xdr:cNvPr id="11458" name="Picture 10" descr=" ">
          <a:extLst>
            <a:ext uri="{FF2B5EF4-FFF2-40B4-BE49-F238E27FC236}">
              <a16:creationId xmlns:a16="http://schemas.microsoft.com/office/drawing/2014/main" id="{00000000-0008-0000-0100-0000C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65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51435</xdr:rowOff>
    </xdr:to>
    <xdr:pic>
      <xdr:nvPicPr>
        <xdr:cNvPr id="11459" name="Picture 11" descr=" ">
          <a:extLst>
            <a:ext uri="{FF2B5EF4-FFF2-40B4-BE49-F238E27FC236}">
              <a16:creationId xmlns:a16="http://schemas.microsoft.com/office/drawing/2014/main" id="{00000000-0008-0000-0100-0000C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65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51435</xdr:rowOff>
    </xdr:to>
    <xdr:pic>
      <xdr:nvPicPr>
        <xdr:cNvPr id="11460" name="Picture 12" descr=" ">
          <a:extLst>
            <a:ext uri="{FF2B5EF4-FFF2-40B4-BE49-F238E27FC236}">
              <a16:creationId xmlns:a16="http://schemas.microsoft.com/office/drawing/2014/main" id="{00000000-0008-0000-0100-0000C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651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51435</xdr:rowOff>
    </xdr:to>
    <xdr:pic>
      <xdr:nvPicPr>
        <xdr:cNvPr id="11461" name="Picture 7" descr=" ">
          <a:extLst>
            <a:ext uri="{FF2B5EF4-FFF2-40B4-BE49-F238E27FC236}">
              <a16:creationId xmlns:a16="http://schemas.microsoft.com/office/drawing/2014/main" id="{00000000-0008-0000-0100-0000C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27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51435</xdr:rowOff>
    </xdr:to>
    <xdr:pic>
      <xdr:nvPicPr>
        <xdr:cNvPr id="11462" name="Picture 8" descr=" ">
          <a:extLst>
            <a:ext uri="{FF2B5EF4-FFF2-40B4-BE49-F238E27FC236}">
              <a16:creationId xmlns:a16="http://schemas.microsoft.com/office/drawing/2014/main" id="{00000000-0008-0000-0100-0000C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27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51435</xdr:rowOff>
    </xdr:to>
    <xdr:pic>
      <xdr:nvPicPr>
        <xdr:cNvPr id="11463" name="Picture 9" descr=" ">
          <a:extLst>
            <a:ext uri="{FF2B5EF4-FFF2-40B4-BE49-F238E27FC236}">
              <a16:creationId xmlns:a16="http://schemas.microsoft.com/office/drawing/2014/main" id="{00000000-0008-0000-0100-0000C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27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51435</xdr:rowOff>
    </xdr:to>
    <xdr:pic>
      <xdr:nvPicPr>
        <xdr:cNvPr id="11464" name="Picture 10" descr=" ">
          <a:extLst>
            <a:ext uri="{FF2B5EF4-FFF2-40B4-BE49-F238E27FC236}">
              <a16:creationId xmlns:a16="http://schemas.microsoft.com/office/drawing/2014/main" id="{00000000-0008-0000-0100-0000C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27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51435</xdr:rowOff>
    </xdr:to>
    <xdr:pic>
      <xdr:nvPicPr>
        <xdr:cNvPr id="11465" name="Picture 11" descr=" ">
          <a:extLst>
            <a:ext uri="{FF2B5EF4-FFF2-40B4-BE49-F238E27FC236}">
              <a16:creationId xmlns:a16="http://schemas.microsoft.com/office/drawing/2014/main" id="{00000000-0008-0000-0100-0000C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27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51435</xdr:rowOff>
    </xdr:to>
    <xdr:pic>
      <xdr:nvPicPr>
        <xdr:cNvPr id="11466" name="Picture 12" descr=" ">
          <a:extLst>
            <a:ext uri="{FF2B5EF4-FFF2-40B4-BE49-F238E27FC236}">
              <a16:creationId xmlns:a16="http://schemas.microsoft.com/office/drawing/2014/main" id="{00000000-0008-0000-0100-0000C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27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51435</xdr:rowOff>
    </xdr:to>
    <xdr:pic>
      <xdr:nvPicPr>
        <xdr:cNvPr id="11467" name="Picture 7" descr=" ">
          <a:extLst>
            <a:ext uri="{FF2B5EF4-FFF2-40B4-BE49-F238E27FC236}">
              <a16:creationId xmlns:a16="http://schemas.microsoft.com/office/drawing/2014/main" id="{00000000-0008-0000-0100-0000C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27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51435</xdr:rowOff>
    </xdr:to>
    <xdr:pic>
      <xdr:nvPicPr>
        <xdr:cNvPr id="11468" name="Picture 8" descr=" ">
          <a:extLst>
            <a:ext uri="{FF2B5EF4-FFF2-40B4-BE49-F238E27FC236}">
              <a16:creationId xmlns:a16="http://schemas.microsoft.com/office/drawing/2014/main" id="{00000000-0008-0000-0100-0000C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27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51435</xdr:rowOff>
    </xdr:to>
    <xdr:pic>
      <xdr:nvPicPr>
        <xdr:cNvPr id="11469" name="Picture 9" descr=" ">
          <a:extLst>
            <a:ext uri="{FF2B5EF4-FFF2-40B4-BE49-F238E27FC236}">
              <a16:creationId xmlns:a16="http://schemas.microsoft.com/office/drawing/2014/main" id="{00000000-0008-0000-0100-0000C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27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51435</xdr:rowOff>
    </xdr:to>
    <xdr:pic>
      <xdr:nvPicPr>
        <xdr:cNvPr id="11470" name="Picture 10" descr=" ">
          <a:extLst>
            <a:ext uri="{FF2B5EF4-FFF2-40B4-BE49-F238E27FC236}">
              <a16:creationId xmlns:a16="http://schemas.microsoft.com/office/drawing/2014/main" id="{00000000-0008-0000-0100-0000C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27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51435</xdr:rowOff>
    </xdr:to>
    <xdr:pic>
      <xdr:nvPicPr>
        <xdr:cNvPr id="11471" name="Picture 11" descr=" ">
          <a:extLst>
            <a:ext uri="{FF2B5EF4-FFF2-40B4-BE49-F238E27FC236}">
              <a16:creationId xmlns:a16="http://schemas.microsoft.com/office/drawing/2014/main" id="{00000000-0008-0000-0100-0000C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27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51435</xdr:rowOff>
    </xdr:to>
    <xdr:pic>
      <xdr:nvPicPr>
        <xdr:cNvPr id="11472" name="Picture 12" descr=" ">
          <a:extLst>
            <a:ext uri="{FF2B5EF4-FFF2-40B4-BE49-F238E27FC236}">
              <a16:creationId xmlns:a16="http://schemas.microsoft.com/office/drawing/2014/main" id="{00000000-0008-0000-0100-0000D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270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51435</xdr:rowOff>
    </xdr:to>
    <xdr:pic>
      <xdr:nvPicPr>
        <xdr:cNvPr id="11473" name="Picture 7" descr=" ">
          <a:extLst>
            <a:ext uri="{FF2B5EF4-FFF2-40B4-BE49-F238E27FC236}">
              <a16:creationId xmlns:a16="http://schemas.microsoft.com/office/drawing/2014/main" id="{00000000-0008-0000-0100-0000D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88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51435</xdr:rowOff>
    </xdr:to>
    <xdr:pic>
      <xdr:nvPicPr>
        <xdr:cNvPr id="11474" name="Picture 8" descr=" ">
          <a:extLst>
            <a:ext uri="{FF2B5EF4-FFF2-40B4-BE49-F238E27FC236}">
              <a16:creationId xmlns:a16="http://schemas.microsoft.com/office/drawing/2014/main" id="{00000000-0008-0000-0100-0000D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88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51435</xdr:rowOff>
    </xdr:to>
    <xdr:pic>
      <xdr:nvPicPr>
        <xdr:cNvPr id="11475" name="Picture 9" descr=" ">
          <a:extLst>
            <a:ext uri="{FF2B5EF4-FFF2-40B4-BE49-F238E27FC236}">
              <a16:creationId xmlns:a16="http://schemas.microsoft.com/office/drawing/2014/main" id="{00000000-0008-0000-0100-0000D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88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51435</xdr:rowOff>
    </xdr:to>
    <xdr:pic>
      <xdr:nvPicPr>
        <xdr:cNvPr id="11476" name="Picture 10" descr=" ">
          <a:extLst>
            <a:ext uri="{FF2B5EF4-FFF2-40B4-BE49-F238E27FC236}">
              <a16:creationId xmlns:a16="http://schemas.microsoft.com/office/drawing/2014/main" id="{00000000-0008-0000-0100-0000D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88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51435</xdr:rowOff>
    </xdr:to>
    <xdr:pic>
      <xdr:nvPicPr>
        <xdr:cNvPr id="11477" name="Picture 11" descr=" ">
          <a:extLst>
            <a:ext uri="{FF2B5EF4-FFF2-40B4-BE49-F238E27FC236}">
              <a16:creationId xmlns:a16="http://schemas.microsoft.com/office/drawing/2014/main" id="{00000000-0008-0000-0100-0000D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88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51435</xdr:rowOff>
    </xdr:to>
    <xdr:pic>
      <xdr:nvPicPr>
        <xdr:cNvPr id="11478" name="Picture 12" descr=" ">
          <a:extLst>
            <a:ext uri="{FF2B5EF4-FFF2-40B4-BE49-F238E27FC236}">
              <a16:creationId xmlns:a16="http://schemas.microsoft.com/office/drawing/2014/main" id="{00000000-0008-0000-0100-0000D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88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51435</xdr:rowOff>
    </xdr:to>
    <xdr:pic>
      <xdr:nvPicPr>
        <xdr:cNvPr id="11479" name="Picture 7" descr=" ">
          <a:extLst>
            <a:ext uri="{FF2B5EF4-FFF2-40B4-BE49-F238E27FC236}">
              <a16:creationId xmlns:a16="http://schemas.microsoft.com/office/drawing/2014/main" id="{00000000-0008-0000-0100-0000D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88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51435</xdr:rowOff>
    </xdr:to>
    <xdr:pic>
      <xdr:nvPicPr>
        <xdr:cNvPr id="11480" name="Picture 8" descr=" ">
          <a:extLst>
            <a:ext uri="{FF2B5EF4-FFF2-40B4-BE49-F238E27FC236}">
              <a16:creationId xmlns:a16="http://schemas.microsoft.com/office/drawing/2014/main" id="{00000000-0008-0000-0100-0000D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88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51435</xdr:rowOff>
    </xdr:to>
    <xdr:pic>
      <xdr:nvPicPr>
        <xdr:cNvPr id="11481" name="Picture 9" descr=" ">
          <a:extLst>
            <a:ext uri="{FF2B5EF4-FFF2-40B4-BE49-F238E27FC236}">
              <a16:creationId xmlns:a16="http://schemas.microsoft.com/office/drawing/2014/main" id="{00000000-0008-0000-0100-0000D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88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51435</xdr:rowOff>
    </xdr:to>
    <xdr:pic>
      <xdr:nvPicPr>
        <xdr:cNvPr id="11482" name="Picture 10" descr=" ">
          <a:extLst>
            <a:ext uri="{FF2B5EF4-FFF2-40B4-BE49-F238E27FC236}">
              <a16:creationId xmlns:a16="http://schemas.microsoft.com/office/drawing/2014/main" id="{00000000-0008-0000-0100-0000D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88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51435</xdr:rowOff>
    </xdr:to>
    <xdr:pic>
      <xdr:nvPicPr>
        <xdr:cNvPr id="11483" name="Picture 11" descr=" ">
          <a:extLst>
            <a:ext uri="{FF2B5EF4-FFF2-40B4-BE49-F238E27FC236}">
              <a16:creationId xmlns:a16="http://schemas.microsoft.com/office/drawing/2014/main" id="{00000000-0008-0000-0100-0000D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88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51435</xdr:rowOff>
    </xdr:to>
    <xdr:pic>
      <xdr:nvPicPr>
        <xdr:cNvPr id="11484" name="Picture 12" descr=" ">
          <a:extLst>
            <a:ext uri="{FF2B5EF4-FFF2-40B4-BE49-F238E27FC236}">
              <a16:creationId xmlns:a16="http://schemas.microsoft.com/office/drawing/2014/main" id="{00000000-0008-0000-0100-0000D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889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51435</xdr:rowOff>
    </xdr:to>
    <xdr:pic>
      <xdr:nvPicPr>
        <xdr:cNvPr id="11485" name="Picture 7" descr=" ">
          <a:extLst>
            <a:ext uri="{FF2B5EF4-FFF2-40B4-BE49-F238E27FC236}">
              <a16:creationId xmlns:a16="http://schemas.microsoft.com/office/drawing/2014/main" id="{00000000-0008-0000-0100-0000D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50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51435</xdr:rowOff>
    </xdr:to>
    <xdr:pic>
      <xdr:nvPicPr>
        <xdr:cNvPr id="11486" name="Picture 8" descr=" ">
          <a:extLst>
            <a:ext uri="{FF2B5EF4-FFF2-40B4-BE49-F238E27FC236}">
              <a16:creationId xmlns:a16="http://schemas.microsoft.com/office/drawing/2014/main" id="{00000000-0008-0000-0100-0000D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50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51435</xdr:rowOff>
    </xdr:to>
    <xdr:pic>
      <xdr:nvPicPr>
        <xdr:cNvPr id="11487" name="Picture 9" descr=" ">
          <a:extLst>
            <a:ext uri="{FF2B5EF4-FFF2-40B4-BE49-F238E27FC236}">
              <a16:creationId xmlns:a16="http://schemas.microsoft.com/office/drawing/2014/main" id="{00000000-0008-0000-0100-0000D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50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51435</xdr:rowOff>
    </xdr:to>
    <xdr:pic>
      <xdr:nvPicPr>
        <xdr:cNvPr id="11488" name="Picture 10" descr=" ">
          <a:extLst>
            <a:ext uri="{FF2B5EF4-FFF2-40B4-BE49-F238E27FC236}">
              <a16:creationId xmlns:a16="http://schemas.microsoft.com/office/drawing/2014/main" id="{00000000-0008-0000-0100-0000E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50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51435</xdr:rowOff>
    </xdr:to>
    <xdr:pic>
      <xdr:nvPicPr>
        <xdr:cNvPr id="11489" name="Picture 11" descr=" ">
          <a:extLst>
            <a:ext uri="{FF2B5EF4-FFF2-40B4-BE49-F238E27FC236}">
              <a16:creationId xmlns:a16="http://schemas.microsoft.com/office/drawing/2014/main" id="{00000000-0008-0000-0100-0000E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50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51435</xdr:rowOff>
    </xdr:to>
    <xdr:pic>
      <xdr:nvPicPr>
        <xdr:cNvPr id="11490" name="Picture 12" descr=" ">
          <a:extLst>
            <a:ext uri="{FF2B5EF4-FFF2-40B4-BE49-F238E27FC236}">
              <a16:creationId xmlns:a16="http://schemas.microsoft.com/office/drawing/2014/main" id="{00000000-0008-0000-0100-0000E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50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51435</xdr:rowOff>
    </xdr:to>
    <xdr:pic>
      <xdr:nvPicPr>
        <xdr:cNvPr id="11491" name="Picture 7" descr=" ">
          <a:extLst>
            <a:ext uri="{FF2B5EF4-FFF2-40B4-BE49-F238E27FC236}">
              <a16:creationId xmlns:a16="http://schemas.microsoft.com/office/drawing/2014/main" id="{00000000-0008-0000-0100-0000E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50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51435</xdr:rowOff>
    </xdr:to>
    <xdr:pic>
      <xdr:nvPicPr>
        <xdr:cNvPr id="11492" name="Picture 8" descr=" ">
          <a:extLst>
            <a:ext uri="{FF2B5EF4-FFF2-40B4-BE49-F238E27FC236}">
              <a16:creationId xmlns:a16="http://schemas.microsoft.com/office/drawing/2014/main" id="{00000000-0008-0000-0100-0000E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50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51435</xdr:rowOff>
    </xdr:to>
    <xdr:pic>
      <xdr:nvPicPr>
        <xdr:cNvPr id="11493" name="Picture 9" descr=" ">
          <a:extLst>
            <a:ext uri="{FF2B5EF4-FFF2-40B4-BE49-F238E27FC236}">
              <a16:creationId xmlns:a16="http://schemas.microsoft.com/office/drawing/2014/main" id="{00000000-0008-0000-0100-0000E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50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51435</xdr:rowOff>
    </xdr:to>
    <xdr:pic>
      <xdr:nvPicPr>
        <xdr:cNvPr id="11494" name="Picture 10" descr=" ">
          <a:extLst>
            <a:ext uri="{FF2B5EF4-FFF2-40B4-BE49-F238E27FC236}">
              <a16:creationId xmlns:a16="http://schemas.microsoft.com/office/drawing/2014/main" id="{00000000-0008-0000-0100-0000E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50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51435</xdr:rowOff>
    </xdr:to>
    <xdr:pic>
      <xdr:nvPicPr>
        <xdr:cNvPr id="11495" name="Picture 11" descr=" ">
          <a:extLst>
            <a:ext uri="{FF2B5EF4-FFF2-40B4-BE49-F238E27FC236}">
              <a16:creationId xmlns:a16="http://schemas.microsoft.com/office/drawing/2014/main" id="{00000000-0008-0000-0100-0000E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50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51435</xdr:rowOff>
    </xdr:to>
    <xdr:pic>
      <xdr:nvPicPr>
        <xdr:cNvPr id="11496" name="Picture 12" descr=" ">
          <a:extLst>
            <a:ext uri="{FF2B5EF4-FFF2-40B4-BE49-F238E27FC236}">
              <a16:creationId xmlns:a16="http://schemas.microsoft.com/office/drawing/2014/main" id="{00000000-0008-0000-0100-0000E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508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51435</xdr:rowOff>
    </xdr:to>
    <xdr:pic>
      <xdr:nvPicPr>
        <xdr:cNvPr id="11497" name="Picture 7" descr=" ">
          <a:extLst>
            <a:ext uri="{FF2B5EF4-FFF2-40B4-BE49-F238E27FC236}">
              <a16:creationId xmlns:a16="http://schemas.microsoft.com/office/drawing/2014/main" id="{00000000-0008-0000-0100-0000E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12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51435</xdr:rowOff>
    </xdr:to>
    <xdr:pic>
      <xdr:nvPicPr>
        <xdr:cNvPr id="11498" name="Picture 8" descr=" ">
          <a:extLst>
            <a:ext uri="{FF2B5EF4-FFF2-40B4-BE49-F238E27FC236}">
              <a16:creationId xmlns:a16="http://schemas.microsoft.com/office/drawing/2014/main" id="{00000000-0008-0000-0100-0000E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12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51435</xdr:rowOff>
    </xdr:to>
    <xdr:pic>
      <xdr:nvPicPr>
        <xdr:cNvPr id="11499" name="Picture 9" descr=" ">
          <a:extLst>
            <a:ext uri="{FF2B5EF4-FFF2-40B4-BE49-F238E27FC236}">
              <a16:creationId xmlns:a16="http://schemas.microsoft.com/office/drawing/2014/main" id="{00000000-0008-0000-0100-0000E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12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51435</xdr:rowOff>
    </xdr:to>
    <xdr:pic>
      <xdr:nvPicPr>
        <xdr:cNvPr id="11500" name="Picture 10" descr=" ">
          <a:extLst>
            <a:ext uri="{FF2B5EF4-FFF2-40B4-BE49-F238E27FC236}">
              <a16:creationId xmlns:a16="http://schemas.microsoft.com/office/drawing/2014/main" id="{00000000-0008-0000-0100-0000E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12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51435</xdr:rowOff>
    </xdr:to>
    <xdr:pic>
      <xdr:nvPicPr>
        <xdr:cNvPr id="11501" name="Picture 11" descr=" ">
          <a:extLst>
            <a:ext uri="{FF2B5EF4-FFF2-40B4-BE49-F238E27FC236}">
              <a16:creationId xmlns:a16="http://schemas.microsoft.com/office/drawing/2014/main" id="{00000000-0008-0000-0100-0000E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12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51435</xdr:rowOff>
    </xdr:to>
    <xdr:pic>
      <xdr:nvPicPr>
        <xdr:cNvPr id="11502" name="Picture 12" descr=" ">
          <a:extLst>
            <a:ext uri="{FF2B5EF4-FFF2-40B4-BE49-F238E27FC236}">
              <a16:creationId xmlns:a16="http://schemas.microsoft.com/office/drawing/2014/main" id="{00000000-0008-0000-0100-0000E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12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51435</xdr:rowOff>
    </xdr:to>
    <xdr:pic>
      <xdr:nvPicPr>
        <xdr:cNvPr id="11503" name="Picture 7" descr=" ">
          <a:extLst>
            <a:ext uri="{FF2B5EF4-FFF2-40B4-BE49-F238E27FC236}">
              <a16:creationId xmlns:a16="http://schemas.microsoft.com/office/drawing/2014/main" id="{00000000-0008-0000-0100-0000E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12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51435</xdr:rowOff>
    </xdr:to>
    <xdr:pic>
      <xdr:nvPicPr>
        <xdr:cNvPr id="11504" name="Picture 8" descr=" ">
          <a:extLst>
            <a:ext uri="{FF2B5EF4-FFF2-40B4-BE49-F238E27FC236}">
              <a16:creationId xmlns:a16="http://schemas.microsoft.com/office/drawing/2014/main" id="{00000000-0008-0000-0100-0000F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12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51435</xdr:rowOff>
    </xdr:to>
    <xdr:pic>
      <xdr:nvPicPr>
        <xdr:cNvPr id="11505" name="Picture 9" descr=" ">
          <a:extLst>
            <a:ext uri="{FF2B5EF4-FFF2-40B4-BE49-F238E27FC236}">
              <a16:creationId xmlns:a16="http://schemas.microsoft.com/office/drawing/2014/main" id="{00000000-0008-0000-0100-0000F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12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51435</xdr:rowOff>
    </xdr:to>
    <xdr:pic>
      <xdr:nvPicPr>
        <xdr:cNvPr id="11506" name="Picture 10" descr=" ">
          <a:extLst>
            <a:ext uri="{FF2B5EF4-FFF2-40B4-BE49-F238E27FC236}">
              <a16:creationId xmlns:a16="http://schemas.microsoft.com/office/drawing/2014/main" id="{00000000-0008-0000-0100-0000F2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12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51435</xdr:rowOff>
    </xdr:to>
    <xdr:pic>
      <xdr:nvPicPr>
        <xdr:cNvPr id="11507" name="Picture 11" descr=" ">
          <a:extLst>
            <a:ext uri="{FF2B5EF4-FFF2-40B4-BE49-F238E27FC236}">
              <a16:creationId xmlns:a16="http://schemas.microsoft.com/office/drawing/2014/main" id="{00000000-0008-0000-0100-0000F3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12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51435</xdr:rowOff>
    </xdr:to>
    <xdr:pic>
      <xdr:nvPicPr>
        <xdr:cNvPr id="11508" name="Picture 12" descr=" ">
          <a:extLst>
            <a:ext uri="{FF2B5EF4-FFF2-40B4-BE49-F238E27FC236}">
              <a16:creationId xmlns:a16="http://schemas.microsoft.com/office/drawing/2014/main" id="{00000000-0008-0000-0100-0000F4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128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51435</xdr:rowOff>
    </xdr:to>
    <xdr:pic>
      <xdr:nvPicPr>
        <xdr:cNvPr id="11509" name="Picture 7" descr=" ">
          <a:extLst>
            <a:ext uri="{FF2B5EF4-FFF2-40B4-BE49-F238E27FC236}">
              <a16:creationId xmlns:a16="http://schemas.microsoft.com/office/drawing/2014/main" id="{00000000-0008-0000-0100-0000F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4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51435</xdr:rowOff>
    </xdr:to>
    <xdr:pic>
      <xdr:nvPicPr>
        <xdr:cNvPr id="11510" name="Picture 8" descr=" ">
          <a:extLst>
            <a:ext uri="{FF2B5EF4-FFF2-40B4-BE49-F238E27FC236}">
              <a16:creationId xmlns:a16="http://schemas.microsoft.com/office/drawing/2014/main" id="{00000000-0008-0000-0100-0000F6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4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51435</xdr:rowOff>
    </xdr:to>
    <xdr:pic>
      <xdr:nvPicPr>
        <xdr:cNvPr id="11511" name="Picture 9" descr=" ">
          <a:extLst>
            <a:ext uri="{FF2B5EF4-FFF2-40B4-BE49-F238E27FC236}">
              <a16:creationId xmlns:a16="http://schemas.microsoft.com/office/drawing/2014/main" id="{00000000-0008-0000-0100-0000F7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4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51435</xdr:rowOff>
    </xdr:to>
    <xdr:pic>
      <xdr:nvPicPr>
        <xdr:cNvPr id="11512" name="Picture 10" descr=" ">
          <a:extLst>
            <a:ext uri="{FF2B5EF4-FFF2-40B4-BE49-F238E27FC236}">
              <a16:creationId xmlns:a16="http://schemas.microsoft.com/office/drawing/2014/main" id="{00000000-0008-0000-0100-0000F8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4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51435</xdr:rowOff>
    </xdr:to>
    <xdr:pic>
      <xdr:nvPicPr>
        <xdr:cNvPr id="11513" name="Picture 11" descr=" ">
          <a:extLst>
            <a:ext uri="{FF2B5EF4-FFF2-40B4-BE49-F238E27FC236}">
              <a16:creationId xmlns:a16="http://schemas.microsoft.com/office/drawing/2014/main" id="{00000000-0008-0000-0100-0000F9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4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51435</xdr:rowOff>
    </xdr:to>
    <xdr:pic>
      <xdr:nvPicPr>
        <xdr:cNvPr id="11514" name="Picture 12" descr=" ">
          <a:extLst>
            <a:ext uri="{FF2B5EF4-FFF2-40B4-BE49-F238E27FC236}">
              <a16:creationId xmlns:a16="http://schemas.microsoft.com/office/drawing/2014/main" id="{00000000-0008-0000-0100-0000FA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4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51435</xdr:rowOff>
    </xdr:to>
    <xdr:pic>
      <xdr:nvPicPr>
        <xdr:cNvPr id="11515" name="Picture 7" descr=" ">
          <a:extLst>
            <a:ext uri="{FF2B5EF4-FFF2-40B4-BE49-F238E27FC236}">
              <a16:creationId xmlns:a16="http://schemas.microsoft.com/office/drawing/2014/main" id="{00000000-0008-0000-0100-0000FB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4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51435</xdr:rowOff>
    </xdr:to>
    <xdr:pic>
      <xdr:nvPicPr>
        <xdr:cNvPr id="11516" name="Picture 8" descr=" ">
          <a:extLst>
            <a:ext uri="{FF2B5EF4-FFF2-40B4-BE49-F238E27FC236}">
              <a16:creationId xmlns:a16="http://schemas.microsoft.com/office/drawing/2014/main" id="{00000000-0008-0000-0100-0000FC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4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51435</xdr:rowOff>
    </xdr:to>
    <xdr:pic>
      <xdr:nvPicPr>
        <xdr:cNvPr id="11517" name="Picture 9" descr=" ">
          <a:extLst>
            <a:ext uri="{FF2B5EF4-FFF2-40B4-BE49-F238E27FC236}">
              <a16:creationId xmlns:a16="http://schemas.microsoft.com/office/drawing/2014/main" id="{00000000-0008-0000-0100-0000FD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4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51435</xdr:rowOff>
    </xdr:to>
    <xdr:pic>
      <xdr:nvPicPr>
        <xdr:cNvPr id="11518" name="Picture 10" descr=" ">
          <a:extLst>
            <a:ext uri="{FF2B5EF4-FFF2-40B4-BE49-F238E27FC236}">
              <a16:creationId xmlns:a16="http://schemas.microsoft.com/office/drawing/2014/main" id="{00000000-0008-0000-0100-0000FE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4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51435</xdr:rowOff>
    </xdr:to>
    <xdr:pic>
      <xdr:nvPicPr>
        <xdr:cNvPr id="11519" name="Picture 11" descr=" ">
          <a:extLst>
            <a:ext uri="{FF2B5EF4-FFF2-40B4-BE49-F238E27FC236}">
              <a16:creationId xmlns:a16="http://schemas.microsoft.com/office/drawing/2014/main" id="{00000000-0008-0000-0100-0000FF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4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51435</xdr:rowOff>
    </xdr:to>
    <xdr:pic>
      <xdr:nvPicPr>
        <xdr:cNvPr id="11520" name="Picture 12" descr=" ">
          <a:extLst>
            <a:ext uri="{FF2B5EF4-FFF2-40B4-BE49-F238E27FC236}">
              <a16:creationId xmlns:a16="http://schemas.microsoft.com/office/drawing/2014/main" id="{00000000-0008-0000-0100-00000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47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51435</xdr:rowOff>
    </xdr:to>
    <xdr:pic>
      <xdr:nvPicPr>
        <xdr:cNvPr id="11521" name="Picture 7" descr=" ">
          <a:extLst>
            <a:ext uri="{FF2B5EF4-FFF2-40B4-BE49-F238E27FC236}">
              <a16:creationId xmlns:a16="http://schemas.microsoft.com/office/drawing/2014/main" id="{00000000-0008-0000-0100-00000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36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51435</xdr:rowOff>
    </xdr:to>
    <xdr:pic>
      <xdr:nvPicPr>
        <xdr:cNvPr id="11522" name="Picture 8" descr=" ">
          <a:extLst>
            <a:ext uri="{FF2B5EF4-FFF2-40B4-BE49-F238E27FC236}">
              <a16:creationId xmlns:a16="http://schemas.microsoft.com/office/drawing/2014/main" id="{00000000-0008-0000-0100-00000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36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51435</xdr:rowOff>
    </xdr:to>
    <xdr:pic>
      <xdr:nvPicPr>
        <xdr:cNvPr id="11523" name="Picture 9" descr=" ">
          <a:extLst>
            <a:ext uri="{FF2B5EF4-FFF2-40B4-BE49-F238E27FC236}">
              <a16:creationId xmlns:a16="http://schemas.microsoft.com/office/drawing/2014/main" id="{00000000-0008-0000-0100-00000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36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51435</xdr:rowOff>
    </xdr:to>
    <xdr:pic>
      <xdr:nvPicPr>
        <xdr:cNvPr id="11524" name="Picture 10" descr=" ">
          <a:extLst>
            <a:ext uri="{FF2B5EF4-FFF2-40B4-BE49-F238E27FC236}">
              <a16:creationId xmlns:a16="http://schemas.microsoft.com/office/drawing/2014/main" id="{00000000-0008-0000-0100-00000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36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51435</xdr:rowOff>
    </xdr:to>
    <xdr:pic>
      <xdr:nvPicPr>
        <xdr:cNvPr id="11525" name="Picture 11" descr=" ">
          <a:extLst>
            <a:ext uri="{FF2B5EF4-FFF2-40B4-BE49-F238E27FC236}">
              <a16:creationId xmlns:a16="http://schemas.microsoft.com/office/drawing/2014/main" id="{00000000-0008-0000-0100-00000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36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51435</xdr:rowOff>
    </xdr:to>
    <xdr:pic>
      <xdr:nvPicPr>
        <xdr:cNvPr id="11526" name="Picture 12" descr=" ">
          <a:extLst>
            <a:ext uri="{FF2B5EF4-FFF2-40B4-BE49-F238E27FC236}">
              <a16:creationId xmlns:a16="http://schemas.microsoft.com/office/drawing/2014/main" id="{00000000-0008-0000-0100-00000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36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51435</xdr:rowOff>
    </xdr:to>
    <xdr:pic>
      <xdr:nvPicPr>
        <xdr:cNvPr id="11527" name="Picture 7" descr=" ">
          <a:extLst>
            <a:ext uri="{FF2B5EF4-FFF2-40B4-BE49-F238E27FC236}">
              <a16:creationId xmlns:a16="http://schemas.microsoft.com/office/drawing/2014/main" id="{00000000-0008-0000-0100-00000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36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51435</xdr:rowOff>
    </xdr:to>
    <xdr:pic>
      <xdr:nvPicPr>
        <xdr:cNvPr id="11528" name="Picture 8" descr=" ">
          <a:extLst>
            <a:ext uri="{FF2B5EF4-FFF2-40B4-BE49-F238E27FC236}">
              <a16:creationId xmlns:a16="http://schemas.microsoft.com/office/drawing/2014/main" id="{00000000-0008-0000-0100-00000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36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51435</xdr:rowOff>
    </xdr:to>
    <xdr:pic>
      <xdr:nvPicPr>
        <xdr:cNvPr id="11529" name="Picture 9" descr=" ">
          <a:extLst>
            <a:ext uri="{FF2B5EF4-FFF2-40B4-BE49-F238E27FC236}">
              <a16:creationId xmlns:a16="http://schemas.microsoft.com/office/drawing/2014/main" id="{00000000-0008-0000-0100-00000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36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51435</xdr:rowOff>
    </xdr:to>
    <xdr:pic>
      <xdr:nvPicPr>
        <xdr:cNvPr id="11530" name="Picture 10" descr=" ">
          <a:extLst>
            <a:ext uri="{FF2B5EF4-FFF2-40B4-BE49-F238E27FC236}">
              <a16:creationId xmlns:a16="http://schemas.microsoft.com/office/drawing/2014/main" id="{00000000-0008-0000-0100-00000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36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51435</xdr:rowOff>
    </xdr:to>
    <xdr:pic>
      <xdr:nvPicPr>
        <xdr:cNvPr id="11531" name="Picture 11" descr=" ">
          <a:extLst>
            <a:ext uri="{FF2B5EF4-FFF2-40B4-BE49-F238E27FC236}">
              <a16:creationId xmlns:a16="http://schemas.microsoft.com/office/drawing/2014/main" id="{00000000-0008-0000-0100-00000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36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51435</xdr:rowOff>
    </xdr:to>
    <xdr:pic>
      <xdr:nvPicPr>
        <xdr:cNvPr id="11532" name="Picture 12" descr=" ">
          <a:extLst>
            <a:ext uri="{FF2B5EF4-FFF2-40B4-BE49-F238E27FC236}">
              <a16:creationId xmlns:a16="http://schemas.microsoft.com/office/drawing/2014/main" id="{00000000-0008-0000-0100-00000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366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51435</xdr:rowOff>
    </xdr:to>
    <xdr:pic>
      <xdr:nvPicPr>
        <xdr:cNvPr id="11533" name="Picture 7" descr=" ">
          <a:extLst>
            <a:ext uri="{FF2B5EF4-FFF2-40B4-BE49-F238E27FC236}">
              <a16:creationId xmlns:a16="http://schemas.microsoft.com/office/drawing/2014/main" id="{00000000-0008-0000-0100-00000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98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51435</xdr:rowOff>
    </xdr:to>
    <xdr:pic>
      <xdr:nvPicPr>
        <xdr:cNvPr id="11534" name="Picture 8" descr=" ">
          <a:extLst>
            <a:ext uri="{FF2B5EF4-FFF2-40B4-BE49-F238E27FC236}">
              <a16:creationId xmlns:a16="http://schemas.microsoft.com/office/drawing/2014/main" id="{00000000-0008-0000-0100-00000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98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51435</xdr:rowOff>
    </xdr:to>
    <xdr:pic>
      <xdr:nvPicPr>
        <xdr:cNvPr id="11535" name="Picture 9" descr=" ">
          <a:extLst>
            <a:ext uri="{FF2B5EF4-FFF2-40B4-BE49-F238E27FC236}">
              <a16:creationId xmlns:a16="http://schemas.microsoft.com/office/drawing/2014/main" id="{00000000-0008-0000-0100-00000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98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51435</xdr:rowOff>
    </xdr:to>
    <xdr:pic>
      <xdr:nvPicPr>
        <xdr:cNvPr id="11536" name="Picture 10" descr=" ">
          <a:extLst>
            <a:ext uri="{FF2B5EF4-FFF2-40B4-BE49-F238E27FC236}">
              <a16:creationId xmlns:a16="http://schemas.microsoft.com/office/drawing/2014/main" id="{00000000-0008-0000-0100-00001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98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51435</xdr:rowOff>
    </xdr:to>
    <xdr:pic>
      <xdr:nvPicPr>
        <xdr:cNvPr id="11537" name="Picture 11" descr=" ">
          <a:extLst>
            <a:ext uri="{FF2B5EF4-FFF2-40B4-BE49-F238E27FC236}">
              <a16:creationId xmlns:a16="http://schemas.microsoft.com/office/drawing/2014/main" id="{00000000-0008-0000-0100-00001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98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51435</xdr:rowOff>
    </xdr:to>
    <xdr:pic>
      <xdr:nvPicPr>
        <xdr:cNvPr id="11538" name="Picture 12" descr=" ">
          <a:extLst>
            <a:ext uri="{FF2B5EF4-FFF2-40B4-BE49-F238E27FC236}">
              <a16:creationId xmlns:a16="http://schemas.microsoft.com/office/drawing/2014/main" id="{00000000-0008-0000-0100-00001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98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51435</xdr:rowOff>
    </xdr:to>
    <xdr:pic>
      <xdr:nvPicPr>
        <xdr:cNvPr id="11539" name="Picture 7" descr=" ">
          <a:extLst>
            <a:ext uri="{FF2B5EF4-FFF2-40B4-BE49-F238E27FC236}">
              <a16:creationId xmlns:a16="http://schemas.microsoft.com/office/drawing/2014/main" id="{00000000-0008-0000-0100-00001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98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51435</xdr:rowOff>
    </xdr:to>
    <xdr:pic>
      <xdr:nvPicPr>
        <xdr:cNvPr id="11540" name="Picture 8" descr=" ">
          <a:extLst>
            <a:ext uri="{FF2B5EF4-FFF2-40B4-BE49-F238E27FC236}">
              <a16:creationId xmlns:a16="http://schemas.microsoft.com/office/drawing/2014/main" id="{00000000-0008-0000-0100-00001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98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51435</xdr:rowOff>
    </xdr:to>
    <xdr:pic>
      <xdr:nvPicPr>
        <xdr:cNvPr id="11541" name="Picture 9" descr=" ">
          <a:extLst>
            <a:ext uri="{FF2B5EF4-FFF2-40B4-BE49-F238E27FC236}">
              <a16:creationId xmlns:a16="http://schemas.microsoft.com/office/drawing/2014/main" id="{00000000-0008-0000-0100-00001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98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51435</xdr:rowOff>
    </xdr:to>
    <xdr:pic>
      <xdr:nvPicPr>
        <xdr:cNvPr id="11542" name="Picture 10" descr=" ">
          <a:extLst>
            <a:ext uri="{FF2B5EF4-FFF2-40B4-BE49-F238E27FC236}">
              <a16:creationId xmlns:a16="http://schemas.microsoft.com/office/drawing/2014/main" id="{00000000-0008-0000-0100-00001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98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51435</xdr:rowOff>
    </xdr:to>
    <xdr:pic>
      <xdr:nvPicPr>
        <xdr:cNvPr id="11543" name="Picture 11" descr=" ">
          <a:extLst>
            <a:ext uri="{FF2B5EF4-FFF2-40B4-BE49-F238E27FC236}">
              <a16:creationId xmlns:a16="http://schemas.microsoft.com/office/drawing/2014/main" id="{00000000-0008-0000-0100-00001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98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51435</xdr:rowOff>
    </xdr:to>
    <xdr:pic>
      <xdr:nvPicPr>
        <xdr:cNvPr id="11544" name="Picture 12" descr=" ">
          <a:extLst>
            <a:ext uri="{FF2B5EF4-FFF2-40B4-BE49-F238E27FC236}">
              <a16:creationId xmlns:a16="http://schemas.microsoft.com/office/drawing/2014/main" id="{00000000-0008-0000-0100-00001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98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1545" name="Picture 7" descr=" ">
          <a:extLst>
            <a:ext uri="{FF2B5EF4-FFF2-40B4-BE49-F238E27FC236}">
              <a16:creationId xmlns:a16="http://schemas.microsoft.com/office/drawing/2014/main" id="{00000000-0008-0000-0100-00001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1546" name="Picture 8" descr=" ">
          <a:extLst>
            <a:ext uri="{FF2B5EF4-FFF2-40B4-BE49-F238E27FC236}">
              <a16:creationId xmlns:a16="http://schemas.microsoft.com/office/drawing/2014/main" id="{00000000-0008-0000-0100-00001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1547" name="Picture 9" descr=" ">
          <a:extLst>
            <a:ext uri="{FF2B5EF4-FFF2-40B4-BE49-F238E27FC236}">
              <a16:creationId xmlns:a16="http://schemas.microsoft.com/office/drawing/2014/main" id="{00000000-0008-0000-0100-00001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1548" name="Picture 10" descr=" ">
          <a:extLst>
            <a:ext uri="{FF2B5EF4-FFF2-40B4-BE49-F238E27FC236}">
              <a16:creationId xmlns:a16="http://schemas.microsoft.com/office/drawing/2014/main" id="{00000000-0008-0000-0100-00001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1549" name="Picture 11" descr=" ">
          <a:extLst>
            <a:ext uri="{FF2B5EF4-FFF2-40B4-BE49-F238E27FC236}">
              <a16:creationId xmlns:a16="http://schemas.microsoft.com/office/drawing/2014/main" id="{00000000-0008-0000-0100-00001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1550" name="Picture 12" descr=" ">
          <a:extLst>
            <a:ext uri="{FF2B5EF4-FFF2-40B4-BE49-F238E27FC236}">
              <a16:creationId xmlns:a16="http://schemas.microsoft.com/office/drawing/2014/main" id="{00000000-0008-0000-0100-00001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1551" name="Picture 7" descr=" ">
          <a:extLst>
            <a:ext uri="{FF2B5EF4-FFF2-40B4-BE49-F238E27FC236}">
              <a16:creationId xmlns:a16="http://schemas.microsoft.com/office/drawing/2014/main" id="{00000000-0008-0000-0100-00001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1552" name="Picture 8" descr=" ">
          <a:extLst>
            <a:ext uri="{FF2B5EF4-FFF2-40B4-BE49-F238E27FC236}">
              <a16:creationId xmlns:a16="http://schemas.microsoft.com/office/drawing/2014/main" id="{00000000-0008-0000-0100-00002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1553" name="Picture 9" descr=" ">
          <a:extLst>
            <a:ext uri="{FF2B5EF4-FFF2-40B4-BE49-F238E27FC236}">
              <a16:creationId xmlns:a16="http://schemas.microsoft.com/office/drawing/2014/main" id="{00000000-0008-0000-0100-00002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1554" name="Picture 10" descr=" ">
          <a:extLst>
            <a:ext uri="{FF2B5EF4-FFF2-40B4-BE49-F238E27FC236}">
              <a16:creationId xmlns:a16="http://schemas.microsoft.com/office/drawing/2014/main" id="{00000000-0008-0000-0100-00002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1555" name="Picture 11" descr=" ">
          <a:extLst>
            <a:ext uri="{FF2B5EF4-FFF2-40B4-BE49-F238E27FC236}">
              <a16:creationId xmlns:a16="http://schemas.microsoft.com/office/drawing/2014/main" id="{00000000-0008-0000-0100-00002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1556" name="Picture 12" descr=" ">
          <a:extLst>
            <a:ext uri="{FF2B5EF4-FFF2-40B4-BE49-F238E27FC236}">
              <a16:creationId xmlns:a16="http://schemas.microsoft.com/office/drawing/2014/main" id="{00000000-0008-0000-0100-00002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557" name="Picture 7" descr=" ">
          <a:extLst>
            <a:ext uri="{FF2B5EF4-FFF2-40B4-BE49-F238E27FC236}">
              <a16:creationId xmlns:a16="http://schemas.microsoft.com/office/drawing/2014/main" id="{00000000-0008-0000-0100-00002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558" name="Picture 8" descr=" ">
          <a:extLst>
            <a:ext uri="{FF2B5EF4-FFF2-40B4-BE49-F238E27FC236}">
              <a16:creationId xmlns:a16="http://schemas.microsoft.com/office/drawing/2014/main" id="{00000000-0008-0000-0100-00002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559" name="Picture 9" descr=" ">
          <a:extLst>
            <a:ext uri="{FF2B5EF4-FFF2-40B4-BE49-F238E27FC236}">
              <a16:creationId xmlns:a16="http://schemas.microsoft.com/office/drawing/2014/main" id="{00000000-0008-0000-0100-00002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560" name="Picture 10" descr=" ">
          <a:extLst>
            <a:ext uri="{FF2B5EF4-FFF2-40B4-BE49-F238E27FC236}">
              <a16:creationId xmlns:a16="http://schemas.microsoft.com/office/drawing/2014/main" id="{00000000-0008-0000-0100-00002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561" name="Picture 11" descr=" ">
          <a:extLst>
            <a:ext uri="{FF2B5EF4-FFF2-40B4-BE49-F238E27FC236}">
              <a16:creationId xmlns:a16="http://schemas.microsoft.com/office/drawing/2014/main" id="{00000000-0008-0000-0100-00002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562" name="Picture 12" descr=" ">
          <a:extLst>
            <a:ext uri="{FF2B5EF4-FFF2-40B4-BE49-F238E27FC236}">
              <a16:creationId xmlns:a16="http://schemas.microsoft.com/office/drawing/2014/main" id="{00000000-0008-0000-0100-00002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563" name="Picture 7" descr=" ">
          <a:extLst>
            <a:ext uri="{FF2B5EF4-FFF2-40B4-BE49-F238E27FC236}">
              <a16:creationId xmlns:a16="http://schemas.microsoft.com/office/drawing/2014/main" id="{00000000-0008-0000-0100-00002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564" name="Picture 8" descr=" ">
          <a:extLst>
            <a:ext uri="{FF2B5EF4-FFF2-40B4-BE49-F238E27FC236}">
              <a16:creationId xmlns:a16="http://schemas.microsoft.com/office/drawing/2014/main" id="{00000000-0008-0000-0100-00002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565" name="Picture 9" descr=" ">
          <a:extLst>
            <a:ext uri="{FF2B5EF4-FFF2-40B4-BE49-F238E27FC236}">
              <a16:creationId xmlns:a16="http://schemas.microsoft.com/office/drawing/2014/main" id="{00000000-0008-0000-0100-00002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566" name="Picture 10" descr=" ">
          <a:extLst>
            <a:ext uri="{FF2B5EF4-FFF2-40B4-BE49-F238E27FC236}">
              <a16:creationId xmlns:a16="http://schemas.microsoft.com/office/drawing/2014/main" id="{00000000-0008-0000-0100-00002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567" name="Picture 11" descr=" ">
          <a:extLst>
            <a:ext uri="{FF2B5EF4-FFF2-40B4-BE49-F238E27FC236}">
              <a16:creationId xmlns:a16="http://schemas.microsoft.com/office/drawing/2014/main" id="{00000000-0008-0000-0100-00002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568" name="Picture 12" descr=" ">
          <a:extLst>
            <a:ext uri="{FF2B5EF4-FFF2-40B4-BE49-F238E27FC236}">
              <a16:creationId xmlns:a16="http://schemas.microsoft.com/office/drawing/2014/main" id="{00000000-0008-0000-0100-00003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51435</xdr:rowOff>
    </xdr:to>
    <xdr:pic>
      <xdr:nvPicPr>
        <xdr:cNvPr id="11569" name="Picture 7" descr=" ">
          <a:extLst>
            <a:ext uri="{FF2B5EF4-FFF2-40B4-BE49-F238E27FC236}">
              <a16:creationId xmlns:a16="http://schemas.microsoft.com/office/drawing/2014/main" id="{00000000-0008-0000-0100-00003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79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51435</xdr:rowOff>
    </xdr:to>
    <xdr:pic>
      <xdr:nvPicPr>
        <xdr:cNvPr id="11570" name="Picture 8" descr=" ">
          <a:extLst>
            <a:ext uri="{FF2B5EF4-FFF2-40B4-BE49-F238E27FC236}">
              <a16:creationId xmlns:a16="http://schemas.microsoft.com/office/drawing/2014/main" id="{00000000-0008-0000-0100-00003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79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51435</xdr:rowOff>
    </xdr:to>
    <xdr:pic>
      <xdr:nvPicPr>
        <xdr:cNvPr id="11571" name="Picture 9" descr=" ">
          <a:extLst>
            <a:ext uri="{FF2B5EF4-FFF2-40B4-BE49-F238E27FC236}">
              <a16:creationId xmlns:a16="http://schemas.microsoft.com/office/drawing/2014/main" id="{00000000-0008-0000-0100-00003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79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51435</xdr:rowOff>
    </xdr:to>
    <xdr:pic>
      <xdr:nvPicPr>
        <xdr:cNvPr id="11572" name="Picture 10" descr=" ">
          <a:extLst>
            <a:ext uri="{FF2B5EF4-FFF2-40B4-BE49-F238E27FC236}">
              <a16:creationId xmlns:a16="http://schemas.microsoft.com/office/drawing/2014/main" id="{00000000-0008-0000-0100-00003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79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51435</xdr:rowOff>
    </xdr:to>
    <xdr:pic>
      <xdr:nvPicPr>
        <xdr:cNvPr id="11573" name="Picture 11" descr=" ">
          <a:extLst>
            <a:ext uri="{FF2B5EF4-FFF2-40B4-BE49-F238E27FC236}">
              <a16:creationId xmlns:a16="http://schemas.microsoft.com/office/drawing/2014/main" id="{00000000-0008-0000-0100-00003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79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51435</xdr:rowOff>
    </xdr:to>
    <xdr:pic>
      <xdr:nvPicPr>
        <xdr:cNvPr id="11574" name="Picture 12" descr=" ">
          <a:extLst>
            <a:ext uri="{FF2B5EF4-FFF2-40B4-BE49-F238E27FC236}">
              <a16:creationId xmlns:a16="http://schemas.microsoft.com/office/drawing/2014/main" id="{00000000-0008-0000-0100-00003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79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51435</xdr:rowOff>
    </xdr:to>
    <xdr:pic>
      <xdr:nvPicPr>
        <xdr:cNvPr id="11575" name="Picture 7" descr=" ">
          <a:extLst>
            <a:ext uri="{FF2B5EF4-FFF2-40B4-BE49-F238E27FC236}">
              <a16:creationId xmlns:a16="http://schemas.microsoft.com/office/drawing/2014/main" id="{00000000-0008-0000-0100-00003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79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51435</xdr:rowOff>
    </xdr:to>
    <xdr:pic>
      <xdr:nvPicPr>
        <xdr:cNvPr id="11576" name="Picture 8" descr=" ">
          <a:extLst>
            <a:ext uri="{FF2B5EF4-FFF2-40B4-BE49-F238E27FC236}">
              <a16:creationId xmlns:a16="http://schemas.microsoft.com/office/drawing/2014/main" id="{00000000-0008-0000-0100-00003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79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51435</xdr:rowOff>
    </xdr:to>
    <xdr:pic>
      <xdr:nvPicPr>
        <xdr:cNvPr id="11577" name="Picture 9" descr=" ">
          <a:extLst>
            <a:ext uri="{FF2B5EF4-FFF2-40B4-BE49-F238E27FC236}">
              <a16:creationId xmlns:a16="http://schemas.microsoft.com/office/drawing/2014/main" id="{00000000-0008-0000-0100-00003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79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51435</xdr:rowOff>
    </xdr:to>
    <xdr:pic>
      <xdr:nvPicPr>
        <xdr:cNvPr id="11578" name="Picture 10" descr=" ">
          <a:extLst>
            <a:ext uri="{FF2B5EF4-FFF2-40B4-BE49-F238E27FC236}">
              <a16:creationId xmlns:a16="http://schemas.microsoft.com/office/drawing/2014/main" id="{00000000-0008-0000-0100-00003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79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51435</xdr:rowOff>
    </xdr:to>
    <xdr:pic>
      <xdr:nvPicPr>
        <xdr:cNvPr id="11579" name="Picture 11" descr=" ">
          <a:extLst>
            <a:ext uri="{FF2B5EF4-FFF2-40B4-BE49-F238E27FC236}">
              <a16:creationId xmlns:a16="http://schemas.microsoft.com/office/drawing/2014/main" id="{00000000-0008-0000-0100-00003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79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51435</xdr:rowOff>
    </xdr:to>
    <xdr:pic>
      <xdr:nvPicPr>
        <xdr:cNvPr id="11580" name="Picture 12" descr=" ">
          <a:extLst>
            <a:ext uri="{FF2B5EF4-FFF2-40B4-BE49-F238E27FC236}">
              <a16:creationId xmlns:a16="http://schemas.microsoft.com/office/drawing/2014/main" id="{00000000-0008-0000-0100-00003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79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51435</xdr:rowOff>
    </xdr:to>
    <xdr:pic>
      <xdr:nvPicPr>
        <xdr:cNvPr id="11581" name="Picture 7" descr=" ">
          <a:extLst>
            <a:ext uri="{FF2B5EF4-FFF2-40B4-BE49-F238E27FC236}">
              <a16:creationId xmlns:a16="http://schemas.microsoft.com/office/drawing/2014/main" id="{00000000-0008-0000-0100-00003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1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51435</xdr:rowOff>
    </xdr:to>
    <xdr:pic>
      <xdr:nvPicPr>
        <xdr:cNvPr id="11582" name="Picture 8" descr=" ">
          <a:extLst>
            <a:ext uri="{FF2B5EF4-FFF2-40B4-BE49-F238E27FC236}">
              <a16:creationId xmlns:a16="http://schemas.microsoft.com/office/drawing/2014/main" id="{00000000-0008-0000-0100-00003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1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51435</xdr:rowOff>
    </xdr:to>
    <xdr:pic>
      <xdr:nvPicPr>
        <xdr:cNvPr id="11583" name="Picture 9" descr=" ">
          <a:extLst>
            <a:ext uri="{FF2B5EF4-FFF2-40B4-BE49-F238E27FC236}">
              <a16:creationId xmlns:a16="http://schemas.microsoft.com/office/drawing/2014/main" id="{00000000-0008-0000-0100-00003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1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51435</xdr:rowOff>
    </xdr:to>
    <xdr:pic>
      <xdr:nvPicPr>
        <xdr:cNvPr id="11584" name="Picture 10" descr=" ">
          <a:extLst>
            <a:ext uri="{FF2B5EF4-FFF2-40B4-BE49-F238E27FC236}">
              <a16:creationId xmlns:a16="http://schemas.microsoft.com/office/drawing/2014/main" id="{00000000-0008-0000-0100-00004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1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51435</xdr:rowOff>
    </xdr:to>
    <xdr:pic>
      <xdr:nvPicPr>
        <xdr:cNvPr id="11585" name="Picture 11" descr=" ">
          <a:extLst>
            <a:ext uri="{FF2B5EF4-FFF2-40B4-BE49-F238E27FC236}">
              <a16:creationId xmlns:a16="http://schemas.microsoft.com/office/drawing/2014/main" id="{00000000-0008-0000-0100-00004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1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51435</xdr:rowOff>
    </xdr:to>
    <xdr:pic>
      <xdr:nvPicPr>
        <xdr:cNvPr id="11586" name="Picture 12" descr=" ">
          <a:extLst>
            <a:ext uri="{FF2B5EF4-FFF2-40B4-BE49-F238E27FC236}">
              <a16:creationId xmlns:a16="http://schemas.microsoft.com/office/drawing/2014/main" id="{00000000-0008-0000-0100-00004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1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51435</xdr:rowOff>
    </xdr:to>
    <xdr:pic>
      <xdr:nvPicPr>
        <xdr:cNvPr id="11587" name="Picture 7" descr=" ">
          <a:extLst>
            <a:ext uri="{FF2B5EF4-FFF2-40B4-BE49-F238E27FC236}">
              <a16:creationId xmlns:a16="http://schemas.microsoft.com/office/drawing/2014/main" id="{00000000-0008-0000-0100-00004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1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51435</xdr:rowOff>
    </xdr:to>
    <xdr:pic>
      <xdr:nvPicPr>
        <xdr:cNvPr id="11588" name="Picture 8" descr=" ">
          <a:extLst>
            <a:ext uri="{FF2B5EF4-FFF2-40B4-BE49-F238E27FC236}">
              <a16:creationId xmlns:a16="http://schemas.microsoft.com/office/drawing/2014/main" id="{00000000-0008-0000-0100-00004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1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51435</xdr:rowOff>
    </xdr:to>
    <xdr:pic>
      <xdr:nvPicPr>
        <xdr:cNvPr id="11589" name="Picture 9" descr=" ">
          <a:extLst>
            <a:ext uri="{FF2B5EF4-FFF2-40B4-BE49-F238E27FC236}">
              <a16:creationId xmlns:a16="http://schemas.microsoft.com/office/drawing/2014/main" id="{00000000-0008-0000-0100-00004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1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51435</xdr:rowOff>
    </xdr:to>
    <xdr:pic>
      <xdr:nvPicPr>
        <xdr:cNvPr id="11590" name="Picture 10" descr=" ">
          <a:extLst>
            <a:ext uri="{FF2B5EF4-FFF2-40B4-BE49-F238E27FC236}">
              <a16:creationId xmlns:a16="http://schemas.microsoft.com/office/drawing/2014/main" id="{00000000-0008-0000-0100-00004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1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51435</xdr:rowOff>
    </xdr:to>
    <xdr:pic>
      <xdr:nvPicPr>
        <xdr:cNvPr id="11591" name="Picture 11" descr=" ">
          <a:extLst>
            <a:ext uri="{FF2B5EF4-FFF2-40B4-BE49-F238E27FC236}">
              <a16:creationId xmlns:a16="http://schemas.microsoft.com/office/drawing/2014/main" id="{00000000-0008-0000-0100-00004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1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51435</xdr:rowOff>
    </xdr:to>
    <xdr:pic>
      <xdr:nvPicPr>
        <xdr:cNvPr id="11592" name="Picture 12" descr=" ">
          <a:extLst>
            <a:ext uri="{FF2B5EF4-FFF2-40B4-BE49-F238E27FC236}">
              <a16:creationId xmlns:a16="http://schemas.microsoft.com/office/drawing/2014/main" id="{00000000-0008-0000-0100-00004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41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51435</xdr:rowOff>
    </xdr:to>
    <xdr:pic>
      <xdr:nvPicPr>
        <xdr:cNvPr id="11593" name="Picture 7" descr=" ">
          <a:extLst>
            <a:ext uri="{FF2B5EF4-FFF2-40B4-BE49-F238E27FC236}">
              <a16:creationId xmlns:a16="http://schemas.microsoft.com/office/drawing/2014/main" id="{00000000-0008-0000-0100-00004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03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51435</xdr:rowOff>
    </xdr:to>
    <xdr:pic>
      <xdr:nvPicPr>
        <xdr:cNvPr id="11594" name="Picture 8" descr=" ">
          <a:extLst>
            <a:ext uri="{FF2B5EF4-FFF2-40B4-BE49-F238E27FC236}">
              <a16:creationId xmlns:a16="http://schemas.microsoft.com/office/drawing/2014/main" id="{00000000-0008-0000-0100-00004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03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51435</xdr:rowOff>
    </xdr:to>
    <xdr:pic>
      <xdr:nvPicPr>
        <xdr:cNvPr id="11595" name="Picture 9" descr=" ">
          <a:extLst>
            <a:ext uri="{FF2B5EF4-FFF2-40B4-BE49-F238E27FC236}">
              <a16:creationId xmlns:a16="http://schemas.microsoft.com/office/drawing/2014/main" id="{00000000-0008-0000-0100-00004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03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51435</xdr:rowOff>
    </xdr:to>
    <xdr:pic>
      <xdr:nvPicPr>
        <xdr:cNvPr id="11596" name="Picture 10" descr=" ">
          <a:extLst>
            <a:ext uri="{FF2B5EF4-FFF2-40B4-BE49-F238E27FC236}">
              <a16:creationId xmlns:a16="http://schemas.microsoft.com/office/drawing/2014/main" id="{00000000-0008-0000-0100-00004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03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51435</xdr:rowOff>
    </xdr:to>
    <xdr:pic>
      <xdr:nvPicPr>
        <xdr:cNvPr id="11597" name="Picture 11" descr=" ">
          <a:extLst>
            <a:ext uri="{FF2B5EF4-FFF2-40B4-BE49-F238E27FC236}">
              <a16:creationId xmlns:a16="http://schemas.microsoft.com/office/drawing/2014/main" id="{00000000-0008-0000-0100-00004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03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51435</xdr:rowOff>
    </xdr:to>
    <xdr:pic>
      <xdr:nvPicPr>
        <xdr:cNvPr id="11598" name="Picture 12" descr=" ">
          <a:extLst>
            <a:ext uri="{FF2B5EF4-FFF2-40B4-BE49-F238E27FC236}">
              <a16:creationId xmlns:a16="http://schemas.microsoft.com/office/drawing/2014/main" id="{00000000-0008-0000-0100-00004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03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51435</xdr:rowOff>
    </xdr:to>
    <xdr:pic>
      <xdr:nvPicPr>
        <xdr:cNvPr id="11599" name="Picture 7" descr=" ">
          <a:extLst>
            <a:ext uri="{FF2B5EF4-FFF2-40B4-BE49-F238E27FC236}">
              <a16:creationId xmlns:a16="http://schemas.microsoft.com/office/drawing/2014/main" id="{00000000-0008-0000-0100-00004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03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51435</xdr:rowOff>
    </xdr:to>
    <xdr:pic>
      <xdr:nvPicPr>
        <xdr:cNvPr id="11600" name="Picture 8" descr=" ">
          <a:extLst>
            <a:ext uri="{FF2B5EF4-FFF2-40B4-BE49-F238E27FC236}">
              <a16:creationId xmlns:a16="http://schemas.microsoft.com/office/drawing/2014/main" id="{00000000-0008-0000-0100-00005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03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51435</xdr:rowOff>
    </xdr:to>
    <xdr:pic>
      <xdr:nvPicPr>
        <xdr:cNvPr id="11601" name="Picture 9" descr=" ">
          <a:extLst>
            <a:ext uri="{FF2B5EF4-FFF2-40B4-BE49-F238E27FC236}">
              <a16:creationId xmlns:a16="http://schemas.microsoft.com/office/drawing/2014/main" id="{00000000-0008-0000-0100-00005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03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51435</xdr:rowOff>
    </xdr:to>
    <xdr:pic>
      <xdr:nvPicPr>
        <xdr:cNvPr id="11602" name="Picture 10" descr=" ">
          <a:extLst>
            <a:ext uri="{FF2B5EF4-FFF2-40B4-BE49-F238E27FC236}">
              <a16:creationId xmlns:a16="http://schemas.microsoft.com/office/drawing/2014/main" id="{00000000-0008-0000-0100-00005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03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51435</xdr:rowOff>
    </xdr:to>
    <xdr:pic>
      <xdr:nvPicPr>
        <xdr:cNvPr id="11603" name="Picture 11" descr=" ">
          <a:extLst>
            <a:ext uri="{FF2B5EF4-FFF2-40B4-BE49-F238E27FC236}">
              <a16:creationId xmlns:a16="http://schemas.microsoft.com/office/drawing/2014/main" id="{00000000-0008-0000-0100-00005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03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51435</xdr:rowOff>
    </xdr:to>
    <xdr:pic>
      <xdr:nvPicPr>
        <xdr:cNvPr id="11604" name="Picture 12" descr=" ">
          <a:extLst>
            <a:ext uri="{FF2B5EF4-FFF2-40B4-BE49-F238E27FC236}">
              <a16:creationId xmlns:a16="http://schemas.microsoft.com/office/drawing/2014/main" id="{00000000-0008-0000-0100-00005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03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51435</xdr:rowOff>
    </xdr:to>
    <xdr:pic>
      <xdr:nvPicPr>
        <xdr:cNvPr id="11605" name="Picture 7" descr=" ">
          <a:extLst>
            <a:ext uri="{FF2B5EF4-FFF2-40B4-BE49-F238E27FC236}">
              <a16:creationId xmlns:a16="http://schemas.microsoft.com/office/drawing/2014/main" id="{00000000-0008-0000-0100-00005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65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51435</xdr:rowOff>
    </xdr:to>
    <xdr:pic>
      <xdr:nvPicPr>
        <xdr:cNvPr id="11606" name="Picture 8" descr=" ">
          <a:extLst>
            <a:ext uri="{FF2B5EF4-FFF2-40B4-BE49-F238E27FC236}">
              <a16:creationId xmlns:a16="http://schemas.microsoft.com/office/drawing/2014/main" id="{00000000-0008-0000-0100-00005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65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51435</xdr:rowOff>
    </xdr:to>
    <xdr:pic>
      <xdr:nvPicPr>
        <xdr:cNvPr id="11607" name="Picture 9" descr=" ">
          <a:extLst>
            <a:ext uri="{FF2B5EF4-FFF2-40B4-BE49-F238E27FC236}">
              <a16:creationId xmlns:a16="http://schemas.microsoft.com/office/drawing/2014/main" id="{00000000-0008-0000-0100-00005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65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51435</xdr:rowOff>
    </xdr:to>
    <xdr:pic>
      <xdr:nvPicPr>
        <xdr:cNvPr id="11608" name="Picture 10" descr=" ">
          <a:extLst>
            <a:ext uri="{FF2B5EF4-FFF2-40B4-BE49-F238E27FC236}">
              <a16:creationId xmlns:a16="http://schemas.microsoft.com/office/drawing/2014/main" id="{00000000-0008-0000-0100-00005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65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51435</xdr:rowOff>
    </xdr:to>
    <xdr:pic>
      <xdr:nvPicPr>
        <xdr:cNvPr id="11609" name="Picture 11" descr=" ">
          <a:extLst>
            <a:ext uri="{FF2B5EF4-FFF2-40B4-BE49-F238E27FC236}">
              <a16:creationId xmlns:a16="http://schemas.microsoft.com/office/drawing/2014/main" id="{00000000-0008-0000-0100-00005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65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51435</xdr:rowOff>
    </xdr:to>
    <xdr:pic>
      <xdr:nvPicPr>
        <xdr:cNvPr id="11610" name="Picture 12" descr=" ">
          <a:extLst>
            <a:ext uri="{FF2B5EF4-FFF2-40B4-BE49-F238E27FC236}">
              <a16:creationId xmlns:a16="http://schemas.microsoft.com/office/drawing/2014/main" id="{00000000-0008-0000-0100-00005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65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51435</xdr:rowOff>
    </xdr:to>
    <xdr:pic>
      <xdr:nvPicPr>
        <xdr:cNvPr id="11611" name="Picture 7" descr=" ">
          <a:extLst>
            <a:ext uri="{FF2B5EF4-FFF2-40B4-BE49-F238E27FC236}">
              <a16:creationId xmlns:a16="http://schemas.microsoft.com/office/drawing/2014/main" id="{00000000-0008-0000-0100-00005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65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51435</xdr:rowOff>
    </xdr:to>
    <xdr:pic>
      <xdr:nvPicPr>
        <xdr:cNvPr id="11612" name="Picture 8" descr=" ">
          <a:extLst>
            <a:ext uri="{FF2B5EF4-FFF2-40B4-BE49-F238E27FC236}">
              <a16:creationId xmlns:a16="http://schemas.microsoft.com/office/drawing/2014/main" id="{00000000-0008-0000-0100-00005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65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51435</xdr:rowOff>
    </xdr:to>
    <xdr:pic>
      <xdr:nvPicPr>
        <xdr:cNvPr id="11613" name="Picture 9" descr=" ">
          <a:extLst>
            <a:ext uri="{FF2B5EF4-FFF2-40B4-BE49-F238E27FC236}">
              <a16:creationId xmlns:a16="http://schemas.microsoft.com/office/drawing/2014/main" id="{00000000-0008-0000-0100-00005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65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51435</xdr:rowOff>
    </xdr:to>
    <xdr:pic>
      <xdr:nvPicPr>
        <xdr:cNvPr id="11614" name="Picture 10" descr=" ">
          <a:extLst>
            <a:ext uri="{FF2B5EF4-FFF2-40B4-BE49-F238E27FC236}">
              <a16:creationId xmlns:a16="http://schemas.microsoft.com/office/drawing/2014/main" id="{00000000-0008-0000-0100-00005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65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51435</xdr:rowOff>
    </xdr:to>
    <xdr:pic>
      <xdr:nvPicPr>
        <xdr:cNvPr id="11615" name="Picture 11" descr=" ">
          <a:extLst>
            <a:ext uri="{FF2B5EF4-FFF2-40B4-BE49-F238E27FC236}">
              <a16:creationId xmlns:a16="http://schemas.microsoft.com/office/drawing/2014/main" id="{00000000-0008-0000-0100-00005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65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51435</xdr:rowOff>
    </xdr:to>
    <xdr:pic>
      <xdr:nvPicPr>
        <xdr:cNvPr id="11616" name="Picture 12" descr=" ">
          <a:extLst>
            <a:ext uri="{FF2B5EF4-FFF2-40B4-BE49-F238E27FC236}">
              <a16:creationId xmlns:a16="http://schemas.microsoft.com/office/drawing/2014/main" id="{00000000-0008-0000-0100-00006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653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51435</xdr:rowOff>
    </xdr:to>
    <xdr:pic>
      <xdr:nvPicPr>
        <xdr:cNvPr id="11617" name="Picture 7" descr=" ">
          <a:extLst>
            <a:ext uri="{FF2B5EF4-FFF2-40B4-BE49-F238E27FC236}">
              <a16:creationId xmlns:a16="http://schemas.microsoft.com/office/drawing/2014/main" id="{00000000-0008-0000-0100-00006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27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51435</xdr:rowOff>
    </xdr:to>
    <xdr:pic>
      <xdr:nvPicPr>
        <xdr:cNvPr id="11618" name="Picture 8" descr=" ">
          <a:extLst>
            <a:ext uri="{FF2B5EF4-FFF2-40B4-BE49-F238E27FC236}">
              <a16:creationId xmlns:a16="http://schemas.microsoft.com/office/drawing/2014/main" id="{00000000-0008-0000-0100-00006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27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51435</xdr:rowOff>
    </xdr:to>
    <xdr:pic>
      <xdr:nvPicPr>
        <xdr:cNvPr id="11619" name="Picture 9" descr=" ">
          <a:extLst>
            <a:ext uri="{FF2B5EF4-FFF2-40B4-BE49-F238E27FC236}">
              <a16:creationId xmlns:a16="http://schemas.microsoft.com/office/drawing/2014/main" id="{00000000-0008-0000-0100-00006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27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51435</xdr:rowOff>
    </xdr:to>
    <xdr:pic>
      <xdr:nvPicPr>
        <xdr:cNvPr id="11620" name="Picture 10" descr=" ">
          <a:extLst>
            <a:ext uri="{FF2B5EF4-FFF2-40B4-BE49-F238E27FC236}">
              <a16:creationId xmlns:a16="http://schemas.microsoft.com/office/drawing/2014/main" id="{00000000-0008-0000-0100-00006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27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51435</xdr:rowOff>
    </xdr:to>
    <xdr:pic>
      <xdr:nvPicPr>
        <xdr:cNvPr id="11621" name="Picture 11" descr=" ">
          <a:extLst>
            <a:ext uri="{FF2B5EF4-FFF2-40B4-BE49-F238E27FC236}">
              <a16:creationId xmlns:a16="http://schemas.microsoft.com/office/drawing/2014/main" id="{00000000-0008-0000-0100-00006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27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51435</xdr:rowOff>
    </xdr:to>
    <xdr:pic>
      <xdr:nvPicPr>
        <xdr:cNvPr id="11622" name="Picture 12" descr=" ">
          <a:extLst>
            <a:ext uri="{FF2B5EF4-FFF2-40B4-BE49-F238E27FC236}">
              <a16:creationId xmlns:a16="http://schemas.microsoft.com/office/drawing/2014/main" id="{00000000-0008-0000-0100-00006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27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51435</xdr:rowOff>
    </xdr:to>
    <xdr:pic>
      <xdr:nvPicPr>
        <xdr:cNvPr id="11623" name="Picture 7" descr=" ">
          <a:extLst>
            <a:ext uri="{FF2B5EF4-FFF2-40B4-BE49-F238E27FC236}">
              <a16:creationId xmlns:a16="http://schemas.microsoft.com/office/drawing/2014/main" id="{00000000-0008-0000-0100-00006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27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51435</xdr:rowOff>
    </xdr:to>
    <xdr:pic>
      <xdr:nvPicPr>
        <xdr:cNvPr id="11624" name="Picture 8" descr=" ">
          <a:extLst>
            <a:ext uri="{FF2B5EF4-FFF2-40B4-BE49-F238E27FC236}">
              <a16:creationId xmlns:a16="http://schemas.microsoft.com/office/drawing/2014/main" id="{00000000-0008-0000-0100-00006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27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51435</xdr:rowOff>
    </xdr:to>
    <xdr:pic>
      <xdr:nvPicPr>
        <xdr:cNvPr id="11625" name="Picture 9" descr=" ">
          <a:extLst>
            <a:ext uri="{FF2B5EF4-FFF2-40B4-BE49-F238E27FC236}">
              <a16:creationId xmlns:a16="http://schemas.microsoft.com/office/drawing/2014/main" id="{00000000-0008-0000-0100-00006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27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51435</xdr:rowOff>
    </xdr:to>
    <xdr:pic>
      <xdr:nvPicPr>
        <xdr:cNvPr id="11626" name="Picture 10" descr=" ">
          <a:extLst>
            <a:ext uri="{FF2B5EF4-FFF2-40B4-BE49-F238E27FC236}">
              <a16:creationId xmlns:a16="http://schemas.microsoft.com/office/drawing/2014/main" id="{00000000-0008-0000-0100-00006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27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51435</xdr:rowOff>
    </xdr:to>
    <xdr:pic>
      <xdr:nvPicPr>
        <xdr:cNvPr id="11627" name="Picture 11" descr=" ">
          <a:extLst>
            <a:ext uri="{FF2B5EF4-FFF2-40B4-BE49-F238E27FC236}">
              <a16:creationId xmlns:a16="http://schemas.microsoft.com/office/drawing/2014/main" id="{00000000-0008-0000-0100-00006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27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51435</xdr:rowOff>
    </xdr:to>
    <xdr:pic>
      <xdr:nvPicPr>
        <xdr:cNvPr id="11628" name="Picture 12" descr=" ">
          <a:extLst>
            <a:ext uri="{FF2B5EF4-FFF2-40B4-BE49-F238E27FC236}">
              <a16:creationId xmlns:a16="http://schemas.microsoft.com/office/drawing/2014/main" id="{00000000-0008-0000-0100-00006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272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51435</xdr:rowOff>
    </xdr:to>
    <xdr:pic>
      <xdr:nvPicPr>
        <xdr:cNvPr id="11629" name="Picture 7" descr=" ">
          <a:extLst>
            <a:ext uri="{FF2B5EF4-FFF2-40B4-BE49-F238E27FC236}">
              <a16:creationId xmlns:a16="http://schemas.microsoft.com/office/drawing/2014/main" id="{00000000-0008-0000-0100-00006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89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51435</xdr:rowOff>
    </xdr:to>
    <xdr:pic>
      <xdr:nvPicPr>
        <xdr:cNvPr id="11630" name="Picture 8" descr=" ">
          <a:extLst>
            <a:ext uri="{FF2B5EF4-FFF2-40B4-BE49-F238E27FC236}">
              <a16:creationId xmlns:a16="http://schemas.microsoft.com/office/drawing/2014/main" id="{00000000-0008-0000-0100-00006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89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51435</xdr:rowOff>
    </xdr:to>
    <xdr:pic>
      <xdr:nvPicPr>
        <xdr:cNvPr id="11631" name="Picture 9" descr=" ">
          <a:extLst>
            <a:ext uri="{FF2B5EF4-FFF2-40B4-BE49-F238E27FC236}">
              <a16:creationId xmlns:a16="http://schemas.microsoft.com/office/drawing/2014/main" id="{00000000-0008-0000-0100-00006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89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51435</xdr:rowOff>
    </xdr:to>
    <xdr:pic>
      <xdr:nvPicPr>
        <xdr:cNvPr id="11632" name="Picture 10" descr=" ">
          <a:extLst>
            <a:ext uri="{FF2B5EF4-FFF2-40B4-BE49-F238E27FC236}">
              <a16:creationId xmlns:a16="http://schemas.microsoft.com/office/drawing/2014/main" id="{00000000-0008-0000-0100-00007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89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51435</xdr:rowOff>
    </xdr:to>
    <xdr:pic>
      <xdr:nvPicPr>
        <xdr:cNvPr id="11633" name="Picture 11" descr=" ">
          <a:extLst>
            <a:ext uri="{FF2B5EF4-FFF2-40B4-BE49-F238E27FC236}">
              <a16:creationId xmlns:a16="http://schemas.microsoft.com/office/drawing/2014/main" id="{00000000-0008-0000-0100-00007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89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51435</xdr:rowOff>
    </xdr:to>
    <xdr:pic>
      <xdr:nvPicPr>
        <xdr:cNvPr id="11634" name="Picture 12" descr=" ">
          <a:extLst>
            <a:ext uri="{FF2B5EF4-FFF2-40B4-BE49-F238E27FC236}">
              <a16:creationId xmlns:a16="http://schemas.microsoft.com/office/drawing/2014/main" id="{00000000-0008-0000-0100-00007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89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51435</xdr:rowOff>
    </xdr:to>
    <xdr:pic>
      <xdr:nvPicPr>
        <xdr:cNvPr id="11635" name="Picture 7" descr=" ">
          <a:extLst>
            <a:ext uri="{FF2B5EF4-FFF2-40B4-BE49-F238E27FC236}">
              <a16:creationId xmlns:a16="http://schemas.microsoft.com/office/drawing/2014/main" id="{00000000-0008-0000-0100-00007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89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51435</xdr:rowOff>
    </xdr:to>
    <xdr:pic>
      <xdr:nvPicPr>
        <xdr:cNvPr id="11636" name="Picture 8" descr=" ">
          <a:extLst>
            <a:ext uri="{FF2B5EF4-FFF2-40B4-BE49-F238E27FC236}">
              <a16:creationId xmlns:a16="http://schemas.microsoft.com/office/drawing/2014/main" id="{00000000-0008-0000-0100-00007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89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51435</xdr:rowOff>
    </xdr:to>
    <xdr:pic>
      <xdr:nvPicPr>
        <xdr:cNvPr id="11637" name="Picture 9" descr=" ">
          <a:extLst>
            <a:ext uri="{FF2B5EF4-FFF2-40B4-BE49-F238E27FC236}">
              <a16:creationId xmlns:a16="http://schemas.microsoft.com/office/drawing/2014/main" id="{00000000-0008-0000-0100-00007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89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51435</xdr:rowOff>
    </xdr:to>
    <xdr:pic>
      <xdr:nvPicPr>
        <xdr:cNvPr id="11638" name="Picture 10" descr=" ">
          <a:extLst>
            <a:ext uri="{FF2B5EF4-FFF2-40B4-BE49-F238E27FC236}">
              <a16:creationId xmlns:a16="http://schemas.microsoft.com/office/drawing/2014/main" id="{00000000-0008-0000-0100-00007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89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51435</xdr:rowOff>
    </xdr:to>
    <xdr:pic>
      <xdr:nvPicPr>
        <xdr:cNvPr id="11639" name="Picture 11" descr=" ">
          <a:extLst>
            <a:ext uri="{FF2B5EF4-FFF2-40B4-BE49-F238E27FC236}">
              <a16:creationId xmlns:a16="http://schemas.microsoft.com/office/drawing/2014/main" id="{00000000-0008-0000-0100-00007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89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51435</xdr:rowOff>
    </xdr:to>
    <xdr:pic>
      <xdr:nvPicPr>
        <xdr:cNvPr id="11640" name="Picture 12" descr=" ">
          <a:extLst>
            <a:ext uri="{FF2B5EF4-FFF2-40B4-BE49-F238E27FC236}">
              <a16:creationId xmlns:a16="http://schemas.microsoft.com/office/drawing/2014/main" id="{00000000-0008-0000-0100-00007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892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51435</xdr:rowOff>
    </xdr:to>
    <xdr:pic>
      <xdr:nvPicPr>
        <xdr:cNvPr id="11641" name="Picture 7" descr=" ">
          <a:extLst>
            <a:ext uri="{FF2B5EF4-FFF2-40B4-BE49-F238E27FC236}">
              <a16:creationId xmlns:a16="http://schemas.microsoft.com/office/drawing/2014/main" id="{00000000-0008-0000-0100-00007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51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51435</xdr:rowOff>
    </xdr:to>
    <xdr:pic>
      <xdr:nvPicPr>
        <xdr:cNvPr id="11642" name="Picture 8" descr=" ">
          <a:extLst>
            <a:ext uri="{FF2B5EF4-FFF2-40B4-BE49-F238E27FC236}">
              <a16:creationId xmlns:a16="http://schemas.microsoft.com/office/drawing/2014/main" id="{00000000-0008-0000-0100-00007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51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51435</xdr:rowOff>
    </xdr:to>
    <xdr:pic>
      <xdr:nvPicPr>
        <xdr:cNvPr id="11643" name="Picture 9" descr=" ">
          <a:extLst>
            <a:ext uri="{FF2B5EF4-FFF2-40B4-BE49-F238E27FC236}">
              <a16:creationId xmlns:a16="http://schemas.microsoft.com/office/drawing/2014/main" id="{00000000-0008-0000-0100-00007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51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51435</xdr:rowOff>
    </xdr:to>
    <xdr:pic>
      <xdr:nvPicPr>
        <xdr:cNvPr id="11644" name="Picture 10" descr=" ">
          <a:extLst>
            <a:ext uri="{FF2B5EF4-FFF2-40B4-BE49-F238E27FC236}">
              <a16:creationId xmlns:a16="http://schemas.microsoft.com/office/drawing/2014/main" id="{00000000-0008-0000-0100-00007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51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51435</xdr:rowOff>
    </xdr:to>
    <xdr:pic>
      <xdr:nvPicPr>
        <xdr:cNvPr id="11645" name="Picture 11" descr=" ">
          <a:extLst>
            <a:ext uri="{FF2B5EF4-FFF2-40B4-BE49-F238E27FC236}">
              <a16:creationId xmlns:a16="http://schemas.microsoft.com/office/drawing/2014/main" id="{00000000-0008-0000-0100-00007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51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51435</xdr:rowOff>
    </xdr:to>
    <xdr:pic>
      <xdr:nvPicPr>
        <xdr:cNvPr id="11646" name="Picture 12" descr=" ">
          <a:extLst>
            <a:ext uri="{FF2B5EF4-FFF2-40B4-BE49-F238E27FC236}">
              <a16:creationId xmlns:a16="http://schemas.microsoft.com/office/drawing/2014/main" id="{00000000-0008-0000-0100-00007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51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51435</xdr:rowOff>
    </xdr:to>
    <xdr:pic>
      <xdr:nvPicPr>
        <xdr:cNvPr id="11647" name="Picture 7" descr=" ">
          <a:extLst>
            <a:ext uri="{FF2B5EF4-FFF2-40B4-BE49-F238E27FC236}">
              <a16:creationId xmlns:a16="http://schemas.microsoft.com/office/drawing/2014/main" id="{00000000-0008-0000-0100-00007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51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51435</xdr:rowOff>
    </xdr:to>
    <xdr:pic>
      <xdr:nvPicPr>
        <xdr:cNvPr id="11648" name="Picture 8" descr=" ">
          <a:extLst>
            <a:ext uri="{FF2B5EF4-FFF2-40B4-BE49-F238E27FC236}">
              <a16:creationId xmlns:a16="http://schemas.microsoft.com/office/drawing/2014/main" id="{00000000-0008-0000-0100-00008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51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51435</xdr:rowOff>
    </xdr:to>
    <xdr:pic>
      <xdr:nvPicPr>
        <xdr:cNvPr id="11649" name="Picture 9" descr=" ">
          <a:extLst>
            <a:ext uri="{FF2B5EF4-FFF2-40B4-BE49-F238E27FC236}">
              <a16:creationId xmlns:a16="http://schemas.microsoft.com/office/drawing/2014/main" id="{00000000-0008-0000-0100-00008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51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51435</xdr:rowOff>
    </xdr:to>
    <xdr:pic>
      <xdr:nvPicPr>
        <xdr:cNvPr id="11650" name="Picture 10" descr=" ">
          <a:extLst>
            <a:ext uri="{FF2B5EF4-FFF2-40B4-BE49-F238E27FC236}">
              <a16:creationId xmlns:a16="http://schemas.microsoft.com/office/drawing/2014/main" id="{00000000-0008-0000-0100-00008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51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51435</xdr:rowOff>
    </xdr:to>
    <xdr:pic>
      <xdr:nvPicPr>
        <xdr:cNvPr id="11651" name="Picture 11" descr=" ">
          <a:extLst>
            <a:ext uri="{FF2B5EF4-FFF2-40B4-BE49-F238E27FC236}">
              <a16:creationId xmlns:a16="http://schemas.microsoft.com/office/drawing/2014/main" id="{00000000-0008-0000-0100-00008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51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51435</xdr:rowOff>
    </xdr:to>
    <xdr:pic>
      <xdr:nvPicPr>
        <xdr:cNvPr id="11652" name="Picture 12" descr=" ">
          <a:extLst>
            <a:ext uri="{FF2B5EF4-FFF2-40B4-BE49-F238E27FC236}">
              <a16:creationId xmlns:a16="http://schemas.microsoft.com/office/drawing/2014/main" id="{00000000-0008-0000-0100-00008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511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51435</xdr:rowOff>
    </xdr:to>
    <xdr:pic>
      <xdr:nvPicPr>
        <xdr:cNvPr id="11653" name="Picture 7" descr=" ">
          <a:extLst>
            <a:ext uri="{FF2B5EF4-FFF2-40B4-BE49-F238E27FC236}">
              <a16:creationId xmlns:a16="http://schemas.microsoft.com/office/drawing/2014/main" id="{00000000-0008-0000-0100-00008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13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51435</xdr:rowOff>
    </xdr:to>
    <xdr:pic>
      <xdr:nvPicPr>
        <xdr:cNvPr id="11654" name="Picture 8" descr=" ">
          <a:extLst>
            <a:ext uri="{FF2B5EF4-FFF2-40B4-BE49-F238E27FC236}">
              <a16:creationId xmlns:a16="http://schemas.microsoft.com/office/drawing/2014/main" id="{00000000-0008-0000-0100-00008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13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51435</xdr:rowOff>
    </xdr:to>
    <xdr:pic>
      <xdr:nvPicPr>
        <xdr:cNvPr id="11655" name="Picture 9" descr=" ">
          <a:extLst>
            <a:ext uri="{FF2B5EF4-FFF2-40B4-BE49-F238E27FC236}">
              <a16:creationId xmlns:a16="http://schemas.microsoft.com/office/drawing/2014/main" id="{00000000-0008-0000-0100-00008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13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51435</xdr:rowOff>
    </xdr:to>
    <xdr:pic>
      <xdr:nvPicPr>
        <xdr:cNvPr id="11656" name="Picture 10" descr=" ">
          <a:extLst>
            <a:ext uri="{FF2B5EF4-FFF2-40B4-BE49-F238E27FC236}">
              <a16:creationId xmlns:a16="http://schemas.microsoft.com/office/drawing/2014/main" id="{00000000-0008-0000-0100-00008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13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51435</xdr:rowOff>
    </xdr:to>
    <xdr:pic>
      <xdr:nvPicPr>
        <xdr:cNvPr id="11657" name="Picture 11" descr=" ">
          <a:extLst>
            <a:ext uri="{FF2B5EF4-FFF2-40B4-BE49-F238E27FC236}">
              <a16:creationId xmlns:a16="http://schemas.microsoft.com/office/drawing/2014/main" id="{00000000-0008-0000-0100-00008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13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51435</xdr:rowOff>
    </xdr:to>
    <xdr:pic>
      <xdr:nvPicPr>
        <xdr:cNvPr id="11658" name="Picture 12" descr=" ">
          <a:extLst>
            <a:ext uri="{FF2B5EF4-FFF2-40B4-BE49-F238E27FC236}">
              <a16:creationId xmlns:a16="http://schemas.microsoft.com/office/drawing/2014/main" id="{00000000-0008-0000-0100-00008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13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51435</xdr:rowOff>
    </xdr:to>
    <xdr:pic>
      <xdr:nvPicPr>
        <xdr:cNvPr id="11659" name="Picture 7" descr=" ">
          <a:extLst>
            <a:ext uri="{FF2B5EF4-FFF2-40B4-BE49-F238E27FC236}">
              <a16:creationId xmlns:a16="http://schemas.microsoft.com/office/drawing/2014/main" id="{00000000-0008-0000-0100-00008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13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51435</xdr:rowOff>
    </xdr:to>
    <xdr:pic>
      <xdr:nvPicPr>
        <xdr:cNvPr id="11660" name="Picture 8" descr=" ">
          <a:extLst>
            <a:ext uri="{FF2B5EF4-FFF2-40B4-BE49-F238E27FC236}">
              <a16:creationId xmlns:a16="http://schemas.microsoft.com/office/drawing/2014/main" id="{00000000-0008-0000-0100-00008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13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51435</xdr:rowOff>
    </xdr:to>
    <xdr:pic>
      <xdr:nvPicPr>
        <xdr:cNvPr id="11661" name="Picture 9" descr=" ">
          <a:extLst>
            <a:ext uri="{FF2B5EF4-FFF2-40B4-BE49-F238E27FC236}">
              <a16:creationId xmlns:a16="http://schemas.microsoft.com/office/drawing/2014/main" id="{00000000-0008-0000-0100-00008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13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51435</xdr:rowOff>
    </xdr:to>
    <xdr:pic>
      <xdr:nvPicPr>
        <xdr:cNvPr id="11662" name="Picture 10" descr=" ">
          <a:extLst>
            <a:ext uri="{FF2B5EF4-FFF2-40B4-BE49-F238E27FC236}">
              <a16:creationId xmlns:a16="http://schemas.microsoft.com/office/drawing/2014/main" id="{00000000-0008-0000-0100-00008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13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51435</xdr:rowOff>
    </xdr:to>
    <xdr:pic>
      <xdr:nvPicPr>
        <xdr:cNvPr id="11663" name="Picture 11" descr=" ">
          <a:extLst>
            <a:ext uri="{FF2B5EF4-FFF2-40B4-BE49-F238E27FC236}">
              <a16:creationId xmlns:a16="http://schemas.microsoft.com/office/drawing/2014/main" id="{00000000-0008-0000-0100-00008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13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51435</xdr:rowOff>
    </xdr:to>
    <xdr:pic>
      <xdr:nvPicPr>
        <xdr:cNvPr id="11664" name="Picture 12" descr=" ">
          <a:extLst>
            <a:ext uri="{FF2B5EF4-FFF2-40B4-BE49-F238E27FC236}">
              <a16:creationId xmlns:a16="http://schemas.microsoft.com/office/drawing/2014/main" id="{00000000-0008-0000-0100-00009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130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51435</xdr:rowOff>
    </xdr:to>
    <xdr:pic>
      <xdr:nvPicPr>
        <xdr:cNvPr id="11665" name="Picture 7" descr=" ">
          <a:extLst>
            <a:ext uri="{FF2B5EF4-FFF2-40B4-BE49-F238E27FC236}">
              <a16:creationId xmlns:a16="http://schemas.microsoft.com/office/drawing/2014/main" id="{00000000-0008-0000-0100-00009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74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51435</xdr:rowOff>
    </xdr:to>
    <xdr:pic>
      <xdr:nvPicPr>
        <xdr:cNvPr id="11666" name="Picture 8" descr=" ">
          <a:extLst>
            <a:ext uri="{FF2B5EF4-FFF2-40B4-BE49-F238E27FC236}">
              <a16:creationId xmlns:a16="http://schemas.microsoft.com/office/drawing/2014/main" id="{00000000-0008-0000-0100-00009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74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51435</xdr:rowOff>
    </xdr:to>
    <xdr:pic>
      <xdr:nvPicPr>
        <xdr:cNvPr id="11667" name="Picture 9" descr=" ">
          <a:extLst>
            <a:ext uri="{FF2B5EF4-FFF2-40B4-BE49-F238E27FC236}">
              <a16:creationId xmlns:a16="http://schemas.microsoft.com/office/drawing/2014/main" id="{00000000-0008-0000-0100-00009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74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51435</xdr:rowOff>
    </xdr:to>
    <xdr:pic>
      <xdr:nvPicPr>
        <xdr:cNvPr id="11668" name="Picture 10" descr=" ">
          <a:extLst>
            <a:ext uri="{FF2B5EF4-FFF2-40B4-BE49-F238E27FC236}">
              <a16:creationId xmlns:a16="http://schemas.microsoft.com/office/drawing/2014/main" id="{00000000-0008-0000-0100-00009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74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51435</xdr:rowOff>
    </xdr:to>
    <xdr:pic>
      <xdr:nvPicPr>
        <xdr:cNvPr id="11669" name="Picture 11" descr=" ">
          <a:extLst>
            <a:ext uri="{FF2B5EF4-FFF2-40B4-BE49-F238E27FC236}">
              <a16:creationId xmlns:a16="http://schemas.microsoft.com/office/drawing/2014/main" id="{00000000-0008-0000-0100-00009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74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51435</xdr:rowOff>
    </xdr:to>
    <xdr:pic>
      <xdr:nvPicPr>
        <xdr:cNvPr id="11670" name="Picture 12" descr=" ">
          <a:extLst>
            <a:ext uri="{FF2B5EF4-FFF2-40B4-BE49-F238E27FC236}">
              <a16:creationId xmlns:a16="http://schemas.microsoft.com/office/drawing/2014/main" id="{00000000-0008-0000-0100-00009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74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51435</xdr:rowOff>
    </xdr:to>
    <xdr:pic>
      <xdr:nvPicPr>
        <xdr:cNvPr id="11671" name="Picture 7" descr=" ">
          <a:extLst>
            <a:ext uri="{FF2B5EF4-FFF2-40B4-BE49-F238E27FC236}">
              <a16:creationId xmlns:a16="http://schemas.microsoft.com/office/drawing/2014/main" id="{00000000-0008-0000-0100-00009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74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51435</xdr:rowOff>
    </xdr:to>
    <xdr:pic>
      <xdr:nvPicPr>
        <xdr:cNvPr id="11672" name="Picture 8" descr=" ">
          <a:extLst>
            <a:ext uri="{FF2B5EF4-FFF2-40B4-BE49-F238E27FC236}">
              <a16:creationId xmlns:a16="http://schemas.microsoft.com/office/drawing/2014/main" id="{00000000-0008-0000-0100-00009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74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51435</xdr:rowOff>
    </xdr:to>
    <xdr:pic>
      <xdr:nvPicPr>
        <xdr:cNvPr id="11673" name="Picture 9" descr=" ">
          <a:extLst>
            <a:ext uri="{FF2B5EF4-FFF2-40B4-BE49-F238E27FC236}">
              <a16:creationId xmlns:a16="http://schemas.microsoft.com/office/drawing/2014/main" id="{00000000-0008-0000-0100-00009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74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51435</xdr:rowOff>
    </xdr:to>
    <xdr:pic>
      <xdr:nvPicPr>
        <xdr:cNvPr id="11674" name="Picture 10" descr=" ">
          <a:extLst>
            <a:ext uri="{FF2B5EF4-FFF2-40B4-BE49-F238E27FC236}">
              <a16:creationId xmlns:a16="http://schemas.microsoft.com/office/drawing/2014/main" id="{00000000-0008-0000-0100-00009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74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51435</xdr:rowOff>
    </xdr:to>
    <xdr:pic>
      <xdr:nvPicPr>
        <xdr:cNvPr id="11675" name="Picture 11" descr=" ">
          <a:extLst>
            <a:ext uri="{FF2B5EF4-FFF2-40B4-BE49-F238E27FC236}">
              <a16:creationId xmlns:a16="http://schemas.microsoft.com/office/drawing/2014/main" id="{00000000-0008-0000-0100-00009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74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51435</xdr:rowOff>
    </xdr:to>
    <xdr:pic>
      <xdr:nvPicPr>
        <xdr:cNvPr id="11676" name="Picture 12" descr=" ">
          <a:extLst>
            <a:ext uri="{FF2B5EF4-FFF2-40B4-BE49-F238E27FC236}">
              <a16:creationId xmlns:a16="http://schemas.microsoft.com/office/drawing/2014/main" id="{00000000-0008-0000-0100-00009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749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51435</xdr:rowOff>
    </xdr:to>
    <xdr:pic>
      <xdr:nvPicPr>
        <xdr:cNvPr id="11677" name="Picture 7" descr=" ">
          <a:extLst>
            <a:ext uri="{FF2B5EF4-FFF2-40B4-BE49-F238E27FC236}">
              <a16:creationId xmlns:a16="http://schemas.microsoft.com/office/drawing/2014/main" id="{00000000-0008-0000-0100-00009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36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51435</xdr:rowOff>
    </xdr:to>
    <xdr:pic>
      <xdr:nvPicPr>
        <xdr:cNvPr id="11678" name="Picture 8" descr=" ">
          <a:extLst>
            <a:ext uri="{FF2B5EF4-FFF2-40B4-BE49-F238E27FC236}">
              <a16:creationId xmlns:a16="http://schemas.microsoft.com/office/drawing/2014/main" id="{00000000-0008-0000-0100-00009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36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51435</xdr:rowOff>
    </xdr:to>
    <xdr:pic>
      <xdr:nvPicPr>
        <xdr:cNvPr id="11679" name="Picture 9" descr=" ">
          <a:extLst>
            <a:ext uri="{FF2B5EF4-FFF2-40B4-BE49-F238E27FC236}">
              <a16:creationId xmlns:a16="http://schemas.microsoft.com/office/drawing/2014/main" id="{00000000-0008-0000-0100-00009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36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51435</xdr:rowOff>
    </xdr:to>
    <xdr:pic>
      <xdr:nvPicPr>
        <xdr:cNvPr id="11680" name="Picture 10" descr=" ">
          <a:extLst>
            <a:ext uri="{FF2B5EF4-FFF2-40B4-BE49-F238E27FC236}">
              <a16:creationId xmlns:a16="http://schemas.microsoft.com/office/drawing/2014/main" id="{00000000-0008-0000-0100-0000A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36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51435</xdr:rowOff>
    </xdr:to>
    <xdr:pic>
      <xdr:nvPicPr>
        <xdr:cNvPr id="11681" name="Picture 11" descr=" ">
          <a:extLst>
            <a:ext uri="{FF2B5EF4-FFF2-40B4-BE49-F238E27FC236}">
              <a16:creationId xmlns:a16="http://schemas.microsoft.com/office/drawing/2014/main" id="{00000000-0008-0000-0100-0000A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36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51435</xdr:rowOff>
    </xdr:to>
    <xdr:pic>
      <xdr:nvPicPr>
        <xdr:cNvPr id="11682" name="Picture 12" descr=" ">
          <a:extLst>
            <a:ext uri="{FF2B5EF4-FFF2-40B4-BE49-F238E27FC236}">
              <a16:creationId xmlns:a16="http://schemas.microsoft.com/office/drawing/2014/main" id="{00000000-0008-0000-0100-0000A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36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51435</xdr:rowOff>
    </xdr:to>
    <xdr:pic>
      <xdr:nvPicPr>
        <xdr:cNvPr id="11683" name="Picture 7" descr=" ">
          <a:extLst>
            <a:ext uri="{FF2B5EF4-FFF2-40B4-BE49-F238E27FC236}">
              <a16:creationId xmlns:a16="http://schemas.microsoft.com/office/drawing/2014/main" id="{00000000-0008-0000-0100-0000A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36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51435</xdr:rowOff>
    </xdr:to>
    <xdr:pic>
      <xdr:nvPicPr>
        <xdr:cNvPr id="11684" name="Picture 8" descr=" ">
          <a:extLst>
            <a:ext uri="{FF2B5EF4-FFF2-40B4-BE49-F238E27FC236}">
              <a16:creationId xmlns:a16="http://schemas.microsoft.com/office/drawing/2014/main" id="{00000000-0008-0000-0100-0000A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36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51435</xdr:rowOff>
    </xdr:to>
    <xdr:pic>
      <xdr:nvPicPr>
        <xdr:cNvPr id="11685" name="Picture 9" descr=" ">
          <a:extLst>
            <a:ext uri="{FF2B5EF4-FFF2-40B4-BE49-F238E27FC236}">
              <a16:creationId xmlns:a16="http://schemas.microsoft.com/office/drawing/2014/main" id="{00000000-0008-0000-0100-0000A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36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51435</xdr:rowOff>
    </xdr:to>
    <xdr:pic>
      <xdr:nvPicPr>
        <xdr:cNvPr id="11686" name="Picture 10" descr=" ">
          <a:extLst>
            <a:ext uri="{FF2B5EF4-FFF2-40B4-BE49-F238E27FC236}">
              <a16:creationId xmlns:a16="http://schemas.microsoft.com/office/drawing/2014/main" id="{00000000-0008-0000-0100-0000A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36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51435</xdr:rowOff>
    </xdr:to>
    <xdr:pic>
      <xdr:nvPicPr>
        <xdr:cNvPr id="11687" name="Picture 11" descr=" ">
          <a:extLst>
            <a:ext uri="{FF2B5EF4-FFF2-40B4-BE49-F238E27FC236}">
              <a16:creationId xmlns:a16="http://schemas.microsoft.com/office/drawing/2014/main" id="{00000000-0008-0000-0100-0000A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36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51435</xdr:rowOff>
    </xdr:to>
    <xdr:pic>
      <xdr:nvPicPr>
        <xdr:cNvPr id="11688" name="Picture 12" descr=" ">
          <a:extLst>
            <a:ext uri="{FF2B5EF4-FFF2-40B4-BE49-F238E27FC236}">
              <a16:creationId xmlns:a16="http://schemas.microsoft.com/office/drawing/2014/main" id="{00000000-0008-0000-0100-0000A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369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51435</xdr:rowOff>
    </xdr:to>
    <xdr:pic>
      <xdr:nvPicPr>
        <xdr:cNvPr id="11689" name="Picture 7" descr=" ">
          <a:extLst>
            <a:ext uri="{FF2B5EF4-FFF2-40B4-BE49-F238E27FC236}">
              <a16:creationId xmlns:a16="http://schemas.microsoft.com/office/drawing/2014/main" id="{00000000-0008-0000-0100-0000A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98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51435</xdr:rowOff>
    </xdr:to>
    <xdr:pic>
      <xdr:nvPicPr>
        <xdr:cNvPr id="11690" name="Picture 8" descr=" ">
          <a:extLst>
            <a:ext uri="{FF2B5EF4-FFF2-40B4-BE49-F238E27FC236}">
              <a16:creationId xmlns:a16="http://schemas.microsoft.com/office/drawing/2014/main" id="{00000000-0008-0000-0100-0000A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98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51435</xdr:rowOff>
    </xdr:to>
    <xdr:pic>
      <xdr:nvPicPr>
        <xdr:cNvPr id="11691" name="Picture 9" descr=" ">
          <a:extLst>
            <a:ext uri="{FF2B5EF4-FFF2-40B4-BE49-F238E27FC236}">
              <a16:creationId xmlns:a16="http://schemas.microsoft.com/office/drawing/2014/main" id="{00000000-0008-0000-0100-0000A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98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51435</xdr:rowOff>
    </xdr:to>
    <xdr:pic>
      <xdr:nvPicPr>
        <xdr:cNvPr id="11692" name="Picture 10" descr=" ">
          <a:extLst>
            <a:ext uri="{FF2B5EF4-FFF2-40B4-BE49-F238E27FC236}">
              <a16:creationId xmlns:a16="http://schemas.microsoft.com/office/drawing/2014/main" id="{00000000-0008-0000-0100-0000A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98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51435</xdr:rowOff>
    </xdr:to>
    <xdr:pic>
      <xdr:nvPicPr>
        <xdr:cNvPr id="11693" name="Picture 11" descr=" ">
          <a:extLst>
            <a:ext uri="{FF2B5EF4-FFF2-40B4-BE49-F238E27FC236}">
              <a16:creationId xmlns:a16="http://schemas.microsoft.com/office/drawing/2014/main" id="{00000000-0008-0000-0100-0000A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98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51435</xdr:rowOff>
    </xdr:to>
    <xdr:pic>
      <xdr:nvPicPr>
        <xdr:cNvPr id="11694" name="Picture 12" descr=" ">
          <a:extLst>
            <a:ext uri="{FF2B5EF4-FFF2-40B4-BE49-F238E27FC236}">
              <a16:creationId xmlns:a16="http://schemas.microsoft.com/office/drawing/2014/main" id="{00000000-0008-0000-0100-0000A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98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51435</xdr:rowOff>
    </xdr:to>
    <xdr:pic>
      <xdr:nvPicPr>
        <xdr:cNvPr id="11695" name="Picture 7" descr=" ">
          <a:extLst>
            <a:ext uri="{FF2B5EF4-FFF2-40B4-BE49-F238E27FC236}">
              <a16:creationId xmlns:a16="http://schemas.microsoft.com/office/drawing/2014/main" id="{00000000-0008-0000-0100-0000A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98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51435</xdr:rowOff>
    </xdr:to>
    <xdr:pic>
      <xdr:nvPicPr>
        <xdr:cNvPr id="11696" name="Picture 8" descr=" ">
          <a:extLst>
            <a:ext uri="{FF2B5EF4-FFF2-40B4-BE49-F238E27FC236}">
              <a16:creationId xmlns:a16="http://schemas.microsoft.com/office/drawing/2014/main" id="{00000000-0008-0000-0100-0000B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98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51435</xdr:rowOff>
    </xdr:to>
    <xdr:pic>
      <xdr:nvPicPr>
        <xdr:cNvPr id="11697" name="Picture 9" descr=" ">
          <a:extLst>
            <a:ext uri="{FF2B5EF4-FFF2-40B4-BE49-F238E27FC236}">
              <a16:creationId xmlns:a16="http://schemas.microsoft.com/office/drawing/2014/main" id="{00000000-0008-0000-0100-0000B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98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51435</xdr:rowOff>
    </xdr:to>
    <xdr:pic>
      <xdr:nvPicPr>
        <xdr:cNvPr id="11698" name="Picture 10" descr=" ">
          <a:extLst>
            <a:ext uri="{FF2B5EF4-FFF2-40B4-BE49-F238E27FC236}">
              <a16:creationId xmlns:a16="http://schemas.microsoft.com/office/drawing/2014/main" id="{00000000-0008-0000-0100-0000B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98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51435</xdr:rowOff>
    </xdr:to>
    <xdr:pic>
      <xdr:nvPicPr>
        <xdr:cNvPr id="11699" name="Picture 11" descr=" ">
          <a:extLst>
            <a:ext uri="{FF2B5EF4-FFF2-40B4-BE49-F238E27FC236}">
              <a16:creationId xmlns:a16="http://schemas.microsoft.com/office/drawing/2014/main" id="{00000000-0008-0000-0100-0000B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98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51435</xdr:rowOff>
    </xdr:to>
    <xdr:pic>
      <xdr:nvPicPr>
        <xdr:cNvPr id="11700" name="Picture 12" descr=" ">
          <a:extLst>
            <a:ext uri="{FF2B5EF4-FFF2-40B4-BE49-F238E27FC236}">
              <a16:creationId xmlns:a16="http://schemas.microsoft.com/office/drawing/2014/main" id="{00000000-0008-0000-0100-0000B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988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9525</xdr:colOff>
      <xdr:row>192</xdr:row>
      <xdr:rowOff>51435</xdr:rowOff>
    </xdr:to>
    <xdr:pic>
      <xdr:nvPicPr>
        <xdr:cNvPr id="11701" name="Picture 7" descr=" ">
          <a:extLst>
            <a:ext uri="{FF2B5EF4-FFF2-40B4-BE49-F238E27FC236}">
              <a16:creationId xmlns:a16="http://schemas.microsoft.com/office/drawing/2014/main" id="{00000000-0008-0000-0100-0000B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60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9525</xdr:colOff>
      <xdr:row>192</xdr:row>
      <xdr:rowOff>51435</xdr:rowOff>
    </xdr:to>
    <xdr:pic>
      <xdr:nvPicPr>
        <xdr:cNvPr id="11702" name="Picture 8" descr=" ">
          <a:extLst>
            <a:ext uri="{FF2B5EF4-FFF2-40B4-BE49-F238E27FC236}">
              <a16:creationId xmlns:a16="http://schemas.microsoft.com/office/drawing/2014/main" id="{00000000-0008-0000-0100-0000B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60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9525</xdr:colOff>
      <xdr:row>192</xdr:row>
      <xdr:rowOff>51435</xdr:rowOff>
    </xdr:to>
    <xdr:pic>
      <xdr:nvPicPr>
        <xdr:cNvPr id="11703" name="Picture 9" descr=" ">
          <a:extLst>
            <a:ext uri="{FF2B5EF4-FFF2-40B4-BE49-F238E27FC236}">
              <a16:creationId xmlns:a16="http://schemas.microsoft.com/office/drawing/2014/main" id="{00000000-0008-0000-0100-0000B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60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9525</xdr:colOff>
      <xdr:row>192</xdr:row>
      <xdr:rowOff>51435</xdr:rowOff>
    </xdr:to>
    <xdr:pic>
      <xdr:nvPicPr>
        <xdr:cNvPr id="11704" name="Picture 10" descr=" ">
          <a:extLst>
            <a:ext uri="{FF2B5EF4-FFF2-40B4-BE49-F238E27FC236}">
              <a16:creationId xmlns:a16="http://schemas.microsoft.com/office/drawing/2014/main" id="{00000000-0008-0000-0100-0000B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60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9525</xdr:colOff>
      <xdr:row>192</xdr:row>
      <xdr:rowOff>51435</xdr:rowOff>
    </xdr:to>
    <xdr:pic>
      <xdr:nvPicPr>
        <xdr:cNvPr id="11705" name="Picture 11" descr=" ">
          <a:extLst>
            <a:ext uri="{FF2B5EF4-FFF2-40B4-BE49-F238E27FC236}">
              <a16:creationId xmlns:a16="http://schemas.microsoft.com/office/drawing/2014/main" id="{00000000-0008-0000-0100-0000B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60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9525</xdr:colOff>
      <xdr:row>192</xdr:row>
      <xdr:rowOff>51435</xdr:rowOff>
    </xdr:to>
    <xdr:pic>
      <xdr:nvPicPr>
        <xdr:cNvPr id="11706" name="Picture 12" descr=" ">
          <a:extLst>
            <a:ext uri="{FF2B5EF4-FFF2-40B4-BE49-F238E27FC236}">
              <a16:creationId xmlns:a16="http://schemas.microsoft.com/office/drawing/2014/main" id="{00000000-0008-0000-0100-0000B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6075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1707" name="Picture 7" descr=" ">
          <a:extLst>
            <a:ext uri="{FF2B5EF4-FFF2-40B4-BE49-F238E27FC236}">
              <a16:creationId xmlns:a16="http://schemas.microsoft.com/office/drawing/2014/main" id="{00000000-0008-0000-0100-0000B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1708" name="Picture 8" descr=" ">
          <a:extLst>
            <a:ext uri="{FF2B5EF4-FFF2-40B4-BE49-F238E27FC236}">
              <a16:creationId xmlns:a16="http://schemas.microsoft.com/office/drawing/2014/main" id="{00000000-0008-0000-0100-0000B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1709" name="Picture 9" descr=" ">
          <a:extLst>
            <a:ext uri="{FF2B5EF4-FFF2-40B4-BE49-F238E27FC236}">
              <a16:creationId xmlns:a16="http://schemas.microsoft.com/office/drawing/2014/main" id="{00000000-0008-0000-0100-0000B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1710" name="Picture 10" descr=" ">
          <a:extLst>
            <a:ext uri="{FF2B5EF4-FFF2-40B4-BE49-F238E27FC236}">
              <a16:creationId xmlns:a16="http://schemas.microsoft.com/office/drawing/2014/main" id="{00000000-0008-0000-0100-0000B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1711" name="Picture 11" descr=" ">
          <a:extLst>
            <a:ext uri="{FF2B5EF4-FFF2-40B4-BE49-F238E27FC236}">
              <a16:creationId xmlns:a16="http://schemas.microsoft.com/office/drawing/2014/main" id="{00000000-0008-0000-0100-0000B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1712" name="Picture 12" descr=" ">
          <a:extLst>
            <a:ext uri="{FF2B5EF4-FFF2-40B4-BE49-F238E27FC236}">
              <a16:creationId xmlns:a16="http://schemas.microsoft.com/office/drawing/2014/main" id="{00000000-0008-0000-0100-0000C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13" name="Picture 7" descr=" ">
          <a:extLst>
            <a:ext uri="{FF2B5EF4-FFF2-40B4-BE49-F238E27FC236}">
              <a16:creationId xmlns:a16="http://schemas.microsoft.com/office/drawing/2014/main" id="{00000000-0008-0000-0100-0000C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14" name="Picture 8" descr=" ">
          <a:extLst>
            <a:ext uri="{FF2B5EF4-FFF2-40B4-BE49-F238E27FC236}">
              <a16:creationId xmlns:a16="http://schemas.microsoft.com/office/drawing/2014/main" id="{00000000-0008-0000-0100-0000C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15" name="Picture 9" descr=" ">
          <a:extLst>
            <a:ext uri="{FF2B5EF4-FFF2-40B4-BE49-F238E27FC236}">
              <a16:creationId xmlns:a16="http://schemas.microsoft.com/office/drawing/2014/main" id="{00000000-0008-0000-0100-0000C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16" name="Picture 10" descr=" ">
          <a:extLst>
            <a:ext uri="{FF2B5EF4-FFF2-40B4-BE49-F238E27FC236}">
              <a16:creationId xmlns:a16="http://schemas.microsoft.com/office/drawing/2014/main" id="{00000000-0008-0000-0100-0000C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17" name="Picture 11" descr=" ">
          <a:extLst>
            <a:ext uri="{FF2B5EF4-FFF2-40B4-BE49-F238E27FC236}">
              <a16:creationId xmlns:a16="http://schemas.microsoft.com/office/drawing/2014/main" id="{00000000-0008-0000-0100-0000C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18" name="Picture 12" descr=" ">
          <a:extLst>
            <a:ext uri="{FF2B5EF4-FFF2-40B4-BE49-F238E27FC236}">
              <a16:creationId xmlns:a16="http://schemas.microsoft.com/office/drawing/2014/main" id="{00000000-0008-0000-0100-0000C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19" name="Picture 7" descr=" ">
          <a:extLst>
            <a:ext uri="{FF2B5EF4-FFF2-40B4-BE49-F238E27FC236}">
              <a16:creationId xmlns:a16="http://schemas.microsoft.com/office/drawing/2014/main" id="{00000000-0008-0000-0100-0000C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20" name="Picture 8" descr=" ">
          <a:extLst>
            <a:ext uri="{FF2B5EF4-FFF2-40B4-BE49-F238E27FC236}">
              <a16:creationId xmlns:a16="http://schemas.microsoft.com/office/drawing/2014/main" id="{00000000-0008-0000-0100-0000C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21" name="Picture 9" descr=" ">
          <a:extLst>
            <a:ext uri="{FF2B5EF4-FFF2-40B4-BE49-F238E27FC236}">
              <a16:creationId xmlns:a16="http://schemas.microsoft.com/office/drawing/2014/main" id="{00000000-0008-0000-0100-0000C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22" name="Picture 10" descr=" ">
          <a:extLst>
            <a:ext uri="{FF2B5EF4-FFF2-40B4-BE49-F238E27FC236}">
              <a16:creationId xmlns:a16="http://schemas.microsoft.com/office/drawing/2014/main" id="{00000000-0008-0000-0100-0000C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23" name="Picture 11" descr=" ">
          <a:extLst>
            <a:ext uri="{FF2B5EF4-FFF2-40B4-BE49-F238E27FC236}">
              <a16:creationId xmlns:a16="http://schemas.microsoft.com/office/drawing/2014/main" id="{00000000-0008-0000-0100-0000C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24" name="Picture 12" descr=" ">
          <a:extLst>
            <a:ext uri="{FF2B5EF4-FFF2-40B4-BE49-F238E27FC236}">
              <a16:creationId xmlns:a16="http://schemas.microsoft.com/office/drawing/2014/main" id="{00000000-0008-0000-0100-0000C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25" name="Picture 7" descr=" ">
          <a:extLst>
            <a:ext uri="{FF2B5EF4-FFF2-40B4-BE49-F238E27FC236}">
              <a16:creationId xmlns:a16="http://schemas.microsoft.com/office/drawing/2014/main" id="{00000000-0008-0000-0100-0000C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26" name="Picture 8" descr=" ">
          <a:extLst>
            <a:ext uri="{FF2B5EF4-FFF2-40B4-BE49-F238E27FC236}">
              <a16:creationId xmlns:a16="http://schemas.microsoft.com/office/drawing/2014/main" id="{00000000-0008-0000-0100-0000C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27" name="Picture 9" descr=" ">
          <a:extLst>
            <a:ext uri="{FF2B5EF4-FFF2-40B4-BE49-F238E27FC236}">
              <a16:creationId xmlns:a16="http://schemas.microsoft.com/office/drawing/2014/main" id="{00000000-0008-0000-0100-0000C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28" name="Picture 10" descr=" ">
          <a:extLst>
            <a:ext uri="{FF2B5EF4-FFF2-40B4-BE49-F238E27FC236}">
              <a16:creationId xmlns:a16="http://schemas.microsoft.com/office/drawing/2014/main" id="{00000000-0008-0000-0100-0000D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29" name="Picture 11" descr=" ">
          <a:extLst>
            <a:ext uri="{FF2B5EF4-FFF2-40B4-BE49-F238E27FC236}">
              <a16:creationId xmlns:a16="http://schemas.microsoft.com/office/drawing/2014/main" id="{00000000-0008-0000-0100-0000D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30" name="Picture 12" descr=" ">
          <a:extLst>
            <a:ext uri="{FF2B5EF4-FFF2-40B4-BE49-F238E27FC236}">
              <a16:creationId xmlns:a16="http://schemas.microsoft.com/office/drawing/2014/main" id="{00000000-0008-0000-0100-0000D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31" name="Picture 7" descr=" ">
          <a:extLst>
            <a:ext uri="{FF2B5EF4-FFF2-40B4-BE49-F238E27FC236}">
              <a16:creationId xmlns:a16="http://schemas.microsoft.com/office/drawing/2014/main" id="{00000000-0008-0000-0100-0000D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32" name="Picture 8" descr=" ">
          <a:extLst>
            <a:ext uri="{FF2B5EF4-FFF2-40B4-BE49-F238E27FC236}">
              <a16:creationId xmlns:a16="http://schemas.microsoft.com/office/drawing/2014/main" id="{00000000-0008-0000-0100-0000D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33" name="Picture 9" descr=" ">
          <a:extLst>
            <a:ext uri="{FF2B5EF4-FFF2-40B4-BE49-F238E27FC236}">
              <a16:creationId xmlns:a16="http://schemas.microsoft.com/office/drawing/2014/main" id="{00000000-0008-0000-0100-0000D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34" name="Picture 10" descr=" ">
          <a:extLst>
            <a:ext uri="{FF2B5EF4-FFF2-40B4-BE49-F238E27FC236}">
              <a16:creationId xmlns:a16="http://schemas.microsoft.com/office/drawing/2014/main" id="{00000000-0008-0000-0100-0000D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35" name="Picture 11" descr=" ">
          <a:extLst>
            <a:ext uri="{FF2B5EF4-FFF2-40B4-BE49-F238E27FC236}">
              <a16:creationId xmlns:a16="http://schemas.microsoft.com/office/drawing/2014/main" id="{00000000-0008-0000-0100-0000D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36" name="Picture 12" descr=" ">
          <a:extLst>
            <a:ext uri="{FF2B5EF4-FFF2-40B4-BE49-F238E27FC236}">
              <a16:creationId xmlns:a16="http://schemas.microsoft.com/office/drawing/2014/main" id="{00000000-0008-0000-0100-0000D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37" name="Picture 7" descr=" ">
          <a:extLst>
            <a:ext uri="{FF2B5EF4-FFF2-40B4-BE49-F238E27FC236}">
              <a16:creationId xmlns:a16="http://schemas.microsoft.com/office/drawing/2014/main" id="{00000000-0008-0000-0100-0000D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38" name="Picture 8" descr=" ">
          <a:extLst>
            <a:ext uri="{FF2B5EF4-FFF2-40B4-BE49-F238E27FC236}">
              <a16:creationId xmlns:a16="http://schemas.microsoft.com/office/drawing/2014/main" id="{00000000-0008-0000-0100-0000D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39" name="Picture 9" descr=" ">
          <a:extLst>
            <a:ext uri="{FF2B5EF4-FFF2-40B4-BE49-F238E27FC236}">
              <a16:creationId xmlns:a16="http://schemas.microsoft.com/office/drawing/2014/main" id="{00000000-0008-0000-0100-0000D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40" name="Picture 10" descr=" ">
          <a:extLst>
            <a:ext uri="{FF2B5EF4-FFF2-40B4-BE49-F238E27FC236}">
              <a16:creationId xmlns:a16="http://schemas.microsoft.com/office/drawing/2014/main" id="{00000000-0008-0000-0100-0000D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41" name="Picture 11" descr=" ">
          <a:extLst>
            <a:ext uri="{FF2B5EF4-FFF2-40B4-BE49-F238E27FC236}">
              <a16:creationId xmlns:a16="http://schemas.microsoft.com/office/drawing/2014/main" id="{00000000-0008-0000-0100-0000D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42" name="Picture 12" descr=" ">
          <a:extLst>
            <a:ext uri="{FF2B5EF4-FFF2-40B4-BE49-F238E27FC236}">
              <a16:creationId xmlns:a16="http://schemas.microsoft.com/office/drawing/2014/main" id="{00000000-0008-0000-0100-0000D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43" name="Picture 7" descr=" ">
          <a:extLst>
            <a:ext uri="{FF2B5EF4-FFF2-40B4-BE49-F238E27FC236}">
              <a16:creationId xmlns:a16="http://schemas.microsoft.com/office/drawing/2014/main" id="{00000000-0008-0000-0100-0000D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44" name="Picture 8" descr=" ">
          <a:extLst>
            <a:ext uri="{FF2B5EF4-FFF2-40B4-BE49-F238E27FC236}">
              <a16:creationId xmlns:a16="http://schemas.microsoft.com/office/drawing/2014/main" id="{00000000-0008-0000-0100-0000E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45" name="Picture 9" descr=" ">
          <a:extLst>
            <a:ext uri="{FF2B5EF4-FFF2-40B4-BE49-F238E27FC236}">
              <a16:creationId xmlns:a16="http://schemas.microsoft.com/office/drawing/2014/main" id="{00000000-0008-0000-0100-0000E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46" name="Picture 10" descr=" ">
          <a:extLst>
            <a:ext uri="{FF2B5EF4-FFF2-40B4-BE49-F238E27FC236}">
              <a16:creationId xmlns:a16="http://schemas.microsoft.com/office/drawing/2014/main" id="{00000000-0008-0000-0100-0000E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47" name="Picture 11" descr=" ">
          <a:extLst>
            <a:ext uri="{FF2B5EF4-FFF2-40B4-BE49-F238E27FC236}">
              <a16:creationId xmlns:a16="http://schemas.microsoft.com/office/drawing/2014/main" id="{00000000-0008-0000-0100-0000E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48" name="Picture 12" descr=" ">
          <a:extLst>
            <a:ext uri="{FF2B5EF4-FFF2-40B4-BE49-F238E27FC236}">
              <a16:creationId xmlns:a16="http://schemas.microsoft.com/office/drawing/2014/main" id="{00000000-0008-0000-0100-0000E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49" name="Picture 7" descr=" ">
          <a:extLst>
            <a:ext uri="{FF2B5EF4-FFF2-40B4-BE49-F238E27FC236}">
              <a16:creationId xmlns:a16="http://schemas.microsoft.com/office/drawing/2014/main" id="{00000000-0008-0000-0100-0000E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50" name="Picture 8" descr=" ">
          <a:extLst>
            <a:ext uri="{FF2B5EF4-FFF2-40B4-BE49-F238E27FC236}">
              <a16:creationId xmlns:a16="http://schemas.microsoft.com/office/drawing/2014/main" id="{00000000-0008-0000-0100-0000E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51" name="Picture 9" descr=" ">
          <a:extLst>
            <a:ext uri="{FF2B5EF4-FFF2-40B4-BE49-F238E27FC236}">
              <a16:creationId xmlns:a16="http://schemas.microsoft.com/office/drawing/2014/main" id="{00000000-0008-0000-0100-0000E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52" name="Picture 10" descr=" ">
          <a:extLst>
            <a:ext uri="{FF2B5EF4-FFF2-40B4-BE49-F238E27FC236}">
              <a16:creationId xmlns:a16="http://schemas.microsoft.com/office/drawing/2014/main" id="{00000000-0008-0000-0100-0000E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53" name="Picture 11" descr=" ">
          <a:extLst>
            <a:ext uri="{FF2B5EF4-FFF2-40B4-BE49-F238E27FC236}">
              <a16:creationId xmlns:a16="http://schemas.microsoft.com/office/drawing/2014/main" id="{00000000-0008-0000-0100-0000E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54" name="Picture 12" descr=" ">
          <a:extLst>
            <a:ext uri="{FF2B5EF4-FFF2-40B4-BE49-F238E27FC236}">
              <a16:creationId xmlns:a16="http://schemas.microsoft.com/office/drawing/2014/main" id="{00000000-0008-0000-0100-0000E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55" name="Picture 7" descr=" ">
          <a:extLst>
            <a:ext uri="{FF2B5EF4-FFF2-40B4-BE49-F238E27FC236}">
              <a16:creationId xmlns:a16="http://schemas.microsoft.com/office/drawing/2014/main" id="{00000000-0008-0000-0100-0000E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56" name="Picture 8" descr=" ">
          <a:extLst>
            <a:ext uri="{FF2B5EF4-FFF2-40B4-BE49-F238E27FC236}">
              <a16:creationId xmlns:a16="http://schemas.microsoft.com/office/drawing/2014/main" id="{00000000-0008-0000-0100-0000E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57" name="Picture 9" descr=" ">
          <a:extLst>
            <a:ext uri="{FF2B5EF4-FFF2-40B4-BE49-F238E27FC236}">
              <a16:creationId xmlns:a16="http://schemas.microsoft.com/office/drawing/2014/main" id="{00000000-0008-0000-0100-0000E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58" name="Picture 10" descr=" ">
          <a:extLst>
            <a:ext uri="{FF2B5EF4-FFF2-40B4-BE49-F238E27FC236}">
              <a16:creationId xmlns:a16="http://schemas.microsoft.com/office/drawing/2014/main" id="{00000000-0008-0000-0100-0000E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59" name="Picture 11" descr=" ">
          <a:extLst>
            <a:ext uri="{FF2B5EF4-FFF2-40B4-BE49-F238E27FC236}">
              <a16:creationId xmlns:a16="http://schemas.microsoft.com/office/drawing/2014/main" id="{00000000-0008-0000-0100-0000E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60" name="Picture 12" descr=" ">
          <a:extLst>
            <a:ext uri="{FF2B5EF4-FFF2-40B4-BE49-F238E27FC236}">
              <a16:creationId xmlns:a16="http://schemas.microsoft.com/office/drawing/2014/main" id="{00000000-0008-0000-0100-0000F0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61" name="Picture 7" descr=" ">
          <a:extLst>
            <a:ext uri="{FF2B5EF4-FFF2-40B4-BE49-F238E27FC236}">
              <a16:creationId xmlns:a16="http://schemas.microsoft.com/office/drawing/2014/main" id="{00000000-0008-0000-0100-0000F1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62" name="Picture 8" descr=" ">
          <a:extLst>
            <a:ext uri="{FF2B5EF4-FFF2-40B4-BE49-F238E27FC236}">
              <a16:creationId xmlns:a16="http://schemas.microsoft.com/office/drawing/2014/main" id="{00000000-0008-0000-0100-0000F2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63" name="Picture 9" descr=" ">
          <a:extLst>
            <a:ext uri="{FF2B5EF4-FFF2-40B4-BE49-F238E27FC236}">
              <a16:creationId xmlns:a16="http://schemas.microsoft.com/office/drawing/2014/main" id="{00000000-0008-0000-0100-0000F3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64" name="Picture 10" descr=" ">
          <a:extLst>
            <a:ext uri="{FF2B5EF4-FFF2-40B4-BE49-F238E27FC236}">
              <a16:creationId xmlns:a16="http://schemas.microsoft.com/office/drawing/2014/main" id="{00000000-0008-0000-0100-0000F4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65" name="Picture 11" descr=" ">
          <a:extLst>
            <a:ext uri="{FF2B5EF4-FFF2-40B4-BE49-F238E27FC236}">
              <a16:creationId xmlns:a16="http://schemas.microsoft.com/office/drawing/2014/main" id="{00000000-0008-0000-0100-0000F5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66" name="Picture 12" descr=" ">
          <a:extLst>
            <a:ext uri="{FF2B5EF4-FFF2-40B4-BE49-F238E27FC236}">
              <a16:creationId xmlns:a16="http://schemas.microsoft.com/office/drawing/2014/main" id="{00000000-0008-0000-0100-0000F6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67" name="Picture 7" descr=" ">
          <a:extLst>
            <a:ext uri="{FF2B5EF4-FFF2-40B4-BE49-F238E27FC236}">
              <a16:creationId xmlns:a16="http://schemas.microsoft.com/office/drawing/2014/main" id="{00000000-0008-0000-0100-0000F7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68" name="Picture 8" descr=" ">
          <a:extLst>
            <a:ext uri="{FF2B5EF4-FFF2-40B4-BE49-F238E27FC236}">
              <a16:creationId xmlns:a16="http://schemas.microsoft.com/office/drawing/2014/main" id="{00000000-0008-0000-0100-0000F8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69" name="Picture 9" descr=" ">
          <a:extLst>
            <a:ext uri="{FF2B5EF4-FFF2-40B4-BE49-F238E27FC236}">
              <a16:creationId xmlns:a16="http://schemas.microsoft.com/office/drawing/2014/main" id="{00000000-0008-0000-0100-0000F9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70" name="Picture 10" descr=" ">
          <a:extLst>
            <a:ext uri="{FF2B5EF4-FFF2-40B4-BE49-F238E27FC236}">
              <a16:creationId xmlns:a16="http://schemas.microsoft.com/office/drawing/2014/main" id="{00000000-0008-0000-0100-0000FA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71" name="Picture 11" descr=" ">
          <a:extLst>
            <a:ext uri="{FF2B5EF4-FFF2-40B4-BE49-F238E27FC236}">
              <a16:creationId xmlns:a16="http://schemas.microsoft.com/office/drawing/2014/main" id="{00000000-0008-0000-0100-0000FB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72" name="Picture 12" descr=" ">
          <a:extLst>
            <a:ext uri="{FF2B5EF4-FFF2-40B4-BE49-F238E27FC236}">
              <a16:creationId xmlns:a16="http://schemas.microsoft.com/office/drawing/2014/main" id="{00000000-0008-0000-0100-0000FC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73" name="Picture 7" descr=" ">
          <a:extLst>
            <a:ext uri="{FF2B5EF4-FFF2-40B4-BE49-F238E27FC236}">
              <a16:creationId xmlns:a16="http://schemas.microsoft.com/office/drawing/2014/main" id="{00000000-0008-0000-0100-0000F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74" name="Picture 8" descr=" ">
          <a:extLst>
            <a:ext uri="{FF2B5EF4-FFF2-40B4-BE49-F238E27FC236}">
              <a16:creationId xmlns:a16="http://schemas.microsoft.com/office/drawing/2014/main" id="{00000000-0008-0000-0100-0000F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75" name="Picture 9" descr=" ">
          <a:extLst>
            <a:ext uri="{FF2B5EF4-FFF2-40B4-BE49-F238E27FC236}">
              <a16:creationId xmlns:a16="http://schemas.microsoft.com/office/drawing/2014/main" id="{00000000-0008-0000-0100-0000FF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76" name="Picture 10" descr=" ">
          <a:extLst>
            <a:ext uri="{FF2B5EF4-FFF2-40B4-BE49-F238E27FC236}">
              <a16:creationId xmlns:a16="http://schemas.microsoft.com/office/drawing/2014/main" id="{00000000-0008-0000-0100-00000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77" name="Picture 11" descr=" ">
          <a:extLst>
            <a:ext uri="{FF2B5EF4-FFF2-40B4-BE49-F238E27FC236}">
              <a16:creationId xmlns:a16="http://schemas.microsoft.com/office/drawing/2014/main" id="{00000000-0008-0000-0100-00000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78" name="Picture 12" descr=" ">
          <a:extLst>
            <a:ext uri="{FF2B5EF4-FFF2-40B4-BE49-F238E27FC236}">
              <a16:creationId xmlns:a16="http://schemas.microsoft.com/office/drawing/2014/main" id="{00000000-0008-0000-0100-00000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79" name="Picture 7" descr=" ">
          <a:extLst>
            <a:ext uri="{FF2B5EF4-FFF2-40B4-BE49-F238E27FC236}">
              <a16:creationId xmlns:a16="http://schemas.microsoft.com/office/drawing/2014/main" id="{00000000-0008-0000-0100-00000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80" name="Picture 8" descr=" ">
          <a:extLst>
            <a:ext uri="{FF2B5EF4-FFF2-40B4-BE49-F238E27FC236}">
              <a16:creationId xmlns:a16="http://schemas.microsoft.com/office/drawing/2014/main" id="{00000000-0008-0000-0100-00000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81" name="Picture 9" descr=" ">
          <a:extLst>
            <a:ext uri="{FF2B5EF4-FFF2-40B4-BE49-F238E27FC236}">
              <a16:creationId xmlns:a16="http://schemas.microsoft.com/office/drawing/2014/main" id="{00000000-0008-0000-0100-00000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82" name="Picture 10" descr=" ">
          <a:extLst>
            <a:ext uri="{FF2B5EF4-FFF2-40B4-BE49-F238E27FC236}">
              <a16:creationId xmlns:a16="http://schemas.microsoft.com/office/drawing/2014/main" id="{00000000-0008-0000-0100-00000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83" name="Picture 11" descr=" ">
          <a:extLst>
            <a:ext uri="{FF2B5EF4-FFF2-40B4-BE49-F238E27FC236}">
              <a16:creationId xmlns:a16="http://schemas.microsoft.com/office/drawing/2014/main" id="{00000000-0008-0000-0100-00000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84" name="Picture 12" descr=" ">
          <a:extLst>
            <a:ext uri="{FF2B5EF4-FFF2-40B4-BE49-F238E27FC236}">
              <a16:creationId xmlns:a16="http://schemas.microsoft.com/office/drawing/2014/main" id="{00000000-0008-0000-0100-00000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85" name="Picture 7" descr=" ">
          <a:extLst>
            <a:ext uri="{FF2B5EF4-FFF2-40B4-BE49-F238E27FC236}">
              <a16:creationId xmlns:a16="http://schemas.microsoft.com/office/drawing/2014/main" id="{00000000-0008-0000-0100-00000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86" name="Picture 8" descr=" ">
          <a:extLst>
            <a:ext uri="{FF2B5EF4-FFF2-40B4-BE49-F238E27FC236}">
              <a16:creationId xmlns:a16="http://schemas.microsoft.com/office/drawing/2014/main" id="{00000000-0008-0000-0100-00000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87" name="Picture 9" descr=" ">
          <a:extLst>
            <a:ext uri="{FF2B5EF4-FFF2-40B4-BE49-F238E27FC236}">
              <a16:creationId xmlns:a16="http://schemas.microsoft.com/office/drawing/2014/main" id="{00000000-0008-0000-0100-00000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88" name="Picture 10" descr=" ">
          <a:extLst>
            <a:ext uri="{FF2B5EF4-FFF2-40B4-BE49-F238E27FC236}">
              <a16:creationId xmlns:a16="http://schemas.microsoft.com/office/drawing/2014/main" id="{00000000-0008-0000-0100-00000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89" name="Picture 11" descr=" ">
          <a:extLst>
            <a:ext uri="{FF2B5EF4-FFF2-40B4-BE49-F238E27FC236}">
              <a16:creationId xmlns:a16="http://schemas.microsoft.com/office/drawing/2014/main" id="{00000000-0008-0000-0100-00000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90" name="Picture 12" descr=" ">
          <a:extLst>
            <a:ext uri="{FF2B5EF4-FFF2-40B4-BE49-F238E27FC236}">
              <a16:creationId xmlns:a16="http://schemas.microsoft.com/office/drawing/2014/main" id="{00000000-0008-0000-0100-00000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91" name="Picture 7" descr=" ">
          <a:extLst>
            <a:ext uri="{FF2B5EF4-FFF2-40B4-BE49-F238E27FC236}">
              <a16:creationId xmlns:a16="http://schemas.microsoft.com/office/drawing/2014/main" id="{00000000-0008-0000-0100-00000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92" name="Picture 8" descr=" ">
          <a:extLst>
            <a:ext uri="{FF2B5EF4-FFF2-40B4-BE49-F238E27FC236}">
              <a16:creationId xmlns:a16="http://schemas.microsoft.com/office/drawing/2014/main" id="{00000000-0008-0000-0100-00001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93" name="Picture 9" descr=" ">
          <a:extLst>
            <a:ext uri="{FF2B5EF4-FFF2-40B4-BE49-F238E27FC236}">
              <a16:creationId xmlns:a16="http://schemas.microsoft.com/office/drawing/2014/main" id="{00000000-0008-0000-0100-00001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94" name="Picture 10" descr=" ">
          <a:extLst>
            <a:ext uri="{FF2B5EF4-FFF2-40B4-BE49-F238E27FC236}">
              <a16:creationId xmlns:a16="http://schemas.microsoft.com/office/drawing/2014/main" id="{00000000-0008-0000-0100-00001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95" name="Picture 11" descr=" ">
          <a:extLst>
            <a:ext uri="{FF2B5EF4-FFF2-40B4-BE49-F238E27FC236}">
              <a16:creationId xmlns:a16="http://schemas.microsoft.com/office/drawing/2014/main" id="{00000000-0008-0000-0100-00001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96" name="Picture 12" descr=" ">
          <a:extLst>
            <a:ext uri="{FF2B5EF4-FFF2-40B4-BE49-F238E27FC236}">
              <a16:creationId xmlns:a16="http://schemas.microsoft.com/office/drawing/2014/main" id="{00000000-0008-0000-0100-00001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97" name="Picture 7" descr=" ">
          <a:extLst>
            <a:ext uri="{FF2B5EF4-FFF2-40B4-BE49-F238E27FC236}">
              <a16:creationId xmlns:a16="http://schemas.microsoft.com/office/drawing/2014/main" id="{00000000-0008-0000-0100-00001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98" name="Picture 8" descr=" ">
          <a:extLst>
            <a:ext uri="{FF2B5EF4-FFF2-40B4-BE49-F238E27FC236}">
              <a16:creationId xmlns:a16="http://schemas.microsoft.com/office/drawing/2014/main" id="{00000000-0008-0000-0100-00001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799" name="Picture 9" descr=" ">
          <a:extLst>
            <a:ext uri="{FF2B5EF4-FFF2-40B4-BE49-F238E27FC236}">
              <a16:creationId xmlns:a16="http://schemas.microsoft.com/office/drawing/2014/main" id="{00000000-0008-0000-0100-00001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00" name="Picture 10" descr=" ">
          <a:extLst>
            <a:ext uri="{FF2B5EF4-FFF2-40B4-BE49-F238E27FC236}">
              <a16:creationId xmlns:a16="http://schemas.microsoft.com/office/drawing/2014/main" id="{00000000-0008-0000-0100-00001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01" name="Picture 11" descr=" ">
          <a:extLst>
            <a:ext uri="{FF2B5EF4-FFF2-40B4-BE49-F238E27FC236}">
              <a16:creationId xmlns:a16="http://schemas.microsoft.com/office/drawing/2014/main" id="{00000000-0008-0000-0100-00001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02" name="Picture 12" descr=" ">
          <a:extLst>
            <a:ext uri="{FF2B5EF4-FFF2-40B4-BE49-F238E27FC236}">
              <a16:creationId xmlns:a16="http://schemas.microsoft.com/office/drawing/2014/main" id="{00000000-0008-0000-0100-00001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03" name="Picture 7" descr=" ">
          <a:extLst>
            <a:ext uri="{FF2B5EF4-FFF2-40B4-BE49-F238E27FC236}">
              <a16:creationId xmlns:a16="http://schemas.microsoft.com/office/drawing/2014/main" id="{00000000-0008-0000-0100-00001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04" name="Picture 8" descr=" ">
          <a:extLst>
            <a:ext uri="{FF2B5EF4-FFF2-40B4-BE49-F238E27FC236}">
              <a16:creationId xmlns:a16="http://schemas.microsoft.com/office/drawing/2014/main" id="{00000000-0008-0000-0100-00001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05" name="Picture 9" descr=" ">
          <a:extLst>
            <a:ext uri="{FF2B5EF4-FFF2-40B4-BE49-F238E27FC236}">
              <a16:creationId xmlns:a16="http://schemas.microsoft.com/office/drawing/2014/main" id="{00000000-0008-0000-0100-00001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06" name="Picture 10" descr=" ">
          <a:extLst>
            <a:ext uri="{FF2B5EF4-FFF2-40B4-BE49-F238E27FC236}">
              <a16:creationId xmlns:a16="http://schemas.microsoft.com/office/drawing/2014/main" id="{00000000-0008-0000-0100-00001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07" name="Picture 11" descr=" ">
          <a:extLst>
            <a:ext uri="{FF2B5EF4-FFF2-40B4-BE49-F238E27FC236}">
              <a16:creationId xmlns:a16="http://schemas.microsoft.com/office/drawing/2014/main" id="{00000000-0008-0000-0100-00001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08" name="Picture 12" descr=" ">
          <a:extLst>
            <a:ext uri="{FF2B5EF4-FFF2-40B4-BE49-F238E27FC236}">
              <a16:creationId xmlns:a16="http://schemas.microsoft.com/office/drawing/2014/main" id="{00000000-0008-0000-0100-00002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09" name="Picture 7" descr=" ">
          <a:extLst>
            <a:ext uri="{FF2B5EF4-FFF2-40B4-BE49-F238E27FC236}">
              <a16:creationId xmlns:a16="http://schemas.microsoft.com/office/drawing/2014/main" id="{00000000-0008-0000-0100-00002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10" name="Picture 8" descr=" ">
          <a:extLst>
            <a:ext uri="{FF2B5EF4-FFF2-40B4-BE49-F238E27FC236}">
              <a16:creationId xmlns:a16="http://schemas.microsoft.com/office/drawing/2014/main" id="{00000000-0008-0000-0100-00002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11" name="Picture 9" descr=" ">
          <a:extLst>
            <a:ext uri="{FF2B5EF4-FFF2-40B4-BE49-F238E27FC236}">
              <a16:creationId xmlns:a16="http://schemas.microsoft.com/office/drawing/2014/main" id="{00000000-0008-0000-0100-00002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12" name="Picture 10" descr=" ">
          <a:extLst>
            <a:ext uri="{FF2B5EF4-FFF2-40B4-BE49-F238E27FC236}">
              <a16:creationId xmlns:a16="http://schemas.microsoft.com/office/drawing/2014/main" id="{00000000-0008-0000-0100-00002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13" name="Picture 11" descr=" ">
          <a:extLst>
            <a:ext uri="{FF2B5EF4-FFF2-40B4-BE49-F238E27FC236}">
              <a16:creationId xmlns:a16="http://schemas.microsoft.com/office/drawing/2014/main" id="{00000000-0008-0000-0100-00002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14" name="Picture 12" descr=" ">
          <a:extLst>
            <a:ext uri="{FF2B5EF4-FFF2-40B4-BE49-F238E27FC236}">
              <a16:creationId xmlns:a16="http://schemas.microsoft.com/office/drawing/2014/main" id="{00000000-0008-0000-0100-00002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15" name="Picture 7" descr=" ">
          <a:extLst>
            <a:ext uri="{FF2B5EF4-FFF2-40B4-BE49-F238E27FC236}">
              <a16:creationId xmlns:a16="http://schemas.microsoft.com/office/drawing/2014/main" id="{00000000-0008-0000-0100-00002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16" name="Picture 8" descr=" ">
          <a:extLst>
            <a:ext uri="{FF2B5EF4-FFF2-40B4-BE49-F238E27FC236}">
              <a16:creationId xmlns:a16="http://schemas.microsoft.com/office/drawing/2014/main" id="{00000000-0008-0000-0100-00002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17" name="Picture 9" descr=" ">
          <a:extLst>
            <a:ext uri="{FF2B5EF4-FFF2-40B4-BE49-F238E27FC236}">
              <a16:creationId xmlns:a16="http://schemas.microsoft.com/office/drawing/2014/main" id="{00000000-0008-0000-0100-00002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18" name="Picture 10" descr=" ">
          <a:extLst>
            <a:ext uri="{FF2B5EF4-FFF2-40B4-BE49-F238E27FC236}">
              <a16:creationId xmlns:a16="http://schemas.microsoft.com/office/drawing/2014/main" id="{00000000-0008-0000-0100-00002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19" name="Picture 11" descr=" ">
          <a:extLst>
            <a:ext uri="{FF2B5EF4-FFF2-40B4-BE49-F238E27FC236}">
              <a16:creationId xmlns:a16="http://schemas.microsoft.com/office/drawing/2014/main" id="{00000000-0008-0000-0100-00002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20" name="Picture 12" descr=" ">
          <a:extLst>
            <a:ext uri="{FF2B5EF4-FFF2-40B4-BE49-F238E27FC236}">
              <a16:creationId xmlns:a16="http://schemas.microsoft.com/office/drawing/2014/main" id="{00000000-0008-0000-0100-00002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21" name="Picture 7" descr=" ">
          <a:extLst>
            <a:ext uri="{FF2B5EF4-FFF2-40B4-BE49-F238E27FC236}">
              <a16:creationId xmlns:a16="http://schemas.microsoft.com/office/drawing/2014/main" id="{00000000-0008-0000-0100-00002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22" name="Picture 8" descr=" ">
          <a:extLst>
            <a:ext uri="{FF2B5EF4-FFF2-40B4-BE49-F238E27FC236}">
              <a16:creationId xmlns:a16="http://schemas.microsoft.com/office/drawing/2014/main" id="{00000000-0008-0000-0100-00002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23" name="Picture 9" descr=" ">
          <a:extLst>
            <a:ext uri="{FF2B5EF4-FFF2-40B4-BE49-F238E27FC236}">
              <a16:creationId xmlns:a16="http://schemas.microsoft.com/office/drawing/2014/main" id="{00000000-0008-0000-0100-00002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24" name="Picture 10" descr=" ">
          <a:extLst>
            <a:ext uri="{FF2B5EF4-FFF2-40B4-BE49-F238E27FC236}">
              <a16:creationId xmlns:a16="http://schemas.microsoft.com/office/drawing/2014/main" id="{00000000-0008-0000-0100-00003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25" name="Picture 11" descr=" ">
          <a:extLst>
            <a:ext uri="{FF2B5EF4-FFF2-40B4-BE49-F238E27FC236}">
              <a16:creationId xmlns:a16="http://schemas.microsoft.com/office/drawing/2014/main" id="{00000000-0008-0000-0100-00003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26" name="Picture 12" descr=" ">
          <a:extLst>
            <a:ext uri="{FF2B5EF4-FFF2-40B4-BE49-F238E27FC236}">
              <a16:creationId xmlns:a16="http://schemas.microsoft.com/office/drawing/2014/main" id="{00000000-0008-0000-0100-00003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27" name="Picture 7" descr=" ">
          <a:extLst>
            <a:ext uri="{FF2B5EF4-FFF2-40B4-BE49-F238E27FC236}">
              <a16:creationId xmlns:a16="http://schemas.microsoft.com/office/drawing/2014/main" id="{00000000-0008-0000-0100-00003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28" name="Picture 8" descr=" ">
          <a:extLst>
            <a:ext uri="{FF2B5EF4-FFF2-40B4-BE49-F238E27FC236}">
              <a16:creationId xmlns:a16="http://schemas.microsoft.com/office/drawing/2014/main" id="{00000000-0008-0000-0100-00003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29" name="Picture 9" descr=" ">
          <a:extLst>
            <a:ext uri="{FF2B5EF4-FFF2-40B4-BE49-F238E27FC236}">
              <a16:creationId xmlns:a16="http://schemas.microsoft.com/office/drawing/2014/main" id="{00000000-0008-0000-0100-00003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30" name="Picture 10" descr=" ">
          <a:extLst>
            <a:ext uri="{FF2B5EF4-FFF2-40B4-BE49-F238E27FC236}">
              <a16:creationId xmlns:a16="http://schemas.microsoft.com/office/drawing/2014/main" id="{00000000-0008-0000-0100-00003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31" name="Picture 11" descr=" ">
          <a:extLst>
            <a:ext uri="{FF2B5EF4-FFF2-40B4-BE49-F238E27FC236}">
              <a16:creationId xmlns:a16="http://schemas.microsoft.com/office/drawing/2014/main" id="{00000000-0008-0000-0100-00003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32" name="Picture 12" descr=" ">
          <a:extLst>
            <a:ext uri="{FF2B5EF4-FFF2-40B4-BE49-F238E27FC236}">
              <a16:creationId xmlns:a16="http://schemas.microsoft.com/office/drawing/2014/main" id="{00000000-0008-0000-0100-00003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33" name="Picture 7" descr=" ">
          <a:extLst>
            <a:ext uri="{FF2B5EF4-FFF2-40B4-BE49-F238E27FC236}">
              <a16:creationId xmlns:a16="http://schemas.microsoft.com/office/drawing/2014/main" id="{00000000-0008-0000-0100-00003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34" name="Picture 8" descr=" ">
          <a:extLst>
            <a:ext uri="{FF2B5EF4-FFF2-40B4-BE49-F238E27FC236}">
              <a16:creationId xmlns:a16="http://schemas.microsoft.com/office/drawing/2014/main" id="{00000000-0008-0000-0100-00003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35" name="Picture 9" descr=" ">
          <a:extLst>
            <a:ext uri="{FF2B5EF4-FFF2-40B4-BE49-F238E27FC236}">
              <a16:creationId xmlns:a16="http://schemas.microsoft.com/office/drawing/2014/main" id="{00000000-0008-0000-0100-00003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36" name="Picture 10" descr=" ">
          <a:extLst>
            <a:ext uri="{FF2B5EF4-FFF2-40B4-BE49-F238E27FC236}">
              <a16:creationId xmlns:a16="http://schemas.microsoft.com/office/drawing/2014/main" id="{00000000-0008-0000-0100-00003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37" name="Picture 11" descr=" ">
          <a:extLst>
            <a:ext uri="{FF2B5EF4-FFF2-40B4-BE49-F238E27FC236}">
              <a16:creationId xmlns:a16="http://schemas.microsoft.com/office/drawing/2014/main" id="{00000000-0008-0000-0100-00003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38" name="Picture 12" descr=" ">
          <a:extLst>
            <a:ext uri="{FF2B5EF4-FFF2-40B4-BE49-F238E27FC236}">
              <a16:creationId xmlns:a16="http://schemas.microsoft.com/office/drawing/2014/main" id="{00000000-0008-0000-0100-00003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39" name="Picture 7" descr=" ">
          <a:extLst>
            <a:ext uri="{FF2B5EF4-FFF2-40B4-BE49-F238E27FC236}">
              <a16:creationId xmlns:a16="http://schemas.microsoft.com/office/drawing/2014/main" id="{00000000-0008-0000-0100-00003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40" name="Picture 8" descr=" ">
          <a:extLst>
            <a:ext uri="{FF2B5EF4-FFF2-40B4-BE49-F238E27FC236}">
              <a16:creationId xmlns:a16="http://schemas.microsoft.com/office/drawing/2014/main" id="{00000000-0008-0000-0100-00004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41" name="Picture 9" descr=" ">
          <a:extLst>
            <a:ext uri="{FF2B5EF4-FFF2-40B4-BE49-F238E27FC236}">
              <a16:creationId xmlns:a16="http://schemas.microsoft.com/office/drawing/2014/main" id="{00000000-0008-0000-0100-00004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42" name="Picture 10" descr=" ">
          <a:extLst>
            <a:ext uri="{FF2B5EF4-FFF2-40B4-BE49-F238E27FC236}">
              <a16:creationId xmlns:a16="http://schemas.microsoft.com/office/drawing/2014/main" id="{00000000-0008-0000-0100-00004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43" name="Picture 11" descr=" ">
          <a:extLst>
            <a:ext uri="{FF2B5EF4-FFF2-40B4-BE49-F238E27FC236}">
              <a16:creationId xmlns:a16="http://schemas.microsoft.com/office/drawing/2014/main" id="{00000000-0008-0000-0100-00004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44" name="Picture 12" descr=" ">
          <a:extLst>
            <a:ext uri="{FF2B5EF4-FFF2-40B4-BE49-F238E27FC236}">
              <a16:creationId xmlns:a16="http://schemas.microsoft.com/office/drawing/2014/main" id="{00000000-0008-0000-0100-00004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45" name="Picture 7" descr=" ">
          <a:extLst>
            <a:ext uri="{FF2B5EF4-FFF2-40B4-BE49-F238E27FC236}">
              <a16:creationId xmlns:a16="http://schemas.microsoft.com/office/drawing/2014/main" id="{00000000-0008-0000-0100-00004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46" name="Picture 8" descr=" ">
          <a:extLst>
            <a:ext uri="{FF2B5EF4-FFF2-40B4-BE49-F238E27FC236}">
              <a16:creationId xmlns:a16="http://schemas.microsoft.com/office/drawing/2014/main" id="{00000000-0008-0000-0100-00004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47" name="Picture 9" descr=" ">
          <a:extLst>
            <a:ext uri="{FF2B5EF4-FFF2-40B4-BE49-F238E27FC236}">
              <a16:creationId xmlns:a16="http://schemas.microsoft.com/office/drawing/2014/main" id="{00000000-0008-0000-0100-00004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48" name="Picture 10" descr=" ">
          <a:extLst>
            <a:ext uri="{FF2B5EF4-FFF2-40B4-BE49-F238E27FC236}">
              <a16:creationId xmlns:a16="http://schemas.microsoft.com/office/drawing/2014/main" id="{00000000-0008-0000-0100-00004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49" name="Picture 11" descr=" ">
          <a:extLst>
            <a:ext uri="{FF2B5EF4-FFF2-40B4-BE49-F238E27FC236}">
              <a16:creationId xmlns:a16="http://schemas.microsoft.com/office/drawing/2014/main" id="{00000000-0008-0000-0100-00004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50" name="Picture 12" descr=" ">
          <a:extLst>
            <a:ext uri="{FF2B5EF4-FFF2-40B4-BE49-F238E27FC236}">
              <a16:creationId xmlns:a16="http://schemas.microsoft.com/office/drawing/2014/main" id="{00000000-0008-0000-0100-00004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51" name="Picture 7" descr=" ">
          <a:extLst>
            <a:ext uri="{FF2B5EF4-FFF2-40B4-BE49-F238E27FC236}">
              <a16:creationId xmlns:a16="http://schemas.microsoft.com/office/drawing/2014/main" id="{00000000-0008-0000-0100-00004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52" name="Picture 8" descr=" ">
          <a:extLst>
            <a:ext uri="{FF2B5EF4-FFF2-40B4-BE49-F238E27FC236}">
              <a16:creationId xmlns:a16="http://schemas.microsoft.com/office/drawing/2014/main" id="{00000000-0008-0000-0100-00004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53" name="Picture 9" descr=" ">
          <a:extLst>
            <a:ext uri="{FF2B5EF4-FFF2-40B4-BE49-F238E27FC236}">
              <a16:creationId xmlns:a16="http://schemas.microsoft.com/office/drawing/2014/main" id="{00000000-0008-0000-0100-00004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54" name="Picture 10" descr=" ">
          <a:extLst>
            <a:ext uri="{FF2B5EF4-FFF2-40B4-BE49-F238E27FC236}">
              <a16:creationId xmlns:a16="http://schemas.microsoft.com/office/drawing/2014/main" id="{00000000-0008-0000-0100-00004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55" name="Picture 11" descr=" ">
          <a:extLst>
            <a:ext uri="{FF2B5EF4-FFF2-40B4-BE49-F238E27FC236}">
              <a16:creationId xmlns:a16="http://schemas.microsoft.com/office/drawing/2014/main" id="{00000000-0008-0000-0100-00004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56" name="Picture 12" descr=" ">
          <a:extLst>
            <a:ext uri="{FF2B5EF4-FFF2-40B4-BE49-F238E27FC236}">
              <a16:creationId xmlns:a16="http://schemas.microsoft.com/office/drawing/2014/main" id="{00000000-0008-0000-0100-00005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57" name="Picture 7" descr=" ">
          <a:extLst>
            <a:ext uri="{FF2B5EF4-FFF2-40B4-BE49-F238E27FC236}">
              <a16:creationId xmlns:a16="http://schemas.microsoft.com/office/drawing/2014/main" id="{00000000-0008-0000-0100-00005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58" name="Picture 8" descr=" ">
          <a:extLst>
            <a:ext uri="{FF2B5EF4-FFF2-40B4-BE49-F238E27FC236}">
              <a16:creationId xmlns:a16="http://schemas.microsoft.com/office/drawing/2014/main" id="{00000000-0008-0000-0100-00005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59" name="Picture 9" descr=" ">
          <a:extLst>
            <a:ext uri="{FF2B5EF4-FFF2-40B4-BE49-F238E27FC236}">
              <a16:creationId xmlns:a16="http://schemas.microsoft.com/office/drawing/2014/main" id="{00000000-0008-0000-0100-00005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60" name="Picture 10" descr=" ">
          <a:extLst>
            <a:ext uri="{FF2B5EF4-FFF2-40B4-BE49-F238E27FC236}">
              <a16:creationId xmlns:a16="http://schemas.microsoft.com/office/drawing/2014/main" id="{00000000-0008-0000-0100-00005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61" name="Picture 11" descr=" ">
          <a:extLst>
            <a:ext uri="{FF2B5EF4-FFF2-40B4-BE49-F238E27FC236}">
              <a16:creationId xmlns:a16="http://schemas.microsoft.com/office/drawing/2014/main" id="{00000000-0008-0000-0100-00005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62" name="Picture 12" descr=" ">
          <a:extLst>
            <a:ext uri="{FF2B5EF4-FFF2-40B4-BE49-F238E27FC236}">
              <a16:creationId xmlns:a16="http://schemas.microsoft.com/office/drawing/2014/main" id="{00000000-0008-0000-0100-00005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63" name="Picture 7" descr=" ">
          <a:extLst>
            <a:ext uri="{FF2B5EF4-FFF2-40B4-BE49-F238E27FC236}">
              <a16:creationId xmlns:a16="http://schemas.microsoft.com/office/drawing/2014/main" id="{00000000-0008-0000-0100-00005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64" name="Picture 8" descr=" ">
          <a:extLst>
            <a:ext uri="{FF2B5EF4-FFF2-40B4-BE49-F238E27FC236}">
              <a16:creationId xmlns:a16="http://schemas.microsoft.com/office/drawing/2014/main" id="{00000000-0008-0000-0100-00005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65" name="Picture 9" descr=" ">
          <a:extLst>
            <a:ext uri="{FF2B5EF4-FFF2-40B4-BE49-F238E27FC236}">
              <a16:creationId xmlns:a16="http://schemas.microsoft.com/office/drawing/2014/main" id="{00000000-0008-0000-0100-00005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66" name="Picture 10" descr=" ">
          <a:extLst>
            <a:ext uri="{FF2B5EF4-FFF2-40B4-BE49-F238E27FC236}">
              <a16:creationId xmlns:a16="http://schemas.microsoft.com/office/drawing/2014/main" id="{00000000-0008-0000-0100-00005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67" name="Picture 11" descr=" ">
          <a:extLst>
            <a:ext uri="{FF2B5EF4-FFF2-40B4-BE49-F238E27FC236}">
              <a16:creationId xmlns:a16="http://schemas.microsoft.com/office/drawing/2014/main" id="{00000000-0008-0000-0100-00005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68" name="Picture 12" descr=" ">
          <a:extLst>
            <a:ext uri="{FF2B5EF4-FFF2-40B4-BE49-F238E27FC236}">
              <a16:creationId xmlns:a16="http://schemas.microsoft.com/office/drawing/2014/main" id="{00000000-0008-0000-0100-00005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69" name="Picture 7" descr=" ">
          <a:extLst>
            <a:ext uri="{FF2B5EF4-FFF2-40B4-BE49-F238E27FC236}">
              <a16:creationId xmlns:a16="http://schemas.microsoft.com/office/drawing/2014/main" id="{00000000-0008-0000-0100-00005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70" name="Picture 8" descr=" ">
          <a:extLst>
            <a:ext uri="{FF2B5EF4-FFF2-40B4-BE49-F238E27FC236}">
              <a16:creationId xmlns:a16="http://schemas.microsoft.com/office/drawing/2014/main" id="{00000000-0008-0000-0100-00005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71" name="Picture 9" descr=" ">
          <a:extLst>
            <a:ext uri="{FF2B5EF4-FFF2-40B4-BE49-F238E27FC236}">
              <a16:creationId xmlns:a16="http://schemas.microsoft.com/office/drawing/2014/main" id="{00000000-0008-0000-0100-00005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72" name="Picture 10" descr=" ">
          <a:extLst>
            <a:ext uri="{FF2B5EF4-FFF2-40B4-BE49-F238E27FC236}">
              <a16:creationId xmlns:a16="http://schemas.microsoft.com/office/drawing/2014/main" id="{00000000-0008-0000-0100-00006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73" name="Picture 11" descr=" ">
          <a:extLst>
            <a:ext uri="{FF2B5EF4-FFF2-40B4-BE49-F238E27FC236}">
              <a16:creationId xmlns:a16="http://schemas.microsoft.com/office/drawing/2014/main" id="{00000000-0008-0000-0100-00006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74" name="Picture 12" descr=" ">
          <a:extLst>
            <a:ext uri="{FF2B5EF4-FFF2-40B4-BE49-F238E27FC236}">
              <a16:creationId xmlns:a16="http://schemas.microsoft.com/office/drawing/2014/main" id="{00000000-0008-0000-0100-00006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75" name="Picture 7" descr=" ">
          <a:extLst>
            <a:ext uri="{FF2B5EF4-FFF2-40B4-BE49-F238E27FC236}">
              <a16:creationId xmlns:a16="http://schemas.microsoft.com/office/drawing/2014/main" id="{00000000-0008-0000-0100-00006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76" name="Picture 8" descr=" ">
          <a:extLst>
            <a:ext uri="{FF2B5EF4-FFF2-40B4-BE49-F238E27FC236}">
              <a16:creationId xmlns:a16="http://schemas.microsoft.com/office/drawing/2014/main" id="{00000000-0008-0000-0100-00006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77" name="Picture 9" descr=" ">
          <a:extLst>
            <a:ext uri="{FF2B5EF4-FFF2-40B4-BE49-F238E27FC236}">
              <a16:creationId xmlns:a16="http://schemas.microsoft.com/office/drawing/2014/main" id="{00000000-0008-0000-0100-00006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78" name="Picture 10" descr=" ">
          <a:extLst>
            <a:ext uri="{FF2B5EF4-FFF2-40B4-BE49-F238E27FC236}">
              <a16:creationId xmlns:a16="http://schemas.microsoft.com/office/drawing/2014/main" id="{00000000-0008-0000-0100-00006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79" name="Picture 11" descr=" ">
          <a:extLst>
            <a:ext uri="{FF2B5EF4-FFF2-40B4-BE49-F238E27FC236}">
              <a16:creationId xmlns:a16="http://schemas.microsoft.com/office/drawing/2014/main" id="{00000000-0008-0000-0100-00006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80" name="Picture 12" descr=" ">
          <a:extLst>
            <a:ext uri="{FF2B5EF4-FFF2-40B4-BE49-F238E27FC236}">
              <a16:creationId xmlns:a16="http://schemas.microsoft.com/office/drawing/2014/main" id="{00000000-0008-0000-0100-00006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81" name="Picture 7" descr=" ">
          <a:extLst>
            <a:ext uri="{FF2B5EF4-FFF2-40B4-BE49-F238E27FC236}">
              <a16:creationId xmlns:a16="http://schemas.microsoft.com/office/drawing/2014/main" id="{00000000-0008-0000-0100-00006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82" name="Picture 8" descr=" ">
          <a:extLst>
            <a:ext uri="{FF2B5EF4-FFF2-40B4-BE49-F238E27FC236}">
              <a16:creationId xmlns:a16="http://schemas.microsoft.com/office/drawing/2014/main" id="{00000000-0008-0000-0100-00006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83" name="Picture 9" descr=" ">
          <a:extLst>
            <a:ext uri="{FF2B5EF4-FFF2-40B4-BE49-F238E27FC236}">
              <a16:creationId xmlns:a16="http://schemas.microsoft.com/office/drawing/2014/main" id="{00000000-0008-0000-0100-00006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84" name="Picture 10" descr=" ">
          <a:extLst>
            <a:ext uri="{FF2B5EF4-FFF2-40B4-BE49-F238E27FC236}">
              <a16:creationId xmlns:a16="http://schemas.microsoft.com/office/drawing/2014/main" id="{00000000-0008-0000-0100-00006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85" name="Picture 11" descr=" ">
          <a:extLst>
            <a:ext uri="{FF2B5EF4-FFF2-40B4-BE49-F238E27FC236}">
              <a16:creationId xmlns:a16="http://schemas.microsoft.com/office/drawing/2014/main" id="{00000000-0008-0000-0100-00006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86" name="Picture 12" descr=" ">
          <a:extLst>
            <a:ext uri="{FF2B5EF4-FFF2-40B4-BE49-F238E27FC236}">
              <a16:creationId xmlns:a16="http://schemas.microsoft.com/office/drawing/2014/main" id="{00000000-0008-0000-0100-00006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87" name="Picture 7" descr=" ">
          <a:extLst>
            <a:ext uri="{FF2B5EF4-FFF2-40B4-BE49-F238E27FC236}">
              <a16:creationId xmlns:a16="http://schemas.microsoft.com/office/drawing/2014/main" id="{00000000-0008-0000-0100-00006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88" name="Picture 8" descr=" ">
          <a:extLst>
            <a:ext uri="{FF2B5EF4-FFF2-40B4-BE49-F238E27FC236}">
              <a16:creationId xmlns:a16="http://schemas.microsoft.com/office/drawing/2014/main" id="{00000000-0008-0000-0100-00007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89" name="Picture 9" descr=" ">
          <a:extLst>
            <a:ext uri="{FF2B5EF4-FFF2-40B4-BE49-F238E27FC236}">
              <a16:creationId xmlns:a16="http://schemas.microsoft.com/office/drawing/2014/main" id="{00000000-0008-0000-0100-00007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90" name="Picture 10" descr=" ">
          <a:extLst>
            <a:ext uri="{FF2B5EF4-FFF2-40B4-BE49-F238E27FC236}">
              <a16:creationId xmlns:a16="http://schemas.microsoft.com/office/drawing/2014/main" id="{00000000-0008-0000-0100-00007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91" name="Picture 11" descr=" ">
          <a:extLst>
            <a:ext uri="{FF2B5EF4-FFF2-40B4-BE49-F238E27FC236}">
              <a16:creationId xmlns:a16="http://schemas.microsoft.com/office/drawing/2014/main" id="{00000000-0008-0000-0100-00007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92" name="Picture 12" descr=" ">
          <a:extLst>
            <a:ext uri="{FF2B5EF4-FFF2-40B4-BE49-F238E27FC236}">
              <a16:creationId xmlns:a16="http://schemas.microsoft.com/office/drawing/2014/main" id="{00000000-0008-0000-0100-00007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93" name="Picture 7" descr=" ">
          <a:extLst>
            <a:ext uri="{FF2B5EF4-FFF2-40B4-BE49-F238E27FC236}">
              <a16:creationId xmlns:a16="http://schemas.microsoft.com/office/drawing/2014/main" id="{00000000-0008-0000-0100-00007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94" name="Picture 8" descr=" ">
          <a:extLst>
            <a:ext uri="{FF2B5EF4-FFF2-40B4-BE49-F238E27FC236}">
              <a16:creationId xmlns:a16="http://schemas.microsoft.com/office/drawing/2014/main" id="{00000000-0008-0000-0100-00007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95" name="Picture 9" descr=" ">
          <a:extLst>
            <a:ext uri="{FF2B5EF4-FFF2-40B4-BE49-F238E27FC236}">
              <a16:creationId xmlns:a16="http://schemas.microsoft.com/office/drawing/2014/main" id="{00000000-0008-0000-0100-00007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96" name="Picture 10" descr=" ">
          <a:extLst>
            <a:ext uri="{FF2B5EF4-FFF2-40B4-BE49-F238E27FC236}">
              <a16:creationId xmlns:a16="http://schemas.microsoft.com/office/drawing/2014/main" id="{00000000-0008-0000-0100-00007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97" name="Picture 11" descr=" ">
          <a:extLst>
            <a:ext uri="{FF2B5EF4-FFF2-40B4-BE49-F238E27FC236}">
              <a16:creationId xmlns:a16="http://schemas.microsoft.com/office/drawing/2014/main" id="{00000000-0008-0000-0100-00007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98" name="Picture 12" descr=" ">
          <a:extLst>
            <a:ext uri="{FF2B5EF4-FFF2-40B4-BE49-F238E27FC236}">
              <a16:creationId xmlns:a16="http://schemas.microsoft.com/office/drawing/2014/main" id="{00000000-0008-0000-0100-00007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899" name="Picture 7" descr=" ">
          <a:extLst>
            <a:ext uri="{FF2B5EF4-FFF2-40B4-BE49-F238E27FC236}">
              <a16:creationId xmlns:a16="http://schemas.microsoft.com/office/drawing/2014/main" id="{00000000-0008-0000-0100-00007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00" name="Picture 8" descr=" ">
          <a:extLst>
            <a:ext uri="{FF2B5EF4-FFF2-40B4-BE49-F238E27FC236}">
              <a16:creationId xmlns:a16="http://schemas.microsoft.com/office/drawing/2014/main" id="{00000000-0008-0000-0100-00007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01" name="Picture 9" descr=" ">
          <a:extLst>
            <a:ext uri="{FF2B5EF4-FFF2-40B4-BE49-F238E27FC236}">
              <a16:creationId xmlns:a16="http://schemas.microsoft.com/office/drawing/2014/main" id="{00000000-0008-0000-0100-00007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02" name="Picture 10" descr=" ">
          <a:extLst>
            <a:ext uri="{FF2B5EF4-FFF2-40B4-BE49-F238E27FC236}">
              <a16:creationId xmlns:a16="http://schemas.microsoft.com/office/drawing/2014/main" id="{00000000-0008-0000-0100-00007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03" name="Picture 11" descr=" ">
          <a:extLst>
            <a:ext uri="{FF2B5EF4-FFF2-40B4-BE49-F238E27FC236}">
              <a16:creationId xmlns:a16="http://schemas.microsoft.com/office/drawing/2014/main" id="{00000000-0008-0000-0100-00007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04" name="Picture 12" descr=" ">
          <a:extLst>
            <a:ext uri="{FF2B5EF4-FFF2-40B4-BE49-F238E27FC236}">
              <a16:creationId xmlns:a16="http://schemas.microsoft.com/office/drawing/2014/main" id="{00000000-0008-0000-0100-00008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05" name="Picture 7" descr=" ">
          <a:extLst>
            <a:ext uri="{FF2B5EF4-FFF2-40B4-BE49-F238E27FC236}">
              <a16:creationId xmlns:a16="http://schemas.microsoft.com/office/drawing/2014/main" id="{00000000-0008-0000-0100-00008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06" name="Picture 8" descr=" ">
          <a:extLst>
            <a:ext uri="{FF2B5EF4-FFF2-40B4-BE49-F238E27FC236}">
              <a16:creationId xmlns:a16="http://schemas.microsoft.com/office/drawing/2014/main" id="{00000000-0008-0000-0100-00008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07" name="Picture 9" descr=" ">
          <a:extLst>
            <a:ext uri="{FF2B5EF4-FFF2-40B4-BE49-F238E27FC236}">
              <a16:creationId xmlns:a16="http://schemas.microsoft.com/office/drawing/2014/main" id="{00000000-0008-0000-0100-00008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08" name="Picture 10" descr=" ">
          <a:extLst>
            <a:ext uri="{FF2B5EF4-FFF2-40B4-BE49-F238E27FC236}">
              <a16:creationId xmlns:a16="http://schemas.microsoft.com/office/drawing/2014/main" id="{00000000-0008-0000-0100-00008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09" name="Picture 11" descr=" ">
          <a:extLst>
            <a:ext uri="{FF2B5EF4-FFF2-40B4-BE49-F238E27FC236}">
              <a16:creationId xmlns:a16="http://schemas.microsoft.com/office/drawing/2014/main" id="{00000000-0008-0000-0100-00008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10" name="Picture 12" descr=" ">
          <a:extLst>
            <a:ext uri="{FF2B5EF4-FFF2-40B4-BE49-F238E27FC236}">
              <a16:creationId xmlns:a16="http://schemas.microsoft.com/office/drawing/2014/main" id="{00000000-0008-0000-0100-00008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11" name="Picture 7" descr=" ">
          <a:extLst>
            <a:ext uri="{FF2B5EF4-FFF2-40B4-BE49-F238E27FC236}">
              <a16:creationId xmlns:a16="http://schemas.microsoft.com/office/drawing/2014/main" id="{00000000-0008-0000-0100-00008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12" name="Picture 8" descr=" ">
          <a:extLst>
            <a:ext uri="{FF2B5EF4-FFF2-40B4-BE49-F238E27FC236}">
              <a16:creationId xmlns:a16="http://schemas.microsoft.com/office/drawing/2014/main" id="{00000000-0008-0000-0100-00008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13" name="Picture 9" descr=" ">
          <a:extLst>
            <a:ext uri="{FF2B5EF4-FFF2-40B4-BE49-F238E27FC236}">
              <a16:creationId xmlns:a16="http://schemas.microsoft.com/office/drawing/2014/main" id="{00000000-0008-0000-0100-00008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14" name="Picture 10" descr=" ">
          <a:extLst>
            <a:ext uri="{FF2B5EF4-FFF2-40B4-BE49-F238E27FC236}">
              <a16:creationId xmlns:a16="http://schemas.microsoft.com/office/drawing/2014/main" id="{00000000-0008-0000-0100-00008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15" name="Picture 11" descr=" ">
          <a:extLst>
            <a:ext uri="{FF2B5EF4-FFF2-40B4-BE49-F238E27FC236}">
              <a16:creationId xmlns:a16="http://schemas.microsoft.com/office/drawing/2014/main" id="{00000000-0008-0000-0100-00008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16" name="Picture 12" descr=" ">
          <a:extLst>
            <a:ext uri="{FF2B5EF4-FFF2-40B4-BE49-F238E27FC236}">
              <a16:creationId xmlns:a16="http://schemas.microsoft.com/office/drawing/2014/main" id="{00000000-0008-0000-0100-00008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17" name="Picture 7" descr=" ">
          <a:extLst>
            <a:ext uri="{FF2B5EF4-FFF2-40B4-BE49-F238E27FC236}">
              <a16:creationId xmlns:a16="http://schemas.microsoft.com/office/drawing/2014/main" id="{00000000-0008-0000-0100-00008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18" name="Picture 8" descr=" ">
          <a:extLst>
            <a:ext uri="{FF2B5EF4-FFF2-40B4-BE49-F238E27FC236}">
              <a16:creationId xmlns:a16="http://schemas.microsoft.com/office/drawing/2014/main" id="{00000000-0008-0000-0100-00008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19" name="Picture 9" descr=" ">
          <a:extLst>
            <a:ext uri="{FF2B5EF4-FFF2-40B4-BE49-F238E27FC236}">
              <a16:creationId xmlns:a16="http://schemas.microsoft.com/office/drawing/2014/main" id="{00000000-0008-0000-0100-00008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20" name="Picture 10" descr=" ">
          <a:extLst>
            <a:ext uri="{FF2B5EF4-FFF2-40B4-BE49-F238E27FC236}">
              <a16:creationId xmlns:a16="http://schemas.microsoft.com/office/drawing/2014/main" id="{00000000-0008-0000-0100-00009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21" name="Picture 11" descr=" ">
          <a:extLst>
            <a:ext uri="{FF2B5EF4-FFF2-40B4-BE49-F238E27FC236}">
              <a16:creationId xmlns:a16="http://schemas.microsoft.com/office/drawing/2014/main" id="{00000000-0008-0000-0100-00009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22" name="Picture 12" descr=" ">
          <a:extLst>
            <a:ext uri="{FF2B5EF4-FFF2-40B4-BE49-F238E27FC236}">
              <a16:creationId xmlns:a16="http://schemas.microsoft.com/office/drawing/2014/main" id="{00000000-0008-0000-0100-00009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23" name="Picture 7" descr=" ">
          <a:extLst>
            <a:ext uri="{FF2B5EF4-FFF2-40B4-BE49-F238E27FC236}">
              <a16:creationId xmlns:a16="http://schemas.microsoft.com/office/drawing/2014/main" id="{00000000-0008-0000-0100-00009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24" name="Picture 8" descr=" ">
          <a:extLst>
            <a:ext uri="{FF2B5EF4-FFF2-40B4-BE49-F238E27FC236}">
              <a16:creationId xmlns:a16="http://schemas.microsoft.com/office/drawing/2014/main" id="{00000000-0008-0000-0100-00009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25" name="Picture 9" descr=" ">
          <a:extLst>
            <a:ext uri="{FF2B5EF4-FFF2-40B4-BE49-F238E27FC236}">
              <a16:creationId xmlns:a16="http://schemas.microsoft.com/office/drawing/2014/main" id="{00000000-0008-0000-0100-00009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26" name="Picture 10" descr=" ">
          <a:extLst>
            <a:ext uri="{FF2B5EF4-FFF2-40B4-BE49-F238E27FC236}">
              <a16:creationId xmlns:a16="http://schemas.microsoft.com/office/drawing/2014/main" id="{00000000-0008-0000-0100-00009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27" name="Picture 11" descr=" ">
          <a:extLst>
            <a:ext uri="{FF2B5EF4-FFF2-40B4-BE49-F238E27FC236}">
              <a16:creationId xmlns:a16="http://schemas.microsoft.com/office/drawing/2014/main" id="{00000000-0008-0000-0100-00009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28" name="Picture 12" descr=" ">
          <a:extLst>
            <a:ext uri="{FF2B5EF4-FFF2-40B4-BE49-F238E27FC236}">
              <a16:creationId xmlns:a16="http://schemas.microsoft.com/office/drawing/2014/main" id="{00000000-0008-0000-0100-00009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29" name="Picture 7" descr=" ">
          <a:extLst>
            <a:ext uri="{FF2B5EF4-FFF2-40B4-BE49-F238E27FC236}">
              <a16:creationId xmlns:a16="http://schemas.microsoft.com/office/drawing/2014/main" id="{00000000-0008-0000-0100-00009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30" name="Picture 8" descr=" ">
          <a:extLst>
            <a:ext uri="{FF2B5EF4-FFF2-40B4-BE49-F238E27FC236}">
              <a16:creationId xmlns:a16="http://schemas.microsoft.com/office/drawing/2014/main" id="{00000000-0008-0000-0100-00009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31" name="Picture 9" descr=" ">
          <a:extLst>
            <a:ext uri="{FF2B5EF4-FFF2-40B4-BE49-F238E27FC236}">
              <a16:creationId xmlns:a16="http://schemas.microsoft.com/office/drawing/2014/main" id="{00000000-0008-0000-0100-00009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32" name="Picture 10" descr=" ">
          <a:extLst>
            <a:ext uri="{FF2B5EF4-FFF2-40B4-BE49-F238E27FC236}">
              <a16:creationId xmlns:a16="http://schemas.microsoft.com/office/drawing/2014/main" id="{00000000-0008-0000-0100-00009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33" name="Picture 11" descr=" ">
          <a:extLst>
            <a:ext uri="{FF2B5EF4-FFF2-40B4-BE49-F238E27FC236}">
              <a16:creationId xmlns:a16="http://schemas.microsoft.com/office/drawing/2014/main" id="{00000000-0008-0000-0100-00009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34" name="Picture 12" descr=" ">
          <a:extLst>
            <a:ext uri="{FF2B5EF4-FFF2-40B4-BE49-F238E27FC236}">
              <a16:creationId xmlns:a16="http://schemas.microsoft.com/office/drawing/2014/main" id="{00000000-0008-0000-0100-00009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35" name="Picture 7" descr=" ">
          <a:extLst>
            <a:ext uri="{FF2B5EF4-FFF2-40B4-BE49-F238E27FC236}">
              <a16:creationId xmlns:a16="http://schemas.microsoft.com/office/drawing/2014/main" id="{00000000-0008-0000-0100-00009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36" name="Picture 8" descr=" ">
          <a:extLst>
            <a:ext uri="{FF2B5EF4-FFF2-40B4-BE49-F238E27FC236}">
              <a16:creationId xmlns:a16="http://schemas.microsoft.com/office/drawing/2014/main" id="{00000000-0008-0000-0100-0000A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37" name="Picture 9" descr=" ">
          <a:extLst>
            <a:ext uri="{FF2B5EF4-FFF2-40B4-BE49-F238E27FC236}">
              <a16:creationId xmlns:a16="http://schemas.microsoft.com/office/drawing/2014/main" id="{00000000-0008-0000-0100-0000A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38" name="Picture 10" descr=" ">
          <a:extLst>
            <a:ext uri="{FF2B5EF4-FFF2-40B4-BE49-F238E27FC236}">
              <a16:creationId xmlns:a16="http://schemas.microsoft.com/office/drawing/2014/main" id="{00000000-0008-0000-0100-0000A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39" name="Picture 11" descr=" ">
          <a:extLst>
            <a:ext uri="{FF2B5EF4-FFF2-40B4-BE49-F238E27FC236}">
              <a16:creationId xmlns:a16="http://schemas.microsoft.com/office/drawing/2014/main" id="{00000000-0008-0000-0100-0000A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40" name="Picture 12" descr=" ">
          <a:extLst>
            <a:ext uri="{FF2B5EF4-FFF2-40B4-BE49-F238E27FC236}">
              <a16:creationId xmlns:a16="http://schemas.microsoft.com/office/drawing/2014/main" id="{00000000-0008-0000-0100-0000A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41" name="Picture 7" descr=" ">
          <a:extLst>
            <a:ext uri="{FF2B5EF4-FFF2-40B4-BE49-F238E27FC236}">
              <a16:creationId xmlns:a16="http://schemas.microsoft.com/office/drawing/2014/main" id="{00000000-0008-0000-0100-0000A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42" name="Picture 8" descr=" ">
          <a:extLst>
            <a:ext uri="{FF2B5EF4-FFF2-40B4-BE49-F238E27FC236}">
              <a16:creationId xmlns:a16="http://schemas.microsoft.com/office/drawing/2014/main" id="{00000000-0008-0000-0100-0000A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43" name="Picture 9" descr=" ">
          <a:extLst>
            <a:ext uri="{FF2B5EF4-FFF2-40B4-BE49-F238E27FC236}">
              <a16:creationId xmlns:a16="http://schemas.microsoft.com/office/drawing/2014/main" id="{00000000-0008-0000-0100-0000A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44" name="Picture 10" descr=" ">
          <a:extLst>
            <a:ext uri="{FF2B5EF4-FFF2-40B4-BE49-F238E27FC236}">
              <a16:creationId xmlns:a16="http://schemas.microsoft.com/office/drawing/2014/main" id="{00000000-0008-0000-0100-0000A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45" name="Picture 11" descr=" ">
          <a:extLst>
            <a:ext uri="{FF2B5EF4-FFF2-40B4-BE49-F238E27FC236}">
              <a16:creationId xmlns:a16="http://schemas.microsoft.com/office/drawing/2014/main" id="{00000000-0008-0000-0100-0000A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46" name="Picture 12" descr=" ">
          <a:extLst>
            <a:ext uri="{FF2B5EF4-FFF2-40B4-BE49-F238E27FC236}">
              <a16:creationId xmlns:a16="http://schemas.microsoft.com/office/drawing/2014/main" id="{00000000-0008-0000-0100-0000A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47" name="Picture 7" descr=" ">
          <a:extLst>
            <a:ext uri="{FF2B5EF4-FFF2-40B4-BE49-F238E27FC236}">
              <a16:creationId xmlns:a16="http://schemas.microsoft.com/office/drawing/2014/main" id="{00000000-0008-0000-0100-0000A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48" name="Picture 8" descr=" ">
          <a:extLst>
            <a:ext uri="{FF2B5EF4-FFF2-40B4-BE49-F238E27FC236}">
              <a16:creationId xmlns:a16="http://schemas.microsoft.com/office/drawing/2014/main" id="{00000000-0008-0000-0100-0000A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49" name="Picture 9" descr=" ">
          <a:extLst>
            <a:ext uri="{FF2B5EF4-FFF2-40B4-BE49-F238E27FC236}">
              <a16:creationId xmlns:a16="http://schemas.microsoft.com/office/drawing/2014/main" id="{00000000-0008-0000-0100-0000A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50" name="Picture 10" descr=" ">
          <a:extLst>
            <a:ext uri="{FF2B5EF4-FFF2-40B4-BE49-F238E27FC236}">
              <a16:creationId xmlns:a16="http://schemas.microsoft.com/office/drawing/2014/main" id="{00000000-0008-0000-0100-0000A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51" name="Picture 11" descr=" ">
          <a:extLst>
            <a:ext uri="{FF2B5EF4-FFF2-40B4-BE49-F238E27FC236}">
              <a16:creationId xmlns:a16="http://schemas.microsoft.com/office/drawing/2014/main" id="{00000000-0008-0000-0100-0000A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52" name="Picture 12" descr=" ">
          <a:extLst>
            <a:ext uri="{FF2B5EF4-FFF2-40B4-BE49-F238E27FC236}">
              <a16:creationId xmlns:a16="http://schemas.microsoft.com/office/drawing/2014/main" id="{00000000-0008-0000-0100-0000B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53" name="Picture 7" descr=" ">
          <a:extLst>
            <a:ext uri="{FF2B5EF4-FFF2-40B4-BE49-F238E27FC236}">
              <a16:creationId xmlns:a16="http://schemas.microsoft.com/office/drawing/2014/main" id="{00000000-0008-0000-0100-0000B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54" name="Picture 8" descr=" ">
          <a:extLst>
            <a:ext uri="{FF2B5EF4-FFF2-40B4-BE49-F238E27FC236}">
              <a16:creationId xmlns:a16="http://schemas.microsoft.com/office/drawing/2014/main" id="{00000000-0008-0000-0100-0000B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55" name="Picture 9" descr=" ">
          <a:extLst>
            <a:ext uri="{FF2B5EF4-FFF2-40B4-BE49-F238E27FC236}">
              <a16:creationId xmlns:a16="http://schemas.microsoft.com/office/drawing/2014/main" id="{00000000-0008-0000-0100-0000B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56" name="Picture 10" descr=" ">
          <a:extLst>
            <a:ext uri="{FF2B5EF4-FFF2-40B4-BE49-F238E27FC236}">
              <a16:creationId xmlns:a16="http://schemas.microsoft.com/office/drawing/2014/main" id="{00000000-0008-0000-0100-0000B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57" name="Picture 11" descr=" ">
          <a:extLst>
            <a:ext uri="{FF2B5EF4-FFF2-40B4-BE49-F238E27FC236}">
              <a16:creationId xmlns:a16="http://schemas.microsoft.com/office/drawing/2014/main" id="{00000000-0008-0000-0100-0000B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58" name="Picture 12" descr=" ">
          <a:extLst>
            <a:ext uri="{FF2B5EF4-FFF2-40B4-BE49-F238E27FC236}">
              <a16:creationId xmlns:a16="http://schemas.microsoft.com/office/drawing/2014/main" id="{00000000-0008-0000-0100-0000B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59" name="Picture 7" descr=" ">
          <a:extLst>
            <a:ext uri="{FF2B5EF4-FFF2-40B4-BE49-F238E27FC236}">
              <a16:creationId xmlns:a16="http://schemas.microsoft.com/office/drawing/2014/main" id="{00000000-0008-0000-0100-0000B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60" name="Picture 8" descr=" ">
          <a:extLst>
            <a:ext uri="{FF2B5EF4-FFF2-40B4-BE49-F238E27FC236}">
              <a16:creationId xmlns:a16="http://schemas.microsoft.com/office/drawing/2014/main" id="{00000000-0008-0000-0100-0000B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61" name="Picture 9" descr=" ">
          <a:extLst>
            <a:ext uri="{FF2B5EF4-FFF2-40B4-BE49-F238E27FC236}">
              <a16:creationId xmlns:a16="http://schemas.microsoft.com/office/drawing/2014/main" id="{00000000-0008-0000-0100-0000B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62" name="Picture 10" descr=" ">
          <a:extLst>
            <a:ext uri="{FF2B5EF4-FFF2-40B4-BE49-F238E27FC236}">
              <a16:creationId xmlns:a16="http://schemas.microsoft.com/office/drawing/2014/main" id="{00000000-0008-0000-0100-0000B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63" name="Picture 11" descr=" ">
          <a:extLst>
            <a:ext uri="{FF2B5EF4-FFF2-40B4-BE49-F238E27FC236}">
              <a16:creationId xmlns:a16="http://schemas.microsoft.com/office/drawing/2014/main" id="{00000000-0008-0000-0100-0000B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64" name="Picture 12" descr=" ">
          <a:extLst>
            <a:ext uri="{FF2B5EF4-FFF2-40B4-BE49-F238E27FC236}">
              <a16:creationId xmlns:a16="http://schemas.microsoft.com/office/drawing/2014/main" id="{00000000-0008-0000-0100-0000B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65" name="Picture 7" descr=" ">
          <a:extLst>
            <a:ext uri="{FF2B5EF4-FFF2-40B4-BE49-F238E27FC236}">
              <a16:creationId xmlns:a16="http://schemas.microsoft.com/office/drawing/2014/main" id="{00000000-0008-0000-0100-0000B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66" name="Picture 8" descr=" ">
          <a:extLst>
            <a:ext uri="{FF2B5EF4-FFF2-40B4-BE49-F238E27FC236}">
              <a16:creationId xmlns:a16="http://schemas.microsoft.com/office/drawing/2014/main" id="{00000000-0008-0000-0100-0000B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67" name="Picture 9" descr=" ">
          <a:extLst>
            <a:ext uri="{FF2B5EF4-FFF2-40B4-BE49-F238E27FC236}">
              <a16:creationId xmlns:a16="http://schemas.microsoft.com/office/drawing/2014/main" id="{00000000-0008-0000-0100-0000B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68" name="Picture 10" descr=" ">
          <a:extLst>
            <a:ext uri="{FF2B5EF4-FFF2-40B4-BE49-F238E27FC236}">
              <a16:creationId xmlns:a16="http://schemas.microsoft.com/office/drawing/2014/main" id="{00000000-0008-0000-0100-0000C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69" name="Picture 11" descr=" ">
          <a:extLst>
            <a:ext uri="{FF2B5EF4-FFF2-40B4-BE49-F238E27FC236}">
              <a16:creationId xmlns:a16="http://schemas.microsoft.com/office/drawing/2014/main" id="{00000000-0008-0000-0100-0000C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70" name="Picture 12" descr=" ">
          <a:extLst>
            <a:ext uri="{FF2B5EF4-FFF2-40B4-BE49-F238E27FC236}">
              <a16:creationId xmlns:a16="http://schemas.microsoft.com/office/drawing/2014/main" id="{00000000-0008-0000-0100-0000C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71" name="Picture 7" descr=" ">
          <a:extLst>
            <a:ext uri="{FF2B5EF4-FFF2-40B4-BE49-F238E27FC236}">
              <a16:creationId xmlns:a16="http://schemas.microsoft.com/office/drawing/2014/main" id="{00000000-0008-0000-0100-0000C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72" name="Picture 8" descr=" ">
          <a:extLst>
            <a:ext uri="{FF2B5EF4-FFF2-40B4-BE49-F238E27FC236}">
              <a16:creationId xmlns:a16="http://schemas.microsoft.com/office/drawing/2014/main" id="{00000000-0008-0000-0100-0000C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73" name="Picture 9" descr=" ">
          <a:extLst>
            <a:ext uri="{FF2B5EF4-FFF2-40B4-BE49-F238E27FC236}">
              <a16:creationId xmlns:a16="http://schemas.microsoft.com/office/drawing/2014/main" id="{00000000-0008-0000-0100-0000C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74" name="Picture 10" descr=" ">
          <a:extLst>
            <a:ext uri="{FF2B5EF4-FFF2-40B4-BE49-F238E27FC236}">
              <a16:creationId xmlns:a16="http://schemas.microsoft.com/office/drawing/2014/main" id="{00000000-0008-0000-0100-0000C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75" name="Picture 11" descr=" ">
          <a:extLst>
            <a:ext uri="{FF2B5EF4-FFF2-40B4-BE49-F238E27FC236}">
              <a16:creationId xmlns:a16="http://schemas.microsoft.com/office/drawing/2014/main" id="{00000000-0008-0000-0100-0000C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76" name="Picture 12" descr=" ">
          <a:extLst>
            <a:ext uri="{FF2B5EF4-FFF2-40B4-BE49-F238E27FC236}">
              <a16:creationId xmlns:a16="http://schemas.microsoft.com/office/drawing/2014/main" id="{00000000-0008-0000-0100-0000C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77" name="Picture 7" descr=" ">
          <a:extLst>
            <a:ext uri="{FF2B5EF4-FFF2-40B4-BE49-F238E27FC236}">
              <a16:creationId xmlns:a16="http://schemas.microsoft.com/office/drawing/2014/main" id="{00000000-0008-0000-0100-0000C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78" name="Picture 8" descr=" ">
          <a:extLst>
            <a:ext uri="{FF2B5EF4-FFF2-40B4-BE49-F238E27FC236}">
              <a16:creationId xmlns:a16="http://schemas.microsoft.com/office/drawing/2014/main" id="{00000000-0008-0000-0100-0000C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79" name="Picture 9" descr=" ">
          <a:extLst>
            <a:ext uri="{FF2B5EF4-FFF2-40B4-BE49-F238E27FC236}">
              <a16:creationId xmlns:a16="http://schemas.microsoft.com/office/drawing/2014/main" id="{00000000-0008-0000-0100-0000C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80" name="Picture 10" descr=" ">
          <a:extLst>
            <a:ext uri="{FF2B5EF4-FFF2-40B4-BE49-F238E27FC236}">
              <a16:creationId xmlns:a16="http://schemas.microsoft.com/office/drawing/2014/main" id="{00000000-0008-0000-0100-0000C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81" name="Picture 11" descr=" ">
          <a:extLst>
            <a:ext uri="{FF2B5EF4-FFF2-40B4-BE49-F238E27FC236}">
              <a16:creationId xmlns:a16="http://schemas.microsoft.com/office/drawing/2014/main" id="{00000000-0008-0000-0100-0000C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82" name="Picture 12" descr=" ">
          <a:extLst>
            <a:ext uri="{FF2B5EF4-FFF2-40B4-BE49-F238E27FC236}">
              <a16:creationId xmlns:a16="http://schemas.microsoft.com/office/drawing/2014/main" id="{00000000-0008-0000-0100-0000C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83" name="Picture 7" descr=" ">
          <a:extLst>
            <a:ext uri="{FF2B5EF4-FFF2-40B4-BE49-F238E27FC236}">
              <a16:creationId xmlns:a16="http://schemas.microsoft.com/office/drawing/2014/main" id="{00000000-0008-0000-0100-0000C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84" name="Picture 8" descr=" ">
          <a:extLst>
            <a:ext uri="{FF2B5EF4-FFF2-40B4-BE49-F238E27FC236}">
              <a16:creationId xmlns:a16="http://schemas.microsoft.com/office/drawing/2014/main" id="{00000000-0008-0000-0100-0000D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85" name="Picture 9" descr=" ">
          <a:extLst>
            <a:ext uri="{FF2B5EF4-FFF2-40B4-BE49-F238E27FC236}">
              <a16:creationId xmlns:a16="http://schemas.microsoft.com/office/drawing/2014/main" id="{00000000-0008-0000-0100-0000D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86" name="Picture 10" descr=" ">
          <a:extLst>
            <a:ext uri="{FF2B5EF4-FFF2-40B4-BE49-F238E27FC236}">
              <a16:creationId xmlns:a16="http://schemas.microsoft.com/office/drawing/2014/main" id="{00000000-0008-0000-0100-0000D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87" name="Picture 11" descr=" ">
          <a:extLst>
            <a:ext uri="{FF2B5EF4-FFF2-40B4-BE49-F238E27FC236}">
              <a16:creationId xmlns:a16="http://schemas.microsoft.com/office/drawing/2014/main" id="{00000000-0008-0000-0100-0000D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88" name="Picture 12" descr=" ">
          <a:extLst>
            <a:ext uri="{FF2B5EF4-FFF2-40B4-BE49-F238E27FC236}">
              <a16:creationId xmlns:a16="http://schemas.microsoft.com/office/drawing/2014/main" id="{00000000-0008-0000-0100-0000D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89" name="Picture 7" descr=" ">
          <a:extLst>
            <a:ext uri="{FF2B5EF4-FFF2-40B4-BE49-F238E27FC236}">
              <a16:creationId xmlns:a16="http://schemas.microsoft.com/office/drawing/2014/main" id="{00000000-0008-0000-0100-0000D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90" name="Picture 8" descr=" ">
          <a:extLst>
            <a:ext uri="{FF2B5EF4-FFF2-40B4-BE49-F238E27FC236}">
              <a16:creationId xmlns:a16="http://schemas.microsoft.com/office/drawing/2014/main" id="{00000000-0008-0000-0100-0000D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91" name="Picture 9" descr=" ">
          <a:extLst>
            <a:ext uri="{FF2B5EF4-FFF2-40B4-BE49-F238E27FC236}">
              <a16:creationId xmlns:a16="http://schemas.microsoft.com/office/drawing/2014/main" id="{00000000-0008-0000-0100-0000D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92" name="Picture 10" descr=" ">
          <a:extLst>
            <a:ext uri="{FF2B5EF4-FFF2-40B4-BE49-F238E27FC236}">
              <a16:creationId xmlns:a16="http://schemas.microsoft.com/office/drawing/2014/main" id="{00000000-0008-0000-0100-0000D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93" name="Picture 11" descr=" ">
          <a:extLst>
            <a:ext uri="{FF2B5EF4-FFF2-40B4-BE49-F238E27FC236}">
              <a16:creationId xmlns:a16="http://schemas.microsoft.com/office/drawing/2014/main" id="{00000000-0008-0000-0100-0000D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94" name="Picture 12" descr=" ">
          <a:extLst>
            <a:ext uri="{FF2B5EF4-FFF2-40B4-BE49-F238E27FC236}">
              <a16:creationId xmlns:a16="http://schemas.microsoft.com/office/drawing/2014/main" id="{00000000-0008-0000-0100-0000D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95" name="Picture 7" descr=" ">
          <a:extLst>
            <a:ext uri="{FF2B5EF4-FFF2-40B4-BE49-F238E27FC236}">
              <a16:creationId xmlns:a16="http://schemas.microsoft.com/office/drawing/2014/main" id="{00000000-0008-0000-0100-0000D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96" name="Picture 8" descr=" ">
          <a:extLst>
            <a:ext uri="{FF2B5EF4-FFF2-40B4-BE49-F238E27FC236}">
              <a16:creationId xmlns:a16="http://schemas.microsoft.com/office/drawing/2014/main" id="{00000000-0008-0000-0100-0000D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97" name="Picture 9" descr=" ">
          <a:extLst>
            <a:ext uri="{FF2B5EF4-FFF2-40B4-BE49-F238E27FC236}">
              <a16:creationId xmlns:a16="http://schemas.microsoft.com/office/drawing/2014/main" id="{00000000-0008-0000-0100-0000D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98" name="Picture 10" descr=" ">
          <a:extLst>
            <a:ext uri="{FF2B5EF4-FFF2-40B4-BE49-F238E27FC236}">
              <a16:creationId xmlns:a16="http://schemas.microsoft.com/office/drawing/2014/main" id="{00000000-0008-0000-0100-0000D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1999" name="Picture 11" descr=" ">
          <a:extLst>
            <a:ext uri="{FF2B5EF4-FFF2-40B4-BE49-F238E27FC236}">
              <a16:creationId xmlns:a16="http://schemas.microsoft.com/office/drawing/2014/main" id="{00000000-0008-0000-0100-0000D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00" name="Picture 12" descr=" ">
          <a:extLst>
            <a:ext uri="{FF2B5EF4-FFF2-40B4-BE49-F238E27FC236}">
              <a16:creationId xmlns:a16="http://schemas.microsoft.com/office/drawing/2014/main" id="{00000000-0008-0000-0100-0000E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01" name="Picture 7" descr=" ">
          <a:extLst>
            <a:ext uri="{FF2B5EF4-FFF2-40B4-BE49-F238E27FC236}">
              <a16:creationId xmlns:a16="http://schemas.microsoft.com/office/drawing/2014/main" id="{00000000-0008-0000-0100-0000E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02" name="Picture 8" descr=" ">
          <a:extLst>
            <a:ext uri="{FF2B5EF4-FFF2-40B4-BE49-F238E27FC236}">
              <a16:creationId xmlns:a16="http://schemas.microsoft.com/office/drawing/2014/main" id="{00000000-0008-0000-0100-0000E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03" name="Picture 9" descr=" ">
          <a:extLst>
            <a:ext uri="{FF2B5EF4-FFF2-40B4-BE49-F238E27FC236}">
              <a16:creationId xmlns:a16="http://schemas.microsoft.com/office/drawing/2014/main" id="{00000000-0008-0000-0100-0000E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04" name="Picture 10" descr=" ">
          <a:extLst>
            <a:ext uri="{FF2B5EF4-FFF2-40B4-BE49-F238E27FC236}">
              <a16:creationId xmlns:a16="http://schemas.microsoft.com/office/drawing/2014/main" id="{00000000-0008-0000-0100-0000E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05" name="Picture 11" descr=" ">
          <a:extLst>
            <a:ext uri="{FF2B5EF4-FFF2-40B4-BE49-F238E27FC236}">
              <a16:creationId xmlns:a16="http://schemas.microsoft.com/office/drawing/2014/main" id="{00000000-0008-0000-0100-0000E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06" name="Picture 12" descr=" ">
          <a:extLst>
            <a:ext uri="{FF2B5EF4-FFF2-40B4-BE49-F238E27FC236}">
              <a16:creationId xmlns:a16="http://schemas.microsoft.com/office/drawing/2014/main" id="{00000000-0008-0000-0100-0000E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07" name="Picture 7" descr=" ">
          <a:extLst>
            <a:ext uri="{FF2B5EF4-FFF2-40B4-BE49-F238E27FC236}">
              <a16:creationId xmlns:a16="http://schemas.microsoft.com/office/drawing/2014/main" id="{00000000-0008-0000-0100-0000E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08" name="Picture 8" descr=" ">
          <a:extLst>
            <a:ext uri="{FF2B5EF4-FFF2-40B4-BE49-F238E27FC236}">
              <a16:creationId xmlns:a16="http://schemas.microsoft.com/office/drawing/2014/main" id="{00000000-0008-0000-0100-0000E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09" name="Picture 9" descr=" ">
          <a:extLst>
            <a:ext uri="{FF2B5EF4-FFF2-40B4-BE49-F238E27FC236}">
              <a16:creationId xmlns:a16="http://schemas.microsoft.com/office/drawing/2014/main" id="{00000000-0008-0000-0100-0000E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10" name="Picture 10" descr=" ">
          <a:extLst>
            <a:ext uri="{FF2B5EF4-FFF2-40B4-BE49-F238E27FC236}">
              <a16:creationId xmlns:a16="http://schemas.microsoft.com/office/drawing/2014/main" id="{00000000-0008-0000-0100-0000E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11" name="Picture 11" descr=" ">
          <a:extLst>
            <a:ext uri="{FF2B5EF4-FFF2-40B4-BE49-F238E27FC236}">
              <a16:creationId xmlns:a16="http://schemas.microsoft.com/office/drawing/2014/main" id="{00000000-0008-0000-0100-0000E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12" name="Picture 12" descr=" ">
          <a:extLst>
            <a:ext uri="{FF2B5EF4-FFF2-40B4-BE49-F238E27FC236}">
              <a16:creationId xmlns:a16="http://schemas.microsoft.com/office/drawing/2014/main" id="{00000000-0008-0000-0100-0000E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13" name="Picture 7" descr=" ">
          <a:extLst>
            <a:ext uri="{FF2B5EF4-FFF2-40B4-BE49-F238E27FC236}">
              <a16:creationId xmlns:a16="http://schemas.microsoft.com/office/drawing/2014/main" id="{00000000-0008-0000-0100-0000E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14" name="Picture 8" descr=" ">
          <a:extLst>
            <a:ext uri="{FF2B5EF4-FFF2-40B4-BE49-F238E27FC236}">
              <a16:creationId xmlns:a16="http://schemas.microsoft.com/office/drawing/2014/main" id="{00000000-0008-0000-0100-0000E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15" name="Picture 9" descr=" ">
          <a:extLst>
            <a:ext uri="{FF2B5EF4-FFF2-40B4-BE49-F238E27FC236}">
              <a16:creationId xmlns:a16="http://schemas.microsoft.com/office/drawing/2014/main" id="{00000000-0008-0000-0100-0000E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16" name="Picture 10" descr=" ">
          <a:extLst>
            <a:ext uri="{FF2B5EF4-FFF2-40B4-BE49-F238E27FC236}">
              <a16:creationId xmlns:a16="http://schemas.microsoft.com/office/drawing/2014/main" id="{00000000-0008-0000-0100-0000F0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17" name="Picture 11" descr=" ">
          <a:extLst>
            <a:ext uri="{FF2B5EF4-FFF2-40B4-BE49-F238E27FC236}">
              <a16:creationId xmlns:a16="http://schemas.microsoft.com/office/drawing/2014/main" id="{00000000-0008-0000-0100-0000F1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18" name="Picture 12" descr=" ">
          <a:extLst>
            <a:ext uri="{FF2B5EF4-FFF2-40B4-BE49-F238E27FC236}">
              <a16:creationId xmlns:a16="http://schemas.microsoft.com/office/drawing/2014/main" id="{00000000-0008-0000-0100-0000F2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19" name="Picture 7" descr=" ">
          <a:extLst>
            <a:ext uri="{FF2B5EF4-FFF2-40B4-BE49-F238E27FC236}">
              <a16:creationId xmlns:a16="http://schemas.microsoft.com/office/drawing/2014/main" id="{00000000-0008-0000-0100-0000F3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20" name="Picture 8" descr=" ">
          <a:extLst>
            <a:ext uri="{FF2B5EF4-FFF2-40B4-BE49-F238E27FC236}">
              <a16:creationId xmlns:a16="http://schemas.microsoft.com/office/drawing/2014/main" id="{00000000-0008-0000-0100-0000F4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21" name="Picture 9" descr=" ">
          <a:extLst>
            <a:ext uri="{FF2B5EF4-FFF2-40B4-BE49-F238E27FC236}">
              <a16:creationId xmlns:a16="http://schemas.microsoft.com/office/drawing/2014/main" id="{00000000-0008-0000-0100-0000F5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22" name="Picture 10" descr=" ">
          <a:extLst>
            <a:ext uri="{FF2B5EF4-FFF2-40B4-BE49-F238E27FC236}">
              <a16:creationId xmlns:a16="http://schemas.microsoft.com/office/drawing/2014/main" id="{00000000-0008-0000-0100-0000F6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23" name="Picture 11" descr=" ">
          <a:extLst>
            <a:ext uri="{FF2B5EF4-FFF2-40B4-BE49-F238E27FC236}">
              <a16:creationId xmlns:a16="http://schemas.microsoft.com/office/drawing/2014/main" id="{00000000-0008-0000-0100-0000F7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24" name="Picture 12" descr=" ">
          <a:extLst>
            <a:ext uri="{FF2B5EF4-FFF2-40B4-BE49-F238E27FC236}">
              <a16:creationId xmlns:a16="http://schemas.microsoft.com/office/drawing/2014/main" id="{00000000-0008-0000-0100-0000F8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25" name="Picture 7" descr=" ">
          <a:extLst>
            <a:ext uri="{FF2B5EF4-FFF2-40B4-BE49-F238E27FC236}">
              <a16:creationId xmlns:a16="http://schemas.microsoft.com/office/drawing/2014/main" id="{00000000-0008-0000-0100-0000F9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26" name="Picture 8" descr=" ">
          <a:extLst>
            <a:ext uri="{FF2B5EF4-FFF2-40B4-BE49-F238E27FC236}">
              <a16:creationId xmlns:a16="http://schemas.microsoft.com/office/drawing/2014/main" id="{00000000-0008-0000-0100-0000FA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27" name="Picture 9" descr=" ">
          <a:extLst>
            <a:ext uri="{FF2B5EF4-FFF2-40B4-BE49-F238E27FC236}">
              <a16:creationId xmlns:a16="http://schemas.microsoft.com/office/drawing/2014/main" id="{00000000-0008-0000-0100-0000FB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28" name="Picture 10" descr=" ">
          <a:extLst>
            <a:ext uri="{FF2B5EF4-FFF2-40B4-BE49-F238E27FC236}">
              <a16:creationId xmlns:a16="http://schemas.microsoft.com/office/drawing/2014/main" id="{00000000-0008-0000-0100-0000FC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29" name="Picture 11" descr=" ">
          <a:extLst>
            <a:ext uri="{FF2B5EF4-FFF2-40B4-BE49-F238E27FC236}">
              <a16:creationId xmlns:a16="http://schemas.microsoft.com/office/drawing/2014/main" id="{00000000-0008-0000-0100-0000FD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30" name="Picture 12" descr=" ">
          <a:extLst>
            <a:ext uri="{FF2B5EF4-FFF2-40B4-BE49-F238E27FC236}">
              <a16:creationId xmlns:a16="http://schemas.microsoft.com/office/drawing/2014/main" id="{00000000-0008-0000-0100-0000FE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31" name="Picture 7" descr=" ">
          <a:extLst>
            <a:ext uri="{FF2B5EF4-FFF2-40B4-BE49-F238E27FC236}">
              <a16:creationId xmlns:a16="http://schemas.microsoft.com/office/drawing/2014/main" id="{00000000-0008-0000-0100-0000FF2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32" name="Picture 8" descr=" ">
          <a:extLst>
            <a:ext uri="{FF2B5EF4-FFF2-40B4-BE49-F238E27FC236}">
              <a16:creationId xmlns:a16="http://schemas.microsoft.com/office/drawing/2014/main" id="{00000000-0008-0000-0100-00000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33" name="Picture 9" descr=" ">
          <a:extLst>
            <a:ext uri="{FF2B5EF4-FFF2-40B4-BE49-F238E27FC236}">
              <a16:creationId xmlns:a16="http://schemas.microsoft.com/office/drawing/2014/main" id="{00000000-0008-0000-0100-00000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34" name="Picture 10" descr=" ">
          <a:extLst>
            <a:ext uri="{FF2B5EF4-FFF2-40B4-BE49-F238E27FC236}">
              <a16:creationId xmlns:a16="http://schemas.microsoft.com/office/drawing/2014/main" id="{00000000-0008-0000-0100-00000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35" name="Picture 11" descr=" ">
          <a:extLst>
            <a:ext uri="{FF2B5EF4-FFF2-40B4-BE49-F238E27FC236}">
              <a16:creationId xmlns:a16="http://schemas.microsoft.com/office/drawing/2014/main" id="{00000000-0008-0000-0100-00000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36" name="Picture 12" descr=" ">
          <a:extLst>
            <a:ext uri="{FF2B5EF4-FFF2-40B4-BE49-F238E27FC236}">
              <a16:creationId xmlns:a16="http://schemas.microsoft.com/office/drawing/2014/main" id="{00000000-0008-0000-0100-00000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37" name="Picture 7" descr=" ">
          <a:extLst>
            <a:ext uri="{FF2B5EF4-FFF2-40B4-BE49-F238E27FC236}">
              <a16:creationId xmlns:a16="http://schemas.microsoft.com/office/drawing/2014/main" id="{00000000-0008-0000-0100-00000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38" name="Picture 8" descr=" ">
          <a:extLst>
            <a:ext uri="{FF2B5EF4-FFF2-40B4-BE49-F238E27FC236}">
              <a16:creationId xmlns:a16="http://schemas.microsoft.com/office/drawing/2014/main" id="{00000000-0008-0000-0100-00000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39" name="Picture 9" descr=" ">
          <a:extLst>
            <a:ext uri="{FF2B5EF4-FFF2-40B4-BE49-F238E27FC236}">
              <a16:creationId xmlns:a16="http://schemas.microsoft.com/office/drawing/2014/main" id="{00000000-0008-0000-0100-00000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40" name="Picture 10" descr=" ">
          <a:extLst>
            <a:ext uri="{FF2B5EF4-FFF2-40B4-BE49-F238E27FC236}">
              <a16:creationId xmlns:a16="http://schemas.microsoft.com/office/drawing/2014/main" id="{00000000-0008-0000-0100-00000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41" name="Picture 11" descr=" ">
          <a:extLst>
            <a:ext uri="{FF2B5EF4-FFF2-40B4-BE49-F238E27FC236}">
              <a16:creationId xmlns:a16="http://schemas.microsoft.com/office/drawing/2014/main" id="{00000000-0008-0000-0100-00000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42" name="Picture 12" descr=" ">
          <a:extLst>
            <a:ext uri="{FF2B5EF4-FFF2-40B4-BE49-F238E27FC236}">
              <a16:creationId xmlns:a16="http://schemas.microsoft.com/office/drawing/2014/main" id="{00000000-0008-0000-0100-00000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43" name="Picture 7" descr=" ">
          <a:extLst>
            <a:ext uri="{FF2B5EF4-FFF2-40B4-BE49-F238E27FC236}">
              <a16:creationId xmlns:a16="http://schemas.microsoft.com/office/drawing/2014/main" id="{00000000-0008-0000-0100-00000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44" name="Picture 8" descr=" ">
          <a:extLst>
            <a:ext uri="{FF2B5EF4-FFF2-40B4-BE49-F238E27FC236}">
              <a16:creationId xmlns:a16="http://schemas.microsoft.com/office/drawing/2014/main" id="{00000000-0008-0000-0100-00000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45" name="Picture 9" descr=" ">
          <a:extLst>
            <a:ext uri="{FF2B5EF4-FFF2-40B4-BE49-F238E27FC236}">
              <a16:creationId xmlns:a16="http://schemas.microsoft.com/office/drawing/2014/main" id="{00000000-0008-0000-0100-00000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46" name="Picture 10" descr=" ">
          <a:extLst>
            <a:ext uri="{FF2B5EF4-FFF2-40B4-BE49-F238E27FC236}">
              <a16:creationId xmlns:a16="http://schemas.microsoft.com/office/drawing/2014/main" id="{00000000-0008-0000-0100-00000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47" name="Picture 11" descr=" ">
          <a:extLst>
            <a:ext uri="{FF2B5EF4-FFF2-40B4-BE49-F238E27FC236}">
              <a16:creationId xmlns:a16="http://schemas.microsoft.com/office/drawing/2014/main" id="{00000000-0008-0000-0100-00000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48" name="Picture 12" descr=" ">
          <a:extLst>
            <a:ext uri="{FF2B5EF4-FFF2-40B4-BE49-F238E27FC236}">
              <a16:creationId xmlns:a16="http://schemas.microsoft.com/office/drawing/2014/main" id="{00000000-0008-0000-0100-00001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49" name="Picture 7" descr=" ">
          <a:extLst>
            <a:ext uri="{FF2B5EF4-FFF2-40B4-BE49-F238E27FC236}">
              <a16:creationId xmlns:a16="http://schemas.microsoft.com/office/drawing/2014/main" id="{00000000-0008-0000-0100-00001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50" name="Picture 8" descr=" ">
          <a:extLst>
            <a:ext uri="{FF2B5EF4-FFF2-40B4-BE49-F238E27FC236}">
              <a16:creationId xmlns:a16="http://schemas.microsoft.com/office/drawing/2014/main" id="{00000000-0008-0000-0100-00001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51" name="Picture 9" descr=" ">
          <a:extLst>
            <a:ext uri="{FF2B5EF4-FFF2-40B4-BE49-F238E27FC236}">
              <a16:creationId xmlns:a16="http://schemas.microsoft.com/office/drawing/2014/main" id="{00000000-0008-0000-0100-00001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52" name="Picture 10" descr=" ">
          <a:extLst>
            <a:ext uri="{FF2B5EF4-FFF2-40B4-BE49-F238E27FC236}">
              <a16:creationId xmlns:a16="http://schemas.microsoft.com/office/drawing/2014/main" id="{00000000-0008-0000-0100-00001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53" name="Picture 11" descr=" ">
          <a:extLst>
            <a:ext uri="{FF2B5EF4-FFF2-40B4-BE49-F238E27FC236}">
              <a16:creationId xmlns:a16="http://schemas.microsoft.com/office/drawing/2014/main" id="{00000000-0008-0000-0100-00001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54" name="Picture 12" descr=" ">
          <a:extLst>
            <a:ext uri="{FF2B5EF4-FFF2-40B4-BE49-F238E27FC236}">
              <a16:creationId xmlns:a16="http://schemas.microsoft.com/office/drawing/2014/main" id="{00000000-0008-0000-0100-00001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55" name="Picture 7" descr=" ">
          <a:extLst>
            <a:ext uri="{FF2B5EF4-FFF2-40B4-BE49-F238E27FC236}">
              <a16:creationId xmlns:a16="http://schemas.microsoft.com/office/drawing/2014/main" id="{00000000-0008-0000-0100-00001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56" name="Picture 8" descr=" ">
          <a:extLst>
            <a:ext uri="{FF2B5EF4-FFF2-40B4-BE49-F238E27FC236}">
              <a16:creationId xmlns:a16="http://schemas.microsoft.com/office/drawing/2014/main" id="{00000000-0008-0000-0100-00001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57" name="Picture 9" descr=" ">
          <a:extLst>
            <a:ext uri="{FF2B5EF4-FFF2-40B4-BE49-F238E27FC236}">
              <a16:creationId xmlns:a16="http://schemas.microsoft.com/office/drawing/2014/main" id="{00000000-0008-0000-0100-00001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58" name="Picture 10" descr=" ">
          <a:extLst>
            <a:ext uri="{FF2B5EF4-FFF2-40B4-BE49-F238E27FC236}">
              <a16:creationId xmlns:a16="http://schemas.microsoft.com/office/drawing/2014/main" id="{00000000-0008-0000-0100-00001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59" name="Picture 11" descr=" ">
          <a:extLst>
            <a:ext uri="{FF2B5EF4-FFF2-40B4-BE49-F238E27FC236}">
              <a16:creationId xmlns:a16="http://schemas.microsoft.com/office/drawing/2014/main" id="{00000000-0008-0000-0100-00001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60" name="Picture 12" descr=" ">
          <a:extLst>
            <a:ext uri="{FF2B5EF4-FFF2-40B4-BE49-F238E27FC236}">
              <a16:creationId xmlns:a16="http://schemas.microsoft.com/office/drawing/2014/main" id="{00000000-0008-0000-0100-00001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61" name="Picture 7" descr=" ">
          <a:extLst>
            <a:ext uri="{FF2B5EF4-FFF2-40B4-BE49-F238E27FC236}">
              <a16:creationId xmlns:a16="http://schemas.microsoft.com/office/drawing/2014/main" id="{00000000-0008-0000-0100-00001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62" name="Picture 8" descr=" ">
          <a:extLst>
            <a:ext uri="{FF2B5EF4-FFF2-40B4-BE49-F238E27FC236}">
              <a16:creationId xmlns:a16="http://schemas.microsoft.com/office/drawing/2014/main" id="{00000000-0008-0000-0100-00001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63" name="Picture 9" descr=" ">
          <a:extLst>
            <a:ext uri="{FF2B5EF4-FFF2-40B4-BE49-F238E27FC236}">
              <a16:creationId xmlns:a16="http://schemas.microsoft.com/office/drawing/2014/main" id="{00000000-0008-0000-0100-00001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64" name="Picture 10" descr=" ">
          <a:extLst>
            <a:ext uri="{FF2B5EF4-FFF2-40B4-BE49-F238E27FC236}">
              <a16:creationId xmlns:a16="http://schemas.microsoft.com/office/drawing/2014/main" id="{00000000-0008-0000-0100-00002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65" name="Picture 11" descr=" ">
          <a:extLst>
            <a:ext uri="{FF2B5EF4-FFF2-40B4-BE49-F238E27FC236}">
              <a16:creationId xmlns:a16="http://schemas.microsoft.com/office/drawing/2014/main" id="{00000000-0008-0000-0100-00002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66" name="Picture 12" descr=" ">
          <a:extLst>
            <a:ext uri="{FF2B5EF4-FFF2-40B4-BE49-F238E27FC236}">
              <a16:creationId xmlns:a16="http://schemas.microsoft.com/office/drawing/2014/main" id="{00000000-0008-0000-0100-00002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67" name="Picture 7" descr=" ">
          <a:extLst>
            <a:ext uri="{FF2B5EF4-FFF2-40B4-BE49-F238E27FC236}">
              <a16:creationId xmlns:a16="http://schemas.microsoft.com/office/drawing/2014/main" id="{00000000-0008-0000-0100-00002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68" name="Picture 8" descr=" ">
          <a:extLst>
            <a:ext uri="{FF2B5EF4-FFF2-40B4-BE49-F238E27FC236}">
              <a16:creationId xmlns:a16="http://schemas.microsoft.com/office/drawing/2014/main" id="{00000000-0008-0000-0100-00002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69" name="Picture 9" descr=" ">
          <a:extLst>
            <a:ext uri="{FF2B5EF4-FFF2-40B4-BE49-F238E27FC236}">
              <a16:creationId xmlns:a16="http://schemas.microsoft.com/office/drawing/2014/main" id="{00000000-0008-0000-0100-00002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70" name="Picture 10" descr=" ">
          <a:extLst>
            <a:ext uri="{FF2B5EF4-FFF2-40B4-BE49-F238E27FC236}">
              <a16:creationId xmlns:a16="http://schemas.microsoft.com/office/drawing/2014/main" id="{00000000-0008-0000-0100-00002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71" name="Picture 11" descr=" ">
          <a:extLst>
            <a:ext uri="{FF2B5EF4-FFF2-40B4-BE49-F238E27FC236}">
              <a16:creationId xmlns:a16="http://schemas.microsoft.com/office/drawing/2014/main" id="{00000000-0008-0000-0100-00002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72" name="Picture 12" descr=" ">
          <a:extLst>
            <a:ext uri="{FF2B5EF4-FFF2-40B4-BE49-F238E27FC236}">
              <a16:creationId xmlns:a16="http://schemas.microsoft.com/office/drawing/2014/main" id="{00000000-0008-0000-0100-00002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73" name="Picture 7" descr=" ">
          <a:extLst>
            <a:ext uri="{FF2B5EF4-FFF2-40B4-BE49-F238E27FC236}">
              <a16:creationId xmlns:a16="http://schemas.microsoft.com/office/drawing/2014/main" id="{00000000-0008-0000-0100-00002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74" name="Picture 8" descr=" ">
          <a:extLst>
            <a:ext uri="{FF2B5EF4-FFF2-40B4-BE49-F238E27FC236}">
              <a16:creationId xmlns:a16="http://schemas.microsoft.com/office/drawing/2014/main" id="{00000000-0008-0000-0100-00002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75" name="Picture 9" descr=" ">
          <a:extLst>
            <a:ext uri="{FF2B5EF4-FFF2-40B4-BE49-F238E27FC236}">
              <a16:creationId xmlns:a16="http://schemas.microsoft.com/office/drawing/2014/main" id="{00000000-0008-0000-0100-00002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76" name="Picture 10" descr=" ">
          <a:extLst>
            <a:ext uri="{FF2B5EF4-FFF2-40B4-BE49-F238E27FC236}">
              <a16:creationId xmlns:a16="http://schemas.microsoft.com/office/drawing/2014/main" id="{00000000-0008-0000-0100-00002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77" name="Picture 11" descr=" ">
          <a:extLst>
            <a:ext uri="{FF2B5EF4-FFF2-40B4-BE49-F238E27FC236}">
              <a16:creationId xmlns:a16="http://schemas.microsoft.com/office/drawing/2014/main" id="{00000000-0008-0000-0100-00002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78" name="Picture 12" descr=" ">
          <a:extLst>
            <a:ext uri="{FF2B5EF4-FFF2-40B4-BE49-F238E27FC236}">
              <a16:creationId xmlns:a16="http://schemas.microsoft.com/office/drawing/2014/main" id="{00000000-0008-0000-0100-00002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79" name="Picture 7" descr=" ">
          <a:extLst>
            <a:ext uri="{FF2B5EF4-FFF2-40B4-BE49-F238E27FC236}">
              <a16:creationId xmlns:a16="http://schemas.microsoft.com/office/drawing/2014/main" id="{00000000-0008-0000-0100-00002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80" name="Picture 8" descr=" ">
          <a:extLst>
            <a:ext uri="{FF2B5EF4-FFF2-40B4-BE49-F238E27FC236}">
              <a16:creationId xmlns:a16="http://schemas.microsoft.com/office/drawing/2014/main" id="{00000000-0008-0000-0100-00003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81" name="Picture 9" descr=" ">
          <a:extLst>
            <a:ext uri="{FF2B5EF4-FFF2-40B4-BE49-F238E27FC236}">
              <a16:creationId xmlns:a16="http://schemas.microsoft.com/office/drawing/2014/main" id="{00000000-0008-0000-0100-00003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82" name="Picture 10" descr=" ">
          <a:extLst>
            <a:ext uri="{FF2B5EF4-FFF2-40B4-BE49-F238E27FC236}">
              <a16:creationId xmlns:a16="http://schemas.microsoft.com/office/drawing/2014/main" id="{00000000-0008-0000-0100-00003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83" name="Picture 11" descr=" ">
          <a:extLst>
            <a:ext uri="{FF2B5EF4-FFF2-40B4-BE49-F238E27FC236}">
              <a16:creationId xmlns:a16="http://schemas.microsoft.com/office/drawing/2014/main" id="{00000000-0008-0000-0100-00003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84" name="Picture 12" descr=" ">
          <a:extLst>
            <a:ext uri="{FF2B5EF4-FFF2-40B4-BE49-F238E27FC236}">
              <a16:creationId xmlns:a16="http://schemas.microsoft.com/office/drawing/2014/main" id="{00000000-0008-0000-0100-00003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85" name="Picture 7" descr=" ">
          <a:extLst>
            <a:ext uri="{FF2B5EF4-FFF2-40B4-BE49-F238E27FC236}">
              <a16:creationId xmlns:a16="http://schemas.microsoft.com/office/drawing/2014/main" id="{00000000-0008-0000-0100-00003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86" name="Picture 8" descr=" ">
          <a:extLst>
            <a:ext uri="{FF2B5EF4-FFF2-40B4-BE49-F238E27FC236}">
              <a16:creationId xmlns:a16="http://schemas.microsoft.com/office/drawing/2014/main" id="{00000000-0008-0000-0100-00003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87" name="Picture 9" descr=" ">
          <a:extLst>
            <a:ext uri="{FF2B5EF4-FFF2-40B4-BE49-F238E27FC236}">
              <a16:creationId xmlns:a16="http://schemas.microsoft.com/office/drawing/2014/main" id="{00000000-0008-0000-0100-00003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88" name="Picture 10" descr=" ">
          <a:extLst>
            <a:ext uri="{FF2B5EF4-FFF2-40B4-BE49-F238E27FC236}">
              <a16:creationId xmlns:a16="http://schemas.microsoft.com/office/drawing/2014/main" id="{00000000-0008-0000-0100-00003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89" name="Picture 11" descr=" ">
          <a:extLst>
            <a:ext uri="{FF2B5EF4-FFF2-40B4-BE49-F238E27FC236}">
              <a16:creationId xmlns:a16="http://schemas.microsoft.com/office/drawing/2014/main" id="{00000000-0008-0000-0100-00003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90" name="Picture 12" descr=" ">
          <a:extLst>
            <a:ext uri="{FF2B5EF4-FFF2-40B4-BE49-F238E27FC236}">
              <a16:creationId xmlns:a16="http://schemas.microsoft.com/office/drawing/2014/main" id="{00000000-0008-0000-0100-00003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91" name="Picture 7" descr=" ">
          <a:extLst>
            <a:ext uri="{FF2B5EF4-FFF2-40B4-BE49-F238E27FC236}">
              <a16:creationId xmlns:a16="http://schemas.microsoft.com/office/drawing/2014/main" id="{00000000-0008-0000-0100-00003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92" name="Picture 8" descr=" ">
          <a:extLst>
            <a:ext uri="{FF2B5EF4-FFF2-40B4-BE49-F238E27FC236}">
              <a16:creationId xmlns:a16="http://schemas.microsoft.com/office/drawing/2014/main" id="{00000000-0008-0000-0100-00003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93" name="Picture 9" descr=" ">
          <a:extLst>
            <a:ext uri="{FF2B5EF4-FFF2-40B4-BE49-F238E27FC236}">
              <a16:creationId xmlns:a16="http://schemas.microsoft.com/office/drawing/2014/main" id="{00000000-0008-0000-0100-00003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94" name="Picture 10" descr=" ">
          <a:extLst>
            <a:ext uri="{FF2B5EF4-FFF2-40B4-BE49-F238E27FC236}">
              <a16:creationId xmlns:a16="http://schemas.microsoft.com/office/drawing/2014/main" id="{00000000-0008-0000-0100-00003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95" name="Picture 11" descr=" ">
          <a:extLst>
            <a:ext uri="{FF2B5EF4-FFF2-40B4-BE49-F238E27FC236}">
              <a16:creationId xmlns:a16="http://schemas.microsoft.com/office/drawing/2014/main" id="{00000000-0008-0000-0100-00003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96" name="Picture 12" descr=" ">
          <a:extLst>
            <a:ext uri="{FF2B5EF4-FFF2-40B4-BE49-F238E27FC236}">
              <a16:creationId xmlns:a16="http://schemas.microsoft.com/office/drawing/2014/main" id="{00000000-0008-0000-0100-00004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97" name="Picture 7" descr=" ">
          <a:extLst>
            <a:ext uri="{FF2B5EF4-FFF2-40B4-BE49-F238E27FC236}">
              <a16:creationId xmlns:a16="http://schemas.microsoft.com/office/drawing/2014/main" id="{00000000-0008-0000-0100-00004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98" name="Picture 8" descr=" ">
          <a:extLst>
            <a:ext uri="{FF2B5EF4-FFF2-40B4-BE49-F238E27FC236}">
              <a16:creationId xmlns:a16="http://schemas.microsoft.com/office/drawing/2014/main" id="{00000000-0008-0000-0100-00004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099" name="Picture 9" descr=" ">
          <a:extLst>
            <a:ext uri="{FF2B5EF4-FFF2-40B4-BE49-F238E27FC236}">
              <a16:creationId xmlns:a16="http://schemas.microsoft.com/office/drawing/2014/main" id="{00000000-0008-0000-0100-00004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00" name="Picture 10" descr=" ">
          <a:extLst>
            <a:ext uri="{FF2B5EF4-FFF2-40B4-BE49-F238E27FC236}">
              <a16:creationId xmlns:a16="http://schemas.microsoft.com/office/drawing/2014/main" id="{00000000-0008-0000-0100-00004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01" name="Picture 11" descr=" ">
          <a:extLst>
            <a:ext uri="{FF2B5EF4-FFF2-40B4-BE49-F238E27FC236}">
              <a16:creationId xmlns:a16="http://schemas.microsoft.com/office/drawing/2014/main" id="{00000000-0008-0000-0100-00004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02" name="Picture 12" descr=" ">
          <a:extLst>
            <a:ext uri="{FF2B5EF4-FFF2-40B4-BE49-F238E27FC236}">
              <a16:creationId xmlns:a16="http://schemas.microsoft.com/office/drawing/2014/main" id="{00000000-0008-0000-0100-00004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03" name="Picture 7" descr=" ">
          <a:extLst>
            <a:ext uri="{FF2B5EF4-FFF2-40B4-BE49-F238E27FC236}">
              <a16:creationId xmlns:a16="http://schemas.microsoft.com/office/drawing/2014/main" id="{00000000-0008-0000-0100-00004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04" name="Picture 8" descr=" ">
          <a:extLst>
            <a:ext uri="{FF2B5EF4-FFF2-40B4-BE49-F238E27FC236}">
              <a16:creationId xmlns:a16="http://schemas.microsoft.com/office/drawing/2014/main" id="{00000000-0008-0000-0100-00004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05" name="Picture 9" descr=" ">
          <a:extLst>
            <a:ext uri="{FF2B5EF4-FFF2-40B4-BE49-F238E27FC236}">
              <a16:creationId xmlns:a16="http://schemas.microsoft.com/office/drawing/2014/main" id="{00000000-0008-0000-0100-00004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06" name="Picture 10" descr=" ">
          <a:extLst>
            <a:ext uri="{FF2B5EF4-FFF2-40B4-BE49-F238E27FC236}">
              <a16:creationId xmlns:a16="http://schemas.microsoft.com/office/drawing/2014/main" id="{00000000-0008-0000-0100-00004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07" name="Picture 11" descr=" ">
          <a:extLst>
            <a:ext uri="{FF2B5EF4-FFF2-40B4-BE49-F238E27FC236}">
              <a16:creationId xmlns:a16="http://schemas.microsoft.com/office/drawing/2014/main" id="{00000000-0008-0000-0100-00004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08" name="Picture 12" descr=" ">
          <a:extLst>
            <a:ext uri="{FF2B5EF4-FFF2-40B4-BE49-F238E27FC236}">
              <a16:creationId xmlns:a16="http://schemas.microsoft.com/office/drawing/2014/main" id="{00000000-0008-0000-0100-00004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09" name="Picture 7" descr=" ">
          <a:extLst>
            <a:ext uri="{FF2B5EF4-FFF2-40B4-BE49-F238E27FC236}">
              <a16:creationId xmlns:a16="http://schemas.microsoft.com/office/drawing/2014/main" id="{00000000-0008-0000-0100-00004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10" name="Picture 8" descr=" ">
          <a:extLst>
            <a:ext uri="{FF2B5EF4-FFF2-40B4-BE49-F238E27FC236}">
              <a16:creationId xmlns:a16="http://schemas.microsoft.com/office/drawing/2014/main" id="{00000000-0008-0000-0100-00004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11" name="Picture 9" descr=" ">
          <a:extLst>
            <a:ext uri="{FF2B5EF4-FFF2-40B4-BE49-F238E27FC236}">
              <a16:creationId xmlns:a16="http://schemas.microsoft.com/office/drawing/2014/main" id="{00000000-0008-0000-0100-00004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12" name="Picture 10" descr=" ">
          <a:extLst>
            <a:ext uri="{FF2B5EF4-FFF2-40B4-BE49-F238E27FC236}">
              <a16:creationId xmlns:a16="http://schemas.microsoft.com/office/drawing/2014/main" id="{00000000-0008-0000-0100-00005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13" name="Picture 11" descr=" ">
          <a:extLst>
            <a:ext uri="{FF2B5EF4-FFF2-40B4-BE49-F238E27FC236}">
              <a16:creationId xmlns:a16="http://schemas.microsoft.com/office/drawing/2014/main" id="{00000000-0008-0000-0100-00005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14" name="Picture 12" descr=" ">
          <a:extLst>
            <a:ext uri="{FF2B5EF4-FFF2-40B4-BE49-F238E27FC236}">
              <a16:creationId xmlns:a16="http://schemas.microsoft.com/office/drawing/2014/main" id="{00000000-0008-0000-0100-00005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15" name="Picture 7" descr=" ">
          <a:extLst>
            <a:ext uri="{FF2B5EF4-FFF2-40B4-BE49-F238E27FC236}">
              <a16:creationId xmlns:a16="http://schemas.microsoft.com/office/drawing/2014/main" id="{00000000-0008-0000-0100-00005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16" name="Picture 8" descr=" ">
          <a:extLst>
            <a:ext uri="{FF2B5EF4-FFF2-40B4-BE49-F238E27FC236}">
              <a16:creationId xmlns:a16="http://schemas.microsoft.com/office/drawing/2014/main" id="{00000000-0008-0000-0100-00005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17" name="Picture 9" descr=" ">
          <a:extLst>
            <a:ext uri="{FF2B5EF4-FFF2-40B4-BE49-F238E27FC236}">
              <a16:creationId xmlns:a16="http://schemas.microsoft.com/office/drawing/2014/main" id="{00000000-0008-0000-0100-00005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18" name="Picture 10" descr=" ">
          <a:extLst>
            <a:ext uri="{FF2B5EF4-FFF2-40B4-BE49-F238E27FC236}">
              <a16:creationId xmlns:a16="http://schemas.microsoft.com/office/drawing/2014/main" id="{00000000-0008-0000-0100-00005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19" name="Picture 11" descr=" ">
          <a:extLst>
            <a:ext uri="{FF2B5EF4-FFF2-40B4-BE49-F238E27FC236}">
              <a16:creationId xmlns:a16="http://schemas.microsoft.com/office/drawing/2014/main" id="{00000000-0008-0000-0100-00005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20" name="Picture 12" descr=" ">
          <a:extLst>
            <a:ext uri="{FF2B5EF4-FFF2-40B4-BE49-F238E27FC236}">
              <a16:creationId xmlns:a16="http://schemas.microsoft.com/office/drawing/2014/main" id="{00000000-0008-0000-0100-00005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21" name="Picture 7" descr=" ">
          <a:extLst>
            <a:ext uri="{FF2B5EF4-FFF2-40B4-BE49-F238E27FC236}">
              <a16:creationId xmlns:a16="http://schemas.microsoft.com/office/drawing/2014/main" id="{00000000-0008-0000-0100-00005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22" name="Picture 8" descr=" ">
          <a:extLst>
            <a:ext uri="{FF2B5EF4-FFF2-40B4-BE49-F238E27FC236}">
              <a16:creationId xmlns:a16="http://schemas.microsoft.com/office/drawing/2014/main" id="{00000000-0008-0000-0100-00005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23" name="Picture 9" descr=" ">
          <a:extLst>
            <a:ext uri="{FF2B5EF4-FFF2-40B4-BE49-F238E27FC236}">
              <a16:creationId xmlns:a16="http://schemas.microsoft.com/office/drawing/2014/main" id="{00000000-0008-0000-0100-00005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24" name="Picture 10" descr=" ">
          <a:extLst>
            <a:ext uri="{FF2B5EF4-FFF2-40B4-BE49-F238E27FC236}">
              <a16:creationId xmlns:a16="http://schemas.microsoft.com/office/drawing/2014/main" id="{00000000-0008-0000-0100-00005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25" name="Picture 11" descr=" ">
          <a:extLst>
            <a:ext uri="{FF2B5EF4-FFF2-40B4-BE49-F238E27FC236}">
              <a16:creationId xmlns:a16="http://schemas.microsoft.com/office/drawing/2014/main" id="{00000000-0008-0000-0100-00005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26" name="Picture 12" descr=" ">
          <a:extLst>
            <a:ext uri="{FF2B5EF4-FFF2-40B4-BE49-F238E27FC236}">
              <a16:creationId xmlns:a16="http://schemas.microsoft.com/office/drawing/2014/main" id="{00000000-0008-0000-0100-00005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27" name="Picture 7" descr=" ">
          <a:extLst>
            <a:ext uri="{FF2B5EF4-FFF2-40B4-BE49-F238E27FC236}">
              <a16:creationId xmlns:a16="http://schemas.microsoft.com/office/drawing/2014/main" id="{00000000-0008-0000-0100-00005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28" name="Picture 8" descr=" ">
          <a:extLst>
            <a:ext uri="{FF2B5EF4-FFF2-40B4-BE49-F238E27FC236}">
              <a16:creationId xmlns:a16="http://schemas.microsoft.com/office/drawing/2014/main" id="{00000000-0008-0000-0100-00006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29" name="Picture 9" descr=" ">
          <a:extLst>
            <a:ext uri="{FF2B5EF4-FFF2-40B4-BE49-F238E27FC236}">
              <a16:creationId xmlns:a16="http://schemas.microsoft.com/office/drawing/2014/main" id="{00000000-0008-0000-0100-00006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30" name="Picture 10" descr=" ">
          <a:extLst>
            <a:ext uri="{FF2B5EF4-FFF2-40B4-BE49-F238E27FC236}">
              <a16:creationId xmlns:a16="http://schemas.microsoft.com/office/drawing/2014/main" id="{00000000-0008-0000-0100-00006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31" name="Picture 11" descr=" ">
          <a:extLst>
            <a:ext uri="{FF2B5EF4-FFF2-40B4-BE49-F238E27FC236}">
              <a16:creationId xmlns:a16="http://schemas.microsoft.com/office/drawing/2014/main" id="{00000000-0008-0000-0100-00006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32" name="Picture 12" descr=" ">
          <a:extLst>
            <a:ext uri="{FF2B5EF4-FFF2-40B4-BE49-F238E27FC236}">
              <a16:creationId xmlns:a16="http://schemas.microsoft.com/office/drawing/2014/main" id="{00000000-0008-0000-0100-00006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33" name="Picture 7" descr=" ">
          <a:extLst>
            <a:ext uri="{FF2B5EF4-FFF2-40B4-BE49-F238E27FC236}">
              <a16:creationId xmlns:a16="http://schemas.microsoft.com/office/drawing/2014/main" id="{00000000-0008-0000-0100-00006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34" name="Picture 8" descr=" ">
          <a:extLst>
            <a:ext uri="{FF2B5EF4-FFF2-40B4-BE49-F238E27FC236}">
              <a16:creationId xmlns:a16="http://schemas.microsoft.com/office/drawing/2014/main" id="{00000000-0008-0000-0100-00006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35" name="Picture 9" descr=" ">
          <a:extLst>
            <a:ext uri="{FF2B5EF4-FFF2-40B4-BE49-F238E27FC236}">
              <a16:creationId xmlns:a16="http://schemas.microsoft.com/office/drawing/2014/main" id="{00000000-0008-0000-0100-00006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36" name="Picture 10" descr=" ">
          <a:extLst>
            <a:ext uri="{FF2B5EF4-FFF2-40B4-BE49-F238E27FC236}">
              <a16:creationId xmlns:a16="http://schemas.microsoft.com/office/drawing/2014/main" id="{00000000-0008-0000-0100-00006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37" name="Picture 11" descr=" ">
          <a:extLst>
            <a:ext uri="{FF2B5EF4-FFF2-40B4-BE49-F238E27FC236}">
              <a16:creationId xmlns:a16="http://schemas.microsoft.com/office/drawing/2014/main" id="{00000000-0008-0000-0100-00006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38" name="Picture 12" descr=" ">
          <a:extLst>
            <a:ext uri="{FF2B5EF4-FFF2-40B4-BE49-F238E27FC236}">
              <a16:creationId xmlns:a16="http://schemas.microsoft.com/office/drawing/2014/main" id="{00000000-0008-0000-0100-00006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39" name="Picture 7" descr=" ">
          <a:extLst>
            <a:ext uri="{FF2B5EF4-FFF2-40B4-BE49-F238E27FC236}">
              <a16:creationId xmlns:a16="http://schemas.microsoft.com/office/drawing/2014/main" id="{00000000-0008-0000-0100-00006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40" name="Picture 8" descr=" ">
          <a:extLst>
            <a:ext uri="{FF2B5EF4-FFF2-40B4-BE49-F238E27FC236}">
              <a16:creationId xmlns:a16="http://schemas.microsoft.com/office/drawing/2014/main" id="{00000000-0008-0000-0100-00006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41" name="Picture 9" descr=" ">
          <a:extLst>
            <a:ext uri="{FF2B5EF4-FFF2-40B4-BE49-F238E27FC236}">
              <a16:creationId xmlns:a16="http://schemas.microsoft.com/office/drawing/2014/main" id="{00000000-0008-0000-0100-00006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42" name="Picture 10" descr=" ">
          <a:extLst>
            <a:ext uri="{FF2B5EF4-FFF2-40B4-BE49-F238E27FC236}">
              <a16:creationId xmlns:a16="http://schemas.microsoft.com/office/drawing/2014/main" id="{00000000-0008-0000-0100-00006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43" name="Picture 11" descr=" ">
          <a:extLst>
            <a:ext uri="{FF2B5EF4-FFF2-40B4-BE49-F238E27FC236}">
              <a16:creationId xmlns:a16="http://schemas.microsoft.com/office/drawing/2014/main" id="{00000000-0008-0000-0100-00006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44" name="Picture 12" descr=" ">
          <a:extLst>
            <a:ext uri="{FF2B5EF4-FFF2-40B4-BE49-F238E27FC236}">
              <a16:creationId xmlns:a16="http://schemas.microsoft.com/office/drawing/2014/main" id="{00000000-0008-0000-0100-00007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45" name="Picture 7" descr=" ">
          <a:extLst>
            <a:ext uri="{FF2B5EF4-FFF2-40B4-BE49-F238E27FC236}">
              <a16:creationId xmlns:a16="http://schemas.microsoft.com/office/drawing/2014/main" id="{00000000-0008-0000-0100-00007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46" name="Picture 8" descr=" ">
          <a:extLst>
            <a:ext uri="{FF2B5EF4-FFF2-40B4-BE49-F238E27FC236}">
              <a16:creationId xmlns:a16="http://schemas.microsoft.com/office/drawing/2014/main" id="{00000000-0008-0000-0100-00007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47" name="Picture 9" descr=" ">
          <a:extLst>
            <a:ext uri="{FF2B5EF4-FFF2-40B4-BE49-F238E27FC236}">
              <a16:creationId xmlns:a16="http://schemas.microsoft.com/office/drawing/2014/main" id="{00000000-0008-0000-0100-00007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48" name="Picture 10" descr=" ">
          <a:extLst>
            <a:ext uri="{FF2B5EF4-FFF2-40B4-BE49-F238E27FC236}">
              <a16:creationId xmlns:a16="http://schemas.microsoft.com/office/drawing/2014/main" id="{00000000-0008-0000-0100-00007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49" name="Picture 11" descr=" ">
          <a:extLst>
            <a:ext uri="{FF2B5EF4-FFF2-40B4-BE49-F238E27FC236}">
              <a16:creationId xmlns:a16="http://schemas.microsoft.com/office/drawing/2014/main" id="{00000000-0008-0000-0100-00007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50" name="Picture 12" descr=" ">
          <a:extLst>
            <a:ext uri="{FF2B5EF4-FFF2-40B4-BE49-F238E27FC236}">
              <a16:creationId xmlns:a16="http://schemas.microsoft.com/office/drawing/2014/main" id="{00000000-0008-0000-0100-00007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51" name="Picture 7" descr=" ">
          <a:extLst>
            <a:ext uri="{FF2B5EF4-FFF2-40B4-BE49-F238E27FC236}">
              <a16:creationId xmlns:a16="http://schemas.microsoft.com/office/drawing/2014/main" id="{00000000-0008-0000-0100-00007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52" name="Picture 8" descr=" ">
          <a:extLst>
            <a:ext uri="{FF2B5EF4-FFF2-40B4-BE49-F238E27FC236}">
              <a16:creationId xmlns:a16="http://schemas.microsoft.com/office/drawing/2014/main" id="{00000000-0008-0000-0100-00007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53" name="Picture 9" descr=" ">
          <a:extLst>
            <a:ext uri="{FF2B5EF4-FFF2-40B4-BE49-F238E27FC236}">
              <a16:creationId xmlns:a16="http://schemas.microsoft.com/office/drawing/2014/main" id="{00000000-0008-0000-0100-00007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54" name="Picture 10" descr=" ">
          <a:extLst>
            <a:ext uri="{FF2B5EF4-FFF2-40B4-BE49-F238E27FC236}">
              <a16:creationId xmlns:a16="http://schemas.microsoft.com/office/drawing/2014/main" id="{00000000-0008-0000-0100-00007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55" name="Picture 11" descr=" ">
          <a:extLst>
            <a:ext uri="{FF2B5EF4-FFF2-40B4-BE49-F238E27FC236}">
              <a16:creationId xmlns:a16="http://schemas.microsoft.com/office/drawing/2014/main" id="{00000000-0008-0000-0100-00007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56" name="Picture 12" descr=" ">
          <a:extLst>
            <a:ext uri="{FF2B5EF4-FFF2-40B4-BE49-F238E27FC236}">
              <a16:creationId xmlns:a16="http://schemas.microsoft.com/office/drawing/2014/main" id="{00000000-0008-0000-0100-00007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57" name="Picture 7" descr=" ">
          <a:extLst>
            <a:ext uri="{FF2B5EF4-FFF2-40B4-BE49-F238E27FC236}">
              <a16:creationId xmlns:a16="http://schemas.microsoft.com/office/drawing/2014/main" id="{00000000-0008-0000-0100-00007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58" name="Picture 8" descr=" ">
          <a:extLst>
            <a:ext uri="{FF2B5EF4-FFF2-40B4-BE49-F238E27FC236}">
              <a16:creationId xmlns:a16="http://schemas.microsoft.com/office/drawing/2014/main" id="{00000000-0008-0000-0100-00007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59" name="Picture 9" descr=" ">
          <a:extLst>
            <a:ext uri="{FF2B5EF4-FFF2-40B4-BE49-F238E27FC236}">
              <a16:creationId xmlns:a16="http://schemas.microsoft.com/office/drawing/2014/main" id="{00000000-0008-0000-0100-00007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60" name="Picture 10" descr=" ">
          <a:extLst>
            <a:ext uri="{FF2B5EF4-FFF2-40B4-BE49-F238E27FC236}">
              <a16:creationId xmlns:a16="http://schemas.microsoft.com/office/drawing/2014/main" id="{00000000-0008-0000-0100-00008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61" name="Picture 11" descr=" ">
          <a:extLst>
            <a:ext uri="{FF2B5EF4-FFF2-40B4-BE49-F238E27FC236}">
              <a16:creationId xmlns:a16="http://schemas.microsoft.com/office/drawing/2014/main" id="{00000000-0008-0000-0100-00008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62" name="Picture 12" descr=" ">
          <a:extLst>
            <a:ext uri="{FF2B5EF4-FFF2-40B4-BE49-F238E27FC236}">
              <a16:creationId xmlns:a16="http://schemas.microsoft.com/office/drawing/2014/main" id="{00000000-0008-0000-0100-00008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63" name="Picture 7" descr=" ">
          <a:extLst>
            <a:ext uri="{FF2B5EF4-FFF2-40B4-BE49-F238E27FC236}">
              <a16:creationId xmlns:a16="http://schemas.microsoft.com/office/drawing/2014/main" id="{00000000-0008-0000-0100-00008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64" name="Picture 8" descr=" ">
          <a:extLst>
            <a:ext uri="{FF2B5EF4-FFF2-40B4-BE49-F238E27FC236}">
              <a16:creationId xmlns:a16="http://schemas.microsoft.com/office/drawing/2014/main" id="{00000000-0008-0000-0100-00008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65" name="Picture 9" descr=" ">
          <a:extLst>
            <a:ext uri="{FF2B5EF4-FFF2-40B4-BE49-F238E27FC236}">
              <a16:creationId xmlns:a16="http://schemas.microsoft.com/office/drawing/2014/main" id="{00000000-0008-0000-0100-00008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66" name="Picture 10" descr=" ">
          <a:extLst>
            <a:ext uri="{FF2B5EF4-FFF2-40B4-BE49-F238E27FC236}">
              <a16:creationId xmlns:a16="http://schemas.microsoft.com/office/drawing/2014/main" id="{00000000-0008-0000-0100-00008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67" name="Picture 11" descr=" ">
          <a:extLst>
            <a:ext uri="{FF2B5EF4-FFF2-40B4-BE49-F238E27FC236}">
              <a16:creationId xmlns:a16="http://schemas.microsoft.com/office/drawing/2014/main" id="{00000000-0008-0000-0100-00008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68" name="Picture 12" descr=" ">
          <a:extLst>
            <a:ext uri="{FF2B5EF4-FFF2-40B4-BE49-F238E27FC236}">
              <a16:creationId xmlns:a16="http://schemas.microsoft.com/office/drawing/2014/main" id="{00000000-0008-0000-0100-00008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69" name="Picture 7" descr=" ">
          <a:extLst>
            <a:ext uri="{FF2B5EF4-FFF2-40B4-BE49-F238E27FC236}">
              <a16:creationId xmlns:a16="http://schemas.microsoft.com/office/drawing/2014/main" id="{00000000-0008-0000-0100-00008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70" name="Picture 8" descr=" ">
          <a:extLst>
            <a:ext uri="{FF2B5EF4-FFF2-40B4-BE49-F238E27FC236}">
              <a16:creationId xmlns:a16="http://schemas.microsoft.com/office/drawing/2014/main" id="{00000000-0008-0000-0100-00008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71" name="Picture 9" descr=" ">
          <a:extLst>
            <a:ext uri="{FF2B5EF4-FFF2-40B4-BE49-F238E27FC236}">
              <a16:creationId xmlns:a16="http://schemas.microsoft.com/office/drawing/2014/main" id="{00000000-0008-0000-0100-00008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72" name="Picture 10" descr=" ">
          <a:extLst>
            <a:ext uri="{FF2B5EF4-FFF2-40B4-BE49-F238E27FC236}">
              <a16:creationId xmlns:a16="http://schemas.microsoft.com/office/drawing/2014/main" id="{00000000-0008-0000-0100-00008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73" name="Picture 11" descr=" ">
          <a:extLst>
            <a:ext uri="{FF2B5EF4-FFF2-40B4-BE49-F238E27FC236}">
              <a16:creationId xmlns:a16="http://schemas.microsoft.com/office/drawing/2014/main" id="{00000000-0008-0000-0100-00008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74" name="Picture 12" descr=" ">
          <a:extLst>
            <a:ext uri="{FF2B5EF4-FFF2-40B4-BE49-F238E27FC236}">
              <a16:creationId xmlns:a16="http://schemas.microsoft.com/office/drawing/2014/main" id="{00000000-0008-0000-0100-00008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75" name="Picture 7" descr=" ">
          <a:extLst>
            <a:ext uri="{FF2B5EF4-FFF2-40B4-BE49-F238E27FC236}">
              <a16:creationId xmlns:a16="http://schemas.microsoft.com/office/drawing/2014/main" id="{00000000-0008-0000-0100-00008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76" name="Picture 8" descr=" ">
          <a:extLst>
            <a:ext uri="{FF2B5EF4-FFF2-40B4-BE49-F238E27FC236}">
              <a16:creationId xmlns:a16="http://schemas.microsoft.com/office/drawing/2014/main" id="{00000000-0008-0000-0100-00009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77" name="Picture 9" descr=" ">
          <a:extLst>
            <a:ext uri="{FF2B5EF4-FFF2-40B4-BE49-F238E27FC236}">
              <a16:creationId xmlns:a16="http://schemas.microsoft.com/office/drawing/2014/main" id="{00000000-0008-0000-0100-00009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78" name="Picture 10" descr=" ">
          <a:extLst>
            <a:ext uri="{FF2B5EF4-FFF2-40B4-BE49-F238E27FC236}">
              <a16:creationId xmlns:a16="http://schemas.microsoft.com/office/drawing/2014/main" id="{00000000-0008-0000-0100-00009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79" name="Picture 11" descr=" ">
          <a:extLst>
            <a:ext uri="{FF2B5EF4-FFF2-40B4-BE49-F238E27FC236}">
              <a16:creationId xmlns:a16="http://schemas.microsoft.com/office/drawing/2014/main" id="{00000000-0008-0000-0100-00009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80" name="Picture 12" descr=" ">
          <a:extLst>
            <a:ext uri="{FF2B5EF4-FFF2-40B4-BE49-F238E27FC236}">
              <a16:creationId xmlns:a16="http://schemas.microsoft.com/office/drawing/2014/main" id="{00000000-0008-0000-0100-00009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81" name="Picture 7" descr=" ">
          <a:extLst>
            <a:ext uri="{FF2B5EF4-FFF2-40B4-BE49-F238E27FC236}">
              <a16:creationId xmlns:a16="http://schemas.microsoft.com/office/drawing/2014/main" id="{00000000-0008-0000-0100-00009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82" name="Picture 8" descr=" ">
          <a:extLst>
            <a:ext uri="{FF2B5EF4-FFF2-40B4-BE49-F238E27FC236}">
              <a16:creationId xmlns:a16="http://schemas.microsoft.com/office/drawing/2014/main" id="{00000000-0008-0000-0100-00009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83" name="Picture 9" descr=" ">
          <a:extLst>
            <a:ext uri="{FF2B5EF4-FFF2-40B4-BE49-F238E27FC236}">
              <a16:creationId xmlns:a16="http://schemas.microsoft.com/office/drawing/2014/main" id="{00000000-0008-0000-0100-00009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84" name="Picture 10" descr=" ">
          <a:extLst>
            <a:ext uri="{FF2B5EF4-FFF2-40B4-BE49-F238E27FC236}">
              <a16:creationId xmlns:a16="http://schemas.microsoft.com/office/drawing/2014/main" id="{00000000-0008-0000-0100-00009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85" name="Picture 11" descr=" ">
          <a:extLst>
            <a:ext uri="{FF2B5EF4-FFF2-40B4-BE49-F238E27FC236}">
              <a16:creationId xmlns:a16="http://schemas.microsoft.com/office/drawing/2014/main" id="{00000000-0008-0000-0100-00009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86" name="Picture 12" descr=" ">
          <a:extLst>
            <a:ext uri="{FF2B5EF4-FFF2-40B4-BE49-F238E27FC236}">
              <a16:creationId xmlns:a16="http://schemas.microsoft.com/office/drawing/2014/main" id="{00000000-0008-0000-0100-00009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87" name="Picture 7" descr=" ">
          <a:extLst>
            <a:ext uri="{FF2B5EF4-FFF2-40B4-BE49-F238E27FC236}">
              <a16:creationId xmlns:a16="http://schemas.microsoft.com/office/drawing/2014/main" id="{00000000-0008-0000-0100-00009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88" name="Picture 8" descr=" ">
          <a:extLst>
            <a:ext uri="{FF2B5EF4-FFF2-40B4-BE49-F238E27FC236}">
              <a16:creationId xmlns:a16="http://schemas.microsoft.com/office/drawing/2014/main" id="{00000000-0008-0000-0100-00009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89" name="Picture 9" descr=" ">
          <a:extLst>
            <a:ext uri="{FF2B5EF4-FFF2-40B4-BE49-F238E27FC236}">
              <a16:creationId xmlns:a16="http://schemas.microsoft.com/office/drawing/2014/main" id="{00000000-0008-0000-0100-00009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90" name="Picture 10" descr=" ">
          <a:extLst>
            <a:ext uri="{FF2B5EF4-FFF2-40B4-BE49-F238E27FC236}">
              <a16:creationId xmlns:a16="http://schemas.microsoft.com/office/drawing/2014/main" id="{00000000-0008-0000-0100-00009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91" name="Picture 11" descr=" ">
          <a:extLst>
            <a:ext uri="{FF2B5EF4-FFF2-40B4-BE49-F238E27FC236}">
              <a16:creationId xmlns:a16="http://schemas.microsoft.com/office/drawing/2014/main" id="{00000000-0008-0000-0100-00009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92" name="Picture 12" descr=" ">
          <a:extLst>
            <a:ext uri="{FF2B5EF4-FFF2-40B4-BE49-F238E27FC236}">
              <a16:creationId xmlns:a16="http://schemas.microsoft.com/office/drawing/2014/main" id="{00000000-0008-0000-0100-0000A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93" name="Picture 7" descr=" ">
          <a:extLst>
            <a:ext uri="{FF2B5EF4-FFF2-40B4-BE49-F238E27FC236}">
              <a16:creationId xmlns:a16="http://schemas.microsoft.com/office/drawing/2014/main" id="{00000000-0008-0000-0100-0000A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94" name="Picture 8" descr=" ">
          <a:extLst>
            <a:ext uri="{FF2B5EF4-FFF2-40B4-BE49-F238E27FC236}">
              <a16:creationId xmlns:a16="http://schemas.microsoft.com/office/drawing/2014/main" id="{00000000-0008-0000-0100-0000A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95" name="Picture 9" descr=" ">
          <a:extLst>
            <a:ext uri="{FF2B5EF4-FFF2-40B4-BE49-F238E27FC236}">
              <a16:creationId xmlns:a16="http://schemas.microsoft.com/office/drawing/2014/main" id="{00000000-0008-0000-0100-0000A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96" name="Picture 10" descr=" ">
          <a:extLst>
            <a:ext uri="{FF2B5EF4-FFF2-40B4-BE49-F238E27FC236}">
              <a16:creationId xmlns:a16="http://schemas.microsoft.com/office/drawing/2014/main" id="{00000000-0008-0000-0100-0000A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97" name="Picture 11" descr=" ">
          <a:extLst>
            <a:ext uri="{FF2B5EF4-FFF2-40B4-BE49-F238E27FC236}">
              <a16:creationId xmlns:a16="http://schemas.microsoft.com/office/drawing/2014/main" id="{00000000-0008-0000-0100-0000A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98" name="Picture 12" descr=" ">
          <a:extLst>
            <a:ext uri="{FF2B5EF4-FFF2-40B4-BE49-F238E27FC236}">
              <a16:creationId xmlns:a16="http://schemas.microsoft.com/office/drawing/2014/main" id="{00000000-0008-0000-0100-0000A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199" name="Picture 7" descr=" ">
          <a:extLst>
            <a:ext uri="{FF2B5EF4-FFF2-40B4-BE49-F238E27FC236}">
              <a16:creationId xmlns:a16="http://schemas.microsoft.com/office/drawing/2014/main" id="{00000000-0008-0000-0100-0000A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00" name="Picture 8" descr=" ">
          <a:extLst>
            <a:ext uri="{FF2B5EF4-FFF2-40B4-BE49-F238E27FC236}">
              <a16:creationId xmlns:a16="http://schemas.microsoft.com/office/drawing/2014/main" id="{00000000-0008-0000-0100-0000A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01" name="Picture 9" descr=" ">
          <a:extLst>
            <a:ext uri="{FF2B5EF4-FFF2-40B4-BE49-F238E27FC236}">
              <a16:creationId xmlns:a16="http://schemas.microsoft.com/office/drawing/2014/main" id="{00000000-0008-0000-0100-0000A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02" name="Picture 10" descr=" ">
          <a:extLst>
            <a:ext uri="{FF2B5EF4-FFF2-40B4-BE49-F238E27FC236}">
              <a16:creationId xmlns:a16="http://schemas.microsoft.com/office/drawing/2014/main" id="{00000000-0008-0000-0100-0000A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03" name="Picture 11" descr=" ">
          <a:extLst>
            <a:ext uri="{FF2B5EF4-FFF2-40B4-BE49-F238E27FC236}">
              <a16:creationId xmlns:a16="http://schemas.microsoft.com/office/drawing/2014/main" id="{00000000-0008-0000-0100-0000A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04" name="Picture 12" descr=" ">
          <a:extLst>
            <a:ext uri="{FF2B5EF4-FFF2-40B4-BE49-F238E27FC236}">
              <a16:creationId xmlns:a16="http://schemas.microsoft.com/office/drawing/2014/main" id="{00000000-0008-0000-0100-0000A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05" name="Picture 7" descr=" ">
          <a:extLst>
            <a:ext uri="{FF2B5EF4-FFF2-40B4-BE49-F238E27FC236}">
              <a16:creationId xmlns:a16="http://schemas.microsoft.com/office/drawing/2014/main" id="{00000000-0008-0000-0100-0000A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06" name="Picture 8" descr=" ">
          <a:extLst>
            <a:ext uri="{FF2B5EF4-FFF2-40B4-BE49-F238E27FC236}">
              <a16:creationId xmlns:a16="http://schemas.microsoft.com/office/drawing/2014/main" id="{00000000-0008-0000-0100-0000A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07" name="Picture 9" descr=" ">
          <a:extLst>
            <a:ext uri="{FF2B5EF4-FFF2-40B4-BE49-F238E27FC236}">
              <a16:creationId xmlns:a16="http://schemas.microsoft.com/office/drawing/2014/main" id="{00000000-0008-0000-0100-0000A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08" name="Picture 10" descr=" ">
          <a:extLst>
            <a:ext uri="{FF2B5EF4-FFF2-40B4-BE49-F238E27FC236}">
              <a16:creationId xmlns:a16="http://schemas.microsoft.com/office/drawing/2014/main" id="{00000000-0008-0000-0100-0000B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09" name="Picture 11" descr=" ">
          <a:extLst>
            <a:ext uri="{FF2B5EF4-FFF2-40B4-BE49-F238E27FC236}">
              <a16:creationId xmlns:a16="http://schemas.microsoft.com/office/drawing/2014/main" id="{00000000-0008-0000-0100-0000B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10" name="Picture 12" descr=" ">
          <a:extLst>
            <a:ext uri="{FF2B5EF4-FFF2-40B4-BE49-F238E27FC236}">
              <a16:creationId xmlns:a16="http://schemas.microsoft.com/office/drawing/2014/main" id="{00000000-0008-0000-0100-0000B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11" name="Picture 7" descr=" ">
          <a:extLst>
            <a:ext uri="{FF2B5EF4-FFF2-40B4-BE49-F238E27FC236}">
              <a16:creationId xmlns:a16="http://schemas.microsoft.com/office/drawing/2014/main" id="{00000000-0008-0000-0100-0000B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12" name="Picture 8" descr=" ">
          <a:extLst>
            <a:ext uri="{FF2B5EF4-FFF2-40B4-BE49-F238E27FC236}">
              <a16:creationId xmlns:a16="http://schemas.microsoft.com/office/drawing/2014/main" id="{00000000-0008-0000-0100-0000B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13" name="Picture 9" descr=" ">
          <a:extLst>
            <a:ext uri="{FF2B5EF4-FFF2-40B4-BE49-F238E27FC236}">
              <a16:creationId xmlns:a16="http://schemas.microsoft.com/office/drawing/2014/main" id="{00000000-0008-0000-0100-0000B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14" name="Picture 10" descr=" ">
          <a:extLst>
            <a:ext uri="{FF2B5EF4-FFF2-40B4-BE49-F238E27FC236}">
              <a16:creationId xmlns:a16="http://schemas.microsoft.com/office/drawing/2014/main" id="{00000000-0008-0000-0100-0000B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15" name="Picture 11" descr=" ">
          <a:extLst>
            <a:ext uri="{FF2B5EF4-FFF2-40B4-BE49-F238E27FC236}">
              <a16:creationId xmlns:a16="http://schemas.microsoft.com/office/drawing/2014/main" id="{00000000-0008-0000-0100-0000B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16" name="Picture 12" descr=" ">
          <a:extLst>
            <a:ext uri="{FF2B5EF4-FFF2-40B4-BE49-F238E27FC236}">
              <a16:creationId xmlns:a16="http://schemas.microsoft.com/office/drawing/2014/main" id="{00000000-0008-0000-0100-0000B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17" name="Picture 7" descr=" ">
          <a:extLst>
            <a:ext uri="{FF2B5EF4-FFF2-40B4-BE49-F238E27FC236}">
              <a16:creationId xmlns:a16="http://schemas.microsoft.com/office/drawing/2014/main" id="{00000000-0008-0000-0100-0000B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18" name="Picture 8" descr=" ">
          <a:extLst>
            <a:ext uri="{FF2B5EF4-FFF2-40B4-BE49-F238E27FC236}">
              <a16:creationId xmlns:a16="http://schemas.microsoft.com/office/drawing/2014/main" id="{00000000-0008-0000-0100-0000B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19" name="Picture 9" descr=" ">
          <a:extLst>
            <a:ext uri="{FF2B5EF4-FFF2-40B4-BE49-F238E27FC236}">
              <a16:creationId xmlns:a16="http://schemas.microsoft.com/office/drawing/2014/main" id="{00000000-0008-0000-0100-0000B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20" name="Picture 10" descr=" ">
          <a:extLst>
            <a:ext uri="{FF2B5EF4-FFF2-40B4-BE49-F238E27FC236}">
              <a16:creationId xmlns:a16="http://schemas.microsoft.com/office/drawing/2014/main" id="{00000000-0008-0000-0100-0000B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21" name="Picture 11" descr=" ">
          <a:extLst>
            <a:ext uri="{FF2B5EF4-FFF2-40B4-BE49-F238E27FC236}">
              <a16:creationId xmlns:a16="http://schemas.microsoft.com/office/drawing/2014/main" id="{00000000-0008-0000-0100-0000B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22" name="Picture 12" descr=" ">
          <a:extLst>
            <a:ext uri="{FF2B5EF4-FFF2-40B4-BE49-F238E27FC236}">
              <a16:creationId xmlns:a16="http://schemas.microsoft.com/office/drawing/2014/main" id="{00000000-0008-0000-0100-0000B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23" name="Picture 7" descr=" ">
          <a:extLst>
            <a:ext uri="{FF2B5EF4-FFF2-40B4-BE49-F238E27FC236}">
              <a16:creationId xmlns:a16="http://schemas.microsoft.com/office/drawing/2014/main" id="{00000000-0008-0000-0100-0000B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24" name="Picture 8" descr=" ">
          <a:extLst>
            <a:ext uri="{FF2B5EF4-FFF2-40B4-BE49-F238E27FC236}">
              <a16:creationId xmlns:a16="http://schemas.microsoft.com/office/drawing/2014/main" id="{00000000-0008-0000-0100-0000C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25" name="Picture 9" descr=" ">
          <a:extLst>
            <a:ext uri="{FF2B5EF4-FFF2-40B4-BE49-F238E27FC236}">
              <a16:creationId xmlns:a16="http://schemas.microsoft.com/office/drawing/2014/main" id="{00000000-0008-0000-0100-0000C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26" name="Picture 10" descr=" ">
          <a:extLst>
            <a:ext uri="{FF2B5EF4-FFF2-40B4-BE49-F238E27FC236}">
              <a16:creationId xmlns:a16="http://schemas.microsoft.com/office/drawing/2014/main" id="{00000000-0008-0000-0100-0000C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27" name="Picture 11" descr=" ">
          <a:extLst>
            <a:ext uri="{FF2B5EF4-FFF2-40B4-BE49-F238E27FC236}">
              <a16:creationId xmlns:a16="http://schemas.microsoft.com/office/drawing/2014/main" id="{00000000-0008-0000-0100-0000C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28" name="Picture 12" descr=" ">
          <a:extLst>
            <a:ext uri="{FF2B5EF4-FFF2-40B4-BE49-F238E27FC236}">
              <a16:creationId xmlns:a16="http://schemas.microsoft.com/office/drawing/2014/main" id="{00000000-0008-0000-0100-0000C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29" name="Picture 7" descr=" ">
          <a:extLst>
            <a:ext uri="{FF2B5EF4-FFF2-40B4-BE49-F238E27FC236}">
              <a16:creationId xmlns:a16="http://schemas.microsoft.com/office/drawing/2014/main" id="{00000000-0008-0000-0100-0000C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30" name="Picture 8" descr=" ">
          <a:extLst>
            <a:ext uri="{FF2B5EF4-FFF2-40B4-BE49-F238E27FC236}">
              <a16:creationId xmlns:a16="http://schemas.microsoft.com/office/drawing/2014/main" id="{00000000-0008-0000-0100-0000C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31" name="Picture 9" descr=" ">
          <a:extLst>
            <a:ext uri="{FF2B5EF4-FFF2-40B4-BE49-F238E27FC236}">
              <a16:creationId xmlns:a16="http://schemas.microsoft.com/office/drawing/2014/main" id="{00000000-0008-0000-0100-0000C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32" name="Picture 10" descr=" ">
          <a:extLst>
            <a:ext uri="{FF2B5EF4-FFF2-40B4-BE49-F238E27FC236}">
              <a16:creationId xmlns:a16="http://schemas.microsoft.com/office/drawing/2014/main" id="{00000000-0008-0000-0100-0000C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33" name="Picture 11" descr=" ">
          <a:extLst>
            <a:ext uri="{FF2B5EF4-FFF2-40B4-BE49-F238E27FC236}">
              <a16:creationId xmlns:a16="http://schemas.microsoft.com/office/drawing/2014/main" id="{00000000-0008-0000-0100-0000C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34" name="Picture 12" descr=" ">
          <a:extLst>
            <a:ext uri="{FF2B5EF4-FFF2-40B4-BE49-F238E27FC236}">
              <a16:creationId xmlns:a16="http://schemas.microsoft.com/office/drawing/2014/main" id="{00000000-0008-0000-0100-0000C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35" name="Picture 7" descr=" ">
          <a:extLst>
            <a:ext uri="{FF2B5EF4-FFF2-40B4-BE49-F238E27FC236}">
              <a16:creationId xmlns:a16="http://schemas.microsoft.com/office/drawing/2014/main" id="{00000000-0008-0000-0100-0000C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36" name="Picture 8" descr=" ">
          <a:extLst>
            <a:ext uri="{FF2B5EF4-FFF2-40B4-BE49-F238E27FC236}">
              <a16:creationId xmlns:a16="http://schemas.microsoft.com/office/drawing/2014/main" id="{00000000-0008-0000-0100-0000C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37" name="Picture 9" descr=" ">
          <a:extLst>
            <a:ext uri="{FF2B5EF4-FFF2-40B4-BE49-F238E27FC236}">
              <a16:creationId xmlns:a16="http://schemas.microsoft.com/office/drawing/2014/main" id="{00000000-0008-0000-0100-0000C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38" name="Picture 10" descr=" ">
          <a:extLst>
            <a:ext uri="{FF2B5EF4-FFF2-40B4-BE49-F238E27FC236}">
              <a16:creationId xmlns:a16="http://schemas.microsoft.com/office/drawing/2014/main" id="{00000000-0008-0000-0100-0000C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39" name="Picture 11" descr=" ">
          <a:extLst>
            <a:ext uri="{FF2B5EF4-FFF2-40B4-BE49-F238E27FC236}">
              <a16:creationId xmlns:a16="http://schemas.microsoft.com/office/drawing/2014/main" id="{00000000-0008-0000-0100-0000C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40" name="Picture 12" descr=" ">
          <a:extLst>
            <a:ext uri="{FF2B5EF4-FFF2-40B4-BE49-F238E27FC236}">
              <a16:creationId xmlns:a16="http://schemas.microsoft.com/office/drawing/2014/main" id="{00000000-0008-0000-0100-0000D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41" name="Picture 7" descr=" ">
          <a:extLst>
            <a:ext uri="{FF2B5EF4-FFF2-40B4-BE49-F238E27FC236}">
              <a16:creationId xmlns:a16="http://schemas.microsoft.com/office/drawing/2014/main" id="{00000000-0008-0000-0100-0000D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42" name="Picture 8" descr=" ">
          <a:extLst>
            <a:ext uri="{FF2B5EF4-FFF2-40B4-BE49-F238E27FC236}">
              <a16:creationId xmlns:a16="http://schemas.microsoft.com/office/drawing/2014/main" id="{00000000-0008-0000-0100-0000D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43" name="Picture 9" descr=" ">
          <a:extLst>
            <a:ext uri="{FF2B5EF4-FFF2-40B4-BE49-F238E27FC236}">
              <a16:creationId xmlns:a16="http://schemas.microsoft.com/office/drawing/2014/main" id="{00000000-0008-0000-0100-0000D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44" name="Picture 10" descr=" ">
          <a:extLst>
            <a:ext uri="{FF2B5EF4-FFF2-40B4-BE49-F238E27FC236}">
              <a16:creationId xmlns:a16="http://schemas.microsoft.com/office/drawing/2014/main" id="{00000000-0008-0000-0100-0000D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45" name="Picture 11" descr=" ">
          <a:extLst>
            <a:ext uri="{FF2B5EF4-FFF2-40B4-BE49-F238E27FC236}">
              <a16:creationId xmlns:a16="http://schemas.microsoft.com/office/drawing/2014/main" id="{00000000-0008-0000-0100-0000D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46" name="Picture 12" descr=" ">
          <a:extLst>
            <a:ext uri="{FF2B5EF4-FFF2-40B4-BE49-F238E27FC236}">
              <a16:creationId xmlns:a16="http://schemas.microsoft.com/office/drawing/2014/main" id="{00000000-0008-0000-0100-0000D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47" name="Picture 7" descr=" ">
          <a:extLst>
            <a:ext uri="{FF2B5EF4-FFF2-40B4-BE49-F238E27FC236}">
              <a16:creationId xmlns:a16="http://schemas.microsoft.com/office/drawing/2014/main" id="{00000000-0008-0000-0100-0000D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48" name="Picture 8" descr=" ">
          <a:extLst>
            <a:ext uri="{FF2B5EF4-FFF2-40B4-BE49-F238E27FC236}">
              <a16:creationId xmlns:a16="http://schemas.microsoft.com/office/drawing/2014/main" id="{00000000-0008-0000-0100-0000D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49" name="Picture 9" descr=" ">
          <a:extLst>
            <a:ext uri="{FF2B5EF4-FFF2-40B4-BE49-F238E27FC236}">
              <a16:creationId xmlns:a16="http://schemas.microsoft.com/office/drawing/2014/main" id="{00000000-0008-0000-0100-0000D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50" name="Picture 10" descr=" ">
          <a:extLst>
            <a:ext uri="{FF2B5EF4-FFF2-40B4-BE49-F238E27FC236}">
              <a16:creationId xmlns:a16="http://schemas.microsoft.com/office/drawing/2014/main" id="{00000000-0008-0000-0100-0000D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51" name="Picture 11" descr=" ">
          <a:extLst>
            <a:ext uri="{FF2B5EF4-FFF2-40B4-BE49-F238E27FC236}">
              <a16:creationId xmlns:a16="http://schemas.microsoft.com/office/drawing/2014/main" id="{00000000-0008-0000-0100-0000D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52" name="Picture 12" descr=" ">
          <a:extLst>
            <a:ext uri="{FF2B5EF4-FFF2-40B4-BE49-F238E27FC236}">
              <a16:creationId xmlns:a16="http://schemas.microsoft.com/office/drawing/2014/main" id="{00000000-0008-0000-0100-0000D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53" name="Picture 7" descr=" ">
          <a:extLst>
            <a:ext uri="{FF2B5EF4-FFF2-40B4-BE49-F238E27FC236}">
              <a16:creationId xmlns:a16="http://schemas.microsoft.com/office/drawing/2014/main" id="{00000000-0008-0000-0100-0000D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54" name="Picture 8" descr=" ">
          <a:extLst>
            <a:ext uri="{FF2B5EF4-FFF2-40B4-BE49-F238E27FC236}">
              <a16:creationId xmlns:a16="http://schemas.microsoft.com/office/drawing/2014/main" id="{00000000-0008-0000-0100-0000D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55" name="Picture 9" descr=" ">
          <a:extLst>
            <a:ext uri="{FF2B5EF4-FFF2-40B4-BE49-F238E27FC236}">
              <a16:creationId xmlns:a16="http://schemas.microsoft.com/office/drawing/2014/main" id="{00000000-0008-0000-0100-0000D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56" name="Picture 10" descr=" ">
          <a:extLst>
            <a:ext uri="{FF2B5EF4-FFF2-40B4-BE49-F238E27FC236}">
              <a16:creationId xmlns:a16="http://schemas.microsoft.com/office/drawing/2014/main" id="{00000000-0008-0000-0100-0000E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57" name="Picture 11" descr=" ">
          <a:extLst>
            <a:ext uri="{FF2B5EF4-FFF2-40B4-BE49-F238E27FC236}">
              <a16:creationId xmlns:a16="http://schemas.microsoft.com/office/drawing/2014/main" id="{00000000-0008-0000-0100-0000E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58" name="Picture 12" descr=" ">
          <a:extLst>
            <a:ext uri="{FF2B5EF4-FFF2-40B4-BE49-F238E27FC236}">
              <a16:creationId xmlns:a16="http://schemas.microsoft.com/office/drawing/2014/main" id="{00000000-0008-0000-0100-0000E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59" name="Picture 7" descr=" ">
          <a:extLst>
            <a:ext uri="{FF2B5EF4-FFF2-40B4-BE49-F238E27FC236}">
              <a16:creationId xmlns:a16="http://schemas.microsoft.com/office/drawing/2014/main" id="{00000000-0008-0000-0100-0000E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60" name="Picture 8" descr=" ">
          <a:extLst>
            <a:ext uri="{FF2B5EF4-FFF2-40B4-BE49-F238E27FC236}">
              <a16:creationId xmlns:a16="http://schemas.microsoft.com/office/drawing/2014/main" id="{00000000-0008-0000-0100-0000E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61" name="Picture 9" descr=" ">
          <a:extLst>
            <a:ext uri="{FF2B5EF4-FFF2-40B4-BE49-F238E27FC236}">
              <a16:creationId xmlns:a16="http://schemas.microsoft.com/office/drawing/2014/main" id="{00000000-0008-0000-0100-0000E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62" name="Picture 10" descr=" ">
          <a:extLst>
            <a:ext uri="{FF2B5EF4-FFF2-40B4-BE49-F238E27FC236}">
              <a16:creationId xmlns:a16="http://schemas.microsoft.com/office/drawing/2014/main" id="{00000000-0008-0000-0100-0000E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63" name="Picture 11" descr=" ">
          <a:extLst>
            <a:ext uri="{FF2B5EF4-FFF2-40B4-BE49-F238E27FC236}">
              <a16:creationId xmlns:a16="http://schemas.microsoft.com/office/drawing/2014/main" id="{00000000-0008-0000-0100-0000E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64" name="Picture 12" descr=" ">
          <a:extLst>
            <a:ext uri="{FF2B5EF4-FFF2-40B4-BE49-F238E27FC236}">
              <a16:creationId xmlns:a16="http://schemas.microsoft.com/office/drawing/2014/main" id="{00000000-0008-0000-0100-0000E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65" name="Picture 7" descr=" ">
          <a:extLst>
            <a:ext uri="{FF2B5EF4-FFF2-40B4-BE49-F238E27FC236}">
              <a16:creationId xmlns:a16="http://schemas.microsoft.com/office/drawing/2014/main" id="{00000000-0008-0000-0100-0000E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66" name="Picture 8" descr=" ">
          <a:extLst>
            <a:ext uri="{FF2B5EF4-FFF2-40B4-BE49-F238E27FC236}">
              <a16:creationId xmlns:a16="http://schemas.microsoft.com/office/drawing/2014/main" id="{00000000-0008-0000-0100-0000E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67" name="Picture 9" descr=" ">
          <a:extLst>
            <a:ext uri="{FF2B5EF4-FFF2-40B4-BE49-F238E27FC236}">
              <a16:creationId xmlns:a16="http://schemas.microsoft.com/office/drawing/2014/main" id="{00000000-0008-0000-0100-0000E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68" name="Picture 10" descr=" ">
          <a:extLst>
            <a:ext uri="{FF2B5EF4-FFF2-40B4-BE49-F238E27FC236}">
              <a16:creationId xmlns:a16="http://schemas.microsoft.com/office/drawing/2014/main" id="{00000000-0008-0000-0100-0000E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69" name="Picture 11" descr=" ">
          <a:extLst>
            <a:ext uri="{FF2B5EF4-FFF2-40B4-BE49-F238E27FC236}">
              <a16:creationId xmlns:a16="http://schemas.microsoft.com/office/drawing/2014/main" id="{00000000-0008-0000-0100-0000E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70" name="Picture 12" descr=" ">
          <a:extLst>
            <a:ext uri="{FF2B5EF4-FFF2-40B4-BE49-F238E27FC236}">
              <a16:creationId xmlns:a16="http://schemas.microsoft.com/office/drawing/2014/main" id="{00000000-0008-0000-0100-0000E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71" name="Picture 7" descr=" ">
          <a:extLst>
            <a:ext uri="{FF2B5EF4-FFF2-40B4-BE49-F238E27FC236}">
              <a16:creationId xmlns:a16="http://schemas.microsoft.com/office/drawing/2014/main" id="{00000000-0008-0000-0100-0000E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72" name="Picture 8" descr=" ">
          <a:extLst>
            <a:ext uri="{FF2B5EF4-FFF2-40B4-BE49-F238E27FC236}">
              <a16:creationId xmlns:a16="http://schemas.microsoft.com/office/drawing/2014/main" id="{00000000-0008-0000-0100-0000F0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73" name="Picture 9" descr=" ">
          <a:extLst>
            <a:ext uri="{FF2B5EF4-FFF2-40B4-BE49-F238E27FC236}">
              <a16:creationId xmlns:a16="http://schemas.microsoft.com/office/drawing/2014/main" id="{00000000-0008-0000-0100-0000F1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74" name="Picture 10" descr=" ">
          <a:extLst>
            <a:ext uri="{FF2B5EF4-FFF2-40B4-BE49-F238E27FC236}">
              <a16:creationId xmlns:a16="http://schemas.microsoft.com/office/drawing/2014/main" id="{00000000-0008-0000-0100-0000F2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75" name="Picture 11" descr=" ">
          <a:extLst>
            <a:ext uri="{FF2B5EF4-FFF2-40B4-BE49-F238E27FC236}">
              <a16:creationId xmlns:a16="http://schemas.microsoft.com/office/drawing/2014/main" id="{00000000-0008-0000-0100-0000F3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76" name="Picture 12" descr=" ">
          <a:extLst>
            <a:ext uri="{FF2B5EF4-FFF2-40B4-BE49-F238E27FC236}">
              <a16:creationId xmlns:a16="http://schemas.microsoft.com/office/drawing/2014/main" id="{00000000-0008-0000-0100-0000F4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77" name="Picture 7" descr=" ">
          <a:extLst>
            <a:ext uri="{FF2B5EF4-FFF2-40B4-BE49-F238E27FC236}">
              <a16:creationId xmlns:a16="http://schemas.microsoft.com/office/drawing/2014/main" id="{00000000-0008-0000-0100-0000F5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78" name="Picture 8" descr=" ">
          <a:extLst>
            <a:ext uri="{FF2B5EF4-FFF2-40B4-BE49-F238E27FC236}">
              <a16:creationId xmlns:a16="http://schemas.microsoft.com/office/drawing/2014/main" id="{00000000-0008-0000-0100-0000F6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79" name="Picture 9" descr=" ">
          <a:extLst>
            <a:ext uri="{FF2B5EF4-FFF2-40B4-BE49-F238E27FC236}">
              <a16:creationId xmlns:a16="http://schemas.microsoft.com/office/drawing/2014/main" id="{00000000-0008-0000-0100-0000F7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80" name="Picture 10" descr=" ">
          <a:extLst>
            <a:ext uri="{FF2B5EF4-FFF2-40B4-BE49-F238E27FC236}">
              <a16:creationId xmlns:a16="http://schemas.microsoft.com/office/drawing/2014/main" id="{00000000-0008-0000-0100-0000F8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81" name="Picture 11" descr=" ">
          <a:extLst>
            <a:ext uri="{FF2B5EF4-FFF2-40B4-BE49-F238E27FC236}">
              <a16:creationId xmlns:a16="http://schemas.microsoft.com/office/drawing/2014/main" id="{00000000-0008-0000-0100-0000F9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82" name="Picture 12" descr=" ">
          <a:extLst>
            <a:ext uri="{FF2B5EF4-FFF2-40B4-BE49-F238E27FC236}">
              <a16:creationId xmlns:a16="http://schemas.microsoft.com/office/drawing/2014/main" id="{00000000-0008-0000-0100-0000F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83" name="Picture 7" descr=" ">
          <a:extLst>
            <a:ext uri="{FF2B5EF4-FFF2-40B4-BE49-F238E27FC236}">
              <a16:creationId xmlns:a16="http://schemas.microsoft.com/office/drawing/2014/main" id="{00000000-0008-0000-0100-0000FB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84" name="Picture 8" descr=" ">
          <a:extLst>
            <a:ext uri="{FF2B5EF4-FFF2-40B4-BE49-F238E27FC236}">
              <a16:creationId xmlns:a16="http://schemas.microsoft.com/office/drawing/2014/main" id="{00000000-0008-0000-0100-0000FC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85" name="Picture 9" descr=" ">
          <a:extLst>
            <a:ext uri="{FF2B5EF4-FFF2-40B4-BE49-F238E27FC236}">
              <a16:creationId xmlns:a16="http://schemas.microsoft.com/office/drawing/2014/main" id="{00000000-0008-0000-0100-0000FD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86" name="Picture 10" descr=" ">
          <a:extLst>
            <a:ext uri="{FF2B5EF4-FFF2-40B4-BE49-F238E27FC236}">
              <a16:creationId xmlns:a16="http://schemas.microsoft.com/office/drawing/2014/main" id="{00000000-0008-0000-0100-0000FE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87" name="Picture 11" descr=" ">
          <a:extLst>
            <a:ext uri="{FF2B5EF4-FFF2-40B4-BE49-F238E27FC236}">
              <a16:creationId xmlns:a16="http://schemas.microsoft.com/office/drawing/2014/main" id="{00000000-0008-0000-0100-0000FF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88" name="Picture 12" descr=" ">
          <a:extLst>
            <a:ext uri="{FF2B5EF4-FFF2-40B4-BE49-F238E27FC236}">
              <a16:creationId xmlns:a16="http://schemas.microsoft.com/office/drawing/2014/main" id="{00000000-0008-0000-0100-00000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89" name="Picture 7" descr=" ">
          <a:extLst>
            <a:ext uri="{FF2B5EF4-FFF2-40B4-BE49-F238E27FC236}">
              <a16:creationId xmlns:a16="http://schemas.microsoft.com/office/drawing/2014/main" id="{00000000-0008-0000-0100-00000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90" name="Picture 8" descr=" ">
          <a:extLst>
            <a:ext uri="{FF2B5EF4-FFF2-40B4-BE49-F238E27FC236}">
              <a16:creationId xmlns:a16="http://schemas.microsoft.com/office/drawing/2014/main" id="{00000000-0008-0000-0100-00000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91" name="Picture 9" descr=" ">
          <a:extLst>
            <a:ext uri="{FF2B5EF4-FFF2-40B4-BE49-F238E27FC236}">
              <a16:creationId xmlns:a16="http://schemas.microsoft.com/office/drawing/2014/main" id="{00000000-0008-0000-0100-00000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92" name="Picture 10" descr=" ">
          <a:extLst>
            <a:ext uri="{FF2B5EF4-FFF2-40B4-BE49-F238E27FC236}">
              <a16:creationId xmlns:a16="http://schemas.microsoft.com/office/drawing/2014/main" id="{00000000-0008-0000-0100-00000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93" name="Picture 11" descr=" ">
          <a:extLst>
            <a:ext uri="{FF2B5EF4-FFF2-40B4-BE49-F238E27FC236}">
              <a16:creationId xmlns:a16="http://schemas.microsoft.com/office/drawing/2014/main" id="{00000000-0008-0000-0100-00000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94" name="Picture 12" descr=" ">
          <a:extLst>
            <a:ext uri="{FF2B5EF4-FFF2-40B4-BE49-F238E27FC236}">
              <a16:creationId xmlns:a16="http://schemas.microsoft.com/office/drawing/2014/main" id="{00000000-0008-0000-0100-00000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95" name="Picture 7" descr=" ">
          <a:extLst>
            <a:ext uri="{FF2B5EF4-FFF2-40B4-BE49-F238E27FC236}">
              <a16:creationId xmlns:a16="http://schemas.microsoft.com/office/drawing/2014/main" id="{00000000-0008-0000-0100-00000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96" name="Picture 8" descr=" ">
          <a:extLst>
            <a:ext uri="{FF2B5EF4-FFF2-40B4-BE49-F238E27FC236}">
              <a16:creationId xmlns:a16="http://schemas.microsoft.com/office/drawing/2014/main" id="{00000000-0008-0000-0100-00000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97" name="Picture 9" descr=" ">
          <a:extLst>
            <a:ext uri="{FF2B5EF4-FFF2-40B4-BE49-F238E27FC236}">
              <a16:creationId xmlns:a16="http://schemas.microsoft.com/office/drawing/2014/main" id="{00000000-0008-0000-0100-00000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98" name="Picture 10" descr=" ">
          <a:extLst>
            <a:ext uri="{FF2B5EF4-FFF2-40B4-BE49-F238E27FC236}">
              <a16:creationId xmlns:a16="http://schemas.microsoft.com/office/drawing/2014/main" id="{00000000-0008-0000-0100-00000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299" name="Picture 11" descr=" ">
          <a:extLst>
            <a:ext uri="{FF2B5EF4-FFF2-40B4-BE49-F238E27FC236}">
              <a16:creationId xmlns:a16="http://schemas.microsoft.com/office/drawing/2014/main" id="{00000000-0008-0000-0100-00000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00" name="Picture 12" descr=" ">
          <a:extLst>
            <a:ext uri="{FF2B5EF4-FFF2-40B4-BE49-F238E27FC236}">
              <a16:creationId xmlns:a16="http://schemas.microsoft.com/office/drawing/2014/main" id="{00000000-0008-0000-0100-00000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01" name="Picture 7" descr=" ">
          <a:extLst>
            <a:ext uri="{FF2B5EF4-FFF2-40B4-BE49-F238E27FC236}">
              <a16:creationId xmlns:a16="http://schemas.microsoft.com/office/drawing/2014/main" id="{00000000-0008-0000-0100-00000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02" name="Picture 8" descr=" ">
          <a:extLst>
            <a:ext uri="{FF2B5EF4-FFF2-40B4-BE49-F238E27FC236}">
              <a16:creationId xmlns:a16="http://schemas.microsoft.com/office/drawing/2014/main" id="{00000000-0008-0000-0100-00000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03" name="Picture 9" descr=" ">
          <a:extLst>
            <a:ext uri="{FF2B5EF4-FFF2-40B4-BE49-F238E27FC236}">
              <a16:creationId xmlns:a16="http://schemas.microsoft.com/office/drawing/2014/main" id="{00000000-0008-0000-0100-00000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04" name="Picture 10" descr=" ">
          <a:extLst>
            <a:ext uri="{FF2B5EF4-FFF2-40B4-BE49-F238E27FC236}">
              <a16:creationId xmlns:a16="http://schemas.microsoft.com/office/drawing/2014/main" id="{00000000-0008-0000-0100-00001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05" name="Picture 11" descr=" ">
          <a:extLst>
            <a:ext uri="{FF2B5EF4-FFF2-40B4-BE49-F238E27FC236}">
              <a16:creationId xmlns:a16="http://schemas.microsoft.com/office/drawing/2014/main" id="{00000000-0008-0000-0100-00001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06" name="Picture 12" descr=" ">
          <a:extLst>
            <a:ext uri="{FF2B5EF4-FFF2-40B4-BE49-F238E27FC236}">
              <a16:creationId xmlns:a16="http://schemas.microsoft.com/office/drawing/2014/main" id="{00000000-0008-0000-0100-00001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07" name="Picture 7" descr=" ">
          <a:extLst>
            <a:ext uri="{FF2B5EF4-FFF2-40B4-BE49-F238E27FC236}">
              <a16:creationId xmlns:a16="http://schemas.microsoft.com/office/drawing/2014/main" id="{00000000-0008-0000-0100-00001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08" name="Picture 8" descr=" ">
          <a:extLst>
            <a:ext uri="{FF2B5EF4-FFF2-40B4-BE49-F238E27FC236}">
              <a16:creationId xmlns:a16="http://schemas.microsoft.com/office/drawing/2014/main" id="{00000000-0008-0000-0100-00001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09" name="Picture 9" descr=" ">
          <a:extLst>
            <a:ext uri="{FF2B5EF4-FFF2-40B4-BE49-F238E27FC236}">
              <a16:creationId xmlns:a16="http://schemas.microsoft.com/office/drawing/2014/main" id="{00000000-0008-0000-0100-00001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10" name="Picture 10" descr=" ">
          <a:extLst>
            <a:ext uri="{FF2B5EF4-FFF2-40B4-BE49-F238E27FC236}">
              <a16:creationId xmlns:a16="http://schemas.microsoft.com/office/drawing/2014/main" id="{00000000-0008-0000-0100-00001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11" name="Picture 11" descr=" ">
          <a:extLst>
            <a:ext uri="{FF2B5EF4-FFF2-40B4-BE49-F238E27FC236}">
              <a16:creationId xmlns:a16="http://schemas.microsoft.com/office/drawing/2014/main" id="{00000000-0008-0000-0100-00001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12" name="Picture 12" descr=" ">
          <a:extLst>
            <a:ext uri="{FF2B5EF4-FFF2-40B4-BE49-F238E27FC236}">
              <a16:creationId xmlns:a16="http://schemas.microsoft.com/office/drawing/2014/main" id="{00000000-0008-0000-0100-00001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13" name="Picture 7" descr=" ">
          <a:extLst>
            <a:ext uri="{FF2B5EF4-FFF2-40B4-BE49-F238E27FC236}">
              <a16:creationId xmlns:a16="http://schemas.microsoft.com/office/drawing/2014/main" id="{00000000-0008-0000-0100-00001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14" name="Picture 8" descr=" ">
          <a:extLst>
            <a:ext uri="{FF2B5EF4-FFF2-40B4-BE49-F238E27FC236}">
              <a16:creationId xmlns:a16="http://schemas.microsoft.com/office/drawing/2014/main" id="{00000000-0008-0000-0100-00001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15" name="Picture 9" descr=" ">
          <a:extLst>
            <a:ext uri="{FF2B5EF4-FFF2-40B4-BE49-F238E27FC236}">
              <a16:creationId xmlns:a16="http://schemas.microsoft.com/office/drawing/2014/main" id="{00000000-0008-0000-0100-00001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16" name="Picture 10" descr=" ">
          <a:extLst>
            <a:ext uri="{FF2B5EF4-FFF2-40B4-BE49-F238E27FC236}">
              <a16:creationId xmlns:a16="http://schemas.microsoft.com/office/drawing/2014/main" id="{00000000-0008-0000-0100-00001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17" name="Picture 11" descr=" ">
          <a:extLst>
            <a:ext uri="{FF2B5EF4-FFF2-40B4-BE49-F238E27FC236}">
              <a16:creationId xmlns:a16="http://schemas.microsoft.com/office/drawing/2014/main" id="{00000000-0008-0000-0100-00001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18" name="Picture 12" descr=" ">
          <a:extLst>
            <a:ext uri="{FF2B5EF4-FFF2-40B4-BE49-F238E27FC236}">
              <a16:creationId xmlns:a16="http://schemas.microsoft.com/office/drawing/2014/main" id="{00000000-0008-0000-0100-00001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19" name="Picture 7" descr=" ">
          <a:extLst>
            <a:ext uri="{FF2B5EF4-FFF2-40B4-BE49-F238E27FC236}">
              <a16:creationId xmlns:a16="http://schemas.microsoft.com/office/drawing/2014/main" id="{00000000-0008-0000-0100-00001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20" name="Picture 8" descr=" ">
          <a:extLst>
            <a:ext uri="{FF2B5EF4-FFF2-40B4-BE49-F238E27FC236}">
              <a16:creationId xmlns:a16="http://schemas.microsoft.com/office/drawing/2014/main" id="{00000000-0008-0000-0100-00002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21" name="Picture 9" descr=" ">
          <a:extLst>
            <a:ext uri="{FF2B5EF4-FFF2-40B4-BE49-F238E27FC236}">
              <a16:creationId xmlns:a16="http://schemas.microsoft.com/office/drawing/2014/main" id="{00000000-0008-0000-0100-00002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22" name="Picture 10" descr=" ">
          <a:extLst>
            <a:ext uri="{FF2B5EF4-FFF2-40B4-BE49-F238E27FC236}">
              <a16:creationId xmlns:a16="http://schemas.microsoft.com/office/drawing/2014/main" id="{00000000-0008-0000-0100-00002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23" name="Picture 11" descr=" ">
          <a:extLst>
            <a:ext uri="{FF2B5EF4-FFF2-40B4-BE49-F238E27FC236}">
              <a16:creationId xmlns:a16="http://schemas.microsoft.com/office/drawing/2014/main" id="{00000000-0008-0000-0100-00002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24" name="Picture 12" descr=" ">
          <a:extLst>
            <a:ext uri="{FF2B5EF4-FFF2-40B4-BE49-F238E27FC236}">
              <a16:creationId xmlns:a16="http://schemas.microsoft.com/office/drawing/2014/main" id="{00000000-0008-0000-0100-00002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25" name="Picture 7" descr=" ">
          <a:extLst>
            <a:ext uri="{FF2B5EF4-FFF2-40B4-BE49-F238E27FC236}">
              <a16:creationId xmlns:a16="http://schemas.microsoft.com/office/drawing/2014/main" id="{00000000-0008-0000-0100-00002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26" name="Picture 8" descr=" ">
          <a:extLst>
            <a:ext uri="{FF2B5EF4-FFF2-40B4-BE49-F238E27FC236}">
              <a16:creationId xmlns:a16="http://schemas.microsoft.com/office/drawing/2014/main" id="{00000000-0008-0000-0100-00002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27" name="Picture 9" descr=" ">
          <a:extLst>
            <a:ext uri="{FF2B5EF4-FFF2-40B4-BE49-F238E27FC236}">
              <a16:creationId xmlns:a16="http://schemas.microsoft.com/office/drawing/2014/main" id="{00000000-0008-0000-0100-00002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28" name="Picture 10" descr=" ">
          <a:extLst>
            <a:ext uri="{FF2B5EF4-FFF2-40B4-BE49-F238E27FC236}">
              <a16:creationId xmlns:a16="http://schemas.microsoft.com/office/drawing/2014/main" id="{00000000-0008-0000-0100-00002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29" name="Picture 11" descr=" ">
          <a:extLst>
            <a:ext uri="{FF2B5EF4-FFF2-40B4-BE49-F238E27FC236}">
              <a16:creationId xmlns:a16="http://schemas.microsoft.com/office/drawing/2014/main" id="{00000000-0008-0000-0100-00002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30" name="Picture 12" descr=" ">
          <a:extLst>
            <a:ext uri="{FF2B5EF4-FFF2-40B4-BE49-F238E27FC236}">
              <a16:creationId xmlns:a16="http://schemas.microsoft.com/office/drawing/2014/main" id="{00000000-0008-0000-0100-00002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31" name="Picture 7" descr=" ">
          <a:extLst>
            <a:ext uri="{FF2B5EF4-FFF2-40B4-BE49-F238E27FC236}">
              <a16:creationId xmlns:a16="http://schemas.microsoft.com/office/drawing/2014/main" id="{00000000-0008-0000-0100-00002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32" name="Picture 8" descr=" ">
          <a:extLst>
            <a:ext uri="{FF2B5EF4-FFF2-40B4-BE49-F238E27FC236}">
              <a16:creationId xmlns:a16="http://schemas.microsoft.com/office/drawing/2014/main" id="{00000000-0008-0000-0100-00002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33" name="Picture 9" descr=" ">
          <a:extLst>
            <a:ext uri="{FF2B5EF4-FFF2-40B4-BE49-F238E27FC236}">
              <a16:creationId xmlns:a16="http://schemas.microsoft.com/office/drawing/2014/main" id="{00000000-0008-0000-0100-00002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34" name="Picture 10" descr=" ">
          <a:extLst>
            <a:ext uri="{FF2B5EF4-FFF2-40B4-BE49-F238E27FC236}">
              <a16:creationId xmlns:a16="http://schemas.microsoft.com/office/drawing/2014/main" id="{00000000-0008-0000-0100-00002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35" name="Picture 11" descr=" ">
          <a:extLst>
            <a:ext uri="{FF2B5EF4-FFF2-40B4-BE49-F238E27FC236}">
              <a16:creationId xmlns:a16="http://schemas.microsoft.com/office/drawing/2014/main" id="{00000000-0008-0000-0100-00002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36" name="Picture 12" descr=" ">
          <a:extLst>
            <a:ext uri="{FF2B5EF4-FFF2-40B4-BE49-F238E27FC236}">
              <a16:creationId xmlns:a16="http://schemas.microsoft.com/office/drawing/2014/main" id="{00000000-0008-0000-0100-00003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37" name="Picture 7" descr=" ">
          <a:extLst>
            <a:ext uri="{FF2B5EF4-FFF2-40B4-BE49-F238E27FC236}">
              <a16:creationId xmlns:a16="http://schemas.microsoft.com/office/drawing/2014/main" id="{00000000-0008-0000-0100-00003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38" name="Picture 8" descr=" ">
          <a:extLst>
            <a:ext uri="{FF2B5EF4-FFF2-40B4-BE49-F238E27FC236}">
              <a16:creationId xmlns:a16="http://schemas.microsoft.com/office/drawing/2014/main" id="{00000000-0008-0000-0100-00003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39" name="Picture 9" descr=" ">
          <a:extLst>
            <a:ext uri="{FF2B5EF4-FFF2-40B4-BE49-F238E27FC236}">
              <a16:creationId xmlns:a16="http://schemas.microsoft.com/office/drawing/2014/main" id="{00000000-0008-0000-0100-00003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40" name="Picture 10" descr=" ">
          <a:extLst>
            <a:ext uri="{FF2B5EF4-FFF2-40B4-BE49-F238E27FC236}">
              <a16:creationId xmlns:a16="http://schemas.microsoft.com/office/drawing/2014/main" id="{00000000-0008-0000-0100-00003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41" name="Picture 11" descr=" ">
          <a:extLst>
            <a:ext uri="{FF2B5EF4-FFF2-40B4-BE49-F238E27FC236}">
              <a16:creationId xmlns:a16="http://schemas.microsoft.com/office/drawing/2014/main" id="{00000000-0008-0000-0100-00003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42" name="Picture 12" descr=" ">
          <a:extLst>
            <a:ext uri="{FF2B5EF4-FFF2-40B4-BE49-F238E27FC236}">
              <a16:creationId xmlns:a16="http://schemas.microsoft.com/office/drawing/2014/main" id="{00000000-0008-0000-0100-00003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43" name="Picture 7" descr=" ">
          <a:extLst>
            <a:ext uri="{FF2B5EF4-FFF2-40B4-BE49-F238E27FC236}">
              <a16:creationId xmlns:a16="http://schemas.microsoft.com/office/drawing/2014/main" id="{00000000-0008-0000-0100-00003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44" name="Picture 8" descr=" ">
          <a:extLst>
            <a:ext uri="{FF2B5EF4-FFF2-40B4-BE49-F238E27FC236}">
              <a16:creationId xmlns:a16="http://schemas.microsoft.com/office/drawing/2014/main" id="{00000000-0008-0000-0100-00003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45" name="Picture 9" descr=" ">
          <a:extLst>
            <a:ext uri="{FF2B5EF4-FFF2-40B4-BE49-F238E27FC236}">
              <a16:creationId xmlns:a16="http://schemas.microsoft.com/office/drawing/2014/main" id="{00000000-0008-0000-0100-00003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46" name="Picture 10" descr=" ">
          <a:extLst>
            <a:ext uri="{FF2B5EF4-FFF2-40B4-BE49-F238E27FC236}">
              <a16:creationId xmlns:a16="http://schemas.microsoft.com/office/drawing/2014/main" id="{00000000-0008-0000-0100-00003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47" name="Picture 11" descr=" ">
          <a:extLst>
            <a:ext uri="{FF2B5EF4-FFF2-40B4-BE49-F238E27FC236}">
              <a16:creationId xmlns:a16="http://schemas.microsoft.com/office/drawing/2014/main" id="{00000000-0008-0000-0100-00003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48" name="Picture 12" descr=" ">
          <a:extLst>
            <a:ext uri="{FF2B5EF4-FFF2-40B4-BE49-F238E27FC236}">
              <a16:creationId xmlns:a16="http://schemas.microsoft.com/office/drawing/2014/main" id="{00000000-0008-0000-0100-00003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49" name="Picture 7" descr=" ">
          <a:extLst>
            <a:ext uri="{FF2B5EF4-FFF2-40B4-BE49-F238E27FC236}">
              <a16:creationId xmlns:a16="http://schemas.microsoft.com/office/drawing/2014/main" id="{00000000-0008-0000-0100-00003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50" name="Picture 8" descr=" ">
          <a:extLst>
            <a:ext uri="{FF2B5EF4-FFF2-40B4-BE49-F238E27FC236}">
              <a16:creationId xmlns:a16="http://schemas.microsoft.com/office/drawing/2014/main" id="{00000000-0008-0000-0100-00003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51" name="Picture 9" descr=" ">
          <a:extLst>
            <a:ext uri="{FF2B5EF4-FFF2-40B4-BE49-F238E27FC236}">
              <a16:creationId xmlns:a16="http://schemas.microsoft.com/office/drawing/2014/main" id="{00000000-0008-0000-0100-00003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52" name="Picture 10" descr=" ">
          <a:extLst>
            <a:ext uri="{FF2B5EF4-FFF2-40B4-BE49-F238E27FC236}">
              <a16:creationId xmlns:a16="http://schemas.microsoft.com/office/drawing/2014/main" id="{00000000-0008-0000-0100-00004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53" name="Picture 11" descr=" ">
          <a:extLst>
            <a:ext uri="{FF2B5EF4-FFF2-40B4-BE49-F238E27FC236}">
              <a16:creationId xmlns:a16="http://schemas.microsoft.com/office/drawing/2014/main" id="{00000000-0008-0000-0100-00004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54" name="Picture 12" descr=" ">
          <a:extLst>
            <a:ext uri="{FF2B5EF4-FFF2-40B4-BE49-F238E27FC236}">
              <a16:creationId xmlns:a16="http://schemas.microsoft.com/office/drawing/2014/main" id="{00000000-0008-0000-0100-00004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55" name="Picture 7" descr=" ">
          <a:extLst>
            <a:ext uri="{FF2B5EF4-FFF2-40B4-BE49-F238E27FC236}">
              <a16:creationId xmlns:a16="http://schemas.microsoft.com/office/drawing/2014/main" id="{00000000-0008-0000-0100-00004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56" name="Picture 8" descr=" ">
          <a:extLst>
            <a:ext uri="{FF2B5EF4-FFF2-40B4-BE49-F238E27FC236}">
              <a16:creationId xmlns:a16="http://schemas.microsoft.com/office/drawing/2014/main" id="{00000000-0008-0000-0100-00004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57" name="Picture 9" descr=" ">
          <a:extLst>
            <a:ext uri="{FF2B5EF4-FFF2-40B4-BE49-F238E27FC236}">
              <a16:creationId xmlns:a16="http://schemas.microsoft.com/office/drawing/2014/main" id="{00000000-0008-0000-0100-00004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58" name="Picture 10" descr=" ">
          <a:extLst>
            <a:ext uri="{FF2B5EF4-FFF2-40B4-BE49-F238E27FC236}">
              <a16:creationId xmlns:a16="http://schemas.microsoft.com/office/drawing/2014/main" id="{00000000-0008-0000-0100-00004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59" name="Picture 11" descr=" ">
          <a:extLst>
            <a:ext uri="{FF2B5EF4-FFF2-40B4-BE49-F238E27FC236}">
              <a16:creationId xmlns:a16="http://schemas.microsoft.com/office/drawing/2014/main" id="{00000000-0008-0000-0100-00004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60" name="Picture 12" descr=" ">
          <a:extLst>
            <a:ext uri="{FF2B5EF4-FFF2-40B4-BE49-F238E27FC236}">
              <a16:creationId xmlns:a16="http://schemas.microsoft.com/office/drawing/2014/main" id="{00000000-0008-0000-0100-00004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61" name="Picture 7" descr=" ">
          <a:extLst>
            <a:ext uri="{FF2B5EF4-FFF2-40B4-BE49-F238E27FC236}">
              <a16:creationId xmlns:a16="http://schemas.microsoft.com/office/drawing/2014/main" id="{00000000-0008-0000-0100-00004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62" name="Picture 8" descr=" ">
          <a:extLst>
            <a:ext uri="{FF2B5EF4-FFF2-40B4-BE49-F238E27FC236}">
              <a16:creationId xmlns:a16="http://schemas.microsoft.com/office/drawing/2014/main" id="{00000000-0008-0000-0100-00004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63" name="Picture 9" descr=" ">
          <a:extLst>
            <a:ext uri="{FF2B5EF4-FFF2-40B4-BE49-F238E27FC236}">
              <a16:creationId xmlns:a16="http://schemas.microsoft.com/office/drawing/2014/main" id="{00000000-0008-0000-0100-00004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64" name="Picture 10" descr=" ">
          <a:extLst>
            <a:ext uri="{FF2B5EF4-FFF2-40B4-BE49-F238E27FC236}">
              <a16:creationId xmlns:a16="http://schemas.microsoft.com/office/drawing/2014/main" id="{00000000-0008-0000-0100-00004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65" name="Picture 11" descr=" ">
          <a:extLst>
            <a:ext uri="{FF2B5EF4-FFF2-40B4-BE49-F238E27FC236}">
              <a16:creationId xmlns:a16="http://schemas.microsoft.com/office/drawing/2014/main" id="{00000000-0008-0000-0100-00004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66" name="Picture 12" descr=" ">
          <a:extLst>
            <a:ext uri="{FF2B5EF4-FFF2-40B4-BE49-F238E27FC236}">
              <a16:creationId xmlns:a16="http://schemas.microsoft.com/office/drawing/2014/main" id="{00000000-0008-0000-0100-00004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67" name="Picture 7" descr=" ">
          <a:extLst>
            <a:ext uri="{FF2B5EF4-FFF2-40B4-BE49-F238E27FC236}">
              <a16:creationId xmlns:a16="http://schemas.microsoft.com/office/drawing/2014/main" id="{00000000-0008-0000-0100-00004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68" name="Picture 8" descr=" ">
          <a:extLst>
            <a:ext uri="{FF2B5EF4-FFF2-40B4-BE49-F238E27FC236}">
              <a16:creationId xmlns:a16="http://schemas.microsoft.com/office/drawing/2014/main" id="{00000000-0008-0000-0100-00005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69" name="Picture 9" descr=" ">
          <a:extLst>
            <a:ext uri="{FF2B5EF4-FFF2-40B4-BE49-F238E27FC236}">
              <a16:creationId xmlns:a16="http://schemas.microsoft.com/office/drawing/2014/main" id="{00000000-0008-0000-0100-00005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70" name="Picture 10" descr=" ">
          <a:extLst>
            <a:ext uri="{FF2B5EF4-FFF2-40B4-BE49-F238E27FC236}">
              <a16:creationId xmlns:a16="http://schemas.microsoft.com/office/drawing/2014/main" id="{00000000-0008-0000-0100-00005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71" name="Picture 11" descr=" ">
          <a:extLst>
            <a:ext uri="{FF2B5EF4-FFF2-40B4-BE49-F238E27FC236}">
              <a16:creationId xmlns:a16="http://schemas.microsoft.com/office/drawing/2014/main" id="{00000000-0008-0000-0100-00005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72" name="Picture 12" descr=" ">
          <a:extLst>
            <a:ext uri="{FF2B5EF4-FFF2-40B4-BE49-F238E27FC236}">
              <a16:creationId xmlns:a16="http://schemas.microsoft.com/office/drawing/2014/main" id="{00000000-0008-0000-0100-00005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73" name="Picture 7" descr=" ">
          <a:extLst>
            <a:ext uri="{FF2B5EF4-FFF2-40B4-BE49-F238E27FC236}">
              <a16:creationId xmlns:a16="http://schemas.microsoft.com/office/drawing/2014/main" id="{00000000-0008-0000-0100-00005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74" name="Picture 8" descr=" ">
          <a:extLst>
            <a:ext uri="{FF2B5EF4-FFF2-40B4-BE49-F238E27FC236}">
              <a16:creationId xmlns:a16="http://schemas.microsoft.com/office/drawing/2014/main" id="{00000000-0008-0000-0100-00005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75" name="Picture 9" descr=" ">
          <a:extLst>
            <a:ext uri="{FF2B5EF4-FFF2-40B4-BE49-F238E27FC236}">
              <a16:creationId xmlns:a16="http://schemas.microsoft.com/office/drawing/2014/main" id="{00000000-0008-0000-0100-00005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76" name="Picture 10" descr=" ">
          <a:extLst>
            <a:ext uri="{FF2B5EF4-FFF2-40B4-BE49-F238E27FC236}">
              <a16:creationId xmlns:a16="http://schemas.microsoft.com/office/drawing/2014/main" id="{00000000-0008-0000-0100-00005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77" name="Picture 11" descr=" ">
          <a:extLst>
            <a:ext uri="{FF2B5EF4-FFF2-40B4-BE49-F238E27FC236}">
              <a16:creationId xmlns:a16="http://schemas.microsoft.com/office/drawing/2014/main" id="{00000000-0008-0000-0100-00005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78" name="Picture 12" descr=" ">
          <a:extLst>
            <a:ext uri="{FF2B5EF4-FFF2-40B4-BE49-F238E27FC236}">
              <a16:creationId xmlns:a16="http://schemas.microsoft.com/office/drawing/2014/main" id="{00000000-0008-0000-0100-00005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79" name="Picture 7" descr=" ">
          <a:extLst>
            <a:ext uri="{FF2B5EF4-FFF2-40B4-BE49-F238E27FC236}">
              <a16:creationId xmlns:a16="http://schemas.microsoft.com/office/drawing/2014/main" id="{00000000-0008-0000-0100-00005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80" name="Picture 8" descr=" ">
          <a:extLst>
            <a:ext uri="{FF2B5EF4-FFF2-40B4-BE49-F238E27FC236}">
              <a16:creationId xmlns:a16="http://schemas.microsoft.com/office/drawing/2014/main" id="{00000000-0008-0000-0100-00005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81" name="Picture 9" descr=" ">
          <a:extLst>
            <a:ext uri="{FF2B5EF4-FFF2-40B4-BE49-F238E27FC236}">
              <a16:creationId xmlns:a16="http://schemas.microsoft.com/office/drawing/2014/main" id="{00000000-0008-0000-0100-00005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82" name="Picture 10" descr=" ">
          <a:extLst>
            <a:ext uri="{FF2B5EF4-FFF2-40B4-BE49-F238E27FC236}">
              <a16:creationId xmlns:a16="http://schemas.microsoft.com/office/drawing/2014/main" id="{00000000-0008-0000-0100-00005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83" name="Picture 11" descr=" ">
          <a:extLst>
            <a:ext uri="{FF2B5EF4-FFF2-40B4-BE49-F238E27FC236}">
              <a16:creationId xmlns:a16="http://schemas.microsoft.com/office/drawing/2014/main" id="{00000000-0008-0000-0100-00005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84" name="Picture 12" descr=" ">
          <a:extLst>
            <a:ext uri="{FF2B5EF4-FFF2-40B4-BE49-F238E27FC236}">
              <a16:creationId xmlns:a16="http://schemas.microsoft.com/office/drawing/2014/main" id="{00000000-0008-0000-0100-00006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85" name="Picture 7" descr=" ">
          <a:extLst>
            <a:ext uri="{FF2B5EF4-FFF2-40B4-BE49-F238E27FC236}">
              <a16:creationId xmlns:a16="http://schemas.microsoft.com/office/drawing/2014/main" id="{00000000-0008-0000-0100-00006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86" name="Picture 8" descr=" ">
          <a:extLst>
            <a:ext uri="{FF2B5EF4-FFF2-40B4-BE49-F238E27FC236}">
              <a16:creationId xmlns:a16="http://schemas.microsoft.com/office/drawing/2014/main" id="{00000000-0008-0000-0100-00006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87" name="Picture 9" descr=" ">
          <a:extLst>
            <a:ext uri="{FF2B5EF4-FFF2-40B4-BE49-F238E27FC236}">
              <a16:creationId xmlns:a16="http://schemas.microsoft.com/office/drawing/2014/main" id="{00000000-0008-0000-0100-00006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88" name="Picture 10" descr=" ">
          <a:extLst>
            <a:ext uri="{FF2B5EF4-FFF2-40B4-BE49-F238E27FC236}">
              <a16:creationId xmlns:a16="http://schemas.microsoft.com/office/drawing/2014/main" id="{00000000-0008-0000-0100-00006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89" name="Picture 11" descr=" ">
          <a:extLst>
            <a:ext uri="{FF2B5EF4-FFF2-40B4-BE49-F238E27FC236}">
              <a16:creationId xmlns:a16="http://schemas.microsoft.com/office/drawing/2014/main" id="{00000000-0008-0000-0100-00006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90" name="Picture 12" descr=" ">
          <a:extLst>
            <a:ext uri="{FF2B5EF4-FFF2-40B4-BE49-F238E27FC236}">
              <a16:creationId xmlns:a16="http://schemas.microsoft.com/office/drawing/2014/main" id="{00000000-0008-0000-0100-00006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91" name="Picture 7" descr=" ">
          <a:extLst>
            <a:ext uri="{FF2B5EF4-FFF2-40B4-BE49-F238E27FC236}">
              <a16:creationId xmlns:a16="http://schemas.microsoft.com/office/drawing/2014/main" id="{00000000-0008-0000-0100-00006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92" name="Picture 8" descr=" ">
          <a:extLst>
            <a:ext uri="{FF2B5EF4-FFF2-40B4-BE49-F238E27FC236}">
              <a16:creationId xmlns:a16="http://schemas.microsoft.com/office/drawing/2014/main" id="{00000000-0008-0000-0100-00006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93" name="Picture 9" descr=" ">
          <a:extLst>
            <a:ext uri="{FF2B5EF4-FFF2-40B4-BE49-F238E27FC236}">
              <a16:creationId xmlns:a16="http://schemas.microsoft.com/office/drawing/2014/main" id="{00000000-0008-0000-0100-00006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94" name="Picture 10" descr=" ">
          <a:extLst>
            <a:ext uri="{FF2B5EF4-FFF2-40B4-BE49-F238E27FC236}">
              <a16:creationId xmlns:a16="http://schemas.microsoft.com/office/drawing/2014/main" id="{00000000-0008-0000-0100-00006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95" name="Picture 11" descr=" ">
          <a:extLst>
            <a:ext uri="{FF2B5EF4-FFF2-40B4-BE49-F238E27FC236}">
              <a16:creationId xmlns:a16="http://schemas.microsoft.com/office/drawing/2014/main" id="{00000000-0008-0000-0100-00006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96" name="Picture 12" descr=" ">
          <a:extLst>
            <a:ext uri="{FF2B5EF4-FFF2-40B4-BE49-F238E27FC236}">
              <a16:creationId xmlns:a16="http://schemas.microsoft.com/office/drawing/2014/main" id="{00000000-0008-0000-0100-00006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97" name="Picture 7" descr=" ">
          <a:extLst>
            <a:ext uri="{FF2B5EF4-FFF2-40B4-BE49-F238E27FC236}">
              <a16:creationId xmlns:a16="http://schemas.microsoft.com/office/drawing/2014/main" id="{00000000-0008-0000-0100-00006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98" name="Picture 8" descr=" ">
          <a:extLst>
            <a:ext uri="{FF2B5EF4-FFF2-40B4-BE49-F238E27FC236}">
              <a16:creationId xmlns:a16="http://schemas.microsoft.com/office/drawing/2014/main" id="{00000000-0008-0000-0100-00006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399" name="Picture 9" descr=" ">
          <a:extLst>
            <a:ext uri="{FF2B5EF4-FFF2-40B4-BE49-F238E27FC236}">
              <a16:creationId xmlns:a16="http://schemas.microsoft.com/office/drawing/2014/main" id="{00000000-0008-0000-0100-00006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00" name="Picture 10" descr=" ">
          <a:extLst>
            <a:ext uri="{FF2B5EF4-FFF2-40B4-BE49-F238E27FC236}">
              <a16:creationId xmlns:a16="http://schemas.microsoft.com/office/drawing/2014/main" id="{00000000-0008-0000-0100-00007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01" name="Picture 11" descr=" ">
          <a:extLst>
            <a:ext uri="{FF2B5EF4-FFF2-40B4-BE49-F238E27FC236}">
              <a16:creationId xmlns:a16="http://schemas.microsoft.com/office/drawing/2014/main" id="{00000000-0008-0000-0100-00007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02" name="Picture 12" descr=" ">
          <a:extLst>
            <a:ext uri="{FF2B5EF4-FFF2-40B4-BE49-F238E27FC236}">
              <a16:creationId xmlns:a16="http://schemas.microsoft.com/office/drawing/2014/main" id="{00000000-0008-0000-0100-00007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03" name="Picture 7" descr=" ">
          <a:extLst>
            <a:ext uri="{FF2B5EF4-FFF2-40B4-BE49-F238E27FC236}">
              <a16:creationId xmlns:a16="http://schemas.microsoft.com/office/drawing/2014/main" id="{00000000-0008-0000-0100-00007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04" name="Picture 8" descr=" ">
          <a:extLst>
            <a:ext uri="{FF2B5EF4-FFF2-40B4-BE49-F238E27FC236}">
              <a16:creationId xmlns:a16="http://schemas.microsoft.com/office/drawing/2014/main" id="{00000000-0008-0000-0100-00007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05" name="Picture 9" descr=" ">
          <a:extLst>
            <a:ext uri="{FF2B5EF4-FFF2-40B4-BE49-F238E27FC236}">
              <a16:creationId xmlns:a16="http://schemas.microsoft.com/office/drawing/2014/main" id="{00000000-0008-0000-0100-00007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06" name="Picture 10" descr=" ">
          <a:extLst>
            <a:ext uri="{FF2B5EF4-FFF2-40B4-BE49-F238E27FC236}">
              <a16:creationId xmlns:a16="http://schemas.microsoft.com/office/drawing/2014/main" id="{00000000-0008-0000-0100-00007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07" name="Picture 11" descr=" ">
          <a:extLst>
            <a:ext uri="{FF2B5EF4-FFF2-40B4-BE49-F238E27FC236}">
              <a16:creationId xmlns:a16="http://schemas.microsoft.com/office/drawing/2014/main" id="{00000000-0008-0000-0100-00007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08" name="Picture 12" descr=" ">
          <a:extLst>
            <a:ext uri="{FF2B5EF4-FFF2-40B4-BE49-F238E27FC236}">
              <a16:creationId xmlns:a16="http://schemas.microsoft.com/office/drawing/2014/main" id="{00000000-0008-0000-0100-00007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09" name="Picture 7" descr=" ">
          <a:extLst>
            <a:ext uri="{FF2B5EF4-FFF2-40B4-BE49-F238E27FC236}">
              <a16:creationId xmlns:a16="http://schemas.microsoft.com/office/drawing/2014/main" id="{00000000-0008-0000-0100-00007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10" name="Picture 8" descr=" ">
          <a:extLst>
            <a:ext uri="{FF2B5EF4-FFF2-40B4-BE49-F238E27FC236}">
              <a16:creationId xmlns:a16="http://schemas.microsoft.com/office/drawing/2014/main" id="{00000000-0008-0000-0100-00007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11" name="Picture 9" descr=" ">
          <a:extLst>
            <a:ext uri="{FF2B5EF4-FFF2-40B4-BE49-F238E27FC236}">
              <a16:creationId xmlns:a16="http://schemas.microsoft.com/office/drawing/2014/main" id="{00000000-0008-0000-0100-00007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12" name="Picture 10" descr=" ">
          <a:extLst>
            <a:ext uri="{FF2B5EF4-FFF2-40B4-BE49-F238E27FC236}">
              <a16:creationId xmlns:a16="http://schemas.microsoft.com/office/drawing/2014/main" id="{00000000-0008-0000-0100-00007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13" name="Picture 11" descr=" ">
          <a:extLst>
            <a:ext uri="{FF2B5EF4-FFF2-40B4-BE49-F238E27FC236}">
              <a16:creationId xmlns:a16="http://schemas.microsoft.com/office/drawing/2014/main" id="{00000000-0008-0000-0100-00007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14" name="Picture 12" descr=" ">
          <a:extLst>
            <a:ext uri="{FF2B5EF4-FFF2-40B4-BE49-F238E27FC236}">
              <a16:creationId xmlns:a16="http://schemas.microsoft.com/office/drawing/2014/main" id="{00000000-0008-0000-0100-00007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15" name="Picture 7" descr=" ">
          <a:extLst>
            <a:ext uri="{FF2B5EF4-FFF2-40B4-BE49-F238E27FC236}">
              <a16:creationId xmlns:a16="http://schemas.microsoft.com/office/drawing/2014/main" id="{00000000-0008-0000-0100-00007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16" name="Picture 8" descr=" ">
          <a:extLst>
            <a:ext uri="{FF2B5EF4-FFF2-40B4-BE49-F238E27FC236}">
              <a16:creationId xmlns:a16="http://schemas.microsoft.com/office/drawing/2014/main" id="{00000000-0008-0000-0100-00008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17" name="Picture 9" descr=" ">
          <a:extLst>
            <a:ext uri="{FF2B5EF4-FFF2-40B4-BE49-F238E27FC236}">
              <a16:creationId xmlns:a16="http://schemas.microsoft.com/office/drawing/2014/main" id="{00000000-0008-0000-0100-00008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18" name="Picture 10" descr=" ">
          <a:extLst>
            <a:ext uri="{FF2B5EF4-FFF2-40B4-BE49-F238E27FC236}">
              <a16:creationId xmlns:a16="http://schemas.microsoft.com/office/drawing/2014/main" id="{00000000-0008-0000-0100-00008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19" name="Picture 11" descr=" ">
          <a:extLst>
            <a:ext uri="{FF2B5EF4-FFF2-40B4-BE49-F238E27FC236}">
              <a16:creationId xmlns:a16="http://schemas.microsoft.com/office/drawing/2014/main" id="{00000000-0008-0000-0100-00008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20" name="Picture 12" descr=" ">
          <a:extLst>
            <a:ext uri="{FF2B5EF4-FFF2-40B4-BE49-F238E27FC236}">
              <a16:creationId xmlns:a16="http://schemas.microsoft.com/office/drawing/2014/main" id="{00000000-0008-0000-0100-00008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21" name="Picture 7" descr=" ">
          <a:extLst>
            <a:ext uri="{FF2B5EF4-FFF2-40B4-BE49-F238E27FC236}">
              <a16:creationId xmlns:a16="http://schemas.microsoft.com/office/drawing/2014/main" id="{00000000-0008-0000-0100-00008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22" name="Picture 8" descr=" ">
          <a:extLst>
            <a:ext uri="{FF2B5EF4-FFF2-40B4-BE49-F238E27FC236}">
              <a16:creationId xmlns:a16="http://schemas.microsoft.com/office/drawing/2014/main" id="{00000000-0008-0000-0100-00008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23" name="Picture 9" descr=" ">
          <a:extLst>
            <a:ext uri="{FF2B5EF4-FFF2-40B4-BE49-F238E27FC236}">
              <a16:creationId xmlns:a16="http://schemas.microsoft.com/office/drawing/2014/main" id="{00000000-0008-0000-0100-00008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24" name="Picture 10" descr=" ">
          <a:extLst>
            <a:ext uri="{FF2B5EF4-FFF2-40B4-BE49-F238E27FC236}">
              <a16:creationId xmlns:a16="http://schemas.microsoft.com/office/drawing/2014/main" id="{00000000-0008-0000-0100-00008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25" name="Picture 11" descr=" ">
          <a:extLst>
            <a:ext uri="{FF2B5EF4-FFF2-40B4-BE49-F238E27FC236}">
              <a16:creationId xmlns:a16="http://schemas.microsoft.com/office/drawing/2014/main" id="{00000000-0008-0000-0100-00008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26" name="Picture 12" descr=" ">
          <a:extLst>
            <a:ext uri="{FF2B5EF4-FFF2-40B4-BE49-F238E27FC236}">
              <a16:creationId xmlns:a16="http://schemas.microsoft.com/office/drawing/2014/main" id="{00000000-0008-0000-0100-00008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27" name="Picture 7" descr=" ">
          <a:extLst>
            <a:ext uri="{FF2B5EF4-FFF2-40B4-BE49-F238E27FC236}">
              <a16:creationId xmlns:a16="http://schemas.microsoft.com/office/drawing/2014/main" id="{00000000-0008-0000-0100-00008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28" name="Picture 8" descr=" ">
          <a:extLst>
            <a:ext uri="{FF2B5EF4-FFF2-40B4-BE49-F238E27FC236}">
              <a16:creationId xmlns:a16="http://schemas.microsoft.com/office/drawing/2014/main" id="{00000000-0008-0000-0100-00008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29" name="Picture 9" descr=" ">
          <a:extLst>
            <a:ext uri="{FF2B5EF4-FFF2-40B4-BE49-F238E27FC236}">
              <a16:creationId xmlns:a16="http://schemas.microsoft.com/office/drawing/2014/main" id="{00000000-0008-0000-0100-00008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30" name="Picture 10" descr=" ">
          <a:extLst>
            <a:ext uri="{FF2B5EF4-FFF2-40B4-BE49-F238E27FC236}">
              <a16:creationId xmlns:a16="http://schemas.microsoft.com/office/drawing/2014/main" id="{00000000-0008-0000-0100-00008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31" name="Picture 11" descr=" ">
          <a:extLst>
            <a:ext uri="{FF2B5EF4-FFF2-40B4-BE49-F238E27FC236}">
              <a16:creationId xmlns:a16="http://schemas.microsoft.com/office/drawing/2014/main" id="{00000000-0008-0000-0100-00008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32" name="Picture 12" descr=" ">
          <a:extLst>
            <a:ext uri="{FF2B5EF4-FFF2-40B4-BE49-F238E27FC236}">
              <a16:creationId xmlns:a16="http://schemas.microsoft.com/office/drawing/2014/main" id="{00000000-0008-0000-0100-00009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33" name="Picture 7" descr=" ">
          <a:extLst>
            <a:ext uri="{FF2B5EF4-FFF2-40B4-BE49-F238E27FC236}">
              <a16:creationId xmlns:a16="http://schemas.microsoft.com/office/drawing/2014/main" id="{00000000-0008-0000-0100-00009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34" name="Picture 8" descr=" ">
          <a:extLst>
            <a:ext uri="{FF2B5EF4-FFF2-40B4-BE49-F238E27FC236}">
              <a16:creationId xmlns:a16="http://schemas.microsoft.com/office/drawing/2014/main" id="{00000000-0008-0000-0100-00009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35" name="Picture 9" descr=" ">
          <a:extLst>
            <a:ext uri="{FF2B5EF4-FFF2-40B4-BE49-F238E27FC236}">
              <a16:creationId xmlns:a16="http://schemas.microsoft.com/office/drawing/2014/main" id="{00000000-0008-0000-0100-00009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36" name="Picture 10" descr=" ">
          <a:extLst>
            <a:ext uri="{FF2B5EF4-FFF2-40B4-BE49-F238E27FC236}">
              <a16:creationId xmlns:a16="http://schemas.microsoft.com/office/drawing/2014/main" id="{00000000-0008-0000-0100-00009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37" name="Picture 11" descr=" ">
          <a:extLst>
            <a:ext uri="{FF2B5EF4-FFF2-40B4-BE49-F238E27FC236}">
              <a16:creationId xmlns:a16="http://schemas.microsoft.com/office/drawing/2014/main" id="{00000000-0008-0000-0100-00009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38" name="Picture 12" descr=" ">
          <a:extLst>
            <a:ext uri="{FF2B5EF4-FFF2-40B4-BE49-F238E27FC236}">
              <a16:creationId xmlns:a16="http://schemas.microsoft.com/office/drawing/2014/main" id="{00000000-0008-0000-0100-00009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39" name="Picture 7" descr=" ">
          <a:extLst>
            <a:ext uri="{FF2B5EF4-FFF2-40B4-BE49-F238E27FC236}">
              <a16:creationId xmlns:a16="http://schemas.microsoft.com/office/drawing/2014/main" id="{00000000-0008-0000-0100-00009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40" name="Picture 8" descr=" ">
          <a:extLst>
            <a:ext uri="{FF2B5EF4-FFF2-40B4-BE49-F238E27FC236}">
              <a16:creationId xmlns:a16="http://schemas.microsoft.com/office/drawing/2014/main" id="{00000000-0008-0000-0100-00009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41" name="Picture 9" descr=" ">
          <a:extLst>
            <a:ext uri="{FF2B5EF4-FFF2-40B4-BE49-F238E27FC236}">
              <a16:creationId xmlns:a16="http://schemas.microsoft.com/office/drawing/2014/main" id="{00000000-0008-0000-0100-00009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42" name="Picture 10" descr=" ">
          <a:extLst>
            <a:ext uri="{FF2B5EF4-FFF2-40B4-BE49-F238E27FC236}">
              <a16:creationId xmlns:a16="http://schemas.microsoft.com/office/drawing/2014/main" id="{00000000-0008-0000-0100-00009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43" name="Picture 11" descr=" ">
          <a:extLst>
            <a:ext uri="{FF2B5EF4-FFF2-40B4-BE49-F238E27FC236}">
              <a16:creationId xmlns:a16="http://schemas.microsoft.com/office/drawing/2014/main" id="{00000000-0008-0000-0100-00009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44" name="Picture 12" descr=" ">
          <a:extLst>
            <a:ext uri="{FF2B5EF4-FFF2-40B4-BE49-F238E27FC236}">
              <a16:creationId xmlns:a16="http://schemas.microsoft.com/office/drawing/2014/main" id="{00000000-0008-0000-0100-00009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45" name="Picture 7" descr=" ">
          <a:extLst>
            <a:ext uri="{FF2B5EF4-FFF2-40B4-BE49-F238E27FC236}">
              <a16:creationId xmlns:a16="http://schemas.microsoft.com/office/drawing/2014/main" id="{00000000-0008-0000-0100-00009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46" name="Picture 8" descr=" ">
          <a:extLst>
            <a:ext uri="{FF2B5EF4-FFF2-40B4-BE49-F238E27FC236}">
              <a16:creationId xmlns:a16="http://schemas.microsoft.com/office/drawing/2014/main" id="{00000000-0008-0000-0100-00009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47" name="Picture 9" descr=" ">
          <a:extLst>
            <a:ext uri="{FF2B5EF4-FFF2-40B4-BE49-F238E27FC236}">
              <a16:creationId xmlns:a16="http://schemas.microsoft.com/office/drawing/2014/main" id="{00000000-0008-0000-0100-00009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48" name="Picture 10" descr=" ">
          <a:extLst>
            <a:ext uri="{FF2B5EF4-FFF2-40B4-BE49-F238E27FC236}">
              <a16:creationId xmlns:a16="http://schemas.microsoft.com/office/drawing/2014/main" id="{00000000-0008-0000-0100-0000A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49" name="Picture 11" descr=" ">
          <a:extLst>
            <a:ext uri="{FF2B5EF4-FFF2-40B4-BE49-F238E27FC236}">
              <a16:creationId xmlns:a16="http://schemas.microsoft.com/office/drawing/2014/main" id="{00000000-0008-0000-0100-0000A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50" name="Picture 12" descr=" ">
          <a:extLst>
            <a:ext uri="{FF2B5EF4-FFF2-40B4-BE49-F238E27FC236}">
              <a16:creationId xmlns:a16="http://schemas.microsoft.com/office/drawing/2014/main" id="{00000000-0008-0000-0100-0000A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51" name="Picture 7" descr=" ">
          <a:extLst>
            <a:ext uri="{FF2B5EF4-FFF2-40B4-BE49-F238E27FC236}">
              <a16:creationId xmlns:a16="http://schemas.microsoft.com/office/drawing/2014/main" id="{00000000-0008-0000-0100-0000A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52" name="Picture 8" descr=" ">
          <a:extLst>
            <a:ext uri="{FF2B5EF4-FFF2-40B4-BE49-F238E27FC236}">
              <a16:creationId xmlns:a16="http://schemas.microsoft.com/office/drawing/2014/main" id="{00000000-0008-0000-0100-0000A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53" name="Picture 9" descr=" ">
          <a:extLst>
            <a:ext uri="{FF2B5EF4-FFF2-40B4-BE49-F238E27FC236}">
              <a16:creationId xmlns:a16="http://schemas.microsoft.com/office/drawing/2014/main" id="{00000000-0008-0000-0100-0000A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54" name="Picture 10" descr=" ">
          <a:extLst>
            <a:ext uri="{FF2B5EF4-FFF2-40B4-BE49-F238E27FC236}">
              <a16:creationId xmlns:a16="http://schemas.microsoft.com/office/drawing/2014/main" id="{00000000-0008-0000-0100-0000A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55" name="Picture 11" descr=" ">
          <a:extLst>
            <a:ext uri="{FF2B5EF4-FFF2-40B4-BE49-F238E27FC236}">
              <a16:creationId xmlns:a16="http://schemas.microsoft.com/office/drawing/2014/main" id="{00000000-0008-0000-0100-0000A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56" name="Picture 12" descr=" ">
          <a:extLst>
            <a:ext uri="{FF2B5EF4-FFF2-40B4-BE49-F238E27FC236}">
              <a16:creationId xmlns:a16="http://schemas.microsoft.com/office/drawing/2014/main" id="{00000000-0008-0000-0100-0000A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57" name="Picture 7" descr=" ">
          <a:extLst>
            <a:ext uri="{FF2B5EF4-FFF2-40B4-BE49-F238E27FC236}">
              <a16:creationId xmlns:a16="http://schemas.microsoft.com/office/drawing/2014/main" id="{00000000-0008-0000-0100-0000A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58" name="Picture 8" descr=" ">
          <a:extLst>
            <a:ext uri="{FF2B5EF4-FFF2-40B4-BE49-F238E27FC236}">
              <a16:creationId xmlns:a16="http://schemas.microsoft.com/office/drawing/2014/main" id="{00000000-0008-0000-0100-0000A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59" name="Picture 9" descr=" ">
          <a:extLst>
            <a:ext uri="{FF2B5EF4-FFF2-40B4-BE49-F238E27FC236}">
              <a16:creationId xmlns:a16="http://schemas.microsoft.com/office/drawing/2014/main" id="{00000000-0008-0000-0100-0000A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60" name="Picture 10" descr=" ">
          <a:extLst>
            <a:ext uri="{FF2B5EF4-FFF2-40B4-BE49-F238E27FC236}">
              <a16:creationId xmlns:a16="http://schemas.microsoft.com/office/drawing/2014/main" id="{00000000-0008-0000-0100-0000A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61" name="Picture 11" descr=" ">
          <a:extLst>
            <a:ext uri="{FF2B5EF4-FFF2-40B4-BE49-F238E27FC236}">
              <a16:creationId xmlns:a16="http://schemas.microsoft.com/office/drawing/2014/main" id="{00000000-0008-0000-0100-0000A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62" name="Picture 12" descr=" ">
          <a:extLst>
            <a:ext uri="{FF2B5EF4-FFF2-40B4-BE49-F238E27FC236}">
              <a16:creationId xmlns:a16="http://schemas.microsoft.com/office/drawing/2014/main" id="{00000000-0008-0000-0100-0000A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63" name="Picture 7" descr=" ">
          <a:extLst>
            <a:ext uri="{FF2B5EF4-FFF2-40B4-BE49-F238E27FC236}">
              <a16:creationId xmlns:a16="http://schemas.microsoft.com/office/drawing/2014/main" id="{00000000-0008-0000-0100-0000A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64" name="Picture 8" descr=" ">
          <a:extLst>
            <a:ext uri="{FF2B5EF4-FFF2-40B4-BE49-F238E27FC236}">
              <a16:creationId xmlns:a16="http://schemas.microsoft.com/office/drawing/2014/main" id="{00000000-0008-0000-0100-0000B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65" name="Picture 9" descr=" ">
          <a:extLst>
            <a:ext uri="{FF2B5EF4-FFF2-40B4-BE49-F238E27FC236}">
              <a16:creationId xmlns:a16="http://schemas.microsoft.com/office/drawing/2014/main" id="{00000000-0008-0000-0100-0000B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66" name="Picture 10" descr=" ">
          <a:extLst>
            <a:ext uri="{FF2B5EF4-FFF2-40B4-BE49-F238E27FC236}">
              <a16:creationId xmlns:a16="http://schemas.microsoft.com/office/drawing/2014/main" id="{00000000-0008-0000-0100-0000B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67" name="Picture 11" descr=" ">
          <a:extLst>
            <a:ext uri="{FF2B5EF4-FFF2-40B4-BE49-F238E27FC236}">
              <a16:creationId xmlns:a16="http://schemas.microsoft.com/office/drawing/2014/main" id="{00000000-0008-0000-0100-0000B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68" name="Picture 12" descr=" ">
          <a:extLst>
            <a:ext uri="{FF2B5EF4-FFF2-40B4-BE49-F238E27FC236}">
              <a16:creationId xmlns:a16="http://schemas.microsoft.com/office/drawing/2014/main" id="{00000000-0008-0000-0100-0000B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69" name="Picture 7" descr=" ">
          <a:extLst>
            <a:ext uri="{FF2B5EF4-FFF2-40B4-BE49-F238E27FC236}">
              <a16:creationId xmlns:a16="http://schemas.microsoft.com/office/drawing/2014/main" id="{00000000-0008-0000-0100-0000B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70" name="Picture 8" descr=" ">
          <a:extLst>
            <a:ext uri="{FF2B5EF4-FFF2-40B4-BE49-F238E27FC236}">
              <a16:creationId xmlns:a16="http://schemas.microsoft.com/office/drawing/2014/main" id="{00000000-0008-0000-0100-0000B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71" name="Picture 9" descr=" ">
          <a:extLst>
            <a:ext uri="{FF2B5EF4-FFF2-40B4-BE49-F238E27FC236}">
              <a16:creationId xmlns:a16="http://schemas.microsoft.com/office/drawing/2014/main" id="{00000000-0008-0000-0100-0000B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72" name="Picture 10" descr=" ">
          <a:extLst>
            <a:ext uri="{FF2B5EF4-FFF2-40B4-BE49-F238E27FC236}">
              <a16:creationId xmlns:a16="http://schemas.microsoft.com/office/drawing/2014/main" id="{00000000-0008-0000-0100-0000B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73" name="Picture 11" descr=" ">
          <a:extLst>
            <a:ext uri="{FF2B5EF4-FFF2-40B4-BE49-F238E27FC236}">
              <a16:creationId xmlns:a16="http://schemas.microsoft.com/office/drawing/2014/main" id="{00000000-0008-0000-0100-0000B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74" name="Picture 12" descr=" ">
          <a:extLst>
            <a:ext uri="{FF2B5EF4-FFF2-40B4-BE49-F238E27FC236}">
              <a16:creationId xmlns:a16="http://schemas.microsoft.com/office/drawing/2014/main" id="{00000000-0008-0000-0100-0000B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75" name="Picture 7" descr=" ">
          <a:extLst>
            <a:ext uri="{FF2B5EF4-FFF2-40B4-BE49-F238E27FC236}">
              <a16:creationId xmlns:a16="http://schemas.microsoft.com/office/drawing/2014/main" id="{00000000-0008-0000-0100-0000B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76" name="Picture 8" descr=" ">
          <a:extLst>
            <a:ext uri="{FF2B5EF4-FFF2-40B4-BE49-F238E27FC236}">
              <a16:creationId xmlns:a16="http://schemas.microsoft.com/office/drawing/2014/main" id="{00000000-0008-0000-0100-0000B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77" name="Picture 9" descr=" ">
          <a:extLst>
            <a:ext uri="{FF2B5EF4-FFF2-40B4-BE49-F238E27FC236}">
              <a16:creationId xmlns:a16="http://schemas.microsoft.com/office/drawing/2014/main" id="{00000000-0008-0000-0100-0000B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78" name="Picture 10" descr=" ">
          <a:extLst>
            <a:ext uri="{FF2B5EF4-FFF2-40B4-BE49-F238E27FC236}">
              <a16:creationId xmlns:a16="http://schemas.microsoft.com/office/drawing/2014/main" id="{00000000-0008-0000-0100-0000B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79" name="Picture 11" descr=" ">
          <a:extLst>
            <a:ext uri="{FF2B5EF4-FFF2-40B4-BE49-F238E27FC236}">
              <a16:creationId xmlns:a16="http://schemas.microsoft.com/office/drawing/2014/main" id="{00000000-0008-0000-0100-0000B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80" name="Picture 12" descr=" ">
          <a:extLst>
            <a:ext uri="{FF2B5EF4-FFF2-40B4-BE49-F238E27FC236}">
              <a16:creationId xmlns:a16="http://schemas.microsoft.com/office/drawing/2014/main" id="{00000000-0008-0000-0100-0000C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81" name="Picture 7" descr=" ">
          <a:extLst>
            <a:ext uri="{FF2B5EF4-FFF2-40B4-BE49-F238E27FC236}">
              <a16:creationId xmlns:a16="http://schemas.microsoft.com/office/drawing/2014/main" id="{00000000-0008-0000-0100-0000C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82" name="Picture 8" descr=" ">
          <a:extLst>
            <a:ext uri="{FF2B5EF4-FFF2-40B4-BE49-F238E27FC236}">
              <a16:creationId xmlns:a16="http://schemas.microsoft.com/office/drawing/2014/main" id="{00000000-0008-0000-0100-0000C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83" name="Picture 9" descr=" ">
          <a:extLst>
            <a:ext uri="{FF2B5EF4-FFF2-40B4-BE49-F238E27FC236}">
              <a16:creationId xmlns:a16="http://schemas.microsoft.com/office/drawing/2014/main" id="{00000000-0008-0000-0100-0000C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84" name="Picture 10" descr=" ">
          <a:extLst>
            <a:ext uri="{FF2B5EF4-FFF2-40B4-BE49-F238E27FC236}">
              <a16:creationId xmlns:a16="http://schemas.microsoft.com/office/drawing/2014/main" id="{00000000-0008-0000-0100-0000C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85" name="Picture 11" descr=" ">
          <a:extLst>
            <a:ext uri="{FF2B5EF4-FFF2-40B4-BE49-F238E27FC236}">
              <a16:creationId xmlns:a16="http://schemas.microsoft.com/office/drawing/2014/main" id="{00000000-0008-0000-0100-0000C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86" name="Picture 12" descr=" ">
          <a:extLst>
            <a:ext uri="{FF2B5EF4-FFF2-40B4-BE49-F238E27FC236}">
              <a16:creationId xmlns:a16="http://schemas.microsoft.com/office/drawing/2014/main" id="{00000000-0008-0000-0100-0000C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87" name="Picture 7" descr=" ">
          <a:extLst>
            <a:ext uri="{FF2B5EF4-FFF2-40B4-BE49-F238E27FC236}">
              <a16:creationId xmlns:a16="http://schemas.microsoft.com/office/drawing/2014/main" id="{00000000-0008-0000-0100-0000C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88" name="Picture 8" descr=" ">
          <a:extLst>
            <a:ext uri="{FF2B5EF4-FFF2-40B4-BE49-F238E27FC236}">
              <a16:creationId xmlns:a16="http://schemas.microsoft.com/office/drawing/2014/main" id="{00000000-0008-0000-0100-0000C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89" name="Picture 9" descr=" ">
          <a:extLst>
            <a:ext uri="{FF2B5EF4-FFF2-40B4-BE49-F238E27FC236}">
              <a16:creationId xmlns:a16="http://schemas.microsoft.com/office/drawing/2014/main" id="{00000000-0008-0000-0100-0000C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90" name="Picture 10" descr=" ">
          <a:extLst>
            <a:ext uri="{FF2B5EF4-FFF2-40B4-BE49-F238E27FC236}">
              <a16:creationId xmlns:a16="http://schemas.microsoft.com/office/drawing/2014/main" id="{00000000-0008-0000-0100-0000C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91" name="Picture 11" descr=" ">
          <a:extLst>
            <a:ext uri="{FF2B5EF4-FFF2-40B4-BE49-F238E27FC236}">
              <a16:creationId xmlns:a16="http://schemas.microsoft.com/office/drawing/2014/main" id="{00000000-0008-0000-0100-0000C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92" name="Picture 12" descr=" ">
          <a:extLst>
            <a:ext uri="{FF2B5EF4-FFF2-40B4-BE49-F238E27FC236}">
              <a16:creationId xmlns:a16="http://schemas.microsoft.com/office/drawing/2014/main" id="{00000000-0008-0000-0100-0000C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93" name="Picture 7" descr=" ">
          <a:extLst>
            <a:ext uri="{FF2B5EF4-FFF2-40B4-BE49-F238E27FC236}">
              <a16:creationId xmlns:a16="http://schemas.microsoft.com/office/drawing/2014/main" id="{00000000-0008-0000-0100-0000C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94" name="Picture 8" descr=" ">
          <a:extLst>
            <a:ext uri="{FF2B5EF4-FFF2-40B4-BE49-F238E27FC236}">
              <a16:creationId xmlns:a16="http://schemas.microsoft.com/office/drawing/2014/main" id="{00000000-0008-0000-0100-0000C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95" name="Picture 9" descr=" ">
          <a:extLst>
            <a:ext uri="{FF2B5EF4-FFF2-40B4-BE49-F238E27FC236}">
              <a16:creationId xmlns:a16="http://schemas.microsoft.com/office/drawing/2014/main" id="{00000000-0008-0000-0100-0000C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96" name="Picture 10" descr=" ">
          <a:extLst>
            <a:ext uri="{FF2B5EF4-FFF2-40B4-BE49-F238E27FC236}">
              <a16:creationId xmlns:a16="http://schemas.microsoft.com/office/drawing/2014/main" id="{00000000-0008-0000-0100-0000D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97" name="Picture 11" descr=" ">
          <a:extLst>
            <a:ext uri="{FF2B5EF4-FFF2-40B4-BE49-F238E27FC236}">
              <a16:creationId xmlns:a16="http://schemas.microsoft.com/office/drawing/2014/main" id="{00000000-0008-0000-0100-0000D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98" name="Picture 12" descr=" ">
          <a:extLst>
            <a:ext uri="{FF2B5EF4-FFF2-40B4-BE49-F238E27FC236}">
              <a16:creationId xmlns:a16="http://schemas.microsoft.com/office/drawing/2014/main" id="{00000000-0008-0000-0100-0000D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499" name="Picture 7" descr=" ">
          <a:extLst>
            <a:ext uri="{FF2B5EF4-FFF2-40B4-BE49-F238E27FC236}">
              <a16:creationId xmlns:a16="http://schemas.microsoft.com/office/drawing/2014/main" id="{00000000-0008-0000-0100-0000D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500" name="Picture 8" descr=" ">
          <a:extLst>
            <a:ext uri="{FF2B5EF4-FFF2-40B4-BE49-F238E27FC236}">
              <a16:creationId xmlns:a16="http://schemas.microsoft.com/office/drawing/2014/main" id="{00000000-0008-0000-0100-0000D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501" name="Picture 9" descr=" ">
          <a:extLst>
            <a:ext uri="{FF2B5EF4-FFF2-40B4-BE49-F238E27FC236}">
              <a16:creationId xmlns:a16="http://schemas.microsoft.com/office/drawing/2014/main" id="{00000000-0008-0000-0100-0000D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502" name="Picture 10" descr=" ">
          <a:extLst>
            <a:ext uri="{FF2B5EF4-FFF2-40B4-BE49-F238E27FC236}">
              <a16:creationId xmlns:a16="http://schemas.microsoft.com/office/drawing/2014/main" id="{00000000-0008-0000-0100-0000D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503" name="Picture 11" descr=" ">
          <a:extLst>
            <a:ext uri="{FF2B5EF4-FFF2-40B4-BE49-F238E27FC236}">
              <a16:creationId xmlns:a16="http://schemas.microsoft.com/office/drawing/2014/main" id="{00000000-0008-0000-0100-0000D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504" name="Picture 12" descr=" ">
          <a:extLst>
            <a:ext uri="{FF2B5EF4-FFF2-40B4-BE49-F238E27FC236}">
              <a16:creationId xmlns:a16="http://schemas.microsoft.com/office/drawing/2014/main" id="{00000000-0008-0000-0100-0000D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505" name="Picture 7" descr=" ">
          <a:extLst>
            <a:ext uri="{FF2B5EF4-FFF2-40B4-BE49-F238E27FC236}">
              <a16:creationId xmlns:a16="http://schemas.microsoft.com/office/drawing/2014/main" id="{00000000-0008-0000-0100-0000D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506" name="Picture 8" descr=" ">
          <a:extLst>
            <a:ext uri="{FF2B5EF4-FFF2-40B4-BE49-F238E27FC236}">
              <a16:creationId xmlns:a16="http://schemas.microsoft.com/office/drawing/2014/main" id="{00000000-0008-0000-0100-0000D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507" name="Picture 9" descr=" ">
          <a:extLst>
            <a:ext uri="{FF2B5EF4-FFF2-40B4-BE49-F238E27FC236}">
              <a16:creationId xmlns:a16="http://schemas.microsoft.com/office/drawing/2014/main" id="{00000000-0008-0000-0100-0000D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508" name="Picture 10" descr=" ">
          <a:extLst>
            <a:ext uri="{FF2B5EF4-FFF2-40B4-BE49-F238E27FC236}">
              <a16:creationId xmlns:a16="http://schemas.microsoft.com/office/drawing/2014/main" id="{00000000-0008-0000-0100-0000D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509" name="Picture 11" descr=" ">
          <a:extLst>
            <a:ext uri="{FF2B5EF4-FFF2-40B4-BE49-F238E27FC236}">
              <a16:creationId xmlns:a16="http://schemas.microsoft.com/office/drawing/2014/main" id="{00000000-0008-0000-0100-0000D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510" name="Picture 12" descr=" ">
          <a:extLst>
            <a:ext uri="{FF2B5EF4-FFF2-40B4-BE49-F238E27FC236}">
              <a16:creationId xmlns:a16="http://schemas.microsoft.com/office/drawing/2014/main" id="{00000000-0008-0000-0100-0000D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11" name="Picture 7" descr=" ">
          <a:extLst>
            <a:ext uri="{FF2B5EF4-FFF2-40B4-BE49-F238E27FC236}">
              <a16:creationId xmlns:a16="http://schemas.microsoft.com/office/drawing/2014/main" id="{00000000-0008-0000-0100-0000D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12" name="Picture 8" descr=" ">
          <a:extLst>
            <a:ext uri="{FF2B5EF4-FFF2-40B4-BE49-F238E27FC236}">
              <a16:creationId xmlns:a16="http://schemas.microsoft.com/office/drawing/2014/main" id="{00000000-0008-0000-0100-0000E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13" name="Picture 9" descr=" ">
          <a:extLst>
            <a:ext uri="{FF2B5EF4-FFF2-40B4-BE49-F238E27FC236}">
              <a16:creationId xmlns:a16="http://schemas.microsoft.com/office/drawing/2014/main" id="{00000000-0008-0000-0100-0000E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14" name="Picture 10" descr=" ">
          <a:extLst>
            <a:ext uri="{FF2B5EF4-FFF2-40B4-BE49-F238E27FC236}">
              <a16:creationId xmlns:a16="http://schemas.microsoft.com/office/drawing/2014/main" id="{00000000-0008-0000-0100-0000E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15" name="Picture 11" descr=" ">
          <a:extLst>
            <a:ext uri="{FF2B5EF4-FFF2-40B4-BE49-F238E27FC236}">
              <a16:creationId xmlns:a16="http://schemas.microsoft.com/office/drawing/2014/main" id="{00000000-0008-0000-0100-0000E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16" name="Picture 12" descr=" ">
          <a:extLst>
            <a:ext uri="{FF2B5EF4-FFF2-40B4-BE49-F238E27FC236}">
              <a16:creationId xmlns:a16="http://schemas.microsoft.com/office/drawing/2014/main" id="{00000000-0008-0000-0100-0000E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517" name="Picture 7" descr=" ">
          <a:extLst>
            <a:ext uri="{FF2B5EF4-FFF2-40B4-BE49-F238E27FC236}">
              <a16:creationId xmlns:a16="http://schemas.microsoft.com/office/drawing/2014/main" id="{00000000-0008-0000-0100-0000E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518" name="Picture 8" descr=" ">
          <a:extLst>
            <a:ext uri="{FF2B5EF4-FFF2-40B4-BE49-F238E27FC236}">
              <a16:creationId xmlns:a16="http://schemas.microsoft.com/office/drawing/2014/main" id="{00000000-0008-0000-0100-0000E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519" name="Picture 9" descr=" ">
          <a:extLst>
            <a:ext uri="{FF2B5EF4-FFF2-40B4-BE49-F238E27FC236}">
              <a16:creationId xmlns:a16="http://schemas.microsoft.com/office/drawing/2014/main" id="{00000000-0008-0000-0100-0000E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520" name="Picture 10" descr=" ">
          <a:extLst>
            <a:ext uri="{FF2B5EF4-FFF2-40B4-BE49-F238E27FC236}">
              <a16:creationId xmlns:a16="http://schemas.microsoft.com/office/drawing/2014/main" id="{00000000-0008-0000-0100-0000E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521" name="Picture 11" descr=" ">
          <a:extLst>
            <a:ext uri="{FF2B5EF4-FFF2-40B4-BE49-F238E27FC236}">
              <a16:creationId xmlns:a16="http://schemas.microsoft.com/office/drawing/2014/main" id="{00000000-0008-0000-0100-0000E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47625</xdr:rowOff>
    </xdr:to>
    <xdr:pic>
      <xdr:nvPicPr>
        <xdr:cNvPr id="12522" name="Picture 12" descr=" ">
          <a:extLst>
            <a:ext uri="{FF2B5EF4-FFF2-40B4-BE49-F238E27FC236}">
              <a16:creationId xmlns:a16="http://schemas.microsoft.com/office/drawing/2014/main" id="{00000000-0008-0000-0100-0000E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2242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51435</xdr:rowOff>
    </xdr:to>
    <xdr:pic>
      <xdr:nvPicPr>
        <xdr:cNvPr id="12523" name="Picture 7" descr=" ">
          <a:extLst>
            <a:ext uri="{FF2B5EF4-FFF2-40B4-BE49-F238E27FC236}">
              <a16:creationId xmlns:a16="http://schemas.microsoft.com/office/drawing/2014/main" id="{00000000-0008-0000-0100-0000E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79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51435</xdr:rowOff>
    </xdr:to>
    <xdr:pic>
      <xdr:nvPicPr>
        <xdr:cNvPr id="12524" name="Picture 8" descr=" ">
          <a:extLst>
            <a:ext uri="{FF2B5EF4-FFF2-40B4-BE49-F238E27FC236}">
              <a16:creationId xmlns:a16="http://schemas.microsoft.com/office/drawing/2014/main" id="{00000000-0008-0000-0100-0000E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79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51435</xdr:rowOff>
    </xdr:to>
    <xdr:pic>
      <xdr:nvPicPr>
        <xdr:cNvPr id="12525" name="Picture 9" descr=" ">
          <a:extLst>
            <a:ext uri="{FF2B5EF4-FFF2-40B4-BE49-F238E27FC236}">
              <a16:creationId xmlns:a16="http://schemas.microsoft.com/office/drawing/2014/main" id="{00000000-0008-0000-0100-0000E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79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51435</xdr:rowOff>
    </xdr:to>
    <xdr:pic>
      <xdr:nvPicPr>
        <xdr:cNvPr id="12526" name="Picture 10" descr=" ">
          <a:extLst>
            <a:ext uri="{FF2B5EF4-FFF2-40B4-BE49-F238E27FC236}">
              <a16:creationId xmlns:a16="http://schemas.microsoft.com/office/drawing/2014/main" id="{00000000-0008-0000-0100-0000E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79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51435</xdr:rowOff>
    </xdr:to>
    <xdr:pic>
      <xdr:nvPicPr>
        <xdr:cNvPr id="12527" name="Picture 11" descr=" ">
          <a:extLst>
            <a:ext uri="{FF2B5EF4-FFF2-40B4-BE49-F238E27FC236}">
              <a16:creationId xmlns:a16="http://schemas.microsoft.com/office/drawing/2014/main" id="{00000000-0008-0000-0100-0000E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79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51435</xdr:rowOff>
    </xdr:to>
    <xdr:pic>
      <xdr:nvPicPr>
        <xdr:cNvPr id="12528" name="Picture 12" descr=" ">
          <a:extLst>
            <a:ext uri="{FF2B5EF4-FFF2-40B4-BE49-F238E27FC236}">
              <a16:creationId xmlns:a16="http://schemas.microsoft.com/office/drawing/2014/main" id="{00000000-0008-0000-0100-0000F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079575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29" name="Picture 7" descr=" ">
          <a:extLst>
            <a:ext uri="{FF2B5EF4-FFF2-40B4-BE49-F238E27FC236}">
              <a16:creationId xmlns:a16="http://schemas.microsoft.com/office/drawing/2014/main" id="{00000000-0008-0000-0100-0000F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30" name="Picture 8" descr=" ">
          <a:extLst>
            <a:ext uri="{FF2B5EF4-FFF2-40B4-BE49-F238E27FC236}">
              <a16:creationId xmlns:a16="http://schemas.microsoft.com/office/drawing/2014/main" id="{00000000-0008-0000-0100-0000F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31" name="Picture 9" descr=" ">
          <a:extLst>
            <a:ext uri="{FF2B5EF4-FFF2-40B4-BE49-F238E27FC236}">
              <a16:creationId xmlns:a16="http://schemas.microsoft.com/office/drawing/2014/main" id="{00000000-0008-0000-0100-0000F3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32" name="Picture 10" descr=" ">
          <a:extLst>
            <a:ext uri="{FF2B5EF4-FFF2-40B4-BE49-F238E27FC236}">
              <a16:creationId xmlns:a16="http://schemas.microsoft.com/office/drawing/2014/main" id="{00000000-0008-0000-0100-0000F4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33" name="Picture 11" descr=" ">
          <a:extLst>
            <a:ext uri="{FF2B5EF4-FFF2-40B4-BE49-F238E27FC236}">
              <a16:creationId xmlns:a16="http://schemas.microsoft.com/office/drawing/2014/main" id="{00000000-0008-0000-0100-0000F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34" name="Picture 12" descr=" ">
          <a:extLst>
            <a:ext uri="{FF2B5EF4-FFF2-40B4-BE49-F238E27FC236}">
              <a16:creationId xmlns:a16="http://schemas.microsoft.com/office/drawing/2014/main" id="{00000000-0008-0000-0100-0000F6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35" name="Picture 7" descr=" ">
          <a:extLst>
            <a:ext uri="{FF2B5EF4-FFF2-40B4-BE49-F238E27FC236}">
              <a16:creationId xmlns:a16="http://schemas.microsoft.com/office/drawing/2014/main" id="{00000000-0008-0000-0100-0000F7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36" name="Picture 8" descr=" ">
          <a:extLst>
            <a:ext uri="{FF2B5EF4-FFF2-40B4-BE49-F238E27FC236}">
              <a16:creationId xmlns:a16="http://schemas.microsoft.com/office/drawing/2014/main" id="{00000000-0008-0000-0100-0000F8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37" name="Picture 9" descr=" ">
          <a:extLst>
            <a:ext uri="{FF2B5EF4-FFF2-40B4-BE49-F238E27FC236}">
              <a16:creationId xmlns:a16="http://schemas.microsoft.com/office/drawing/2014/main" id="{00000000-0008-0000-0100-0000F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38" name="Picture 10" descr=" ">
          <a:extLst>
            <a:ext uri="{FF2B5EF4-FFF2-40B4-BE49-F238E27FC236}">
              <a16:creationId xmlns:a16="http://schemas.microsoft.com/office/drawing/2014/main" id="{00000000-0008-0000-0100-0000FA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39" name="Picture 11" descr=" ">
          <a:extLst>
            <a:ext uri="{FF2B5EF4-FFF2-40B4-BE49-F238E27FC236}">
              <a16:creationId xmlns:a16="http://schemas.microsoft.com/office/drawing/2014/main" id="{00000000-0008-0000-0100-0000FB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40" name="Picture 12" descr=" ">
          <a:extLst>
            <a:ext uri="{FF2B5EF4-FFF2-40B4-BE49-F238E27FC236}">
              <a16:creationId xmlns:a16="http://schemas.microsoft.com/office/drawing/2014/main" id="{00000000-0008-0000-0100-0000FC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41" name="Picture 7" descr=" ">
          <a:extLst>
            <a:ext uri="{FF2B5EF4-FFF2-40B4-BE49-F238E27FC236}">
              <a16:creationId xmlns:a16="http://schemas.microsoft.com/office/drawing/2014/main" id="{00000000-0008-0000-0100-0000FD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42" name="Picture 8" descr=" ">
          <a:extLst>
            <a:ext uri="{FF2B5EF4-FFF2-40B4-BE49-F238E27FC236}">
              <a16:creationId xmlns:a16="http://schemas.microsoft.com/office/drawing/2014/main" id="{00000000-0008-0000-0100-0000FE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43" name="Picture 9" descr=" ">
          <a:extLst>
            <a:ext uri="{FF2B5EF4-FFF2-40B4-BE49-F238E27FC236}">
              <a16:creationId xmlns:a16="http://schemas.microsoft.com/office/drawing/2014/main" id="{00000000-0008-0000-0100-0000FF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44" name="Picture 10" descr=" ">
          <a:extLst>
            <a:ext uri="{FF2B5EF4-FFF2-40B4-BE49-F238E27FC236}">
              <a16:creationId xmlns:a16="http://schemas.microsoft.com/office/drawing/2014/main" id="{00000000-0008-0000-0100-000000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45" name="Picture 11" descr=" ">
          <a:extLst>
            <a:ext uri="{FF2B5EF4-FFF2-40B4-BE49-F238E27FC236}">
              <a16:creationId xmlns:a16="http://schemas.microsoft.com/office/drawing/2014/main" id="{00000000-0008-0000-0100-000001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46" name="Picture 12" descr=" ">
          <a:extLst>
            <a:ext uri="{FF2B5EF4-FFF2-40B4-BE49-F238E27FC236}">
              <a16:creationId xmlns:a16="http://schemas.microsoft.com/office/drawing/2014/main" id="{00000000-0008-0000-0100-000002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47" name="Picture 7" descr=" ">
          <a:extLst>
            <a:ext uri="{FF2B5EF4-FFF2-40B4-BE49-F238E27FC236}">
              <a16:creationId xmlns:a16="http://schemas.microsoft.com/office/drawing/2014/main" id="{00000000-0008-0000-0100-000003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48" name="Picture 8" descr=" ">
          <a:extLst>
            <a:ext uri="{FF2B5EF4-FFF2-40B4-BE49-F238E27FC236}">
              <a16:creationId xmlns:a16="http://schemas.microsoft.com/office/drawing/2014/main" id="{00000000-0008-0000-0100-000004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49" name="Picture 9" descr=" ">
          <a:extLst>
            <a:ext uri="{FF2B5EF4-FFF2-40B4-BE49-F238E27FC236}">
              <a16:creationId xmlns:a16="http://schemas.microsoft.com/office/drawing/2014/main" id="{00000000-0008-0000-0100-000005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50" name="Picture 10" descr=" ">
          <a:extLst>
            <a:ext uri="{FF2B5EF4-FFF2-40B4-BE49-F238E27FC236}">
              <a16:creationId xmlns:a16="http://schemas.microsoft.com/office/drawing/2014/main" id="{00000000-0008-0000-0100-000006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51" name="Picture 11" descr=" ">
          <a:extLst>
            <a:ext uri="{FF2B5EF4-FFF2-40B4-BE49-F238E27FC236}">
              <a16:creationId xmlns:a16="http://schemas.microsoft.com/office/drawing/2014/main" id="{00000000-0008-0000-0100-000007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52" name="Picture 12" descr=" ">
          <a:extLst>
            <a:ext uri="{FF2B5EF4-FFF2-40B4-BE49-F238E27FC236}">
              <a16:creationId xmlns:a16="http://schemas.microsoft.com/office/drawing/2014/main" id="{00000000-0008-0000-0100-000008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53" name="Picture 7" descr=" ">
          <a:extLst>
            <a:ext uri="{FF2B5EF4-FFF2-40B4-BE49-F238E27FC236}">
              <a16:creationId xmlns:a16="http://schemas.microsoft.com/office/drawing/2014/main" id="{00000000-0008-0000-0100-000009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54" name="Picture 8" descr=" ">
          <a:extLst>
            <a:ext uri="{FF2B5EF4-FFF2-40B4-BE49-F238E27FC236}">
              <a16:creationId xmlns:a16="http://schemas.microsoft.com/office/drawing/2014/main" id="{00000000-0008-0000-0100-00000A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55" name="Picture 9" descr=" ">
          <a:extLst>
            <a:ext uri="{FF2B5EF4-FFF2-40B4-BE49-F238E27FC236}">
              <a16:creationId xmlns:a16="http://schemas.microsoft.com/office/drawing/2014/main" id="{00000000-0008-0000-0100-00000B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56" name="Picture 10" descr=" ">
          <a:extLst>
            <a:ext uri="{FF2B5EF4-FFF2-40B4-BE49-F238E27FC236}">
              <a16:creationId xmlns:a16="http://schemas.microsoft.com/office/drawing/2014/main" id="{00000000-0008-0000-0100-00000C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57" name="Picture 11" descr=" ">
          <a:extLst>
            <a:ext uri="{FF2B5EF4-FFF2-40B4-BE49-F238E27FC236}">
              <a16:creationId xmlns:a16="http://schemas.microsoft.com/office/drawing/2014/main" id="{00000000-0008-0000-0100-00000D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58" name="Picture 12" descr=" ">
          <a:extLst>
            <a:ext uri="{FF2B5EF4-FFF2-40B4-BE49-F238E27FC236}">
              <a16:creationId xmlns:a16="http://schemas.microsoft.com/office/drawing/2014/main" id="{00000000-0008-0000-0100-00000E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59" name="Picture 7" descr=" ">
          <a:extLst>
            <a:ext uri="{FF2B5EF4-FFF2-40B4-BE49-F238E27FC236}">
              <a16:creationId xmlns:a16="http://schemas.microsoft.com/office/drawing/2014/main" id="{00000000-0008-0000-0100-00000F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60" name="Picture 8" descr=" ">
          <a:extLst>
            <a:ext uri="{FF2B5EF4-FFF2-40B4-BE49-F238E27FC236}">
              <a16:creationId xmlns:a16="http://schemas.microsoft.com/office/drawing/2014/main" id="{00000000-0008-0000-0100-000010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61" name="Picture 9" descr=" ">
          <a:extLst>
            <a:ext uri="{FF2B5EF4-FFF2-40B4-BE49-F238E27FC236}">
              <a16:creationId xmlns:a16="http://schemas.microsoft.com/office/drawing/2014/main" id="{00000000-0008-0000-0100-000011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62" name="Picture 10" descr=" ">
          <a:extLst>
            <a:ext uri="{FF2B5EF4-FFF2-40B4-BE49-F238E27FC236}">
              <a16:creationId xmlns:a16="http://schemas.microsoft.com/office/drawing/2014/main" id="{00000000-0008-0000-0100-000012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63" name="Picture 11" descr=" ">
          <a:extLst>
            <a:ext uri="{FF2B5EF4-FFF2-40B4-BE49-F238E27FC236}">
              <a16:creationId xmlns:a16="http://schemas.microsoft.com/office/drawing/2014/main" id="{00000000-0008-0000-0100-000013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64" name="Picture 12" descr=" ">
          <a:extLst>
            <a:ext uri="{FF2B5EF4-FFF2-40B4-BE49-F238E27FC236}">
              <a16:creationId xmlns:a16="http://schemas.microsoft.com/office/drawing/2014/main" id="{00000000-0008-0000-0100-000014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65" name="Picture 7" descr=" ">
          <a:extLst>
            <a:ext uri="{FF2B5EF4-FFF2-40B4-BE49-F238E27FC236}">
              <a16:creationId xmlns:a16="http://schemas.microsoft.com/office/drawing/2014/main" id="{00000000-0008-0000-0100-000015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66" name="Picture 8" descr=" ">
          <a:extLst>
            <a:ext uri="{FF2B5EF4-FFF2-40B4-BE49-F238E27FC236}">
              <a16:creationId xmlns:a16="http://schemas.microsoft.com/office/drawing/2014/main" id="{00000000-0008-0000-0100-000016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67" name="Picture 9" descr=" ">
          <a:extLst>
            <a:ext uri="{FF2B5EF4-FFF2-40B4-BE49-F238E27FC236}">
              <a16:creationId xmlns:a16="http://schemas.microsoft.com/office/drawing/2014/main" id="{00000000-0008-0000-0100-000017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68" name="Picture 10" descr=" ">
          <a:extLst>
            <a:ext uri="{FF2B5EF4-FFF2-40B4-BE49-F238E27FC236}">
              <a16:creationId xmlns:a16="http://schemas.microsoft.com/office/drawing/2014/main" id="{00000000-0008-0000-0100-000018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69" name="Picture 11" descr=" ">
          <a:extLst>
            <a:ext uri="{FF2B5EF4-FFF2-40B4-BE49-F238E27FC236}">
              <a16:creationId xmlns:a16="http://schemas.microsoft.com/office/drawing/2014/main" id="{00000000-0008-0000-0100-000019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70" name="Picture 12" descr=" ">
          <a:extLst>
            <a:ext uri="{FF2B5EF4-FFF2-40B4-BE49-F238E27FC236}">
              <a16:creationId xmlns:a16="http://schemas.microsoft.com/office/drawing/2014/main" id="{00000000-0008-0000-0100-00001A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71" name="Picture 7" descr=" ">
          <a:extLst>
            <a:ext uri="{FF2B5EF4-FFF2-40B4-BE49-F238E27FC236}">
              <a16:creationId xmlns:a16="http://schemas.microsoft.com/office/drawing/2014/main" id="{00000000-0008-0000-0100-00001B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72" name="Picture 8" descr=" ">
          <a:extLst>
            <a:ext uri="{FF2B5EF4-FFF2-40B4-BE49-F238E27FC236}">
              <a16:creationId xmlns:a16="http://schemas.microsoft.com/office/drawing/2014/main" id="{00000000-0008-0000-0100-00001C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73" name="Picture 9" descr=" ">
          <a:extLst>
            <a:ext uri="{FF2B5EF4-FFF2-40B4-BE49-F238E27FC236}">
              <a16:creationId xmlns:a16="http://schemas.microsoft.com/office/drawing/2014/main" id="{00000000-0008-0000-0100-00001D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74" name="Picture 10" descr=" ">
          <a:extLst>
            <a:ext uri="{FF2B5EF4-FFF2-40B4-BE49-F238E27FC236}">
              <a16:creationId xmlns:a16="http://schemas.microsoft.com/office/drawing/2014/main" id="{00000000-0008-0000-0100-00001E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75" name="Picture 11" descr=" ">
          <a:extLst>
            <a:ext uri="{FF2B5EF4-FFF2-40B4-BE49-F238E27FC236}">
              <a16:creationId xmlns:a16="http://schemas.microsoft.com/office/drawing/2014/main" id="{00000000-0008-0000-0100-00001F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76" name="Picture 12" descr=" ">
          <a:extLst>
            <a:ext uri="{FF2B5EF4-FFF2-40B4-BE49-F238E27FC236}">
              <a16:creationId xmlns:a16="http://schemas.microsoft.com/office/drawing/2014/main" id="{00000000-0008-0000-0100-000020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77" name="Picture 7" descr=" ">
          <a:extLst>
            <a:ext uri="{FF2B5EF4-FFF2-40B4-BE49-F238E27FC236}">
              <a16:creationId xmlns:a16="http://schemas.microsoft.com/office/drawing/2014/main" id="{00000000-0008-0000-0100-000021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78" name="Picture 8" descr=" ">
          <a:extLst>
            <a:ext uri="{FF2B5EF4-FFF2-40B4-BE49-F238E27FC236}">
              <a16:creationId xmlns:a16="http://schemas.microsoft.com/office/drawing/2014/main" id="{00000000-0008-0000-0100-000022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79" name="Picture 9" descr=" ">
          <a:extLst>
            <a:ext uri="{FF2B5EF4-FFF2-40B4-BE49-F238E27FC236}">
              <a16:creationId xmlns:a16="http://schemas.microsoft.com/office/drawing/2014/main" id="{00000000-0008-0000-0100-000023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80" name="Picture 10" descr=" ">
          <a:extLst>
            <a:ext uri="{FF2B5EF4-FFF2-40B4-BE49-F238E27FC236}">
              <a16:creationId xmlns:a16="http://schemas.microsoft.com/office/drawing/2014/main" id="{00000000-0008-0000-0100-000024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81" name="Picture 11" descr=" ">
          <a:extLst>
            <a:ext uri="{FF2B5EF4-FFF2-40B4-BE49-F238E27FC236}">
              <a16:creationId xmlns:a16="http://schemas.microsoft.com/office/drawing/2014/main" id="{00000000-0008-0000-0100-000025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47625</xdr:rowOff>
    </xdr:to>
    <xdr:pic>
      <xdr:nvPicPr>
        <xdr:cNvPr id="12582" name="Picture 12" descr=" ">
          <a:extLst>
            <a:ext uri="{FF2B5EF4-FFF2-40B4-BE49-F238E27FC236}">
              <a16:creationId xmlns:a16="http://schemas.microsoft.com/office/drawing/2014/main" id="{00000000-0008-0000-0100-000026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9525</xdr:colOff>
      <xdr:row>10</xdr:row>
      <xdr:rowOff>38100</xdr:rowOff>
    </xdr:to>
    <xdr:pic>
      <xdr:nvPicPr>
        <xdr:cNvPr id="3350" name="Picture 7" descr=" ">
          <a:extLst>
            <a:ext uri="{FF2B5EF4-FFF2-40B4-BE49-F238E27FC236}">
              <a16:creationId xmlns:a16="http://schemas.microsoft.com/office/drawing/2014/main" id="{652EF509-DA83-49BD-84DB-F63DD9C29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6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9525</xdr:colOff>
      <xdr:row>10</xdr:row>
      <xdr:rowOff>38100</xdr:rowOff>
    </xdr:to>
    <xdr:pic>
      <xdr:nvPicPr>
        <xdr:cNvPr id="3351" name="Picture 8" descr=" ">
          <a:extLst>
            <a:ext uri="{FF2B5EF4-FFF2-40B4-BE49-F238E27FC236}">
              <a16:creationId xmlns:a16="http://schemas.microsoft.com/office/drawing/2014/main" id="{E5E780E1-A9A6-4588-B20B-32F319E7A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6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9525</xdr:colOff>
      <xdr:row>10</xdr:row>
      <xdr:rowOff>38100</xdr:rowOff>
    </xdr:to>
    <xdr:pic>
      <xdr:nvPicPr>
        <xdr:cNvPr id="3352" name="Picture 9" descr=" ">
          <a:extLst>
            <a:ext uri="{FF2B5EF4-FFF2-40B4-BE49-F238E27FC236}">
              <a16:creationId xmlns:a16="http://schemas.microsoft.com/office/drawing/2014/main" id="{25A59B8F-C914-4064-827A-8A793A8A0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6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9525</xdr:colOff>
      <xdr:row>10</xdr:row>
      <xdr:rowOff>38100</xdr:rowOff>
    </xdr:to>
    <xdr:pic>
      <xdr:nvPicPr>
        <xdr:cNvPr id="3353" name="Picture 10" descr=" ">
          <a:extLst>
            <a:ext uri="{FF2B5EF4-FFF2-40B4-BE49-F238E27FC236}">
              <a16:creationId xmlns:a16="http://schemas.microsoft.com/office/drawing/2014/main" id="{42E826A9-C3F3-45B8-A9CC-CD5B81A44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6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9525</xdr:colOff>
      <xdr:row>10</xdr:row>
      <xdr:rowOff>38100</xdr:rowOff>
    </xdr:to>
    <xdr:pic>
      <xdr:nvPicPr>
        <xdr:cNvPr id="3354" name="Picture 11" descr=" ">
          <a:extLst>
            <a:ext uri="{FF2B5EF4-FFF2-40B4-BE49-F238E27FC236}">
              <a16:creationId xmlns:a16="http://schemas.microsoft.com/office/drawing/2014/main" id="{79964DC7-74DE-47CA-985F-3D4DCB435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6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9525</xdr:colOff>
      <xdr:row>10</xdr:row>
      <xdr:rowOff>38100</xdr:rowOff>
    </xdr:to>
    <xdr:pic>
      <xdr:nvPicPr>
        <xdr:cNvPr id="3355" name="Picture 12" descr=" ">
          <a:extLst>
            <a:ext uri="{FF2B5EF4-FFF2-40B4-BE49-F238E27FC236}">
              <a16:creationId xmlns:a16="http://schemas.microsoft.com/office/drawing/2014/main" id="{ACDA00B7-75C8-478B-A0B1-EDE4A2E6A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6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9525</xdr:colOff>
      <xdr:row>13</xdr:row>
      <xdr:rowOff>0</xdr:rowOff>
    </xdr:to>
    <xdr:pic>
      <xdr:nvPicPr>
        <xdr:cNvPr id="3356" name="Picture 7" descr=" ">
          <a:extLst>
            <a:ext uri="{FF2B5EF4-FFF2-40B4-BE49-F238E27FC236}">
              <a16:creationId xmlns:a16="http://schemas.microsoft.com/office/drawing/2014/main" id="{2B9CD818-9788-44E7-96F7-C3B12B11C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546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9525</xdr:colOff>
      <xdr:row>13</xdr:row>
      <xdr:rowOff>0</xdr:rowOff>
    </xdr:to>
    <xdr:pic>
      <xdr:nvPicPr>
        <xdr:cNvPr id="3357" name="Picture 8" descr=" ">
          <a:extLst>
            <a:ext uri="{FF2B5EF4-FFF2-40B4-BE49-F238E27FC236}">
              <a16:creationId xmlns:a16="http://schemas.microsoft.com/office/drawing/2014/main" id="{C4E5BB5B-19CE-4134-A37B-57C9F24F9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546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9525</xdr:colOff>
      <xdr:row>13</xdr:row>
      <xdr:rowOff>0</xdr:rowOff>
    </xdr:to>
    <xdr:pic>
      <xdr:nvPicPr>
        <xdr:cNvPr id="3358" name="Picture 9" descr=" ">
          <a:extLst>
            <a:ext uri="{FF2B5EF4-FFF2-40B4-BE49-F238E27FC236}">
              <a16:creationId xmlns:a16="http://schemas.microsoft.com/office/drawing/2014/main" id="{EA31B37F-4FEF-4604-B57E-5754D068E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546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9525</xdr:colOff>
      <xdr:row>13</xdr:row>
      <xdr:rowOff>0</xdr:rowOff>
    </xdr:to>
    <xdr:pic>
      <xdr:nvPicPr>
        <xdr:cNvPr id="3359" name="Picture 10" descr=" ">
          <a:extLst>
            <a:ext uri="{FF2B5EF4-FFF2-40B4-BE49-F238E27FC236}">
              <a16:creationId xmlns:a16="http://schemas.microsoft.com/office/drawing/2014/main" id="{90FA4992-9F76-4E6A-BC9B-700968648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546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9525</xdr:colOff>
      <xdr:row>13</xdr:row>
      <xdr:rowOff>0</xdr:rowOff>
    </xdr:to>
    <xdr:pic>
      <xdr:nvPicPr>
        <xdr:cNvPr id="3360" name="Picture 11" descr=" ">
          <a:extLst>
            <a:ext uri="{FF2B5EF4-FFF2-40B4-BE49-F238E27FC236}">
              <a16:creationId xmlns:a16="http://schemas.microsoft.com/office/drawing/2014/main" id="{54037319-845D-4E46-BD7E-0A1F5906D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546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9525</xdr:colOff>
      <xdr:row>13</xdr:row>
      <xdr:rowOff>0</xdr:rowOff>
    </xdr:to>
    <xdr:pic>
      <xdr:nvPicPr>
        <xdr:cNvPr id="3361" name="Picture 12" descr=" ">
          <a:extLst>
            <a:ext uri="{FF2B5EF4-FFF2-40B4-BE49-F238E27FC236}">
              <a16:creationId xmlns:a16="http://schemas.microsoft.com/office/drawing/2014/main" id="{09615F47-82F1-44DB-85AE-32787FA08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546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9525</xdr:colOff>
      <xdr:row>14</xdr:row>
      <xdr:rowOff>38100</xdr:rowOff>
    </xdr:to>
    <xdr:pic>
      <xdr:nvPicPr>
        <xdr:cNvPr id="3362" name="Picture 7" descr=" ">
          <a:extLst>
            <a:ext uri="{FF2B5EF4-FFF2-40B4-BE49-F238E27FC236}">
              <a16:creationId xmlns:a16="http://schemas.microsoft.com/office/drawing/2014/main" id="{CD49F2CB-8A1A-4357-82F3-C3219312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4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9525</xdr:colOff>
      <xdr:row>14</xdr:row>
      <xdr:rowOff>38100</xdr:rowOff>
    </xdr:to>
    <xdr:pic>
      <xdr:nvPicPr>
        <xdr:cNvPr id="3363" name="Picture 8" descr=" ">
          <a:extLst>
            <a:ext uri="{FF2B5EF4-FFF2-40B4-BE49-F238E27FC236}">
              <a16:creationId xmlns:a16="http://schemas.microsoft.com/office/drawing/2014/main" id="{73FB751A-474B-453A-8275-EA062A07E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4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9525</xdr:colOff>
      <xdr:row>14</xdr:row>
      <xdr:rowOff>38100</xdr:rowOff>
    </xdr:to>
    <xdr:pic>
      <xdr:nvPicPr>
        <xdr:cNvPr id="3364" name="Picture 9" descr=" ">
          <a:extLst>
            <a:ext uri="{FF2B5EF4-FFF2-40B4-BE49-F238E27FC236}">
              <a16:creationId xmlns:a16="http://schemas.microsoft.com/office/drawing/2014/main" id="{3AAEAC82-6F92-4F66-877E-B35236EAB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4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9525</xdr:colOff>
      <xdr:row>14</xdr:row>
      <xdr:rowOff>38100</xdr:rowOff>
    </xdr:to>
    <xdr:pic>
      <xdr:nvPicPr>
        <xdr:cNvPr id="3365" name="Picture 10" descr=" ">
          <a:extLst>
            <a:ext uri="{FF2B5EF4-FFF2-40B4-BE49-F238E27FC236}">
              <a16:creationId xmlns:a16="http://schemas.microsoft.com/office/drawing/2014/main" id="{10B643AD-3D5B-442A-8D79-C2BCA1988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4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9525</xdr:colOff>
      <xdr:row>14</xdr:row>
      <xdr:rowOff>38100</xdr:rowOff>
    </xdr:to>
    <xdr:pic>
      <xdr:nvPicPr>
        <xdr:cNvPr id="3366" name="Picture 11" descr=" ">
          <a:extLst>
            <a:ext uri="{FF2B5EF4-FFF2-40B4-BE49-F238E27FC236}">
              <a16:creationId xmlns:a16="http://schemas.microsoft.com/office/drawing/2014/main" id="{9E01BF59-A1DE-4333-AFF9-E6F73EBF0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4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9525</xdr:colOff>
      <xdr:row>14</xdr:row>
      <xdr:rowOff>38100</xdr:rowOff>
    </xdr:to>
    <xdr:pic>
      <xdr:nvPicPr>
        <xdr:cNvPr id="3367" name="Picture 12" descr=" ">
          <a:extLst>
            <a:ext uri="{FF2B5EF4-FFF2-40B4-BE49-F238E27FC236}">
              <a16:creationId xmlns:a16="http://schemas.microsoft.com/office/drawing/2014/main" id="{9E7B0714-E770-4183-9736-0383B549A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4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15</xdr:row>
      <xdr:rowOff>38100</xdr:rowOff>
    </xdr:to>
    <xdr:pic>
      <xdr:nvPicPr>
        <xdr:cNvPr id="3368" name="Picture 7" descr=" ">
          <a:extLst>
            <a:ext uri="{FF2B5EF4-FFF2-40B4-BE49-F238E27FC236}">
              <a16:creationId xmlns:a16="http://schemas.microsoft.com/office/drawing/2014/main" id="{A5246D6C-0FA5-4028-BFD2-A36646F6F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6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15</xdr:row>
      <xdr:rowOff>38100</xdr:rowOff>
    </xdr:to>
    <xdr:pic>
      <xdr:nvPicPr>
        <xdr:cNvPr id="3369" name="Picture 8" descr=" ">
          <a:extLst>
            <a:ext uri="{FF2B5EF4-FFF2-40B4-BE49-F238E27FC236}">
              <a16:creationId xmlns:a16="http://schemas.microsoft.com/office/drawing/2014/main" id="{30D814D2-BF31-48BB-9C99-77FF62ED6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6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15</xdr:row>
      <xdr:rowOff>38100</xdr:rowOff>
    </xdr:to>
    <xdr:pic>
      <xdr:nvPicPr>
        <xdr:cNvPr id="3370" name="Picture 9" descr=" ">
          <a:extLst>
            <a:ext uri="{FF2B5EF4-FFF2-40B4-BE49-F238E27FC236}">
              <a16:creationId xmlns:a16="http://schemas.microsoft.com/office/drawing/2014/main" id="{9349F819-01F6-4044-878C-BCA5927C1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6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15</xdr:row>
      <xdr:rowOff>38100</xdr:rowOff>
    </xdr:to>
    <xdr:pic>
      <xdr:nvPicPr>
        <xdr:cNvPr id="3371" name="Picture 10" descr=" ">
          <a:extLst>
            <a:ext uri="{FF2B5EF4-FFF2-40B4-BE49-F238E27FC236}">
              <a16:creationId xmlns:a16="http://schemas.microsoft.com/office/drawing/2014/main" id="{27A59CA0-8B99-4DA4-822B-669C0B76C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6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15</xdr:row>
      <xdr:rowOff>38100</xdr:rowOff>
    </xdr:to>
    <xdr:pic>
      <xdr:nvPicPr>
        <xdr:cNvPr id="3372" name="Picture 11" descr=" ">
          <a:extLst>
            <a:ext uri="{FF2B5EF4-FFF2-40B4-BE49-F238E27FC236}">
              <a16:creationId xmlns:a16="http://schemas.microsoft.com/office/drawing/2014/main" id="{C4DB665F-DB37-4E3B-B522-C0364B277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6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9525</xdr:colOff>
      <xdr:row>15</xdr:row>
      <xdr:rowOff>38100</xdr:rowOff>
    </xdr:to>
    <xdr:pic>
      <xdr:nvPicPr>
        <xdr:cNvPr id="3373" name="Picture 12" descr=" ">
          <a:extLst>
            <a:ext uri="{FF2B5EF4-FFF2-40B4-BE49-F238E27FC236}">
              <a16:creationId xmlns:a16="http://schemas.microsoft.com/office/drawing/2014/main" id="{31B0D737-D7EB-4703-8CC0-86AB6FCF9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6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9525</xdr:colOff>
      <xdr:row>16</xdr:row>
      <xdr:rowOff>38100</xdr:rowOff>
    </xdr:to>
    <xdr:pic>
      <xdr:nvPicPr>
        <xdr:cNvPr id="3374" name="Picture 7" descr=" ">
          <a:extLst>
            <a:ext uri="{FF2B5EF4-FFF2-40B4-BE49-F238E27FC236}">
              <a16:creationId xmlns:a16="http://schemas.microsoft.com/office/drawing/2014/main" id="{0188E84A-77FF-4163-BDF9-5FFDE07F2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9525</xdr:colOff>
      <xdr:row>16</xdr:row>
      <xdr:rowOff>38100</xdr:rowOff>
    </xdr:to>
    <xdr:pic>
      <xdr:nvPicPr>
        <xdr:cNvPr id="3375" name="Picture 8" descr=" ">
          <a:extLst>
            <a:ext uri="{FF2B5EF4-FFF2-40B4-BE49-F238E27FC236}">
              <a16:creationId xmlns:a16="http://schemas.microsoft.com/office/drawing/2014/main" id="{C85861B6-3D35-43C2-A4FE-974C0D292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9525</xdr:colOff>
      <xdr:row>16</xdr:row>
      <xdr:rowOff>38100</xdr:rowOff>
    </xdr:to>
    <xdr:pic>
      <xdr:nvPicPr>
        <xdr:cNvPr id="3376" name="Picture 9" descr=" ">
          <a:extLst>
            <a:ext uri="{FF2B5EF4-FFF2-40B4-BE49-F238E27FC236}">
              <a16:creationId xmlns:a16="http://schemas.microsoft.com/office/drawing/2014/main" id="{82171523-10E4-4CD7-8A8D-A66BA8461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9525</xdr:colOff>
      <xdr:row>16</xdr:row>
      <xdr:rowOff>38100</xdr:rowOff>
    </xdr:to>
    <xdr:pic>
      <xdr:nvPicPr>
        <xdr:cNvPr id="3377" name="Picture 10" descr=" ">
          <a:extLst>
            <a:ext uri="{FF2B5EF4-FFF2-40B4-BE49-F238E27FC236}">
              <a16:creationId xmlns:a16="http://schemas.microsoft.com/office/drawing/2014/main" id="{43A2D8C5-4A0A-4817-B20D-1F6AAF1C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9525</xdr:colOff>
      <xdr:row>16</xdr:row>
      <xdr:rowOff>38100</xdr:rowOff>
    </xdr:to>
    <xdr:pic>
      <xdr:nvPicPr>
        <xdr:cNvPr id="3378" name="Picture 11" descr=" ">
          <a:extLst>
            <a:ext uri="{FF2B5EF4-FFF2-40B4-BE49-F238E27FC236}">
              <a16:creationId xmlns:a16="http://schemas.microsoft.com/office/drawing/2014/main" id="{09F18703-CE53-4AA9-8FE5-85A5C1BA0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9525</xdr:colOff>
      <xdr:row>16</xdr:row>
      <xdr:rowOff>38100</xdr:rowOff>
    </xdr:to>
    <xdr:pic>
      <xdr:nvPicPr>
        <xdr:cNvPr id="3379" name="Picture 12" descr=" ">
          <a:extLst>
            <a:ext uri="{FF2B5EF4-FFF2-40B4-BE49-F238E27FC236}">
              <a16:creationId xmlns:a16="http://schemas.microsoft.com/office/drawing/2014/main" id="{18D179E0-8756-4D05-94FB-3024728EA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9525</xdr:colOff>
      <xdr:row>17</xdr:row>
      <xdr:rowOff>38100</xdr:rowOff>
    </xdr:to>
    <xdr:pic>
      <xdr:nvPicPr>
        <xdr:cNvPr id="3380" name="Picture 7" descr=" ">
          <a:extLst>
            <a:ext uri="{FF2B5EF4-FFF2-40B4-BE49-F238E27FC236}">
              <a16:creationId xmlns:a16="http://schemas.microsoft.com/office/drawing/2014/main" id="{16842EE0-D019-4576-B962-807E52950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2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9525</xdr:colOff>
      <xdr:row>17</xdr:row>
      <xdr:rowOff>38100</xdr:rowOff>
    </xdr:to>
    <xdr:pic>
      <xdr:nvPicPr>
        <xdr:cNvPr id="3381" name="Picture 8" descr=" ">
          <a:extLst>
            <a:ext uri="{FF2B5EF4-FFF2-40B4-BE49-F238E27FC236}">
              <a16:creationId xmlns:a16="http://schemas.microsoft.com/office/drawing/2014/main" id="{DBB4F428-4C45-47C4-B7EF-6170BDD59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2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9525</xdr:colOff>
      <xdr:row>17</xdr:row>
      <xdr:rowOff>38100</xdr:rowOff>
    </xdr:to>
    <xdr:pic>
      <xdr:nvPicPr>
        <xdr:cNvPr id="3382" name="Picture 9" descr=" ">
          <a:extLst>
            <a:ext uri="{FF2B5EF4-FFF2-40B4-BE49-F238E27FC236}">
              <a16:creationId xmlns:a16="http://schemas.microsoft.com/office/drawing/2014/main" id="{73239CA0-9085-4886-B1E4-81ADDBED3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2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9525</xdr:colOff>
      <xdr:row>17</xdr:row>
      <xdr:rowOff>38100</xdr:rowOff>
    </xdr:to>
    <xdr:pic>
      <xdr:nvPicPr>
        <xdr:cNvPr id="3383" name="Picture 10" descr=" ">
          <a:extLst>
            <a:ext uri="{FF2B5EF4-FFF2-40B4-BE49-F238E27FC236}">
              <a16:creationId xmlns:a16="http://schemas.microsoft.com/office/drawing/2014/main" id="{93CDD4D6-ACF2-44D8-BC21-DB7C880A4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2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9525</xdr:colOff>
      <xdr:row>17</xdr:row>
      <xdr:rowOff>38100</xdr:rowOff>
    </xdr:to>
    <xdr:pic>
      <xdr:nvPicPr>
        <xdr:cNvPr id="3384" name="Picture 11" descr=" ">
          <a:extLst>
            <a:ext uri="{FF2B5EF4-FFF2-40B4-BE49-F238E27FC236}">
              <a16:creationId xmlns:a16="http://schemas.microsoft.com/office/drawing/2014/main" id="{CB9E4406-AF56-44D2-AF66-A172177E6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2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9525</xdr:colOff>
      <xdr:row>17</xdr:row>
      <xdr:rowOff>38100</xdr:rowOff>
    </xdr:to>
    <xdr:pic>
      <xdr:nvPicPr>
        <xdr:cNvPr id="3385" name="Picture 12" descr=" ">
          <a:extLst>
            <a:ext uri="{FF2B5EF4-FFF2-40B4-BE49-F238E27FC236}">
              <a16:creationId xmlns:a16="http://schemas.microsoft.com/office/drawing/2014/main" id="{9AA37969-15C8-4EE9-9B5D-B2B29E78E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2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9525</xdr:colOff>
      <xdr:row>18</xdr:row>
      <xdr:rowOff>38100</xdr:rowOff>
    </xdr:to>
    <xdr:pic>
      <xdr:nvPicPr>
        <xdr:cNvPr id="3386" name="Picture 7" descr=" ">
          <a:extLst>
            <a:ext uri="{FF2B5EF4-FFF2-40B4-BE49-F238E27FC236}">
              <a16:creationId xmlns:a16="http://schemas.microsoft.com/office/drawing/2014/main" id="{8DE1F966-7CAE-42E6-8E2A-5D1255952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35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9525</xdr:colOff>
      <xdr:row>18</xdr:row>
      <xdr:rowOff>38100</xdr:rowOff>
    </xdr:to>
    <xdr:pic>
      <xdr:nvPicPr>
        <xdr:cNvPr id="3387" name="Picture 8" descr=" ">
          <a:extLst>
            <a:ext uri="{FF2B5EF4-FFF2-40B4-BE49-F238E27FC236}">
              <a16:creationId xmlns:a16="http://schemas.microsoft.com/office/drawing/2014/main" id="{5C045744-849C-4848-ADD4-3819A8AF7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35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9525</xdr:colOff>
      <xdr:row>18</xdr:row>
      <xdr:rowOff>38100</xdr:rowOff>
    </xdr:to>
    <xdr:pic>
      <xdr:nvPicPr>
        <xdr:cNvPr id="3388" name="Picture 9" descr=" ">
          <a:extLst>
            <a:ext uri="{FF2B5EF4-FFF2-40B4-BE49-F238E27FC236}">
              <a16:creationId xmlns:a16="http://schemas.microsoft.com/office/drawing/2014/main" id="{CCF7F365-B05F-496F-9323-10AA2D6ED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35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9525</xdr:colOff>
      <xdr:row>18</xdr:row>
      <xdr:rowOff>38100</xdr:rowOff>
    </xdr:to>
    <xdr:pic>
      <xdr:nvPicPr>
        <xdr:cNvPr id="3389" name="Picture 10" descr=" ">
          <a:extLst>
            <a:ext uri="{FF2B5EF4-FFF2-40B4-BE49-F238E27FC236}">
              <a16:creationId xmlns:a16="http://schemas.microsoft.com/office/drawing/2014/main" id="{1D0007C5-9EB1-468E-911A-449838A7B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35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9525</xdr:colOff>
      <xdr:row>18</xdr:row>
      <xdr:rowOff>38100</xdr:rowOff>
    </xdr:to>
    <xdr:pic>
      <xdr:nvPicPr>
        <xdr:cNvPr id="3390" name="Picture 11" descr=" ">
          <a:extLst>
            <a:ext uri="{FF2B5EF4-FFF2-40B4-BE49-F238E27FC236}">
              <a16:creationId xmlns:a16="http://schemas.microsoft.com/office/drawing/2014/main" id="{4E164FAC-80F8-48CC-B48F-97688898C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35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9525</xdr:colOff>
      <xdr:row>18</xdr:row>
      <xdr:rowOff>38100</xdr:rowOff>
    </xdr:to>
    <xdr:pic>
      <xdr:nvPicPr>
        <xdr:cNvPr id="3391" name="Picture 12" descr=" ">
          <a:extLst>
            <a:ext uri="{FF2B5EF4-FFF2-40B4-BE49-F238E27FC236}">
              <a16:creationId xmlns:a16="http://schemas.microsoft.com/office/drawing/2014/main" id="{B2CE5B8F-C8CD-4C3A-B39A-D9987435E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35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9525</xdr:colOff>
      <xdr:row>19</xdr:row>
      <xdr:rowOff>38100</xdr:rowOff>
    </xdr:to>
    <xdr:pic>
      <xdr:nvPicPr>
        <xdr:cNvPr id="3392" name="Picture 7" descr=" ">
          <a:extLst>
            <a:ext uri="{FF2B5EF4-FFF2-40B4-BE49-F238E27FC236}">
              <a16:creationId xmlns:a16="http://schemas.microsoft.com/office/drawing/2014/main" id="{925B616C-A8CC-4773-9971-4C7020B33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8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9525</xdr:colOff>
      <xdr:row>19</xdr:row>
      <xdr:rowOff>38100</xdr:rowOff>
    </xdr:to>
    <xdr:pic>
      <xdr:nvPicPr>
        <xdr:cNvPr id="3393" name="Picture 8" descr=" ">
          <a:extLst>
            <a:ext uri="{FF2B5EF4-FFF2-40B4-BE49-F238E27FC236}">
              <a16:creationId xmlns:a16="http://schemas.microsoft.com/office/drawing/2014/main" id="{79EFB9E9-5AE5-4697-A24A-A9EAF2EEC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8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9525</xdr:colOff>
      <xdr:row>19</xdr:row>
      <xdr:rowOff>38100</xdr:rowOff>
    </xdr:to>
    <xdr:pic>
      <xdr:nvPicPr>
        <xdr:cNvPr id="3394" name="Picture 9" descr=" ">
          <a:extLst>
            <a:ext uri="{FF2B5EF4-FFF2-40B4-BE49-F238E27FC236}">
              <a16:creationId xmlns:a16="http://schemas.microsoft.com/office/drawing/2014/main" id="{0AA81211-B876-4791-B4F1-610BDADE8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8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9525</xdr:colOff>
      <xdr:row>19</xdr:row>
      <xdr:rowOff>38100</xdr:rowOff>
    </xdr:to>
    <xdr:pic>
      <xdr:nvPicPr>
        <xdr:cNvPr id="3395" name="Picture 10" descr=" ">
          <a:extLst>
            <a:ext uri="{FF2B5EF4-FFF2-40B4-BE49-F238E27FC236}">
              <a16:creationId xmlns:a16="http://schemas.microsoft.com/office/drawing/2014/main" id="{83D30AAA-5F18-424F-AE4D-5553D459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8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9525</xdr:colOff>
      <xdr:row>19</xdr:row>
      <xdr:rowOff>38100</xdr:rowOff>
    </xdr:to>
    <xdr:pic>
      <xdr:nvPicPr>
        <xdr:cNvPr id="3396" name="Picture 11" descr=" ">
          <a:extLst>
            <a:ext uri="{FF2B5EF4-FFF2-40B4-BE49-F238E27FC236}">
              <a16:creationId xmlns:a16="http://schemas.microsoft.com/office/drawing/2014/main" id="{56BFD030-EC2F-4366-8331-FABF6D056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8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9525</xdr:colOff>
      <xdr:row>19</xdr:row>
      <xdr:rowOff>38100</xdr:rowOff>
    </xdr:to>
    <xdr:pic>
      <xdr:nvPicPr>
        <xdr:cNvPr id="3397" name="Picture 12" descr=" ">
          <a:extLst>
            <a:ext uri="{FF2B5EF4-FFF2-40B4-BE49-F238E27FC236}">
              <a16:creationId xmlns:a16="http://schemas.microsoft.com/office/drawing/2014/main" id="{702294C3-4ECA-4538-9558-DBF93193B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8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38100</xdr:rowOff>
    </xdr:to>
    <xdr:pic>
      <xdr:nvPicPr>
        <xdr:cNvPr id="3398" name="Picture 7" descr=" ">
          <a:extLst>
            <a:ext uri="{FF2B5EF4-FFF2-40B4-BE49-F238E27FC236}">
              <a16:creationId xmlns:a16="http://schemas.microsoft.com/office/drawing/2014/main" id="{13396270-F7B6-47A6-8F66-1D98EA4AF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1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38100</xdr:rowOff>
    </xdr:to>
    <xdr:pic>
      <xdr:nvPicPr>
        <xdr:cNvPr id="3399" name="Picture 8" descr=" ">
          <a:extLst>
            <a:ext uri="{FF2B5EF4-FFF2-40B4-BE49-F238E27FC236}">
              <a16:creationId xmlns:a16="http://schemas.microsoft.com/office/drawing/2014/main" id="{A3DE87B7-7B97-435C-ABD2-648DC7DA4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1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38100</xdr:rowOff>
    </xdr:to>
    <xdr:pic>
      <xdr:nvPicPr>
        <xdr:cNvPr id="3400" name="Picture 9" descr=" ">
          <a:extLst>
            <a:ext uri="{FF2B5EF4-FFF2-40B4-BE49-F238E27FC236}">
              <a16:creationId xmlns:a16="http://schemas.microsoft.com/office/drawing/2014/main" id="{7688F0D1-A6E7-4EC0-BB44-15C570CDB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1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38100</xdr:rowOff>
    </xdr:to>
    <xdr:pic>
      <xdr:nvPicPr>
        <xdr:cNvPr id="3401" name="Picture 10" descr=" ">
          <a:extLst>
            <a:ext uri="{FF2B5EF4-FFF2-40B4-BE49-F238E27FC236}">
              <a16:creationId xmlns:a16="http://schemas.microsoft.com/office/drawing/2014/main" id="{943830AE-46C9-4503-AA50-A3271FAFF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1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38100</xdr:rowOff>
    </xdr:to>
    <xdr:pic>
      <xdr:nvPicPr>
        <xdr:cNvPr id="3402" name="Picture 11" descr=" ">
          <a:extLst>
            <a:ext uri="{FF2B5EF4-FFF2-40B4-BE49-F238E27FC236}">
              <a16:creationId xmlns:a16="http://schemas.microsoft.com/office/drawing/2014/main" id="{354ACD02-F2A7-4A8D-9612-F31DCE41E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1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38100</xdr:rowOff>
    </xdr:to>
    <xdr:pic>
      <xdr:nvPicPr>
        <xdr:cNvPr id="3403" name="Picture 12" descr=" ">
          <a:extLst>
            <a:ext uri="{FF2B5EF4-FFF2-40B4-BE49-F238E27FC236}">
              <a16:creationId xmlns:a16="http://schemas.microsoft.com/office/drawing/2014/main" id="{21B6905D-CA6E-4701-83CB-7BBFE658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1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</xdr:colOff>
      <xdr:row>22</xdr:row>
      <xdr:rowOff>38100</xdr:rowOff>
    </xdr:to>
    <xdr:pic>
      <xdr:nvPicPr>
        <xdr:cNvPr id="3404" name="Picture 7" descr=" ">
          <a:extLst>
            <a:ext uri="{FF2B5EF4-FFF2-40B4-BE49-F238E27FC236}">
              <a16:creationId xmlns:a16="http://schemas.microsoft.com/office/drawing/2014/main" id="{314B85A3-8B1C-482C-85E0-C2DAC0A04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7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</xdr:colOff>
      <xdr:row>22</xdr:row>
      <xdr:rowOff>38100</xdr:rowOff>
    </xdr:to>
    <xdr:pic>
      <xdr:nvPicPr>
        <xdr:cNvPr id="3405" name="Picture 8" descr=" ">
          <a:extLst>
            <a:ext uri="{FF2B5EF4-FFF2-40B4-BE49-F238E27FC236}">
              <a16:creationId xmlns:a16="http://schemas.microsoft.com/office/drawing/2014/main" id="{3352B3ED-1807-4B32-A965-A5F98CECB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7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</xdr:colOff>
      <xdr:row>22</xdr:row>
      <xdr:rowOff>38100</xdr:rowOff>
    </xdr:to>
    <xdr:pic>
      <xdr:nvPicPr>
        <xdr:cNvPr id="3406" name="Picture 9" descr=" ">
          <a:extLst>
            <a:ext uri="{FF2B5EF4-FFF2-40B4-BE49-F238E27FC236}">
              <a16:creationId xmlns:a16="http://schemas.microsoft.com/office/drawing/2014/main" id="{21E5D7F7-D0B5-48A2-9132-89F243A05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7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</xdr:colOff>
      <xdr:row>22</xdr:row>
      <xdr:rowOff>38100</xdr:rowOff>
    </xdr:to>
    <xdr:pic>
      <xdr:nvPicPr>
        <xdr:cNvPr id="3407" name="Picture 10" descr=" ">
          <a:extLst>
            <a:ext uri="{FF2B5EF4-FFF2-40B4-BE49-F238E27FC236}">
              <a16:creationId xmlns:a16="http://schemas.microsoft.com/office/drawing/2014/main" id="{0FB901CB-EA59-4786-86AF-8EBE6E97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7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</xdr:colOff>
      <xdr:row>22</xdr:row>
      <xdr:rowOff>38100</xdr:rowOff>
    </xdr:to>
    <xdr:pic>
      <xdr:nvPicPr>
        <xdr:cNvPr id="3408" name="Picture 11" descr=" ">
          <a:extLst>
            <a:ext uri="{FF2B5EF4-FFF2-40B4-BE49-F238E27FC236}">
              <a16:creationId xmlns:a16="http://schemas.microsoft.com/office/drawing/2014/main" id="{23BCBA82-88D9-4EC9-B674-FE0BCA582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7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</xdr:colOff>
      <xdr:row>22</xdr:row>
      <xdr:rowOff>38100</xdr:rowOff>
    </xdr:to>
    <xdr:pic>
      <xdr:nvPicPr>
        <xdr:cNvPr id="3409" name="Picture 12" descr=" ">
          <a:extLst>
            <a:ext uri="{FF2B5EF4-FFF2-40B4-BE49-F238E27FC236}">
              <a16:creationId xmlns:a16="http://schemas.microsoft.com/office/drawing/2014/main" id="{5A51D267-246E-4DE0-B3DD-3EE14C54D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7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</xdr:colOff>
      <xdr:row>23</xdr:row>
      <xdr:rowOff>38100</xdr:rowOff>
    </xdr:to>
    <xdr:pic>
      <xdr:nvPicPr>
        <xdr:cNvPr id="3410" name="Picture 7" descr=" ">
          <a:extLst>
            <a:ext uri="{FF2B5EF4-FFF2-40B4-BE49-F238E27FC236}">
              <a16:creationId xmlns:a16="http://schemas.microsoft.com/office/drawing/2014/main" id="{F4AF148D-CE9E-4EF8-B5F4-45A3C4C32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49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</xdr:colOff>
      <xdr:row>23</xdr:row>
      <xdr:rowOff>38100</xdr:rowOff>
    </xdr:to>
    <xdr:pic>
      <xdr:nvPicPr>
        <xdr:cNvPr id="3411" name="Picture 8" descr=" ">
          <a:extLst>
            <a:ext uri="{FF2B5EF4-FFF2-40B4-BE49-F238E27FC236}">
              <a16:creationId xmlns:a16="http://schemas.microsoft.com/office/drawing/2014/main" id="{D287A8AE-599A-4158-89BB-DB8BC59C2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49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</xdr:colOff>
      <xdr:row>23</xdr:row>
      <xdr:rowOff>38100</xdr:rowOff>
    </xdr:to>
    <xdr:pic>
      <xdr:nvPicPr>
        <xdr:cNvPr id="3412" name="Picture 9" descr=" ">
          <a:extLst>
            <a:ext uri="{FF2B5EF4-FFF2-40B4-BE49-F238E27FC236}">
              <a16:creationId xmlns:a16="http://schemas.microsoft.com/office/drawing/2014/main" id="{B8EE167B-E424-4733-9C9D-5F7514DA5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49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</xdr:colOff>
      <xdr:row>23</xdr:row>
      <xdr:rowOff>38100</xdr:rowOff>
    </xdr:to>
    <xdr:pic>
      <xdr:nvPicPr>
        <xdr:cNvPr id="3413" name="Picture 10" descr=" ">
          <a:extLst>
            <a:ext uri="{FF2B5EF4-FFF2-40B4-BE49-F238E27FC236}">
              <a16:creationId xmlns:a16="http://schemas.microsoft.com/office/drawing/2014/main" id="{3439476B-1266-4F25-BF93-F7083EADA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49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</xdr:colOff>
      <xdr:row>23</xdr:row>
      <xdr:rowOff>38100</xdr:rowOff>
    </xdr:to>
    <xdr:pic>
      <xdr:nvPicPr>
        <xdr:cNvPr id="3414" name="Picture 11" descr=" ">
          <a:extLst>
            <a:ext uri="{FF2B5EF4-FFF2-40B4-BE49-F238E27FC236}">
              <a16:creationId xmlns:a16="http://schemas.microsoft.com/office/drawing/2014/main" id="{CF753E1B-9533-4A5E-8D85-D3C166BAA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49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</xdr:colOff>
      <xdr:row>23</xdr:row>
      <xdr:rowOff>38100</xdr:rowOff>
    </xdr:to>
    <xdr:pic>
      <xdr:nvPicPr>
        <xdr:cNvPr id="3415" name="Picture 12" descr=" ">
          <a:extLst>
            <a:ext uri="{FF2B5EF4-FFF2-40B4-BE49-F238E27FC236}">
              <a16:creationId xmlns:a16="http://schemas.microsoft.com/office/drawing/2014/main" id="{6CCA7D93-C549-486B-8249-457301C10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49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38100</xdr:rowOff>
    </xdr:to>
    <xdr:pic>
      <xdr:nvPicPr>
        <xdr:cNvPr id="3416" name="Picture 7" descr=" ">
          <a:extLst>
            <a:ext uri="{FF2B5EF4-FFF2-40B4-BE49-F238E27FC236}">
              <a16:creationId xmlns:a16="http://schemas.microsoft.com/office/drawing/2014/main" id="{A5722E35-807A-43A8-92C7-B4A4845F1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2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38100</xdr:rowOff>
    </xdr:to>
    <xdr:pic>
      <xdr:nvPicPr>
        <xdr:cNvPr id="3417" name="Picture 8" descr=" ">
          <a:extLst>
            <a:ext uri="{FF2B5EF4-FFF2-40B4-BE49-F238E27FC236}">
              <a16:creationId xmlns:a16="http://schemas.microsoft.com/office/drawing/2014/main" id="{F1BC9F7C-C0C3-46CD-B0FF-44EEDD4AD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2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38100</xdr:rowOff>
    </xdr:to>
    <xdr:pic>
      <xdr:nvPicPr>
        <xdr:cNvPr id="3418" name="Picture 9" descr=" ">
          <a:extLst>
            <a:ext uri="{FF2B5EF4-FFF2-40B4-BE49-F238E27FC236}">
              <a16:creationId xmlns:a16="http://schemas.microsoft.com/office/drawing/2014/main" id="{5301E712-996F-4F3C-93A7-3AB360246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2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38100</xdr:rowOff>
    </xdr:to>
    <xdr:pic>
      <xdr:nvPicPr>
        <xdr:cNvPr id="3419" name="Picture 10" descr=" ">
          <a:extLst>
            <a:ext uri="{FF2B5EF4-FFF2-40B4-BE49-F238E27FC236}">
              <a16:creationId xmlns:a16="http://schemas.microsoft.com/office/drawing/2014/main" id="{D3648470-F968-4ED5-9E08-4C92FB9C8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2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38100</xdr:rowOff>
    </xdr:to>
    <xdr:pic>
      <xdr:nvPicPr>
        <xdr:cNvPr id="3420" name="Picture 11" descr=" ">
          <a:extLst>
            <a:ext uri="{FF2B5EF4-FFF2-40B4-BE49-F238E27FC236}">
              <a16:creationId xmlns:a16="http://schemas.microsoft.com/office/drawing/2014/main" id="{12C4D854-BC2D-4073-A013-33222E4A3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2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38100</xdr:rowOff>
    </xdr:to>
    <xdr:pic>
      <xdr:nvPicPr>
        <xdr:cNvPr id="3421" name="Picture 12" descr=" ">
          <a:extLst>
            <a:ext uri="{FF2B5EF4-FFF2-40B4-BE49-F238E27FC236}">
              <a16:creationId xmlns:a16="http://schemas.microsoft.com/office/drawing/2014/main" id="{980D2067-5EE8-4639-961F-941FC7035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2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</xdr:colOff>
      <xdr:row>26</xdr:row>
      <xdr:rowOff>38100</xdr:rowOff>
    </xdr:to>
    <xdr:pic>
      <xdr:nvPicPr>
        <xdr:cNvPr id="3422" name="Picture 7" descr=" ">
          <a:extLst>
            <a:ext uri="{FF2B5EF4-FFF2-40B4-BE49-F238E27FC236}">
              <a16:creationId xmlns:a16="http://schemas.microsoft.com/office/drawing/2014/main" id="{3C55489E-DB94-4B28-A65A-D23301F2B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98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</xdr:colOff>
      <xdr:row>26</xdr:row>
      <xdr:rowOff>38100</xdr:rowOff>
    </xdr:to>
    <xdr:pic>
      <xdr:nvPicPr>
        <xdr:cNvPr id="3423" name="Picture 8" descr=" ">
          <a:extLst>
            <a:ext uri="{FF2B5EF4-FFF2-40B4-BE49-F238E27FC236}">
              <a16:creationId xmlns:a16="http://schemas.microsoft.com/office/drawing/2014/main" id="{97E2973A-CD97-4D7E-BC4C-4A613F34A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98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</xdr:colOff>
      <xdr:row>26</xdr:row>
      <xdr:rowOff>38100</xdr:rowOff>
    </xdr:to>
    <xdr:pic>
      <xdr:nvPicPr>
        <xdr:cNvPr id="3424" name="Picture 9" descr=" ">
          <a:extLst>
            <a:ext uri="{FF2B5EF4-FFF2-40B4-BE49-F238E27FC236}">
              <a16:creationId xmlns:a16="http://schemas.microsoft.com/office/drawing/2014/main" id="{0D7BF780-85DB-44FA-9EE6-8847C004D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98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</xdr:colOff>
      <xdr:row>26</xdr:row>
      <xdr:rowOff>38100</xdr:rowOff>
    </xdr:to>
    <xdr:pic>
      <xdr:nvPicPr>
        <xdr:cNvPr id="3425" name="Picture 10" descr=" ">
          <a:extLst>
            <a:ext uri="{FF2B5EF4-FFF2-40B4-BE49-F238E27FC236}">
              <a16:creationId xmlns:a16="http://schemas.microsoft.com/office/drawing/2014/main" id="{728ED7C8-617E-4BDB-8670-4418123D3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98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</xdr:colOff>
      <xdr:row>26</xdr:row>
      <xdr:rowOff>38100</xdr:rowOff>
    </xdr:to>
    <xdr:pic>
      <xdr:nvPicPr>
        <xdr:cNvPr id="3426" name="Picture 11" descr=" ">
          <a:extLst>
            <a:ext uri="{FF2B5EF4-FFF2-40B4-BE49-F238E27FC236}">
              <a16:creationId xmlns:a16="http://schemas.microsoft.com/office/drawing/2014/main" id="{C39EFDE5-36D3-4BEE-85CA-C61D2B69F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98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</xdr:colOff>
      <xdr:row>26</xdr:row>
      <xdr:rowOff>38100</xdr:rowOff>
    </xdr:to>
    <xdr:pic>
      <xdr:nvPicPr>
        <xdr:cNvPr id="3427" name="Picture 12" descr=" ">
          <a:extLst>
            <a:ext uri="{FF2B5EF4-FFF2-40B4-BE49-F238E27FC236}">
              <a16:creationId xmlns:a16="http://schemas.microsoft.com/office/drawing/2014/main" id="{82A9C35D-DAFF-466B-95CC-F1F2D94B6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98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</xdr:colOff>
      <xdr:row>27</xdr:row>
      <xdr:rowOff>38100</xdr:rowOff>
    </xdr:to>
    <xdr:pic>
      <xdr:nvPicPr>
        <xdr:cNvPr id="3428" name="Picture 7" descr=" ">
          <a:extLst>
            <a:ext uri="{FF2B5EF4-FFF2-40B4-BE49-F238E27FC236}">
              <a16:creationId xmlns:a16="http://schemas.microsoft.com/office/drawing/2014/main" id="{66718CD1-74C6-4C72-BA1E-09BEC05E4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1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</xdr:colOff>
      <xdr:row>27</xdr:row>
      <xdr:rowOff>38100</xdr:rowOff>
    </xdr:to>
    <xdr:pic>
      <xdr:nvPicPr>
        <xdr:cNvPr id="3429" name="Picture 8" descr=" ">
          <a:extLst>
            <a:ext uri="{FF2B5EF4-FFF2-40B4-BE49-F238E27FC236}">
              <a16:creationId xmlns:a16="http://schemas.microsoft.com/office/drawing/2014/main" id="{CD0885A3-0C97-49E7-A525-3C4A69A3A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1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</xdr:colOff>
      <xdr:row>27</xdr:row>
      <xdr:rowOff>38100</xdr:rowOff>
    </xdr:to>
    <xdr:pic>
      <xdr:nvPicPr>
        <xdr:cNvPr id="3430" name="Picture 9" descr=" ">
          <a:extLst>
            <a:ext uri="{FF2B5EF4-FFF2-40B4-BE49-F238E27FC236}">
              <a16:creationId xmlns:a16="http://schemas.microsoft.com/office/drawing/2014/main" id="{561CBEA6-76C8-4577-B8E6-10538DA18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1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</xdr:colOff>
      <xdr:row>27</xdr:row>
      <xdr:rowOff>38100</xdr:rowOff>
    </xdr:to>
    <xdr:pic>
      <xdr:nvPicPr>
        <xdr:cNvPr id="3431" name="Picture 10" descr=" ">
          <a:extLst>
            <a:ext uri="{FF2B5EF4-FFF2-40B4-BE49-F238E27FC236}">
              <a16:creationId xmlns:a16="http://schemas.microsoft.com/office/drawing/2014/main" id="{85EBA3BF-9BFA-415A-ADF8-A2B0D7C09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1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</xdr:colOff>
      <xdr:row>27</xdr:row>
      <xdr:rowOff>38100</xdr:rowOff>
    </xdr:to>
    <xdr:pic>
      <xdr:nvPicPr>
        <xdr:cNvPr id="3432" name="Picture 11" descr=" ">
          <a:extLst>
            <a:ext uri="{FF2B5EF4-FFF2-40B4-BE49-F238E27FC236}">
              <a16:creationId xmlns:a16="http://schemas.microsoft.com/office/drawing/2014/main" id="{A84F3612-AA75-49EA-99A6-3E345B2D4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1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</xdr:colOff>
      <xdr:row>27</xdr:row>
      <xdr:rowOff>38100</xdr:rowOff>
    </xdr:to>
    <xdr:pic>
      <xdr:nvPicPr>
        <xdr:cNvPr id="3433" name="Picture 12" descr=" ">
          <a:extLst>
            <a:ext uri="{FF2B5EF4-FFF2-40B4-BE49-F238E27FC236}">
              <a16:creationId xmlns:a16="http://schemas.microsoft.com/office/drawing/2014/main" id="{E55DAE43-C80C-4567-AC65-1FAF02243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1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</xdr:colOff>
      <xdr:row>28</xdr:row>
      <xdr:rowOff>38100</xdr:rowOff>
    </xdr:to>
    <xdr:pic>
      <xdr:nvPicPr>
        <xdr:cNvPr id="3434" name="Picture 7" descr=" ">
          <a:extLst>
            <a:ext uri="{FF2B5EF4-FFF2-40B4-BE49-F238E27FC236}">
              <a16:creationId xmlns:a16="http://schemas.microsoft.com/office/drawing/2014/main" id="{CAFFB5C3-9E0E-4A2C-80B2-4B430549D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4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</xdr:colOff>
      <xdr:row>28</xdr:row>
      <xdr:rowOff>38100</xdr:rowOff>
    </xdr:to>
    <xdr:pic>
      <xdr:nvPicPr>
        <xdr:cNvPr id="3435" name="Picture 8" descr=" ">
          <a:extLst>
            <a:ext uri="{FF2B5EF4-FFF2-40B4-BE49-F238E27FC236}">
              <a16:creationId xmlns:a16="http://schemas.microsoft.com/office/drawing/2014/main" id="{E41BF918-445A-4019-8914-6DCAAB567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4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</xdr:colOff>
      <xdr:row>28</xdr:row>
      <xdr:rowOff>38100</xdr:rowOff>
    </xdr:to>
    <xdr:pic>
      <xdr:nvPicPr>
        <xdr:cNvPr id="3436" name="Picture 9" descr=" ">
          <a:extLst>
            <a:ext uri="{FF2B5EF4-FFF2-40B4-BE49-F238E27FC236}">
              <a16:creationId xmlns:a16="http://schemas.microsoft.com/office/drawing/2014/main" id="{2C1E2492-B1A1-4B2C-8934-BAE38034A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4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</xdr:colOff>
      <xdr:row>28</xdr:row>
      <xdr:rowOff>38100</xdr:rowOff>
    </xdr:to>
    <xdr:pic>
      <xdr:nvPicPr>
        <xdr:cNvPr id="3437" name="Picture 10" descr=" ">
          <a:extLst>
            <a:ext uri="{FF2B5EF4-FFF2-40B4-BE49-F238E27FC236}">
              <a16:creationId xmlns:a16="http://schemas.microsoft.com/office/drawing/2014/main" id="{FF2BC1BC-5AE3-4706-904D-CEFEBE99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4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</xdr:colOff>
      <xdr:row>28</xdr:row>
      <xdr:rowOff>38100</xdr:rowOff>
    </xdr:to>
    <xdr:pic>
      <xdr:nvPicPr>
        <xdr:cNvPr id="3438" name="Picture 11" descr=" ">
          <a:extLst>
            <a:ext uri="{FF2B5EF4-FFF2-40B4-BE49-F238E27FC236}">
              <a16:creationId xmlns:a16="http://schemas.microsoft.com/office/drawing/2014/main" id="{360108E3-F15E-4924-86CD-668CE51D7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4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</xdr:colOff>
      <xdr:row>28</xdr:row>
      <xdr:rowOff>38100</xdr:rowOff>
    </xdr:to>
    <xdr:pic>
      <xdr:nvPicPr>
        <xdr:cNvPr id="3439" name="Picture 12" descr=" ">
          <a:extLst>
            <a:ext uri="{FF2B5EF4-FFF2-40B4-BE49-F238E27FC236}">
              <a16:creationId xmlns:a16="http://schemas.microsoft.com/office/drawing/2014/main" id="{E4ECED0E-3EA3-4418-8BFE-866AF204D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4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</xdr:colOff>
      <xdr:row>29</xdr:row>
      <xdr:rowOff>38100</xdr:rowOff>
    </xdr:to>
    <xdr:pic>
      <xdr:nvPicPr>
        <xdr:cNvPr id="3440" name="Picture 7" descr=" ">
          <a:extLst>
            <a:ext uri="{FF2B5EF4-FFF2-40B4-BE49-F238E27FC236}">
              <a16:creationId xmlns:a16="http://schemas.microsoft.com/office/drawing/2014/main" id="{E9BADAEB-0E7A-426B-8AD4-DE3A09EAF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47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</xdr:colOff>
      <xdr:row>29</xdr:row>
      <xdr:rowOff>38100</xdr:rowOff>
    </xdr:to>
    <xdr:pic>
      <xdr:nvPicPr>
        <xdr:cNvPr id="3441" name="Picture 8" descr=" ">
          <a:extLst>
            <a:ext uri="{FF2B5EF4-FFF2-40B4-BE49-F238E27FC236}">
              <a16:creationId xmlns:a16="http://schemas.microsoft.com/office/drawing/2014/main" id="{7187EA1D-1A2D-4997-B59B-C74CFCA46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47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</xdr:colOff>
      <xdr:row>29</xdr:row>
      <xdr:rowOff>38100</xdr:rowOff>
    </xdr:to>
    <xdr:pic>
      <xdr:nvPicPr>
        <xdr:cNvPr id="3442" name="Picture 9" descr=" ">
          <a:extLst>
            <a:ext uri="{FF2B5EF4-FFF2-40B4-BE49-F238E27FC236}">
              <a16:creationId xmlns:a16="http://schemas.microsoft.com/office/drawing/2014/main" id="{CFECB2C0-BCDC-4A38-8841-A62484617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47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</xdr:colOff>
      <xdr:row>29</xdr:row>
      <xdr:rowOff>38100</xdr:rowOff>
    </xdr:to>
    <xdr:pic>
      <xdr:nvPicPr>
        <xdr:cNvPr id="3443" name="Picture 10" descr=" ">
          <a:extLst>
            <a:ext uri="{FF2B5EF4-FFF2-40B4-BE49-F238E27FC236}">
              <a16:creationId xmlns:a16="http://schemas.microsoft.com/office/drawing/2014/main" id="{844122C5-19F7-4D27-936D-4740632E6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47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</xdr:colOff>
      <xdr:row>29</xdr:row>
      <xdr:rowOff>38100</xdr:rowOff>
    </xdr:to>
    <xdr:pic>
      <xdr:nvPicPr>
        <xdr:cNvPr id="3444" name="Picture 11" descr=" ">
          <a:extLst>
            <a:ext uri="{FF2B5EF4-FFF2-40B4-BE49-F238E27FC236}">
              <a16:creationId xmlns:a16="http://schemas.microsoft.com/office/drawing/2014/main" id="{9CD25EC9-37AC-4F31-8946-5BF6C1DEB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47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</xdr:colOff>
      <xdr:row>29</xdr:row>
      <xdr:rowOff>38100</xdr:rowOff>
    </xdr:to>
    <xdr:pic>
      <xdr:nvPicPr>
        <xdr:cNvPr id="3445" name="Picture 12" descr=" ">
          <a:extLst>
            <a:ext uri="{FF2B5EF4-FFF2-40B4-BE49-F238E27FC236}">
              <a16:creationId xmlns:a16="http://schemas.microsoft.com/office/drawing/2014/main" id="{6A861DBB-ED17-4C32-AD70-780B35E31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47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</xdr:colOff>
      <xdr:row>30</xdr:row>
      <xdr:rowOff>38100</xdr:rowOff>
    </xdr:to>
    <xdr:pic>
      <xdr:nvPicPr>
        <xdr:cNvPr id="3446" name="Picture 7" descr=" ">
          <a:extLst>
            <a:ext uri="{FF2B5EF4-FFF2-40B4-BE49-F238E27FC236}">
              <a16:creationId xmlns:a16="http://schemas.microsoft.com/office/drawing/2014/main" id="{3EE657BA-D5E1-41D8-9D8D-8E59ADC77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30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</xdr:colOff>
      <xdr:row>30</xdr:row>
      <xdr:rowOff>38100</xdr:rowOff>
    </xdr:to>
    <xdr:pic>
      <xdr:nvPicPr>
        <xdr:cNvPr id="3447" name="Picture 8" descr=" ">
          <a:extLst>
            <a:ext uri="{FF2B5EF4-FFF2-40B4-BE49-F238E27FC236}">
              <a16:creationId xmlns:a16="http://schemas.microsoft.com/office/drawing/2014/main" id="{6A1FC506-A95A-40D4-A2D7-79C0555E3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30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</xdr:colOff>
      <xdr:row>30</xdr:row>
      <xdr:rowOff>38100</xdr:rowOff>
    </xdr:to>
    <xdr:pic>
      <xdr:nvPicPr>
        <xdr:cNvPr id="3448" name="Picture 9" descr=" ">
          <a:extLst>
            <a:ext uri="{FF2B5EF4-FFF2-40B4-BE49-F238E27FC236}">
              <a16:creationId xmlns:a16="http://schemas.microsoft.com/office/drawing/2014/main" id="{E6AA323B-5578-444E-AB20-CA2A4A165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30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</xdr:colOff>
      <xdr:row>30</xdr:row>
      <xdr:rowOff>38100</xdr:rowOff>
    </xdr:to>
    <xdr:pic>
      <xdr:nvPicPr>
        <xdr:cNvPr id="3449" name="Picture 10" descr=" ">
          <a:extLst>
            <a:ext uri="{FF2B5EF4-FFF2-40B4-BE49-F238E27FC236}">
              <a16:creationId xmlns:a16="http://schemas.microsoft.com/office/drawing/2014/main" id="{FCC9E6BF-4EB2-4524-AA0E-7FBEC9441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30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</xdr:colOff>
      <xdr:row>30</xdr:row>
      <xdr:rowOff>38100</xdr:rowOff>
    </xdr:to>
    <xdr:pic>
      <xdr:nvPicPr>
        <xdr:cNvPr id="3450" name="Picture 11" descr=" ">
          <a:extLst>
            <a:ext uri="{FF2B5EF4-FFF2-40B4-BE49-F238E27FC236}">
              <a16:creationId xmlns:a16="http://schemas.microsoft.com/office/drawing/2014/main" id="{B0532766-22AD-4618-8FA0-CD5D18E7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30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</xdr:colOff>
      <xdr:row>30</xdr:row>
      <xdr:rowOff>38100</xdr:rowOff>
    </xdr:to>
    <xdr:pic>
      <xdr:nvPicPr>
        <xdr:cNvPr id="3451" name="Picture 12" descr=" ">
          <a:extLst>
            <a:ext uri="{FF2B5EF4-FFF2-40B4-BE49-F238E27FC236}">
              <a16:creationId xmlns:a16="http://schemas.microsoft.com/office/drawing/2014/main" id="{724BD3C7-0BC8-416E-8C03-F4F54E1C9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30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</xdr:colOff>
      <xdr:row>31</xdr:row>
      <xdr:rowOff>38100</xdr:rowOff>
    </xdr:to>
    <xdr:pic>
      <xdr:nvPicPr>
        <xdr:cNvPr id="3452" name="Picture 7" descr=" ">
          <a:extLst>
            <a:ext uri="{FF2B5EF4-FFF2-40B4-BE49-F238E27FC236}">
              <a16:creationId xmlns:a16="http://schemas.microsoft.com/office/drawing/2014/main" id="{BBAB91B3-CE0A-4220-A973-52C46BBC6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3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</xdr:colOff>
      <xdr:row>31</xdr:row>
      <xdr:rowOff>38100</xdr:rowOff>
    </xdr:to>
    <xdr:pic>
      <xdr:nvPicPr>
        <xdr:cNvPr id="3453" name="Picture 8" descr=" ">
          <a:extLst>
            <a:ext uri="{FF2B5EF4-FFF2-40B4-BE49-F238E27FC236}">
              <a16:creationId xmlns:a16="http://schemas.microsoft.com/office/drawing/2014/main" id="{AEC87C5A-9CFF-47CC-B640-83EB3249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3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</xdr:colOff>
      <xdr:row>31</xdr:row>
      <xdr:rowOff>38100</xdr:rowOff>
    </xdr:to>
    <xdr:pic>
      <xdr:nvPicPr>
        <xdr:cNvPr id="3454" name="Picture 9" descr=" ">
          <a:extLst>
            <a:ext uri="{FF2B5EF4-FFF2-40B4-BE49-F238E27FC236}">
              <a16:creationId xmlns:a16="http://schemas.microsoft.com/office/drawing/2014/main" id="{24EC7A67-599A-41AB-97AA-1A03C4313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3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</xdr:colOff>
      <xdr:row>31</xdr:row>
      <xdr:rowOff>38100</xdr:rowOff>
    </xdr:to>
    <xdr:pic>
      <xdr:nvPicPr>
        <xdr:cNvPr id="3455" name="Picture 10" descr=" ">
          <a:extLst>
            <a:ext uri="{FF2B5EF4-FFF2-40B4-BE49-F238E27FC236}">
              <a16:creationId xmlns:a16="http://schemas.microsoft.com/office/drawing/2014/main" id="{76AD8A1A-7902-43B5-89C5-AE43F01C2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3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</xdr:colOff>
      <xdr:row>31</xdr:row>
      <xdr:rowOff>38100</xdr:rowOff>
    </xdr:to>
    <xdr:pic>
      <xdr:nvPicPr>
        <xdr:cNvPr id="3456" name="Picture 11" descr=" ">
          <a:extLst>
            <a:ext uri="{FF2B5EF4-FFF2-40B4-BE49-F238E27FC236}">
              <a16:creationId xmlns:a16="http://schemas.microsoft.com/office/drawing/2014/main" id="{CB2426B1-7476-4AE8-B18F-0A4BB6535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3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</xdr:colOff>
      <xdr:row>31</xdr:row>
      <xdr:rowOff>38100</xdr:rowOff>
    </xdr:to>
    <xdr:pic>
      <xdr:nvPicPr>
        <xdr:cNvPr id="3457" name="Picture 12" descr=" ">
          <a:extLst>
            <a:ext uri="{FF2B5EF4-FFF2-40B4-BE49-F238E27FC236}">
              <a16:creationId xmlns:a16="http://schemas.microsoft.com/office/drawing/2014/main" id="{B1823C81-1010-44C1-9F88-86CC1F63B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3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</xdr:colOff>
      <xdr:row>32</xdr:row>
      <xdr:rowOff>38100</xdr:rowOff>
    </xdr:to>
    <xdr:pic>
      <xdr:nvPicPr>
        <xdr:cNvPr id="3458" name="Picture 7" descr=" ">
          <a:extLst>
            <a:ext uri="{FF2B5EF4-FFF2-40B4-BE49-F238E27FC236}">
              <a16:creationId xmlns:a16="http://schemas.microsoft.com/office/drawing/2014/main" id="{C6600BDB-0440-452B-8253-B880D2A36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</xdr:colOff>
      <xdr:row>32</xdr:row>
      <xdr:rowOff>38100</xdr:rowOff>
    </xdr:to>
    <xdr:pic>
      <xdr:nvPicPr>
        <xdr:cNvPr id="3459" name="Picture 8" descr=" ">
          <a:extLst>
            <a:ext uri="{FF2B5EF4-FFF2-40B4-BE49-F238E27FC236}">
              <a16:creationId xmlns:a16="http://schemas.microsoft.com/office/drawing/2014/main" id="{4B191300-DAF9-405B-9AC3-2FEF617B3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</xdr:colOff>
      <xdr:row>32</xdr:row>
      <xdr:rowOff>38100</xdr:rowOff>
    </xdr:to>
    <xdr:pic>
      <xdr:nvPicPr>
        <xdr:cNvPr id="3460" name="Picture 9" descr=" ">
          <a:extLst>
            <a:ext uri="{FF2B5EF4-FFF2-40B4-BE49-F238E27FC236}">
              <a16:creationId xmlns:a16="http://schemas.microsoft.com/office/drawing/2014/main" id="{5C025102-5DF7-40A2-8498-9C3981A1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</xdr:colOff>
      <xdr:row>32</xdr:row>
      <xdr:rowOff>38100</xdr:rowOff>
    </xdr:to>
    <xdr:pic>
      <xdr:nvPicPr>
        <xdr:cNvPr id="3461" name="Picture 10" descr=" ">
          <a:extLst>
            <a:ext uri="{FF2B5EF4-FFF2-40B4-BE49-F238E27FC236}">
              <a16:creationId xmlns:a16="http://schemas.microsoft.com/office/drawing/2014/main" id="{673CEAF4-C671-41AF-B023-C4963E816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</xdr:colOff>
      <xdr:row>32</xdr:row>
      <xdr:rowOff>38100</xdr:rowOff>
    </xdr:to>
    <xdr:pic>
      <xdr:nvPicPr>
        <xdr:cNvPr id="3462" name="Picture 11" descr=" ">
          <a:extLst>
            <a:ext uri="{FF2B5EF4-FFF2-40B4-BE49-F238E27FC236}">
              <a16:creationId xmlns:a16="http://schemas.microsoft.com/office/drawing/2014/main" id="{ABC733D5-7E56-4C60-A202-D99128C1B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</xdr:colOff>
      <xdr:row>32</xdr:row>
      <xdr:rowOff>38100</xdr:rowOff>
    </xdr:to>
    <xdr:pic>
      <xdr:nvPicPr>
        <xdr:cNvPr id="3463" name="Picture 12" descr=" ">
          <a:extLst>
            <a:ext uri="{FF2B5EF4-FFF2-40B4-BE49-F238E27FC236}">
              <a16:creationId xmlns:a16="http://schemas.microsoft.com/office/drawing/2014/main" id="{21B196E7-DA13-4711-B40F-2A7156B2D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</xdr:colOff>
      <xdr:row>33</xdr:row>
      <xdr:rowOff>38100</xdr:rowOff>
    </xdr:to>
    <xdr:pic>
      <xdr:nvPicPr>
        <xdr:cNvPr id="3464" name="Picture 7" descr=" ">
          <a:extLst>
            <a:ext uri="{FF2B5EF4-FFF2-40B4-BE49-F238E27FC236}">
              <a16:creationId xmlns:a16="http://schemas.microsoft.com/office/drawing/2014/main" id="{8FBFD931-8577-47C3-BA77-4AA22F54A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8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</xdr:colOff>
      <xdr:row>33</xdr:row>
      <xdr:rowOff>38100</xdr:rowOff>
    </xdr:to>
    <xdr:pic>
      <xdr:nvPicPr>
        <xdr:cNvPr id="3465" name="Picture 8" descr=" ">
          <a:extLst>
            <a:ext uri="{FF2B5EF4-FFF2-40B4-BE49-F238E27FC236}">
              <a16:creationId xmlns:a16="http://schemas.microsoft.com/office/drawing/2014/main" id="{565662BA-0602-4AD9-B747-DB40D144C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8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</xdr:colOff>
      <xdr:row>33</xdr:row>
      <xdr:rowOff>38100</xdr:rowOff>
    </xdr:to>
    <xdr:pic>
      <xdr:nvPicPr>
        <xdr:cNvPr id="3466" name="Picture 9" descr=" ">
          <a:extLst>
            <a:ext uri="{FF2B5EF4-FFF2-40B4-BE49-F238E27FC236}">
              <a16:creationId xmlns:a16="http://schemas.microsoft.com/office/drawing/2014/main" id="{9AC7E2CD-17E4-4908-8935-AD1220AB6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8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</xdr:colOff>
      <xdr:row>33</xdr:row>
      <xdr:rowOff>38100</xdr:rowOff>
    </xdr:to>
    <xdr:pic>
      <xdr:nvPicPr>
        <xdr:cNvPr id="3467" name="Picture 10" descr=" ">
          <a:extLst>
            <a:ext uri="{FF2B5EF4-FFF2-40B4-BE49-F238E27FC236}">
              <a16:creationId xmlns:a16="http://schemas.microsoft.com/office/drawing/2014/main" id="{B141B18C-4417-4A3D-BDFF-884DCC8FB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8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</xdr:colOff>
      <xdr:row>33</xdr:row>
      <xdr:rowOff>38100</xdr:rowOff>
    </xdr:to>
    <xdr:pic>
      <xdr:nvPicPr>
        <xdr:cNvPr id="3468" name="Picture 11" descr=" ">
          <a:extLst>
            <a:ext uri="{FF2B5EF4-FFF2-40B4-BE49-F238E27FC236}">
              <a16:creationId xmlns:a16="http://schemas.microsoft.com/office/drawing/2014/main" id="{80DE52E7-4B51-4C42-BC3C-E79BF4F38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8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</xdr:colOff>
      <xdr:row>33</xdr:row>
      <xdr:rowOff>38100</xdr:rowOff>
    </xdr:to>
    <xdr:pic>
      <xdr:nvPicPr>
        <xdr:cNvPr id="3469" name="Picture 12" descr=" ">
          <a:extLst>
            <a:ext uri="{FF2B5EF4-FFF2-40B4-BE49-F238E27FC236}">
              <a16:creationId xmlns:a16="http://schemas.microsoft.com/office/drawing/2014/main" id="{F722E5B6-F7C1-4308-A11A-4088C59A5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78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</xdr:colOff>
      <xdr:row>34</xdr:row>
      <xdr:rowOff>38100</xdr:rowOff>
    </xdr:to>
    <xdr:pic>
      <xdr:nvPicPr>
        <xdr:cNvPr id="3470" name="Picture 7" descr=" ">
          <a:extLst>
            <a:ext uri="{FF2B5EF4-FFF2-40B4-BE49-F238E27FC236}">
              <a16:creationId xmlns:a16="http://schemas.microsoft.com/office/drawing/2014/main" id="{85005EEE-7877-4934-8CE9-1E38FDE7D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61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</xdr:colOff>
      <xdr:row>34</xdr:row>
      <xdr:rowOff>38100</xdr:rowOff>
    </xdr:to>
    <xdr:pic>
      <xdr:nvPicPr>
        <xdr:cNvPr id="3471" name="Picture 8" descr=" ">
          <a:extLst>
            <a:ext uri="{FF2B5EF4-FFF2-40B4-BE49-F238E27FC236}">
              <a16:creationId xmlns:a16="http://schemas.microsoft.com/office/drawing/2014/main" id="{4EE2FE0B-68F8-4FD3-8481-24D616488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61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</xdr:colOff>
      <xdr:row>34</xdr:row>
      <xdr:rowOff>38100</xdr:rowOff>
    </xdr:to>
    <xdr:pic>
      <xdr:nvPicPr>
        <xdr:cNvPr id="3472" name="Picture 9" descr=" ">
          <a:extLst>
            <a:ext uri="{FF2B5EF4-FFF2-40B4-BE49-F238E27FC236}">
              <a16:creationId xmlns:a16="http://schemas.microsoft.com/office/drawing/2014/main" id="{6AA87012-6E62-4E39-B424-467021E0D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61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</xdr:colOff>
      <xdr:row>34</xdr:row>
      <xdr:rowOff>38100</xdr:rowOff>
    </xdr:to>
    <xdr:pic>
      <xdr:nvPicPr>
        <xdr:cNvPr id="3473" name="Picture 10" descr=" ">
          <a:extLst>
            <a:ext uri="{FF2B5EF4-FFF2-40B4-BE49-F238E27FC236}">
              <a16:creationId xmlns:a16="http://schemas.microsoft.com/office/drawing/2014/main" id="{97B737E2-FBD2-4FF1-8314-4BB9F045B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61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</xdr:colOff>
      <xdr:row>34</xdr:row>
      <xdr:rowOff>38100</xdr:rowOff>
    </xdr:to>
    <xdr:pic>
      <xdr:nvPicPr>
        <xdr:cNvPr id="3474" name="Picture 11" descr=" ">
          <a:extLst>
            <a:ext uri="{FF2B5EF4-FFF2-40B4-BE49-F238E27FC236}">
              <a16:creationId xmlns:a16="http://schemas.microsoft.com/office/drawing/2014/main" id="{5DD3CA17-EBB2-41B2-A825-4B5FA4AF8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61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</xdr:colOff>
      <xdr:row>34</xdr:row>
      <xdr:rowOff>38100</xdr:rowOff>
    </xdr:to>
    <xdr:pic>
      <xdr:nvPicPr>
        <xdr:cNvPr id="3475" name="Picture 12" descr=" ">
          <a:extLst>
            <a:ext uri="{FF2B5EF4-FFF2-40B4-BE49-F238E27FC236}">
              <a16:creationId xmlns:a16="http://schemas.microsoft.com/office/drawing/2014/main" id="{3CA50CE6-6A5F-4549-9CCF-119973A6C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61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</xdr:colOff>
      <xdr:row>35</xdr:row>
      <xdr:rowOff>38100</xdr:rowOff>
    </xdr:to>
    <xdr:pic>
      <xdr:nvPicPr>
        <xdr:cNvPr id="3476" name="Picture 7" descr=" ">
          <a:extLst>
            <a:ext uri="{FF2B5EF4-FFF2-40B4-BE49-F238E27FC236}">
              <a16:creationId xmlns:a16="http://schemas.microsoft.com/office/drawing/2014/main" id="{D1A42791-2B76-479E-832C-65102CAFB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44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</xdr:colOff>
      <xdr:row>35</xdr:row>
      <xdr:rowOff>38100</xdr:rowOff>
    </xdr:to>
    <xdr:pic>
      <xdr:nvPicPr>
        <xdr:cNvPr id="3477" name="Picture 8" descr=" ">
          <a:extLst>
            <a:ext uri="{FF2B5EF4-FFF2-40B4-BE49-F238E27FC236}">
              <a16:creationId xmlns:a16="http://schemas.microsoft.com/office/drawing/2014/main" id="{C16F2889-78FC-4161-9FB6-70F90F9BF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44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</xdr:colOff>
      <xdr:row>35</xdr:row>
      <xdr:rowOff>38100</xdr:rowOff>
    </xdr:to>
    <xdr:pic>
      <xdr:nvPicPr>
        <xdr:cNvPr id="3478" name="Picture 9" descr=" ">
          <a:extLst>
            <a:ext uri="{FF2B5EF4-FFF2-40B4-BE49-F238E27FC236}">
              <a16:creationId xmlns:a16="http://schemas.microsoft.com/office/drawing/2014/main" id="{A4043427-7A23-4B8D-9B47-0EF27A990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44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</xdr:colOff>
      <xdr:row>35</xdr:row>
      <xdr:rowOff>38100</xdr:rowOff>
    </xdr:to>
    <xdr:pic>
      <xdr:nvPicPr>
        <xdr:cNvPr id="3479" name="Picture 10" descr=" ">
          <a:extLst>
            <a:ext uri="{FF2B5EF4-FFF2-40B4-BE49-F238E27FC236}">
              <a16:creationId xmlns:a16="http://schemas.microsoft.com/office/drawing/2014/main" id="{1B37D7EF-069F-4BBA-9C30-F5332B35B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44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</xdr:colOff>
      <xdr:row>35</xdr:row>
      <xdr:rowOff>38100</xdr:rowOff>
    </xdr:to>
    <xdr:pic>
      <xdr:nvPicPr>
        <xdr:cNvPr id="3480" name="Picture 11" descr=" ">
          <a:extLst>
            <a:ext uri="{FF2B5EF4-FFF2-40B4-BE49-F238E27FC236}">
              <a16:creationId xmlns:a16="http://schemas.microsoft.com/office/drawing/2014/main" id="{0D7E3973-2649-465D-8F6B-2E0899374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44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</xdr:colOff>
      <xdr:row>35</xdr:row>
      <xdr:rowOff>38100</xdr:rowOff>
    </xdr:to>
    <xdr:pic>
      <xdr:nvPicPr>
        <xdr:cNvPr id="3481" name="Picture 12" descr=" ">
          <a:extLst>
            <a:ext uri="{FF2B5EF4-FFF2-40B4-BE49-F238E27FC236}">
              <a16:creationId xmlns:a16="http://schemas.microsoft.com/office/drawing/2014/main" id="{F9EC0389-91FB-4EFD-8421-F08563A11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44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</xdr:colOff>
      <xdr:row>36</xdr:row>
      <xdr:rowOff>38100</xdr:rowOff>
    </xdr:to>
    <xdr:pic>
      <xdr:nvPicPr>
        <xdr:cNvPr id="3482" name="Picture 7" descr=" ">
          <a:extLst>
            <a:ext uri="{FF2B5EF4-FFF2-40B4-BE49-F238E27FC236}">
              <a16:creationId xmlns:a16="http://schemas.microsoft.com/office/drawing/2014/main" id="{4E7BFFA6-1C7B-4629-B6C9-393809A15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27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</xdr:colOff>
      <xdr:row>36</xdr:row>
      <xdr:rowOff>38100</xdr:rowOff>
    </xdr:to>
    <xdr:pic>
      <xdr:nvPicPr>
        <xdr:cNvPr id="3483" name="Picture 8" descr=" ">
          <a:extLst>
            <a:ext uri="{FF2B5EF4-FFF2-40B4-BE49-F238E27FC236}">
              <a16:creationId xmlns:a16="http://schemas.microsoft.com/office/drawing/2014/main" id="{E5BE1FD2-4547-40D4-827A-C8D9FAAD2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27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</xdr:colOff>
      <xdr:row>36</xdr:row>
      <xdr:rowOff>38100</xdr:rowOff>
    </xdr:to>
    <xdr:pic>
      <xdr:nvPicPr>
        <xdr:cNvPr id="3484" name="Picture 9" descr=" ">
          <a:extLst>
            <a:ext uri="{FF2B5EF4-FFF2-40B4-BE49-F238E27FC236}">
              <a16:creationId xmlns:a16="http://schemas.microsoft.com/office/drawing/2014/main" id="{578182F4-ACF1-49D9-BD6C-3C05914C3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27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</xdr:colOff>
      <xdr:row>36</xdr:row>
      <xdr:rowOff>38100</xdr:rowOff>
    </xdr:to>
    <xdr:pic>
      <xdr:nvPicPr>
        <xdr:cNvPr id="3485" name="Picture 10" descr=" ">
          <a:extLst>
            <a:ext uri="{FF2B5EF4-FFF2-40B4-BE49-F238E27FC236}">
              <a16:creationId xmlns:a16="http://schemas.microsoft.com/office/drawing/2014/main" id="{1F0FCCB9-218A-456C-B8CC-CB0E6B344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27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</xdr:colOff>
      <xdr:row>36</xdr:row>
      <xdr:rowOff>38100</xdr:rowOff>
    </xdr:to>
    <xdr:pic>
      <xdr:nvPicPr>
        <xdr:cNvPr id="3486" name="Picture 11" descr=" ">
          <a:extLst>
            <a:ext uri="{FF2B5EF4-FFF2-40B4-BE49-F238E27FC236}">
              <a16:creationId xmlns:a16="http://schemas.microsoft.com/office/drawing/2014/main" id="{91F40084-D018-4E44-9407-E2880369E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27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</xdr:colOff>
      <xdr:row>36</xdr:row>
      <xdr:rowOff>38100</xdr:rowOff>
    </xdr:to>
    <xdr:pic>
      <xdr:nvPicPr>
        <xdr:cNvPr id="3487" name="Picture 12" descr=" ">
          <a:extLst>
            <a:ext uri="{FF2B5EF4-FFF2-40B4-BE49-F238E27FC236}">
              <a16:creationId xmlns:a16="http://schemas.microsoft.com/office/drawing/2014/main" id="{6AE926B3-B94E-42CE-977A-E996F83DB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27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</xdr:colOff>
      <xdr:row>38</xdr:row>
      <xdr:rowOff>38100</xdr:rowOff>
    </xdr:to>
    <xdr:pic>
      <xdr:nvPicPr>
        <xdr:cNvPr id="3488" name="Picture 7" descr=" ">
          <a:extLst>
            <a:ext uri="{FF2B5EF4-FFF2-40B4-BE49-F238E27FC236}">
              <a16:creationId xmlns:a16="http://schemas.microsoft.com/office/drawing/2014/main" id="{F605F156-84AD-468C-8B6E-3D96A9863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0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</xdr:colOff>
      <xdr:row>38</xdr:row>
      <xdr:rowOff>38100</xdr:rowOff>
    </xdr:to>
    <xdr:pic>
      <xdr:nvPicPr>
        <xdr:cNvPr id="3489" name="Picture 8" descr=" ">
          <a:extLst>
            <a:ext uri="{FF2B5EF4-FFF2-40B4-BE49-F238E27FC236}">
              <a16:creationId xmlns:a16="http://schemas.microsoft.com/office/drawing/2014/main" id="{E1A5CDA3-CD86-4D3E-B514-461CF5B88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0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</xdr:colOff>
      <xdr:row>38</xdr:row>
      <xdr:rowOff>38100</xdr:rowOff>
    </xdr:to>
    <xdr:pic>
      <xdr:nvPicPr>
        <xdr:cNvPr id="3490" name="Picture 9" descr=" ">
          <a:extLst>
            <a:ext uri="{FF2B5EF4-FFF2-40B4-BE49-F238E27FC236}">
              <a16:creationId xmlns:a16="http://schemas.microsoft.com/office/drawing/2014/main" id="{532A8A77-1D59-46FF-AA05-213ECC48E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0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</xdr:colOff>
      <xdr:row>38</xdr:row>
      <xdr:rowOff>38100</xdr:rowOff>
    </xdr:to>
    <xdr:pic>
      <xdr:nvPicPr>
        <xdr:cNvPr id="3491" name="Picture 10" descr=" ">
          <a:extLst>
            <a:ext uri="{FF2B5EF4-FFF2-40B4-BE49-F238E27FC236}">
              <a16:creationId xmlns:a16="http://schemas.microsoft.com/office/drawing/2014/main" id="{284EC11F-0A47-42BE-9E3A-4A3E9B43E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0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</xdr:colOff>
      <xdr:row>38</xdr:row>
      <xdr:rowOff>38100</xdr:rowOff>
    </xdr:to>
    <xdr:pic>
      <xdr:nvPicPr>
        <xdr:cNvPr id="3492" name="Picture 11" descr=" ">
          <a:extLst>
            <a:ext uri="{FF2B5EF4-FFF2-40B4-BE49-F238E27FC236}">
              <a16:creationId xmlns:a16="http://schemas.microsoft.com/office/drawing/2014/main" id="{4270DF87-FB14-405D-862E-E92EDBF0C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0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</xdr:colOff>
      <xdr:row>38</xdr:row>
      <xdr:rowOff>38100</xdr:rowOff>
    </xdr:to>
    <xdr:pic>
      <xdr:nvPicPr>
        <xdr:cNvPr id="3493" name="Picture 12" descr=" ">
          <a:extLst>
            <a:ext uri="{FF2B5EF4-FFF2-40B4-BE49-F238E27FC236}">
              <a16:creationId xmlns:a16="http://schemas.microsoft.com/office/drawing/2014/main" id="{1899B168-E956-47FC-9B31-4CA59A7DA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0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</xdr:colOff>
      <xdr:row>39</xdr:row>
      <xdr:rowOff>38100</xdr:rowOff>
    </xdr:to>
    <xdr:pic>
      <xdr:nvPicPr>
        <xdr:cNvPr id="3494" name="Picture 7" descr=" ">
          <a:extLst>
            <a:ext uri="{FF2B5EF4-FFF2-40B4-BE49-F238E27FC236}">
              <a16:creationId xmlns:a16="http://schemas.microsoft.com/office/drawing/2014/main" id="{554154A7-3C5C-4C91-B4EC-0BF11A6E2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93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</xdr:colOff>
      <xdr:row>39</xdr:row>
      <xdr:rowOff>38100</xdr:rowOff>
    </xdr:to>
    <xdr:pic>
      <xdr:nvPicPr>
        <xdr:cNvPr id="3495" name="Picture 8" descr=" ">
          <a:extLst>
            <a:ext uri="{FF2B5EF4-FFF2-40B4-BE49-F238E27FC236}">
              <a16:creationId xmlns:a16="http://schemas.microsoft.com/office/drawing/2014/main" id="{B170471F-A016-485D-A825-30221F4CA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93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</xdr:colOff>
      <xdr:row>39</xdr:row>
      <xdr:rowOff>38100</xdr:rowOff>
    </xdr:to>
    <xdr:pic>
      <xdr:nvPicPr>
        <xdr:cNvPr id="3496" name="Picture 9" descr=" ">
          <a:extLst>
            <a:ext uri="{FF2B5EF4-FFF2-40B4-BE49-F238E27FC236}">
              <a16:creationId xmlns:a16="http://schemas.microsoft.com/office/drawing/2014/main" id="{3B7233CA-FBF4-4D74-BAB2-88B6D0E12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93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</xdr:colOff>
      <xdr:row>39</xdr:row>
      <xdr:rowOff>38100</xdr:rowOff>
    </xdr:to>
    <xdr:pic>
      <xdr:nvPicPr>
        <xdr:cNvPr id="3497" name="Picture 10" descr=" ">
          <a:extLst>
            <a:ext uri="{FF2B5EF4-FFF2-40B4-BE49-F238E27FC236}">
              <a16:creationId xmlns:a16="http://schemas.microsoft.com/office/drawing/2014/main" id="{12EC5DAD-75EC-47D9-A91A-245A09996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93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</xdr:colOff>
      <xdr:row>39</xdr:row>
      <xdr:rowOff>38100</xdr:rowOff>
    </xdr:to>
    <xdr:pic>
      <xdr:nvPicPr>
        <xdr:cNvPr id="3498" name="Picture 11" descr=" ">
          <a:extLst>
            <a:ext uri="{FF2B5EF4-FFF2-40B4-BE49-F238E27FC236}">
              <a16:creationId xmlns:a16="http://schemas.microsoft.com/office/drawing/2014/main" id="{FA826A27-3BA6-4A43-A0DF-210E6890C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93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</xdr:colOff>
      <xdr:row>39</xdr:row>
      <xdr:rowOff>38100</xdr:rowOff>
    </xdr:to>
    <xdr:pic>
      <xdr:nvPicPr>
        <xdr:cNvPr id="3499" name="Picture 12" descr=" ">
          <a:extLst>
            <a:ext uri="{FF2B5EF4-FFF2-40B4-BE49-F238E27FC236}">
              <a16:creationId xmlns:a16="http://schemas.microsoft.com/office/drawing/2014/main" id="{D2FB0398-FBAD-4B58-B77C-06FA65251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93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</xdr:colOff>
      <xdr:row>40</xdr:row>
      <xdr:rowOff>38100</xdr:rowOff>
    </xdr:to>
    <xdr:pic>
      <xdr:nvPicPr>
        <xdr:cNvPr id="3500" name="Picture 7" descr=" ">
          <a:extLst>
            <a:ext uri="{FF2B5EF4-FFF2-40B4-BE49-F238E27FC236}">
              <a16:creationId xmlns:a16="http://schemas.microsoft.com/office/drawing/2014/main" id="{471C4F91-F2F6-4A6B-8D81-F1F96A2C9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76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</xdr:colOff>
      <xdr:row>40</xdr:row>
      <xdr:rowOff>38100</xdr:rowOff>
    </xdr:to>
    <xdr:pic>
      <xdr:nvPicPr>
        <xdr:cNvPr id="3501" name="Picture 8" descr=" ">
          <a:extLst>
            <a:ext uri="{FF2B5EF4-FFF2-40B4-BE49-F238E27FC236}">
              <a16:creationId xmlns:a16="http://schemas.microsoft.com/office/drawing/2014/main" id="{D2E25517-3644-4B84-B0B7-94CA491D5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76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</xdr:colOff>
      <xdr:row>40</xdr:row>
      <xdr:rowOff>38100</xdr:rowOff>
    </xdr:to>
    <xdr:pic>
      <xdr:nvPicPr>
        <xdr:cNvPr id="3502" name="Picture 9" descr=" ">
          <a:extLst>
            <a:ext uri="{FF2B5EF4-FFF2-40B4-BE49-F238E27FC236}">
              <a16:creationId xmlns:a16="http://schemas.microsoft.com/office/drawing/2014/main" id="{8B077173-3DFA-4691-958D-C36406C27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76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</xdr:colOff>
      <xdr:row>40</xdr:row>
      <xdr:rowOff>38100</xdr:rowOff>
    </xdr:to>
    <xdr:pic>
      <xdr:nvPicPr>
        <xdr:cNvPr id="3503" name="Picture 10" descr=" ">
          <a:extLst>
            <a:ext uri="{FF2B5EF4-FFF2-40B4-BE49-F238E27FC236}">
              <a16:creationId xmlns:a16="http://schemas.microsoft.com/office/drawing/2014/main" id="{66D6B55E-1B9A-4B6B-A7DE-F9E12F667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76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</xdr:colOff>
      <xdr:row>40</xdr:row>
      <xdr:rowOff>38100</xdr:rowOff>
    </xdr:to>
    <xdr:pic>
      <xdr:nvPicPr>
        <xdr:cNvPr id="3504" name="Picture 11" descr=" ">
          <a:extLst>
            <a:ext uri="{FF2B5EF4-FFF2-40B4-BE49-F238E27FC236}">
              <a16:creationId xmlns:a16="http://schemas.microsoft.com/office/drawing/2014/main" id="{36746E7A-FA2A-4BA0-849A-397B18617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76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</xdr:colOff>
      <xdr:row>40</xdr:row>
      <xdr:rowOff>38100</xdr:rowOff>
    </xdr:to>
    <xdr:pic>
      <xdr:nvPicPr>
        <xdr:cNvPr id="3505" name="Picture 12" descr=" ">
          <a:extLst>
            <a:ext uri="{FF2B5EF4-FFF2-40B4-BE49-F238E27FC236}">
              <a16:creationId xmlns:a16="http://schemas.microsoft.com/office/drawing/2014/main" id="{6E471953-5CB5-44F2-AF15-E8EDF9A73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76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3506" name="Picture 7" descr=" ">
          <a:extLst>
            <a:ext uri="{FF2B5EF4-FFF2-40B4-BE49-F238E27FC236}">
              <a16:creationId xmlns:a16="http://schemas.microsoft.com/office/drawing/2014/main" id="{03C643A8-6B47-419F-B668-34E1EE47E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3507" name="Picture 8" descr=" ">
          <a:extLst>
            <a:ext uri="{FF2B5EF4-FFF2-40B4-BE49-F238E27FC236}">
              <a16:creationId xmlns:a16="http://schemas.microsoft.com/office/drawing/2014/main" id="{C3A9FB9A-2827-47D9-A44B-9002FCF07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3508" name="Picture 9" descr=" ">
          <a:extLst>
            <a:ext uri="{FF2B5EF4-FFF2-40B4-BE49-F238E27FC236}">
              <a16:creationId xmlns:a16="http://schemas.microsoft.com/office/drawing/2014/main" id="{585D25D5-0FB2-4A6A-9A9F-CEB9A0AA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3509" name="Picture 10" descr=" ">
          <a:extLst>
            <a:ext uri="{FF2B5EF4-FFF2-40B4-BE49-F238E27FC236}">
              <a16:creationId xmlns:a16="http://schemas.microsoft.com/office/drawing/2014/main" id="{F010A2FB-DF56-48D2-99F6-DF1A3F37E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3510" name="Picture 11" descr=" ">
          <a:extLst>
            <a:ext uri="{FF2B5EF4-FFF2-40B4-BE49-F238E27FC236}">
              <a16:creationId xmlns:a16="http://schemas.microsoft.com/office/drawing/2014/main" id="{51BB1DD7-0AFA-46DB-90E2-6CA1A7E0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3511" name="Picture 12" descr=" ">
          <a:extLst>
            <a:ext uri="{FF2B5EF4-FFF2-40B4-BE49-F238E27FC236}">
              <a16:creationId xmlns:a16="http://schemas.microsoft.com/office/drawing/2014/main" id="{8437C89C-5A05-4D62-BE46-E9582C88C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</xdr:colOff>
      <xdr:row>42</xdr:row>
      <xdr:rowOff>38100</xdr:rowOff>
    </xdr:to>
    <xdr:pic>
      <xdr:nvPicPr>
        <xdr:cNvPr id="3512" name="Picture 7" descr=" ">
          <a:extLst>
            <a:ext uri="{FF2B5EF4-FFF2-40B4-BE49-F238E27FC236}">
              <a16:creationId xmlns:a16="http://schemas.microsoft.com/office/drawing/2014/main" id="{EA6AD540-0B2A-4DFC-9257-51B212EFF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41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</xdr:colOff>
      <xdr:row>42</xdr:row>
      <xdr:rowOff>38100</xdr:rowOff>
    </xdr:to>
    <xdr:pic>
      <xdr:nvPicPr>
        <xdr:cNvPr id="3513" name="Picture 8" descr=" ">
          <a:extLst>
            <a:ext uri="{FF2B5EF4-FFF2-40B4-BE49-F238E27FC236}">
              <a16:creationId xmlns:a16="http://schemas.microsoft.com/office/drawing/2014/main" id="{F120F89B-090A-4406-AB52-98EDAFEB0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41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</xdr:colOff>
      <xdr:row>42</xdr:row>
      <xdr:rowOff>38100</xdr:rowOff>
    </xdr:to>
    <xdr:pic>
      <xdr:nvPicPr>
        <xdr:cNvPr id="3514" name="Picture 9" descr=" ">
          <a:extLst>
            <a:ext uri="{FF2B5EF4-FFF2-40B4-BE49-F238E27FC236}">
              <a16:creationId xmlns:a16="http://schemas.microsoft.com/office/drawing/2014/main" id="{710E492E-C455-4E6C-BDA1-D89F89B23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41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</xdr:colOff>
      <xdr:row>42</xdr:row>
      <xdr:rowOff>38100</xdr:rowOff>
    </xdr:to>
    <xdr:pic>
      <xdr:nvPicPr>
        <xdr:cNvPr id="3515" name="Picture 10" descr=" ">
          <a:extLst>
            <a:ext uri="{FF2B5EF4-FFF2-40B4-BE49-F238E27FC236}">
              <a16:creationId xmlns:a16="http://schemas.microsoft.com/office/drawing/2014/main" id="{6600E41E-AB62-467D-8ADA-C2A6C13F5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41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</xdr:colOff>
      <xdr:row>42</xdr:row>
      <xdr:rowOff>38100</xdr:rowOff>
    </xdr:to>
    <xdr:pic>
      <xdr:nvPicPr>
        <xdr:cNvPr id="3516" name="Picture 11" descr=" ">
          <a:extLst>
            <a:ext uri="{FF2B5EF4-FFF2-40B4-BE49-F238E27FC236}">
              <a16:creationId xmlns:a16="http://schemas.microsoft.com/office/drawing/2014/main" id="{CC5C0F8F-EF0F-407E-8667-7C94C36E6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41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</xdr:colOff>
      <xdr:row>42</xdr:row>
      <xdr:rowOff>38100</xdr:rowOff>
    </xdr:to>
    <xdr:pic>
      <xdr:nvPicPr>
        <xdr:cNvPr id="3517" name="Picture 12" descr=" ">
          <a:extLst>
            <a:ext uri="{FF2B5EF4-FFF2-40B4-BE49-F238E27FC236}">
              <a16:creationId xmlns:a16="http://schemas.microsoft.com/office/drawing/2014/main" id="{57B1C28E-8454-41C5-AA3A-B66F4D834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41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</xdr:colOff>
      <xdr:row>44</xdr:row>
      <xdr:rowOff>38100</xdr:rowOff>
    </xdr:to>
    <xdr:pic>
      <xdr:nvPicPr>
        <xdr:cNvPr id="3518" name="Picture 7" descr=" ">
          <a:extLst>
            <a:ext uri="{FF2B5EF4-FFF2-40B4-BE49-F238E27FC236}">
              <a16:creationId xmlns:a16="http://schemas.microsoft.com/office/drawing/2014/main" id="{86696E94-0642-4782-8AFC-5C516E2EC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24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</xdr:colOff>
      <xdr:row>44</xdr:row>
      <xdr:rowOff>38100</xdr:rowOff>
    </xdr:to>
    <xdr:pic>
      <xdr:nvPicPr>
        <xdr:cNvPr id="3519" name="Picture 8" descr=" ">
          <a:extLst>
            <a:ext uri="{FF2B5EF4-FFF2-40B4-BE49-F238E27FC236}">
              <a16:creationId xmlns:a16="http://schemas.microsoft.com/office/drawing/2014/main" id="{C7D15F49-7714-4858-AE17-C779B5151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24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</xdr:colOff>
      <xdr:row>44</xdr:row>
      <xdr:rowOff>38100</xdr:rowOff>
    </xdr:to>
    <xdr:pic>
      <xdr:nvPicPr>
        <xdr:cNvPr id="3520" name="Picture 9" descr=" ">
          <a:extLst>
            <a:ext uri="{FF2B5EF4-FFF2-40B4-BE49-F238E27FC236}">
              <a16:creationId xmlns:a16="http://schemas.microsoft.com/office/drawing/2014/main" id="{1F7F8D87-5D4B-4EDE-A1D7-8E5F76687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24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</xdr:colOff>
      <xdr:row>44</xdr:row>
      <xdr:rowOff>38100</xdr:rowOff>
    </xdr:to>
    <xdr:pic>
      <xdr:nvPicPr>
        <xdr:cNvPr id="3521" name="Picture 10" descr=" ">
          <a:extLst>
            <a:ext uri="{FF2B5EF4-FFF2-40B4-BE49-F238E27FC236}">
              <a16:creationId xmlns:a16="http://schemas.microsoft.com/office/drawing/2014/main" id="{92541CB3-AFDC-46F0-A931-F164D41C0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24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</xdr:colOff>
      <xdr:row>44</xdr:row>
      <xdr:rowOff>38100</xdr:rowOff>
    </xdr:to>
    <xdr:pic>
      <xdr:nvPicPr>
        <xdr:cNvPr id="3522" name="Picture 11" descr=" ">
          <a:extLst>
            <a:ext uri="{FF2B5EF4-FFF2-40B4-BE49-F238E27FC236}">
              <a16:creationId xmlns:a16="http://schemas.microsoft.com/office/drawing/2014/main" id="{EC9D105F-BDB0-447C-A22A-F678239D1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24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</xdr:colOff>
      <xdr:row>44</xdr:row>
      <xdr:rowOff>38100</xdr:rowOff>
    </xdr:to>
    <xdr:pic>
      <xdr:nvPicPr>
        <xdr:cNvPr id="3523" name="Picture 12" descr=" ">
          <a:extLst>
            <a:ext uri="{FF2B5EF4-FFF2-40B4-BE49-F238E27FC236}">
              <a16:creationId xmlns:a16="http://schemas.microsoft.com/office/drawing/2014/main" id="{44BFAAEC-76B4-491D-8FC3-EE3A77DB6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24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</xdr:colOff>
      <xdr:row>45</xdr:row>
      <xdr:rowOff>38100</xdr:rowOff>
    </xdr:to>
    <xdr:pic>
      <xdr:nvPicPr>
        <xdr:cNvPr id="3524" name="Picture 7" descr=" ">
          <a:extLst>
            <a:ext uri="{FF2B5EF4-FFF2-40B4-BE49-F238E27FC236}">
              <a16:creationId xmlns:a16="http://schemas.microsoft.com/office/drawing/2014/main" id="{B50F82AE-B27A-4FCA-B495-76D549F5E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07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</xdr:colOff>
      <xdr:row>45</xdr:row>
      <xdr:rowOff>38100</xdr:rowOff>
    </xdr:to>
    <xdr:pic>
      <xdr:nvPicPr>
        <xdr:cNvPr id="3525" name="Picture 8" descr=" ">
          <a:extLst>
            <a:ext uri="{FF2B5EF4-FFF2-40B4-BE49-F238E27FC236}">
              <a16:creationId xmlns:a16="http://schemas.microsoft.com/office/drawing/2014/main" id="{3778AA43-FA32-411D-A6C5-FF8FC8CF9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07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</xdr:colOff>
      <xdr:row>45</xdr:row>
      <xdr:rowOff>38100</xdr:rowOff>
    </xdr:to>
    <xdr:pic>
      <xdr:nvPicPr>
        <xdr:cNvPr id="3526" name="Picture 9" descr=" ">
          <a:extLst>
            <a:ext uri="{FF2B5EF4-FFF2-40B4-BE49-F238E27FC236}">
              <a16:creationId xmlns:a16="http://schemas.microsoft.com/office/drawing/2014/main" id="{C862A2AE-2490-4186-9370-EDDD702A3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07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</xdr:colOff>
      <xdr:row>45</xdr:row>
      <xdr:rowOff>38100</xdr:rowOff>
    </xdr:to>
    <xdr:pic>
      <xdr:nvPicPr>
        <xdr:cNvPr id="3527" name="Picture 10" descr=" ">
          <a:extLst>
            <a:ext uri="{FF2B5EF4-FFF2-40B4-BE49-F238E27FC236}">
              <a16:creationId xmlns:a16="http://schemas.microsoft.com/office/drawing/2014/main" id="{B9D8F2AD-291C-448A-A5AF-B78A19A60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07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</xdr:colOff>
      <xdr:row>45</xdr:row>
      <xdr:rowOff>38100</xdr:rowOff>
    </xdr:to>
    <xdr:pic>
      <xdr:nvPicPr>
        <xdr:cNvPr id="3528" name="Picture 11" descr=" ">
          <a:extLst>
            <a:ext uri="{FF2B5EF4-FFF2-40B4-BE49-F238E27FC236}">
              <a16:creationId xmlns:a16="http://schemas.microsoft.com/office/drawing/2014/main" id="{FBC6BE06-C508-4A41-9764-68C52873D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07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</xdr:colOff>
      <xdr:row>45</xdr:row>
      <xdr:rowOff>38100</xdr:rowOff>
    </xdr:to>
    <xdr:pic>
      <xdr:nvPicPr>
        <xdr:cNvPr id="3529" name="Picture 12" descr=" ">
          <a:extLst>
            <a:ext uri="{FF2B5EF4-FFF2-40B4-BE49-F238E27FC236}">
              <a16:creationId xmlns:a16="http://schemas.microsoft.com/office/drawing/2014/main" id="{8291874C-909F-41FC-8D52-AE0AF7E03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07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</xdr:colOff>
      <xdr:row>46</xdr:row>
      <xdr:rowOff>38100</xdr:rowOff>
    </xdr:to>
    <xdr:pic>
      <xdr:nvPicPr>
        <xdr:cNvPr id="3530" name="Picture 7" descr=" ">
          <a:extLst>
            <a:ext uri="{FF2B5EF4-FFF2-40B4-BE49-F238E27FC236}">
              <a16:creationId xmlns:a16="http://schemas.microsoft.com/office/drawing/2014/main" id="{C3C3524E-982B-4354-897E-0BEB15CE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90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</xdr:colOff>
      <xdr:row>46</xdr:row>
      <xdr:rowOff>38100</xdr:rowOff>
    </xdr:to>
    <xdr:pic>
      <xdr:nvPicPr>
        <xdr:cNvPr id="3531" name="Picture 8" descr=" ">
          <a:extLst>
            <a:ext uri="{FF2B5EF4-FFF2-40B4-BE49-F238E27FC236}">
              <a16:creationId xmlns:a16="http://schemas.microsoft.com/office/drawing/2014/main" id="{8C33825C-F094-4069-8BF7-E5C0BE875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90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</xdr:colOff>
      <xdr:row>46</xdr:row>
      <xdr:rowOff>38100</xdr:rowOff>
    </xdr:to>
    <xdr:pic>
      <xdr:nvPicPr>
        <xdr:cNvPr id="3532" name="Picture 9" descr=" ">
          <a:extLst>
            <a:ext uri="{FF2B5EF4-FFF2-40B4-BE49-F238E27FC236}">
              <a16:creationId xmlns:a16="http://schemas.microsoft.com/office/drawing/2014/main" id="{0196F401-4FA4-4905-A589-BA06B08B6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90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</xdr:colOff>
      <xdr:row>46</xdr:row>
      <xdr:rowOff>38100</xdr:rowOff>
    </xdr:to>
    <xdr:pic>
      <xdr:nvPicPr>
        <xdr:cNvPr id="3533" name="Picture 10" descr=" ">
          <a:extLst>
            <a:ext uri="{FF2B5EF4-FFF2-40B4-BE49-F238E27FC236}">
              <a16:creationId xmlns:a16="http://schemas.microsoft.com/office/drawing/2014/main" id="{3EE75605-01D3-4D87-8ADA-EA1F43FF9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90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</xdr:colOff>
      <xdr:row>46</xdr:row>
      <xdr:rowOff>38100</xdr:rowOff>
    </xdr:to>
    <xdr:pic>
      <xdr:nvPicPr>
        <xdr:cNvPr id="3534" name="Picture 11" descr=" ">
          <a:extLst>
            <a:ext uri="{FF2B5EF4-FFF2-40B4-BE49-F238E27FC236}">
              <a16:creationId xmlns:a16="http://schemas.microsoft.com/office/drawing/2014/main" id="{6F5F0A2A-D1BB-4618-92EE-9CFA95BAD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90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</xdr:colOff>
      <xdr:row>46</xdr:row>
      <xdr:rowOff>38100</xdr:rowOff>
    </xdr:to>
    <xdr:pic>
      <xdr:nvPicPr>
        <xdr:cNvPr id="3535" name="Picture 12" descr=" ">
          <a:extLst>
            <a:ext uri="{FF2B5EF4-FFF2-40B4-BE49-F238E27FC236}">
              <a16:creationId xmlns:a16="http://schemas.microsoft.com/office/drawing/2014/main" id="{5940CC30-C87E-46BF-8507-FEAA04807B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90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</xdr:colOff>
      <xdr:row>47</xdr:row>
      <xdr:rowOff>38100</xdr:rowOff>
    </xdr:to>
    <xdr:pic>
      <xdr:nvPicPr>
        <xdr:cNvPr id="3536" name="Picture 7" descr=" ">
          <a:extLst>
            <a:ext uri="{FF2B5EF4-FFF2-40B4-BE49-F238E27FC236}">
              <a16:creationId xmlns:a16="http://schemas.microsoft.com/office/drawing/2014/main" id="{FC7A909D-370F-4501-8F72-26AA3CAD6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3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</xdr:colOff>
      <xdr:row>47</xdr:row>
      <xdr:rowOff>38100</xdr:rowOff>
    </xdr:to>
    <xdr:pic>
      <xdr:nvPicPr>
        <xdr:cNvPr id="3537" name="Picture 8" descr=" ">
          <a:extLst>
            <a:ext uri="{FF2B5EF4-FFF2-40B4-BE49-F238E27FC236}">
              <a16:creationId xmlns:a16="http://schemas.microsoft.com/office/drawing/2014/main" id="{3C509C4A-A175-442B-AA41-6F9A2B19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3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</xdr:colOff>
      <xdr:row>47</xdr:row>
      <xdr:rowOff>38100</xdr:rowOff>
    </xdr:to>
    <xdr:pic>
      <xdr:nvPicPr>
        <xdr:cNvPr id="3538" name="Picture 9" descr=" ">
          <a:extLst>
            <a:ext uri="{FF2B5EF4-FFF2-40B4-BE49-F238E27FC236}">
              <a16:creationId xmlns:a16="http://schemas.microsoft.com/office/drawing/2014/main" id="{04BE1145-6FE1-4037-9EAA-2F8FD0284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3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</xdr:colOff>
      <xdr:row>47</xdr:row>
      <xdr:rowOff>38100</xdr:rowOff>
    </xdr:to>
    <xdr:pic>
      <xdr:nvPicPr>
        <xdr:cNvPr id="3539" name="Picture 10" descr=" ">
          <a:extLst>
            <a:ext uri="{FF2B5EF4-FFF2-40B4-BE49-F238E27FC236}">
              <a16:creationId xmlns:a16="http://schemas.microsoft.com/office/drawing/2014/main" id="{0D5DE047-9DFC-4BD0-91FB-332C65D73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3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</xdr:colOff>
      <xdr:row>47</xdr:row>
      <xdr:rowOff>38100</xdr:rowOff>
    </xdr:to>
    <xdr:pic>
      <xdr:nvPicPr>
        <xdr:cNvPr id="3540" name="Picture 11" descr=" ">
          <a:extLst>
            <a:ext uri="{FF2B5EF4-FFF2-40B4-BE49-F238E27FC236}">
              <a16:creationId xmlns:a16="http://schemas.microsoft.com/office/drawing/2014/main" id="{8017205D-2F75-4C59-97B5-A1CFF8194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3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</xdr:colOff>
      <xdr:row>47</xdr:row>
      <xdr:rowOff>38100</xdr:rowOff>
    </xdr:to>
    <xdr:pic>
      <xdr:nvPicPr>
        <xdr:cNvPr id="3541" name="Picture 12" descr=" ">
          <a:extLst>
            <a:ext uri="{FF2B5EF4-FFF2-40B4-BE49-F238E27FC236}">
              <a16:creationId xmlns:a16="http://schemas.microsoft.com/office/drawing/2014/main" id="{AEE59F29-B72F-4CEE-97C9-171758CAE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73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</xdr:colOff>
      <xdr:row>48</xdr:row>
      <xdr:rowOff>38100</xdr:rowOff>
    </xdr:to>
    <xdr:pic>
      <xdr:nvPicPr>
        <xdr:cNvPr id="3542" name="Picture 7" descr=" ">
          <a:extLst>
            <a:ext uri="{FF2B5EF4-FFF2-40B4-BE49-F238E27FC236}">
              <a16:creationId xmlns:a16="http://schemas.microsoft.com/office/drawing/2014/main" id="{C411EE57-9F60-44F5-8806-695182FAD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56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</xdr:colOff>
      <xdr:row>48</xdr:row>
      <xdr:rowOff>38100</xdr:rowOff>
    </xdr:to>
    <xdr:pic>
      <xdr:nvPicPr>
        <xdr:cNvPr id="3543" name="Picture 8" descr=" ">
          <a:extLst>
            <a:ext uri="{FF2B5EF4-FFF2-40B4-BE49-F238E27FC236}">
              <a16:creationId xmlns:a16="http://schemas.microsoft.com/office/drawing/2014/main" id="{E0884B65-6DFA-4019-B524-D25C27E47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56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</xdr:colOff>
      <xdr:row>48</xdr:row>
      <xdr:rowOff>38100</xdr:rowOff>
    </xdr:to>
    <xdr:pic>
      <xdr:nvPicPr>
        <xdr:cNvPr id="3544" name="Picture 9" descr=" ">
          <a:extLst>
            <a:ext uri="{FF2B5EF4-FFF2-40B4-BE49-F238E27FC236}">
              <a16:creationId xmlns:a16="http://schemas.microsoft.com/office/drawing/2014/main" id="{53CBD60E-26A3-4ADA-9A01-94EEC8A63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56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</xdr:colOff>
      <xdr:row>48</xdr:row>
      <xdr:rowOff>38100</xdr:rowOff>
    </xdr:to>
    <xdr:pic>
      <xdr:nvPicPr>
        <xdr:cNvPr id="3545" name="Picture 10" descr=" ">
          <a:extLst>
            <a:ext uri="{FF2B5EF4-FFF2-40B4-BE49-F238E27FC236}">
              <a16:creationId xmlns:a16="http://schemas.microsoft.com/office/drawing/2014/main" id="{2802A6D5-CA83-4FF4-BF91-43A811EF5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56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</xdr:colOff>
      <xdr:row>48</xdr:row>
      <xdr:rowOff>38100</xdr:rowOff>
    </xdr:to>
    <xdr:pic>
      <xdr:nvPicPr>
        <xdr:cNvPr id="3546" name="Picture 11" descr=" ">
          <a:extLst>
            <a:ext uri="{FF2B5EF4-FFF2-40B4-BE49-F238E27FC236}">
              <a16:creationId xmlns:a16="http://schemas.microsoft.com/office/drawing/2014/main" id="{0BCE6A2A-678B-467F-B31C-66F233B10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56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</xdr:colOff>
      <xdr:row>48</xdr:row>
      <xdr:rowOff>38100</xdr:rowOff>
    </xdr:to>
    <xdr:pic>
      <xdr:nvPicPr>
        <xdr:cNvPr id="3547" name="Picture 12" descr=" ">
          <a:extLst>
            <a:ext uri="{FF2B5EF4-FFF2-40B4-BE49-F238E27FC236}">
              <a16:creationId xmlns:a16="http://schemas.microsoft.com/office/drawing/2014/main" id="{346A8A63-1A69-47EB-A410-82065794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56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</xdr:colOff>
      <xdr:row>49</xdr:row>
      <xdr:rowOff>38100</xdr:rowOff>
    </xdr:to>
    <xdr:pic>
      <xdr:nvPicPr>
        <xdr:cNvPr id="3548" name="Picture 7" descr=" ">
          <a:extLst>
            <a:ext uri="{FF2B5EF4-FFF2-40B4-BE49-F238E27FC236}">
              <a16:creationId xmlns:a16="http://schemas.microsoft.com/office/drawing/2014/main" id="{066CA2AB-9AA8-4795-966A-64F713024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</xdr:colOff>
      <xdr:row>49</xdr:row>
      <xdr:rowOff>38100</xdr:rowOff>
    </xdr:to>
    <xdr:pic>
      <xdr:nvPicPr>
        <xdr:cNvPr id="3549" name="Picture 8" descr=" ">
          <a:extLst>
            <a:ext uri="{FF2B5EF4-FFF2-40B4-BE49-F238E27FC236}">
              <a16:creationId xmlns:a16="http://schemas.microsoft.com/office/drawing/2014/main" id="{96D0BC89-F01E-4AA6-9710-88051E44C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</xdr:colOff>
      <xdr:row>49</xdr:row>
      <xdr:rowOff>38100</xdr:rowOff>
    </xdr:to>
    <xdr:pic>
      <xdr:nvPicPr>
        <xdr:cNvPr id="3550" name="Picture 9" descr=" ">
          <a:extLst>
            <a:ext uri="{FF2B5EF4-FFF2-40B4-BE49-F238E27FC236}">
              <a16:creationId xmlns:a16="http://schemas.microsoft.com/office/drawing/2014/main" id="{3730B6DC-9639-47DF-AAD3-450BC7F9B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</xdr:colOff>
      <xdr:row>49</xdr:row>
      <xdr:rowOff>38100</xdr:rowOff>
    </xdr:to>
    <xdr:pic>
      <xdr:nvPicPr>
        <xdr:cNvPr id="3551" name="Picture 10" descr=" ">
          <a:extLst>
            <a:ext uri="{FF2B5EF4-FFF2-40B4-BE49-F238E27FC236}">
              <a16:creationId xmlns:a16="http://schemas.microsoft.com/office/drawing/2014/main" id="{5BFDEE3B-9BD7-431C-80C6-D218EFE1D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</xdr:colOff>
      <xdr:row>49</xdr:row>
      <xdr:rowOff>38100</xdr:rowOff>
    </xdr:to>
    <xdr:pic>
      <xdr:nvPicPr>
        <xdr:cNvPr id="3552" name="Picture 11" descr=" ">
          <a:extLst>
            <a:ext uri="{FF2B5EF4-FFF2-40B4-BE49-F238E27FC236}">
              <a16:creationId xmlns:a16="http://schemas.microsoft.com/office/drawing/2014/main" id="{BB277CA9-B009-45A1-B965-2FA91D0FC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</xdr:colOff>
      <xdr:row>49</xdr:row>
      <xdr:rowOff>38100</xdr:rowOff>
    </xdr:to>
    <xdr:pic>
      <xdr:nvPicPr>
        <xdr:cNvPr id="3553" name="Picture 12" descr=" ">
          <a:extLst>
            <a:ext uri="{FF2B5EF4-FFF2-40B4-BE49-F238E27FC236}">
              <a16:creationId xmlns:a16="http://schemas.microsoft.com/office/drawing/2014/main" id="{E2ECD25D-599F-4CD8-AC60-BB10A6051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3554" name="Picture 7" descr=" ">
          <a:extLst>
            <a:ext uri="{FF2B5EF4-FFF2-40B4-BE49-F238E27FC236}">
              <a16:creationId xmlns:a16="http://schemas.microsoft.com/office/drawing/2014/main" id="{444BE6A0-2A87-43AA-9850-D39D7BCF2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3555" name="Picture 8" descr=" ">
          <a:extLst>
            <a:ext uri="{FF2B5EF4-FFF2-40B4-BE49-F238E27FC236}">
              <a16:creationId xmlns:a16="http://schemas.microsoft.com/office/drawing/2014/main" id="{1B962D02-07FE-4B60-884A-9BD010CC8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3556" name="Picture 9" descr=" ">
          <a:extLst>
            <a:ext uri="{FF2B5EF4-FFF2-40B4-BE49-F238E27FC236}">
              <a16:creationId xmlns:a16="http://schemas.microsoft.com/office/drawing/2014/main" id="{89C312A0-BFE2-4EA5-814E-5D3D34E2D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3557" name="Picture 10" descr=" ">
          <a:extLst>
            <a:ext uri="{FF2B5EF4-FFF2-40B4-BE49-F238E27FC236}">
              <a16:creationId xmlns:a16="http://schemas.microsoft.com/office/drawing/2014/main" id="{ABCF183C-362B-477F-B50E-119822CDE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3558" name="Picture 11" descr=" ">
          <a:extLst>
            <a:ext uri="{FF2B5EF4-FFF2-40B4-BE49-F238E27FC236}">
              <a16:creationId xmlns:a16="http://schemas.microsoft.com/office/drawing/2014/main" id="{50818A1F-F8BD-4322-94FE-2E3CF0DE4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3559" name="Picture 12" descr=" ">
          <a:extLst>
            <a:ext uri="{FF2B5EF4-FFF2-40B4-BE49-F238E27FC236}">
              <a16:creationId xmlns:a16="http://schemas.microsoft.com/office/drawing/2014/main" id="{C0479E31-5630-4D03-A2C6-D1AB7437F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</xdr:colOff>
      <xdr:row>51</xdr:row>
      <xdr:rowOff>38100</xdr:rowOff>
    </xdr:to>
    <xdr:pic>
      <xdr:nvPicPr>
        <xdr:cNvPr id="3560" name="Picture 7" descr=" ">
          <a:extLst>
            <a:ext uri="{FF2B5EF4-FFF2-40B4-BE49-F238E27FC236}">
              <a16:creationId xmlns:a16="http://schemas.microsoft.com/office/drawing/2014/main" id="{A4F605EE-6F99-4C57-A89E-3618DAAB8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04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</xdr:colOff>
      <xdr:row>51</xdr:row>
      <xdr:rowOff>38100</xdr:rowOff>
    </xdr:to>
    <xdr:pic>
      <xdr:nvPicPr>
        <xdr:cNvPr id="3561" name="Picture 8" descr=" ">
          <a:extLst>
            <a:ext uri="{FF2B5EF4-FFF2-40B4-BE49-F238E27FC236}">
              <a16:creationId xmlns:a16="http://schemas.microsoft.com/office/drawing/2014/main" id="{69402317-1938-4297-BCE2-956FB2D00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04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</xdr:colOff>
      <xdr:row>51</xdr:row>
      <xdr:rowOff>38100</xdr:rowOff>
    </xdr:to>
    <xdr:pic>
      <xdr:nvPicPr>
        <xdr:cNvPr id="3562" name="Picture 9" descr=" ">
          <a:extLst>
            <a:ext uri="{FF2B5EF4-FFF2-40B4-BE49-F238E27FC236}">
              <a16:creationId xmlns:a16="http://schemas.microsoft.com/office/drawing/2014/main" id="{4A5044D1-024F-433A-BAA6-5E863AA5C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04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</xdr:colOff>
      <xdr:row>51</xdr:row>
      <xdr:rowOff>38100</xdr:rowOff>
    </xdr:to>
    <xdr:pic>
      <xdr:nvPicPr>
        <xdr:cNvPr id="3563" name="Picture 10" descr=" ">
          <a:extLst>
            <a:ext uri="{FF2B5EF4-FFF2-40B4-BE49-F238E27FC236}">
              <a16:creationId xmlns:a16="http://schemas.microsoft.com/office/drawing/2014/main" id="{98297389-EBDE-4CD0-81AB-8B99F0756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04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</xdr:colOff>
      <xdr:row>51</xdr:row>
      <xdr:rowOff>38100</xdr:rowOff>
    </xdr:to>
    <xdr:pic>
      <xdr:nvPicPr>
        <xdr:cNvPr id="3564" name="Picture 11" descr=" ">
          <a:extLst>
            <a:ext uri="{FF2B5EF4-FFF2-40B4-BE49-F238E27FC236}">
              <a16:creationId xmlns:a16="http://schemas.microsoft.com/office/drawing/2014/main" id="{746345FA-F1A1-460F-B646-D6BC8324D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04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</xdr:colOff>
      <xdr:row>51</xdr:row>
      <xdr:rowOff>38100</xdr:rowOff>
    </xdr:to>
    <xdr:pic>
      <xdr:nvPicPr>
        <xdr:cNvPr id="3565" name="Picture 12" descr=" ">
          <a:extLst>
            <a:ext uri="{FF2B5EF4-FFF2-40B4-BE49-F238E27FC236}">
              <a16:creationId xmlns:a16="http://schemas.microsoft.com/office/drawing/2014/main" id="{A0950E3D-8275-48AE-84C5-4335BDB34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04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</xdr:colOff>
      <xdr:row>52</xdr:row>
      <xdr:rowOff>38100</xdr:rowOff>
    </xdr:to>
    <xdr:pic>
      <xdr:nvPicPr>
        <xdr:cNvPr id="3566" name="Picture 7" descr=" ">
          <a:extLst>
            <a:ext uri="{FF2B5EF4-FFF2-40B4-BE49-F238E27FC236}">
              <a16:creationId xmlns:a16="http://schemas.microsoft.com/office/drawing/2014/main" id="{409CBB82-8CCF-461C-BE81-29174D9F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7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</xdr:colOff>
      <xdr:row>52</xdr:row>
      <xdr:rowOff>38100</xdr:rowOff>
    </xdr:to>
    <xdr:pic>
      <xdr:nvPicPr>
        <xdr:cNvPr id="3567" name="Picture 8" descr=" ">
          <a:extLst>
            <a:ext uri="{FF2B5EF4-FFF2-40B4-BE49-F238E27FC236}">
              <a16:creationId xmlns:a16="http://schemas.microsoft.com/office/drawing/2014/main" id="{70C81232-1B1D-402B-9EF6-D73C230A6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7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</xdr:colOff>
      <xdr:row>52</xdr:row>
      <xdr:rowOff>38100</xdr:rowOff>
    </xdr:to>
    <xdr:pic>
      <xdr:nvPicPr>
        <xdr:cNvPr id="3568" name="Picture 9" descr=" ">
          <a:extLst>
            <a:ext uri="{FF2B5EF4-FFF2-40B4-BE49-F238E27FC236}">
              <a16:creationId xmlns:a16="http://schemas.microsoft.com/office/drawing/2014/main" id="{E7A4CD18-A0BA-4C19-AB4A-CD1167C44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7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</xdr:colOff>
      <xdr:row>52</xdr:row>
      <xdr:rowOff>38100</xdr:rowOff>
    </xdr:to>
    <xdr:pic>
      <xdr:nvPicPr>
        <xdr:cNvPr id="3569" name="Picture 10" descr=" ">
          <a:extLst>
            <a:ext uri="{FF2B5EF4-FFF2-40B4-BE49-F238E27FC236}">
              <a16:creationId xmlns:a16="http://schemas.microsoft.com/office/drawing/2014/main" id="{0F579482-A7C1-4247-B37A-FF5549F6C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7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</xdr:colOff>
      <xdr:row>52</xdr:row>
      <xdr:rowOff>38100</xdr:rowOff>
    </xdr:to>
    <xdr:pic>
      <xdr:nvPicPr>
        <xdr:cNvPr id="3570" name="Picture 11" descr=" ">
          <a:extLst>
            <a:ext uri="{FF2B5EF4-FFF2-40B4-BE49-F238E27FC236}">
              <a16:creationId xmlns:a16="http://schemas.microsoft.com/office/drawing/2014/main" id="{7958FFC1-13FF-4E1A-9BB5-11D2FBE88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7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</xdr:colOff>
      <xdr:row>52</xdr:row>
      <xdr:rowOff>38100</xdr:rowOff>
    </xdr:to>
    <xdr:pic>
      <xdr:nvPicPr>
        <xdr:cNvPr id="3571" name="Picture 12" descr=" ">
          <a:extLst>
            <a:ext uri="{FF2B5EF4-FFF2-40B4-BE49-F238E27FC236}">
              <a16:creationId xmlns:a16="http://schemas.microsoft.com/office/drawing/2014/main" id="{ECC68376-9373-49E5-BAB0-83A42F71B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7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</xdr:colOff>
      <xdr:row>53</xdr:row>
      <xdr:rowOff>38100</xdr:rowOff>
    </xdr:to>
    <xdr:pic>
      <xdr:nvPicPr>
        <xdr:cNvPr id="3572" name="Picture 7" descr=" ">
          <a:extLst>
            <a:ext uri="{FF2B5EF4-FFF2-40B4-BE49-F238E27FC236}">
              <a16:creationId xmlns:a16="http://schemas.microsoft.com/office/drawing/2014/main" id="{A292D71B-E180-421C-9104-FACA334F7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70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</xdr:colOff>
      <xdr:row>53</xdr:row>
      <xdr:rowOff>38100</xdr:rowOff>
    </xdr:to>
    <xdr:pic>
      <xdr:nvPicPr>
        <xdr:cNvPr id="3573" name="Picture 8" descr=" ">
          <a:extLst>
            <a:ext uri="{FF2B5EF4-FFF2-40B4-BE49-F238E27FC236}">
              <a16:creationId xmlns:a16="http://schemas.microsoft.com/office/drawing/2014/main" id="{70886AD7-EDAF-45F4-9DD7-83085DCAD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70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</xdr:colOff>
      <xdr:row>53</xdr:row>
      <xdr:rowOff>38100</xdr:rowOff>
    </xdr:to>
    <xdr:pic>
      <xdr:nvPicPr>
        <xdr:cNvPr id="3574" name="Picture 9" descr=" ">
          <a:extLst>
            <a:ext uri="{FF2B5EF4-FFF2-40B4-BE49-F238E27FC236}">
              <a16:creationId xmlns:a16="http://schemas.microsoft.com/office/drawing/2014/main" id="{D80D535C-0654-4D09-B59D-0745FC657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70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</xdr:colOff>
      <xdr:row>53</xdr:row>
      <xdr:rowOff>38100</xdr:rowOff>
    </xdr:to>
    <xdr:pic>
      <xdr:nvPicPr>
        <xdr:cNvPr id="3575" name="Picture 10" descr=" ">
          <a:extLst>
            <a:ext uri="{FF2B5EF4-FFF2-40B4-BE49-F238E27FC236}">
              <a16:creationId xmlns:a16="http://schemas.microsoft.com/office/drawing/2014/main" id="{5E673CDF-E7ED-4E8E-8F4D-EEC9030BF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70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</xdr:colOff>
      <xdr:row>53</xdr:row>
      <xdr:rowOff>38100</xdr:rowOff>
    </xdr:to>
    <xdr:pic>
      <xdr:nvPicPr>
        <xdr:cNvPr id="3576" name="Picture 11" descr=" ">
          <a:extLst>
            <a:ext uri="{FF2B5EF4-FFF2-40B4-BE49-F238E27FC236}">
              <a16:creationId xmlns:a16="http://schemas.microsoft.com/office/drawing/2014/main" id="{EE031873-96FD-4B8E-8637-86A01DFC8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70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</xdr:colOff>
      <xdr:row>53</xdr:row>
      <xdr:rowOff>38100</xdr:rowOff>
    </xdr:to>
    <xdr:pic>
      <xdr:nvPicPr>
        <xdr:cNvPr id="3577" name="Picture 12" descr=" ">
          <a:extLst>
            <a:ext uri="{FF2B5EF4-FFF2-40B4-BE49-F238E27FC236}">
              <a16:creationId xmlns:a16="http://schemas.microsoft.com/office/drawing/2014/main" id="{03786E42-D2D9-47E4-812F-CDBB990F6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70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</xdr:colOff>
      <xdr:row>54</xdr:row>
      <xdr:rowOff>38100</xdr:rowOff>
    </xdr:to>
    <xdr:pic>
      <xdr:nvPicPr>
        <xdr:cNvPr id="3578" name="Picture 7" descr=" ">
          <a:extLst>
            <a:ext uri="{FF2B5EF4-FFF2-40B4-BE49-F238E27FC236}">
              <a16:creationId xmlns:a16="http://schemas.microsoft.com/office/drawing/2014/main" id="{7062AB96-408B-45F3-BC4E-CC82AF1BEF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53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</xdr:colOff>
      <xdr:row>54</xdr:row>
      <xdr:rowOff>38100</xdr:rowOff>
    </xdr:to>
    <xdr:pic>
      <xdr:nvPicPr>
        <xdr:cNvPr id="3579" name="Picture 8" descr=" ">
          <a:extLst>
            <a:ext uri="{FF2B5EF4-FFF2-40B4-BE49-F238E27FC236}">
              <a16:creationId xmlns:a16="http://schemas.microsoft.com/office/drawing/2014/main" id="{042E7E32-0A53-46D6-81C2-26C366B8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53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</xdr:colOff>
      <xdr:row>54</xdr:row>
      <xdr:rowOff>38100</xdr:rowOff>
    </xdr:to>
    <xdr:pic>
      <xdr:nvPicPr>
        <xdr:cNvPr id="3580" name="Picture 9" descr=" ">
          <a:extLst>
            <a:ext uri="{FF2B5EF4-FFF2-40B4-BE49-F238E27FC236}">
              <a16:creationId xmlns:a16="http://schemas.microsoft.com/office/drawing/2014/main" id="{2120378D-790C-47B8-86E3-79C241004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53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</xdr:colOff>
      <xdr:row>54</xdr:row>
      <xdr:rowOff>38100</xdr:rowOff>
    </xdr:to>
    <xdr:pic>
      <xdr:nvPicPr>
        <xdr:cNvPr id="3581" name="Picture 10" descr=" ">
          <a:extLst>
            <a:ext uri="{FF2B5EF4-FFF2-40B4-BE49-F238E27FC236}">
              <a16:creationId xmlns:a16="http://schemas.microsoft.com/office/drawing/2014/main" id="{35702E0F-0E62-4190-96DB-A7E1662D9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53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</xdr:colOff>
      <xdr:row>54</xdr:row>
      <xdr:rowOff>38100</xdr:rowOff>
    </xdr:to>
    <xdr:pic>
      <xdr:nvPicPr>
        <xdr:cNvPr id="3582" name="Picture 11" descr=" ">
          <a:extLst>
            <a:ext uri="{FF2B5EF4-FFF2-40B4-BE49-F238E27FC236}">
              <a16:creationId xmlns:a16="http://schemas.microsoft.com/office/drawing/2014/main" id="{7F55FC0D-1252-474A-91C7-8D6051B6F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53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</xdr:colOff>
      <xdr:row>54</xdr:row>
      <xdr:rowOff>38100</xdr:rowOff>
    </xdr:to>
    <xdr:pic>
      <xdr:nvPicPr>
        <xdr:cNvPr id="3583" name="Picture 12" descr=" ">
          <a:extLst>
            <a:ext uri="{FF2B5EF4-FFF2-40B4-BE49-F238E27FC236}">
              <a16:creationId xmlns:a16="http://schemas.microsoft.com/office/drawing/2014/main" id="{72192E3D-CBB6-477C-B920-A52685ABD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53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</xdr:colOff>
      <xdr:row>55</xdr:row>
      <xdr:rowOff>38100</xdr:rowOff>
    </xdr:to>
    <xdr:pic>
      <xdr:nvPicPr>
        <xdr:cNvPr id="3584" name="Picture 7" descr=" ">
          <a:extLst>
            <a:ext uri="{FF2B5EF4-FFF2-40B4-BE49-F238E27FC236}">
              <a16:creationId xmlns:a16="http://schemas.microsoft.com/office/drawing/2014/main" id="{017DCB40-85D0-478D-9464-D1329C04F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36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</xdr:colOff>
      <xdr:row>55</xdr:row>
      <xdr:rowOff>38100</xdr:rowOff>
    </xdr:to>
    <xdr:pic>
      <xdr:nvPicPr>
        <xdr:cNvPr id="3585" name="Picture 8" descr=" ">
          <a:extLst>
            <a:ext uri="{FF2B5EF4-FFF2-40B4-BE49-F238E27FC236}">
              <a16:creationId xmlns:a16="http://schemas.microsoft.com/office/drawing/2014/main" id="{07AC4B54-0C20-4A39-A4F4-2139A3400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36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</xdr:colOff>
      <xdr:row>55</xdr:row>
      <xdr:rowOff>38100</xdr:rowOff>
    </xdr:to>
    <xdr:pic>
      <xdr:nvPicPr>
        <xdr:cNvPr id="3586" name="Picture 9" descr=" ">
          <a:extLst>
            <a:ext uri="{FF2B5EF4-FFF2-40B4-BE49-F238E27FC236}">
              <a16:creationId xmlns:a16="http://schemas.microsoft.com/office/drawing/2014/main" id="{54689874-0847-4726-BFF2-1EE9F2F13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36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</xdr:colOff>
      <xdr:row>55</xdr:row>
      <xdr:rowOff>38100</xdr:rowOff>
    </xdr:to>
    <xdr:pic>
      <xdr:nvPicPr>
        <xdr:cNvPr id="3587" name="Picture 10" descr=" ">
          <a:extLst>
            <a:ext uri="{FF2B5EF4-FFF2-40B4-BE49-F238E27FC236}">
              <a16:creationId xmlns:a16="http://schemas.microsoft.com/office/drawing/2014/main" id="{AA24FB06-F74D-451D-B0A3-7DAC0EFFD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36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</xdr:colOff>
      <xdr:row>55</xdr:row>
      <xdr:rowOff>38100</xdr:rowOff>
    </xdr:to>
    <xdr:pic>
      <xdr:nvPicPr>
        <xdr:cNvPr id="3588" name="Picture 11" descr=" ">
          <a:extLst>
            <a:ext uri="{FF2B5EF4-FFF2-40B4-BE49-F238E27FC236}">
              <a16:creationId xmlns:a16="http://schemas.microsoft.com/office/drawing/2014/main" id="{A5AA6620-1768-47C6-9DE9-37785550A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36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</xdr:colOff>
      <xdr:row>55</xdr:row>
      <xdr:rowOff>38100</xdr:rowOff>
    </xdr:to>
    <xdr:pic>
      <xdr:nvPicPr>
        <xdr:cNvPr id="3589" name="Picture 12" descr=" ">
          <a:extLst>
            <a:ext uri="{FF2B5EF4-FFF2-40B4-BE49-F238E27FC236}">
              <a16:creationId xmlns:a16="http://schemas.microsoft.com/office/drawing/2014/main" id="{1930C25A-D44A-42E0-B500-A49A31068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36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</xdr:colOff>
      <xdr:row>56</xdr:row>
      <xdr:rowOff>38100</xdr:rowOff>
    </xdr:to>
    <xdr:pic>
      <xdr:nvPicPr>
        <xdr:cNvPr id="3590" name="Picture 7" descr=" ">
          <a:extLst>
            <a:ext uri="{FF2B5EF4-FFF2-40B4-BE49-F238E27FC236}">
              <a16:creationId xmlns:a16="http://schemas.microsoft.com/office/drawing/2014/main" id="{6DEF749F-5EFD-43DA-8BB8-3E3121E1A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19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</xdr:colOff>
      <xdr:row>56</xdr:row>
      <xdr:rowOff>38100</xdr:rowOff>
    </xdr:to>
    <xdr:pic>
      <xdr:nvPicPr>
        <xdr:cNvPr id="3591" name="Picture 8" descr=" ">
          <a:extLst>
            <a:ext uri="{FF2B5EF4-FFF2-40B4-BE49-F238E27FC236}">
              <a16:creationId xmlns:a16="http://schemas.microsoft.com/office/drawing/2014/main" id="{A089817A-65C2-4626-9D86-BC658DF9E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19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</xdr:colOff>
      <xdr:row>56</xdr:row>
      <xdr:rowOff>38100</xdr:rowOff>
    </xdr:to>
    <xdr:pic>
      <xdr:nvPicPr>
        <xdr:cNvPr id="3592" name="Picture 9" descr=" ">
          <a:extLst>
            <a:ext uri="{FF2B5EF4-FFF2-40B4-BE49-F238E27FC236}">
              <a16:creationId xmlns:a16="http://schemas.microsoft.com/office/drawing/2014/main" id="{920E478F-B695-4EC8-A84C-3D2C8DCEC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19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</xdr:colOff>
      <xdr:row>56</xdr:row>
      <xdr:rowOff>38100</xdr:rowOff>
    </xdr:to>
    <xdr:pic>
      <xdr:nvPicPr>
        <xdr:cNvPr id="3593" name="Picture 10" descr=" ">
          <a:extLst>
            <a:ext uri="{FF2B5EF4-FFF2-40B4-BE49-F238E27FC236}">
              <a16:creationId xmlns:a16="http://schemas.microsoft.com/office/drawing/2014/main" id="{0215B5EA-A164-4232-B12F-D7215D121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19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</xdr:colOff>
      <xdr:row>56</xdr:row>
      <xdr:rowOff>38100</xdr:rowOff>
    </xdr:to>
    <xdr:pic>
      <xdr:nvPicPr>
        <xdr:cNvPr id="3594" name="Picture 11" descr=" ">
          <a:extLst>
            <a:ext uri="{FF2B5EF4-FFF2-40B4-BE49-F238E27FC236}">
              <a16:creationId xmlns:a16="http://schemas.microsoft.com/office/drawing/2014/main" id="{B2A06777-8540-4B81-8C8B-56008414F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19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</xdr:colOff>
      <xdr:row>56</xdr:row>
      <xdr:rowOff>38100</xdr:rowOff>
    </xdr:to>
    <xdr:pic>
      <xdr:nvPicPr>
        <xdr:cNvPr id="3595" name="Picture 12" descr=" ">
          <a:extLst>
            <a:ext uri="{FF2B5EF4-FFF2-40B4-BE49-F238E27FC236}">
              <a16:creationId xmlns:a16="http://schemas.microsoft.com/office/drawing/2014/main" id="{B9F57D06-F5F5-4675-B626-4105DCFB8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319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3596" name="Picture 7" descr=" ">
          <a:extLst>
            <a:ext uri="{FF2B5EF4-FFF2-40B4-BE49-F238E27FC236}">
              <a16:creationId xmlns:a16="http://schemas.microsoft.com/office/drawing/2014/main" id="{2CCF098B-0377-4294-84FB-EA3EB0CB3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3597" name="Picture 8" descr=" ">
          <a:extLst>
            <a:ext uri="{FF2B5EF4-FFF2-40B4-BE49-F238E27FC236}">
              <a16:creationId xmlns:a16="http://schemas.microsoft.com/office/drawing/2014/main" id="{19B07A18-DF10-4FA2-AEE9-21DA16F88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3598" name="Picture 9" descr=" ">
          <a:extLst>
            <a:ext uri="{FF2B5EF4-FFF2-40B4-BE49-F238E27FC236}">
              <a16:creationId xmlns:a16="http://schemas.microsoft.com/office/drawing/2014/main" id="{749E3EDF-AF9E-4173-99CD-3D01C2FCD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3599" name="Picture 10" descr=" ">
          <a:extLst>
            <a:ext uri="{FF2B5EF4-FFF2-40B4-BE49-F238E27FC236}">
              <a16:creationId xmlns:a16="http://schemas.microsoft.com/office/drawing/2014/main" id="{4D3AFF59-8D70-401C-A447-BD2B38BDC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3600" name="Picture 11" descr=" ">
          <a:extLst>
            <a:ext uri="{FF2B5EF4-FFF2-40B4-BE49-F238E27FC236}">
              <a16:creationId xmlns:a16="http://schemas.microsoft.com/office/drawing/2014/main" id="{A1DB45FA-59B1-4E03-925C-35B81EB1A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3601" name="Picture 12" descr=" ">
          <a:extLst>
            <a:ext uri="{FF2B5EF4-FFF2-40B4-BE49-F238E27FC236}">
              <a16:creationId xmlns:a16="http://schemas.microsoft.com/office/drawing/2014/main" id="{C6D52715-08E2-47C7-9E63-72499F71E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</xdr:colOff>
      <xdr:row>58</xdr:row>
      <xdr:rowOff>38100</xdr:rowOff>
    </xdr:to>
    <xdr:pic>
      <xdr:nvPicPr>
        <xdr:cNvPr id="3602" name="Picture 7" descr=" ">
          <a:extLst>
            <a:ext uri="{FF2B5EF4-FFF2-40B4-BE49-F238E27FC236}">
              <a16:creationId xmlns:a16="http://schemas.microsoft.com/office/drawing/2014/main" id="{BDAB7515-629A-4E52-B2B5-F1857E205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85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</xdr:colOff>
      <xdr:row>58</xdr:row>
      <xdr:rowOff>38100</xdr:rowOff>
    </xdr:to>
    <xdr:pic>
      <xdr:nvPicPr>
        <xdr:cNvPr id="3603" name="Picture 8" descr=" ">
          <a:extLst>
            <a:ext uri="{FF2B5EF4-FFF2-40B4-BE49-F238E27FC236}">
              <a16:creationId xmlns:a16="http://schemas.microsoft.com/office/drawing/2014/main" id="{F6913C56-6ED0-42D2-AE3F-82B9AA26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85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</xdr:colOff>
      <xdr:row>58</xdr:row>
      <xdr:rowOff>38100</xdr:rowOff>
    </xdr:to>
    <xdr:pic>
      <xdr:nvPicPr>
        <xdr:cNvPr id="3604" name="Picture 9" descr=" ">
          <a:extLst>
            <a:ext uri="{FF2B5EF4-FFF2-40B4-BE49-F238E27FC236}">
              <a16:creationId xmlns:a16="http://schemas.microsoft.com/office/drawing/2014/main" id="{BF9BE61E-6B02-4D7B-86A8-8FBD7F178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85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</xdr:colOff>
      <xdr:row>58</xdr:row>
      <xdr:rowOff>38100</xdr:rowOff>
    </xdr:to>
    <xdr:pic>
      <xdr:nvPicPr>
        <xdr:cNvPr id="3605" name="Picture 10" descr=" ">
          <a:extLst>
            <a:ext uri="{FF2B5EF4-FFF2-40B4-BE49-F238E27FC236}">
              <a16:creationId xmlns:a16="http://schemas.microsoft.com/office/drawing/2014/main" id="{0850EFA3-ECE1-47DD-B74A-82F153DFE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85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</xdr:colOff>
      <xdr:row>58</xdr:row>
      <xdr:rowOff>38100</xdr:rowOff>
    </xdr:to>
    <xdr:pic>
      <xdr:nvPicPr>
        <xdr:cNvPr id="3606" name="Picture 11" descr=" ">
          <a:extLst>
            <a:ext uri="{FF2B5EF4-FFF2-40B4-BE49-F238E27FC236}">
              <a16:creationId xmlns:a16="http://schemas.microsoft.com/office/drawing/2014/main" id="{0D54D7BB-25EA-45F8-A457-E0817F9F6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85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</xdr:colOff>
      <xdr:row>58</xdr:row>
      <xdr:rowOff>38100</xdr:rowOff>
    </xdr:to>
    <xdr:pic>
      <xdr:nvPicPr>
        <xdr:cNvPr id="3607" name="Picture 12" descr=" ">
          <a:extLst>
            <a:ext uri="{FF2B5EF4-FFF2-40B4-BE49-F238E27FC236}">
              <a16:creationId xmlns:a16="http://schemas.microsoft.com/office/drawing/2014/main" id="{06440903-0ACC-428E-B2B7-D701DE32F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85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</xdr:colOff>
      <xdr:row>59</xdr:row>
      <xdr:rowOff>38100</xdr:rowOff>
    </xdr:to>
    <xdr:pic>
      <xdr:nvPicPr>
        <xdr:cNvPr id="3608" name="Picture 7" descr=" ">
          <a:extLst>
            <a:ext uri="{FF2B5EF4-FFF2-40B4-BE49-F238E27FC236}">
              <a16:creationId xmlns:a16="http://schemas.microsoft.com/office/drawing/2014/main" id="{8F1EC86D-9D41-4540-B2C8-1521D2E29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67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</xdr:colOff>
      <xdr:row>59</xdr:row>
      <xdr:rowOff>38100</xdr:rowOff>
    </xdr:to>
    <xdr:pic>
      <xdr:nvPicPr>
        <xdr:cNvPr id="3609" name="Picture 8" descr=" ">
          <a:extLst>
            <a:ext uri="{FF2B5EF4-FFF2-40B4-BE49-F238E27FC236}">
              <a16:creationId xmlns:a16="http://schemas.microsoft.com/office/drawing/2014/main" id="{5319CA2E-99B6-4B61-9B98-179048782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67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</xdr:colOff>
      <xdr:row>59</xdr:row>
      <xdr:rowOff>38100</xdr:rowOff>
    </xdr:to>
    <xdr:pic>
      <xdr:nvPicPr>
        <xdr:cNvPr id="3610" name="Picture 9" descr=" ">
          <a:extLst>
            <a:ext uri="{FF2B5EF4-FFF2-40B4-BE49-F238E27FC236}">
              <a16:creationId xmlns:a16="http://schemas.microsoft.com/office/drawing/2014/main" id="{2F456ECC-6BAE-40A6-A5B3-155A38574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67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</xdr:colOff>
      <xdr:row>59</xdr:row>
      <xdr:rowOff>38100</xdr:rowOff>
    </xdr:to>
    <xdr:pic>
      <xdr:nvPicPr>
        <xdr:cNvPr id="3611" name="Picture 10" descr=" ">
          <a:extLst>
            <a:ext uri="{FF2B5EF4-FFF2-40B4-BE49-F238E27FC236}">
              <a16:creationId xmlns:a16="http://schemas.microsoft.com/office/drawing/2014/main" id="{A7D23972-8356-428B-8CAF-AB0003A12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67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</xdr:colOff>
      <xdr:row>59</xdr:row>
      <xdr:rowOff>38100</xdr:rowOff>
    </xdr:to>
    <xdr:pic>
      <xdr:nvPicPr>
        <xdr:cNvPr id="3612" name="Picture 11" descr=" ">
          <a:extLst>
            <a:ext uri="{FF2B5EF4-FFF2-40B4-BE49-F238E27FC236}">
              <a16:creationId xmlns:a16="http://schemas.microsoft.com/office/drawing/2014/main" id="{2793B1E4-9D35-484A-A0A8-B2B94B6FE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67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</xdr:colOff>
      <xdr:row>59</xdr:row>
      <xdr:rowOff>38100</xdr:rowOff>
    </xdr:to>
    <xdr:pic>
      <xdr:nvPicPr>
        <xdr:cNvPr id="3613" name="Picture 12" descr=" ">
          <a:extLst>
            <a:ext uri="{FF2B5EF4-FFF2-40B4-BE49-F238E27FC236}">
              <a16:creationId xmlns:a16="http://schemas.microsoft.com/office/drawing/2014/main" id="{39293E68-54A4-46AE-86B9-5DDD902D6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67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</xdr:colOff>
      <xdr:row>60</xdr:row>
      <xdr:rowOff>38100</xdr:rowOff>
    </xdr:to>
    <xdr:pic>
      <xdr:nvPicPr>
        <xdr:cNvPr id="3614" name="Picture 7" descr=" ">
          <a:extLst>
            <a:ext uri="{FF2B5EF4-FFF2-40B4-BE49-F238E27FC236}">
              <a16:creationId xmlns:a16="http://schemas.microsoft.com/office/drawing/2014/main" id="{0CF2D83A-7A11-4F0E-B4A8-9FFCBBD92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50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</xdr:colOff>
      <xdr:row>60</xdr:row>
      <xdr:rowOff>38100</xdr:rowOff>
    </xdr:to>
    <xdr:pic>
      <xdr:nvPicPr>
        <xdr:cNvPr id="3615" name="Picture 8" descr=" ">
          <a:extLst>
            <a:ext uri="{FF2B5EF4-FFF2-40B4-BE49-F238E27FC236}">
              <a16:creationId xmlns:a16="http://schemas.microsoft.com/office/drawing/2014/main" id="{5D5B6DE2-F233-4038-B47E-49DB59E7E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50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</xdr:colOff>
      <xdr:row>60</xdr:row>
      <xdr:rowOff>38100</xdr:rowOff>
    </xdr:to>
    <xdr:pic>
      <xdr:nvPicPr>
        <xdr:cNvPr id="3616" name="Picture 9" descr=" ">
          <a:extLst>
            <a:ext uri="{FF2B5EF4-FFF2-40B4-BE49-F238E27FC236}">
              <a16:creationId xmlns:a16="http://schemas.microsoft.com/office/drawing/2014/main" id="{6A0E3CCF-7C8C-4BF5-B110-3FE0194D0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50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</xdr:colOff>
      <xdr:row>60</xdr:row>
      <xdr:rowOff>38100</xdr:rowOff>
    </xdr:to>
    <xdr:pic>
      <xdr:nvPicPr>
        <xdr:cNvPr id="3617" name="Picture 10" descr=" ">
          <a:extLst>
            <a:ext uri="{FF2B5EF4-FFF2-40B4-BE49-F238E27FC236}">
              <a16:creationId xmlns:a16="http://schemas.microsoft.com/office/drawing/2014/main" id="{FBA904B1-42A3-4B42-B52C-12ABF7F64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50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</xdr:colOff>
      <xdr:row>60</xdr:row>
      <xdr:rowOff>38100</xdr:rowOff>
    </xdr:to>
    <xdr:pic>
      <xdr:nvPicPr>
        <xdr:cNvPr id="3618" name="Picture 11" descr=" ">
          <a:extLst>
            <a:ext uri="{FF2B5EF4-FFF2-40B4-BE49-F238E27FC236}">
              <a16:creationId xmlns:a16="http://schemas.microsoft.com/office/drawing/2014/main" id="{397D7953-F8AF-403C-99C6-B9242E4E4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50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</xdr:colOff>
      <xdr:row>60</xdr:row>
      <xdr:rowOff>38100</xdr:rowOff>
    </xdr:to>
    <xdr:pic>
      <xdr:nvPicPr>
        <xdr:cNvPr id="3619" name="Picture 12" descr=" ">
          <a:extLst>
            <a:ext uri="{FF2B5EF4-FFF2-40B4-BE49-F238E27FC236}">
              <a16:creationId xmlns:a16="http://schemas.microsoft.com/office/drawing/2014/main" id="{FB4B69FB-FE70-4CF9-80FA-5EB85CCCB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50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3620" name="Picture 7" descr=" ">
          <a:extLst>
            <a:ext uri="{FF2B5EF4-FFF2-40B4-BE49-F238E27FC236}">
              <a16:creationId xmlns:a16="http://schemas.microsoft.com/office/drawing/2014/main" id="{044ADD2F-A966-4D50-B13E-19357E656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3621" name="Picture 8" descr=" ">
          <a:extLst>
            <a:ext uri="{FF2B5EF4-FFF2-40B4-BE49-F238E27FC236}">
              <a16:creationId xmlns:a16="http://schemas.microsoft.com/office/drawing/2014/main" id="{F30B7C39-D3EA-44AD-9976-A37E3996B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3622" name="Picture 9" descr=" ">
          <a:extLst>
            <a:ext uri="{FF2B5EF4-FFF2-40B4-BE49-F238E27FC236}">
              <a16:creationId xmlns:a16="http://schemas.microsoft.com/office/drawing/2014/main" id="{CBB18851-736A-49C0-8111-B4008FD88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3623" name="Picture 10" descr=" ">
          <a:extLst>
            <a:ext uri="{FF2B5EF4-FFF2-40B4-BE49-F238E27FC236}">
              <a16:creationId xmlns:a16="http://schemas.microsoft.com/office/drawing/2014/main" id="{39430F2F-ED10-4F40-846B-4B0E64EFA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3624" name="Picture 11" descr=" ">
          <a:extLst>
            <a:ext uri="{FF2B5EF4-FFF2-40B4-BE49-F238E27FC236}">
              <a16:creationId xmlns:a16="http://schemas.microsoft.com/office/drawing/2014/main" id="{78F135EE-D150-4121-B7AC-086E2DCAB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3625" name="Picture 12" descr=" ">
          <a:extLst>
            <a:ext uri="{FF2B5EF4-FFF2-40B4-BE49-F238E27FC236}">
              <a16:creationId xmlns:a16="http://schemas.microsoft.com/office/drawing/2014/main" id="{25A4138A-5C1F-4DB2-8DDE-C0D95C14B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</xdr:colOff>
      <xdr:row>62</xdr:row>
      <xdr:rowOff>38100</xdr:rowOff>
    </xdr:to>
    <xdr:pic>
      <xdr:nvPicPr>
        <xdr:cNvPr id="3626" name="Picture 7" descr=" ">
          <a:extLst>
            <a:ext uri="{FF2B5EF4-FFF2-40B4-BE49-F238E27FC236}">
              <a16:creationId xmlns:a16="http://schemas.microsoft.com/office/drawing/2014/main" id="{FC81564A-21BE-4D35-8F06-CF83B2A16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16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</xdr:colOff>
      <xdr:row>62</xdr:row>
      <xdr:rowOff>38100</xdr:rowOff>
    </xdr:to>
    <xdr:pic>
      <xdr:nvPicPr>
        <xdr:cNvPr id="3627" name="Picture 8" descr=" ">
          <a:extLst>
            <a:ext uri="{FF2B5EF4-FFF2-40B4-BE49-F238E27FC236}">
              <a16:creationId xmlns:a16="http://schemas.microsoft.com/office/drawing/2014/main" id="{9DFA7887-5427-4C16-BF8D-C71FA47AB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16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</xdr:colOff>
      <xdr:row>62</xdr:row>
      <xdr:rowOff>38100</xdr:rowOff>
    </xdr:to>
    <xdr:pic>
      <xdr:nvPicPr>
        <xdr:cNvPr id="3628" name="Picture 9" descr=" ">
          <a:extLst>
            <a:ext uri="{FF2B5EF4-FFF2-40B4-BE49-F238E27FC236}">
              <a16:creationId xmlns:a16="http://schemas.microsoft.com/office/drawing/2014/main" id="{5B67D2D8-2268-453D-ACB1-9B726CCCC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16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</xdr:colOff>
      <xdr:row>62</xdr:row>
      <xdr:rowOff>38100</xdr:rowOff>
    </xdr:to>
    <xdr:pic>
      <xdr:nvPicPr>
        <xdr:cNvPr id="3629" name="Picture 10" descr=" ">
          <a:extLst>
            <a:ext uri="{FF2B5EF4-FFF2-40B4-BE49-F238E27FC236}">
              <a16:creationId xmlns:a16="http://schemas.microsoft.com/office/drawing/2014/main" id="{890183CE-FE75-4578-B90D-02EC2C9CF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16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</xdr:colOff>
      <xdr:row>62</xdr:row>
      <xdr:rowOff>38100</xdr:rowOff>
    </xdr:to>
    <xdr:pic>
      <xdr:nvPicPr>
        <xdr:cNvPr id="3630" name="Picture 11" descr=" ">
          <a:extLst>
            <a:ext uri="{FF2B5EF4-FFF2-40B4-BE49-F238E27FC236}">
              <a16:creationId xmlns:a16="http://schemas.microsoft.com/office/drawing/2014/main" id="{B71A2F92-3664-4016-8DFE-711C6056E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16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</xdr:colOff>
      <xdr:row>62</xdr:row>
      <xdr:rowOff>38100</xdr:rowOff>
    </xdr:to>
    <xdr:pic>
      <xdr:nvPicPr>
        <xdr:cNvPr id="3631" name="Picture 12" descr=" ">
          <a:extLst>
            <a:ext uri="{FF2B5EF4-FFF2-40B4-BE49-F238E27FC236}">
              <a16:creationId xmlns:a16="http://schemas.microsoft.com/office/drawing/2014/main" id="{43FF382D-3FF9-4C4C-B6BC-9954C715C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16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</xdr:colOff>
      <xdr:row>63</xdr:row>
      <xdr:rowOff>38100</xdr:rowOff>
    </xdr:to>
    <xdr:pic>
      <xdr:nvPicPr>
        <xdr:cNvPr id="3632" name="Picture 7" descr=" ">
          <a:extLst>
            <a:ext uri="{FF2B5EF4-FFF2-40B4-BE49-F238E27FC236}">
              <a16:creationId xmlns:a16="http://schemas.microsoft.com/office/drawing/2014/main" id="{344110C0-0B67-4D6B-B55E-232D192BA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9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</xdr:colOff>
      <xdr:row>63</xdr:row>
      <xdr:rowOff>38100</xdr:rowOff>
    </xdr:to>
    <xdr:pic>
      <xdr:nvPicPr>
        <xdr:cNvPr id="3633" name="Picture 8" descr=" ">
          <a:extLst>
            <a:ext uri="{FF2B5EF4-FFF2-40B4-BE49-F238E27FC236}">
              <a16:creationId xmlns:a16="http://schemas.microsoft.com/office/drawing/2014/main" id="{DA537089-2A85-4C5F-9CF6-B14B1649A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9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</xdr:colOff>
      <xdr:row>63</xdr:row>
      <xdr:rowOff>38100</xdr:rowOff>
    </xdr:to>
    <xdr:pic>
      <xdr:nvPicPr>
        <xdr:cNvPr id="3634" name="Picture 9" descr=" ">
          <a:extLst>
            <a:ext uri="{FF2B5EF4-FFF2-40B4-BE49-F238E27FC236}">
              <a16:creationId xmlns:a16="http://schemas.microsoft.com/office/drawing/2014/main" id="{7888290E-C798-4E69-A344-808BA854D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9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</xdr:colOff>
      <xdr:row>63</xdr:row>
      <xdr:rowOff>38100</xdr:rowOff>
    </xdr:to>
    <xdr:pic>
      <xdr:nvPicPr>
        <xdr:cNvPr id="3635" name="Picture 10" descr=" ">
          <a:extLst>
            <a:ext uri="{FF2B5EF4-FFF2-40B4-BE49-F238E27FC236}">
              <a16:creationId xmlns:a16="http://schemas.microsoft.com/office/drawing/2014/main" id="{30E0B86C-0A4D-42D1-A039-11597314B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9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</xdr:colOff>
      <xdr:row>63</xdr:row>
      <xdr:rowOff>38100</xdr:rowOff>
    </xdr:to>
    <xdr:pic>
      <xdr:nvPicPr>
        <xdr:cNvPr id="3636" name="Picture 11" descr=" ">
          <a:extLst>
            <a:ext uri="{FF2B5EF4-FFF2-40B4-BE49-F238E27FC236}">
              <a16:creationId xmlns:a16="http://schemas.microsoft.com/office/drawing/2014/main" id="{F75F1F97-2F5D-47DD-8132-40D0AA558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9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</xdr:colOff>
      <xdr:row>63</xdr:row>
      <xdr:rowOff>38100</xdr:rowOff>
    </xdr:to>
    <xdr:pic>
      <xdr:nvPicPr>
        <xdr:cNvPr id="3637" name="Picture 12" descr=" ">
          <a:extLst>
            <a:ext uri="{FF2B5EF4-FFF2-40B4-BE49-F238E27FC236}">
              <a16:creationId xmlns:a16="http://schemas.microsoft.com/office/drawing/2014/main" id="{5BEB6B5F-9427-4926-9D09-9585B63A7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9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</xdr:colOff>
      <xdr:row>64</xdr:row>
      <xdr:rowOff>38100</xdr:rowOff>
    </xdr:to>
    <xdr:pic>
      <xdr:nvPicPr>
        <xdr:cNvPr id="3638" name="Picture 7" descr=" ">
          <a:extLst>
            <a:ext uri="{FF2B5EF4-FFF2-40B4-BE49-F238E27FC236}">
              <a16:creationId xmlns:a16="http://schemas.microsoft.com/office/drawing/2014/main" id="{E42920B7-1C0F-4608-977A-6DE06C624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82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</xdr:colOff>
      <xdr:row>64</xdr:row>
      <xdr:rowOff>38100</xdr:rowOff>
    </xdr:to>
    <xdr:pic>
      <xdr:nvPicPr>
        <xdr:cNvPr id="3639" name="Picture 8" descr=" ">
          <a:extLst>
            <a:ext uri="{FF2B5EF4-FFF2-40B4-BE49-F238E27FC236}">
              <a16:creationId xmlns:a16="http://schemas.microsoft.com/office/drawing/2014/main" id="{3949C10B-6366-46AD-8E6D-9B4CF30FB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82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</xdr:colOff>
      <xdr:row>64</xdr:row>
      <xdr:rowOff>38100</xdr:rowOff>
    </xdr:to>
    <xdr:pic>
      <xdr:nvPicPr>
        <xdr:cNvPr id="3640" name="Picture 9" descr=" ">
          <a:extLst>
            <a:ext uri="{FF2B5EF4-FFF2-40B4-BE49-F238E27FC236}">
              <a16:creationId xmlns:a16="http://schemas.microsoft.com/office/drawing/2014/main" id="{B52CB866-1C17-4D61-881B-4CCA7360E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82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</xdr:colOff>
      <xdr:row>64</xdr:row>
      <xdr:rowOff>38100</xdr:rowOff>
    </xdr:to>
    <xdr:pic>
      <xdr:nvPicPr>
        <xdr:cNvPr id="3641" name="Picture 10" descr=" ">
          <a:extLst>
            <a:ext uri="{FF2B5EF4-FFF2-40B4-BE49-F238E27FC236}">
              <a16:creationId xmlns:a16="http://schemas.microsoft.com/office/drawing/2014/main" id="{462A9CA1-0155-4461-8ED4-B4FA0028F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82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</xdr:colOff>
      <xdr:row>64</xdr:row>
      <xdr:rowOff>38100</xdr:rowOff>
    </xdr:to>
    <xdr:pic>
      <xdr:nvPicPr>
        <xdr:cNvPr id="3642" name="Picture 11" descr=" ">
          <a:extLst>
            <a:ext uri="{FF2B5EF4-FFF2-40B4-BE49-F238E27FC236}">
              <a16:creationId xmlns:a16="http://schemas.microsoft.com/office/drawing/2014/main" id="{44251139-B2E5-4880-99CF-62097CD43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82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</xdr:colOff>
      <xdr:row>64</xdr:row>
      <xdr:rowOff>38100</xdr:rowOff>
    </xdr:to>
    <xdr:pic>
      <xdr:nvPicPr>
        <xdr:cNvPr id="3643" name="Picture 12" descr=" ">
          <a:extLst>
            <a:ext uri="{FF2B5EF4-FFF2-40B4-BE49-F238E27FC236}">
              <a16:creationId xmlns:a16="http://schemas.microsoft.com/office/drawing/2014/main" id="{D2E440C9-B798-448C-823D-BFA7675CB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82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</xdr:colOff>
      <xdr:row>65</xdr:row>
      <xdr:rowOff>38100</xdr:rowOff>
    </xdr:to>
    <xdr:pic>
      <xdr:nvPicPr>
        <xdr:cNvPr id="3644" name="Picture 7" descr=" ">
          <a:extLst>
            <a:ext uri="{FF2B5EF4-FFF2-40B4-BE49-F238E27FC236}">
              <a16:creationId xmlns:a16="http://schemas.microsoft.com/office/drawing/2014/main" id="{BFA6A6C0-BE36-4EFB-AE58-1B956DA52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65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</xdr:colOff>
      <xdr:row>65</xdr:row>
      <xdr:rowOff>38100</xdr:rowOff>
    </xdr:to>
    <xdr:pic>
      <xdr:nvPicPr>
        <xdr:cNvPr id="3645" name="Picture 8" descr=" ">
          <a:extLst>
            <a:ext uri="{FF2B5EF4-FFF2-40B4-BE49-F238E27FC236}">
              <a16:creationId xmlns:a16="http://schemas.microsoft.com/office/drawing/2014/main" id="{0BB2FC2A-6854-4B2B-9170-808C2049B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65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</xdr:colOff>
      <xdr:row>65</xdr:row>
      <xdr:rowOff>38100</xdr:rowOff>
    </xdr:to>
    <xdr:pic>
      <xdr:nvPicPr>
        <xdr:cNvPr id="3646" name="Picture 9" descr=" ">
          <a:extLst>
            <a:ext uri="{FF2B5EF4-FFF2-40B4-BE49-F238E27FC236}">
              <a16:creationId xmlns:a16="http://schemas.microsoft.com/office/drawing/2014/main" id="{E03AFFFA-95E3-485F-94AE-BEB5DBECE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65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</xdr:colOff>
      <xdr:row>65</xdr:row>
      <xdr:rowOff>38100</xdr:rowOff>
    </xdr:to>
    <xdr:pic>
      <xdr:nvPicPr>
        <xdr:cNvPr id="3647" name="Picture 10" descr=" ">
          <a:extLst>
            <a:ext uri="{FF2B5EF4-FFF2-40B4-BE49-F238E27FC236}">
              <a16:creationId xmlns:a16="http://schemas.microsoft.com/office/drawing/2014/main" id="{0B9AB0DE-9C8B-42FC-A521-8A8C2EDF8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65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</xdr:colOff>
      <xdr:row>65</xdr:row>
      <xdr:rowOff>38100</xdr:rowOff>
    </xdr:to>
    <xdr:pic>
      <xdr:nvPicPr>
        <xdr:cNvPr id="3648" name="Picture 11" descr=" ">
          <a:extLst>
            <a:ext uri="{FF2B5EF4-FFF2-40B4-BE49-F238E27FC236}">
              <a16:creationId xmlns:a16="http://schemas.microsoft.com/office/drawing/2014/main" id="{76D867D6-F0E5-40B9-A909-DD0F49355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65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</xdr:colOff>
      <xdr:row>65</xdr:row>
      <xdr:rowOff>38100</xdr:rowOff>
    </xdr:to>
    <xdr:pic>
      <xdr:nvPicPr>
        <xdr:cNvPr id="3649" name="Picture 12" descr=" ">
          <a:extLst>
            <a:ext uri="{FF2B5EF4-FFF2-40B4-BE49-F238E27FC236}">
              <a16:creationId xmlns:a16="http://schemas.microsoft.com/office/drawing/2014/main" id="{D6E0DEBA-F720-45FB-9EA6-0AB1AA50C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65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</xdr:colOff>
      <xdr:row>66</xdr:row>
      <xdr:rowOff>38100</xdr:rowOff>
    </xdr:to>
    <xdr:pic>
      <xdr:nvPicPr>
        <xdr:cNvPr id="3650" name="Picture 7" descr=" ">
          <a:extLst>
            <a:ext uri="{FF2B5EF4-FFF2-40B4-BE49-F238E27FC236}">
              <a16:creationId xmlns:a16="http://schemas.microsoft.com/office/drawing/2014/main" id="{ACF106DC-6C80-40E5-9E7D-ADFC9404D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48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</xdr:colOff>
      <xdr:row>66</xdr:row>
      <xdr:rowOff>38100</xdr:rowOff>
    </xdr:to>
    <xdr:pic>
      <xdr:nvPicPr>
        <xdr:cNvPr id="3651" name="Picture 8" descr=" ">
          <a:extLst>
            <a:ext uri="{FF2B5EF4-FFF2-40B4-BE49-F238E27FC236}">
              <a16:creationId xmlns:a16="http://schemas.microsoft.com/office/drawing/2014/main" id="{3BADC98B-F365-4E9D-8FFF-C09393434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48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</xdr:colOff>
      <xdr:row>66</xdr:row>
      <xdr:rowOff>38100</xdr:rowOff>
    </xdr:to>
    <xdr:pic>
      <xdr:nvPicPr>
        <xdr:cNvPr id="3652" name="Picture 9" descr=" ">
          <a:extLst>
            <a:ext uri="{FF2B5EF4-FFF2-40B4-BE49-F238E27FC236}">
              <a16:creationId xmlns:a16="http://schemas.microsoft.com/office/drawing/2014/main" id="{0E140FF3-4830-46C8-9F10-D1F5A4F66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48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</xdr:colOff>
      <xdr:row>66</xdr:row>
      <xdr:rowOff>38100</xdr:rowOff>
    </xdr:to>
    <xdr:pic>
      <xdr:nvPicPr>
        <xdr:cNvPr id="3653" name="Picture 10" descr=" ">
          <a:extLst>
            <a:ext uri="{FF2B5EF4-FFF2-40B4-BE49-F238E27FC236}">
              <a16:creationId xmlns:a16="http://schemas.microsoft.com/office/drawing/2014/main" id="{0BA3DC04-7123-41F0-807B-EBA875796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48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</xdr:colOff>
      <xdr:row>66</xdr:row>
      <xdr:rowOff>38100</xdr:rowOff>
    </xdr:to>
    <xdr:pic>
      <xdr:nvPicPr>
        <xdr:cNvPr id="3654" name="Picture 11" descr=" ">
          <a:extLst>
            <a:ext uri="{FF2B5EF4-FFF2-40B4-BE49-F238E27FC236}">
              <a16:creationId xmlns:a16="http://schemas.microsoft.com/office/drawing/2014/main" id="{E71BA35C-FC7F-4B5F-9560-D41365792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48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</xdr:colOff>
      <xdr:row>66</xdr:row>
      <xdr:rowOff>38100</xdr:rowOff>
    </xdr:to>
    <xdr:pic>
      <xdr:nvPicPr>
        <xdr:cNvPr id="3655" name="Picture 12" descr=" ">
          <a:extLst>
            <a:ext uri="{FF2B5EF4-FFF2-40B4-BE49-F238E27FC236}">
              <a16:creationId xmlns:a16="http://schemas.microsoft.com/office/drawing/2014/main" id="{503B2054-B69A-4E0D-ACE6-448E2856B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48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</xdr:colOff>
      <xdr:row>67</xdr:row>
      <xdr:rowOff>38100</xdr:rowOff>
    </xdr:to>
    <xdr:pic>
      <xdr:nvPicPr>
        <xdr:cNvPr id="3656" name="Picture 7" descr=" ">
          <a:extLst>
            <a:ext uri="{FF2B5EF4-FFF2-40B4-BE49-F238E27FC236}">
              <a16:creationId xmlns:a16="http://schemas.microsoft.com/office/drawing/2014/main" id="{7E27DB94-1FAE-4D42-81F7-DD13B288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30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</xdr:colOff>
      <xdr:row>67</xdr:row>
      <xdr:rowOff>38100</xdr:rowOff>
    </xdr:to>
    <xdr:pic>
      <xdr:nvPicPr>
        <xdr:cNvPr id="3657" name="Picture 8" descr=" ">
          <a:extLst>
            <a:ext uri="{FF2B5EF4-FFF2-40B4-BE49-F238E27FC236}">
              <a16:creationId xmlns:a16="http://schemas.microsoft.com/office/drawing/2014/main" id="{5528A8C3-B433-4DB5-BBEB-394B127CD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30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</xdr:colOff>
      <xdr:row>67</xdr:row>
      <xdr:rowOff>38100</xdr:rowOff>
    </xdr:to>
    <xdr:pic>
      <xdr:nvPicPr>
        <xdr:cNvPr id="3658" name="Picture 9" descr=" ">
          <a:extLst>
            <a:ext uri="{FF2B5EF4-FFF2-40B4-BE49-F238E27FC236}">
              <a16:creationId xmlns:a16="http://schemas.microsoft.com/office/drawing/2014/main" id="{3C71E9E0-9D11-4345-90B8-49F1A8A1A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30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</xdr:colOff>
      <xdr:row>67</xdr:row>
      <xdr:rowOff>38100</xdr:rowOff>
    </xdr:to>
    <xdr:pic>
      <xdr:nvPicPr>
        <xdr:cNvPr id="3659" name="Picture 10" descr=" ">
          <a:extLst>
            <a:ext uri="{FF2B5EF4-FFF2-40B4-BE49-F238E27FC236}">
              <a16:creationId xmlns:a16="http://schemas.microsoft.com/office/drawing/2014/main" id="{5FDDE1B3-E5F6-46E6-A223-F67FE6628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30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</xdr:colOff>
      <xdr:row>67</xdr:row>
      <xdr:rowOff>38100</xdr:rowOff>
    </xdr:to>
    <xdr:pic>
      <xdr:nvPicPr>
        <xdr:cNvPr id="3660" name="Picture 11" descr=" ">
          <a:extLst>
            <a:ext uri="{FF2B5EF4-FFF2-40B4-BE49-F238E27FC236}">
              <a16:creationId xmlns:a16="http://schemas.microsoft.com/office/drawing/2014/main" id="{3921F204-14FB-424F-861D-E349CDA1F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30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</xdr:colOff>
      <xdr:row>67</xdr:row>
      <xdr:rowOff>38100</xdr:rowOff>
    </xdr:to>
    <xdr:pic>
      <xdr:nvPicPr>
        <xdr:cNvPr id="3661" name="Picture 12" descr=" ">
          <a:extLst>
            <a:ext uri="{FF2B5EF4-FFF2-40B4-BE49-F238E27FC236}">
              <a16:creationId xmlns:a16="http://schemas.microsoft.com/office/drawing/2014/main" id="{01667C7E-8868-4C2C-BC97-8CEC5EA3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30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</xdr:colOff>
      <xdr:row>77</xdr:row>
      <xdr:rowOff>38100</xdr:rowOff>
    </xdr:to>
    <xdr:pic>
      <xdr:nvPicPr>
        <xdr:cNvPr id="3662" name="Picture 7" descr=" ">
          <a:extLst>
            <a:ext uri="{FF2B5EF4-FFF2-40B4-BE49-F238E27FC236}">
              <a16:creationId xmlns:a16="http://schemas.microsoft.com/office/drawing/2014/main" id="{D4CE1DB7-04FF-47FA-BA4F-FC0113140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59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</xdr:colOff>
      <xdr:row>77</xdr:row>
      <xdr:rowOff>38100</xdr:rowOff>
    </xdr:to>
    <xdr:pic>
      <xdr:nvPicPr>
        <xdr:cNvPr id="3663" name="Picture 8" descr=" ">
          <a:extLst>
            <a:ext uri="{FF2B5EF4-FFF2-40B4-BE49-F238E27FC236}">
              <a16:creationId xmlns:a16="http://schemas.microsoft.com/office/drawing/2014/main" id="{2B14EEF4-38AD-4260-947C-C87D3C087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59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</xdr:colOff>
      <xdr:row>77</xdr:row>
      <xdr:rowOff>38100</xdr:rowOff>
    </xdr:to>
    <xdr:pic>
      <xdr:nvPicPr>
        <xdr:cNvPr id="3664" name="Picture 9" descr=" ">
          <a:extLst>
            <a:ext uri="{FF2B5EF4-FFF2-40B4-BE49-F238E27FC236}">
              <a16:creationId xmlns:a16="http://schemas.microsoft.com/office/drawing/2014/main" id="{F8F9084D-63C4-406A-839E-3D80898ED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59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</xdr:colOff>
      <xdr:row>77</xdr:row>
      <xdr:rowOff>38100</xdr:rowOff>
    </xdr:to>
    <xdr:pic>
      <xdr:nvPicPr>
        <xdr:cNvPr id="3665" name="Picture 10" descr=" ">
          <a:extLst>
            <a:ext uri="{FF2B5EF4-FFF2-40B4-BE49-F238E27FC236}">
              <a16:creationId xmlns:a16="http://schemas.microsoft.com/office/drawing/2014/main" id="{7B16867D-82B5-4C68-A231-87B7EDB75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59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</xdr:colOff>
      <xdr:row>77</xdr:row>
      <xdr:rowOff>38100</xdr:rowOff>
    </xdr:to>
    <xdr:pic>
      <xdr:nvPicPr>
        <xdr:cNvPr id="3666" name="Picture 11" descr=" ">
          <a:extLst>
            <a:ext uri="{FF2B5EF4-FFF2-40B4-BE49-F238E27FC236}">
              <a16:creationId xmlns:a16="http://schemas.microsoft.com/office/drawing/2014/main" id="{C5EBD431-7C45-4018-A1ED-F7D955BCD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59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</xdr:colOff>
      <xdr:row>77</xdr:row>
      <xdr:rowOff>38100</xdr:rowOff>
    </xdr:to>
    <xdr:pic>
      <xdr:nvPicPr>
        <xdr:cNvPr id="3667" name="Picture 12" descr=" ">
          <a:extLst>
            <a:ext uri="{FF2B5EF4-FFF2-40B4-BE49-F238E27FC236}">
              <a16:creationId xmlns:a16="http://schemas.microsoft.com/office/drawing/2014/main" id="{7F5860DF-91CB-4623-9F47-7D2529225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59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38100</xdr:rowOff>
    </xdr:to>
    <xdr:pic>
      <xdr:nvPicPr>
        <xdr:cNvPr id="3668" name="Picture 7" descr=" ">
          <a:extLst>
            <a:ext uri="{FF2B5EF4-FFF2-40B4-BE49-F238E27FC236}">
              <a16:creationId xmlns:a16="http://schemas.microsoft.com/office/drawing/2014/main" id="{B145211F-5A31-4547-8EA2-1456FEAEB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2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38100</xdr:rowOff>
    </xdr:to>
    <xdr:pic>
      <xdr:nvPicPr>
        <xdr:cNvPr id="3669" name="Picture 8" descr=" ">
          <a:extLst>
            <a:ext uri="{FF2B5EF4-FFF2-40B4-BE49-F238E27FC236}">
              <a16:creationId xmlns:a16="http://schemas.microsoft.com/office/drawing/2014/main" id="{D27303E0-1A35-44A4-B9DB-A104D0369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2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38100</xdr:rowOff>
    </xdr:to>
    <xdr:pic>
      <xdr:nvPicPr>
        <xdr:cNvPr id="3670" name="Picture 9" descr=" ">
          <a:extLst>
            <a:ext uri="{FF2B5EF4-FFF2-40B4-BE49-F238E27FC236}">
              <a16:creationId xmlns:a16="http://schemas.microsoft.com/office/drawing/2014/main" id="{F0686E8F-D954-4927-862C-A37840713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2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38100</xdr:rowOff>
    </xdr:to>
    <xdr:pic>
      <xdr:nvPicPr>
        <xdr:cNvPr id="3671" name="Picture 10" descr=" ">
          <a:extLst>
            <a:ext uri="{FF2B5EF4-FFF2-40B4-BE49-F238E27FC236}">
              <a16:creationId xmlns:a16="http://schemas.microsoft.com/office/drawing/2014/main" id="{75364D53-C61F-4267-8AB8-E7C3F9C21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2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38100</xdr:rowOff>
    </xdr:to>
    <xdr:pic>
      <xdr:nvPicPr>
        <xdr:cNvPr id="3672" name="Picture 11" descr=" ">
          <a:extLst>
            <a:ext uri="{FF2B5EF4-FFF2-40B4-BE49-F238E27FC236}">
              <a16:creationId xmlns:a16="http://schemas.microsoft.com/office/drawing/2014/main" id="{2E5CFF1F-701C-481A-9251-FE405B467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2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</xdr:colOff>
      <xdr:row>78</xdr:row>
      <xdr:rowOff>38100</xdr:rowOff>
    </xdr:to>
    <xdr:pic>
      <xdr:nvPicPr>
        <xdr:cNvPr id="3673" name="Picture 12" descr=" ">
          <a:extLst>
            <a:ext uri="{FF2B5EF4-FFF2-40B4-BE49-F238E27FC236}">
              <a16:creationId xmlns:a16="http://schemas.microsoft.com/office/drawing/2014/main" id="{A40EBFB4-DAF0-405A-BB47-480D5264F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2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</xdr:colOff>
      <xdr:row>79</xdr:row>
      <xdr:rowOff>38100</xdr:rowOff>
    </xdr:to>
    <xdr:pic>
      <xdr:nvPicPr>
        <xdr:cNvPr id="3674" name="Picture 7" descr=" ">
          <a:extLst>
            <a:ext uri="{FF2B5EF4-FFF2-40B4-BE49-F238E27FC236}">
              <a16:creationId xmlns:a16="http://schemas.microsoft.com/office/drawing/2014/main" id="{5BC24406-9599-48B7-91CB-C05032672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</xdr:colOff>
      <xdr:row>79</xdr:row>
      <xdr:rowOff>38100</xdr:rowOff>
    </xdr:to>
    <xdr:pic>
      <xdr:nvPicPr>
        <xdr:cNvPr id="3675" name="Picture 8" descr=" ">
          <a:extLst>
            <a:ext uri="{FF2B5EF4-FFF2-40B4-BE49-F238E27FC236}">
              <a16:creationId xmlns:a16="http://schemas.microsoft.com/office/drawing/2014/main" id="{1483D160-47D0-467A-A267-687F4BFFC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</xdr:colOff>
      <xdr:row>79</xdr:row>
      <xdr:rowOff>38100</xdr:rowOff>
    </xdr:to>
    <xdr:pic>
      <xdr:nvPicPr>
        <xdr:cNvPr id="3676" name="Picture 9" descr=" ">
          <a:extLst>
            <a:ext uri="{FF2B5EF4-FFF2-40B4-BE49-F238E27FC236}">
              <a16:creationId xmlns:a16="http://schemas.microsoft.com/office/drawing/2014/main" id="{DC758972-AAD0-495F-B25F-CA298C632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</xdr:colOff>
      <xdr:row>79</xdr:row>
      <xdr:rowOff>38100</xdr:rowOff>
    </xdr:to>
    <xdr:pic>
      <xdr:nvPicPr>
        <xdr:cNvPr id="3677" name="Picture 10" descr=" ">
          <a:extLst>
            <a:ext uri="{FF2B5EF4-FFF2-40B4-BE49-F238E27FC236}">
              <a16:creationId xmlns:a16="http://schemas.microsoft.com/office/drawing/2014/main" id="{300FC9CE-98AA-46F1-AB85-73126A971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</xdr:colOff>
      <xdr:row>79</xdr:row>
      <xdr:rowOff>38100</xdr:rowOff>
    </xdr:to>
    <xdr:pic>
      <xdr:nvPicPr>
        <xdr:cNvPr id="3678" name="Picture 11" descr=" ">
          <a:extLst>
            <a:ext uri="{FF2B5EF4-FFF2-40B4-BE49-F238E27FC236}">
              <a16:creationId xmlns:a16="http://schemas.microsoft.com/office/drawing/2014/main" id="{74994C8A-FE1F-426A-AF22-885E6CDFB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</xdr:colOff>
      <xdr:row>79</xdr:row>
      <xdr:rowOff>38100</xdr:rowOff>
    </xdr:to>
    <xdr:pic>
      <xdr:nvPicPr>
        <xdr:cNvPr id="3679" name="Picture 12" descr=" ">
          <a:extLst>
            <a:ext uri="{FF2B5EF4-FFF2-40B4-BE49-F238E27FC236}">
              <a16:creationId xmlns:a16="http://schemas.microsoft.com/office/drawing/2014/main" id="{D39B5923-C2C6-4443-ABBF-0572D76F8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</xdr:colOff>
      <xdr:row>80</xdr:row>
      <xdr:rowOff>38100</xdr:rowOff>
    </xdr:to>
    <xdr:pic>
      <xdr:nvPicPr>
        <xdr:cNvPr id="3680" name="Picture 7" descr=" ">
          <a:extLst>
            <a:ext uri="{FF2B5EF4-FFF2-40B4-BE49-F238E27FC236}">
              <a16:creationId xmlns:a16="http://schemas.microsoft.com/office/drawing/2014/main" id="{64ACF182-F2F0-4E36-AC75-EBBE879DE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08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</xdr:colOff>
      <xdr:row>80</xdr:row>
      <xdr:rowOff>38100</xdr:rowOff>
    </xdr:to>
    <xdr:pic>
      <xdr:nvPicPr>
        <xdr:cNvPr id="3681" name="Picture 8" descr=" ">
          <a:extLst>
            <a:ext uri="{FF2B5EF4-FFF2-40B4-BE49-F238E27FC236}">
              <a16:creationId xmlns:a16="http://schemas.microsoft.com/office/drawing/2014/main" id="{E23BBB52-EAC8-4E89-BE4C-809BF5821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08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</xdr:colOff>
      <xdr:row>80</xdr:row>
      <xdr:rowOff>38100</xdr:rowOff>
    </xdr:to>
    <xdr:pic>
      <xdr:nvPicPr>
        <xdr:cNvPr id="3682" name="Picture 9" descr=" ">
          <a:extLst>
            <a:ext uri="{FF2B5EF4-FFF2-40B4-BE49-F238E27FC236}">
              <a16:creationId xmlns:a16="http://schemas.microsoft.com/office/drawing/2014/main" id="{3BF674F3-09E2-435B-912F-F99AE676E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08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</xdr:colOff>
      <xdr:row>80</xdr:row>
      <xdr:rowOff>38100</xdr:rowOff>
    </xdr:to>
    <xdr:pic>
      <xdr:nvPicPr>
        <xdr:cNvPr id="3683" name="Picture 10" descr=" ">
          <a:extLst>
            <a:ext uri="{FF2B5EF4-FFF2-40B4-BE49-F238E27FC236}">
              <a16:creationId xmlns:a16="http://schemas.microsoft.com/office/drawing/2014/main" id="{0BFC066A-34B6-4BBD-9182-DE047365F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08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</xdr:colOff>
      <xdr:row>80</xdr:row>
      <xdr:rowOff>38100</xdr:rowOff>
    </xdr:to>
    <xdr:pic>
      <xdr:nvPicPr>
        <xdr:cNvPr id="3684" name="Picture 11" descr=" ">
          <a:extLst>
            <a:ext uri="{FF2B5EF4-FFF2-40B4-BE49-F238E27FC236}">
              <a16:creationId xmlns:a16="http://schemas.microsoft.com/office/drawing/2014/main" id="{FA2915CC-66CB-48BB-AEE6-B1D273157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08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</xdr:colOff>
      <xdr:row>80</xdr:row>
      <xdr:rowOff>38100</xdr:rowOff>
    </xdr:to>
    <xdr:pic>
      <xdr:nvPicPr>
        <xdr:cNvPr id="3685" name="Picture 12" descr=" ">
          <a:extLst>
            <a:ext uri="{FF2B5EF4-FFF2-40B4-BE49-F238E27FC236}">
              <a16:creationId xmlns:a16="http://schemas.microsoft.com/office/drawing/2014/main" id="{0EB90B14-278A-4B14-8C73-0060B3F44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08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</xdr:colOff>
      <xdr:row>81</xdr:row>
      <xdr:rowOff>38100</xdr:rowOff>
    </xdr:to>
    <xdr:pic>
      <xdr:nvPicPr>
        <xdr:cNvPr id="3686" name="Picture 7" descr=" ">
          <a:extLst>
            <a:ext uri="{FF2B5EF4-FFF2-40B4-BE49-F238E27FC236}">
              <a16:creationId xmlns:a16="http://schemas.microsoft.com/office/drawing/2014/main" id="{04D58754-97D5-419A-8963-97EF8F985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91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</xdr:colOff>
      <xdr:row>81</xdr:row>
      <xdr:rowOff>38100</xdr:rowOff>
    </xdr:to>
    <xdr:pic>
      <xdr:nvPicPr>
        <xdr:cNvPr id="3687" name="Picture 8" descr=" ">
          <a:extLst>
            <a:ext uri="{FF2B5EF4-FFF2-40B4-BE49-F238E27FC236}">
              <a16:creationId xmlns:a16="http://schemas.microsoft.com/office/drawing/2014/main" id="{2CBCAFC0-336F-435A-8756-D4D404AB4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91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</xdr:colOff>
      <xdr:row>81</xdr:row>
      <xdr:rowOff>38100</xdr:rowOff>
    </xdr:to>
    <xdr:pic>
      <xdr:nvPicPr>
        <xdr:cNvPr id="3688" name="Picture 9" descr=" ">
          <a:extLst>
            <a:ext uri="{FF2B5EF4-FFF2-40B4-BE49-F238E27FC236}">
              <a16:creationId xmlns:a16="http://schemas.microsoft.com/office/drawing/2014/main" id="{6A86D718-13E8-4AE9-A4C0-8569686C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91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</xdr:colOff>
      <xdr:row>81</xdr:row>
      <xdr:rowOff>38100</xdr:rowOff>
    </xdr:to>
    <xdr:pic>
      <xdr:nvPicPr>
        <xdr:cNvPr id="3689" name="Picture 10" descr=" ">
          <a:extLst>
            <a:ext uri="{FF2B5EF4-FFF2-40B4-BE49-F238E27FC236}">
              <a16:creationId xmlns:a16="http://schemas.microsoft.com/office/drawing/2014/main" id="{033F40A1-B2BE-4720-9302-258FD732C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91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</xdr:colOff>
      <xdr:row>81</xdr:row>
      <xdr:rowOff>38100</xdr:rowOff>
    </xdr:to>
    <xdr:pic>
      <xdr:nvPicPr>
        <xdr:cNvPr id="3690" name="Picture 11" descr=" ">
          <a:extLst>
            <a:ext uri="{FF2B5EF4-FFF2-40B4-BE49-F238E27FC236}">
              <a16:creationId xmlns:a16="http://schemas.microsoft.com/office/drawing/2014/main" id="{8610E089-CECA-4217-85FD-80411CC05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91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</xdr:colOff>
      <xdr:row>81</xdr:row>
      <xdr:rowOff>38100</xdr:rowOff>
    </xdr:to>
    <xdr:pic>
      <xdr:nvPicPr>
        <xdr:cNvPr id="3691" name="Picture 12" descr=" ">
          <a:extLst>
            <a:ext uri="{FF2B5EF4-FFF2-40B4-BE49-F238E27FC236}">
              <a16:creationId xmlns:a16="http://schemas.microsoft.com/office/drawing/2014/main" id="{F30CAF2E-6688-4B04-9E05-608D4FCC7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91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</xdr:colOff>
      <xdr:row>82</xdr:row>
      <xdr:rowOff>38100</xdr:rowOff>
    </xdr:to>
    <xdr:pic>
      <xdr:nvPicPr>
        <xdr:cNvPr id="3692" name="Picture 7" descr=" ">
          <a:extLst>
            <a:ext uri="{FF2B5EF4-FFF2-40B4-BE49-F238E27FC236}">
              <a16:creationId xmlns:a16="http://schemas.microsoft.com/office/drawing/2014/main" id="{C3E0DD4F-E94E-4CDF-BAD2-39BC4B01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74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</xdr:colOff>
      <xdr:row>82</xdr:row>
      <xdr:rowOff>38100</xdr:rowOff>
    </xdr:to>
    <xdr:pic>
      <xdr:nvPicPr>
        <xdr:cNvPr id="3693" name="Picture 8" descr=" ">
          <a:extLst>
            <a:ext uri="{FF2B5EF4-FFF2-40B4-BE49-F238E27FC236}">
              <a16:creationId xmlns:a16="http://schemas.microsoft.com/office/drawing/2014/main" id="{664C9C4B-E797-425C-9ACA-80A60B8A7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74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</xdr:colOff>
      <xdr:row>82</xdr:row>
      <xdr:rowOff>38100</xdr:rowOff>
    </xdr:to>
    <xdr:pic>
      <xdr:nvPicPr>
        <xdr:cNvPr id="3694" name="Picture 9" descr=" ">
          <a:extLst>
            <a:ext uri="{FF2B5EF4-FFF2-40B4-BE49-F238E27FC236}">
              <a16:creationId xmlns:a16="http://schemas.microsoft.com/office/drawing/2014/main" id="{17C0AB7E-4F67-49B2-8D2E-83F725D94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74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</xdr:colOff>
      <xdr:row>82</xdr:row>
      <xdr:rowOff>38100</xdr:rowOff>
    </xdr:to>
    <xdr:pic>
      <xdr:nvPicPr>
        <xdr:cNvPr id="3695" name="Picture 10" descr=" ">
          <a:extLst>
            <a:ext uri="{FF2B5EF4-FFF2-40B4-BE49-F238E27FC236}">
              <a16:creationId xmlns:a16="http://schemas.microsoft.com/office/drawing/2014/main" id="{6A809007-DA6F-4DE2-BBC5-9AFFA2BAF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74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</xdr:colOff>
      <xdr:row>82</xdr:row>
      <xdr:rowOff>38100</xdr:rowOff>
    </xdr:to>
    <xdr:pic>
      <xdr:nvPicPr>
        <xdr:cNvPr id="3696" name="Picture 11" descr=" ">
          <a:extLst>
            <a:ext uri="{FF2B5EF4-FFF2-40B4-BE49-F238E27FC236}">
              <a16:creationId xmlns:a16="http://schemas.microsoft.com/office/drawing/2014/main" id="{DBD95A3A-2422-44CC-BAFB-DE379364D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74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</xdr:colOff>
      <xdr:row>82</xdr:row>
      <xdr:rowOff>38100</xdr:rowOff>
    </xdr:to>
    <xdr:pic>
      <xdr:nvPicPr>
        <xdr:cNvPr id="3697" name="Picture 12" descr=" ">
          <a:extLst>
            <a:ext uri="{FF2B5EF4-FFF2-40B4-BE49-F238E27FC236}">
              <a16:creationId xmlns:a16="http://schemas.microsoft.com/office/drawing/2014/main" id="{DC8FDB05-F740-4739-983D-FCECBFC53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74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</xdr:colOff>
      <xdr:row>83</xdr:row>
      <xdr:rowOff>38100</xdr:rowOff>
    </xdr:to>
    <xdr:pic>
      <xdr:nvPicPr>
        <xdr:cNvPr id="3698" name="Picture 7" descr=" ">
          <a:extLst>
            <a:ext uri="{FF2B5EF4-FFF2-40B4-BE49-F238E27FC236}">
              <a16:creationId xmlns:a16="http://schemas.microsoft.com/office/drawing/2014/main" id="{3D37E772-255D-4555-ACC6-102747C36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57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</xdr:colOff>
      <xdr:row>83</xdr:row>
      <xdr:rowOff>38100</xdr:rowOff>
    </xdr:to>
    <xdr:pic>
      <xdr:nvPicPr>
        <xdr:cNvPr id="3699" name="Picture 8" descr=" ">
          <a:extLst>
            <a:ext uri="{FF2B5EF4-FFF2-40B4-BE49-F238E27FC236}">
              <a16:creationId xmlns:a16="http://schemas.microsoft.com/office/drawing/2014/main" id="{40ED7FD9-0992-470E-8A36-6D4BAEEFC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57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</xdr:colOff>
      <xdr:row>83</xdr:row>
      <xdr:rowOff>38100</xdr:rowOff>
    </xdr:to>
    <xdr:pic>
      <xdr:nvPicPr>
        <xdr:cNvPr id="3700" name="Picture 9" descr=" ">
          <a:extLst>
            <a:ext uri="{FF2B5EF4-FFF2-40B4-BE49-F238E27FC236}">
              <a16:creationId xmlns:a16="http://schemas.microsoft.com/office/drawing/2014/main" id="{6916475A-E537-448C-9621-502A1C20C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57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</xdr:colOff>
      <xdr:row>83</xdr:row>
      <xdr:rowOff>38100</xdr:rowOff>
    </xdr:to>
    <xdr:pic>
      <xdr:nvPicPr>
        <xdr:cNvPr id="3701" name="Picture 10" descr=" ">
          <a:extLst>
            <a:ext uri="{FF2B5EF4-FFF2-40B4-BE49-F238E27FC236}">
              <a16:creationId xmlns:a16="http://schemas.microsoft.com/office/drawing/2014/main" id="{CA9E63EE-9F39-4CDD-AE62-C50BEA26A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57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</xdr:colOff>
      <xdr:row>83</xdr:row>
      <xdr:rowOff>38100</xdr:rowOff>
    </xdr:to>
    <xdr:pic>
      <xdr:nvPicPr>
        <xdr:cNvPr id="3702" name="Picture 11" descr=" ">
          <a:extLst>
            <a:ext uri="{FF2B5EF4-FFF2-40B4-BE49-F238E27FC236}">
              <a16:creationId xmlns:a16="http://schemas.microsoft.com/office/drawing/2014/main" id="{3D46A2FD-1AD5-4C02-9E76-AFFDED519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57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</xdr:colOff>
      <xdr:row>83</xdr:row>
      <xdr:rowOff>38100</xdr:rowOff>
    </xdr:to>
    <xdr:pic>
      <xdr:nvPicPr>
        <xdr:cNvPr id="3703" name="Picture 12" descr=" ">
          <a:extLst>
            <a:ext uri="{FF2B5EF4-FFF2-40B4-BE49-F238E27FC236}">
              <a16:creationId xmlns:a16="http://schemas.microsoft.com/office/drawing/2014/main" id="{40D562AC-006B-4950-8127-BD9FD4616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57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</xdr:colOff>
      <xdr:row>84</xdr:row>
      <xdr:rowOff>38100</xdr:rowOff>
    </xdr:to>
    <xdr:pic>
      <xdr:nvPicPr>
        <xdr:cNvPr id="3704" name="Picture 7" descr=" ">
          <a:extLst>
            <a:ext uri="{FF2B5EF4-FFF2-40B4-BE49-F238E27FC236}">
              <a16:creationId xmlns:a16="http://schemas.microsoft.com/office/drawing/2014/main" id="{B37B51DA-D655-48E0-98D7-DE2CD4863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</xdr:colOff>
      <xdr:row>84</xdr:row>
      <xdr:rowOff>38100</xdr:rowOff>
    </xdr:to>
    <xdr:pic>
      <xdr:nvPicPr>
        <xdr:cNvPr id="3705" name="Picture 8" descr=" ">
          <a:extLst>
            <a:ext uri="{FF2B5EF4-FFF2-40B4-BE49-F238E27FC236}">
              <a16:creationId xmlns:a16="http://schemas.microsoft.com/office/drawing/2014/main" id="{FE8AE2EF-74CF-48DF-93CF-948B9B777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</xdr:colOff>
      <xdr:row>84</xdr:row>
      <xdr:rowOff>38100</xdr:rowOff>
    </xdr:to>
    <xdr:pic>
      <xdr:nvPicPr>
        <xdr:cNvPr id="3706" name="Picture 9" descr=" ">
          <a:extLst>
            <a:ext uri="{FF2B5EF4-FFF2-40B4-BE49-F238E27FC236}">
              <a16:creationId xmlns:a16="http://schemas.microsoft.com/office/drawing/2014/main" id="{8FE4DAA4-0FA7-41D9-BDDB-4CAA1684F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</xdr:colOff>
      <xdr:row>84</xdr:row>
      <xdr:rowOff>38100</xdr:rowOff>
    </xdr:to>
    <xdr:pic>
      <xdr:nvPicPr>
        <xdr:cNvPr id="3707" name="Picture 10" descr=" ">
          <a:extLst>
            <a:ext uri="{FF2B5EF4-FFF2-40B4-BE49-F238E27FC236}">
              <a16:creationId xmlns:a16="http://schemas.microsoft.com/office/drawing/2014/main" id="{AD09B503-D15A-4283-9462-BD030E7A9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</xdr:colOff>
      <xdr:row>84</xdr:row>
      <xdr:rowOff>38100</xdr:rowOff>
    </xdr:to>
    <xdr:pic>
      <xdr:nvPicPr>
        <xdr:cNvPr id="3708" name="Picture 11" descr=" ">
          <a:extLst>
            <a:ext uri="{FF2B5EF4-FFF2-40B4-BE49-F238E27FC236}">
              <a16:creationId xmlns:a16="http://schemas.microsoft.com/office/drawing/2014/main" id="{2A0B850F-D048-42E5-90E7-D4FBD20C7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</xdr:colOff>
      <xdr:row>84</xdr:row>
      <xdr:rowOff>38100</xdr:rowOff>
    </xdr:to>
    <xdr:pic>
      <xdr:nvPicPr>
        <xdr:cNvPr id="3709" name="Picture 12" descr=" ">
          <a:extLst>
            <a:ext uri="{FF2B5EF4-FFF2-40B4-BE49-F238E27FC236}">
              <a16:creationId xmlns:a16="http://schemas.microsoft.com/office/drawing/2014/main" id="{74C2991F-6D30-43C8-9B33-B51F29998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</xdr:colOff>
      <xdr:row>85</xdr:row>
      <xdr:rowOff>38100</xdr:rowOff>
    </xdr:to>
    <xdr:pic>
      <xdr:nvPicPr>
        <xdr:cNvPr id="3710" name="Picture 7" descr=" ">
          <a:extLst>
            <a:ext uri="{FF2B5EF4-FFF2-40B4-BE49-F238E27FC236}">
              <a16:creationId xmlns:a16="http://schemas.microsoft.com/office/drawing/2014/main" id="{E2BF0632-0EAC-46BB-9CCF-89B0F6867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22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</xdr:colOff>
      <xdr:row>85</xdr:row>
      <xdr:rowOff>38100</xdr:rowOff>
    </xdr:to>
    <xdr:pic>
      <xdr:nvPicPr>
        <xdr:cNvPr id="3711" name="Picture 8" descr=" ">
          <a:extLst>
            <a:ext uri="{FF2B5EF4-FFF2-40B4-BE49-F238E27FC236}">
              <a16:creationId xmlns:a16="http://schemas.microsoft.com/office/drawing/2014/main" id="{C488B310-2D0D-4F79-8D5B-EF7B00BFD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22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</xdr:colOff>
      <xdr:row>85</xdr:row>
      <xdr:rowOff>38100</xdr:rowOff>
    </xdr:to>
    <xdr:pic>
      <xdr:nvPicPr>
        <xdr:cNvPr id="3712" name="Picture 9" descr=" ">
          <a:extLst>
            <a:ext uri="{FF2B5EF4-FFF2-40B4-BE49-F238E27FC236}">
              <a16:creationId xmlns:a16="http://schemas.microsoft.com/office/drawing/2014/main" id="{FC1EC9D8-3980-4F2C-9883-517BD8456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22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</xdr:colOff>
      <xdr:row>85</xdr:row>
      <xdr:rowOff>38100</xdr:rowOff>
    </xdr:to>
    <xdr:pic>
      <xdr:nvPicPr>
        <xdr:cNvPr id="3713" name="Picture 10" descr=" ">
          <a:extLst>
            <a:ext uri="{FF2B5EF4-FFF2-40B4-BE49-F238E27FC236}">
              <a16:creationId xmlns:a16="http://schemas.microsoft.com/office/drawing/2014/main" id="{617BC3D4-73C0-40F1-BE8D-DDAABBBD4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22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</xdr:colOff>
      <xdr:row>85</xdr:row>
      <xdr:rowOff>38100</xdr:rowOff>
    </xdr:to>
    <xdr:pic>
      <xdr:nvPicPr>
        <xdr:cNvPr id="3714" name="Picture 11" descr=" ">
          <a:extLst>
            <a:ext uri="{FF2B5EF4-FFF2-40B4-BE49-F238E27FC236}">
              <a16:creationId xmlns:a16="http://schemas.microsoft.com/office/drawing/2014/main" id="{BFEBCB3A-FB98-4E2F-B22F-EC2562F9F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22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</xdr:colOff>
      <xdr:row>85</xdr:row>
      <xdr:rowOff>38100</xdr:rowOff>
    </xdr:to>
    <xdr:pic>
      <xdr:nvPicPr>
        <xdr:cNvPr id="3715" name="Picture 12" descr=" ">
          <a:extLst>
            <a:ext uri="{FF2B5EF4-FFF2-40B4-BE49-F238E27FC236}">
              <a16:creationId xmlns:a16="http://schemas.microsoft.com/office/drawing/2014/main" id="{263834B1-3E3B-4684-964E-DCD693A2D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22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</xdr:colOff>
      <xdr:row>86</xdr:row>
      <xdr:rowOff>38100</xdr:rowOff>
    </xdr:to>
    <xdr:pic>
      <xdr:nvPicPr>
        <xdr:cNvPr id="3716" name="Picture 7" descr=" ">
          <a:extLst>
            <a:ext uri="{FF2B5EF4-FFF2-40B4-BE49-F238E27FC236}">
              <a16:creationId xmlns:a16="http://schemas.microsoft.com/office/drawing/2014/main" id="{6E91A8DE-8C3B-4E63-9BA2-66A3FD68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05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</xdr:colOff>
      <xdr:row>86</xdr:row>
      <xdr:rowOff>38100</xdr:rowOff>
    </xdr:to>
    <xdr:pic>
      <xdr:nvPicPr>
        <xdr:cNvPr id="3717" name="Picture 8" descr=" ">
          <a:extLst>
            <a:ext uri="{FF2B5EF4-FFF2-40B4-BE49-F238E27FC236}">
              <a16:creationId xmlns:a16="http://schemas.microsoft.com/office/drawing/2014/main" id="{7F4D592B-D8F5-40FF-8272-21303EB47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05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</xdr:colOff>
      <xdr:row>86</xdr:row>
      <xdr:rowOff>38100</xdr:rowOff>
    </xdr:to>
    <xdr:pic>
      <xdr:nvPicPr>
        <xdr:cNvPr id="3718" name="Picture 9" descr=" ">
          <a:extLst>
            <a:ext uri="{FF2B5EF4-FFF2-40B4-BE49-F238E27FC236}">
              <a16:creationId xmlns:a16="http://schemas.microsoft.com/office/drawing/2014/main" id="{EC62927C-A3E2-47DF-8E84-735C49C7E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05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</xdr:colOff>
      <xdr:row>86</xdr:row>
      <xdr:rowOff>38100</xdr:rowOff>
    </xdr:to>
    <xdr:pic>
      <xdr:nvPicPr>
        <xdr:cNvPr id="3719" name="Picture 10" descr=" ">
          <a:extLst>
            <a:ext uri="{FF2B5EF4-FFF2-40B4-BE49-F238E27FC236}">
              <a16:creationId xmlns:a16="http://schemas.microsoft.com/office/drawing/2014/main" id="{9B729BAE-FA7D-4ACA-A724-0DB3C0A87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05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</xdr:colOff>
      <xdr:row>86</xdr:row>
      <xdr:rowOff>38100</xdr:rowOff>
    </xdr:to>
    <xdr:pic>
      <xdr:nvPicPr>
        <xdr:cNvPr id="3720" name="Picture 11" descr=" ">
          <a:extLst>
            <a:ext uri="{FF2B5EF4-FFF2-40B4-BE49-F238E27FC236}">
              <a16:creationId xmlns:a16="http://schemas.microsoft.com/office/drawing/2014/main" id="{A0AAB56C-DBD0-44B1-AE29-8E43CD2AE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05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</xdr:colOff>
      <xdr:row>86</xdr:row>
      <xdr:rowOff>38100</xdr:rowOff>
    </xdr:to>
    <xdr:pic>
      <xdr:nvPicPr>
        <xdr:cNvPr id="3721" name="Picture 12" descr=" ">
          <a:extLst>
            <a:ext uri="{FF2B5EF4-FFF2-40B4-BE49-F238E27FC236}">
              <a16:creationId xmlns:a16="http://schemas.microsoft.com/office/drawing/2014/main" id="{E451E537-E113-483D-8DA5-32E50421A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05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3722" name="Picture 7" descr=" ">
          <a:extLst>
            <a:ext uri="{FF2B5EF4-FFF2-40B4-BE49-F238E27FC236}">
              <a16:creationId xmlns:a16="http://schemas.microsoft.com/office/drawing/2014/main" id="{94040900-A3E9-452F-93E8-76CAB59D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3723" name="Picture 8" descr=" ">
          <a:extLst>
            <a:ext uri="{FF2B5EF4-FFF2-40B4-BE49-F238E27FC236}">
              <a16:creationId xmlns:a16="http://schemas.microsoft.com/office/drawing/2014/main" id="{B061B9F2-4E02-4302-9BEF-A8F855168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3724" name="Picture 9" descr=" ">
          <a:extLst>
            <a:ext uri="{FF2B5EF4-FFF2-40B4-BE49-F238E27FC236}">
              <a16:creationId xmlns:a16="http://schemas.microsoft.com/office/drawing/2014/main" id="{82830E34-2BF8-4FD8-93A9-0D5D3D577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3725" name="Picture 10" descr=" ">
          <a:extLst>
            <a:ext uri="{FF2B5EF4-FFF2-40B4-BE49-F238E27FC236}">
              <a16:creationId xmlns:a16="http://schemas.microsoft.com/office/drawing/2014/main" id="{F37F5981-FDE9-49F3-A396-D574446F0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3726" name="Picture 11" descr=" ">
          <a:extLst>
            <a:ext uri="{FF2B5EF4-FFF2-40B4-BE49-F238E27FC236}">
              <a16:creationId xmlns:a16="http://schemas.microsoft.com/office/drawing/2014/main" id="{0899C059-72E7-4AA4-BD77-5137A37C0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3727" name="Picture 12" descr=" ">
          <a:extLst>
            <a:ext uri="{FF2B5EF4-FFF2-40B4-BE49-F238E27FC236}">
              <a16:creationId xmlns:a16="http://schemas.microsoft.com/office/drawing/2014/main" id="{2C754CB9-8E4B-4BFB-B8EB-1DA084D2D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88</xdr:row>
      <xdr:rowOff>38100</xdr:rowOff>
    </xdr:to>
    <xdr:pic>
      <xdr:nvPicPr>
        <xdr:cNvPr id="3728" name="Picture 7" descr=" ">
          <a:extLst>
            <a:ext uri="{FF2B5EF4-FFF2-40B4-BE49-F238E27FC236}">
              <a16:creationId xmlns:a16="http://schemas.microsoft.com/office/drawing/2014/main" id="{A5CE259B-372A-43D5-9876-C1FC3CE2E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71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88</xdr:row>
      <xdr:rowOff>38100</xdr:rowOff>
    </xdr:to>
    <xdr:pic>
      <xdr:nvPicPr>
        <xdr:cNvPr id="3729" name="Picture 8" descr=" ">
          <a:extLst>
            <a:ext uri="{FF2B5EF4-FFF2-40B4-BE49-F238E27FC236}">
              <a16:creationId xmlns:a16="http://schemas.microsoft.com/office/drawing/2014/main" id="{CC15D8FF-A613-4CFF-965A-0FC130485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71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88</xdr:row>
      <xdr:rowOff>38100</xdr:rowOff>
    </xdr:to>
    <xdr:pic>
      <xdr:nvPicPr>
        <xdr:cNvPr id="3730" name="Picture 9" descr=" ">
          <a:extLst>
            <a:ext uri="{FF2B5EF4-FFF2-40B4-BE49-F238E27FC236}">
              <a16:creationId xmlns:a16="http://schemas.microsoft.com/office/drawing/2014/main" id="{FE012E75-5E23-4535-89B4-5ADB6480F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71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88</xdr:row>
      <xdr:rowOff>38100</xdr:rowOff>
    </xdr:to>
    <xdr:pic>
      <xdr:nvPicPr>
        <xdr:cNvPr id="3731" name="Picture 10" descr=" ">
          <a:extLst>
            <a:ext uri="{FF2B5EF4-FFF2-40B4-BE49-F238E27FC236}">
              <a16:creationId xmlns:a16="http://schemas.microsoft.com/office/drawing/2014/main" id="{6A14A61D-A858-4B27-9424-378B53C7A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71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88</xdr:row>
      <xdr:rowOff>38100</xdr:rowOff>
    </xdr:to>
    <xdr:pic>
      <xdr:nvPicPr>
        <xdr:cNvPr id="3732" name="Picture 11" descr=" ">
          <a:extLst>
            <a:ext uri="{FF2B5EF4-FFF2-40B4-BE49-F238E27FC236}">
              <a16:creationId xmlns:a16="http://schemas.microsoft.com/office/drawing/2014/main" id="{57CD63EB-387C-4490-B22C-FDD4721F7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71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88</xdr:row>
      <xdr:rowOff>38100</xdr:rowOff>
    </xdr:to>
    <xdr:pic>
      <xdr:nvPicPr>
        <xdr:cNvPr id="3733" name="Picture 12" descr=" ">
          <a:extLst>
            <a:ext uri="{FF2B5EF4-FFF2-40B4-BE49-F238E27FC236}">
              <a16:creationId xmlns:a16="http://schemas.microsoft.com/office/drawing/2014/main" id="{ECB901F0-3091-440E-B6E6-19927C876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71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38100</xdr:rowOff>
    </xdr:to>
    <xdr:pic>
      <xdr:nvPicPr>
        <xdr:cNvPr id="3734" name="Picture 7" descr=" ">
          <a:extLst>
            <a:ext uri="{FF2B5EF4-FFF2-40B4-BE49-F238E27FC236}">
              <a16:creationId xmlns:a16="http://schemas.microsoft.com/office/drawing/2014/main" id="{C66B3B09-6E9A-4668-B2E8-5A9E1C42C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54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38100</xdr:rowOff>
    </xdr:to>
    <xdr:pic>
      <xdr:nvPicPr>
        <xdr:cNvPr id="3735" name="Picture 8" descr=" ">
          <a:extLst>
            <a:ext uri="{FF2B5EF4-FFF2-40B4-BE49-F238E27FC236}">
              <a16:creationId xmlns:a16="http://schemas.microsoft.com/office/drawing/2014/main" id="{C1D3A449-F1E2-4905-855E-6B510B1D6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54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38100</xdr:rowOff>
    </xdr:to>
    <xdr:pic>
      <xdr:nvPicPr>
        <xdr:cNvPr id="3736" name="Picture 9" descr=" ">
          <a:extLst>
            <a:ext uri="{FF2B5EF4-FFF2-40B4-BE49-F238E27FC236}">
              <a16:creationId xmlns:a16="http://schemas.microsoft.com/office/drawing/2014/main" id="{9B630299-5ECE-4DA9-91B5-98910F485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54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38100</xdr:rowOff>
    </xdr:to>
    <xdr:pic>
      <xdr:nvPicPr>
        <xdr:cNvPr id="3737" name="Picture 10" descr=" ">
          <a:extLst>
            <a:ext uri="{FF2B5EF4-FFF2-40B4-BE49-F238E27FC236}">
              <a16:creationId xmlns:a16="http://schemas.microsoft.com/office/drawing/2014/main" id="{46BE4BB4-881C-4D55-9AC1-FC083AAFF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54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38100</xdr:rowOff>
    </xdr:to>
    <xdr:pic>
      <xdr:nvPicPr>
        <xdr:cNvPr id="3738" name="Picture 11" descr=" ">
          <a:extLst>
            <a:ext uri="{FF2B5EF4-FFF2-40B4-BE49-F238E27FC236}">
              <a16:creationId xmlns:a16="http://schemas.microsoft.com/office/drawing/2014/main" id="{2BBF30FB-E04A-4594-A72A-4B80221F3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54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9525</xdr:colOff>
      <xdr:row>89</xdr:row>
      <xdr:rowOff>38100</xdr:rowOff>
    </xdr:to>
    <xdr:pic>
      <xdr:nvPicPr>
        <xdr:cNvPr id="3739" name="Picture 12" descr=" ">
          <a:extLst>
            <a:ext uri="{FF2B5EF4-FFF2-40B4-BE49-F238E27FC236}">
              <a16:creationId xmlns:a16="http://schemas.microsoft.com/office/drawing/2014/main" id="{1EE77E32-9118-49DD-9BCB-C98814E14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54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</xdr:colOff>
      <xdr:row>90</xdr:row>
      <xdr:rowOff>38100</xdr:rowOff>
    </xdr:to>
    <xdr:pic>
      <xdr:nvPicPr>
        <xdr:cNvPr id="3740" name="Picture 7" descr=" ">
          <a:extLst>
            <a:ext uri="{FF2B5EF4-FFF2-40B4-BE49-F238E27FC236}">
              <a16:creationId xmlns:a16="http://schemas.microsoft.com/office/drawing/2014/main" id="{910758DC-483D-43FC-A49F-109B29BC5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37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</xdr:colOff>
      <xdr:row>90</xdr:row>
      <xdr:rowOff>38100</xdr:rowOff>
    </xdr:to>
    <xdr:pic>
      <xdr:nvPicPr>
        <xdr:cNvPr id="3741" name="Picture 8" descr=" ">
          <a:extLst>
            <a:ext uri="{FF2B5EF4-FFF2-40B4-BE49-F238E27FC236}">
              <a16:creationId xmlns:a16="http://schemas.microsoft.com/office/drawing/2014/main" id="{6596D5F6-76D2-4A53-B3DA-68E2BC9DA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37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</xdr:colOff>
      <xdr:row>90</xdr:row>
      <xdr:rowOff>38100</xdr:rowOff>
    </xdr:to>
    <xdr:pic>
      <xdr:nvPicPr>
        <xdr:cNvPr id="3742" name="Picture 9" descr=" ">
          <a:extLst>
            <a:ext uri="{FF2B5EF4-FFF2-40B4-BE49-F238E27FC236}">
              <a16:creationId xmlns:a16="http://schemas.microsoft.com/office/drawing/2014/main" id="{D292539F-CCDC-48BD-B566-8782748C6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37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</xdr:colOff>
      <xdr:row>90</xdr:row>
      <xdr:rowOff>38100</xdr:rowOff>
    </xdr:to>
    <xdr:pic>
      <xdr:nvPicPr>
        <xdr:cNvPr id="3743" name="Picture 10" descr=" ">
          <a:extLst>
            <a:ext uri="{FF2B5EF4-FFF2-40B4-BE49-F238E27FC236}">
              <a16:creationId xmlns:a16="http://schemas.microsoft.com/office/drawing/2014/main" id="{7E9E7D0D-D1C9-4692-99D2-31A5BBC5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37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</xdr:colOff>
      <xdr:row>90</xdr:row>
      <xdr:rowOff>38100</xdr:rowOff>
    </xdr:to>
    <xdr:pic>
      <xdr:nvPicPr>
        <xdr:cNvPr id="3744" name="Picture 11" descr=" ">
          <a:extLst>
            <a:ext uri="{FF2B5EF4-FFF2-40B4-BE49-F238E27FC236}">
              <a16:creationId xmlns:a16="http://schemas.microsoft.com/office/drawing/2014/main" id="{865D4637-42A1-4FEF-BE82-C1CB6856D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37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</xdr:colOff>
      <xdr:row>90</xdr:row>
      <xdr:rowOff>38100</xdr:rowOff>
    </xdr:to>
    <xdr:pic>
      <xdr:nvPicPr>
        <xdr:cNvPr id="3745" name="Picture 12" descr=" ">
          <a:extLst>
            <a:ext uri="{FF2B5EF4-FFF2-40B4-BE49-F238E27FC236}">
              <a16:creationId xmlns:a16="http://schemas.microsoft.com/office/drawing/2014/main" id="{9F4F1527-CE07-4ECF-8F6C-D0B0876B8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37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91</xdr:row>
      <xdr:rowOff>38100</xdr:rowOff>
    </xdr:to>
    <xdr:pic>
      <xdr:nvPicPr>
        <xdr:cNvPr id="3746" name="Picture 7" descr=" ">
          <a:extLst>
            <a:ext uri="{FF2B5EF4-FFF2-40B4-BE49-F238E27FC236}">
              <a16:creationId xmlns:a16="http://schemas.microsoft.com/office/drawing/2014/main" id="{89211E3F-2142-4369-B6A6-F67066E33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20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91</xdr:row>
      <xdr:rowOff>38100</xdr:rowOff>
    </xdr:to>
    <xdr:pic>
      <xdr:nvPicPr>
        <xdr:cNvPr id="3747" name="Picture 8" descr=" ">
          <a:extLst>
            <a:ext uri="{FF2B5EF4-FFF2-40B4-BE49-F238E27FC236}">
              <a16:creationId xmlns:a16="http://schemas.microsoft.com/office/drawing/2014/main" id="{9B422FD8-247D-4660-BD02-075835B14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20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91</xdr:row>
      <xdr:rowOff>38100</xdr:rowOff>
    </xdr:to>
    <xdr:pic>
      <xdr:nvPicPr>
        <xdr:cNvPr id="3748" name="Picture 9" descr=" ">
          <a:extLst>
            <a:ext uri="{FF2B5EF4-FFF2-40B4-BE49-F238E27FC236}">
              <a16:creationId xmlns:a16="http://schemas.microsoft.com/office/drawing/2014/main" id="{408AA85B-581D-43F1-BF82-7782F3C22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20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91</xdr:row>
      <xdr:rowOff>38100</xdr:rowOff>
    </xdr:to>
    <xdr:pic>
      <xdr:nvPicPr>
        <xdr:cNvPr id="3749" name="Picture 10" descr=" ">
          <a:extLst>
            <a:ext uri="{FF2B5EF4-FFF2-40B4-BE49-F238E27FC236}">
              <a16:creationId xmlns:a16="http://schemas.microsoft.com/office/drawing/2014/main" id="{40E3CE5C-CD04-4881-B29F-F18820C5D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20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91</xdr:row>
      <xdr:rowOff>38100</xdr:rowOff>
    </xdr:to>
    <xdr:pic>
      <xdr:nvPicPr>
        <xdr:cNvPr id="3750" name="Picture 11" descr=" ">
          <a:extLst>
            <a:ext uri="{FF2B5EF4-FFF2-40B4-BE49-F238E27FC236}">
              <a16:creationId xmlns:a16="http://schemas.microsoft.com/office/drawing/2014/main" id="{3B217D54-2968-461D-9500-5FA989C70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20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</xdr:colOff>
      <xdr:row>91</xdr:row>
      <xdr:rowOff>38100</xdr:rowOff>
    </xdr:to>
    <xdr:pic>
      <xdr:nvPicPr>
        <xdr:cNvPr id="3751" name="Picture 12" descr=" ">
          <a:extLst>
            <a:ext uri="{FF2B5EF4-FFF2-40B4-BE49-F238E27FC236}">
              <a16:creationId xmlns:a16="http://schemas.microsoft.com/office/drawing/2014/main" id="{66374128-0FBE-4D1E-86A8-62C04C7A5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20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9525</xdr:colOff>
      <xdr:row>92</xdr:row>
      <xdr:rowOff>38100</xdr:rowOff>
    </xdr:to>
    <xdr:pic>
      <xdr:nvPicPr>
        <xdr:cNvPr id="3752" name="Picture 7" descr=" ">
          <a:extLst>
            <a:ext uri="{FF2B5EF4-FFF2-40B4-BE49-F238E27FC236}">
              <a16:creationId xmlns:a16="http://schemas.microsoft.com/office/drawing/2014/main" id="{8686E2DA-B1B9-4F74-983B-40266FBDA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02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9525</xdr:colOff>
      <xdr:row>92</xdr:row>
      <xdr:rowOff>38100</xdr:rowOff>
    </xdr:to>
    <xdr:pic>
      <xdr:nvPicPr>
        <xdr:cNvPr id="3753" name="Picture 8" descr=" ">
          <a:extLst>
            <a:ext uri="{FF2B5EF4-FFF2-40B4-BE49-F238E27FC236}">
              <a16:creationId xmlns:a16="http://schemas.microsoft.com/office/drawing/2014/main" id="{4834453E-568E-4C23-8AA7-72EF3CC57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02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9525</xdr:colOff>
      <xdr:row>92</xdr:row>
      <xdr:rowOff>38100</xdr:rowOff>
    </xdr:to>
    <xdr:pic>
      <xdr:nvPicPr>
        <xdr:cNvPr id="3754" name="Picture 9" descr=" ">
          <a:extLst>
            <a:ext uri="{FF2B5EF4-FFF2-40B4-BE49-F238E27FC236}">
              <a16:creationId xmlns:a16="http://schemas.microsoft.com/office/drawing/2014/main" id="{1617E04C-9D2A-4DB5-9502-0F0CD9A40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02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9525</xdr:colOff>
      <xdr:row>92</xdr:row>
      <xdr:rowOff>38100</xdr:rowOff>
    </xdr:to>
    <xdr:pic>
      <xdr:nvPicPr>
        <xdr:cNvPr id="3755" name="Picture 10" descr=" ">
          <a:extLst>
            <a:ext uri="{FF2B5EF4-FFF2-40B4-BE49-F238E27FC236}">
              <a16:creationId xmlns:a16="http://schemas.microsoft.com/office/drawing/2014/main" id="{A386D548-4607-4134-ACCB-CE0B0FF5E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02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9525</xdr:colOff>
      <xdr:row>92</xdr:row>
      <xdr:rowOff>38100</xdr:rowOff>
    </xdr:to>
    <xdr:pic>
      <xdr:nvPicPr>
        <xdr:cNvPr id="3756" name="Picture 11" descr=" ">
          <a:extLst>
            <a:ext uri="{FF2B5EF4-FFF2-40B4-BE49-F238E27FC236}">
              <a16:creationId xmlns:a16="http://schemas.microsoft.com/office/drawing/2014/main" id="{2B1C3A2B-1A69-4A3B-9D22-0848F7A42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02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9525</xdr:colOff>
      <xdr:row>92</xdr:row>
      <xdr:rowOff>38100</xdr:rowOff>
    </xdr:to>
    <xdr:pic>
      <xdr:nvPicPr>
        <xdr:cNvPr id="3757" name="Picture 12" descr=" ">
          <a:extLst>
            <a:ext uri="{FF2B5EF4-FFF2-40B4-BE49-F238E27FC236}">
              <a16:creationId xmlns:a16="http://schemas.microsoft.com/office/drawing/2014/main" id="{7A217811-1BED-48C6-8B84-0AFFBF864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02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</xdr:colOff>
      <xdr:row>93</xdr:row>
      <xdr:rowOff>38100</xdr:rowOff>
    </xdr:to>
    <xdr:pic>
      <xdr:nvPicPr>
        <xdr:cNvPr id="3758" name="Picture 7" descr=" ">
          <a:extLst>
            <a:ext uri="{FF2B5EF4-FFF2-40B4-BE49-F238E27FC236}">
              <a16:creationId xmlns:a16="http://schemas.microsoft.com/office/drawing/2014/main" id="{6CDA3995-4023-4F82-B174-FD1A5B56E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5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</xdr:colOff>
      <xdr:row>93</xdr:row>
      <xdr:rowOff>38100</xdr:rowOff>
    </xdr:to>
    <xdr:pic>
      <xdr:nvPicPr>
        <xdr:cNvPr id="3759" name="Picture 8" descr=" ">
          <a:extLst>
            <a:ext uri="{FF2B5EF4-FFF2-40B4-BE49-F238E27FC236}">
              <a16:creationId xmlns:a16="http://schemas.microsoft.com/office/drawing/2014/main" id="{A13FFA47-B707-4516-8C72-2B27BD78C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5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</xdr:colOff>
      <xdr:row>93</xdr:row>
      <xdr:rowOff>38100</xdr:rowOff>
    </xdr:to>
    <xdr:pic>
      <xdr:nvPicPr>
        <xdr:cNvPr id="3760" name="Picture 9" descr=" ">
          <a:extLst>
            <a:ext uri="{FF2B5EF4-FFF2-40B4-BE49-F238E27FC236}">
              <a16:creationId xmlns:a16="http://schemas.microsoft.com/office/drawing/2014/main" id="{FC2258A5-C4F2-4AB3-A7F7-4F1A34E9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5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</xdr:colOff>
      <xdr:row>93</xdr:row>
      <xdr:rowOff>38100</xdr:rowOff>
    </xdr:to>
    <xdr:pic>
      <xdr:nvPicPr>
        <xdr:cNvPr id="3761" name="Picture 10" descr=" ">
          <a:extLst>
            <a:ext uri="{FF2B5EF4-FFF2-40B4-BE49-F238E27FC236}">
              <a16:creationId xmlns:a16="http://schemas.microsoft.com/office/drawing/2014/main" id="{AD0051FF-27D4-4F18-9670-558C9260E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5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</xdr:colOff>
      <xdr:row>93</xdr:row>
      <xdr:rowOff>38100</xdr:rowOff>
    </xdr:to>
    <xdr:pic>
      <xdr:nvPicPr>
        <xdr:cNvPr id="3762" name="Picture 11" descr=" ">
          <a:extLst>
            <a:ext uri="{FF2B5EF4-FFF2-40B4-BE49-F238E27FC236}">
              <a16:creationId xmlns:a16="http://schemas.microsoft.com/office/drawing/2014/main" id="{678BF9D8-34FE-4FEA-B8D4-6F4628B54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5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</xdr:colOff>
      <xdr:row>93</xdr:row>
      <xdr:rowOff>38100</xdr:rowOff>
    </xdr:to>
    <xdr:pic>
      <xdr:nvPicPr>
        <xdr:cNvPr id="3763" name="Picture 12" descr=" ">
          <a:extLst>
            <a:ext uri="{FF2B5EF4-FFF2-40B4-BE49-F238E27FC236}">
              <a16:creationId xmlns:a16="http://schemas.microsoft.com/office/drawing/2014/main" id="{1D9438DC-3E5B-48E3-84ED-0E4C960EA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5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94</xdr:row>
      <xdr:rowOff>38100</xdr:rowOff>
    </xdr:to>
    <xdr:pic>
      <xdr:nvPicPr>
        <xdr:cNvPr id="3764" name="Picture 7" descr=" ">
          <a:extLst>
            <a:ext uri="{FF2B5EF4-FFF2-40B4-BE49-F238E27FC236}">
              <a16:creationId xmlns:a16="http://schemas.microsoft.com/office/drawing/2014/main" id="{0E342C07-A710-4D5A-B210-FF2FB3B0F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94</xdr:row>
      <xdr:rowOff>38100</xdr:rowOff>
    </xdr:to>
    <xdr:pic>
      <xdr:nvPicPr>
        <xdr:cNvPr id="3765" name="Picture 8" descr=" ">
          <a:extLst>
            <a:ext uri="{FF2B5EF4-FFF2-40B4-BE49-F238E27FC236}">
              <a16:creationId xmlns:a16="http://schemas.microsoft.com/office/drawing/2014/main" id="{22AE1B2A-A536-40B7-88BF-EB04CDC6C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94</xdr:row>
      <xdr:rowOff>38100</xdr:rowOff>
    </xdr:to>
    <xdr:pic>
      <xdr:nvPicPr>
        <xdr:cNvPr id="3766" name="Picture 9" descr=" ">
          <a:extLst>
            <a:ext uri="{FF2B5EF4-FFF2-40B4-BE49-F238E27FC236}">
              <a16:creationId xmlns:a16="http://schemas.microsoft.com/office/drawing/2014/main" id="{F64DD162-F0D2-48B3-BC32-D2647C1D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94</xdr:row>
      <xdr:rowOff>38100</xdr:rowOff>
    </xdr:to>
    <xdr:pic>
      <xdr:nvPicPr>
        <xdr:cNvPr id="3767" name="Picture 10" descr=" ">
          <a:extLst>
            <a:ext uri="{FF2B5EF4-FFF2-40B4-BE49-F238E27FC236}">
              <a16:creationId xmlns:a16="http://schemas.microsoft.com/office/drawing/2014/main" id="{0B33F8E2-18D9-444B-8776-60AA1C5F4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94</xdr:row>
      <xdr:rowOff>38100</xdr:rowOff>
    </xdr:to>
    <xdr:pic>
      <xdr:nvPicPr>
        <xdr:cNvPr id="3768" name="Picture 11" descr=" ">
          <a:extLst>
            <a:ext uri="{FF2B5EF4-FFF2-40B4-BE49-F238E27FC236}">
              <a16:creationId xmlns:a16="http://schemas.microsoft.com/office/drawing/2014/main" id="{81385846-F0EB-4401-AF86-9346865281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94</xdr:row>
      <xdr:rowOff>38100</xdr:rowOff>
    </xdr:to>
    <xdr:pic>
      <xdr:nvPicPr>
        <xdr:cNvPr id="3769" name="Picture 12" descr=" ">
          <a:extLst>
            <a:ext uri="{FF2B5EF4-FFF2-40B4-BE49-F238E27FC236}">
              <a16:creationId xmlns:a16="http://schemas.microsoft.com/office/drawing/2014/main" id="{3520A618-C137-4302-BB90-CCD98FE9D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95</xdr:row>
      <xdr:rowOff>38100</xdr:rowOff>
    </xdr:to>
    <xdr:pic>
      <xdr:nvPicPr>
        <xdr:cNvPr id="3770" name="Picture 7" descr=" ">
          <a:extLst>
            <a:ext uri="{FF2B5EF4-FFF2-40B4-BE49-F238E27FC236}">
              <a16:creationId xmlns:a16="http://schemas.microsoft.com/office/drawing/2014/main" id="{BC6DA8B1-FB3C-4379-9EC6-24420AE2C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51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95</xdr:row>
      <xdr:rowOff>38100</xdr:rowOff>
    </xdr:to>
    <xdr:pic>
      <xdr:nvPicPr>
        <xdr:cNvPr id="3771" name="Picture 8" descr=" ">
          <a:extLst>
            <a:ext uri="{FF2B5EF4-FFF2-40B4-BE49-F238E27FC236}">
              <a16:creationId xmlns:a16="http://schemas.microsoft.com/office/drawing/2014/main" id="{EAF50D75-868C-4C63-9B8B-32E00C48E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51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95</xdr:row>
      <xdr:rowOff>38100</xdr:rowOff>
    </xdr:to>
    <xdr:pic>
      <xdr:nvPicPr>
        <xdr:cNvPr id="3772" name="Picture 9" descr=" ">
          <a:extLst>
            <a:ext uri="{FF2B5EF4-FFF2-40B4-BE49-F238E27FC236}">
              <a16:creationId xmlns:a16="http://schemas.microsoft.com/office/drawing/2014/main" id="{EF312984-F4E1-4A10-91FF-C32CE72B2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51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95</xdr:row>
      <xdr:rowOff>38100</xdr:rowOff>
    </xdr:to>
    <xdr:pic>
      <xdr:nvPicPr>
        <xdr:cNvPr id="3773" name="Picture 10" descr=" ">
          <a:extLst>
            <a:ext uri="{FF2B5EF4-FFF2-40B4-BE49-F238E27FC236}">
              <a16:creationId xmlns:a16="http://schemas.microsoft.com/office/drawing/2014/main" id="{6F69BFFC-0FB1-4423-8BE7-8086F2D0E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51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95</xdr:row>
      <xdr:rowOff>38100</xdr:rowOff>
    </xdr:to>
    <xdr:pic>
      <xdr:nvPicPr>
        <xdr:cNvPr id="3774" name="Picture 11" descr=" ">
          <a:extLst>
            <a:ext uri="{FF2B5EF4-FFF2-40B4-BE49-F238E27FC236}">
              <a16:creationId xmlns:a16="http://schemas.microsoft.com/office/drawing/2014/main" id="{E502B33F-057B-42F5-AE82-3B75B139E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51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</xdr:colOff>
      <xdr:row>95</xdr:row>
      <xdr:rowOff>38100</xdr:rowOff>
    </xdr:to>
    <xdr:pic>
      <xdr:nvPicPr>
        <xdr:cNvPr id="3775" name="Picture 12" descr=" ">
          <a:extLst>
            <a:ext uri="{FF2B5EF4-FFF2-40B4-BE49-F238E27FC236}">
              <a16:creationId xmlns:a16="http://schemas.microsoft.com/office/drawing/2014/main" id="{27F7FEAC-AAF1-4AC4-9C68-3FE883D00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51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</xdr:colOff>
      <xdr:row>96</xdr:row>
      <xdr:rowOff>38100</xdr:rowOff>
    </xdr:to>
    <xdr:pic>
      <xdr:nvPicPr>
        <xdr:cNvPr id="3776" name="Picture 7" descr=" ">
          <a:extLst>
            <a:ext uri="{FF2B5EF4-FFF2-40B4-BE49-F238E27FC236}">
              <a16:creationId xmlns:a16="http://schemas.microsoft.com/office/drawing/2014/main" id="{33305649-73AD-4A97-B3F8-CA98E661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34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</xdr:colOff>
      <xdr:row>96</xdr:row>
      <xdr:rowOff>38100</xdr:rowOff>
    </xdr:to>
    <xdr:pic>
      <xdr:nvPicPr>
        <xdr:cNvPr id="3777" name="Picture 8" descr=" ">
          <a:extLst>
            <a:ext uri="{FF2B5EF4-FFF2-40B4-BE49-F238E27FC236}">
              <a16:creationId xmlns:a16="http://schemas.microsoft.com/office/drawing/2014/main" id="{457E123A-F642-4AAC-9FC6-870EA57F4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34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</xdr:colOff>
      <xdr:row>96</xdr:row>
      <xdr:rowOff>38100</xdr:rowOff>
    </xdr:to>
    <xdr:pic>
      <xdr:nvPicPr>
        <xdr:cNvPr id="3778" name="Picture 9" descr=" ">
          <a:extLst>
            <a:ext uri="{FF2B5EF4-FFF2-40B4-BE49-F238E27FC236}">
              <a16:creationId xmlns:a16="http://schemas.microsoft.com/office/drawing/2014/main" id="{3B082B46-280C-4087-A10E-B9A312896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34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</xdr:colOff>
      <xdr:row>96</xdr:row>
      <xdr:rowOff>38100</xdr:rowOff>
    </xdr:to>
    <xdr:pic>
      <xdr:nvPicPr>
        <xdr:cNvPr id="3779" name="Picture 10" descr=" ">
          <a:extLst>
            <a:ext uri="{FF2B5EF4-FFF2-40B4-BE49-F238E27FC236}">
              <a16:creationId xmlns:a16="http://schemas.microsoft.com/office/drawing/2014/main" id="{AF7D8410-DE93-4CF2-8A2B-5B5865E4D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34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</xdr:colOff>
      <xdr:row>96</xdr:row>
      <xdr:rowOff>38100</xdr:rowOff>
    </xdr:to>
    <xdr:pic>
      <xdr:nvPicPr>
        <xdr:cNvPr id="3780" name="Picture 11" descr=" ">
          <a:extLst>
            <a:ext uri="{FF2B5EF4-FFF2-40B4-BE49-F238E27FC236}">
              <a16:creationId xmlns:a16="http://schemas.microsoft.com/office/drawing/2014/main" id="{D00765A8-EA5D-4D95-BD3E-6CA643938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34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</xdr:colOff>
      <xdr:row>96</xdr:row>
      <xdr:rowOff>38100</xdr:rowOff>
    </xdr:to>
    <xdr:pic>
      <xdr:nvPicPr>
        <xdr:cNvPr id="3781" name="Picture 12" descr=" ">
          <a:extLst>
            <a:ext uri="{FF2B5EF4-FFF2-40B4-BE49-F238E27FC236}">
              <a16:creationId xmlns:a16="http://schemas.microsoft.com/office/drawing/2014/main" id="{00D60B1B-E051-4454-8D79-2509697E5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34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</xdr:colOff>
      <xdr:row>97</xdr:row>
      <xdr:rowOff>38100</xdr:rowOff>
    </xdr:to>
    <xdr:pic>
      <xdr:nvPicPr>
        <xdr:cNvPr id="3782" name="Picture 7" descr=" ">
          <a:extLst>
            <a:ext uri="{FF2B5EF4-FFF2-40B4-BE49-F238E27FC236}">
              <a16:creationId xmlns:a16="http://schemas.microsoft.com/office/drawing/2014/main" id="{391E3877-DAD8-4718-B7EF-284399E6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17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</xdr:colOff>
      <xdr:row>97</xdr:row>
      <xdr:rowOff>38100</xdr:rowOff>
    </xdr:to>
    <xdr:pic>
      <xdr:nvPicPr>
        <xdr:cNvPr id="3783" name="Picture 8" descr=" ">
          <a:extLst>
            <a:ext uri="{FF2B5EF4-FFF2-40B4-BE49-F238E27FC236}">
              <a16:creationId xmlns:a16="http://schemas.microsoft.com/office/drawing/2014/main" id="{D106F548-F709-4786-9226-E369E1B40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17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</xdr:colOff>
      <xdr:row>97</xdr:row>
      <xdr:rowOff>38100</xdr:rowOff>
    </xdr:to>
    <xdr:pic>
      <xdr:nvPicPr>
        <xdr:cNvPr id="3784" name="Picture 9" descr=" ">
          <a:extLst>
            <a:ext uri="{FF2B5EF4-FFF2-40B4-BE49-F238E27FC236}">
              <a16:creationId xmlns:a16="http://schemas.microsoft.com/office/drawing/2014/main" id="{2B3E2927-1213-4D93-BF4A-321360DEE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17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</xdr:colOff>
      <xdr:row>97</xdr:row>
      <xdr:rowOff>38100</xdr:rowOff>
    </xdr:to>
    <xdr:pic>
      <xdr:nvPicPr>
        <xdr:cNvPr id="3785" name="Picture 10" descr=" ">
          <a:extLst>
            <a:ext uri="{FF2B5EF4-FFF2-40B4-BE49-F238E27FC236}">
              <a16:creationId xmlns:a16="http://schemas.microsoft.com/office/drawing/2014/main" id="{610D73A3-C4EC-4BB1-BA6A-D8EA6EBA5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17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</xdr:colOff>
      <xdr:row>97</xdr:row>
      <xdr:rowOff>38100</xdr:rowOff>
    </xdr:to>
    <xdr:pic>
      <xdr:nvPicPr>
        <xdr:cNvPr id="3786" name="Picture 11" descr=" ">
          <a:extLst>
            <a:ext uri="{FF2B5EF4-FFF2-40B4-BE49-F238E27FC236}">
              <a16:creationId xmlns:a16="http://schemas.microsoft.com/office/drawing/2014/main" id="{CDA7C5AB-C281-4ADC-811B-D8A62C5F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17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</xdr:colOff>
      <xdr:row>97</xdr:row>
      <xdr:rowOff>38100</xdr:rowOff>
    </xdr:to>
    <xdr:pic>
      <xdr:nvPicPr>
        <xdr:cNvPr id="3787" name="Picture 12" descr=" ">
          <a:extLst>
            <a:ext uri="{FF2B5EF4-FFF2-40B4-BE49-F238E27FC236}">
              <a16:creationId xmlns:a16="http://schemas.microsoft.com/office/drawing/2014/main" id="{C08FA0C5-FA96-4F76-AC82-F6C4DA999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17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3788" name="Picture 7" descr=" ">
          <a:extLst>
            <a:ext uri="{FF2B5EF4-FFF2-40B4-BE49-F238E27FC236}">
              <a16:creationId xmlns:a16="http://schemas.microsoft.com/office/drawing/2014/main" id="{97DBDB84-F0CE-4CE0-B4CD-F9EC65A38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3789" name="Picture 8" descr=" ">
          <a:extLst>
            <a:ext uri="{FF2B5EF4-FFF2-40B4-BE49-F238E27FC236}">
              <a16:creationId xmlns:a16="http://schemas.microsoft.com/office/drawing/2014/main" id="{D1C56017-79DA-4D23-8015-F8D906B13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3790" name="Picture 9" descr=" ">
          <a:extLst>
            <a:ext uri="{FF2B5EF4-FFF2-40B4-BE49-F238E27FC236}">
              <a16:creationId xmlns:a16="http://schemas.microsoft.com/office/drawing/2014/main" id="{D0A46608-41A7-4B78-BED5-E5F2BA262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3791" name="Picture 10" descr=" ">
          <a:extLst>
            <a:ext uri="{FF2B5EF4-FFF2-40B4-BE49-F238E27FC236}">
              <a16:creationId xmlns:a16="http://schemas.microsoft.com/office/drawing/2014/main" id="{1CD358EA-2FF9-4891-B52B-F73980995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3792" name="Picture 11" descr=" ">
          <a:extLst>
            <a:ext uri="{FF2B5EF4-FFF2-40B4-BE49-F238E27FC236}">
              <a16:creationId xmlns:a16="http://schemas.microsoft.com/office/drawing/2014/main" id="{475B8149-EEF2-47BD-852D-27BDEC79B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3793" name="Picture 12" descr=" ">
          <a:extLst>
            <a:ext uri="{FF2B5EF4-FFF2-40B4-BE49-F238E27FC236}">
              <a16:creationId xmlns:a16="http://schemas.microsoft.com/office/drawing/2014/main" id="{177C98B7-27FC-4CAD-A442-C1AFEEDC5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</xdr:colOff>
      <xdr:row>99</xdr:row>
      <xdr:rowOff>38100</xdr:rowOff>
    </xdr:to>
    <xdr:pic>
      <xdr:nvPicPr>
        <xdr:cNvPr id="3794" name="Picture 7" descr=" ">
          <a:extLst>
            <a:ext uri="{FF2B5EF4-FFF2-40B4-BE49-F238E27FC236}">
              <a16:creationId xmlns:a16="http://schemas.microsoft.com/office/drawing/2014/main" id="{14AA3348-04B6-4D3F-BC63-C888A4B44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83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</xdr:colOff>
      <xdr:row>99</xdr:row>
      <xdr:rowOff>38100</xdr:rowOff>
    </xdr:to>
    <xdr:pic>
      <xdr:nvPicPr>
        <xdr:cNvPr id="3795" name="Picture 8" descr=" ">
          <a:extLst>
            <a:ext uri="{FF2B5EF4-FFF2-40B4-BE49-F238E27FC236}">
              <a16:creationId xmlns:a16="http://schemas.microsoft.com/office/drawing/2014/main" id="{E2CEA6A2-EA20-4799-8BFF-29015B493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83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</xdr:colOff>
      <xdr:row>99</xdr:row>
      <xdr:rowOff>38100</xdr:rowOff>
    </xdr:to>
    <xdr:pic>
      <xdr:nvPicPr>
        <xdr:cNvPr id="3796" name="Picture 9" descr=" ">
          <a:extLst>
            <a:ext uri="{FF2B5EF4-FFF2-40B4-BE49-F238E27FC236}">
              <a16:creationId xmlns:a16="http://schemas.microsoft.com/office/drawing/2014/main" id="{4251A734-C69C-4B12-8A76-3B4FA786D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83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</xdr:colOff>
      <xdr:row>99</xdr:row>
      <xdr:rowOff>38100</xdr:rowOff>
    </xdr:to>
    <xdr:pic>
      <xdr:nvPicPr>
        <xdr:cNvPr id="3797" name="Picture 10" descr=" ">
          <a:extLst>
            <a:ext uri="{FF2B5EF4-FFF2-40B4-BE49-F238E27FC236}">
              <a16:creationId xmlns:a16="http://schemas.microsoft.com/office/drawing/2014/main" id="{FD6E02C5-B6DC-4AE0-9DEE-A2D4B1150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83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</xdr:colOff>
      <xdr:row>99</xdr:row>
      <xdr:rowOff>38100</xdr:rowOff>
    </xdr:to>
    <xdr:pic>
      <xdr:nvPicPr>
        <xdr:cNvPr id="3798" name="Picture 11" descr=" ">
          <a:extLst>
            <a:ext uri="{FF2B5EF4-FFF2-40B4-BE49-F238E27FC236}">
              <a16:creationId xmlns:a16="http://schemas.microsoft.com/office/drawing/2014/main" id="{C7B7F86B-AD62-4C34-9F25-552D7F9ED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83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</xdr:colOff>
      <xdr:row>99</xdr:row>
      <xdr:rowOff>38100</xdr:rowOff>
    </xdr:to>
    <xdr:pic>
      <xdr:nvPicPr>
        <xdr:cNvPr id="3799" name="Picture 12" descr=" ">
          <a:extLst>
            <a:ext uri="{FF2B5EF4-FFF2-40B4-BE49-F238E27FC236}">
              <a16:creationId xmlns:a16="http://schemas.microsoft.com/office/drawing/2014/main" id="{14F14FEF-F6D5-4996-AC8A-8433D0118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183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9525</xdr:colOff>
      <xdr:row>100</xdr:row>
      <xdr:rowOff>38100</xdr:rowOff>
    </xdr:to>
    <xdr:pic>
      <xdr:nvPicPr>
        <xdr:cNvPr id="3800" name="Picture 7" descr=" ">
          <a:extLst>
            <a:ext uri="{FF2B5EF4-FFF2-40B4-BE49-F238E27FC236}">
              <a16:creationId xmlns:a16="http://schemas.microsoft.com/office/drawing/2014/main" id="{33C8B9FE-04CD-4A82-8B0B-DF0A74F96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65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9525</xdr:colOff>
      <xdr:row>100</xdr:row>
      <xdr:rowOff>38100</xdr:rowOff>
    </xdr:to>
    <xdr:pic>
      <xdr:nvPicPr>
        <xdr:cNvPr id="3801" name="Picture 8" descr=" ">
          <a:extLst>
            <a:ext uri="{FF2B5EF4-FFF2-40B4-BE49-F238E27FC236}">
              <a16:creationId xmlns:a16="http://schemas.microsoft.com/office/drawing/2014/main" id="{E976BC65-A255-4A2A-A077-CE48B7BCF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65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9525</xdr:colOff>
      <xdr:row>100</xdr:row>
      <xdr:rowOff>38100</xdr:rowOff>
    </xdr:to>
    <xdr:pic>
      <xdr:nvPicPr>
        <xdr:cNvPr id="3802" name="Picture 9" descr=" ">
          <a:extLst>
            <a:ext uri="{FF2B5EF4-FFF2-40B4-BE49-F238E27FC236}">
              <a16:creationId xmlns:a16="http://schemas.microsoft.com/office/drawing/2014/main" id="{20DA643C-FA79-46B3-BAF4-93C3DCC45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65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9525</xdr:colOff>
      <xdr:row>100</xdr:row>
      <xdr:rowOff>38100</xdr:rowOff>
    </xdr:to>
    <xdr:pic>
      <xdr:nvPicPr>
        <xdr:cNvPr id="3803" name="Picture 10" descr=" ">
          <a:extLst>
            <a:ext uri="{FF2B5EF4-FFF2-40B4-BE49-F238E27FC236}">
              <a16:creationId xmlns:a16="http://schemas.microsoft.com/office/drawing/2014/main" id="{DD6170FE-AD43-4F52-AF43-772E31D35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65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9525</xdr:colOff>
      <xdr:row>100</xdr:row>
      <xdr:rowOff>38100</xdr:rowOff>
    </xdr:to>
    <xdr:pic>
      <xdr:nvPicPr>
        <xdr:cNvPr id="3804" name="Picture 11" descr=" ">
          <a:extLst>
            <a:ext uri="{FF2B5EF4-FFF2-40B4-BE49-F238E27FC236}">
              <a16:creationId xmlns:a16="http://schemas.microsoft.com/office/drawing/2014/main" id="{262F7A36-D850-4F19-84B7-F23351B35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65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9525</xdr:colOff>
      <xdr:row>100</xdr:row>
      <xdr:rowOff>38100</xdr:rowOff>
    </xdr:to>
    <xdr:pic>
      <xdr:nvPicPr>
        <xdr:cNvPr id="3805" name="Picture 12" descr=" ">
          <a:extLst>
            <a:ext uri="{FF2B5EF4-FFF2-40B4-BE49-F238E27FC236}">
              <a16:creationId xmlns:a16="http://schemas.microsoft.com/office/drawing/2014/main" id="{60209C0B-26A3-4B7D-8604-66ECE080C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65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9525</xdr:colOff>
      <xdr:row>101</xdr:row>
      <xdr:rowOff>38100</xdr:rowOff>
    </xdr:to>
    <xdr:pic>
      <xdr:nvPicPr>
        <xdr:cNvPr id="3806" name="Picture 7" descr=" ">
          <a:extLst>
            <a:ext uri="{FF2B5EF4-FFF2-40B4-BE49-F238E27FC236}">
              <a16:creationId xmlns:a16="http://schemas.microsoft.com/office/drawing/2014/main" id="{DC45CF0F-7843-4F3C-ACD8-28EBD6447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8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9525</xdr:colOff>
      <xdr:row>101</xdr:row>
      <xdr:rowOff>38100</xdr:rowOff>
    </xdr:to>
    <xdr:pic>
      <xdr:nvPicPr>
        <xdr:cNvPr id="3807" name="Picture 8" descr=" ">
          <a:extLst>
            <a:ext uri="{FF2B5EF4-FFF2-40B4-BE49-F238E27FC236}">
              <a16:creationId xmlns:a16="http://schemas.microsoft.com/office/drawing/2014/main" id="{6FA1295C-ED70-4F5C-8585-511365635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8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9525</xdr:colOff>
      <xdr:row>101</xdr:row>
      <xdr:rowOff>38100</xdr:rowOff>
    </xdr:to>
    <xdr:pic>
      <xdr:nvPicPr>
        <xdr:cNvPr id="3808" name="Picture 9" descr=" ">
          <a:extLst>
            <a:ext uri="{FF2B5EF4-FFF2-40B4-BE49-F238E27FC236}">
              <a16:creationId xmlns:a16="http://schemas.microsoft.com/office/drawing/2014/main" id="{645E9685-089D-4B48-B933-187905EF3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8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9525</xdr:colOff>
      <xdr:row>101</xdr:row>
      <xdr:rowOff>38100</xdr:rowOff>
    </xdr:to>
    <xdr:pic>
      <xdr:nvPicPr>
        <xdr:cNvPr id="3809" name="Picture 10" descr=" ">
          <a:extLst>
            <a:ext uri="{FF2B5EF4-FFF2-40B4-BE49-F238E27FC236}">
              <a16:creationId xmlns:a16="http://schemas.microsoft.com/office/drawing/2014/main" id="{D9F21808-C459-4BF1-A692-D2C402FC0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8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9525</xdr:colOff>
      <xdr:row>101</xdr:row>
      <xdr:rowOff>38100</xdr:rowOff>
    </xdr:to>
    <xdr:pic>
      <xdr:nvPicPr>
        <xdr:cNvPr id="3810" name="Picture 11" descr=" ">
          <a:extLst>
            <a:ext uri="{FF2B5EF4-FFF2-40B4-BE49-F238E27FC236}">
              <a16:creationId xmlns:a16="http://schemas.microsoft.com/office/drawing/2014/main" id="{752BDDFE-9D15-4773-A0E1-1ECA38769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8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9525</xdr:colOff>
      <xdr:row>101</xdr:row>
      <xdr:rowOff>38100</xdr:rowOff>
    </xdr:to>
    <xdr:pic>
      <xdr:nvPicPr>
        <xdr:cNvPr id="3811" name="Picture 12" descr=" ">
          <a:extLst>
            <a:ext uri="{FF2B5EF4-FFF2-40B4-BE49-F238E27FC236}">
              <a16:creationId xmlns:a16="http://schemas.microsoft.com/office/drawing/2014/main" id="{C98756B1-80D4-4647-A698-0C0D14605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8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</xdr:colOff>
      <xdr:row>102</xdr:row>
      <xdr:rowOff>38100</xdr:rowOff>
    </xdr:to>
    <xdr:pic>
      <xdr:nvPicPr>
        <xdr:cNvPr id="3812" name="Picture 7" descr=" ">
          <a:extLst>
            <a:ext uri="{FF2B5EF4-FFF2-40B4-BE49-F238E27FC236}">
              <a16:creationId xmlns:a16="http://schemas.microsoft.com/office/drawing/2014/main" id="{828EA100-EA83-44DB-9267-BA3D2108D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31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</xdr:colOff>
      <xdr:row>102</xdr:row>
      <xdr:rowOff>38100</xdr:rowOff>
    </xdr:to>
    <xdr:pic>
      <xdr:nvPicPr>
        <xdr:cNvPr id="3813" name="Picture 8" descr=" ">
          <a:extLst>
            <a:ext uri="{FF2B5EF4-FFF2-40B4-BE49-F238E27FC236}">
              <a16:creationId xmlns:a16="http://schemas.microsoft.com/office/drawing/2014/main" id="{1A2A52E9-AEBD-4DE1-AF48-CB686FE6C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31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</xdr:colOff>
      <xdr:row>102</xdr:row>
      <xdr:rowOff>38100</xdr:rowOff>
    </xdr:to>
    <xdr:pic>
      <xdr:nvPicPr>
        <xdr:cNvPr id="3814" name="Picture 9" descr=" ">
          <a:extLst>
            <a:ext uri="{FF2B5EF4-FFF2-40B4-BE49-F238E27FC236}">
              <a16:creationId xmlns:a16="http://schemas.microsoft.com/office/drawing/2014/main" id="{7334FC2E-D83C-45FE-B3F5-F386421E5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31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</xdr:colOff>
      <xdr:row>102</xdr:row>
      <xdr:rowOff>38100</xdr:rowOff>
    </xdr:to>
    <xdr:pic>
      <xdr:nvPicPr>
        <xdr:cNvPr id="3815" name="Picture 10" descr=" ">
          <a:extLst>
            <a:ext uri="{FF2B5EF4-FFF2-40B4-BE49-F238E27FC236}">
              <a16:creationId xmlns:a16="http://schemas.microsoft.com/office/drawing/2014/main" id="{6893A631-6EC6-4438-8B1F-0932504CB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31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</xdr:colOff>
      <xdr:row>102</xdr:row>
      <xdr:rowOff>38100</xdr:rowOff>
    </xdr:to>
    <xdr:pic>
      <xdr:nvPicPr>
        <xdr:cNvPr id="3816" name="Picture 11" descr=" ">
          <a:extLst>
            <a:ext uri="{FF2B5EF4-FFF2-40B4-BE49-F238E27FC236}">
              <a16:creationId xmlns:a16="http://schemas.microsoft.com/office/drawing/2014/main" id="{BC611C76-5C43-48F6-92AE-4318103F1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31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</xdr:colOff>
      <xdr:row>102</xdr:row>
      <xdr:rowOff>38100</xdr:rowOff>
    </xdr:to>
    <xdr:pic>
      <xdr:nvPicPr>
        <xdr:cNvPr id="3817" name="Picture 12" descr=" ">
          <a:extLst>
            <a:ext uri="{FF2B5EF4-FFF2-40B4-BE49-F238E27FC236}">
              <a16:creationId xmlns:a16="http://schemas.microsoft.com/office/drawing/2014/main" id="{C1C6A0DE-CEE5-4939-B34C-CAE0D75A0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31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</xdr:colOff>
      <xdr:row>103</xdr:row>
      <xdr:rowOff>38100</xdr:rowOff>
    </xdr:to>
    <xdr:pic>
      <xdr:nvPicPr>
        <xdr:cNvPr id="3818" name="Picture 7" descr=" ">
          <a:extLst>
            <a:ext uri="{FF2B5EF4-FFF2-40B4-BE49-F238E27FC236}">
              <a16:creationId xmlns:a16="http://schemas.microsoft.com/office/drawing/2014/main" id="{F7C8FCA9-BCB6-4F34-AF6D-FAEE3740E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14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</xdr:colOff>
      <xdr:row>103</xdr:row>
      <xdr:rowOff>38100</xdr:rowOff>
    </xdr:to>
    <xdr:pic>
      <xdr:nvPicPr>
        <xdr:cNvPr id="3819" name="Picture 8" descr=" ">
          <a:extLst>
            <a:ext uri="{FF2B5EF4-FFF2-40B4-BE49-F238E27FC236}">
              <a16:creationId xmlns:a16="http://schemas.microsoft.com/office/drawing/2014/main" id="{C924C1BD-AB5F-40FA-BCCA-447CFFEF7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14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</xdr:colOff>
      <xdr:row>103</xdr:row>
      <xdr:rowOff>38100</xdr:rowOff>
    </xdr:to>
    <xdr:pic>
      <xdr:nvPicPr>
        <xdr:cNvPr id="3820" name="Picture 9" descr=" ">
          <a:extLst>
            <a:ext uri="{FF2B5EF4-FFF2-40B4-BE49-F238E27FC236}">
              <a16:creationId xmlns:a16="http://schemas.microsoft.com/office/drawing/2014/main" id="{3D767E97-8FAF-4213-A2B4-E4E414623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14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</xdr:colOff>
      <xdr:row>103</xdr:row>
      <xdr:rowOff>38100</xdr:rowOff>
    </xdr:to>
    <xdr:pic>
      <xdr:nvPicPr>
        <xdr:cNvPr id="3821" name="Picture 10" descr=" ">
          <a:extLst>
            <a:ext uri="{FF2B5EF4-FFF2-40B4-BE49-F238E27FC236}">
              <a16:creationId xmlns:a16="http://schemas.microsoft.com/office/drawing/2014/main" id="{FA438BD2-83E3-47CB-B518-C0EAD070B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14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</xdr:colOff>
      <xdr:row>103</xdr:row>
      <xdr:rowOff>38100</xdr:rowOff>
    </xdr:to>
    <xdr:pic>
      <xdr:nvPicPr>
        <xdr:cNvPr id="3822" name="Picture 11" descr=" ">
          <a:extLst>
            <a:ext uri="{FF2B5EF4-FFF2-40B4-BE49-F238E27FC236}">
              <a16:creationId xmlns:a16="http://schemas.microsoft.com/office/drawing/2014/main" id="{F8BC42AF-AA1E-4D0F-9F57-243DB5387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14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</xdr:colOff>
      <xdr:row>103</xdr:row>
      <xdr:rowOff>38100</xdr:rowOff>
    </xdr:to>
    <xdr:pic>
      <xdr:nvPicPr>
        <xdr:cNvPr id="3823" name="Picture 12" descr=" ">
          <a:extLst>
            <a:ext uri="{FF2B5EF4-FFF2-40B4-BE49-F238E27FC236}">
              <a16:creationId xmlns:a16="http://schemas.microsoft.com/office/drawing/2014/main" id="{0E7156EE-C379-4ADD-B1AD-B09562D3C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14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9525</xdr:colOff>
      <xdr:row>104</xdr:row>
      <xdr:rowOff>38100</xdr:rowOff>
    </xdr:to>
    <xdr:pic>
      <xdr:nvPicPr>
        <xdr:cNvPr id="3824" name="Picture 7" descr=" ">
          <a:extLst>
            <a:ext uri="{FF2B5EF4-FFF2-40B4-BE49-F238E27FC236}">
              <a16:creationId xmlns:a16="http://schemas.microsoft.com/office/drawing/2014/main" id="{F3A6581B-115E-4964-BC15-A46FF562C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9525</xdr:colOff>
      <xdr:row>104</xdr:row>
      <xdr:rowOff>38100</xdr:rowOff>
    </xdr:to>
    <xdr:pic>
      <xdr:nvPicPr>
        <xdr:cNvPr id="3825" name="Picture 8" descr=" ">
          <a:extLst>
            <a:ext uri="{FF2B5EF4-FFF2-40B4-BE49-F238E27FC236}">
              <a16:creationId xmlns:a16="http://schemas.microsoft.com/office/drawing/2014/main" id="{4D11AF65-5333-4E54-8F91-04A7AF7DF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9525</xdr:colOff>
      <xdr:row>104</xdr:row>
      <xdr:rowOff>38100</xdr:rowOff>
    </xdr:to>
    <xdr:pic>
      <xdr:nvPicPr>
        <xdr:cNvPr id="3826" name="Picture 9" descr=" ">
          <a:extLst>
            <a:ext uri="{FF2B5EF4-FFF2-40B4-BE49-F238E27FC236}">
              <a16:creationId xmlns:a16="http://schemas.microsoft.com/office/drawing/2014/main" id="{3F594C89-7691-438F-8510-8708E0033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9525</xdr:colOff>
      <xdr:row>104</xdr:row>
      <xdr:rowOff>38100</xdr:rowOff>
    </xdr:to>
    <xdr:pic>
      <xdr:nvPicPr>
        <xdr:cNvPr id="3827" name="Picture 10" descr=" ">
          <a:extLst>
            <a:ext uri="{FF2B5EF4-FFF2-40B4-BE49-F238E27FC236}">
              <a16:creationId xmlns:a16="http://schemas.microsoft.com/office/drawing/2014/main" id="{E9352934-4525-4C25-8F3A-06ECF6978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9525</xdr:colOff>
      <xdr:row>104</xdr:row>
      <xdr:rowOff>38100</xdr:rowOff>
    </xdr:to>
    <xdr:pic>
      <xdr:nvPicPr>
        <xdr:cNvPr id="3828" name="Picture 11" descr=" ">
          <a:extLst>
            <a:ext uri="{FF2B5EF4-FFF2-40B4-BE49-F238E27FC236}">
              <a16:creationId xmlns:a16="http://schemas.microsoft.com/office/drawing/2014/main" id="{5E0C2674-90FC-4DB0-AC75-2CAC17B8E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9525</xdr:colOff>
      <xdr:row>104</xdr:row>
      <xdr:rowOff>38100</xdr:rowOff>
    </xdr:to>
    <xdr:pic>
      <xdr:nvPicPr>
        <xdr:cNvPr id="3829" name="Picture 12" descr=" ">
          <a:extLst>
            <a:ext uri="{FF2B5EF4-FFF2-40B4-BE49-F238E27FC236}">
              <a16:creationId xmlns:a16="http://schemas.microsoft.com/office/drawing/2014/main" id="{5CDF97E2-2CDB-4104-A86A-15BAF2BB3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97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</xdr:colOff>
      <xdr:row>105</xdr:row>
      <xdr:rowOff>38100</xdr:rowOff>
    </xdr:to>
    <xdr:pic>
      <xdr:nvPicPr>
        <xdr:cNvPr id="3830" name="Picture 7" descr=" ">
          <a:extLst>
            <a:ext uri="{FF2B5EF4-FFF2-40B4-BE49-F238E27FC236}">
              <a16:creationId xmlns:a16="http://schemas.microsoft.com/office/drawing/2014/main" id="{A7612466-9C86-46AE-87CA-D1270473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80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</xdr:colOff>
      <xdr:row>105</xdr:row>
      <xdr:rowOff>38100</xdr:rowOff>
    </xdr:to>
    <xdr:pic>
      <xdr:nvPicPr>
        <xdr:cNvPr id="3831" name="Picture 8" descr=" ">
          <a:extLst>
            <a:ext uri="{FF2B5EF4-FFF2-40B4-BE49-F238E27FC236}">
              <a16:creationId xmlns:a16="http://schemas.microsoft.com/office/drawing/2014/main" id="{F3A85B03-52D3-468B-9377-BDB2F8F6F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80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</xdr:colOff>
      <xdr:row>105</xdr:row>
      <xdr:rowOff>38100</xdr:rowOff>
    </xdr:to>
    <xdr:pic>
      <xdr:nvPicPr>
        <xdr:cNvPr id="3832" name="Picture 9" descr=" ">
          <a:extLst>
            <a:ext uri="{FF2B5EF4-FFF2-40B4-BE49-F238E27FC236}">
              <a16:creationId xmlns:a16="http://schemas.microsoft.com/office/drawing/2014/main" id="{8636167C-2169-4A8C-888E-E63E69BC0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80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</xdr:colOff>
      <xdr:row>105</xdr:row>
      <xdr:rowOff>38100</xdr:rowOff>
    </xdr:to>
    <xdr:pic>
      <xdr:nvPicPr>
        <xdr:cNvPr id="3833" name="Picture 10" descr=" ">
          <a:extLst>
            <a:ext uri="{FF2B5EF4-FFF2-40B4-BE49-F238E27FC236}">
              <a16:creationId xmlns:a16="http://schemas.microsoft.com/office/drawing/2014/main" id="{A235FFCB-6581-44FF-8F6B-509A06D52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80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</xdr:colOff>
      <xdr:row>105</xdr:row>
      <xdr:rowOff>38100</xdr:rowOff>
    </xdr:to>
    <xdr:pic>
      <xdr:nvPicPr>
        <xdr:cNvPr id="3834" name="Picture 11" descr=" ">
          <a:extLst>
            <a:ext uri="{FF2B5EF4-FFF2-40B4-BE49-F238E27FC236}">
              <a16:creationId xmlns:a16="http://schemas.microsoft.com/office/drawing/2014/main" id="{5CA38235-5722-4D35-8A1E-EB214E841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80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</xdr:colOff>
      <xdr:row>105</xdr:row>
      <xdr:rowOff>38100</xdr:rowOff>
    </xdr:to>
    <xdr:pic>
      <xdr:nvPicPr>
        <xdr:cNvPr id="3835" name="Picture 12" descr=" ">
          <a:extLst>
            <a:ext uri="{FF2B5EF4-FFF2-40B4-BE49-F238E27FC236}">
              <a16:creationId xmlns:a16="http://schemas.microsoft.com/office/drawing/2014/main" id="{06323FA1-AB54-4EE6-8C1D-53A051F79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280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9525</xdr:colOff>
      <xdr:row>106</xdr:row>
      <xdr:rowOff>38100</xdr:rowOff>
    </xdr:to>
    <xdr:pic>
      <xdr:nvPicPr>
        <xdr:cNvPr id="3836" name="Picture 7" descr=" ">
          <a:extLst>
            <a:ext uri="{FF2B5EF4-FFF2-40B4-BE49-F238E27FC236}">
              <a16:creationId xmlns:a16="http://schemas.microsoft.com/office/drawing/2014/main" id="{7A9C3E45-DDF7-44FD-9AAB-3C4D7CBBC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63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9525</xdr:colOff>
      <xdr:row>106</xdr:row>
      <xdr:rowOff>38100</xdr:rowOff>
    </xdr:to>
    <xdr:pic>
      <xdr:nvPicPr>
        <xdr:cNvPr id="3837" name="Picture 8" descr=" ">
          <a:extLst>
            <a:ext uri="{FF2B5EF4-FFF2-40B4-BE49-F238E27FC236}">
              <a16:creationId xmlns:a16="http://schemas.microsoft.com/office/drawing/2014/main" id="{8CF0D8CB-E4EE-4492-BE4C-C28FC38FE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63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9525</xdr:colOff>
      <xdr:row>106</xdr:row>
      <xdr:rowOff>38100</xdr:rowOff>
    </xdr:to>
    <xdr:pic>
      <xdr:nvPicPr>
        <xdr:cNvPr id="3838" name="Picture 9" descr=" ">
          <a:extLst>
            <a:ext uri="{FF2B5EF4-FFF2-40B4-BE49-F238E27FC236}">
              <a16:creationId xmlns:a16="http://schemas.microsoft.com/office/drawing/2014/main" id="{13FFCFBE-C598-44A8-8CED-E1AC078F3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63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9525</xdr:colOff>
      <xdr:row>106</xdr:row>
      <xdr:rowOff>38100</xdr:rowOff>
    </xdr:to>
    <xdr:pic>
      <xdr:nvPicPr>
        <xdr:cNvPr id="3839" name="Picture 10" descr=" ">
          <a:extLst>
            <a:ext uri="{FF2B5EF4-FFF2-40B4-BE49-F238E27FC236}">
              <a16:creationId xmlns:a16="http://schemas.microsoft.com/office/drawing/2014/main" id="{455A076E-AED4-4729-88F8-6C1C581F6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63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9525</xdr:colOff>
      <xdr:row>106</xdr:row>
      <xdr:rowOff>38100</xdr:rowOff>
    </xdr:to>
    <xdr:pic>
      <xdr:nvPicPr>
        <xdr:cNvPr id="3840" name="Picture 11" descr=" ">
          <a:extLst>
            <a:ext uri="{FF2B5EF4-FFF2-40B4-BE49-F238E27FC236}">
              <a16:creationId xmlns:a16="http://schemas.microsoft.com/office/drawing/2014/main" id="{D23D2625-6EC9-45DF-87E9-0497C1E08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63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9525</xdr:colOff>
      <xdr:row>106</xdr:row>
      <xdr:rowOff>38100</xdr:rowOff>
    </xdr:to>
    <xdr:pic>
      <xdr:nvPicPr>
        <xdr:cNvPr id="3841" name="Picture 12" descr=" ">
          <a:extLst>
            <a:ext uri="{FF2B5EF4-FFF2-40B4-BE49-F238E27FC236}">
              <a16:creationId xmlns:a16="http://schemas.microsoft.com/office/drawing/2014/main" id="{C02333F8-7BAD-4BD4-BB8C-7067445F1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63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</xdr:colOff>
      <xdr:row>107</xdr:row>
      <xdr:rowOff>38100</xdr:rowOff>
    </xdr:to>
    <xdr:pic>
      <xdr:nvPicPr>
        <xdr:cNvPr id="3842" name="Picture 7" descr=" ">
          <a:extLst>
            <a:ext uri="{FF2B5EF4-FFF2-40B4-BE49-F238E27FC236}">
              <a16:creationId xmlns:a16="http://schemas.microsoft.com/office/drawing/2014/main" id="{E55EC9AE-87B8-485E-9630-3DEAD2CD3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46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</xdr:colOff>
      <xdr:row>107</xdr:row>
      <xdr:rowOff>38100</xdr:rowOff>
    </xdr:to>
    <xdr:pic>
      <xdr:nvPicPr>
        <xdr:cNvPr id="3843" name="Picture 8" descr=" ">
          <a:extLst>
            <a:ext uri="{FF2B5EF4-FFF2-40B4-BE49-F238E27FC236}">
              <a16:creationId xmlns:a16="http://schemas.microsoft.com/office/drawing/2014/main" id="{BAA2EE5F-5CB2-4417-BD21-CA916E413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46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</xdr:colOff>
      <xdr:row>107</xdr:row>
      <xdr:rowOff>38100</xdr:rowOff>
    </xdr:to>
    <xdr:pic>
      <xdr:nvPicPr>
        <xdr:cNvPr id="3844" name="Picture 9" descr=" ">
          <a:extLst>
            <a:ext uri="{FF2B5EF4-FFF2-40B4-BE49-F238E27FC236}">
              <a16:creationId xmlns:a16="http://schemas.microsoft.com/office/drawing/2014/main" id="{1F473ED0-7197-4F52-B850-8F2DF9EEE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46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</xdr:colOff>
      <xdr:row>107</xdr:row>
      <xdr:rowOff>38100</xdr:rowOff>
    </xdr:to>
    <xdr:pic>
      <xdr:nvPicPr>
        <xdr:cNvPr id="3845" name="Picture 10" descr=" ">
          <a:extLst>
            <a:ext uri="{FF2B5EF4-FFF2-40B4-BE49-F238E27FC236}">
              <a16:creationId xmlns:a16="http://schemas.microsoft.com/office/drawing/2014/main" id="{34F613FA-1C74-4876-847C-C37F11F01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46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</xdr:colOff>
      <xdr:row>107</xdr:row>
      <xdr:rowOff>38100</xdr:rowOff>
    </xdr:to>
    <xdr:pic>
      <xdr:nvPicPr>
        <xdr:cNvPr id="3846" name="Picture 11" descr=" ">
          <a:extLst>
            <a:ext uri="{FF2B5EF4-FFF2-40B4-BE49-F238E27FC236}">
              <a16:creationId xmlns:a16="http://schemas.microsoft.com/office/drawing/2014/main" id="{EAD73506-0609-45F8-9FDF-0AA8438A5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46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</xdr:colOff>
      <xdr:row>107</xdr:row>
      <xdr:rowOff>38100</xdr:rowOff>
    </xdr:to>
    <xdr:pic>
      <xdr:nvPicPr>
        <xdr:cNvPr id="3847" name="Picture 12" descr=" ">
          <a:extLst>
            <a:ext uri="{FF2B5EF4-FFF2-40B4-BE49-F238E27FC236}">
              <a16:creationId xmlns:a16="http://schemas.microsoft.com/office/drawing/2014/main" id="{68925D2C-EC59-4217-98BD-452FE0B65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46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</xdr:colOff>
      <xdr:row>108</xdr:row>
      <xdr:rowOff>38100</xdr:rowOff>
    </xdr:to>
    <xdr:pic>
      <xdr:nvPicPr>
        <xdr:cNvPr id="3848" name="Picture 7" descr=" ">
          <a:extLst>
            <a:ext uri="{FF2B5EF4-FFF2-40B4-BE49-F238E27FC236}">
              <a16:creationId xmlns:a16="http://schemas.microsoft.com/office/drawing/2014/main" id="{EA45E816-CE08-44B3-9086-6977BDAA6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29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</xdr:colOff>
      <xdr:row>108</xdr:row>
      <xdr:rowOff>38100</xdr:rowOff>
    </xdr:to>
    <xdr:pic>
      <xdr:nvPicPr>
        <xdr:cNvPr id="3849" name="Picture 8" descr=" ">
          <a:extLst>
            <a:ext uri="{FF2B5EF4-FFF2-40B4-BE49-F238E27FC236}">
              <a16:creationId xmlns:a16="http://schemas.microsoft.com/office/drawing/2014/main" id="{B5DC0C13-333B-484F-9EF6-C838B0E49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29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</xdr:colOff>
      <xdr:row>108</xdr:row>
      <xdr:rowOff>38100</xdr:rowOff>
    </xdr:to>
    <xdr:pic>
      <xdr:nvPicPr>
        <xdr:cNvPr id="3850" name="Picture 9" descr=" ">
          <a:extLst>
            <a:ext uri="{FF2B5EF4-FFF2-40B4-BE49-F238E27FC236}">
              <a16:creationId xmlns:a16="http://schemas.microsoft.com/office/drawing/2014/main" id="{6B9728FB-87CA-476D-99F6-0281CF5DD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29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</xdr:colOff>
      <xdr:row>108</xdr:row>
      <xdr:rowOff>38100</xdr:rowOff>
    </xdr:to>
    <xdr:pic>
      <xdr:nvPicPr>
        <xdr:cNvPr id="3851" name="Picture 10" descr=" ">
          <a:extLst>
            <a:ext uri="{FF2B5EF4-FFF2-40B4-BE49-F238E27FC236}">
              <a16:creationId xmlns:a16="http://schemas.microsoft.com/office/drawing/2014/main" id="{8A25577A-5A55-49A3-AE37-E59C64372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29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</xdr:colOff>
      <xdr:row>108</xdr:row>
      <xdr:rowOff>38100</xdr:rowOff>
    </xdr:to>
    <xdr:pic>
      <xdr:nvPicPr>
        <xdr:cNvPr id="3852" name="Picture 11" descr=" ">
          <a:extLst>
            <a:ext uri="{FF2B5EF4-FFF2-40B4-BE49-F238E27FC236}">
              <a16:creationId xmlns:a16="http://schemas.microsoft.com/office/drawing/2014/main" id="{8FC13E2E-18D3-4DB5-8F9F-93D1BC934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29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</xdr:colOff>
      <xdr:row>108</xdr:row>
      <xdr:rowOff>38100</xdr:rowOff>
    </xdr:to>
    <xdr:pic>
      <xdr:nvPicPr>
        <xdr:cNvPr id="3853" name="Picture 12" descr=" ">
          <a:extLst>
            <a:ext uri="{FF2B5EF4-FFF2-40B4-BE49-F238E27FC236}">
              <a16:creationId xmlns:a16="http://schemas.microsoft.com/office/drawing/2014/main" id="{378DFE57-FB8E-4E3D-9B2D-57E8B0180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29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</xdr:colOff>
      <xdr:row>109</xdr:row>
      <xdr:rowOff>38100</xdr:rowOff>
    </xdr:to>
    <xdr:pic>
      <xdr:nvPicPr>
        <xdr:cNvPr id="3854" name="Picture 7" descr=" ">
          <a:extLst>
            <a:ext uri="{FF2B5EF4-FFF2-40B4-BE49-F238E27FC236}">
              <a16:creationId xmlns:a16="http://schemas.microsoft.com/office/drawing/2014/main" id="{9C7D4AB0-E943-41A0-B4CB-3CF84D62F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11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</xdr:colOff>
      <xdr:row>109</xdr:row>
      <xdr:rowOff>38100</xdr:rowOff>
    </xdr:to>
    <xdr:pic>
      <xdr:nvPicPr>
        <xdr:cNvPr id="3855" name="Picture 8" descr=" ">
          <a:extLst>
            <a:ext uri="{FF2B5EF4-FFF2-40B4-BE49-F238E27FC236}">
              <a16:creationId xmlns:a16="http://schemas.microsoft.com/office/drawing/2014/main" id="{6520DB60-1C33-4D06-A1F5-456903EB7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11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</xdr:colOff>
      <xdr:row>109</xdr:row>
      <xdr:rowOff>38100</xdr:rowOff>
    </xdr:to>
    <xdr:pic>
      <xdr:nvPicPr>
        <xdr:cNvPr id="3856" name="Picture 9" descr=" ">
          <a:extLst>
            <a:ext uri="{FF2B5EF4-FFF2-40B4-BE49-F238E27FC236}">
              <a16:creationId xmlns:a16="http://schemas.microsoft.com/office/drawing/2014/main" id="{A57AB7FE-C0EC-4535-9234-85426A710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11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</xdr:colOff>
      <xdr:row>109</xdr:row>
      <xdr:rowOff>38100</xdr:rowOff>
    </xdr:to>
    <xdr:pic>
      <xdr:nvPicPr>
        <xdr:cNvPr id="3857" name="Picture 10" descr=" ">
          <a:extLst>
            <a:ext uri="{FF2B5EF4-FFF2-40B4-BE49-F238E27FC236}">
              <a16:creationId xmlns:a16="http://schemas.microsoft.com/office/drawing/2014/main" id="{4647D359-4851-450D-ABCC-766A807BD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11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</xdr:colOff>
      <xdr:row>109</xdr:row>
      <xdr:rowOff>38100</xdr:rowOff>
    </xdr:to>
    <xdr:pic>
      <xdr:nvPicPr>
        <xdr:cNvPr id="3858" name="Picture 11" descr=" ">
          <a:extLst>
            <a:ext uri="{FF2B5EF4-FFF2-40B4-BE49-F238E27FC236}">
              <a16:creationId xmlns:a16="http://schemas.microsoft.com/office/drawing/2014/main" id="{AD987312-70D7-45D1-9CD1-2BDB7393A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11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</xdr:colOff>
      <xdr:row>109</xdr:row>
      <xdr:rowOff>38100</xdr:rowOff>
    </xdr:to>
    <xdr:pic>
      <xdr:nvPicPr>
        <xdr:cNvPr id="3859" name="Picture 12" descr=" ">
          <a:extLst>
            <a:ext uri="{FF2B5EF4-FFF2-40B4-BE49-F238E27FC236}">
              <a16:creationId xmlns:a16="http://schemas.microsoft.com/office/drawing/2014/main" id="{B20A8B84-EEB1-48A2-87B0-09B5E1F8C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11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</xdr:colOff>
      <xdr:row>110</xdr:row>
      <xdr:rowOff>38100</xdr:rowOff>
    </xdr:to>
    <xdr:pic>
      <xdr:nvPicPr>
        <xdr:cNvPr id="3860" name="Picture 7" descr=" ">
          <a:extLst>
            <a:ext uri="{FF2B5EF4-FFF2-40B4-BE49-F238E27FC236}">
              <a16:creationId xmlns:a16="http://schemas.microsoft.com/office/drawing/2014/main" id="{7F708FFE-D874-403E-9977-9BE8D2C14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94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</xdr:colOff>
      <xdr:row>110</xdr:row>
      <xdr:rowOff>38100</xdr:rowOff>
    </xdr:to>
    <xdr:pic>
      <xdr:nvPicPr>
        <xdr:cNvPr id="3861" name="Picture 8" descr=" ">
          <a:extLst>
            <a:ext uri="{FF2B5EF4-FFF2-40B4-BE49-F238E27FC236}">
              <a16:creationId xmlns:a16="http://schemas.microsoft.com/office/drawing/2014/main" id="{7D0729C7-6807-4706-A638-610D5192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94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</xdr:colOff>
      <xdr:row>110</xdr:row>
      <xdr:rowOff>38100</xdr:rowOff>
    </xdr:to>
    <xdr:pic>
      <xdr:nvPicPr>
        <xdr:cNvPr id="3862" name="Picture 9" descr=" ">
          <a:extLst>
            <a:ext uri="{FF2B5EF4-FFF2-40B4-BE49-F238E27FC236}">
              <a16:creationId xmlns:a16="http://schemas.microsoft.com/office/drawing/2014/main" id="{D333F6EA-0416-4C3A-A32F-2EC208F89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94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</xdr:colOff>
      <xdr:row>110</xdr:row>
      <xdr:rowOff>38100</xdr:rowOff>
    </xdr:to>
    <xdr:pic>
      <xdr:nvPicPr>
        <xdr:cNvPr id="3863" name="Picture 10" descr=" ">
          <a:extLst>
            <a:ext uri="{FF2B5EF4-FFF2-40B4-BE49-F238E27FC236}">
              <a16:creationId xmlns:a16="http://schemas.microsoft.com/office/drawing/2014/main" id="{CE6CBE63-B200-4D67-ADFD-3E45D8F07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94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</xdr:colOff>
      <xdr:row>110</xdr:row>
      <xdr:rowOff>38100</xdr:rowOff>
    </xdr:to>
    <xdr:pic>
      <xdr:nvPicPr>
        <xdr:cNvPr id="3864" name="Picture 11" descr=" ">
          <a:extLst>
            <a:ext uri="{FF2B5EF4-FFF2-40B4-BE49-F238E27FC236}">
              <a16:creationId xmlns:a16="http://schemas.microsoft.com/office/drawing/2014/main" id="{5977AB03-BFA6-4674-871B-EAC177B0E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94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</xdr:colOff>
      <xdr:row>110</xdr:row>
      <xdr:rowOff>38100</xdr:rowOff>
    </xdr:to>
    <xdr:pic>
      <xdr:nvPicPr>
        <xdr:cNvPr id="3865" name="Picture 12" descr=" ">
          <a:extLst>
            <a:ext uri="{FF2B5EF4-FFF2-40B4-BE49-F238E27FC236}">
              <a16:creationId xmlns:a16="http://schemas.microsoft.com/office/drawing/2014/main" id="{AC82AFF1-F150-4F82-8553-E0C22162F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94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9525</xdr:colOff>
      <xdr:row>111</xdr:row>
      <xdr:rowOff>38100</xdr:rowOff>
    </xdr:to>
    <xdr:pic>
      <xdr:nvPicPr>
        <xdr:cNvPr id="3866" name="Picture 7" descr=" ">
          <a:extLst>
            <a:ext uri="{FF2B5EF4-FFF2-40B4-BE49-F238E27FC236}">
              <a16:creationId xmlns:a16="http://schemas.microsoft.com/office/drawing/2014/main" id="{D2A2AF2D-C601-48B0-BE0E-2639D7A92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7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9525</xdr:colOff>
      <xdr:row>111</xdr:row>
      <xdr:rowOff>38100</xdr:rowOff>
    </xdr:to>
    <xdr:pic>
      <xdr:nvPicPr>
        <xdr:cNvPr id="3867" name="Picture 8" descr=" ">
          <a:extLst>
            <a:ext uri="{FF2B5EF4-FFF2-40B4-BE49-F238E27FC236}">
              <a16:creationId xmlns:a16="http://schemas.microsoft.com/office/drawing/2014/main" id="{E7587D88-9ECB-4C25-B39B-8862B6548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7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9525</xdr:colOff>
      <xdr:row>111</xdr:row>
      <xdr:rowOff>38100</xdr:rowOff>
    </xdr:to>
    <xdr:pic>
      <xdr:nvPicPr>
        <xdr:cNvPr id="3868" name="Picture 9" descr=" ">
          <a:extLst>
            <a:ext uri="{FF2B5EF4-FFF2-40B4-BE49-F238E27FC236}">
              <a16:creationId xmlns:a16="http://schemas.microsoft.com/office/drawing/2014/main" id="{8AC3497B-7212-4951-87CD-9F6A3F49F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7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9525</xdr:colOff>
      <xdr:row>111</xdr:row>
      <xdr:rowOff>38100</xdr:rowOff>
    </xdr:to>
    <xdr:pic>
      <xdr:nvPicPr>
        <xdr:cNvPr id="3869" name="Picture 10" descr=" ">
          <a:extLst>
            <a:ext uri="{FF2B5EF4-FFF2-40B4-BE49-F238E27FC236}">
              <a16:creationId xmlns:a16="http://schemas.microsoft.com/office/drawing/2014/main" id="{093CFF0C-8014-4D87-BF73-FCAB45EC6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7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9525</xdr:colOff>
      <xdr:row>111</xdr:row>
      <xdr:rowOff>38100</xdr:rowOff>
    </xdr:to>
    <xdr:pic>
      <xdr:nvPicPr>
        <xdr:cNvPr id="3870" name="Picture 11" descr=" ">
          <a:extLst>
            <a:ext uri="{FF2B5EF4-FFF2-40B4-BE49-F238E27FC236}">
              <a16:creationId xmlns:a16="http://schemas.microsoft.com/office/drawing/2014/main" id="{99E19CBC-6760-4BE2-A0E6-FF218E70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7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9525</xdr:colOff>
      <xdr:row>111</xdr:row>
      <xdr:rowOff>38100</xdr:rowOff>
    </xdr:to>
    <xdr:pic>
      <xdr:nvPicPr>
        <xdr:cNvPr id="3871" name="Picture 12" descr=" ">
          <a:extLst>
            <a:ext uri="{FF2B5EF4-FFF2-40B4-BE49-F238E27FC236}">
              <a16:creationId xmlns:a16="http://schemas.microsoft.com/office/drawing/2014/main" id="{A74CCB41-8FD0-42E6-A3C7-4BD889D89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7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</xdr:colOff>
      <xdr:row>112</xdr:row>
      <xdr:rowOff>38100</xdr:rowOff>
    </xdr:to>
    <xdr:pic>
      <xdr:nvPicPr>
        <xdr:cNvPr id="3872" name="Picture 7" descr=" ">
          <a:extLst>
            <a:ext uri="{FF2B5EF4-FFF2-40B4-BE49-F238E27FC236}">
              <a16:creationId xmlns:a16="http://schemas.microsoft.com/office/drawing/2014/main" id="{91AFB9DF-9418-43D8-95BB-983A06027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60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</xdr:colOff>
      <xdr:row>112</xdr:row>
      <xdr:rowOff>38100</xdr:rowOff>
    </xdr:to>
    <xdr:pic>
      <xdr:nvPicPr>
        <xdr:cNvPr id="3873" name="Picture 8" descr=" ">
          <a:extLst>
            <a:ext uri="{FF2B5EF4-FFF2-40B4-BE49-F238E27FC236}">
              <a16:creationId xmlns:a16="http://schemas.microsoft.com/office/drawing/2014/main" id="{DBB878DB-6662-4E09-A727-EE3DA1CC8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60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</xdr:colOff>
      <xdr:row>112</xdr:row>
      <xdr:rowOff>38100</xdr:rowOff>
    </xdr:to>
    <xdr:pic>
      <xdr:nvPicPr>
        <xdr:cNvPr id="3874" name="Picture 9" descr=" ">
          <a:extLst>
            <a:ext uri="{FF2B5EF4-FFF2-40B4-BE49-F238E27FC236}">
              <a16:creationId xmlns:a16="http://schemas.microsoft.com/office/drawing/2014/main" id="{72611563-549A-4220-A756-F9235533D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60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</xdr:colOff>
      <xdr:row>112</xdr:row>
      <xdr:rowOff>38100</xdr:rowOff>
    </xdr:to>
    <xdr:pic>
      <xdr:nvPicPr>
        <xdr:cNvPr id="3875" name="Picture 10" descr=" ">
          <a:extLst>
            <a:ext uri="{FF2B5EF4-FFF2-40B4-BE49-F238E27FC236}">
              <a16:creationId xmlns:a16="http://schemas.microsoft.com/office/drawing/2014/main" id="{51ABD68D-069E-41DE-9E3D-BE49E6F5E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60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</xdr:colOff>
      <xdr:row>112</xdr:row>
      <xdr:rowOff>38100</xdr:rowOff>
    </xdr:to>
    <xdr:pic>
      <xdr:nvPicPr>
        <xdr:cNvPr id="3876" name="Picture 11" descr=" ">
          <a:extLst>
            <a:ext uri="{FF2B5EF4-FFF2-40B4-BE49-F238E27FC236}">
              <a16:creationId xmlns:a16="http://schemas.microsoft.com/office/drawing/2014/main" id="{68DB1CBE-A0FD-4AB6-A2C1-CBC35776B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60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</xdr:colOff>
      <xdr:row>112</xdr:row>
      <xdr:rowOff>38100</xdr:rowOff>
    </xdr:to>
    <xdr:pic>
      <xdr:nvPicPr>
        <xdr:cNvPr id="3877" name="Picture 12" descr=" ">
          <a:extLst>
            <a:ext uri="{FF2B5EF4-FFF2-40B4-BE49-F238E27FC236}">
              <a16:creationId xmlns:a16="http://schemas.microsoft.com/office/drawing/2014/main" id="{E6E0AFA0-0AA2-4FB9-88F9-A0DFFB0A3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60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</xdr:colOff>
      <xdr:row>138</xdr:row>
      <xdr:rowOff>38100</xdr:rowOff>
    </xdr:to>
    <xdr:pic>
      <xdr:nvPicPr>
        <xdr:cNvPr id="3878" name="Picture 7" descr=" ">
          <a:extLst>
            <a:ext uri="{FF2B5EF4-FFF2-40B4-BE49-F238E27FC236}">
              <a16:creationId xmlns:a16="http://schemas.microsoft.com/office/drawing/2014/main" id="{50EBC92C-2D6B-41E1-8BAE-5D8D56C90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3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</xdr:colOff>
      <xdr:row>138</xdr:row>
      <xdr:rowOff>38100</xdr:rowOff>
    </xdr:to>
    <xdr:pic>
      <xdr:nvPicPr>
        <xdr:cNvPr id="3879" name="Picture 8" descr=" ">
          <a:extLst>
            <a:ext uri="{FF2B5EF4-FFF2-40B4-BE49-F238E27FC236}">
              <a16:creationId xmlns:a16="http://schemas.microsoft.com/office/drawing/2014/main" id="{D7FC491E-EEA5-45CF-808C-A1E1367DE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3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</xdr:colOff>
      <xdr:row>138</xdr:row>
      <xdr:rowOff>38100</xdr:rowOff>
    </xdr:to>
    <xdr:pic>
      <xdr:nvPicPr>
        <xdr:cNvPr id="3880" name="Picture 9" descr=" ">
          <a:extLst>
            <a:ext uri="{FF2B5EF4-FFF2-40B4-BE49-F238E27FC236}">
              <a16:creationId xmlns:a16="http://schemas.microsoft.com/office/drawing/2014/main" id="{87214B61-D2D0-4550-AF00-3ABB89836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3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</xdr:colOff>
      <xdr:row>138</xdr:row>
      <xdr:rowOff>38100</xdr:rowOff>
    </xdr:to>
    <xdr:pic>
      <xdr:nvPicPr>
        <xdr:cNvPr id="3881" name="Picture 10" descr=" ">
          <a:extLst>
            <a:ext uri="{FF2B5EF4-FFF2-40B4-BE49-F238E27FC236}">
              <a16:creationId xmlns:a16="http://schemas.microsoft.com/office/drawing/2014/main" id="{73B85E45-D731-4819-A8E9-298561082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3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</xdr:colOff>
      <xdr:row>138</xdr:row>
      <xdr:rowOff>38100</xdr:rowOff>
    </xdr:to>
    <xdr:pic>
      <xdr:nvPicPr>
        <xdr:cNvPr id="3882" name="Picture 11" descr=" ">
          <a:extLst>
            <a:ext uri="{FF2B5EF4-FFF2-40B4-BE49-F238E27FC236}">
              <a16:creationId xmlns:a16="http://schemas.microsoft.com/office/drawing/2014/main" id="{0729DF16-AAAB-4758-839A-BC12921BB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3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</xdr:colOff>
      <xdr:row>138</xdr:row>
      <xdr:rowOff>38100</xdr:rowOff>
    </xdr:to>
    <xdr:pic>
      <xdr:nvPicPr>
        <xdr:cNvPr id="3883" name="Picture 12" descr=" ">
          <a:extLst>
            <a:ext uri="{FF2B5EF4-FFF2-40B4-BE49-F238E27FC236}">
              <a16:creationId xmlns:a16="http://schemas.microsoft.com/office/drawing/2014/main" id="{0E3FA5F6-036A-48D2-AE23-9409DB29B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3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</xdr:colOff>
      <xdr:row>139</xdr:row>
      <xdr:rowOff>0</xdr:rowOff>
    </xdr:to>
    <xdr:pic>
      <xdr:nvPicPr>
        <xdr:cNvPr id="3884" name="Picture 7" descr=" ">
          <a:extLst>
            <a:ext uri="{FF2B5EF4-FFF2-40B4-BE49-F238E27FC236}">
              <a16:creationId xmlns:a16="http://schemas.microsoft.com/office/drawing/2014/main" id="{7975AA0F-CC0E-45EF-B00E-DE182E0BC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26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</xdr:colOff>
      <xdr:row>139</xdr:row>
      <xdr:rowOff>0</xdr:rowOff>
    </xdr:to>
    <xdr:pic>
      <xdr:nvPicPr>
        <xdr:cNvPr id="3885" name="Picture 8" descr=" ">
          <a:extLst>
            <a:ext uri="{FF2B5EF4-FFF2-40B4-BE49-F238E27FC236}">
              <a16:creationId xmlns:a16="http://schemas.microsoft.com/office/drawing/2014/main" id="{F0A30338-1990-41D4-BE0C-29BD3C80B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26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</xdr:colOff>
      <xdr:row>139</xdr:row>
      <xdr:rowOff>0</xdr:rowOff>
    </xdr:to>
    <xdr:pic>
      <xdr:nvPicPr>
        <xdr:cNvPr id="3886" name="Picture 9" descr=" ">
          <a:extLst>
            <a:ext uri="{FF2B5EF4-FFF2-40B4-BE49-F238E27FC236}">
              <a16:creationId xmlns:a16="http://schemas.microsoft.com/office/drawing/2014/main" id="{2EF2A85C-9068-4601-AE30-60B5A54BD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26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</xdr:colOff>
      <xdr:row>139</xdr:row>
      <xdr:rowOff>0</xdr:rowOff>
    </xdr:to>
    <xdr:pic>
      <xdr:nvPicPr>
        <xdr:cNvPr id="3887" name="Picture 10" descr=" ">
          <a:extLst>
            <a:ext uri="{FF2B5EF4-FFF2-40B4-BE49-F238E27FC236}">
              <a16:creationId xmlns:a16="http://schemas.microsoft.com/office/drawing/2014/main" id="{FA200C3F-1272-47A9-9876-370F5355F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26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</xdr:colOff>
      <xdr:row>139</xdr:row>
      <xdr:rowOff>0</xdr:rowOff>
    </xdr:to>
    <xdr:pic>
      <xdr:nvPicPr>
        <xdr:cNvPr id="3888" name="Picture 11" descr=" ">
          <a:extLst>
            <a:ext uri="{FF2B5EF4-FFF2-40B4-BE49-F238E27FC236}">
              <a16:creationId xmlns:a16="http://schemas.microsoft.com/office/drawing/2014/main" id="{9680D864-C388-4366-B9F6-FF3B26917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26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</xdr:colOff>
      <xdr:row>139</xdr:row>
      <xdr:rowOff>0</xdr:rowOff>
    </xdr:to>
    <xdr:pic>
      <xdr:nvPicPr>
        <xdr:cNvPr id="3889" name="Picture 12" descr=" ">
          <a:extLst>
            <a:ext uri="{FF2B5EF4-FFF2-40B4-BE49-F238E27FC236}">
              <a16:creationId xmlns:a16="http://schemas.microsoft.com/office/drawing/2014/main" id="{F6992C00-768B-4E0E-B36C-3BBCF7199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26300"/>
          <a:ext cx="9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38100</xdr:rowOff>
    </xdr:to>
    <xdr:pic>
      <xdr:nvPicPr>
        <xdr:cNvPr id="3890" name="Picture 7" descr=" ">
          <a:extLst>
            <a:ext uri="{FF2B5EF4-FFF2-40B4-BE49-F238E27FC236}">
              <a16:creationId xmlns:a16="http://schemas.microsoft.com/office/drawing/2014/main" id="{D7921415-44E6-40D5-9F16-B9B5CC825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54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38100</xdr:rowOff>
    </xdr:to>
    <xdr:pic>
      <xdr:nvPicPr>
        <xdr:cNvPr id="3891" name="Picture 8" descr=" ">
          <a:extLst>
            <a:ext uri="{FF2B5EF4-FFF2-40B4-BE49-F238E27FC236}">
              <a16:creationId xmlns:a16="http://schemas.microsoft.com/office/drawing/2014/main" id="{8C88BE7A-889D-42AE-B82E-7974C664E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54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38100</xdr:rowOff>
    </xdr:to>
    <xdr:pic>
      <xdr:nvPicPr>
        <xdr:cNvPr id="3892" name="Picture 9" descr=" ">
          <a:extLst>
            <a:ext uri="{FF2B5EF4-FFF2-40B4-BE49-F238E27FC236}">
              <a16:creationId xmlns:a16="http://schemas.microsoft.com/office/drawing/2014/main" id="{2C91C617-4CE9-44C1-9DD0-92A52B20E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54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38100</xdr:rowOff>
    </xdr:to>
    <xdr:pic>
      <xdr:nvPicPr>
        <xdr:cNvPr id="3893" name="Picture 10" descr=" ">
          <a:extLst>
            <a:ext uri="{FF2B5EF4-FFF2-40B4-BE49-F238E27FC236}">
              <a16:creationId xmlns:a16="http://schemas.microsoft.com/office/drawing/2014/main" id="{322B16C5-1FD0-4686-9963-B2D6D86A1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54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38100</xdr:rowOff>
    </xdr:to>
    <xdr:pic>
      <xdr:nvPicPr>
        <xdr:cNvPr id="3894" name="Picture 11" descr=" ">
          <a:extLst>
            <a:ext uri="{FF2B5EF4-FFF2-40B4-BE49-F238E27FC236}">
              <a16:creationId xmlns:a16="http://schemas.microsoft.com/office/drawing/2014/main" id="{15949109-D4AF-456A-B5E9-03A48E3DC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54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</xdr:colOff>
      <xdr:row>113</xdr:row>
      <xdr:rowOff>38100</xdr:rowOff>
    </xdr:to>
    <xdr:pic>
      <xdr:nvPicPr>
        <xdr:cNvPr id="3895" name="Picture 12" descr=" ">
          <a:extLst>
            <a:ext uri="{FF2B5EF4-FFF2-40B4-BE49-F238E27FC236}">
              <a16:creationId xmlns:a16="http://schemas.microsoft.com/office/drawing/2014/main" id="{5D75D42A-A0B7-44D2-8681-B27AD1C3F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54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</xdr:colOff>
      <xdr:row>114</xdr:row>
      <xdr:rowOff>38100</xdr:rowOff>
    </xdr:to>
    <xdr:pic>
      <xdr:nvPicPr>
        <xdr:cNvPr id="3896" name="Picture 7" descr=" ">
          <a:extLst>
            <a:ext uri="{FF2B5EF4-FFF2-40B4-BE49-F238E27FC236}">
              <a16:creationId xmlns:a16="http://schemas.microsoft.com/office/drawing/2014/main" id="{91A594BB-3C85-49D6-AB30-7CA361DBE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37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</xdr:colOff>
      <xdr:row>114</xdr:row>
      <xdr:rowOff>38100</xdr:rowOff>
    </xdr:to>
    <xdr:pic>
      <xdr:nvPicPr>
        <xdr:cNvPr id="3897" name="Picture 8" descr=" ">
          <a:extLst>
            <a:ext uri="{FF2B5EF4-FFF2-40B4-BE49-F238E27FC236}">
              <a16:creationId xmlns:a16="http://schemas.microsoft.com/office/drawing/2014/main" id="{B7C7D386-74EA-4030-A1CD-040D5C7AF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37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</xdr:colOff>
      <xdr:row>114</xdr:row>
      <xdr:rowOff>38100</xdr:rowOff>
    </xdr:to>
    <xdr:pic>
      <xdr:nvPicPr>
        <xdr:cNvPr id="3898" name="Picture 9" descr=" ">
          <a:extLst>
            <a:ext uri="{FF2B5EF4-FFF2-40B4-BE49-F238E27FC236}">
              <a16:creationId xmlns:a16="http://schemas.microsoft.com/office/drawing/2014/main" id="{FD470D39-7BCE-418B-B4B0-46EED2274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37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</xdr:colOff>
      <xdr:row>114</xdr:row>
      <xdr:rowOff>38100</xdr:rowOff>
    </xdr:to>
    <xdr:pic>
      <xdr:nvPicPr>
        <xdr:cNvPr id="3899" name="Picture 10" descr=" ">
          <a:extLst>
            <a:ext uri="{FF2B5EF4-FFF2-40B4-BE49-F238E27FC236}">
              <a16:creationId xmlns:a16="http://schemas.microsoft.com/office/drawing/2014/main" id="{B3E0CE58-326C-4CEF-AAFA-477EB32FE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37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</xdr:colOff>
      <xdr:row>114</xdr:row>
      <xdr:rowOff>38100</xdr:rowOff>
    </xdr:to>
    <xdr:pic>
      <xdr:nvPicPr>
        <xdr:cNvPr id="3900" name="Picture 11" descr=" ">
          <a:extLst>
            <a:ext uri="{FF2B5EF4-FFF2-40B4-BE49-F238E27FC236}">
              <a16:creationId xmlns:a16="http://schemas.microsoft.com/office/drawing/2014/main" id="{D391C60F-48DA-4CCA-AD66-24ACAA0C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37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</xdr:colOff>
      <xdr:row>114</xdr:row>
      <xdr:rowOff>38100</xdr:rowOff>
    </xdr:to>
    <xdr:pic>
      <xdr:nvPicPr>
        <xdr:cNvPr id="3901" name="Picture 12" descr=" ">
          <a:extLst>
            <a:ext uri="{FF2B5EF4-FFF2-40B4-BE49-F238E27FC236}">
              <a16:creationId xmlns:a16="http://schemas.microsoft.com/office/drawing/2014/main" id="{FD69DA51-13ED-4E32-A3D0-5FF3AD7F4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37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</xdr:colOff>
      <xdr:row>115</xdr:row>
      <xdr:rowOff>38100</xdr:rowOff>
    </xdr:to>
    <xdr:pic>
      <xdr:nvPicPr>
        <xdr:cNvPr id="3902" name="Picture 7" descr=" ">
          <a:extLst>
            <a:ext uri="{FF2B5EF4-FFF2-40B4-BE49-F238E27FC236}">
              <a16:creationId xmlns:a16="http://schemas.microsoft.com/office/drawing/2014/main" id="{1E4D4C1F-6141-4203-9C33-FF78A18D7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20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</xdr:colOff>
      <xdr:row>115</xdr:row>
      <xdr:rowOff>38100</xdr:rowOff>
    </xdr:to>
    <xdr:pic>
      <xdr:nvPicPr>
        <xdr:cNvPr id="3903" name="Picture 8" descr=" ">
          <a:extLst>
            <a:ext uri="{FF2B5EF4-FFF2-40B4-BE49-F238E27FC236}">
              <a16:creationId xmlns:a16="http://schemas.microsoft.com/office/drawing/2014/main" id="{4EFEE482-0EB4-4E37-BE62-D16E98614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20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</xdr:colOff>
      <xdr:row>115</xdr:row>
      <xdr:rowOff>38100</xdr:rowOff>
    </xdr:to>
    <xdr:pic>
      <xdr:nvPicPr>
        <xdr:cNvPr id="3904" name="Picture 9" descr=" ">
          <a:extLst>
            <a:ext uri="{FF2B5EF4-FFF2-40B4-BE49-F238E27FC236}">
              <a16:creationId xmlns:a16="http://schemas.microsoft.com/office/drawing/2014/main" id="{5CFE9EB1-AD96-4A36-B8AA-FAB1B68D7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20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</xdr:colOff>
      <xdr:row>115</xdr:row>
      <xdr:rowOff>38100</xdr:rowOff>
    </xdr:to>
    <xdr:pic>
      <xdr:nvPicPr>
        <xdr:cNvPr id="3905" name="Picture 10" descr=" ">
          <a:extLst>
            <a:ext uri="{FF2B5EF4-FFF2-40B4-BE49-F238E27FC236}">
              <a16:creationId xmlns:a16="http://schemas.microsoft.com/office/drawing/2014/main" id="{F598DBD7-D760-4888-B9F7-07E2DE843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20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</xdr:colOff>
      <xdr:row>115</xdr:row>
      <xdr:rowOff>38100</xdr:rowOff>
    </xdr:to>
    <xdr:pic>
      <xdr:nvPicPr>
        <xdr:cNvPr id="3906" name="Picture 11" descr=" ">
          <a:extLst>
            <a:ext uri="{FF2B5EF4-FFF2-40B4-BE49-F238E27FC236}">
              <a16:creationId xmlns:a16="http://schemas.microsoft.com/office/drawing/2014/main" id="{BD4555EE-F491-4D43-8A97-D82B85237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20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</xdr:colOff>
      <xdr:row>115</xdr:row>
      <xdr:rowOff>38100</xdr:rowOff>
    </xdr:to>
    <xdr:pic>
      <xdr:nvPicPr>
        <xdr:cNvPr id="3907" name="Picture 12" descr=" ">
          <a:extLst>
            <a:ext uri="{FF2B5EF4-FFF2-40B4-BE49-F238E27FC236}">
              <a16:creationId xmlns:a16="http://schemas.microsoft.com/office/drawing/2014/main" id="{B61B5D5D-58CE-47ED-B0BD-986367A77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20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9525</xdr:colOff>
      <xdr:row>116</xdr:row>
      <xdr:rowOff>38100</xdr:rowOff>
    </xdr:to>
    <xdr:pic>
      <xdr:nvPicPr>
        <xdr:cNvPr id="3908" name="Picture 7" descr=" ">
          <a:extLst>
            <a:ext uri="{FF2B5EF4-FFF2-40B4-BE49-F238E27FC236}">
              <a16:creationId xmlns:a16="http://schemas.microsoft.com/office/drawing/2014/main" id="{40E4E98F-2F46-4F07-ABAB-1DF5D9CB5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03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9525</xdr:colOff>
      <xdr:row>116</xdr:row>
      <xdr:rowOff>38100</xdr:rowOff>
    </xdr:to>
    <xdr:pic>
      <xdr:nvPicPr>
        <xdr:cNvPr id="3909" name="Picture 8" descr=" ">
          <a:extLst>
            <a:ext uri="{FF2B5EF4-FFF2-40B4-BE49-F238E27FC236}">
              <a16:creationId xmlns:a16="http://schemas.microsoft.com/office/drawing/2014/main" id="{49151CA3-9330-4A37-9E0D-927BD5EE9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03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9525</xdr:colOff>
      <xdr:row>116</xdr:row>
      <xdr:rowOff>38100</xdr:rowOff>
    </xdr:to>
    <xdr:pic>
      <xdr:nvPicPr>
        <xdr:cNvPr id="3910" name="Picture 9" descr=" ">
          <a:extLst>
            <a:ext uri="{FF2B5EF4-FFF2-40B4-BE49-F238E27FC236}">
              <a16:creationId xmlns:a16="http://schemas.microsoft.com/office/drawing/2014/main" id="{D9533123-453F-45EC-A749-E6646B40D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03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9525</xdr:colOff>
      <xdr:row>116</xdr:row>
      <xdr:rowOff>38100</xdr:rowOff>
    </xdr:to>
    <xdr:pic>
      <xdr:nvPicPr>
        <xdr:cNvPr id="3911" name="Picture 10" descr=" ">
          <a:extLst>
            <a:ext uri="{FF2B5EF4-FFF2-40B4-BE49-F238E27FC236}">
              <a16:creationId xmlns:a16="http://schemas.microsoft.com/office/drawing/2014/main" id="{17A3A108-2735-47F0-9CEF-FA3A15A2B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03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9525</xdr:colOff>
      <xdr:row>116</xdr:row>
      <xdr:rowOff>38100</xdr:rowOff>
    </xdr:to>
    <xdr:pic>
      <xdr:nvPicPr>
        <xdr:cNvPr id="3912" name="Picture 11" descr=" ">
          <a:extLst>
            <a:ext uri="{FF2B5EF4-FFF2-40B4-BE49-F238E27FC236}">
              <a16:creationId xmlns:a16="http://schemas.microsoft.com/office/drawing/2014/main" id="{741055C4-1371-48E8-88C3-3B5ACE49B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03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9525</xdr:colOff>
      <xdr:row>116</xdr:row>
      <xdr:rowOff>38100</xdr:rowOff>
    </xdr:to>
    <xdr:pic>
      <xdr:nvPicPr>
        <xdr:cNvPr id="3913" name="Picture 12" descr=" ">
          <a:extLst>
            <a:ext uri="{FF2B5EF4-FFF2-40B4-BE49-F238E27FC236}">
              <a16:creationId xmlns:a16="http://schemas.microsoft.com/office/drawing/2014/main" id="{72016121-CB36-4153-B08E-ADA13B54D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03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</xdr:colOff>
      <xdr:row>117</xdr:row>
      <xdr:rowOff>38100</xdr:rowOff>
    </xdr:to>
    <xdr:pic>
      <xdr:nvPicPr>
        <xdr:cNvPr id="3914" name="Picture 7" descr=" ">
          <a:extLst>
            <a:ext uri="{FF2B5EF4-FFF2-40B4-BE49-F238E27FC236}">
              <a16:creationId xmlns:a16="http://schemas.microsoft.com/office/drawing/2014/main" id="{F536AA86-4F1B-45E7-8859-22A4895F4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86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</xdr:colOff>
      <xdr:row>117</xdr:row>
      <xdr:rowOff>38100</xdr:rowOff>
    </xdr:to>
    <xdr:pic>
      <xdr:nvPicPr>
        <xdr:cNvPr id="3915" name="Picture 8" descr=" ">
          <a:extLst>
            <a:ext uri="{FF2B5EF4-FFF2-40B4-BE49-F238E27FC236}">
              <a16:creationId xmlns:a16="http://schemas.microsoft.com/office/drawing/2014/main" id="{63668703-F21A-4B24-B14E-44BE6E153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86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</xdr:colOff>
      <xdr:row>117</xdr:row>
      <xdr:rowOff>38100</xdr:rowOff>
    </xdr:to>
    <xdr:pic>
      <xdr:nvPicPr>
        <xdr:cNvPr id="3916" name="Picture 9" descr=" ">
          <a:extLst>
            <a:ext uri="{FF2B5EF4-FFF2-40B4-BE49-F238E27FC236}">
              <a16:creationId xmlns:a16="http://schemas.microsoft.com/office/drawing/2014/main" id="{233EB3C5-F8D4-49B4-BD39-EAB447CE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86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</xdr:colOff>
      <xdr:row>117</xdr:row>
      <xdr:rowOff>38100</xdr:rowOff>
    </xdr:to>
    <xdr:pic>
      <xdr:nvPicPr>
        <xdr:cNvPr id="3917" name="Picture 10" descr=" ">
          <a:extLst>
            <a:ext uri="{FF2B5EF4-FFF2-40B4-BE49-F238E27FC236}">
              <a16:creationId xmlns:a16="http://schemas.microsoft.com/office/drawing/2014/main" id="{94B85FC1-A46B-4E19-8AB7-E9DF95200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86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</xdr:colOff>
      <xdr:row>117</xdr:row>
      <xdr:rowOff>38100</xdr:rowOff>
    </xdr:to>
    <xdr:pic>
      <xdr:nvPicPr>
        <xdr:cNvPr id="3918" name="Picture 11" descr=" ">
          <a:extLst>
            <a:ext uri="{FF2B5EF4-FFF2-40B4-BE49-F238E27FC236}">
              <a16:creationId xmlns:a16="http://schemas.microsoft.com/office/drawing/2014/main" id="{401207FB-360F-4CF1-A3BD-96A5F34F3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86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</xdr:colOff>
      <xdr:row>117</xdr:row>
      <xdr:rowOff>38100</xdr:rowOff>
    </xdr:to>
    <xdr:pic>
      <xdr:nvPicPr>
        <xdr:cNvPr id="3919" name="Picture 12" descr=" ">
          <a:extLst>
            <a:ext uri="{FF2B5EF4-FFF2-40B4-BE49-F238E27FC236}">
              <a16:creationId xmlns:a16="http://schemas.microsoft.com/office/drawing/2014/main" id="{EBA16B2C-B992-485D-9927-5B0D6DEDA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86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</xdr:colOff>
      <xdr:row>118</xdr:row>
      <xdr:rowOff>38100</xdr:rowOff>
    </xdr:to>
    <xdr:pic>
      <xdr:nvPicPr>
        <xdr:cNvPr id="3920" name="Picture 7" descr=" ">
          <a:extLst>
            <a:ext uri="{FF2B5EF4-FFF2-40B4-BE49-F238E27FC236}">
              <a16:creationId xmlns:a16="http://schemas.microsoft.com/office/drawing/2014/main" id="{4786F083-D99A-4F3B-A955-8D519EDD0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69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</xdr:colOff>
      <xdr:row>118</xdr:row>
      <xdr:rowOff>38100</xdr:rowOff>
    </xdr:to>
    <xdr:pic>
      <xdr:nvPicPr>
        <xdr:cNvPr id="3921" name="Picture 8" descr=" ">
          <a:extLst>
            <a:ext uri="{FF2B5EF4-FFF2-40B4-BE49-F238E27FC236}">
              <a16:creationId xmlns:a16="http://schemas.microsoft.com/office/drawing/2014/main" id="{B013CF8E-E6AF-46F4-BE87-86E4493D8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69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</xdr:colOff>
      <xdr:row>118</xdr:row>
      <xdr:rowOff>38100</xdr:rowOff>
    </xdr:to>
    <xdr:pic>
      <xdr:nvPicPr>
        <xdr:cNvPr id="3922" name="Picture 9" descr=" ">
          <a:extLst>
            <a:ext uri="{FF2B5EF4-FFF2-40B4-BE49-F238E27FC236}">
              <a16:creationId xmlns:a16="http://schemas.microsoft.com/office/drawing/2014/main" id="{A57BA2DB-CD2F-4C2A-94B0-3B998D5DE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69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</xdr:colOff>
      <xdr:row>118</xdr:row>
      <xdr:rowOff>38100</xdr:rowOff>
    </xdr:to>
    <xdr:pic>
      <xdr:nvPicPr>
        <xdr:cNvPr id="3923" name="Picture 10" descr=" ">
          <a:extLst>
            <a:ext uri="{FF2B5EF4-FFF2-40B4-BE49-F238E27FC236}">
              <a16:creationId xmlns:a16="http://schemas.microsoft.com/office/drawing/2014/main" id="{98027B97-B591-407C-866D-77CE01C1B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69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</xdr:colOff>
      <xdr:row>118</xdr:row>
      <xdr:rowOff>38100</xdr:rowOff>
    </xdr:to>
    <xdr:pic>
      <xdr:nvPicPr>
        <xdr:cNvPr id="3924" name="Picture 11" descr=" ">
          <a:extLst>
            <a:ext uri="{FF2B5EF4-FFF2-40B4-BE49-F238E27FC236}">
              <a16:creationId xmlns:a16="http://schemas.microsoft.com/office/drawing/2014/main" id="{5FDDEC05-070D-40F6-ABE9-6EB548CC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69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</xdr:colOff>
      <xdr:row>118</xdr:row>
      <xdr:rowOff>38100</xdr:rowOff>
    </xdr:to>
    <xdr:pic>
      <xdr:nvPicPr>
        <xdr:cNvPr id="3925" name="Picture 12" descr=" ">
          <a:extLst>
            <a:ext uri="{FF2B5EF4-FFF2-40B4-BE49-F238E27FC236}">
              <a16:creationId xmlns:a16="http://schemas.microsoft.com/office/drawing/2014/main" id="{348FBF2A-1720-4B77-83AC-D86BD84F4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69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</xdr:colOff>
      <xdr:row>119</xdr:row>
      <xdr:rowOff>38100</xdr:rowOff>
    </xdr:to>
    <xdr:pic>
      <xdr:nvPicPr>
        <xdr:cNvPr id="3926" name="Picture 7" descr=" ">
          <a:extLst>
            <a:ext uri="{FF2B5EF4-FFF2-40B4-BE49-F238E27FC236}">
              <a16:creationId xmlns:a16="http://schemas.microsoft.com/office/drawing/2014/main" id="{3AF11FFB-48C1-4E33-B4E7-004C58D14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52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</xdr:colOff>
      <xdr:row>119</xdr:row>
      <xdr:rowOff>38100</xdr:rowOff>
    </xdr:to>
    <xdr:pic>
      <xdr:nvPicPr>
        <xdr:cNvPr id="3927" name="Picture 8" descr=" ">
          <a:extLst>
            <a:ext uri="{FF2B5EF4-FFF2-40B4-BE49-F238E27FC236}">
              <a16:creationId xmlns:a16="http://schemas.microsoft.com/office/drawing/2014/main" id="{A3DCDA08-AFBF-40D0-A234-FCB109944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52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</xdr:colOff>
      <xdr:row>119</xdr:row>
      <xdr:rowOff>38100</xdr:rowOff>
    </xdr:to>
    <xdr:pic>
      <xdr:nvPicPr>
        <xdr:cNvPr id="3928" name="Picture 9" descr=" ">
          <a:extLst>
            <a:ext uri="{FF2B5EF4-FFF2-40B4-BE49-F238E27FC236}">
              <a16:creationId xmlns:a16="http://schemas.microsoft.com/office/drawing/2014/main" id="{CF76FA05-E1C7-45B4-B551-82CE92386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52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</xdr:colOff>
      <xdr:row>119</xdr:row>
      <xdr:rowOff>38100</xdr:rowOff>
    </xdr:to>
    <xdr:pic>
      <xdr:nvPicPr>
        <xdr:cNvPr id="3929" name="Picture 10" descr=" ">
          <a:extLst>
            <a:ext uri="{FF2B5EF4-FFF2-40B4-BE49-F238E27FC236}">
              <a16:creationId xmlns:a16="http://schemas.microsoft.com/office/drawing/2014/main" id="{164AE3A0-D0F3-4AAA-9606-89EF932F7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52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</xdr:colOff>
      <xdr:row>119</xdr:row>
      <xdr:rowOff>38100</xdr:rowOff>
    </xdr:to>
    <xdr:pic>
      <xdr:nvPicPr>
        <xdr:cNvPr id="3930" name="Picture 11" descr=" ">
          <a:extLst>
            <a:ext uri="{FF2B5EF4-FFF2-40B4-BE49-F238E27FC236}">
              <a16:creationId xmlns:a16="http://schemas.microsoft.com/office/drawing/2014/main" id="{2C2F90D9-9784-4379-92E0-EB26CE728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52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</xdr:colOff>
      <xdr:row>119</xdr:row>
      <xdr:rowOff>38100</xdr:rowOff>
    </xdr:to>
    <xdr:pic>
      <xdr:nvPicPr>
        <xdr:cNvPr id="3931" name="Picture 12" descr=" ">
          <a:extLst>
            <a:ext uri="{FF2B5EF4-FFF2-40B4-BE49-F238E27FC236}">
              <a16:creationId xmlns:a16="http://schemas.microsoft.com/office/drawing/2014/main" id="{FB114964-5038-4951-BEAD-2109E66EB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52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9525</xdr:colOff>
      <xdr:row>120</xdr:row>
      <xdr:rowOff>38100</xdr:rowOff>
    </xdr:to>
    <xdr:pic>
      <xdr:nvPicPr>
        <xdr:cNvPr id="3932" name="Picture 7" descr=" ">
          <a:extLst>
            <a:ext uri="{FF2B5EF4-FFF2-40B4-BE49-F238E27FC236}">
              <a16:creationId xmlns:a16="http://schemas.microsoft.com/office/drawing/2014/main" id="{343A0A29-FE78-44AF-AB90-09E6FDA8D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5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9525</xdr:colOff>
      <xdr:row>120</xdr:row>
      <xdr:rowOff>38100</xdr:rowOff>
    </xdr:to>
    <xdr:pic>
      <xdr:nvPicPr>
        <xdr:cNvPr id="3933" name="Picture 8" descr=" ">
          <a:extLst>
            <a:ext uri="{FF2B5EF4-FFF2-40B4-BE49-F238E27FC236}">
              <a16:creationId xmlns:a16="http://schemas.microsoft.com/office/drawing/2014/main" id="{C714DDDC-B52F-4DD4-A8EE-542B291C9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5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9525</xdr:colOff>
      <xdr:row>120</xdr:row>
      <xdr:rowOff>38100</xdr:rowOff>
    </xdr:to>
    <xdr:pic>
      <xdr:nvPicPr>
        <xdr:cNvPr id="3934" name="Picture 9" descr=" ">
          <a:extLst>
            <a:ext uri="{FF2B5EF4-FFF2-40B4-BE49-F238E27FC236}">
              <a16:creationId xmlns:a16="http://schemas.microsoft.com/office/drawing/2014/main" id="{1894CC7A-98F5-4473-918B-E026C4404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5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9525</xdr:colOff>
      <xdr:row>120</xdr:row>
      <xdr:rowOff>38100</xdr:rowOff>
    </xdr:to>
    <xdr:pic>
      <xdr:nvPicPr>
        <xdr:cNvPr id="3935" name="Picture 10" descr=" ">
          <a:extLst>
            <a:ext uri="{FF2B5EF4-FFF2-40B4-BE49-F238E27FC236}">
              <a16:creationId xmlns:a16="http://schemas.microsoft.com/office/drawing/2014/main" id="{AFDEAF9B-B8E2-49FE-BD85-70BF627AA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5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9525</xdr:colOff>
      <xdr:row>120</xdr:row>
      <xdr:rowOff>38100</xdr:rowOff>
    </xdr:to>
    <xdr:pic>
      <xdr:nvPicPr>
        <xdr:cNvPr id="3936" name="Picture 11" descr=" ">
          <a:extLst>
            <a:ext uri="{FF2B5EF4-FFF2-40B4-BE49-F238E27FC236}">
              <a16:creationId xmlns:a16="http://schemas.microsoft.com/office/drawing/2014/main" id="{01256D80-D4E5-4FF2-8819-BD105F5E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5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9525</xdr:colOff>
      <xdr:row>120</xdr:row>
      <xdr:rowOff>38100</xdr:rowOff>
    </xdr:to>
    <xdr:pic>
      <xdr:nvPicPr>
        <xdr:cNvPr id="3937" name="Picture 12" descr=" ">
          <a:extLst>
            <a:ext uri="{FF2B5EF4-FFF2-40B4-BE49-F238E27FC236}">
              <a16:creationId xmlns:a16="http://schemas.microsoft.com/office/drawing/2014/main" id="{1F850454-005F-4B95-A854-07664E9CF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5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</xdr:colOff>
      <xdr:row>121</xdr:row>
      <xdr:rowOff>38100</xdr:rowOff>
    </xdr:to>
    <xdr:pic>
      <xdr:nvPicPr>
        <xdr:cNvPr id="3938" name="Picture 7" descr=" ">
          <a:extLst>
            <a:ext uri="{FF2B5EF4-FFF2-40B4-BE49-F238E27FC236}">
              <a16:creationId xmlns:a16="http://schemas.microsoft.com/office/drawing/2014/main" id="{399C1772-B165-424B-A758-BD0CBC809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7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</xdr:colOff>
      <xdr:row>121</xdr:row>
      <xdr:rowOff>38100</xdr:rowOff>
    </xdr:to>
    <xdr:pic>
      <xdr:nvPicPr>
        <xdr:cNvPr id="3939" name="Picture 8" descr=" ">
          <a:extLst>
            <a:ext uri="{FF2B5EF4-FFF2-40B4-BE49-F238E27FC236}">
              <a16:creationId xmlns:a16="http://schemas.microsoft.com/office/drawing/2014/main" id="{05B72398-3C42-4D43-B70B-58974DD70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7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</xdr:colOff>
      <xdr:row>121</xdr:row>
      <xdr:rowOff>38100</xdr:rowOff>
    </xdr:to>
    <xdr:pic>
      <xdr:nvPicPr>
        <xdr:cNvPr id="3940" name="Picture 9" descr=" ">
          <a:extLst>
            <a:ext uri="{FF2B5EF4-FFF2-40B4-BE49-F238E27FC236}">
              <a16:creationId xmlns:a16="http://schemas.microsoft.com/office/drawing/2014/main" id="{4A4A8AF3-FCD5-4203-82FC-489A8EB22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7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</xdr:colOff>
      <xdr:row>121</xdr:row>
      <xdr:rowOff>38100</xdr:rowOff>
    </xdr:to>
    <xdr:pic>
      <xdr:nvPicPr>
        <xdr:cNvPr id="3941" name="Picture 10" descr=" ">
          <a:extLst>
            <a:ext uri="{FF2B5EF4-FFF2-40B4-BE49-F238E27FC236}">
              <a16:creationId xmlns:a16="http://schemas.microsoft.com/office/drawing/2014/main" id="{E83C8A77-E9BB-49A0-A2A2-CB6BA86A9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7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</xdr:colOff>
      <xdr:row>121</xdr:row>
      <xdr:rowOff>38100</xdr:rowOff>
    </xdr:to>
    <xdr:pic>
      <xdr:nvPicPr>
        <xdr:cNvPr id="3942" name="Picture 11" descr=" ">
          <a:extLst>
            <a:ext uri="{FF2B5EF4-FFF2-40B4-BE49-F238E27FC236}">
              <a16:creationId xmlns:a16="http://schemas.microsoft.com/office/drawing/2014/main" id="{890AF6BB-EF88-4867-8050-2280F871F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7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</xdr:colOff>
      <xdr:row>121</xdr:row>
      <xdr:rowOff>38100</xdr:rowOff>
    </xdr:to>
    <xdr:pic>
      <xdr:nvPicPr>
        <xdr:cNvPr id="3943" name="Picture 12" descr=" ">
          <a:extLst>
            <a:ext uri="{FF2B5EF4-FFF2-40B4-BE49-F238E27FC236}">
              <a16:creationId xmlns:a16="http://schemas.microsoft.com/office/drawing/2014/main" id="{4ED176FA-7483-4069-968B-736343421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7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3944" name="Picture 7" descr=" ">
          <a:extLst>
            <a:ext uri="{FF2B5EF4-FFF2-40B4-BE49-F238E27FC236}">
              <a16:creationId xmlns:a16="http://schemas.microsoft.com/office/drawing/2014/main" id="{E97FAA36-A318-4424-BC40-721F6C0EA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3945" name="Picture 8" descr=" ">
          <a:extLst>
            <a:ext uri="{FF2B5EF4-FFF2-40B4-BE49-F238E27FC236}">
              <a16:creationId xmlns:a16="http://schemas.microsoft.com/office/drawing/2014/main" id="{0FE8A102-7746-40BB-AB26-B951383CD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3946" name="Picture 9" descr=" ">
          <a:extLst>
            <a:ext uri="{FF2B5EF4-FFF2-40B4-BE49-F238E27FC236}">
              <a16:creationId xmlns:a16="http://schemas.microsoft.com/office/drawing/2014/main" id="{77CA0E41-EE8D-4DB1-8929-0E7825FF4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3947" name="Picture 10" descr=" ">
          <a:extLst>
            <a:ext uri="{FF2B5EF4-FFF2-40B4-BE49-F238E27FC236}">
              <a16:creationId xmlns:a16="http://schemas.microsoft.com/office/drawing/2014/main" id="{1F2EBBEA-9A61-400D-8DEA-DED75CB09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3948" name="Picture 11" descr=" ">
          <a:extLst>
            <a:ext uri="{FF2B5EF4-FFF2-40B4-BE49-F238E27FC236}">
              <a16:creationId xmlns:a16="http://schemas.microsoft.com/office/drawing/2014/main" id="{1477768D-0BAB-4798-B05C-F717E861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3949" name="Picture 12" descr=" ">
          <a:extLst>
            <a:ext uri="{FF2B5EF4-FFF2-40B4-BE49-F238E27FC236}">
              <a16:creationId xmlns:a16="http://schemas.microsoft.com/office/drawing/2014/main" id="{7A0AC26F-5035-4C91-83E5-85066D81A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</xdr:colOff>
      <xdr:row>123</xdr:row>
      <xdr:rowOff>38100</xdr:rowOff>
    </xdr:to>
    <xdr:pic>
      <xdr:nvPicPr>
        <xdr:cNvPr id="3950" name="Picture 7" descr=" ">
          <a:extLst>
            <a:ext uri="{FF2B5EF4-FFF2-40B4-BE49-F238E27FC236}">
              <a16:creationId xmlns:a16="http://schemas.microsoft.com/office/drawing/2014/main" id="{EFAF19F9-1CD5-4A26-9BC7-B60D800B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83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</xdr:colOff>
      <xdr:row>123</xdr:row>
      <xdr:rowOff>38100</xdr:rowOff>
    </xdr:to>
    <xdr:pic>
      <xdr:nvPicPr>
        <xdr:cNvPr id="3951" name="Picture 8" descr=" ">
          <a:extLst>
            <a:ext uri="{FF2B5EF4-FFF2-40B4-BE49-F238E27FC236}">
              <a16:creationId xmlns:a16="http://schemas.microsoft.com/office/drawing/2014/main" id="{915C269E-CDB4-4B1C-9611-7AF1AE5E5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83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</xdr:colOff>
      <xdr:row>123</xdr:row>
      <xdr:rowOff>38100</xdr:rowOff>
    </xdr:to>
    <xdr:pic>
      <xdr:nvPicPr>
        <xdr:cNvPr id="3952" name="Picture 9" descr=" ">
          <a:extLst>
            <a:ext uri="{FF2B5EF4-FFF2-40B4-BE49-F238E27FC236}">
              <a16:creationId xmlns:a16="http://schemas.microsoft.com/office/drawing/2014/main" id="{AB212AB4-1575-4E7C-803D-51700D063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83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</xdr:colOff>
      <xdr:row>123</xdr:row>
      <xdr:rowOff>38100</xdr:rowOff>
    </xdr:to>
    <xdr:pic>
      <xdr:nvPicPr>
        <xdr:cNvPr id="3953" name="Picture 10" descr=" ">
          <a:extLst>
            <a:ext uri="{FF2B5EF4-FFF2-40B4-BE49-F238E27FC236}">
              <a16:creationId xmlns:a16="http://schemas.microsoft.com/office/drawing/2014/main" id="{FBB5ABBE-98F5-4DB6-A1FA-EA92A316E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83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</xdr:colOff>
      <xdr:row>123</xdr:row>
      <xdr:rowOff>38100</xdr:rowOff>
    </xdr:to>
    <xdr:pic>
      <xdr:nvPicPr>
        <xdr:cNvPr id="3954" name="Picture 11" descr=" ">
          <a:extLst>
            <a:ext uri="{FF2B5EF4-FFF2-40B4-BE49-F238E27FC236}">
              <a16:creationId xmlns:a16="http://schemas.microsoft.com/office/drawing/2014/main" id="{42FDB6C6-1F68-4AA3-BED8-C0CBACB6B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83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</xdr:colOff>
      <xdr:row>123</xdr:row>
      <xdr:rowOff>38100</xdr:rowOff>
    </xdr:to>
    <xdr:pic>
      <xdr:nvPicPr>
        <xdr:cNvPr id="3955" name="Picture 12" descr=" ">
          <a:extLst>
            <a:ext uri="{FF2B5EF4-FFF2-40B4-BE49-F238E27FC236}">
              <a16:creationId xmlns:a16="http://schemas.microsoft.com/office/drawing/2014/main" id="{8A77BE0D-564F-4DEF-BFD4-AF517B4DF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983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</xdr:colOff>
      <xdr:row>124</xdr:row>
      <xdr:rowOff>38100</xdr:rowOff>
    </xdr:to>
    <xdr:pic>
      <xdr:nvPicPr>
        <xdr:cNvPr id="3956" name="Picture 7" descr=" ">
          <a:extLst>
            <a:ext uri="{FF2B5EF4-FFF2-40B4-BE49-F238E27FC236}">
              <a16:creationId xmlns:a16="http://schemas.microsoft.com/office/drawing/2014/main" id="{6211A4B7-BCA0-41BD-9A09-5E2FB8526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66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</xdr:colOff>
      <xdr:row>124</xdr:row>
      <xdr:rowOff>38100</xdr:rowOff>
    </xdr:to>
    <xdr:pic>
      <xdr:nvPicPr>
        <xdr:cNvPr id="3957" name="Picture 8" descr=" ">
          <a:extLst>
            <a:ext uri="{FF2B5EF4-FFF2-40B4-BE49-F238E27FC236}">
              <a16:creationId xmlns:a16="http://schemas.microsoft.com/office/drawing/2014/main" id="{D66BB745-B861-477C-AA78-EC6DE0FE9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66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</xdr:colOff>
      <xdr:row>124</xdr:row>
      <xdr:rowOff>38100</xdr:rowOff>
    </xdr:to>
    <xdr:pic>
      <xdr:nvPicPr>
        <xdr:cNvPr id="3958" name="Picture 9" descr=" ">
          <a:extLst>
            <a:ext uri="{FF2B5EF4-FFF2-40B4-BE49-F238E27FC236}">
              <a16:creationId xmlns:a16="http://schemas.microsoft.com/office/drawing/2014/main" id="{EFAD8BC4-4D50-4F87-9E60-1BC0CE139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66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</xdr:colOff>
      <xdr:row>124</xdr:row>
      <xdr:rowOff>38100</xdr:rowOff>
    </xdr:to>
    <xdr:pic>
      <xdr:nvPicPr>
        <xdr:cNvPr id="3959" name="Picture 10" descr=" ">
          <a:extLst>
            <a:ext uri="{FF2B5EF4-FFF2-40B4-BE49-F238E27FC236}">
              <a16:creationId xmlns:a16="http://schemas.microsoft.com/office/drawing/2014/main" id="{EEA33DC8-D0E8-4AED-9CDC-572FBFC9E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66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</xdr:colOff>
      <xdr:row>124</xdr:row>
      <xdr:rowOff>38100</xdr:rowOff>
    </xdr:to>
    <xdr:pic>
      <xdr:nvPicPr>
        <xdr:cNvPr id="3960" name="Picture 11" descr=" ">
          <a:extLst>
            <a:ext uri="{FF2B5EF4-FFF2-40B4-BE49-F238E27FC236}">
              <a16:creationId xmlns:a16="http://schemas.microsoft.com/office/drawing/2014/main" id="{9A526258-9ED3-41D1-A7EF-F601068EA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66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</xdr:colOff>
      <xdr:row>124</xdr:row>
      <xdr:rowOff>38100</xdr:rowOff>
    </xdr:to>
    <xdr:pic>
      <xdr:nvPicPr>
        <xdr:cNvPr id="3961" name="Picture 12" descr=" ">
          <a:extLst>
            <a:ext uri="{FF2B5EF4-FFF2-40B4-BE49-F238E27FC236}">
              <a16:creationId xmlns:a16="http://schemas.microsoft.com/office/drawing/2014/main" id="{D26DCC20-2DA2-421C-A431-52497085C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66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38100</xdr:rowOff>
    </xdr:to>
    <xdr:pic>
      <xdr:nvPicPr>
        <xdr:cNvPr id="3962" name="Picture 7" descr=" ">
          <a:extLst>
            <a:ext uri="{FF2B5EF4-FFF2-40B4-BE49-F238E27FC236}">
              <a16:creationId xmlns:a16="http://schemas.microsoft.com/office/drawing/2014/main" id="{C0424FF2-EFE9-43CC-BF62-467F9D99E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49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38100</xdr:rowOff>
    </xdr:to>
    <xdr:pic>
      <xdr:nvPicPr>
        <xdr:cNvPr id="3963" name="Picture 8" descr=" ">
          <a:extLst>
            <a:ext uri="{FF2B5EF4-FFF2-40B4-BE49-F238E27FC236}">
              <a16:creationId xmlns:a16="http://schemas.microsoft.com/office/drawing/2014/main" id="{CB097958-1440-40D6-AFB4-E624D44A1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49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38100</xdr:rowOff>
    </xdr:to>
    <xdr:pic>
      <xdr:nvPicPr>
        <xdr:cNvPr id="3964" name="Picture 9" descr=" ">
          <a:extLst>
            <a:ext uri="{FF2B5EF4-FFF2-40B4-BE49-F238E27FC236}">
              <a16:creationId xmlns:a16="http://schemas.microsoft.com/office/drawing/2014/main" id="{2D001EB2-D363-491F-95B1-28D6859A1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49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38100</xdr:rowOff>
    </xdr:to>
    <xdr:pic>
      <xdr:nvPicPr>
        <xdr:cNvPr id="3965" name="Picture 10" descr=" ">
          <a:extLst>
            <a:ext uri="{FF2B5EF4-FFF2-40B4-BE49-F238E27FC236}">
              <a16:creationId xmlns:a16="http://schemas.microsoft.com/office/drawing/2014/main" id="{574E582E-0265-4AC8-8F29-A8DF6BF54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49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38100</xdr:rowOff>
    </xdr:to>
    <xdr:pic>
      <xdr:nvPicPr>
        <xdr:cNvPr id="3966" name="Picture 11" descr=" ">
          <a:extLst>
            <a:ext uri="{FF2B5EF4-FFF2-40B4-BE49-F238E27FC236}">
              <a16:creationId xmlns:a16="http://schemas.microsoft.com/office/drawing/2014/main" id="{3719B694-0D47-43FC-8870-EECF0C4FD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49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</xdr:colOff>
      <xdr:row>125</xdr:row>
      <xdr:rowOff>38100</xdr:rowOff>
    </xdr:to>
    <xdr:pic>
      <xdr:nvPicPr>
        <xdr:cNvPr id="3967" name="Picture 12" descr=" ">
          <a:extLst>
            <a:ext uri="{FF2B5EF4-FFF2-40B4-BE49-F238E27FC236}">
              <a16:creationId xmlns:a16="http://schemas.microsoft.com/office/drawing/2014/main" id="{3D61E185-74F3-4921-9140-EC1AD8D38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349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9525</xdr:colOff>
      <xdr:row>126</xdr:row>
      <xdr:rowOff>38100</xdr:rowOff>
    </xdr:to>
    <xdr:pic>
      <xdr:nvPicPr>
        <xdr:cNvPr id="3968" name="Picture 7" descr=" ">
          <a:extLst>
            <a:ext uri="{FF2B5EF4-FFF2-40B4-BE49-F238E27FC236}">
              <a16:creationId xmlns:a16="http://schemas.microsoft.com/office/drawing/2014/main" id="{0156E57E-B9C2-4BA1-8CC5-96E1651AB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32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9525</xdr:colOff>
      <xdr:row>126</xdr:row>
      <xdr:rowOff>38100</xdr:rowOff>
    </xdr:to>
    <xdr:pic>
      <xdr:nvPicPr>
        <xdr:cNvPr id="3969" name="Picture 8" descr=" ">
          <a:extLst>
            <a:ext uri="{FF2B5EF4-FFF2-40B4-BE49-F238E27FC236}">
              <a16:creationId xmlns:a16="http://schemas.microsoft.com/office/drawing/2014/main" id="{C7EC7307-F46C-47A2-9272-19F7EE53F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32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9525</xdr:colOff>
      <xdr:row>126</xdr:row>
      <xdr:rowOff>38100</xdr:rowOff>
    </xdr:to>
    <xdr:pic>
      <xdr:nvPicPr>
        <xdr:cNvPr id="3970" name="Picture 9" descr=" ">
          <a:extLst>
            <a:ext uri="{FF2B5EF4-FFF2-40B4-BE49-F238E27FC236}">
              <a16:creationId xmlns:a16="http://schemas.microsoft.com/office/drawing/2014/main" id="{FAB9A0E3-F39A-49DD-801F-7371157BE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32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9525</xdr:colOff>
      <xdr:row>126</xdr:row>
      <xdr:rowOff>38100</xdr:rowOff>
    </xdr:to>
    <xdr:pic>
      <xdr:nvPicPr>
        <xdr:cNvPr id="3971" name="Picture 10" descr=" ">
          <a:extLst>
            <a:ext uri="{FF2B5EF4-FFF2-40B4-BE49-F238E27FC236}">
              <a16:creationId xmlns:a16="http://schemas.microsoft.com/office/drawing/2014/main" id="{30933D7D-ECDD-4EC2-BB1C-3E2FF6F5D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32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9525</xdr:colOff>
      <xdr:row>126</xdr:row>
      <xdr:rowOff>38100</xdr:rowOff>
    </xdr:to>
    <xdr:pic>
      <xdr:nvPicPr>
        <xdr:cNvPr id="3972" name="Picture 11" descr=" ">
          <a:extLst>
            <a:ext uri="{FF2B5EF4-FFF2-40B4-BE49-F238E27FC236}">
              <a16:creationId xmlns:a16="http://schemas.microsoft.com/office/drawing/2014/main" id="{8F96EB04-AC00-4FDD-879A-F7EF49922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32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9525</xdr:colOff>
      <xdr:row>126</xdr:row>
      <xdr:rowOff>38100</xdr:rowOff>
    </xdr:to>
    <xdr:pic>
      <xdr:nvPicPr>
        <xdr:cNvPr id="3973" name="Picture 12" descr=" ">
          <a:extLst>
            <a:ext uri="{FF2B5EF4-FFF2-40B4-BE49-F238E27FC236}">
              <a16:creationId xmlns:a16="http://schemas.microsoft.com/office/drawing/2014/main" id="{34B28706-5776-4186-BF5D-D1AF0124F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32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</xdr:colOff>
      <xdr:row>127</xdr:row>
      <xdr:rowOff>38100</xdr:rowOff>
    </xdr:to>
    <xdr:pic>
      <xdr:nvPicPr>
        <xdr:cNvPr id="3974" name="Picture 7" descr=" ">
          <a:extLst>
            <a:ext uri="{FF2B5EF4-FFF2-40B4-BE49-F238E27FC236}">
              <a16:creationId xmlns:a16="http://schemas.microsoft.com/office/drawing/2014/main" id="{352DF000-BF37-4F38-98E7-DF9AFA578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15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</xdr:colOff>
      <xdr:row>127</xdr:row>
      <xdr:rowOff>38100</xdr:rowOff>
    </xdr:to>
    <xdr:pic>
      <xdr:nvPicPr>
        <xdr:cNvPr id="3975" name="Picture 8" descr=" ">
          <a:extLst>
            <a:ext uri="{FF2B5EF4-FFF2-40B4-BE49-F238E27FC236}">
              <a16:creationId xmlns:a16="http://schemas.microsoft.com/office/drawing/2014/main" id="{B9A57DAC-AC0F-40E0-B4A0-721F6C114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15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</xdr:colOff>
      <xdr:row>127</xdr:row>
      <xdr:rowOff>38100</xdr:rowOff>
    </xdr:to>
    <xdr:pic>
      <xdr:nvPicPr>
        <xdr:cNvPr id="3976" name="Picture 9" descr=" ">
          <a:extLst>
            <a:ext uri="{FF2B5EF4-FFF2-40B4-BE49-F238E27FC236}">
              <a16:creationId xmlns:a16="http://schemas.microsoft.com/office/drawing/2014/main" id="{7AC2A62A-A017-41C8-8E48-CFB6E1D3C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15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</xdr:colOff>
      <xdr:row>127</xdr:row>
      <xdr:rowOff>38100</xdr:rowOff>
    </xdr:to>
    <xdr:pic>
      <xdr:nvPicPr>
        <xdr:cNvPr id="3977" name="Picture 10" descr=" ">
          <a:extLst>
            <a:ext uri="{FF2B5EF4-FFF2-40B4-BE49-F238E27FC236}">
              <a16:creationId xmlns:a16="http://schemas.microsoft.com/office/drawing/2014/main" id="{17D489B8-7B81-403E-BFF9-5F2EB9E40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15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</xdr:colOff>
      <xdr:row>127</xdr:row>
      <xdr:rowOff>38100</xdr:rowOff>
    </xdr:to>
    <xdr:pic>
      <xdr:nvPicPr>
        <xdr:cNvPr id="3978" name="Picture 11" descr=" ">
          <a:extLst>
            <a:ext uri="{FF2B5EF4-FFF2-40B4-BE49-F238E27FC236}">
              <a16:creationId xmlns:a16="http://schemas.microsoft.com/office/drawing/2014/main" id="{49E8DDCA-AF4F-4060-A506-082EF444F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15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</xdr:colOff>
      <xdr:row>127</xdr:row>
      <xdr:rowOff>38100</xdr:rowOff>
    </xdr:to>
    <xdr:pic>
      <xdr:nvPicPr>
        <xdr:cNvPr id="3979" name="Picture 12" descr=" ">
          <a:extLst>
            <a:ext uri="{FF2B5EF4-FFF2-40B4-BE49-F238E27FC236}">
              <a16:creationId xmlns:a16="http://schemas.microsoft.com/office/drawing/2014/main" id="{215DB812-6A80-4632-B07C-88A8E6F52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15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9525</xdr:colOff>
      <xdr:row>128</xdr:row>
      <xdr:rowOff>38100</xdr:rowOff>
    </xdr:to>
    <xdr:pic>
      <xdr:nvPicPr>
        <xdr:cNvPr id="3980" name="Picture 7" descr=" ">
          <a:extLst>
            <a:ext uri="{FF2B5EF4-FFF2-40B4-BE49-F238E27FC236}">
              <a16:creationId xmlns:a16="http://schemas.microsoft.com/office/drawing/2014/main" id="{5D86F17D-859B-494B-8635-8F105568C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98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9525</xdr:colOff>
      <xdr:row>128</xdr:row>
      <xdr:rowOff>38100</xdr:rowOff>
    </xdr:to>
    <xdr:pic>
      <xdr:nvPicPr>
        <xdr:cNvPr id="3981" name="Picture 8" descr=" ">
          <a:extLst>
            <a:ext uri="{FF2B5EF4-FFF2-40B4-BE49-F238E27FC236}">
              <a16:creationId xmlns:a16="http://schemas.microsoft.com/office/drawing/2014/main" id="{45A9C6BC-676C-432B-8B93-ED343FEF5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98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9525</xdr:colOff>
      <xdr:row>128</xdr:row>
      <xdr:rowOff>38100</xdr:rowOff>
    </xdr:to>
    <xdr:pic>
      <xdr:nvPicPr>
        <xdr:cNvPr id="3982" name="Picture 9" descr=" ">
          <a:extLst>
            <a:ext uri="{FF2B5EF4-FFF2-40B4-BE49-F238E27FC236}">
              <a16:creationId xmlns:a16="http://schemas.microsoft.com/office/drawing/2014/main" id="{CBE358AC-0C62-4087-A8CD-D3336D98E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98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9525</xdr:colOff>
      <xdr:row>128</xdr:row>
      <xdr:rowOff>38100</xdr:rowOff>
    </xdr:to>
    <xdr:pic>
      <xdr:nvPicPr>
        <xdr:cNvPr id="3983" name="Picture 10" descr=" ">
          <a:extLst>
            <a:ext uri="{FF2B5EF4-FFF2-40B4-BE49-F238E27FC236}">
              <a16:creationId xmlns:a16="http://schemas.microsoft.com/office/drawing/2014/main" id="{37127CAC-E4DC-442E-BFE4-35796DC9F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98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9525</xdr:colOff>
      <xdr:row>128</xdr:row>
      <xdr:rowOff>38100</xdr:rowOff>
    </xdr:to>
    <xdr:pic>
      <xdr:nvPicPr>
        <xdr:cNvPr id="3984" name="Picture 11" descr=" ">
          <a:extLst>
            <a:ext uri="{FF2B5EF4-FFF2-40B4-BE49-F238E27FC236}">
              <a16:creationId xmlns:a16="http://schemas.microsoft.com/office/drawing/2014/main" id="{B1BF761C-A1A8-452D-92D9-3C21EBB8B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98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9525</xdr:colOff>
      <xdr:row>128</xdr:row>
      <xdr:rowOff>38100</xdr:rowOff>
    </xdr:to>
    <xdr:pic>
      <xdr:nvPicPr>
        <xdr:cNvPr id="3985" name="Picture 12" descr=" ">
          <a:extLst>
            <a:ext uri="{FF2B5EF4-FFF2-40B4-BE49-F238E27FC236}">
              <a16:creationId xmlns:a16="http://schemas.microsoft.com/office/drawing/2014/main" id="{6CEEC6F8-629D-4F17-AF4E-8C3DA0B1D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98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9525</xdr:colOff>
      <xdr:row>129</xdr:row>
      <xdr:rowOff>38100</xdr:rowOff>
    </xdr:to>
    <xdr:pic>
      <xdr:nvPicPr>
        <xdr:cNvPr id="3986" name="Picture 7" descr=" ">
          <a:extLst>
            <a:ext uri="{FF2B5EF4-FFF2-40B4-BE49-F238E27FC236}">
              <a16:creationId xmlns:a16="http://schemas.microsoft.com/office/drawing/2014/main" id="{E168B9C7-4507-42D7-A61B-94FC24282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80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9525</xdr:colOff>
      <xdr:row>129</xdr:row>
      <xdr:rowOff>38100</xdr:rowOff>
    </xdr:to>
    <xdr:pic>
      <xdr:nvPicPr>
        <xdr:cNvPr id="3987" name="Picture 8" descr=" ">
          <a:extLst>
            <a:ext uri="{FF2B5EF4-FFF2-40B4-BE49-F238E27FC236}">
              <a16:creationId xmlns:a16="http://schemas.microsoft.com/office/drawing/2014/main" id="{A1AD8879-5A93-4376-9C5A-F26F4BA6A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80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9525</xdr:colOff>
      <xdr:row>129</xdr:row>
      <xdr:rowOff>38100</xdr:rowOff>
    </xdr:to>
    <xdr:pic>
      <xdr:nvPicPr>
        <xdr:cNvPr id="3988" name="Picture 9" descr=" ">
          <a:extLst>
            <a:ext uri="{FF2B5EF4-FFF2-40B4-BE49-F238E27FC236}">
              <a16:creationId xmlns:a16="http://schemas.microsoft.com/office/drawing/2014/main" id="{B8893AC8-633D-404A-AF52-2BEF0382E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80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9525</xdr:colOff>
      <xdr:row>129</xdr:row>
      <xdr:rowOff>38100</xdr:rowOff>
    </xdr:to>
    <xdr:pic>
      <xdr:nvPicPr>
        <xdr:cNvPr id="3989" name="Picture 10" descr=" ">
          <a:extLst>
            <a:ext uri="{FF2B5EF4-FFF2-40B4-BE49-F238E27FC236}">
              <a16:creationId xmlns:a16="http://schemas.microsoft.com/office/drawing/2014/main" id="{59DDDD96-22A2-4229-B37F-C6AA37C5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80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9525</xdr:colOff>
      <xdr:row>129</xdr:row>
      <xdr:rowOff>38100</xdr:rowOff>
    </xdr:to>
    <xdr:pic>
      <xdr:nvPicPr>
        <xdr:cNvPr id="3990" name="Picture 11" descr=" ">
          <a:extLst>
            <a:ext uri="{FF2B5EF4-FFF2-40B4-BE49-F238E27FC236}">
              <a16:creationId xmlns:a16="http://schemas.microsoft.com/office/drawing/2014/main" id="{E7A37BD2-5BCE-457E-868D-4124A3231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80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9525</xdr:colOff>
      <xdr:row>129</xdr:row>
      <xdr:rowOff>38100</xdr:rowOff>
    </xdr:to>
    <xdr:pic>
      <xdr:nvPicPr>
        <xdr:cNvPr id="3991" name="Picture 12" descr=" ">
          <a:extLst>
            <a:ext uri="{FF2B5EF4-FFF2-40B4-BE49-F238E27FC236}">
              <a16:creationId xmlns:a16="http://schemas.microsoft.com/office/drawing/2014/main" id="{9C0257A2-0E71-471B-98CC-C63D595D8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80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</xdr:colOff>
      <xdr:row>130</xdr:row>
      <xdr:rowOff>38100</xdr:rowOff>
    </xdr:to>
    <xdr:pic>
      <xdr:nvPicPr>
        <xdr:cNvPr id="3992" name="Picture 7" descr=" ">
          <a:extLst>
            <a:ext uri="{FF2B5EF4-FFF2-40B4-BE49-F238E27FC236}">
              <a16:creationId xmlns:a16="http://schemas.microsoft.com/office/drawing/2014/main" id="{C6E1A327-40DE-4FF2-8178-1966B46B2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63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</xdr:colOff>
      <xdr:row>130</xdr:row>
      <xdr:rowOff>38100</xdr:rowOff>
    </xdr:to>
    <xdr:pic>
      <xdr:nvPicPr>
        <xdr:cNvPr id="3993" name="Picture 8" descr=" ">
          <a:extLst>
            <a:ext uri="{FF2B5EF4-FFF2-40B4-BE49-F238E27FC236}">
              <a16:creationId xmlns:a16="http://schemas.microsoft.com/office/drawing/2014/main" id="{05BCFE8F-8F10-4BC9-B1B8-99339CAE4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63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</xdr:colOff>
      <xdr:row>130</xdr:row>
      <xdr:rowOff>38100</xdr:rowOff>
    </xdr:to>
    <xdr:pic>
      <xdr:nvPicPr>
        <xdr:cNvPr id="3994" name="Picture 9" descr=" ">
          <a:extLst>
            <a:ext uri="{FF2B5EF4-FFF2-40B4-BE49-F238E27FC236}">
              <a16:creationId xmlns:a16="http://schemas.microsoft.com/office/drawing/2014/main" id="{D3633AE3-998C-48ED-A1D2-3120EC87E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63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</xdr:colOff>
      <xdr:row>130</xdr:row>
      <xdr:rowOff>38100</xdr:rowOff>
    </xdr:to>
    <xdr:pic>
      <xdr:nvPicPr>
        <xdr:cNvPr id="3995" name="Picture 10" descr=" ">
          <a:extLst>
            <a:ext uri="{FF2B5EF4-FFF2-40B4-BE49-F238E27FC236}">
              <a16:creationId xmlns:a16="http://schemas.microsoft.com/office/drawing/2014/main" id="{597BF420-9637-4E7E-AD75-824EDC89E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63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</xdr:colOff>
      <xdr:row>130</xdr:row>
      <xdr:rowOff>38100</xdr:rowOff>
    </xdr:to>
    <xdr:pic>
      <xdr:nvPicPr>
        <xdr:cNvPr id="3996" name="Picture 11" descr=" ">
          <a:extLst>
            <a:ext uri="{FF2B5EF4-FFF2-40B4-BE49-F238E27FC236}">
              <a16:creationId xmlns:a16="http://schemas.microsoft.com/office/drawing/2014/main" id="{9F8120D8-AC83-4469-BC9F-F4C217DFD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63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</xdr:colOff>
      <xdr:row>130</xdr:row>
      <xdr:rowOff>38100</xdr:rowOff>
    </xdr:to>
    <xdr:pic>
      <xdr:nvPicPr>
        <xdr:cNvPr id="3997" name="Picture 12" descr=" ">
          <a:extLst>
            <a:ext uri="{FF2B5EF4-FFF2-40B4-BE49-F238E27FC236}">
              <a16:creationId xmlns:a16="http://schemas.microsoft.com/office/drawing/2014/main" id="{5692CBF5-AB5B-4D18-9886-E54BE6D7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63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</xdr:colOff>
      <xdr:row>131</xdr:row>
      <xdr:rowOff>38100</xdr:rowOff>
    </xdr:to>
    <xdr:pic>
      <xdr:nvPicPr>
        <xdr:cNvPr id="3998" name="Picture 7" descr=" ">
          <a:extLst>
            <a:ext uri="{FF2B5EF4-FFF2-40B4-BE49-F238E27FC236}">
              <a16:creationId xmlns:a16="http://schemas.microsoft.com/office/drawing/2014/main" id="{54B8C211-1931-41C1-9312-A654B5A6C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46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</xdr:colOff>
      <xdr:row>131</xdr:row>
      <xdr:rowOff>38100</xdr:rowOff>
    </xdr:to>
    <xdr:pic>
      <xdr:nvPicPr>
        <xdr:cNvPr id="3999" name="Picture 8" descr=" ">
          <a:extLst>
            <a:ext uri="{FF2B5EF4-FFF2-40B4-BE49-F238E27FC236}">
              <a16:creationId xmlns:a16="http://schemas.microsoft.com/office/drawing/2014/main" id="{B057EED6-39B6-4CE0-B4F9-A8C50BA16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46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</xdr:colOff>
      <xdr:row>131</xdr:row>
      <xdr:rowOff>38100</xdr:rowOff>
    </xdr:to>
    <xdr:pic>
      <xdr:nvPicPr>
        <xdr:cNvPr id="4000" name="Picture 9" descr=" ">
          <a:extLst>
            <a:ext uri="{FF2B5EF4-FFF2-40B4-BE49-F238E27FC236}">
              <a16:creationId xmlns:a16="http://schemas.microsoft.com/office/drawing/2014/main" id="{A6BFD8B5-07DF-41AD-823A-5D03A461E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46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</xdr:colOff>
      <xdr:row>131</xdr:row>
      <xdr:rowOff>38100</xdr:rowOff>
    </xdr:to>
    <xdr:pic>
      <xdr:nvPicPr>
        <xdr:cNvPr id="4001" name="Picture 10" descr=" ">
          <a:extLst>
            <a:ext uri="{FF2B5EF4-FFF2-40B4-BE49-F238E27FC236}">
              <a16:creationId xmlns:a16="http://schemas.microsoft.com/office/drawing/2014/main" id="{61825221-EFDC-49C4-983C-8C48E6457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46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</xdr:colOff>
      <xdr:row>131</xdr:row>
      <xdr:rowOff>38100</xdr:rowOff>
    </xdr:to>
    <xdr:pic>
      <xdr:nvPicPr>
        <xdr:cNvPr id="4002" name="Picture 11" descr=" ">
          <a:extLst>
            <a:ext uri="{FF2B5EF4-FFF2-40B4-BE49-F238E27FC236}">
              <a16:creationId xmlns:a16="http://schemas.microsoft.com/office/drawing/2014/main" id="{5BBD2674-216E-4B31-B864-0836A4518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46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</xdr:colOff>
      <xdr:row>131</xdr:row>
      <xdr:rowOff>38100</xdr:rowOff>
    </xdr:to>
    <xdr:pic>
      <xdr:nvPicPr>
        <xdr:cNvPr id="4003" name="Picture 12" descr=" ">
          <a:extLst>
            <a:ext uri="{FF2B5EF4-FFF2-40B4-BE49-F238E27FC236}">
              <a16:creationId xmlns:a16="http://schemas.microsoft.com/office/drawing/2014/main" id="{553BF7D9-C047-422D-903F-46DD67AF0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46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9525</xdr:colOff>
      <xdr:row>132</xdr:row>
      <xdr:rowOff>38100</xdr:rowOff>
    </xdr:to>
    <xdr:pic>
      <xdr:nvPicPr>
        <xdr:cNvPr id="4004" name="Picture 7" descr=" ">
          <a:extLst>
            <a:ext uri="{FF2B5EF4-FFF2-40B4-BE49-F238E27FC236}">
              <a16:creationId xmlns:a16="http://schemas.microsoft.com/office/drawing/2014/main" id="{7BD7E48B-B1FE-425F-9117-E9F33C986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9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9525</xdr:colOff>
      <xdr:row>132</xdr:row>
      <xdr:rowOff>38100</xdr:rowOff>
    </xdr:to>
    <xdr:pic>
      <xdr:nvPicPr>
        <xdr:cNvPr id="4005" name="Picture 8" descr=" ">
          <a:extLst>
            <a:ext uri="{FF2B5EF4-FFF2-40B4-BE49-F238E27FC236}">
              <a16:creationId xmlns:a16="http://schemas.microsoft.com/office/drawing/2014/main" id="{54872D0C-BA82-4AD7-9916-8B9B7DE96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9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9525</xdr:colOff>
      <xdr:row>132</xdr:row>
      <xdr:rowOff>38100</xdr:rowOff>
    </xdr:to>
    <xdr:pic>
      <xdr:nvPicPr>
        <xdr:cNvPr id="4006" name="Picture 9" descr=" ">
          <a:extLst>
            <a:ext uri="{FF2B5EF4-FFF2-40B4-BE49-F238E27FC236}">
              <a16:creationId xmlns:a16="http://schemas.microsoft.com/office/drawing/2014/main" id="{0079BF2C-FB96-4FC1-AEB1-77A953134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9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9525</xdr:colOff>
      <xdr:row>132</xdr:row>
      <xdr:rowOff>38100</xdr:rowOff>
    </xdr:to>
    <xdr:pic>
      <xdr:nvPicPr>
        <xdr:cNvPr id="4007" name="Picture 10" descr=" ">
          <a:extLst>
            <a:ext uri="{FF2B5EF4-FFF2-40B4-BE49-F238E27FC236}">
              <a16:creationId xmlns:a16="http://schemas.microsoft.com/office/drawing/2014/main" id="{226ED300-1043-4DEA-9174-E752A44E7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9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9525</xdr:colOff>
      <xdr:row>132</xdr:row>
      <xdr:rowOff>38100</xdr:rowOff>
    </xdr:to>
    <xdr:pic>
      <xdr:nvPicPr>
        <xdr:cNvPr id="4008" name="Picture 11" descr=" ">
          <a:extLst>
            <a:ext uri="{FF2B5EF4-FFF2-40B4-BE49-F238E27FC236}">
              <a16:creationId xmlns:a16="http://schemas.microsoft.com/office/drawing/2014/main" id="{5984187C-2641-4FD3-AFB4-675A1365A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9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9525</xdr:colOff>
      <xdr:row>132</xdr:row>
      <xdr:rowOff>38100</xdr:rowOff>
    </xdr:to>
    <xdr:pic>
      <xdr:nvPicPr>
        <xdr:cNvPr id="4009" name="Picture 12" descr=" ">
          <a:extLst>
            <a:ext uri="{FF2B5EF4-FFF2-40B4-BE49-F238E27FC236}">
              <a16:creationId xmlns:a16="http://schemas.microsoft.com/office/drawing/2014/main" id="{8AA8CD30-F58E-48EE-A334-D482027D8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9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</xdr:colOff>
      <xdr:row>133</xdr:row>
      <xdr:rowOff>38100</xdr:rowOff>
    </xdr:to>
    <xdr:pic>
      <xdr:nvPicPr>
        <xdr:cNvPr id="4010" name="Picture 7" descr=" ">
          <a:extLst>
            <a:ext uri="{FF2B5EF4-FFF2-40B4-BE49-F238E27FC236}">
              <a16:creationId xmlns:a16="http://schemas.microsoft.com/office/drawing/2014/main" id="{50EF5F86-F643-4D8E-85D1-C85F00C19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12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</xdr:colOff>
      <xdr:row>133</xdr:row>
      <xdr:rowOff>38100</xdr:rowOff>
    </xdr:to>
    <xdr:pic>
      <xdr:nvPicPr>
        <xdr:cNvPr id="4011" name="Picture 8" descr=" ">
          <a:extLst>
            <a:ext uri="{FF2B5EF4-FFF2-40B4-BE49-F238E27FC236}">
              <a16:creationId xmlns:a16="http://schemas.microsoft.com/office/drawing/2014/main" id="{3037E6B7-D5D6-489C-A073-041B0D557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12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</xdr:colOff>
      <xdr:row>133</xdr:row>
      <xdr:rowOff>38100</xdr:rowOff>
    </xdr:to>
    <xdr:pic>
      <xdr:nvPicPr>
        <xdr:cNvPr id="4012" name="Picture 9" descr=" ">
          <a:extLst>
            <a:ext uri="{FF2B5EF4-FFF2-40B4-BE49-F238E27FC236}">
              <a16:creationId xmlns:a16="http://schemas.microsoft.com/office/drawing/2014/main" id="{F4AD16A3-CA44-4A18-BF62-0549F39A1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12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</xdr:colOff>
      <xdr:row>133</xdr:row>
      <xdr:rowOff>38100</xdr:rowOff>
    </xdr:to>
    <xdr:pic>
      <xdr:nvPicPr>
        <xdr:cNvPr id="4013" name="Picture 10" descr=" ">
          <a:extLst>
            <a:ext uri="{FF2B5EF4-FFF2-40B4-BE49-F238E27FC236}">
              <a16:creationId xmlns:a16="http://schemas.microsoft.com/office/drawing/2014/main" id="{51E9EDA7-1722-426F-924E-E2EAECE43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12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</xdr:colOff>
      <xdr:row>133</xdr:row>
      <xdr:rowOff>38100</xdr:rowOff>
    </xdr:to>
    <xdr:pic>
      <xdr:nvPicPr>
        <xdr:cNvPr id="4014" name="Picture 11" descr=" ">
          <a:extLst>
            <a:ext uri="{FF2B5EF4-FFF2-40B4-BE49-F238E27FC236}">
              <a16:creationId xmlns:a16="http://schemas.microsoft.com/office/drawing/2014/main" id="{5F276A62-B8B0-44A8-90F2-F1BBA6D4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12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</xdr:colOff>
      <xdr:row>133</xdr:row>
      <xdr:rowOff>38100</xdr:rowOff>
    </xdr:to>
    <xdr:pic>
      <xdr:nvPicPr>
        <xdr:cNvPr id="4015" name="Picture 12" descr=" ">
          <a:extLst>
            <a:ext uri="{FF2B5EF4-FFF2-40B4-BE49-F238E27FC236}">
              <a16:creationId xmlns:a16="http://schemas.microsoft.com/office/drawing/2014/main" id="{1E8C03F3-5C76-4C81-BBBC-1565432CC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12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4016" name="Picture 7" descr=" ">
          <a:extLst>
            <a:ext uri="{FF2B5EF4-FFF2-40B4-BE49-F238E27FC236}">
              <a16:creationId xmlns:a16="http://schemas.microsoft.com/office/drawing/2014/main" id="{E7AB6E40-DC07-4402-BC8C-1DEC687B5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4017" name="Picture 8" descr=" ">
          <a:extLst>
            <a:ext uri="{FF2B5EF4-FFF2-40B4-BE49-F238E27FC236}">
              <a16:creationId xmlns:a16="http://schemas.microsoft.com/office/drawing/2014/main" id="{F56FD596-3F94-4944-9A58-4814DE3EC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4018" name="Picture 9" descr=" ">
          <a:extLst>
            <a:ext uri="{FF2B5EF4-FFF2-40B4-BE49-F238E27FC236}">
              <a16:creationId xmlns:a16="http://schemas.microsoft.com/office/drawing/2014/main" id="{7F6D81F1-37B6-4035-B6C5-BA353E5A4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4019" name="Picture 10" descr=" ">
          <a:extLst>
            <a:ext uri="{FF2B5EF4-FFF2-40B4-BE49-F238E27FC236}">
              <a16:creationId xmlns:a16="http://schemas.microsoft.com/office/drawing/2014/main" id="{5C5295BC-4327-4926-B0E2-00825ED58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4020" name="Picture 11" descr=" ">
          <a:extLst>
            <a:ext uri="{FF2B5EF4-FFF2-40B4-BE49-F238E27FC236}">
              <a16:creationId xmlns:a16="http://schemas.microsoft.com/office/drawing/2014/main" id="{48DD672B-C433-4CF0-B942-80F685FBA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4021" name="Picture 12" descr=" ">
          <a:extLst>
            <a:ext uri="{FF2B5EF4-FFF2-40B4-BE49-F238E27FC236}">
              <a16:creationId xmlns:a16="http://schemas.microsoft.com/office/drawing/2014/main" id="{B71033DD-2540-4CD3-8653-F832AB593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</xdr:colOff>
      <xdr:row>135</xdr:row>
      <xdr:rowOff>38100</xdr:rowOff>
    </xdr:to>
    <xdr:pic>
      <xdr:nvPicPr>
        <xdr:cNvPr id="4022" name="Picture 7" descr=" ">
          <a:extLst>
            <a:ext uri="{FF2B5EF4-FFF2-40B4-BE49-F238E27FC236}">
              <a16:creationId xmlns:a16="http://schemas.microsoft.com/office/drawing/2014/main" id="{656F081C-6D91-4273-8CB0-FB4A590CC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78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</xdr:colOff>
      <xdr:row>135</xdr:row>
      <xdr:rowOff>38100</xdr:rowOff>
    </xdr:to>
    <xdr:pic>
      <xdr:nvPicPr>
        <xdr:cNvPr id="4023" name="Picture 8" descr=" ">
          <a:extLst>
            <a:ext uri="{FF2B5EF4-FFF2-40B4-BE49-F238E27FC236}">
              <a16:creationId xmlns:a16="http://schemas.microsoft.com/office/drawing/2014/main" id="{19C96108-CD12-437C-A255-3B640A95C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78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</xdr:colOff>
      <xdr:row>135</xdr:row>
      <xdr:rowOff>38100</xdr:rowOff>
    </xdr:to>
    <xdr:pic>
      <xdr:nvPicPr>
        <xdr:cNvPr id="4024" name="Picture 9" descr=" ">
          <a:extLst>
            <a:ext uri="{FF2B5EF4-FFF2-40B4-BE49-F238E27FC236}">
              <a16:creationId xmlns:a16="http://schemas.microsoft.com/office/drawing/2014/main" id="{5457181D-2862-45EC-B327-C8E870731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78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</xdr:colOff>
      <xdr:row>135</xdr:row>
      <xdr:rowOff>38100</xdr:rowOff>
    </xdr:to>
    <xdr:pic>
      <xdr:nvPicPr>
        <xdr:cNvPr id="4025" name="Picture 10" descr=" ">
          <a:extLst>
            <a:ext uri="{FF2B5EF4-FFF2-40B4-BE49-F238E27FC236}">
              <a16:creationId xmlns:a16="http://schemas.microsoft.com/office/drawing/2014/main" id="{1E8DA189-3B26-4554-890D-EDC000734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78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</xdr:colOff>
      <xdr:row>135</xdr:row>
      <xdr:rowOff>38100</xdr:rowOff>
    </xdr:to>
    <xdr:pic>
      <xdr:nvPicPr>
        <xdr:cNvPr id="4026" name="Picture 11" descr=" ">
          <a:extLst>
            <a:ext uri="{FF2B5EF4-FFF2-40B4-BE49-F238E27FC236}">
              <a16:creationId xmlns:a16="http://schemas.microsoft.com/office/drawing/2014/main" id="{90CFD0DF-A2B4-4CF9-854E-02FABC28E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78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</xdr:colOff>
      <xdr:row>135</xdr:row>
      <xdr:rowOff>38100</xdr:rowOff>
    </xdr:to>
    <xdr:pic>
      <xdr:nvPicPr>
        <xdr:cNvPr id="4027" name="Picture 12" descr=" ">
          <a:extLst>
            <a:ext uri="{FF2B5EF4-FFF2-40B4-BE49-F238E27FC236}">
              <a16:creationId xmlns:a16="http://schemas.microsoft.com/office/drawing/2014/main" id="{D79C3CE3-B26D-4C20-966B-5144886E0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78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</xdr:colOff>
      <xdr:row>136</xdr:row>
      <xdr:rowOff>38100</xdr:rowOff>
    </xdr:to>
    <xdr:pic>
      <xdr:nvPicPr>
        <xdr:cNvPr id="4028" name="Picture 7" descr=" ">
          <a:extLst>
            <a:ext uri="{FF2B5EF4-FFF2-40B4-BE49-F238E27FC236}">
              <a16:creationId xmlns:a16="http://schemas.microsoft.com/office/drawing/2014/main" id="{51175886-D1D5-4AAC-912A-91D72A578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61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</xdr:colOff>
      <xdr:row>136</xdr:row>
      <xdr:rowOff>38100</xdr:rowOff>
    </xdr:to>
    <xdr:pic>
      <xdr:nvPicPr>
        <xdr:cNvPr id="4029" name="Picture 8" descr=" ">
          <a:extLst>
            <a:ext uri="{FF2B5EF4-FFF2-40B4-BE49-F238E27FC236}">
              <a16:creationId xmlns:a16="http://schemas.microsoft.com/office/drawing/2014/main" id="{DDC476EE-055B-408C-9876-90CB1E7D1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61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</xdr:colOff>
      <xdr:row>136</xdr:row>
      <xdr:rowOff>38100</xdr:rowOff>
    </xdr:to>
    <xdr:pic>
      <xdr:nvPicPr>
        <xdr:cNvPr id="4030" name="Picture 9" descr=" ">
          <a:extLst>
            <a:ext uri="{FF2B5EF4-FFF2-40B4-BE49-F238E27FC236}">
              <a16:creationId xmlns:a16="http://schemas.microsoft.com/office/drawing/2014/main" id="{18A9BB04-B441-4093-BC76-7C074DEF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61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</xdr:colOff>
      <xdr:row>136</xdr:row>
      <xdr:rowOff>38100</xdr:rowOff>
    </xdr:to>
    <xdr:pic>
      <xdr:nvPicPr>
        <xdr:cNvPr id="4031" name="Picture 10" descr=" ">
          <a:extLst>
            <a:ext uri="{FF2B5EF4-FFF2-40B4-BE49-F238E27FC236}">
              <a16:creationId xmlns:a16="http://schemas.microsoft.com/office/drawing/2014/main" id="{CF60DDCC-DDD8-4375-9F38-586716953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61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</xdr:colOff>
      <xdr:row>136</xdr:row>
      <xdr:rowOff>38100</xdr:rowOff>
    </xdr:to>
    <xdr:pic>
      <xdr:nvPicPr>
        <xdr:cNvPr id="4032" name="Picture 11" descr=" ">
          <a:extLst>
            <a:ext uri="{FF2B5EF4-FFF2-40B4-BE49-F238E27FC236}">
              <a16:creationId xmlns:a16="http://schemas.microsoft.com/office/drawing/2014/main" id="{7E1DECCC-22F0-43C7-937B-1DA5D54A0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61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</xdr:colOff>
      <xdr:row>136</xdr:row>
      <xdr:rowOff>38100</xdr:rowOff>
    </xdr:to>
    <xdr:pic>
      <xdr:nvPicPr>
        <xdr:cNvPr id="4033" name="Picture 12" descr=" ">
          <a:extLst>
            <a:ext uri="{FF2B5EF4-FFF2-40B4-BE49-F238E27FC236}">
              <a16:creationId xmlns:a16="http://schemas.microsoft.com/office/drawing/2014/main" id="{7ACF4562-F6AA-43A8-9240-FCD370507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61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</xdr:colOff>
      <xdr:row>137</xdr:row>
      <xdr:rowOff>38100</xdr:rowOff>
    </xdr:to>
    <xdr:pic>
      <xdr:nvPicPr>
        <xdr:cNvPr id="4034" name="Picture 7" descr=" ">
          <a:extLst>
            <a:ext uri="{FF2B5EF4-FFF2-40B4-BE49-F238E27FC236}">
              <a16:creationId xmlns:a16="http://schemas.microsoft.com/office/drawing/2014/main" id="{92A18A54-6E76-4590-9DF9-17823C753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44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</xdr:colOff>
      <xdr:row>137</xdr:row>
      <xdr:rowOff>38100</xdr:rowOff>
    </xdr:to>
    <xdr:pic>
      <xdr:nvPicPr>
        <xdr:cNvPr id="4035" name="Picture 8" descr=" ">
          <a:extLst>
            <a:ext uri="{FF2B5EF4-FFF2-40B4-BE49-F238E27FC236}">
              <a16:creationId xmlns:a16="http://schemas.microsoft.com/office/drawing/2014/main" id="{AC6BB2C2-7F89-45C1-9B39-18AF1C661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44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</xdr:colOff>
      <xdr:row>137</xdr:row>
      <xdr:rowOff>38100</xdr:rowOff>
    </xdr:to>
    <xdr:pic>
      <xdr:nvPicPr>
        <xdr:cNvPr id="4036" name="Picture 9" descr=" ">
          <a:extLst>
            <a:ext uri="{FF2B5EF4-FFF2-40B4-BE49-F238E27FC236}">
              <a16:creationId xmlns:a16="http://schemas.microsoft.com/office/drawing/2014/main" id="{07F4D2F6-FFA1-4D2B-B84A-A5887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44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</xdr:colOff>
      <xdr:row>137</xdr:row>
      <xdr:rowOff>38100</xdr:rowOff>
    </xdr:to>
    <xdr:pic>
      <xdr:nvPicPr>
        <xdr:cNvPr id="4037" name="Picture 10" descr=" ">
          <a:extLst>
            <a:ext uri="{FF2B5EF4-FFF2-40B4-BE49-F238E27FC236}">
              <a16:creationId xmlns:a16="http://schemas.microsoft.com/office/drawing/2014/main" id="{9EA17E89-840E-4B65-884A-95D627033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44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</xdr:colOff>
      <xdr:row>137</xdr:row>
      <xdr:rowOff>38100</xdr:rowOff>
    </xdr:to>
    <xdr:pic>
      <xdr:nvPicPr>
        <xdr:cNvPr id="4038" name="Picture 11" descr=" ">
          <a:extLst>
            <a:ext uri="{FF2B5EF4-FFF2-40B4-BE49-F238E27FC236}">
              <a16:creationId xmlns:a16="http://schemas.microsoft.com/office/drawing/2014/main" id="{3CB6140D-2746-4C6E-A3F0-F7CE7C753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44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</xdr:colOff>
      <xdr:row>137</xdr:row>
      <xdr:rowOff>38100</xdr:rowOff>
    </xdr:to>
    <xdr:pic>
      <xdr:nvPicPr>
        <xdr:cNvPr id="4039" name="Picture 12" descr=" ">
          <a:extLst>
            <a:ext uri="{FF2B5EF4-FFF2-40B4-BE49-F238E27FC236}">
              <a16:creationId xmlns:a16="http://schemas.microsoft.com/office/drawing/2014/main" id="{4F9E6674-C7CE-42CE-ADA2-C153C2E52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44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9525</xdr:colOff>
      <xdr:row>141</xdr:row>
      <xdr:rowOff>38100</xdr:rowOff>
    </xdr:to>
    <xdr:pic>
      <xdr:nvPicPr>
        <xdr:cNvPr id="4040" name="Picture 7" descr=" ">
          <a:extLst>
            <a:ext uri="{FF2B5EF4-FFF2-40B4-BE49-F238E27FC236}">
              <a16:creationId xmlns:a16="http://schemas.microsoft.com/office/drawing/2014/main" id="{A1E85792-8C3A-41B8-8EF2-55C0121E3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26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9525</xdr:colOff>
      <xdr:row>141</xdr:row>
      <xdr:rowOff>38100</xdr:rowOff>
    </xdr:to>
    <xdr:pic>
      <xdr:nvPicPr>
        <xdr:cNvPr id="4041" name="Picture 8" descr=" ">
          <a:extLst>
            <a:ext uri="{FF2B5EF4-FFF2-40B4-BE49-F238E27FC236}">
              <a16:creationId xmlns:a16="http://schemas.microsoft.com/office/drawing/2014/main" id="{91CC3C01-3F23-4F43-8B50-EBC20C17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26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9525</xdr:colOff>
      <xdr:row>141</xdr:row>
      <xdr:rowOff>38100</xdr:rowOff>
    </xdr:to>
    <xdr:pic>
      <xdr:nvPicPr>
        <xdr:cNvPr id="4042" name="Picture 9" descr=" ">
          <a:extLst>
            <a:ext uri="{FF2B5EF4-FFF2-40B4-BE49-F238E27FC236}">
              <a16:creationId xmlns:a16="http://schemas.microsoft.com/office/drawing/2014/main" id="{F88B17B0-FB78-4BCB-8CD6-B58B52F69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26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9525</xdr:colOff>
      <xdr:row>141</xdr:row>
      <xdr:rowOff>38100</xdr:rowOff>
    </xdr:to>
    <xdr:pic>
      <xdr:nvPicPr>
        <xdr:cNvPr id="4043" name="Picture 10" descr=" ">
          <a:extLst>
            <a:ext uri="{FF2B5EF4-FFF2-40B4-BE49-F238E27FC236}">
              <a16:creationId xmlns:a16="http://schemas.microsoft.com/office/drawing/2014/main" id="{3BFEFE25-DB7A-4EC6-BC5B-37328F291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26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9525</xdr:colOff>
      <xdr:row>141</xdr:row>
      <xdr:rowOff>38100</xdr:rowOff>
    </xdr:to>
    <xdr:pic>
      <xdr:nvPicPr>
        <xdr:cNvPr id="4044" name="Picture 11" descr=" ">
          <a:extLst>
            <a:ext uri="{FF2B5EF4-FFF2-40B4-BE49-F238E27FC236}">
              <a16:creationId xmlns:a16="http://schemas.microsoft.com/office/drawing/2014/main" id="{48FD4FCB-406D-4684-87DE-698F4878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26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9525</xdr:colOff>
      <xdr:row>141</xdr:row>
      <xdr:rowOff>38100</xdr:rowOff>
    </xdr:to>
    <xdr:pic>
      <xdr:nvPicPr>
        <xdr:cNvPr id="4045" name="Picture 12" descr=" ">
          <a:extLst>
            <a:ext uri="{FF2B5EF4-FFF2-40B4-BE49-F238E27FC236}">
              <a16:creationId xmlns:a16="http://schemas.microsoft.com/office/drawing/2014/main" id="{C4B24FA1-CBEB-4FC3-934E-C93C623FE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26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9525</xdr:colOff>
      <xdr:row>142</xdr:row>
      <xdr:rowOff>38100</xdr:rowOff>
    </xdr:to>
    <xdr:pic>
      <xdr:nvPicPr>
        <xdr:cNvPr id="4046" name="Picture 7" descr=" ">
          <a:extLst>
            <a:ext uri="{FF2B5EF4-FFF2-40B4-BE49-F238E27FC236}">
              <a16:creationId xmlns:a16="http://schemas.microsoft.com/office/drawing/2014/main" id="{F7DFC0CF-66AF-405E-9C74-4A31C7AC3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09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9525</xdr:colOff>
      <xdr:row>142</xdr:row>
      <xdr:rowOff>38100</xdr:rowOff>
    </xdr:to>
    <xdr:pic>
      <xdr:nvPicPr>
        <xdr:cNvPr id="4047" name="Picture 8" descr=" ">
          <a:extLst>
            <a:ext uri="{FF2B5EF4-FFF2-40B4-BE49-F238E27FC236}">
              <a16:creationId xmlns:a16="http://schemas.microsoft.com/office/drawing/2014/main" id="{5EACEDD6-61E7-4AFD-814A-58EE11C6B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09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9525</xdr:colOff>
      <xdr:row>142</xdr:row>
      <xdr:rowOff>38100</xdr:rowOff>
    </xdr:to>
    <xdr:pic>
      <xdr:nvPicPr>
        <xdr:cNvPr id="4048" name="Picture 9" descr=" ">
          <a:extLst>
            <a:ext uri="{FF2B5EF4-FFF2-40B4-BE49-F238E27FC236}">
              <a16:creationId xmlns:a16="http://schemas.microsoft.com/office/drawing/2014/main" id="{A3266ECD-7B01-4044-972B-45075B570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09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9525</xdr:colOff>
      <xdr:row>142</xdr:row>
      <xdr:rowOff>38100</xdr:rowOff>
    </xdr:to>
    <xdr:pic>
      <xdr:nvPicPr>
        <xdr:cNvPr id="4049" name="Picture 10" descr=" ">
          <a:extLst>
            <a:ext uri="{FF2B5EF4-FFF2-40B4-BE49-F238E27FC236}">
              <a16:creationId xmlns:a16="http://schemas.microsoft.com/office/drawing/2014/main" id="{FFF75D04-3DB0-4AF3-ADF6-0C75B064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09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9525</xdr:colOff>
      <xdr:row>142</xdr:row>
      <xdr:rowOff>38100</xdr:rowOff>
    </xdr:to>
    <xdr:pic>
      <xdr:nvPicPr>
        <xdr:cNvPr id="4050" name="Picture 11" descr=" ">
          <a:extLst>
            <a:ext uri="{FF2B5EF4-FFF2-40B4-BE49-F238E27FC236}">
              <a16:creationId xmlns:a16="http://schemas.microsoft.com/office/drawing/2014/main" id="{4BE2AE74-833C-429C-9438-A5C575D31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09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9525</xdr:colOff>
      <xdr:row>142</xdr:row>
      <xdr:rowOff>38100</xdr:rowOff>
    </xdr:to>
    <xdr:pic>
      <xdr:nvPicPr>
        <xdr:cNvPr id="4051" name="Picture 12" descr=" ">
          <a:extLst>
            <a:ext uri="{FF2B5EF4-FFF2-40B4-BE49-F238E27FC236}">
              <a16:creationId xmlns:a16="http://schemas.microsoft.com/office/drawing/2014/main" id="{8E3ED7C8-BF85-4AEF-B2D5-3125D5FE4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09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9525</xdr:colOff>
      <xdr:row>143</xdr:row>
      <xdr:rowOff>38100</xdr:rowOff>
    </xdr:to>
    <xdr:pic>
      <xdr:nvPicPr>
        <xdr:cNvPr id="4052" name="Picture 7" descr=" ">
          <a:extLst>
            <a:ext uri="{FF2B5EF4-FFF2-40B4-BE49-F238E27FC236}">
              <a16:creationId xmlns:a16="http://schemas.microsoft.com/office/drawing/2014/main" id="{83B1E22C-E3A1-498A-AE34-7FEEF1780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92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9525</xdr:colOff>
      <xdr:row>143</xdr:row>
      <xdr:rowOff>38100</xdr:rowOff>
    </xdr:to>
    <xdr:pic>
      <xdr:nvPicPr>
        <xdr:cNvPr id="4053" name="Picture 8" descr=" ">
          <a:extLst>
            <a:ext uri="{FF2B5EF4-FFF2-40B4-BE49-F238E27FC236}">
              <a16:creationId xmlns:a16="http://schemas.microsoft.com/office/drawing/2014/main" id="{5E8EF0B4-EF5B-47AD-B337-B4541AD3D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92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9525</xdr:colOff>
      <xdr:row>143</xdr:row>
      <xdr:rowOff>38100</xdr:rowOff>
    </xdr:to>
    <xdr:pic>
      <xdr:nvPicPr>
        <xdr:cNvPr id="4054" name="Picture 9" descr=" ">
          <a:extLst>
            <a:ext uri="{FF2B5EF4-FFF2-40B4-BE49-F238E27FC236}">
              <a16:creationId xmlns:a16="http://schemas.microsoft.com/office/drawing/2014/main" id="{5EA069BE-7604-4F05-B202-6A4AA7CCA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92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9525</xdr:colOff>
      <xdr:row>143</xdr:row>
      <xdr:rowOff>38100</xdr:rowOff>
    </xdr:to>
    <xdr:pic>
      <xdr:nvPicPr>
        <xdr:cNvPr id="4055" name="Picture 10" descr=" ">
          <a:extLst>
            <a:ext uri="{FF2B5EF4-FFF2-40B4-BE49-F238E27FC236}">
              <a16:creationId xmlns:a16="http://schemas.microsoft.com/office/drawing/2014/main" id="{F0835D57-047F-4AC6-9F3F-B31766D6D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92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9525</xdr:colOff>
      <xdr:row>143</xdr:row>
      <xdr:rowOff>38100</xdr:rowOff>
    </xdr:to>
    <xdr:pic>
      <xdr:nvPicPr>
        <xdr:cNvPr id="4056" name="Picture 11" descr=" ">
          <a:extLst>
            <a:ext uri="{FF2B5EF4-FFF2-40B4-BE49-F238E27FC236}">
              <a16:creationId xmlns:a16="http://schemas.microsoft.com/office/drawing/2014/main" id="{104EBD79-6EE7-4797-937E-22E66BC96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92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9525</xdr:colOff>
      <xdr:row>143</xdr:row>
      <xdr:rowOff>38100</xdr:rowOff>
    </xdr:to>
    <xdr:pic>
      <xdr:nvPicPr>
        <xdr:cNvPr id="4057" name="Picture 12" descr=" ">
          <a:extLst>
            <a:ext uri="{FF2B5EF4-FFF2-40B4-BE49-F238E27FC236}">
              <a16:creationId xmlns:a16="http://schemas.microsoft.com/office/drawing/2014/main" id="{F4DDF626-48B9-4C12-A3A4-612BFC10F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92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9525</xdr:colOff>
      <xdr:row>144</xdr:row>
      <xdr:rowOff>38100</xdr:rowOff>
    </xdr:to>
    <xdr:pic>
      <xdr:nvPicPr>
        <xdr:cNvPr id="4058" name="Picture 7" descr=" ">
          <a:extLst>
            <a:ext uri="{FF2B5EF4-FFF2-40B4-BE49-F238E27FC236}">
              <a16:creationId xmlns:a16="http://schemas.microsoft.com/office/drawing/2014/main" id="{A9A43EFB-6291-403D-84BF-EECEA3B56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75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9525</xdr:colOff>
      <xdr:row>144</xdr:row>
      <xdr:rowOff>38100</xdr:rowOff>
    </xdr:to>
    <xdr:pic>
      <xdr:nvPicPr>
        <xdr:cNvPr id="4059" name="Picture 8" descr=" ">
          <a:extLst>
            <a:ext uri="{FF2B5EF4-FFF2-40B4-BE49-F238E27FC236}">
              <a16:creationId xmlns:a16="http://schemas.microsoft.com/office/drawing/2014/main" id="{851A68CE-A79B-47FE-811B-C649759AC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75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9525</xdr:colOff>
      <xdr:row>144</xdr:row>
      <xdr:rowOff>38100</xdr:rowOff>
    </xdr:to>
    <xdr:pic>
      <xdr:nvPicPr>
        <xdr:cNvPr id="4060" name="Picture 9" descr=" ">
          <a:extLst>
            <a:ext uri="{FF2B5EF4-FFF2-40B4-BE49-F238E27FC236}">
              <a16:creationId xmlns:a16="http://schemas.microsoft.com/office/drawing/2014/main" id="{F079F9FB-B23F-428D-9B39-9ADD6E28A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75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9525</xdr:colOff>
      <xdr:row>144</xdr:row>
      <xdr:rowOff>38100</xdr:rowOff>
    </xdr:to>
    <xdr:pic>
      <xdr:nvPicPr>
        <xdr:cNvPr id="4061" name="Picture 10" descr=" ">
          <a:extLst>
            <a:ext uri="{FF2B5EF4-FFF2-40B4-BE49-F238E27FC236}">
              <a16:creationId xmlns:a16="http://schemas.microsoft.com/office/drawing/2014/main" id="{29E34372-62E2-4CF5-8160-00C19D9E2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75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9525</xdr:colOff>
      <xdr:row>144</xdr:row>
      <xdr:rowOff>38100</xdr:rowOff>
    </xdr:to>
    <xdr:pic>
      <xdr:nvPicPr>
        <xdr:cNvPr id="4062" name="Picture 11" descr=" ">
          <a:extLst>
            <a:ext uri="{FF2B5EF4-FFF2-40B4-BE49-F238E27FC236}">
              <a16:creationId xmlns:a16="http://schemas.microsoft.com/office/drawing/2014/main" id="{6F8FD8F2-FC6C-4E70-95C9-E71238422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75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9525</xdr:colOff>
      <xdr:row>144</xdr:row>
      <xdr:rowOff>38100</xdr:rowOff>
    </xdr:to>
    <xdr:pic>
      <xdr:nvPicPr>
        <xdr:cNvPr id="4063" name="Picture 12" descr=" ">
          <a:extLst>
            <a:ext uri="{FF2B5EF4-FFF2-40B4-BE49-F238E27FC236}">
              <a16:creationId xmlns:a16="http://schemas.microsoft.com/office/drawing/2014/main" id="{0EEEF0AC-0D95-4D8D-BDE3-1DCDF470A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75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38100</xdr:rowOff>
    </xdr:to>
    <xdr:pic>
      <xdr:nvPicPr>
        <xdr:cNvPr id="4064" name="Picture 7" descr=" ">
          <a:extLst>
            <a:ext uri="{FF2B5EF4-FFF2-40B4-BE49-F238E27FC236}">
              <a16:creationId xmlns:a16="http://schemas.microsoft.com/office/drawing/2014/main" id="{C1C994A2-45D9-4EA6-B3F2-58E3FB88C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58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38100</xdr:rowOff>
    </xdr:to>
    <xdr:pic>
      <xdr:nvPicPr>
        <xdr:cNvPr id="4065" name="Picture 8" descr=" ">
          <a:extLst>
            <a:ext uri="{FF2B5EF4-FFF2-40B4-BE49-F238E27FC236}">
              <a16:creationId xmlns:a16="http://schemas.microsoft.com/office/drawing/2014/main" id="{EF20D789-10E5-4DF0-A512-BC85B39F6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58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38100</xdr:rowOff>
    </xdr:to>
    <xdr:pic>
      <xdr:nvPicPr>
        <xdr:cNvPr id="4066" name="Picture 9" descr=" ">
          <a:extLst>
            <a:ext uri="{FF2B5EF4-FFF2-40B4-BE49-F238E27FC236}">
              <a16:creationId xmlns:a16="http://schemas.microsoft.com/office/drawing/2014/main" id="{F01F8802-1D99-4DCC-98F4-FDE97D03E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58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38100</xdr:rowOff>
    </xdr:to>
    <xdr:pic>
      <xdr:nvPicPr>
        <xdr:cNvPr id="4067" name="Picture 10" descr=" ">
          <a:extLst>
            <a:ext uri="{FF2B5EF4-FFF2-40B4-BE49-F238E27FC236}">
              <a16:creationId xmlns:a16="http://schemas.microsoft.com/office/drawing/2014/main" id="{A13BCD18-AA90-411D-A360-9496B5212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58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38100</xdr:rowOff>
    </xdr:to>
    <xdr:pic>
      <xdr:nvPicPr>
        <xdr:cNvPr id="4068" name="Picture 11" descr=" ">
          <a:extLst>
            <a:ext uri="{FF2B5EF4-FFF2-40B4-BE49-F238E27FC236}">
              <a16:creationId xmlns:a16="http://schemas.microsoft.com/office/drawing/2014/main" id="{9BE69135-AEED-4B4F-A3BC-02C6990A1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58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</xdr:colOff>
      <xdr:row>145</xdr:row>
      <xdr:rowOff>38100</xdr:rowOff>
    </xdr:to>
    <xdr:pic>
      <xdr:nvPicPr>
        <xdr:cNvPr id="4069" name="Picture 12" descr=" ">
          <a:extLst>
            <a:ext uri="{FF2B5EF4-FFF2-40B4-BE49-F238E27FC236}">
              <a16:creationId xmlns:a16="http://schemas.microsoft.com/office/drawing/2014/main" id="{894F3FEF-FEF2-4014-8DBB-CA814AF4C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58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38100</xdr:rowOff>
    </xdr:to>
    <xdr:pic>
      <xdr:nvPicPr>
        <xdr:cNvPr id="4070" name="Picture 7" descr=" ">
          <a:extLst>
            <a:ext uri="{FF2B5EF4-FFF2-40B4-BE49-F238E27FC236}">
              <a16:creationId xmlns:a16="http://schemas.microsoft.com/office/drawing/2014/main" id="{BA277FDA-7FA1-47C5-AC5D-330E32B4E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38100</xdr:rowOff>
    </xdr:to>
    <xdr:pic>
      <xdr:nvPicPr>
        <xdr:cNvPr id="4071" name="Picture 8" descr=" ">
          <a:extLst>
            <a:ext uri="{FF2B5EF4-FFF2-40B4-BE49-F238E27FC236}">
              <a16:creationId xmlns:a16="http://schemas.microsoft.com/office/drawing/2014/main" id="{95201322-50F5-49B0-AA61-69CD27B91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38100</xdr:rowOff>
    </xdr:to>
    <xdr:pic>
      <xdr:nvPicPr>
        <xdr:cNvPr id="4072" name="Picture 9" descr=" ">
          <a:extLst>
            <a:ext uri="{FF2B5EF4-FFF2-40B4-BE49-F238E27FC236}">
              <a16:creationId xmlns:a16="http://schemas.microsoft.com/office/drawing/2014/main" id="{1CC8C75F-6D4F-4362-B1EE-05AB7BA63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38100</xdr:rowOff>
    </xdr:to>
    <xdr:pic>
      <xdr:nvPicPr>
        <xdr:cNvPr id="4073" name="Picture 10" descr=" ">
          <a:extLst>
            <a:ext uri="{FF2B5EF4-FFF2-40B4-BE49-F238E27FC236}">
              <a16:creationId xmlns:a16="http://schemas.microsoft.com/office/drawing/2014/main" id="{91F59799-F148-4F43-B92C-741122BF3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38100</xdr:rowOff>
    </xdr:to>
    <xdr:pic>
      <xdr:nvPicPr>
        <xdr:cNvPr id="4074" name="Picture 11" descr=" ">
          <a:extLst>
            <a:ext uri="{FF2B5EF4-FFF2-40B4-BE49-F238E27FC236}">
              <a16:creationId xmlns:a16="http://schemas.microsoft.com/office/drawing/2014/main" id="{D7856EB4-672B-4E51-B771-4C4E88F80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</xdr:colOff>
      <xdr:row>146</xdr:row>
      <xdr:rowOff>38100</xdr:rowOff>
    </xdr:to>
    <xdr:pic>
      <xdr:nvPicPr>
        <xdr:cNvPr id="4075" name="Picture 12" descr=" ">
          <a:extLst>
            <a:ext uri="{FF2B5EF4-FFF2-40B4-BE49-F238E27FC236}">
              <a16:creationId xmlns:a16="http://schemas.microsoft.com/office/drawing/2014/main" id="{5B834F2B-A666-431F-A860-E1AB35839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</xdr:colOff>
      <xdr:row>147</xdr:row>
      <xdr:rowOff>38100</xdr:rowOff>
    </xdr:to>
    <xdr:pic>
      <xdr:nvPicPr>
        <xdr:cNvPr id="4076" name="Picture 7" descr=" ">
          <a:extLst>
            <a:ext uri="{FF2B5EF4-FFF2-40B4-BE49-F238E27FC236}">
              <a16:creationId xmlns:a16="http://schemas.microsoft.com/office/drawing/2014/main" id="{FE39BB0C-29EC-4882-9635-C976E2B30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24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</xdr:colOff>
      <xdr:row>147</xdr:row>
      <xdr:rowOff>38100</xdr:rowOff>
    </xdr:to>
    <xdr:pic>
      <xdr:nvPicPr>
        <xdr:cNvPr id="4077" name="Picture 8" descr=" ">
          <a:extLst>
            <a:ext uri="{FF2B5EF4-FFF2-40B4-BE49-F238E27FC236}">
              <a16:creationId xmlns:a16="http://schemas.microsoft.com/office/drawing/2014/main" id="{DD8FAF0A-5445-4AD9-A959-48A1FC5D8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24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</xdr:colOff>
      <xdr:row>147</xdr:row>
      <xdr:rowOff>38100</xdr:rowOff>
    </xdr:to>
    <xdr:pic>
      <xdr:nvPicPr>
        <xdr:cNvPr id="4078" name="Picture 9" descr=" ">
          <a:extLst>
            <a:ext uri="{FF2B5EF4-FFF2-40B4-BE49-F238E27FC236}">
              <a16:creationId xmlns:a16="http://schemas.microsoft.com/office/drawing/2014/main" id="{B7991DC9-8FF0-4A60-AA11-5044BE28C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24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</xdr:colOff>
      <xdr:row>147</xdr:row>
      <xdr:rowOff>38100</xdr:rowOff>
    </xdr:to>
    <xdr:pic>
      <xdr:nvPicPr>
        <xdr:cNvPr id="4079" name="Picture 10" descr=" ">
          <a:extLst>
            <a:ext uri="{FF2B5EF4-FFF2-40B4-BE49-F238E27FC236}">
              <a16:creationId xmlns:a16="http://schemas.microsoft.com/office/drawing/2014/main" id="{92111471-750C-496F-892B-15A81E568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24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</xdr:colOff>
      <xdr:row>147</xdr:row>
      <xdr:rowOff>38100</xdr:rowOff>
    </xdr:to>
    <xdr:pic>
      <xdr:nvPicPr>
        <xdr:cNvPr id="4080" name="Picture 11" descr=" ">
          <a:extLst>
            <a:ext uri="{FF2B5EF4-FFF2-40B4-BE49-F238E27FC236}">
              <a16:creationId xmlns:a16="http://schemas.microsoft.com/office/drawing/2014/main" id="{ADEE0CC0-1285-48A9-98FB-3179ACB75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24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</xdr:colOff>
      <xdr:row>147</xdr:row>
      <xdr:rowOff>38100</xdr:rowOff>
    </xdr:to>
    <xdr:pic>
      <xdr:nvPicPr>
        <xdr:cNvPr id="4081" name="Picture 12" descr=" ">
          <a:extLst>
            <a:ext uri="{FF2B5EF4-FFF2-40B4-BE49-F238E27FC236}">
              <a16:creationId xmlns:a16="http://schemas.microsoft.com/office/drawing/2014/main" id="{3E86686D-8B3C-4E10-8EF4-AB1B9EDA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24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9525</xdr:colOff>
      <xdr:row>148</xdr:row>
      <xdr:rowOff>53340</xdr:rowOff>
    </xdr:to>
    <xdr:pic>
      <xdr:nvPicPr>
        <xdr:cNvPr id="4082" name="Picture 7" descr=" ">
          <a:extLst>
            <a:ext uri="{FF2B5EF4-FFF2-40B4-BE49-F238E27FC236}">
              <a16:creationId xmlns:a16="http://schemas.microsoft.com/office/drawing/2014/main" id="{F658F963-3CA6-45E3-A712-C5DF07F7B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07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9525</xdr:colOff>
      <xdr:row>148</xdr:row>
      <xdr:rowOff>53340</xdr:rowOff>
    </xdr:to>
    <xdr:pic>
      <xdr:nvPicPr>
        <xdr:cNvPr id="4083" name="Picture 8" descr=" ">
          <a:extLst>
            <a:ext uri="{FF2B5EF4-FFF2-40B4-BE49-F238E27FC236}">
              <a16:creationId xmlns:a16="http://schemas.microsoft.com/office/drawing/2014/main" id="{48095000-3A67-4294-97EC-38AF9B502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07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9525</xdr:colOff>
      <xdr:row>148</xdr:row>
      <xdr:rowOff>53340</xdr:rowOff>
    </xdr:to>
    <xdr:pic>
      <xdr:nvPicPr>
        <xdr:cNvPr id="4084" name="Picture 9" descr=" ">
          <a:extLst>
            <a:ext uri="{FF2B5EF4-FFF2-40B4-BE49-F238E27FC236}">
              <a16:creationId xmlns:a16="http://schemas.microsoft.com/office/drawing/2014/main" id="{91778AF7-D4D0-42C1-B754-058502465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07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9525</xdr:colOff>
      <xdr:row>148</xdr:row>
      <xdr:rowOff>53340</xdr:rowOff>
    </xdr:to>
    <xdr:pic>
      <xdr:nvPicPr>
        <xdr:cNvPr id="4085" name="Picture 10" descr=" ">
          <a:extLst>
            <a:ext uri="{FF2B5EF4-FFF2-40B4-BE49-F238E27FC236}">
              <a16:creationId xmlns:a16="http://schemas.microsoft.com/office/drawing/2014/main" id="{C4FF2292-FD4D-408D-9F8B-CDB3FB7ED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07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9525</xdr:colOff>
      <xdr:row>148</xdr:row>
      <xdr:rowOff>53340</xdr:rowOff>
    </xdr:to>
    <xdr:pic>
      <xdr:nvPicPr>
        <xdr:cNvPr id="4086" name="Picture 11" descr=" ">
          <a:extLst>
            <a:ext uri="{FF2B5EF4-FFF2-40B4-BE49-F238E27FC236}">
              <a16:creationId xmlns:a16="http://schemas.microsoft.com/office/drawing/2014/main" id="{74150FFD-2072-418A-9676-88E122DF3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07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9525</xdr:colOff>
      <xdr:row>148</xdr:row>
      <xdr:rowOff>53340</xdr:rowOff>
    </xdr:to>
    <xdr:pic>
      <xdr:nvPicPr>
        <xdr:cNvPr id="4087" name="Picture 12" descr=" ">
          <a:extLst>
            <a:ext uri="{FF2B5EF4-FFF2-40B4-BE49-F238E27FC236}">
              <a16:creationId xmlns:a16="http://schemas.microsoft.com/office/drawing/2014/main" id="{5884A243-3A19-458D-8B68-945D7CFC1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007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</xdr:colOff>
      <xdr:row>149</xdr:row>
      <xdr:rowOff>53340</xdr:rowOff>
    </xdr:to>
    <xdr:pic>
      <xdr:nvPicPr>
        <xdr:cNvPr id="4088" name="Picture 7" descr=" ">
          <a:extLst>
            <a:ext uri="{FF2B5EF4-FFF2-40B4-BE49-F238E27FC236}">
              <a16:creationId xmlns:a16="http://schemas.microsoft.com/office/drawing/2014/main" id="{7F57C6E7-9EE9-42AC-A8A4-049BF666F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89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</xdr:colOff>
      <xdr:row>149</xdr:row>
      <xdr:rowOff>53340</xdr:rowOff>
    </xdr:to>
    <xdr:pic>
      <xdr:nvPicPr>
        <xdr:cNvPr id="4089" name="Picture 8" descr=" ">
          <a:extLst>
            <a:ext uri="{FF2B5EF4-FFF2-40B4-BE49-F238E27FC236}">
              <a16:creationId xmlns:a16="http://schemas.microsoft.com/office/drawing/2014/main" id="{0108B3B2-3F6E-4672-AFB5-3B3179968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89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</xdr:colOff>
      <xdr:row>149</xdr:row>
      <xdr:rowOff>53340</xdr:rowOff>
    </xdr:to>
    <xdr:pic>
      <xdr:nvPicPr>
        <xdr:cNvPr id="4090" name="Picture 9" descr=" ">
          <a:extLst>
            <a:ext uri="{FF2B5EF4-FFF2-40B4-BE49-F238E27FC236}">
              <a16:creationId xmlns:a16="http://schemas.microsoft.com/office/drawing/2014/main" id="{462DC735-5915-40AC-B432-DEB1933AD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89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</xdr:colOff>
      <xdr:row>149</xdr:row>
      <xdr:rowOff>53340</xdr:rowOff>
    </xdr:to>
    <xdr:pic>
      <xdr:nvPicPr>
        <xdr:cNvPr id="4091" name="Picture 10" descr=" ">
          <a:extLst>
            <a:ext uri="{FF2B5EF4-FFF2-40B4-BE49-F238E27FC236}">
              <a16:creationId xmlns:a16="http://schemas.microsoft.com/office/drawing/2014/main" id="{494A2DCD-000A-4882-8109-88129D477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89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</xdr:colOff>
      <xdr:row>149</xdr:row>
      <xdr:rowOff>53340</xdr:rowOff>
    </xdr:to>
    <xdr:pic>
      <xdr:nvPicPr>
        <xdr:cNvPr id="4092" name="Picture 11" descr=" ">
          <a:extLst>
            <a:ext uri="{FF2B5EF4-FFF2-40B4-BE49-F238E27FC236}">
              <a16:creationId xmlns:a16="http://schemas.microsoft.com/office/drawing/2014/main" id="{ECE3A31A-BBF3-47D9-B5A5-4BCA84215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89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</xdr:colOff>
      <xdr:row>149</xdr:row>
      <xdr:rowOff>53340</xdr:rowOff>
    </xdr:to>
    <xdr:pic>
      <xdr:nvPicPr>
        <xdr:cNvPr id="4093" name="Picture 12" descr=" ">
          <a:extLst>
            <a:ext uri="{FF2B5EF4-FFF2-40B4-BE49-F238E27FC236}">
              <a16:creationId xmlns:a16="http://schemas.microsoft.com/office/drawing/2014/main" id="{12336B1D-E7B7-4968-A4E9-53322B8F3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89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9525</xdr:colOff>
      <xdr:row>150</xdr:row>
      <xdr:rowOff>7620</xdr:rowOff>
    </xdr:to>
    <xdr:pic>
      <xdr:nvPicPr>
        <xdr:cNvPr id="4094" name="Picture 7" descr=" ">
          <a:extLst>
            <a:ext uri="{FF2B5EF4-FFF2-40B4-BE49-F238E27FC236}">
              <a16:creationId xmlns:a16="http://schemas.microsoft.com/office/drawing/2014/main" id="{CCF9B7E2-C6C7-4C5A-B314-A88B4BD41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2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9525</xdr:colOff>
      <xdr:row>150</xdr:row>
      <xdr:rowOff>7620</xdr:rowOff>
    </xdr:to>
    <xdr:pic>
      <xdr:nvPicPr>
        <xdr:cNvPr id="4095" name="Picture 8" descr=" ">
          <a:extLst>
            <a:ext uri="{FF2B5EF4-FFF2-40B4-BE49-F238E27FC236}">
              <a16:creationId xmlns:a16="http://schemas.microsoft.com/office/drawing/2014/main" id="{2ED92A64-A362-4D34-8BA6-13CBB968A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2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9525</xdr:colOff>
      <xdr:row>150</xdr:row>
      <xdr:rowOff>7620</xdr:rowOff>
    </xdr:to>
    <xdr:pic>
      <xdr:nvPicPr>
        <xdr:cNvPr id="4096" name="Picture 9" descr=" ">
          <a:extLst>
            <a:ext uri="{FF2B5EF4-FFF2-40B4-BE49-F238E27FC236}">
              <a16:creationId xmlns:a16="http://schemas.microsoft.com/office/drawing/2014/main" id="{8FCC3ABE-1DEA-465C-8D8C-4606A3B93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2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9525</xdr:colOff>
      <xdr:row>150</xdr:row>
      <xdr:rowOff>7620</xdr:rowOff>
    </xdr:to>
    <xdr:pic>
      <xdr:nvPicPr>
        <xdr:cNvPr id="4097" name="Picture 10" descr=" ">
          <a:extLst>
            <a:ext uri="{FF2B5EF4-FFF2-40B4-BE49-F238E27FC236}">
              <a16:creationId xmlns:a16="http://schemas.microsoft.com/office/drawing/2014/main" id="{CEC795AB-3E6C-4B6A-A1B2-3AE575C2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2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9525</xdr:colOff>
      <xdr:row>150</xdr:row>
      <xdr:rowOff>7620</xdr:rowOff>
    </xdr:to>
    <xdr:pic>
      <xdr:nvPicPr>
        <xdr:cNvPr id="4098" name="Picture 11" descr=" ">
          <a:extLst>
            <a:ext uri="{FF2B5EF4-FFF2-40B4-BE49-F238E27FC236}">
              <a16:creationId xmlns:a16="http://schemas.microsoft.com/office/drawing/2014/main" id="{D98B589B-1D99-4C6B-8D34-1A5265A2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2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9525</xdr:colOff>
      <xdr:row>150</xdr:row>
      <xdr:rowOff>7620</xdr:rowOff>
    </xdr:to>
    <xdr:pic>
      <xdr:nvPicPr>
        <xdr:cNvPr id="4099" name="Picture 12" descr=" ">
          <a:extLst>
            <a:ext uri="{FF2B5EF4-FFF2-40B4-BE49-F238E27FC236}">
              <a16:creationId xmlns:a16="http://schemas.microsoft.com/office/drawing/2014/main" id="{FE3402A0-5026-4C40-A689-E3B55C35B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2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</xdr:colOff>
      <xdr:row>151</xdr:row>
      <xdr:rowOff>38100</xdr:rowOff>
    </xdr:to>
    <xdr:pic>
      <xdr:nvPicPr>
        <xdr:cNvPr id="4100" name="Picture 7" descr=" ">
          <a:extLst>
            <a:ext uri="{FF2B5EF4-FFF2-40B4-BE49-F238E27FC236}">
              <a16:creationId xmlns:a16="http://schemas.microsoft.com/office/drawing/2014/main" id="{7D687475-298C-47DE-BEAE-8277242A0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55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</xdr:colOff>
      <xdr:row>151</xdr:row>
      <xdr:rowOff>38100</xdr:rowOff>
    </xdr:to>
    <xdr:pic>
      <xdr:nvPicPr>
        <xdr:cNvPr id="4101" name="Picture 8" descr=" ">
          <a:extLst>
            <a:ext uri="{FF2B5EF4-FFF2-40B4-BE49-F238E27FC236}">
              <a16:creationId xmlns:a16="http://schemas.microsoft.com/office/drawing/2014/main" id="{844C6120-991B-46FF-BB1D-E0C6134C7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55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</xdr:colOff>
      <xdr:row>151</xdr:row>
      <xdr:rowOff>38100</xdr:rowOff>
    </xdr:to>
    <xdr:pic>
      <xdr:nvPicPr>
        <xdr:cNvPr id="4102" name="Picture 9" descr=" ">
          <a:extLst>
            <a:ext uri="{FF2B5EF4-FFF2-40B4-BE49-F238E27FC236}">
              <a16:creationId xmlns:a16="http://schemas.microsoft.com/office/drawing/2014/main" id="{E63881E4-4803-4153-B9E5-66B1A2D0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55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</xdr:colOff>
      <xdr:row>151</xdr:row>
      <xdr:rowOff>38100</xdr:rowOff>
    </xdr:to>
    <xdr:pic>
      <xdr:nvPicPr>
        <xdr:cNvPr id="4103" name="Picture 10" descr=" ">
          <a:extLst>
            <a:ext uri="{FF2B5EF4-FFF2-40B4-BE49-F238E27FC236}">
              <a16:creationId xmlns:a16="http://schemas.microsoft.com/office/drawing/2014/main" id="{6C2C0F5F-B6C7-470D-AF8D-9ECB1E73A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55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</xdr:colOff>
      <xdr:row>151</xdr:row>
      <xdr:rowOff>38100</xdr:rowOff>
    </xdr:to>
    <xdr:pic>
      <xdr:nvPicPr>
        <xdr:cNvPr id="4104" name="Picture 11" descr=" ">
          <a:extLst>
            <a:ext uri="{FF2B5EF4-FFF2-40B4-BE49-F238E27FC236}">
              <a16:creationId xmlns:a16="http://schemas.microsoft.com/office/drawing/2014/main" id="{8C3D3F01-6258-49A2-BCF4-9CBEEB7BF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55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</xdr:colOff>
      <xdr:row>151</xdr:row>
      <xdr:rowOff>38100</xdr:rowOff>
    </xdr:to>
    <xdr:pic>
      <xdr:nvPicPr>
        <xdr:cNvPr id="4105" name="Picture 12" descr=" ">
          <a:extLst>
            <a:ext uri="{FF2B5EF4-FFF2-40B4-BE49-F238E27FC236}">
              <a16:creationId xmlns:a16="http://schemas.microsoft.com/office/drawing/2014/main" id="{64AE1842-2D6C-4967-B682-651456FD2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555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</xdr:colOff>
      <xdr:row>152</xdr:row>
      <xdr:rowOff>38100</xdr:rowOff>
    </xdr:to>
    <xdr:pic>
      <xdr:nvPicPr>
        <xdr:cNvPr id="4106" name="Picture 7" descr=" ">
          <a:extLst>
            <a:ext uri="{FF2B5EF4-FFF2-40B4-BE49-F238E27FC236}">
              <a16:creationId xmlns:a16="http://schemas.microsoft.com/office/drawing/2014/main" id="{4D575DCC-549B-4A07-AAD3-2D847162D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38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</xdr:colOff>
      <xdr:row>152</xdr:row>
      <xdr:rowOff>38100</xdr:rowOff>
    </xdr:to>
    <xdr:pic>
      <xdr:nvPicPr>
        <xdr:cNvPr id="4107" name="Picture 8" descr=" ">
          <a:extLst>
            <a:ext uri="{FF2B5EF4-FFF2-40B4-BE49-F238E27FC236}">
              <a16:creationId xmlns:a16="http://schemas.microsoft.com/office/drawing/2014/main" id="{4C8D0CB8-7AF2-49ED-B851-669782A9F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38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</xdr:colOff>
      <xdr:row>152</xdr:row>
      <xdr:rowOff>38100</xdr:rowOff>
    </xdr:to>
    <xdr:pic>
      <xdr:nvPicPr>
        <xdr:cNvPr id="4108" name="Picture 9" descr=" ">
          <a:extLst>
            <a:ext uri="{FF2B5EF4-FFF2-40B4-BE49-F238E27FC236}">
              <a16:creationId xmlns:a16="http://schemas.microsoft.com/office/drawing/2014/main" id="{04A7B6BB-9004-4234-9D61-72BB2FC4A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38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</xdr:colOff>
      <xdr:row>152</xdr:row>
      <xdr:rowOff>38100</xdr:rowOff>
    </xdr:to>
    <xdr:pic>
      <xdr:nvPicPr>
        <xdr:cNvPr id="4109" name="Picture 10" descr=" ">
          <a:extLst>
            <a:ext uri="{FF2B5EF4-FFF2-40B4-BE49-F238E27FC236}">
              <a16:creationId xmlns:a16="http://schemas.microsoft.com/office/drawing/2014/main" id="{A1F1919C-6FE7-4098-9236-DC7A1AC7A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38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</xdr:colOff>
      <xdr:row>152</xdr:row>
      <xdr:rowOff>38100</xdr:rowOff>
    </xdr:to>
    <xdr:pic>
      <xdr:nvPicPr>
        <xdr:cNvPr id="4110" name="Picture 11" descr=" ">
          <a:extLst>
            <a:ext uri="{FF2B5EF4-FFF2-40B4-BE49-F238E27FC236}">
              <a16:creationId xmlns:a16="http://schemas.microsoft.com/office/drawing/2014/main" id="{E490B209-B30D-4A9C-BEF5-24CD577A4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38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</xdr:colOff>
      <xdr:row>152</xdr:row>
      <xdr:rowOff>38100</xdr:rowOff>
    </xdr:to>
    <xdr:pic>
      <xdr:nvPicPr>
        <xdr:cNvPr id="4111" name="Picture 12" descr=" ">
          <a:extLst>
            <a:ext uri="{FF2B5EF4-FFF2-40B4-BE49-F238E27FC236}">
              <a16:creationId xmlns:a16="http://schemas.microsoft.com/office/drawing/2014/main" id="{2DE452FB-13A3-4317-B8A7-67D22E149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38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9525</xdr:colOff>
      <xdr:row>153</xdr:row>
      <xdr:rowOff>38100</xdr:rowOff>
    </xdr:to>
    <xdr:pic>
      <xdr:nvPicPr>
        <xdr:cNvPr id="4112" name="Picture 7" descr=" ">
          <a:extLst>
            <a:ext uri="{FF2B5EF4-FFF2-40B4-BE49-F238E27FC236}">
              <a16:creationId xmlns:a16="http://schemas.microsoft.com/office/drawing/2014/main" id="{042D6E18-B6F8-432F-ADF5-2A2415100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21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9525</xdr:colOff>
      <xdr:row>153</xdr:row>
      <xdr:rowOff>38100</xdr:rowOff>
    </xdr:to>
    <xdr:pic>
      <xdr:nvPicPr>
        <xdr:cNvPr id="4113" name="Picture 8" descr=" ">
          <a:extLst>
            <a:ext uri="{FF2B5EF4-FFF2-40B4-BE49-F238E27FC236}">
              <a16:creationId xmlns:a16="http://schemas.microsoft.com/office/drawing/2014/main" id="{F3C717F9-EC82-477A-8E3B-D8012EE90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21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9525</xdr:colOff>
      <xdr:row>153</xdr:row>
      <xdr:rowOff>38100</xdr:rowOff>
    </xdr:to>
    <xdr:pic>
      <xdr:nvPicPr>
        <xdr:cNvPr id="4114" name="Picture 9" descr=" ">
          <a:extLst>
            <a:ext uri="{FF2B5EF4-FFF2-40B4-BE49-F238E27FC236}">
              <a16:creationId xmlns:a16="http://schemas.microsoft.com/office/drawing/2014/main" id="{C72100FB-51EC-4AD3-BB30-15E9F1586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21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9525</xdr:colOff>
      <xdr:row>153</xdr:row>
      <xdr:rowOff>38100</xdr:rowOff>
    </xdr:to>
    <xdr:pic>
      <xdr:nvPicPr>
        <xdr:cNvPr id="4115" name="Picture 10" descr=" ">
          <a:extLst>
            <a:ext uri="{FF2B5EF4-FFF2-40B4-BE49-F238E27FC236}">
              <a16:creationId xmlns:a16="http://schemas.microsoft.com/office/drawing/2014/main" id="{63F91150-74F5-478A-A870-06B5E1E0A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21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9525</xdr:colOff>
      <xdr:row>153</xdr:row>
      <xdr:rowOff>38100</xdr:rowOff>
    </xdr:to>
    <xdr:pic>
      <xdr:nvPicPr>
        <xdr:cNvPr id="4116" name="Picture 11" descr=" ">
          <a:extLst>
            <a:ext uri="{FF2B5EF4-FFF2-40B4-BE49-F238E27FC236}">
              <a16:creationId xmlns:a16="http://schemas.microsoft.com/office/drawing/2014/main" id="{2CAF2CC0-AE86-4EBA-8EF0-9CDED60BA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21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152</xdr:row>
      <xdr:rowOff>0</xdr:rowOff>
    </xdr:from>
    <xdr:to>
      <xdr:col>0</xdr:col>
      <xdr:colOff>9525</xdr:colOff>
      <xdr:row>153</xdr:row>
      <xdr:rowOff>38100</xdr:rowOff>
    </xdr:to>
    <xdr:pic>
      <xdr:nvPicPr>
        <xdr:cNvPr id="4117" name="Picture 12" descr=" ">
          <a:extLst>
            <a:ext uri="{FF2B5EF4-FFF2-40B4-BE49-F238E27FC236}">
              <a16:creationId xmlns:a16="http://schemas.microsoft.com/office/drawing/2014/main" id="{AEAD8281-D8BC-47C6-8AD1-7A768301D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21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4118" name="Picture 7" descr=" ">
          <a:extLst>
            <a:ext uri="{FF2B5EF4-FFF2-40B4-BE49-F238E27FC236}">
              <a16:creationId xmlns:a16="http://schemas.microsoft.com/office/drawing/2014/main" id="{E1C92C97-EC84-4FBF-B254-53FCD3AA2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4119" name="Picture 8" descr=" ">
          <a:extLst>
            <a:ext uri="{FF2B5EF4-FFF2-40B4-BE49-F238E27FC236}">
              <a16:creationId xmlns:a16="http://schemas.microsoft.com/office/drawing/2014/main" id="{AFC58007-BB0F-4B43-994F-7A6DBADB3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4120" name="Picture 9" descr=" ">
          <a:extLst>
            <a:ext uri="{FF2B5EF4-FFF2-40B4-BE49-F238E27FC236}">
              <a16:creationId xmlns:a16="http://schemas.microsoft.com/office/drawing/2014/main" id="{5A4BDC2B-6240-41B6-86C7-372D6BFFE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4121" name="Picture 10" descr=" ">
          <a:extLst>
            <a:ext uri="{FF2B5EF4-FFF2-40B4-BE49-F238E27FC236}">
              <a16:creationId xmlns:a16="http://schemas.microsoft.com/office/drawing/2014/main" id="{0EACFEAE-4BF3-48E6-863E-2387D84E9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4122" name="Picture 11" descr=" ">
          <a:extLst>
            <a:ext uri="{FF2B5EF4-FFF2-40B4-BE49-F238E27FC236}">
              <a16:creationId xmlns:a16="http://schemas.microsoft.com/office/drawing/2014/main" id="{1AAA22A8-28C7-4388-894A-CE07953D3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4123" name="Picture 12" descr=" ">
          <a:extLst>
            <a:ext uri="{FF2B5EF4-FFF2-40B4-BE49-F238E27FC236}">
              <a16:creationId xmlns:a16="http://schemas.microsoft.com/office/drawing/2014/main" id="{BC8EDC8D-E840-449B-8E88-9A45D63D8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24" name="Picture 7" descr=" ">
          <a:extLst>
            <a:ext uri="{FF2B5EF4-FFF2-40B4-BE49-F238E27FC236}">
              <a16:creationId xmlns:a16="http://schemas.microsoft.com/office/drawing/2014/main" id="{2C5CDEAD-DB24-4C27-9409-4B78E15F4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25" name="Picture 8" descr=" ">
          <a:extLst>
            <a:ext uri="{FF2B5EF4-FFF2-40B4-BE49-F238E27FC236}">
              <a16:creationId xmlns:a16="http://schemas.microsoft.com/office/drawing/2014/main" id="{DB4D70BC-A3E2-4500-B175-F90AB6565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26" name="Picture 9" descr=" ">
          <a:extLst>
            <a:ext uri="{FF2B5EF4-FFF2-40B4-BE49-F238E27FC236}">
              <a16:creationId xmlns:a16="http://schemas.microsoft.com/office/drawing/2014/main" id="{43A69067-6E25-4AC9-8056-9FB95557C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27" name="Picture 10" descr=" ">
          <a:extLst>
            <a:ext uri="{FF2B5EF4-FFF2-40B4-BE49-F238E27FC236}">
              <a16:creationId xmlns:a16="http://schemas.microsoft.com/office/drawing/2014/main" id="{78BE77E5-D704-425D-8F30-A365DE56D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28" name="Picture 11" descr=" ">
          <a:extLst>
            <a:ext uri="{FF2B5EF4-FFF2-40B4-BE49-F238E27FC236}">
              <a16:creationId xmlns:a16="http://schemas.microsoft.com/office/drawing/2014/main" id="{C8286DC7-4990-4725-BE1F-6522BFA4B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29" name="Picture 12" descr=" ">
          <a:extLst>
            <a:ext uri="{FF2B5EF4-FFF2-40B4-BE49-F238E27FC236}">
              <a16:creationId xmlns:a16="http://schemas.microsoft.com/office/drawing/2014/main" id="{D9D8DAB0-D6D5-4D6D-96C1-C9CF5B39D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30" name="Picture 7" descr=" ">
          <a:extLst>
            <a:ext uri="{FF2B5EF4-FFF2-40B4-BE49-F238E27FC236}">
              <a16:creationId xmlns:a16="http://schemas.microsoft.com/office/drawing/2014/main" id="{A01B4DDC-A81B-42BA-8B61-B8BC767EA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31" name="Picture 8" descr=" ">
          <a:extLst>
            <a:ext uri="{FF2B5EF4-FFF2-40B4-BE49-F238E27FC236}">
              <a16:creationId xmlns:a16="http://schemas.microsoft.com/office/drawing/2014/main" id="{567FDD1C-634F-4297-A8C3-59E442490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32" name="Picture 9" descr=" ">
          <a:extLst>
            <a:ext uri="{FF2B5EF4-FFF2-40B4-BE49-F238E27FC236}">
              <a16:creationId xmlns:a16="http://schemas.microsoft.com/office/drawing/2014/main" id="{6549C66F-3D93-4E34-85BE-502E371C9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33" name="Picture 10" descr=" ">
          <a:extLst>
            <a:ext uri="{FF2B5EF4-FFF2-40B4-BE49-F238E27FC236}">
              <a16:creationId xmlns:a16="http://schemas.microsoft.com/office/drawing/2014/main" id="{0B4FE786-348E-446A-BBAE-5362D23AF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34" name="Picture 11" descr=" ">
          <a:extLst>
            <a:ext uri="{FF2B5EF4-FFF2-40B4-BE49-F238E27FC236}">
              <a16:creationId xmlns:a16="http://schemas.microsoft.com/office/drawing/2014/main" id="{63D55026-68C3-4021-8736-17C4C5F8E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35" name="Picture 12" descr=" ">
          <a:extLst>
            <a:ext uri="{FF2B5EF4-FFF2-40B4-BE49-F238E27FC236}">
              <a16:creationId xmlns:a16="http://schemas.microsoft.com/office/drawing/2014/main" id="{4D1C79D9-E07F-4133-9D2F-06AAC983D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36" name="Picture 7" descr=" ">
          <a:extLst>
            <a:ext uri="{FF2B5EF4-FFF2-40B4-BE49-F238E27FC236}">
              <a16:creationId xmlns:a16="http://schemas.microsoft.com/office/drawing/2014/main" id="{F0B9032F-26AA-4B7B-A6F9-5CB5C9977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37" name="Picture 8" descr=" ">
          <a:extLst>
            <a:ext uri="{FF2B5EF4-FFF2-40B4-BE49-F238E27FC236}">
              <a16:creationId xmlns:a16="http://schemas.microsoft.com/office/drawing/2014/main" id="{B29B8881-6792-47D0-93FA-4D8698D03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38" name="Picture 9" descr=" ">
          <a:extLst>
            <a:ext uri="{FF2B5EF4-FFF2-40B4-BE49-F238E27FC236}">
              <a16:creationId xmlns:a16="http://schemas.microsoft.com/office/drawing/2014/main" id="{ECCCDF52-29B2-4B90-A2EA-B193C794D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39" name="Picture 10" descr=" ">
          <a:extLst>
            <a:ext uri="{FF2B5EF4-FFF2-40B4-BE49-F238E27FC236}">
              <a16:creationId xmlns:a16="http://schemas.microsoft.com/office/drawing/2014/main" id="{1CFE04B5-02BF-4093-AA33-AE1E9DF16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40" name="Picture 11" descr=" ">
          <a:extLst>
            <a:ext uri="{FF2B5EF4-FFF2-40B4-BE49-F238E27FC236}">
              <a16:creationId xmlns:a16="http://schemas.microsoft.com/office/drawing/2014/main" id="{14936E56-2F51-4920-B7AA-2C1D58D26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41" name="Picture 12" descr=" ">
          <a:extLst>
            <a:ext uri="{FF2B5EF4-FFF2-40B4-BE49-F238E27FC236}">
              <a16:creationId xmlns:a16="http://schemas.microsoft.com/office/drawing/2014/main" id="{CE3E3B48-CA7D-4E20-A64C-61780F90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42" name="Picture 7" descr=" ">
          <a:extLst>
            <a:ext uri="{FF2B5EF4-FFF2-40B4-BE49-F238E27FC236}">
              <a16:creationId xmlns:a16="http://schemas.microsoft.com/office/drawing/2014/main" id="{1A99C031-3A59-4D07-B425-72D008652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43" name="Picture 8" descr=" ">
          <a:extLst>
            <a:ext uri="{FF2B5EF4-FFF2-40B4-BE49-F238E27FC236}">
              <a16:creationId xmlns:a16="http://schemas.microsoft.com/office/drawing/2014/main" id="{A16A0505-0A79-46BC-A9B7-24A454B94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44" name="Picture 9" descr=" ">
          <a:extLst>
            <a:ext uri="{FF2B5EF4-FFF2-40B4-BE49-F238E27FC236}">
              <a16:creationId xmlns:a16="http://schemas.microsoft.com/office/drawing/2014/main" id="{268A50BD-F243-4D6C-9E19-089A92664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45" name="Picture 10" descr=" ">
          <a:extLst>
            <a:ext uri="{FF2B5EF4-FFF2-40B4-BE49-F238E27FC236}">
              <a16:creationId xmlns:a16="http://schemas.microsoft.com/office/drawing/2014/main" id="{515D78C7-7D49-439A-BFDB-00BC7689C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46" name="Picture 11" descr=" ">
          <a:extLst>
            <a:ext uri="{FF2B5EF4-FFF2-40B4-BE49-F238E27FC236}">
              <a16:creationId xmlns:a16="http://schemas.microsoft.com/office/drawing/2014/main" id="{E161DC44-1896-4AC1-B01B-FEDFDB252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47" name="Picture 12" descr=" ">
          <a:extLst>
            <a:ext uri="{FF2B5EF4-FFF2-40B4-BE49-F238E27FC236}">
              <a16:creationId xmlns:a16="http://schemas.microsoft.com/office/drawing/2014/main" id="{F81C3BCB-8636-4C1C-839D-FC5581068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48" name="Picture 7" descr=" ">
          <a:extLst>
            <a:ext uri="{FF2B5EF4-FFF2-40B4-BE49-F238E27FC236}">
              <a16:creationId xmlns:a16="http://schemas.microsoft.com/office/drawing/2014/main" id="{A889953A-5BB5-4B71-8ADE-8280B2166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49" name="Picture 8" descr=" ">
          <a:extLst>
            <a:ext uri="{FF2B5EF4-FFF2-40B4-BE49-F238E27FC236}">
              <a16:creationId xmlns:a16="http://schemas.microsoft.com/office/drawing/2014/main" id="{77AB7A48-A507-4B0B-9DC4-44BDC6142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50" name="Picture 9" descr=" ">
          <a:extLst>
            <a:ext uri="{FF2B5EF4-FFF2-40B4-BE49-F238E27FC236}">
              <a16:creationId xmlns:a16="http://schemas.microsoft.com/office/drawing/2014/main" id="{F5382C28-F38D-409C-9B31-8AE4CB856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51" name="Picture 10" descr=" ">
          <a:extLst>
            <a:ext uri="{FF2B5EF4-FFF2-40B4-BE49-F238E27FC236}">
              <a16:creationId xmlns:a16="http://schemas.microsoft.com/office/drawing/2014/main" id="{6134FCFC-6734-47CD-8420-9D62B77BA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52" name="Picture 11" descr=" ">
          <a:extLst>
            <a:ext uri="{FF2B5EF4-FFF2-40B4-BE49-F238E27FC236}">
              <a16:creationId xmlns:a16="http://schemas.microsoft.com/office/drawing/2014/main" id="{62DA6FB9-CCD6-40D0-B86D-0DCDA48EC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53" name="Picture 12" descr=" ">
          <a:extLst>
            <a:ext uri="{FF2B5EF4-FFF2-40B4-BE49-F238E27FC236}">
              <a16:creationId xmlns:a16="http://schemas.microsoft.com/office/drawing/2014/main" id="{B1230BF5-0A21-468E-BF4C-C3B7963E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54" name="Picture 7" descr=" ">
          <a:extLst>
            <a:ext uri="{FF2B5EF4-FFF2-40B4-BE49-F238E27FC236}">
              <a16:creationId xmlns:a16="http://schemas.microsoft.com/office/drawing/2014/main" id="{4B1D8D18-C85D-43D7-9E93-3F6DE217F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55" name="Picture 8" descr=" ">
          <a:extLst>
            <a:ext uri="{FF2B5EF4-FFF2-40B4-BE49-F238E27FC236}">
              <a16:creationId xmlns:a16="http://schemas.microsoft.com/office/drawing/2014/main" id="{F0D4F418-6B97-43FC-8D88-4487EC9E2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56" name="Picture 9" descr=" ">
          <a:extLst>
            <a:ext uri="{FF2B5EF4-FFF2-40B4-BE49-F238E27FC236}">
              <a16:creationId xmlns:a16="http://schemas.microsoft.com/office/drawing/2014/main" id="{45EB0B01-3085-4824-96F8-38DC153B5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57" name="Picture 10" descr=" ">
          <a:extLst>
            <a:ext uri="{FF2B5EF4-FFF2-40B4-BE49-F238E27FC236}">
              <a16:creationId xmlns:a16="http://schemas.microsoft.com/office/drawing/2014/main" id="{114D3FC4-BD79-4D75-BEF9-EC3423A43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58" name="Picture 11" descr=" ">
          <a:extLst>
            <a:ext uri="{FF2B5EF4-FFF2-40B4-BE49-F238E27FC236}">
              <a16:creationId xmlns:a16="http://schemas.microsoft.com/office/drawing/2014/main" id="{3933C477-38BE-4AA6-9F81-39AE61337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59" name="Picture 12" descr=" ">
          <a:extLst>
            <a:ext uri="{FF2B5EF4-FFF2-40B4-BE49-F238E27FC236}">
              <a16:creationId xmlns:a16="http://schemas.microsoft.com/office/drawing/2014/main" id="{5E323278-A35D-4C07-98E3-90D5305EF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60" name="Picture 7" descr=" ">
          <a:extLst>
            <a:ext uri="{FF2B5EF4-FFF2-40B4-BE49-F238E27FC236}">
              <a16:creationId xmlns:a16="http://schemas.microsoft.com/office/drawing/2014/main" id="{44F10E9E-E733-4049-AF8A-B21B8D5EF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61" name="Picture 8" descr=" ">
          <a:extLst>
            <a:ext uri="{FF2B5EF4-FFF2-40B4-BE49-F238E27FC236}">
              <a16:creationId xmlns:a16="http://schemas.microsoft.com/office/drawing/2014/main" id="{CAA5B2F1-2C47-4EB0-A0DE-62147EAFB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62" name="Picture 9" descr=" ">
          <a:extLst>
            <a:ext uri="{FF2B5EF4-FFF2-40B4-BE49-F238E27FC236}">
              <a16:creationId xmlns:a16="http://schemas.microsoft.com/office/drawing/2014/main" id="{674DEF05-03BB-4C57-A14A-8E101409C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63" name="Picture 10" descr=" ">
          <a:extLst>
            <a:ext uri="{FF2B5EF4-FFF2-40B4-BE49-F238E27FC236}">
              <a16:creationId xmlns:a16="http://schemas.microsoft.com/office/drawing/2014/main" id="{6D55FA23-0A58-494E-B7C6-9C514DBA8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64" name="Picture 11" descr=" ">
          <a:extLst>
            <a:ext uri="{FF2B5EF4-FFF2-40B4-BE49-F238E27FC236}">
              <a16:creationId xmlns:a16="http://schemas.microsoft.com/office/drawing/2014/main" id="{9F2D9CFB-C26D-4977-8D0A-0C3F904BB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65" name="Picture 12" descr=" ">
          <a:extLst>
            <a:ext uri="{FF2B5EF4-FFF2-40B4-BE49-F238E27FC236}">
              <a16:creationId xmlns:a16="http://schemas.microsoft.com/office/drawing/2014/main" id="{13698E62-8966-4C29-9E90-038CEF80B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66" name="Picture 7" descr=" ">
          <a:extLst>
            <a:ext uri="{FF2B5EF4-FFF2-40B4-BE49-F238E27FC236}">
              <a16:creationId xmlns:a16="http://schemas.microsoft.com/office/drawing/2014/main" id="{80A9EC03-6EDB-4043-A052-F28D98746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67" name="Picture 8" descr=" ">
          <a:extLst>
            <a:ext uri="{FF2B5EF4-FFF2-40B4-BE49-F238E27FC236}">
              <a16:creationId xmlns:a16="http://schemas.microsoft.com/office/drawing/2014/main" id="{839382DE-64A3-499C-B179-2D4E4A0C6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68" name="Picture 9" descr=" ">
          <a:extLst>
            <a:ext uri="{FF2B5EF4-FFF2-40B4-BE49-F238E27FC236}">
              <a16:creationId xmlns:a16="http://schemas.microsoft.com/office/drawing/2014/main" id="{48FF340C-5CE7-4ADF-B4B8-E5EE219AC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69" name="Picture 10" descr=" ">
          <a:extLst>
            <a:ext uri="{FF2B5EF4-FFF2-40B4-BE49-F238E27FC236}">
              <a16:creationId xmlns:a16="http://schemas.microsoft.com/office/drawing/2014/main" id="{F9E422D6-EE9E-4879-96B4-0C7FF0A4D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70" name="Picture 11" descr=" ">
          <a:extLst>
            <a:ext uri="{FF2B5EF4-FFF2-40B4-BE49-F238E27FC236}">
              <a16:creationId xmlns:a16="http://schemas.microsoft.com/office/drawing/2014/main" id="{2D752F9A-2EAD-4E0F-8BF2-30A94613D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71" name="Picture 12" descr=" ">
          <a:extLst>
            <a:ext uri="{FF2B5EF4-FFF2-40B4-BE49-F238E27FC236}">
              <a16:creationId xmlns:a16="http://schemas.microsoft.com/office/drawing/2014/main" id="{CED5CA45-4EA1-4C3D-9C49-EC117FE45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72" name="Picture 7" descr=" ">
          <a:extLst>
            <a:ext uri="{FF2B5EF4-FFF2-40B4-BE49-F238E27FC236}">
              <a16:creationId xmlns:a16="http://schemas.microsoft.com/office/drawing/2014/main" id="{09DFFA31-8FEE-4F60-BC67-26E737CDE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73" name="Picture 8" descr=" ">
          <a:extLst>
            <a:ext uri="{FF2B5EF4-FFF2-40B4-BE49-F238E27FC236}">
              <a16:creationId xmlns:a16="http://schemas.microsoft.com/office/drawing/2014/main" id="{C57F4F45-6541-4146-A7DD-03944D1AC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74" name="Picture 9" descr=" ">
          <a:extLst>
            <a:ext uri="{FF2B5EF4-FFF2-40B4-BE49-F238E27FC236}">
              <a16:creationId xmlns:a16="http://schemas.microsoft.com/office/drawing/2014/main" id="{67CBA048-00D9-4836-B40A-47FAEC246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75" name="Picture 10" descr=" ">
          <a:extLst>
            <a:ext uri="{FF2B5EF4-FFF2-40B4-BE49-F238E27FC236}">
              <a16:creationId xmlns:a16="http://schemas.microsoft.com/office/drawing/2014/main" id="{6BB3BB77-CD77-4850-B4D5-2679E1E5C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76" name="Picture 11" descr=" ">
          <a:extLst>
            <a:ext uri="{FF2B5EF4-FFF2-40B4-BE49-F238E27FC236}">
              <a16:creationId xmlns:a16="http://schemas.microsoft.com/office/drawing/2014/main" id="{B4DE2ABA-3001-4E01-90AD-E61FB33D0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77" name="Picture 12" descr=" ">
          <a:extLst>
            <a:ext uri="{FF2B5EF4-FFF2-40B4-BE49-F238E27FC236}">
              <a16:creationId xmlns:a16="http://schemas.microsoft.com/office/drawing/2014/main" id="{0D12F159-0647-4BF4-BAA0-82E9E6CE4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78" name="Picture 7" descr=" ">
          <a:extLst>
            <a:ext uri="{FF2B5EF4-FFF2-40B4-BE49-F238E27FC236}">
              <a16:creationId xmlns:a16="http://schemas.microsoft.com/office/drawing/2014/main" id="{B484A82E-3FA4-49AE-AB8F-A728FB606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79" name="Picture 8" descr=" ">
          <a:extLst>
            <a:ext uri="{FF2B5EF4-FFF2-40B4-BE49-F238E27FC236}">
              <a16:creationId xmlns:a16="http://schemas.microsoft.com/office/drawing/2014/main" id="{BCDE9B0B-2B7B-445B-B9DC-6763E66F6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80" name="Picture 9" descr=" ">
          <a:extLst>
            <a:ext uri="{FF2B5EF4-FFF2-40B4-BE49-F238E27FC236}">
              <a16:creationId xmlns:a16="http://schemas.microsoft.com/office/drawing/2014/main" id="{09707B4B-255F-428A-9FAE-BB02D2142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81" name="Picture 10" descr=" ">
          <a:extLst>
            <a:ext uri="{FF2B5EF4-FFF2-40B4-BE49-F238E27FC236}">
              <a16:creationId xmlns:a16="http://schemas.microsoft.com/office/drawing/2014/main" id="{DCC7825B-3938-41AD-8B94-B095591EC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82" name="Picture 11" descr=" ">
          <a:extLst>
            <a:ext uri="{FF2B5EF4-FFF2-40B4-BE49-F238E27FC236}">
              <a16:creationId xmlns:a16="http://schemas.microsoft.com/office/drawing/2014/main" id="{2B7033E3-057D-444A-B5B6-8DF7CFB6D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83" name="Picture 12" descr=" ">
          <a:extLst>
            <a:ext uri="{FF2B5EF4-FFF2-40B4-BE49-F238E27FC236}">
              <a16:creationId xmlns:a16="http://schemas.microsoft.com/office/drawing/2014/main" id="{0427FF94-5725-4AF3-A4A3-7904BBE09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84" name="Picture 7" descr=" ">
          <a:extLst>
            <a:ext uri="{FF2B5EF4-FFF2-40B4-BE49-F238E27FC236}">
              <a16:creationId xmlns:a16="http://schemas.microsoft.com/office/drawing/2014/main" id="{BB123561-678E-4F07-9783-7B56CCD18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85" name="Picture 8" descr=" ">
          <a:extLst>
            <a:ext uri="{FF2B5EF4-FFF2-40B4-BE49-F238E27FC236}">
              <a16:creationId xmlns:a16="http://schemas.microsoft.com/office/drawing/2014/main" id="{BECBC1F7-21CA-41C0-818A-61FB15080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86" name="Picture 9" descr=" ">
          <a:extLst>
            <a:ext uri="{FF2B5EF4-FFF2-40B4-BE49-F238E27FC236}">
              <a16:creationId xmlns:a16="http://schemas.microsoft.com/office/drawing/2014/main" id="{4868AE9F-BCE9-4050-9BF5-BD6EBEF3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87" name="Picture 10" descr=" ">
          <a:extLst>
            <a:ext uri="{FF2B5EF4-FFF2-40B4-BE49-F238E27FC236}">
              <a16:creationId xmlns:a16="http://schemas.microsoft.com/office/drawing/2014/main" id="{622EF838-4F9F-4129-B2DC-6C841E11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88" name="Picture 11" descr=" ">
          <a:extLst>
            <a:ext uri="{FF2B5EF4-FFF2-40B4-BE49-F238E27FC236}">
              <a16:creationId xmlns:a16="http://schemas.microsoft.com/office/drawing/2014/main" id="{24AA5C78-8CFF-4106-A762-5D9A98E0B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89" name="Picture 12" descr=" ">
          <a:extLst>
            <a:ext uri="{FF2B5EF4-FFF2-40B4-BE49-F238E27FC236}">
              <a16:creationId xmlns:a16="http://schemas.microsoft.com/office/drawing/2014/main" id="{4E0A03A4-D018-46E7-A498-0D6426D1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90" name="Picture 7" descr=" ">
          <a:extLst>
            <a:ext uri="{FF2B5EF4-FFF2-40B4-BE49-F238E27FC236}">
              <a16:creationId xmlns:a16="http://schemas.microsoft.com/office/drawing/2014/main" id="{36E88097-1686-4262-96DB-C7982F8F1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91" name="Picture 8" descr=" ">
          <a:extLst>
            <a:ext uri="{FF2B5EF4-FFF2-40B4-BE49-F238E27FC236}">
              <a16:creationId xmlns:a16="http://schemas.microsoft.com/office/drawing/2014/main" id="{BF7FAE1B-15D9-4E4E-BA24-F062B4B5D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92" name="Picture 9" descr=" ">
          <a:extLst>
            <a:ext uri="{FF2B5EF4-FFF2-40B4-BE49-F238E27FC236}">
              <a16:creationId xmlns:a16="http://schemas.microsoft.com/office/drawing/2014/main" id="{3DA16E61-3C28-423E-849E-AE4FF5421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93" name="Picture 10" descr=" ">
          <a:extLst>
            <a:ext uri="{FF2B5EF4-FFF2-40B4-BE49-F238E27FC236}">
              <a16:creationId xmlns:a16="http://schemas.microsoft.com/office/drawing/2014/main" id="{283D69FD-7421-405A-A048-D4FACDF05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94" name="Picture 11" descr=" ">
          <a:extLst>
            <a:ext uri="{FF2B5EF4-FFF2-40B4-BE49-F238E27FC236}">
              <a16:creationId xmlns:a16="http://schemas.microsoft.com/office/drawing/2014/main" id="{2A83D920-2B42-4DDD-9E7B-47B948990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95" name="Picture 12" descr=" ">
          <a:extLst>
            <a:ext uri="{FF2B5EF4-FFF2-40B4-BE49-F238E27FC236}">
              <a16:creationId xmlns:a16="http://schemas.microsoft.com/office/drawing/2014/main" id="{B99080D5-26D4-48FB-B493-3B6310C82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96" name="Picture 7" descr=" ">
          <a:extLst>
            <a:ext uri="{FF2B5EF4-FFF2-40B4-BE49-F238E27FC236}">
              <a16:creationId xmlns:a16="http://schemas.microsoft.com/office/drawing/2014/main" id="{01859BE6-832F-4BA4-81E1-A41EB8057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97" name="Picture 8" descr=" ">
          <a:extLst>
            <a:ext uri="{FF2B5EF4-FFF2-40B4-BE49-F238E27FC236}">
              <a16:creationId xmlns:a16="http://schemas.microsoft.com/office/drawing/2014/main" id="{5F19A10F-C7ED-4A26-AE58-C3689A30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98" name="Picture 9" descr=" ">
          <a:extLst>
            <a:ext uri="{FF2B5EF4-FFF2-40B4-BE49-F238E27FC236}">
              <a16:creationId xmlns:a16="http://schemas.microsoft.com/office/drawing/2014/main" id="{CA82FCB7-458C-40DC-9573-CD1BDF238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199" name="Picture 10" descr=" ">
          <a:extLst>
            <a:ext uri="{FF2B5EF4-FFF2-40B4-BE49-F238E27FC236}">
              <a16:creationId xmlns:a16="http://schemas.microsoft.com/office/drawing/2014/main" id="{96D11AD5-8499-4DD4-9DC9-C959E3A70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00" name="Picture 11" descr=" ">
          <a:extLst>
            <a:ext uri="{FF2B5EF4-FFF2-40B4-BE49-F238E27FC236}">
              <a16:creationId xmlns:a16="http://schemas.microsoft.com/office/drawing/2014/main" id="{78FDCA77-68C7-40F1-A315-0080A9C75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01" name="Picture 12" descr=" ">
          <a:extLst>
            <a:ext uri="{FF2B5EF4-FFF2-40B4-BE49-F238E27FC236}">
              <a16:creationId xmlns:a16="http://schemas.microsoft.com/office/drawing/2014/main" id="{B7ABBDDC-5682-4C8A-9EB0-DB05AE415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02" name="Picture 7" descr=" ">
          <a:extLst>
            <a:ext uri="{FF2B5EF4-FFF2-40B4-BE49-F238E27FC236}">
              <a16:creationId xmlns:a16="http://schemas.microsoft.com/office/drawing/2014/main" id="{04AA4A65-79DD-4B52-ABC9-1C60F2C6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03" name="Picture 8" descr=" ">
          <a:extLst>
            <a:ext uri="{FF2B5EF4-FFF2-40B4-BE49-F238E27FC236}">
              <a16:creationId xmlns:a16="http://schemas.microsoft.com/office/drawing/2014/main" id="{D8D0B284-DAD2-4524-88B1-92A396DDD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04" name="Picture 9" descr=" ">
          <a:extLst>
            <a:ext uri="{FF2B5EF4-FFF2-40B4-BE49-F238E27FC236}">
              <a16:creationId xmlns:a16="http://schemas.microsoft.com/office/drawing/2014/main" id="{D725341E-8B3F-4EE3-9A2A-955AE9CAE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05" name="Picture 10" descr=" ">
          <a:extLst>
            <a:ext uri="{FF2B5EF4-FFF2-40B4-BE49-F238E27FC236}">
              <a16:creationId xmlns:a16="http://schemas.microsoft.com/office/drawing/2014/main" id="{562A026A-CCF6-414A-895A-D61FC8CC6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06" name="Picture 11" descr=" ">
          <a:extLst>
            <a:ext uri="{FF2B5EF4-FFF2-40B4-BE49-F238E27FC236}">
              <a16:creationId xmlns:a16="http://schemas.microsoft.com/office/drawing/2014/main" id="{6ED890CB-8520-45F5-BB7B-91963FC5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07" name="Picture 12" descr=" ">
          <a:extLst>
            <a:ext uri="{FF2B5EF4-FFF2-40B4-BE49-F238E27FC236}">
              <a16:creationId xmlns:a16="http://schemas.microsoft.com/office/drawing/2014/main" id="{8BD5376E-6442-4DAD-95E7-52A1D134B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08" name="Picture 7" descr=" ">
          <a:extLst>
            <a:ext uri="{FF2B5EF4-FFF2-40B4-BE49-F238E27FC236}">
              <a16:creationId xmlns:a16="http://schemas.microsoft.com/office/drawing/2014/main" id="{55550AC3-0672-4FDD-B53B-ABB7925D8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09" name="Picture 8" descr=" ">
          <a:extLst>
            <a:ext uri="{FF2B5EF4-FFF2-40B4-BE49-F238E27FC236}">
              <a16:creationId xmlns:a16="http://schemas.microsoft.com/office/drawing/2014/main" id="{99A64750-A6AF-4FC8-B225-268187A6A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10" name="Picture 9" descr=" ">
          <a:extLst>
            <a:ext uri="{FF2B5EF4-FFF2-40B4-BE49-F238E27FC236}">
              <a16:creationId xmlns:a16="http://schemas.microsoft.com/office/drawing/2014/main" id="{DD0A72B5-230F-4E54-9CBC-CBE983972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11" name="Picture 10" descr=" ">
          <a:extLst>
            <a:ext uri="{FF2B5EF4-FFF2-40B4-BE49-F238E27FC236}">
              <a16:creationId xmlns:a16="http://schemas.microsoft.com/office/drawing/2014/main" id="{4A8C561B-DF14-46B9-BB78-C6DA67B66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12" name="Picture 11" descr=" ">
          <a:extLst>
            <a:ext uri="{FF2B5EF4-FFF2-40B4-BE49-F238E27FC236}">
              <a16:creationId xmlns:a16="http://schemas.microsoft.com/office/drawing/2014/main" id="{31AD5019-81B9-4B02-B3A6-044E7BC53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13" name="Picture 12" descr=" ">
          <a:extLst>
            <a:ext uri="{FF2B5EF4-FFF2-40B4-BE49-F238E27FC236}">
              <a16:creationId xmlns:a16="http://schemas.microsoft.com/office/drawing/2014/main" id="{DCAF15E5-6A08-4CE3-90C1-0B5739F5A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14" name="Picture 7" descr=" ">
          <a:extLst>
            <a:ext uri="{FF2B5EF4-FFF2-40B4-BE49-F238E27FC236}">
              <a16:creationId xmlns:a16="http://schemas.microsoft.com/office/drawing/2014/main" id="{79B97EC2-27F5-4E70-BCB6-0283E3921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15" name="Picture 8" descr=" ">
          <a:extLst>
            <a:ext uri="{FF2B5EF4-FFF2-40B4-BE49-F238E27FC236}">
              <a16:creationId xmlns:a16="http://schemas.microsoft.com/office/drawing/2014/main" id="{45311115-E237-4F05-B035-47381F65F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16" name="Picture 9" descr=" ">
          <a:extLst>
            <a:ext uri="{FF2B5EF4-FFF2-40B4-BE49-F238E27FC236}">
              <a16:creationId xmlns:a16="http://schemas.microsoft.com/office/drawing/2014/main" id="{E7FCD98D-CBF6-4487-A5BB-6CBBE1D64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17" name="Picture 10" descr=" ">
          <a:extLst>
            <a:ext uri="{FF2B5EF4-FFF2-40B4-BE49-F238E27FC236}">
              <a16:creationId xmlns:a16="http://schemas.microsoft.com/office/drawing/2014/main" id="{45C67E6E-6156-49E0-8E69-22252F372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18" name="Picture 11" descr=" ">
          <a:extLst>
            <a:ext uri="{FF2B5EF4-FFF2-40B4-BE49-F238E27FC236}">
              <a16:creationId xmlns:a16="http://schemas.microsoft.com/office/drawing/2014/main" id="{3ACA3504-CE59-499D-A3D5-D6BCC3A6C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19" name="Picture 12" descr=" ">
          <a:extLst>
            <a:ext uri="{FF2B5EF4-FFF2-40B4-BE49-F238E27FC236}">
              <a16:creationId xmlns:a16="http://schemas.microsoft.com/office/drawing/2014/main" id="{A4CD9FEB-51CF-464F-B91D-5C5445EED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20" name="Picture 7" descr=" ">
          <a:extLst>
            <a:ext uri="{FF2B5EF4-FFF2-40B4-BE49-F238E27FC236}">
              <a16:creationId xmlns:a16="http://schemas.microsoft.com/office/drawing/2014/main" id="{B396DF57-B2FC-400B-953A-A5752F1F3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21" name="Picture 8" descr=" ">
          <a:extLst>
            <a:ext uri="{FF2B5EF4-FFF2-40B4-BE49-F238E27FC236}">
              <a16:creationId xmlns:a16="http://schemas.microsoft.com/office/drawing/2014/main" id="{09AE1CE6-7C4E-492C-8BE2-CFDA259B1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22" name="Picture 9" descr=" ">
          <a:extLst>
            <a:ext uri="{FF2B5EF4-FFF2-40B4-BE49-F238E27FC236}">
              <a16:creationId xmlns:a16="http://schemas.microsoft.com/office/drawing/2014/main" id="{4F2182C8-768A-4AF5-BF77-267BB7C62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23" name="Picture 10" descr=" ">
          <a:extLst>
            <a:ext uri="{FF2B5EF4-FFF2-40B4-BE49-F238E27FC236}">
              <a16:creationId xmlns:a16="http://schemas.microsoft.com/office/drawing/2014/main" id="{0AC0F3E9-849D-4988-B335-CFFB88D8F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24" name="Picture 11" descr=" ">
          <a:extLst>
            <a:ext uri="{FF2B5EF4-FFF2-40B4-BE49-F238E27FC236}">
              <a16:creationId xmlns:a16="http://schemas.microsoft.com/office/drawing/2014/main" id="{2A57D1C7-8693-40C5-8CF1-6B4429D06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25" name="Picture 12" descr=" ">
          <a:extLst>
            <a:ext uri="{FF2B5EF4-FFF2-40B4-BE49-F238E27FC236}">
              <a16:creationId xmlns:a16="http://schemas.microsoft.com/office/drawing/2014/main" id="{FD79AB4A-9DE6-4BA4-B315-C4A53A08A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26" name="Picture 7" descr=" ">
          <a:extLst>
            <a:ext uri="{FF2B5EF4-FFF2-40B4-BE49-F238E27FC236}">
              <a16:creationId xmlns:a16="http://schemas.microsoft.com/office/drawing/2014/main" id="{A37F81F8-A67D-4D23-A549-BC9FF4654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27" name="Picture 8" descr=" ">
          <a:extLst>
            <a:ext uri="{FF2B5EF4-FFF2-40B4-BE49-F238E27FC236}">
              <a16:creationId xmlns:a16="http://schemas.microsoft.com/office/drawing/2014/main" id="{A629DD6D-9107-47F6-8959-75F79218A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28" name="Picture 9" descr=" ">
          <a:extLst>
            <a:ext uri="{FF2B5EF4-FFF2-40B4-BE49-F238E27FC236}">
              <a16:creationId xmlns:a16="http://schemas.microsoft.com/office/drawing/2014/main" id="{BBCD9F0B-7832-440E-988A-F1081C867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29" name="Picture 10" descr=" ">
          <a:extLst>
            <a:ext uri="{FF2B5EF4-FFF2-40B4-BE49-F238E27FC236}">
              <a16:creationId xmlns:a16="http://schemas.microsoft.com/office/drawing/2014/main" id="{E4BFE837-DC81-45B9-9B05-8EB2EFE02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30" name="Picture 11" descr=" ">
          <a:extLst>
            <a:ext uri="{FF2B5EF4-FFF2-40B4-BE49-F238E27FC236}">
              <a16:creationId xmlns:a16="http://schemas.microsoft.com/office/drawing/2014/main" id="{5F6C71F0-3885-40FC-8B4D-99EC3F748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31" name="Picture 12" descr=" ">
          <a:extLst>
            <a:ext uri="{FF2B5EF4-FFF2-40B4-BE49-F238E27FC236}">
              <a16:creationId xmlns:a16="http://schemas.microsoft.com/office/drawing/2014/main" id="{90CAA67E-8C11-4895-B384-57FC7E89F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32" name="Picture 7" descr=" ">
          <a:extLst>
            <a:ext uri="{FF2B5EF4-FFF2-40B4-BE49-F238E27FC236}">
              <a16:creationId xmlns:a16="http://schemas.microsoft.com/office/drawing/2014/main" id="{19BC1925-2359-4878-B4AD-E0AD6F593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33" name="Picture 8" descr=" ">
          <a:extLst>
            <a:ext uri="{FF2B5EF4-FFF2-40B4-BE49-F238E27FC236}">
              <a16:creationId xmlns:a16="http://schemas.microsoft.com/office/drawing/2014/main" id="{60476AAD-04E9-476E-965A-115490012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34" name="Picture 9" descr=" ">
          <a:extLst>
            <a:ext uri="{FF2B5EF4-FFF2-40B4-BE49-F238E27FC236}">
              <a16:creationId xmlns:a16="http://schemas.microsoft.com/office/drawing/2014/main" id="{1AE967EE-C2B2-4DC3-BD93-05C764D15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35" name="Picture 10" descr=" ">
          <a:extLst>
            <a:ext uri="{FF2B5EF4-FFF2-40B4-BE49-F238E27FC236}">
              <a16:creationId xmlns:a16="http://schemas.microsoft.com/office/drawing/2014/main" id="{01CD2E09-BB04-4F5B-AC41-89EAD8968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36" name="Picture 11" descr=" ">
          <a:extLst>
            <a:ext uri="{FF2B5EF4-FFF2-40B4-BE49-F238E27FC236}">
              <a16:creationId xmlns:a16="http://schemas.microsoft.com/office/drawing/2014/main" id="{CB9A5F03-EDE1-48D6-A879-2CF2FB237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37" name="Picture 12" descr=" ">
          <a:extLst>
            <a:ext uri="{FF2B5EF4-FFF2-40B4-BE49-F238E27FC236}">
              <a16:creationId xmlns:a16="http://schemas.microsoft.com/office/drawing/2014/main" id="{AE4FA12A-4B82-464D-AB90-43ECA0F02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38" name="Picture 7" descr=" ">
          <a:extLst>
            <a:ext uri="{FF2B5EF4-FFF2-40B4-BE49-F238E27FC236}">
              <a16:creationId xmlns:a16="http://schemas.microsoft.com/office/drawing/2014/main" id="{DA071385-372C-4CB9-94D6-0AC870F71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39" name="Picture 8" descr=" ">
          <a:extLst>
            <a:ext uri="{FF2B5EF4-FFF2-40B4-BE49-F238E27FC236}">
              <a16:creationId xmlns:a16="http://schemas.microsoft.com/office/drawing/2014/main" id="{05AFAF3E-4999-4885-89CD-D60E282BB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40" name="Picture 9" descr=" ">
          <a:extLst>
            <a:ext uri="{FF2B5EF4-FFF2-40B4-BE49-F238E27FC236}">
              <a16:creationId xmlns:a16="http://schemas.microsoft.com/office/drawing/2014/main" id="{DA0AD87F-020F-42B6-B065-5C9C0C11D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41" name="Picture 10" descr=" ">
          <a:extLst>
            <a:ext uri="{FF2B5EF4-FFF2-40B4-BE49-F238E27FC236}">
              <a16:creationId xmlns:a16="http://schemas.microsoft.com/office/drawing/2014/main" id="{F708E00E-A300-49F2-8D3B-091FC9E3E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42" name="Picture 11" descr=" ">
          <a:extLst>
            <a:ext uri="{FF2B5EF4-FFF2-40B4-BE49-F238E27FC236}">
              <a16:creationId xmlns:a16="http://schemas.microsoft.com/office/drawing/2014/main" id="{F390D11E-3D7B-4852-9C44-B5A8F47C4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43" name="Picture 12" descr=" ">
          <a:extLst>
            <a:ext uri="{FF2B5EF4-FFF2-40B4-BE49-F238E27FC236}">
              <a16:creationId xmlns:a16="http://schemas.microsoft.com/office/drawing/2014/main" id="{725DB8A4-8787-4C69-ADBC-F90D8A23A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44" name="Picture 7" descr=" ">
          <a:extLst>
            <a:ext uri="{FF2B5EF4-FFF2-40B4-BE49-F238E27FC236}">
              <a16:creationId xmlns:a16="http://schemas.microsoft.com/office/drawing/2014/main" id="{1C46A75C-88D0-4E7B-82EA-E12E42EE9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45" name="Picture 8" descr=" ">
          <a:extLst>
            <a:ext uri="{FF2B5EF4-FFF2-40B4-BE49-F238E27FC236}">
              <a16:creationId xmlns:a16="http://schemas.microsoft.com/office/drawing/2014/main" id="{A54E3207-9CA1-40A1-8ADE-7328915CB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46" name="Picture 9" descr=" ">
          <a:extLst>
            <a:ext uri="{FF2B5EF4-FFF2-40B4-BE49-F238E27FC236}">
              <a16:creationId xmlns:a16="http://schemas.microsoft.com/office/drawing/2014/main" id="{A1B7DCBC-FA52-4ABF-A84F-F7A355D80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47" name="Picture 10" descr=" ">
          <a:extLst>
            <a:ext uri="{FF2B5EF4-FFF2-40B4-BE49-F238E27FC236}">
              <a16:creationId xmlns:a16="http://schemas.microsoft.com/office/drawing/2014/main" id="{C0F85750-E1E2-4C94-934F-7BD4D20EA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48" name="Picture 11" descr=" ">
          <a:extLst>
            <a:ext uri="{FF2B5EF4-FFF2-40B4-BE49-F238E27FC236}">
              <a16:creationId xmlns:a16="http://schemas.microsoft.com/office/drawing/2014/main" id="{22BC5D2B-831F-4544-BBF6-B0D4D3B5A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49" name="Picture 12" descr=" ">
          <a:extLst>
            <a:ext uri="{FF2B5EF4-FFF2-40B4-BE49-F238E27FC236}">
              <a16:creationId xmlns:a16="http://schemas.microsoft.com/office/drawing/2014/main" id="{4DE4CCF4-50C7-4607-AEE3-14F916E32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50" name="Picture 7" descr=" ">
          <a:extLst>
            <a:ext uri="{FF2B5EF4-FFF2-40B4-BE49-F238E27FC236}">
              <a16:creationId xmlns:a16="http://schemas.microsoft.com/office/drawing/2014/main" id="{EA916E7C-2242-4550-9383-6890CC390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51" name="Picture 8" descr=" ">
          <a:extLst>
            <a:ext uri="{FF2B5EF4-FFF2-40B4-BE49-F238E27FC236}">
              <a16:creationId xmlns:a16="http://schemas.microsoft.com/office/drawing/2014/main" id="{7C4CBABA-6248-43E6-BA20-A34EFE37B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52" name="Picture 9" descr=" ">
          <a:extLst>
            <a:ext uri="{FF2B5EF4-FFF2-40B4-BE49-F238E27FC236}">
              <a16:creationId xmlns:a16="http://schemas.microsoft.com/office/drawing/2014/main" id="{B3113A2B-D4DA-40D9-AD49-97839BD40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53" name="Picture 10" descr=" ">
          <a:extLst>
            <a:ext uri="{FF2B5EF4-FFF2-40B4-BE49-F238E27FC236}">
              <a16:creationId xmlns:a16="http://schemas.microsoft.com/office/drawing/2014/main" id="{DA2E84FE-9D1A-49EA-8E42-6E34A81A7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54" name="Picture 11" descr=" ">
          <a:extLst>
            <a:ext uri="{FF2B5EF4-FFF2-40B4-BE49-F238E27FC236}">
              <a16:creationId xmlns:a16="http://schemas.microsoft.com/office/drawing/2014/main" id="{DBA9CC15-E6AB-4F3F-9512-35DE69926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55" name="Picture 12" descr=" ">
          <a:extLst>
            <a:ext uri="{FF2B5EF4-FFF2-40B4-BE49-F238E27FC236}">
              <a16:creationId xmlns:a16="http://schemas.microsoft.com/office/drawing/2014/main" id="{3016474D-705C-4CE4-A821-CF454D4F9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56" name="Picture 7" descr=" ">
          <a:extLst>
            <a:ext uri="{FF2B5EF4-FFF2-40B4-BE49-F238E27FC236}">
              <a16:creationId xmlns:a16="http://schemas.microsoft.com/office/drawing/2014/main" id="{A7AE037B-92A3-4EEE-888B-14D22C936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57" name="Picture 8" descr=" ">
          <a:extLst>
            <a:ext uri="{FF2B5EF4-FFF2-40B4-BE49-F238E27FC236}">
              <a16:creationId xmlns:a16="http://schemas.microsoft.com/office/drawing/2014/main" id="{DCFFBE98-6245-4D78-B9F1-C7FF812A9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58" name="Picture 9" descr=" ">
          <a:extLst>
            <a:ext uri="{FF2B5EF4-FFF2-40B4-BE49-F238E27FC236}">
              <a16:creationId xmlns:a16="http://schemas.microsoft.com/office/drawing/2014/main" id="{A2C4B2E1-B27E-4AB1-826B-19E18327B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59" name="Picture 10" descr=" ">
          <a:extLst>
            <a:ext uri="{FF2B5EF4-FFF2-40B4-BE49-F238E27FC236}">
              <a16:creationId xmlns:a16="http://schemas.microsoft.com/office/drawing/2014/main" id="{CFED6917-0D1D-4AC5-9239-015D2BB91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60" name="Picture 11" descr=" ">
          <a:extLst>
            <a:ext uri="{FF2B5EF4-FFF2-40B4-BE49-F238E27FC236}">
              <a16:creationId xmlns:a16="http://schemas.microsoft.com/office/drawing/2014/main" id="{2E5DE2BD-5DCD-458F-9F1B-9C6D04C2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61" name="Picture 12" descr=" ">
          <a:extLst>
            <a:ext uri="{FF2B5EF4-FFF2-40B4-BE49-F238E27FC236}">
              <a16:creationId xmlns:a16="http://schemas.microsoft.com/office/drawing/2014/main" id="{890B35DC-ECFD-42B4-A2D1-D2367FA00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62" name="Picture 7" descr=" ">
          <a:extLst>
            <a:ext uri="{FF2B5EF4-FFF2-40B4-BE49-F238E27FC236}">
              <a16:creationId xmlns:a16="http://schemas.microsoft.com/office/drawing/2014/main" id="{B64300CB-4940-48B0-A4CC-F7512BFB6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63" name="Picture 8" descr=" ">
          <a:extLst>
            <a:ext uri="{FF2B5EF4-FFF2-40B4-BE49-F238E27FC236}">
              <a16:creationId xmlns:a16="http://schemas.microsoft.com/office/drawing/2014/main" id="{3FE721CD-BFCA-4F0F-84A0-875E048C6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64" name="Picture 9" descr=" ">
          <a:extLst>
            <a:ext uri="{FF2B5EF4-FFF2-40B4-BE49-F238E27FC236}">
              <a16:creationId xmlns:a16="http://schemas.microsoft.com/office/drawing/2014/main" id="{2DA9E096-5663-4453-ADE9-D4DB215FA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65" name="Picture 10" descr=" ">
          <a:extLst>
            <a:ext uri="{FF2B5EF4-FFF2-40B4-BE49-F238E27FC236}">
              <a16:creationId xmlns:a16="http://schemas.microsoft.com/office/drawing/2014/main" id="{CB3FECA9-0058-49BB-9C57-28AEA1C1D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66" name="Picture 11" descr=" ">
          <a:extLst>
            <a:ext uri="{FF2B5EF4-FFF2-40B4-BE49-F238E27FC236}">
              <a16:creationId xmlns:a16="http://schemas.microsoft.com/office/drawing/2014/main" id="{011F7F5F-7D7A-4183-8711-726FEA7EB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67" name="Picture 12" descr=" ">
          <a:extLst>
            <a:ext uri="{FF2B5EF4-FFF2-40B4-BE49-F238E27FC236}">
              <a16:creationId xmlns:a16="http://schemas.microsoft.com/office/drawing/2014/main" id="{9E4BC0A4-FD36-4FC9-A197-42EC66A49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68" name="Picture 7" descr=" ">
          <a:extLst>
            <a:ext uri="{FF2B5EF4-FFF2-40B4-BE49-F238E27FC236}">
              <a16:creationId xmlns:a16="http://schemas.microsoft.com/office/drawing/2014/main" id="{960ED663-A9F9-47E5-ADBE-EF4120C7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69" name="Picture 8" descr=" ">
          <a:extLst>
            <a:ext uri="{FF2B5EF4-FFF2-40B4-BE49-F238E27FC236}">
              <a16:creationId xmlns:a16="http://schemas.microsoft.com/office/drawing/2014/main" id="{27083FAD-DFDA-4559-AB3B-A8CA0F42D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70" name="Picture 9" descr=" ">
          <a:extLst>
            <a:ext uri="{FF2B5EF4-FFF2-40B4-BE49-F238E27FC236}">
              <a16:creationId xmlns:a16="http://schemas.microsoft.com/office/drawing/2014/main" id="{F642700F-8C6B-485A-ADDC-E0F6378D9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71" name="Picture 10" descr=" ">
          <a:extLst>
            <a:ext uri="{FF2B5EF4-FFF2-40B4-BE49-F238E27FC236}">
              <a16:creationId xmlns:a16="http://schemas.microsoft.com/office/drawing/2014/main" id="{715B9AD1-5683-47E2-A609-0825FB318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72" name="Picture 11" descr=" ">
          <a:extLst>
            <a:ext uri="{FF2B5EF4-FFF2-40B4-BE49-F238E27FC236}">
              <a16:creationId xmlns:a16="http://schemas.microsoft.com/office/drawing/2014/main" id="{81B58AB4-7C1B-41F2-9C50-2AA0F277B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73" name="Picture 12" descr=" ">
          <a:extLst>
            <a:ext uri="{FF2B5EF4-FFF2-40B4-BE49-F238E27FC236}">
              <a16:creationId xmlns:a16="http://schemas.microsoft.com/office/drawing/2014/main" id="{F75651BD-5F35-45F0-8F3C-7924F827E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74" name="Picture 7" descr=" ">
          <a:extLst>
            <a:ext uri="{FF2B5EF4-FFF2-40B4-BE49-F238E27FC236}">
              <a16:creationId xmlns:a16="http://schemas.microsoft.com/office/drawing/2014/main" id="{894BA6FD-588C-4E66-A73B-4CD9A2DF5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75" name="Picture 8" descr=" ">
          <a:extLst>
            <a:ext uri="{FF2B5EF4-FFF2-40B4-BE49-F238E27FC236}">
              <a16:creationId xmlns:a16="http://schemas.microsoft.com/office/drawing/2014/main" id="{96389079-01EC-428A-A93B-B6A231FAC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76" name="Picture 9" descr=" ">
          <a:extLst>
            <a:ext uri="{FF2B5EF4-FFF2-40B4-BE49-F238E27FC236}">
              <a16:creationId xmlns:a16="http://schemas.microsoft.com/office/drawing/2014/main" id="{14E76421-27BF-495B-9EAD-55AAA99E9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77" name="Picture 10" descr=" ">
          <a:extLst>
            <a:ext uri="{FF2B5EF4-FFF2-40B4-BE49-F238E27FC236}">
              <a16:creationId xmlns:a16="http://schemas.microsoft.com/office/drawing/2014/main" id="{DA30EA3D-C432-4002-BDCC-EEF5E47DD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78" name="Picture 11" descr=" ">
          <a:extLst>
            <a:ext uri="{FF2B5EF4-FFF2-40B4-BE49-F238E27FC236}">
              <a16:creationId xmlns:a16="http://schemas.microsoft.com/office/drawing/2014/main" id="{BC2ECF65-8740-4561-8EB5-84721DA6C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79" name="Picture 12" descr=" ">
          <a:extLst>
            <a:ext uri="{FF2B5EF4-FFF2-40B4-BE49-F238E27FC236}">
              <a16:creationId xmlns:a16="http://schemas.microsoft.com/office/drawing/2014/main" id="{74199508-9C59-4AED-87FB-C87506C6B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80" name="Picture 7" descr=" ">
          <a:extLst>
            <a:ext uri="{FF2B5EF4-FFF2-40B4-BE49-F238E27FC236}">
              <a16:creationId xmlns:a16="http://schemas.microsoft.com/office/drawing/2014/main" id="{48BACD6B-EB68-4D3F-A30B-771EC09D8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81" name="Picture 8" descr=" ">
          <a:extLst>
            <a:ext uri="{FF2B5EF4-FFF2-40B4-BE49-F238E27FC236}">
              <a16:creationId xmlns:a16="http://schemas.microsoft.com/office/drawing/2014/main" id="{685DC0B2-E4A7-4A1C-BE4A-0F6072330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82" name="Picture 9" descr=" ">
          <a:extLst>
            <a:ext uri="{FF2B5EF4-FFF2-40B4-BE49-F238E27FC236}">
              <a16:creationId xmlns:a16="http://schemas.microsoft.com/office/drawing/2014/main" id="{513A7375-465A-4F4E-A748-D20E2130A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83" name="Picture 10" descr=" ">
          <a:extLst>
            <a:ext uri="{FF2B5EF4-FFF2-40B4-BE49-F238E27FC236}">
              <a16:creationId xmlns:a16="http://schemas.microsoft.com/office/drawing/2014/main" id="{3BDE42E5-3844-45BD-BC99-35296D4A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84" name="Picture 11" descr=" ">
          <a:extLst>
            <a:ext uri="{FF2B5EF4-FFF2-40B4-BE49-F238E27FC236}">
              <a16:creationId xmlns:a16="http://schemas.microsoft.com/office/drawing/2014/main" id="{6771B98D-26AA-4DBB-B897-E825F509A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85" name="Picture 12" descr=" ">
          <a:extLst>
            <a:ext uri="{FF2B5EF4-FFF2-40B4-BE49-F238E27FC236}">
              <a16:creationId xmlns:a16="http://schemas.microsoft.com/office/drawing/2014/main" id="{1224F3A0-C8AA-4138-A770-D8A46633A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86" name="Picture 7" descr=" ">
          <a:extLst>
            <a:ext uri="{FF2B5EF4-FFF2-40B4-BE49-F238E27FC236}">
              <a16:creationId xmlns:a16="http://schemas.microsoft.com/office/drawing/2014/main" id="{6FF81157-1F73-4678-9E18-EE05D6A9E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87" name="Picture 8" descr=" ">
          <a:extLst>
            <a:ext uri="{FF2B5EF4-FFF2-40B4-BE49-F238E27FC236}">
              <a16:creationId xmlns:a16="http://schemas.microsoft.com/office/drawing/2014/main" id="{FBC57765-29E6-47BB-A6E8-98BB05085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88" name="Picture 9" descr=" ">
          <a:extLst>
            <a:ext uri="{FF2B5EF4-FFF2-40B4-BE49-F238E27FC236}">
              <a16:creationId xmlns:a16="http://schemas.microsoft.com/office/drawing/2014/main" id="{B6227537-B9B2-4CD2-9D37-10ECFFAC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89" name="Picture 10" descr=" ">
          <a:extLst>
            <a:ext uri="{FF2B5EF4-FFF2-40B4-BE49-F238E27FC236}">
              <a16:creationId xmlns:a16="http://schemas.microsoft.com/office/drawing/2014/main" id="{E119AAE2-8FEC-4061-8AAD-CEF3C4257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90" name="Picture 11" descr=" ">
          <a:extLst>
            <a:ext uri="{FF2B5EF4-FFF2-40B4-BE49-F238E27FC236}">
              <a16:creationId xmlns:a16="http://schemas.microsoft.com/office/drawing/2014/main" id="{2A7353C2-3F11-44B4-969B-A94C70C7C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91" name="Picture 12" descr=" ">
          <a:extLst>
            <a:ext uri="{FF2B5EF4-FFF2-40B4-BE49-F238E27FC236}">
              <a16:creationId xmlns:a16="http://schemas.microsoft.com/office/drawing/2014/main" id="{F49F1F8B-404C-4FBA-BB22-3BE1ADEEA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92" name="Picture 7" descr=" ">
          <a:extLst>
            <a:ext uri="{FF2B5EF4-FFF2-40B4-BE49-F238E27FC236}">
              <a16:creationId xmlns:a16="http://schemas.microsoft.com/office/drawing/2014/main" id="{A52A3E0C-F74E-488C-8E3E-84A4D3233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93" name="Picture 8" descr=" ">
          <a:extLst>
            <a:ext uri="{FF2B5EF4-FFF2-40B4-BE49-F238E27FC236}">
              <a16:creationId xmlns:a16="http://schemas.microsoft.com/office/drawing/2014/main" id="{C9486455-32C2-4220-8AB7-63BAEE510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94" name="Picture 9" descr=" ">
          <a:extLst>
            <a:ext uri="{FF2B5EF4-FFF2-40B4-BE49-F238E27FC236}">
              <a16:creationId xmlns:a16="http://schemas.microsoft.com/office/drawing/2014/main" id="{4DB358A4-89FB-4B00-A9E5-8388F9A5B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95" name="Picture 10" descr=" ">
          <a:extLst>
            <a:ext uri="{FF2B5EF4-FFF2-40B4-BE49-F238E27FC236}">
              <a16:creationId xmlns:a16="http://schemas.microsoft.com/office/drawing/2014/main" id="{D564C9E0-E3FF-4F77-A54C-2FAC7BE04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96" name="Picture 11" descr=" ">
          <a:extLst>
            <a:ext uri="{FF2B5EF4-FFF2-40B4-BE49-F238E27FC236}">
              <a16:creationId xmlns:a16="http://schemas.microsoft.com/office/drawing/2014/main" id="{BC6C043B-606B-4A46-8D46-E0DC95A38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97" name="Picture 12" descr=" ">
          <a:extLst>
            <a:ext uri="{FF2B5EF4-FFF2-40B4-BE49-F238E27FC236}">
              <a16:creationId xmlns:a16="http://schemas.microsoft.com/office/drawing/2014/main" id="{4E726794-6BB3-4265-92CD-0EEAAB73E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98" name="Picture 7" descr=" ">
          <a:extLst>
            <a:ext uri="{FF2B5EF4-FFF2-40B4-BE49-F238E27FC236}">
              <a16:creationId xmlns:a16="http://schemas.microsoft.com/office/drawing/2014/main" id="{22A57096-4567-4464-A367-67F354ED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299" name="Picture 8" descr=" ">
          <a:extLst>
            <a:ext uri="{FF2B5EF4-FFF2-40B4-BE49-F238E27FC236}">
              <a16:creationId xmlns:a16="http://schemas.microsoft.com/office/drawing/2014/main" id="{1D6BEB3D-4EA1-42D8-B501-AB50ECF14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00" name="Picture 9" descr=" ">
          <a:extLst>
            <a:ext uri="{FF2B5EF4-FFF2-40B4-BE49-F238E27FC236}">
              <a16:creationId xmlns:a16="http://schemas.microsoft.com/office/drawing/2014/main" id="{64D0263C-667A-4B1F-9B66-4A19620F1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01" name="Picture 10" descr=" ">
          <a:extLst>
            <a:ext uri="{FF2B5EF4-FFF2-40B4-BE49-F238E27FC236}">
              <a16:creationId xmlns:a16="http://schemas.microsoft.com/office/drawing/2014/main" id="{38892045-D826-4CC0-8D72-582E46EC2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02" name="Picture 11" descr=" ">
          <a:extLst>
            <a:ext uri="{FF2B5EF4-FFF2-40B4-BE49-F238E27FC236}">
              <a16:creationId xmlns:a16="http://schemas.microsoft.com/office/drawing/2014/main" id="{CC5D4082-771B-47AA-948E-C11023E9F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03" name="Picture 12" descr=" ">
          <a:extLst>
            <a:ext uri="{FF2B5EF4-FFF2-40B4-BE49-F238E27FC236}">
              <a16:creationId xmlns:a16="http://schemas.microsoft.com/office/drawing/2014/main" id="{EC66584A-DB2C-43FE-A7AF-9373041C8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04" name="Picture 7" descr=" ">
          <a:extLst>
            <a:ext uri="{FF2B5EF4-FFF2-40B4-BE49-F238E27FC236}">
              <a16:creationId xmlns:a16="http://schemas.microsoft.com/office/drawing/2014/main" id="{5C8E02A7-0CF8-41A8-98F5-6F7271790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05" name="Picture 8" descr=" ">
          <a:extLst>
            <a:ext uri="{FF2B5EF4-FFF2-40B4-BE49-F238E27FC236}">
              <a16:creationId xmlns:a16="http://schemas.microsoft.com/office/drawing/2014/main" id="{4C162A5E-0434-4F78-81F6-FA8DEC392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06" name="Picture 9" descr=" ">
          <a:extLst>
            <a:ext uri="{FF2B5EF4-FFF2-40B4-BE49-F238E27FC236}">
              <a16:creationId xmlns:a16="http://schemas.microsoft.com/office/drawing/2014/main" id="{409A8097-CE6F-4EE1-9158-DB93955E9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07" name="Picture 10" descr=" ">
          <a:extLst>
            <a:ext uri="{FF2B5EF4-FFF2-40B4-BE49-F238E27FC236}">
              <a16:creationId xmlns:a16="http://schemas.microsoft.com/office/drawing/2014/main" id="{9263F977-572F-4EBE-AD51-3D3E24D5D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08" name="Picture 11" descr=" ">
          <a:extLst>
            <a:ext uri="{FF2B5EF4-FFF2-40B4-BE49-F238E27FC236}">
              <a16:creationId xmlns:a16="http://schemas.microsoft.com/office/drawing/2014/main" id="{1B696E6C-A397-4A9B-930D-C6FDF960F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09" name="Picture 12" descr=" ">
          <a:extLst>
            <a:ext uri="{FF2B5EF4-FFF2-40B4-BE49-F238E27FC236}">
              <a16:creationId xmlns:a16="http://schemas.microsoft.com/office/drawing/2014/main" id="{DC3B54C8-7555-4D9D-910F-F1E9B986A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10" name="Picture 7" descr=" ">
          <a:extLst>
            <a:ext uri="{FF2B5EF4-FFF2-40B4-BE49-F238E27FC236}">
              <a16:creationId xmlns:a16="http://schemas.microsoft.com/office/drawing/2014/main" id="{317D9318-A18D-48A6-8066-AC395CEFD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11" name="Picture 8" descr=" ">
          <a:extLst>
            <a:ext uri="{FF2B5EF4-FFF2-40B4-BE49-F238E27FC236}">
              <a16:creationId xmlns:a16="http://schemas.microsoft.com/office/drawing/2014/main" id="{FF075F37-E197-428F-869F-FD2D932CC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12" name="Picture 9" descr=" ">
          <a:extLst>
            <a:ext uri="{FF2B5EF4-FFF2-40B4-BE49-F238E27FC236}">
              <a16:creationId xmlns:a16="http://schemas.microsoft.com/office/drawing/2014/main" id="{523C9C7D-64F1-4142-8CAE-C6F43F774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13" name="Picture 10" descr=" ">
          <a:extLst>
            <a:ext uri="{FF2B5EF4-FFF2-40B4-BE49-F238E27FC236}">
              <a16:creationId xmlns:a16="http://schemas.microsoft.com/office/drawing/2014/main" id="{B7FDCB97-4A96-43C7-A057-953DE00CC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14" name="Picture 11" descr=" ">
          <a:extLst>
            <a:ext uri="{FF2B5EF4-FFF2-40B4-BE49-F238E27FC236}">
              <a16:creationId xmlns:a16="http://schemas.microsoft.com/office/drawing/2014/main" id="{C8A727CF-2F20-4836-8B00-17E0E1815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15" name="Picture 12" descr=" ">
          <a:extLst>
            <a:ext uri="{FF2B5EF4-FFF2-40B4-BE49-F238E27FC236}">
              <a16:creationId xmlns:a16="http://schemas.microsoft.com/office/drawing/2014/main" id="{47BB764E-002C-4CC8-8415-85EB2923D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16" name="Picture 7" descr=" ">
          <a:extLst>
            <a:ext uri="{FF2B5EF4-FFF2-40B4-BE49-F238E27FC236}">
              <a16:creationId xmlns:a16="http://schemas.microsoft.com/office/drawing/2014/main" id="{800C6EB9-C984-4857-8E43-27BBB7025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17" name="Picture 8" descr=" ">
          <a:extLst>
            <a:ext uri="{FF2B5EF4-FFF2-40B4-BE49-F238E27FC236}">
              <a16:creationId xmlns:a16="http://schemas.microsoft.com/office/drawing/2014/main" id="{53D32E1C-3F3C-470F-BE29-CDFC4F727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18" name="Picture 9" descr=" ">
          <a:extLst>
            <a:ext uri="{FF2B5EF4-FFF2-40B4-BE49-F238E27FC236}">
              <a16:creationId xmlns:a16="http://schemas.microsoft.com/office/drawing/2014/main" id="{13083F20-11E9-42C0-8BE2-F3D3F22CE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19" name="Picture 10" descr=" ">
          <a:extLst>
            <a:ext uri="{FF2B5EF4-FFF2-40B4-BE49-F238E27FC236}">
              <a16:creationId xmlns:a16="http://schemas.microsoft.com/office/drawing/2014/main" id="{3D5AFAAB-1C2F-4C67-85E2-1DA02909E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20" name="Picture 11" descr=" ">
          <a:extLst>
            <a:ext uri="{FF2B5EF4-FFF2-40B4-BE49-F238E27FC236}">
              <a16:creationId xmlns:a16="http://schemas.microsoft.com/office/drawing/2014/main" id="{22347619-940F-46AD-8C1B-88AAC0D98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21" name="Picture 12" descr=" ">
          <a:extLst>
            <a:ext uri="{FF2B5EF4-FFF2-40B4-BE49-F238E27FC236}">
              <a16:creationId xmlns:a16="http://schemas.microsoft.com/office/drawing/2014/main" id="{BFEDDE87-AB1E-4FEC-82E2-1E49A478C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22" name="Picture 7" descr=" ">
          <a:extLst>
            <a:ext uri="{FF2B5EF4-FFF2-40B4-BE49-F238E27FC236}">
              <a16:creationId xmlns:a16="http://schemas.microsoft.com/office/drawing/2014/main" id="{64D9D106-CC75-4A9D-BAD3-0BA8FEFD7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23" name="Picture 8" descr=" ">
          <a:extLst>
            <a:ext uri="{FF2B5EF4-FFF2-40B4-BE49-F238E27FC236}">
              <a16:creationId xmlns:a16="http://schemas.microsoft.com/office/drawing/2014/main" id="{F4B77C21-6A9F-4ADA-86C3-3E9EC6973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24" name="Picture 9" descr=" ">
          <a:extLst>
            <a:ext uri="{FF2B5EF4-FFF2-40B4-BE49-F238E27FC236}">
              <a16:creationId xmlns:a16="http://schemas.microsoft.com/office/drawing/2014/main" id="{73F2A74D-F7EF-4ACE-8274-594A0244D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25" name="Picture 10" descr=" ">
          <a:extLst>
            <a:ext uri="{FF2B5EF4-FFF2-40B4-BE49-F238E27FC236}">
              <a16:creationId xmlns:a16="http://schemas.microsoft.com/office/drawing/2014/main" id="{A2720FDD-21DA-4196-846F-8F1DA24AB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26" name="Picture 11" descr=" ">
          <a:extLst>
            <a:ext uri="{FF2B5EF4-FFF2-40B4-BE49-F238E27FC236}">
              <a16:creationId xmlns:a16="http://schemas.microsoft.com/office/drawing/2014/main" id="{6FD61FF7-1D69-48A7-A0E9-CE4E9C35A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27" name="Picture 12" descr=" ">
          <a:extLst>
            <a:ext uri="{FF2B5EF4-FFF2-40B4-BE49-F238E27FC236}">
              <a16:creationId xmlns:a16="http://schemas.microsoft.com/office/drawing/2014/main" id="{E0CEE289-1168-4691-9D38-B897C6A0A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28" name="Picture 7" descr=" ">
          <a:extLst>
            <a:ext uri="{FF2B5EF4-FFF2-40B4-BE49-F238E27FC236}">
              <a16:creationId xmlns:a16="http://schemas.microsoft.com/office/drawing/2014/main" id="{D4F2BD0D-F995-4DB3-A17E-243F8568C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29" name="Picture 8" descr=" ">
          <a:extLst>
            <a:ext uri="{FF2B5EF4-FFF2-40B4-BE49-F238E27FC236}">
              <a16:creationId xmlns:a16="http://schemas.microsoft.com/office/drawing/2014/main" id="{EEB720DC-891E-4345-AA05-0799FF22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30" name="Picture 9" descr=" ">
          <a:extLst>
            <a:ext uri="{FF2B5EF4-FFF2-40B4-BE49-F238E27FC236}">
              <a16:creationId xmlns:a16="http://schemas.microsoft.com/office/drawing/2014/main" id="{7B0E4345-F1FE-4F28-A6E3-C93AB4519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31" name="Picture 10" descr=" ">
          <a:extLst>
            <a:ext uri="{FF2B5EF4-FFF2-40B4-BE49-F238E27FC236}">
              <a16:creationId xmlns:a16="http://schemas.microsoft.com/office/drawing/2014/main" id="{5F168963-0608-4584-90F6-B86361CC8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32" name="Picture 11" descr=" ">
          <a:extLst>
            <a:ext uri="{FF2B5EF4-FFF2-40B4-BE49-F238E27FC236}">
              <a16:creationId xmlns:a16="http://schemas.microsoft.com/office/drawing/2014/main" id="{48493DB8-ED35-4888-8219-E564E967E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33" name="Picture 12" descr=" ">
          <a:extLst>
            <a:ext uri="{FF2B5EF4-FFF2-40B4-BE49-F238E27FC236}">
              <a16:creationId xmlns:a16="http://schemas.microsoft.com/office/drawing/2014/main" id="{76C49E13-A600-41F5-ACE3-C50EE7FAB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34" name="Picture 7" descr=" ">
          <a:extLst>
            <a:ext uri="{FF2B5EF4-FFF2-40B4-BE49-F238E27FC236}">
              <a16:creationId xmlns:a16="http://schemas.microsoft.com/office/drawing/2014/main" id="{A1FFFB5D-A619-4E24-8786-13DE110BC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35" name="Picture 8" descr=" ">
          <a:extLst>
            <a:ext uri="{FF2B5EF4-FFF2-40B4-BE49-F238E27FC236}">
              <a16:creationId xmlns:a16="http://schemas.microsoft.com/office/drawing/2014/main" id="{A0670587-E0B7-4E70-BB37-5BD858BAB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36" name="Picture 9" descr=" ">
          <a:extLst>
            <a:ext uri="{FF2B5EF4-FFF2-40B4-BE49-F238E27FC236}">
              <a16:creationId xmlns:a16="http://schemas.microsoft.com/office/drawing/2014/main" id="{2919DBC1-DD56-417A-A9BE-161EF063E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37" name="Picture 10" descr=" ">
          <a:extLst>
            <a:ext uri="{FF2B5EF4-FFF2-40B4-BE49-F238E27FC236}">
              <a16:creationId xmlns:a16="http://schemas.microsoft.com/office/drawing/2014/main" id="{0F1F00AE-6BC8-4C13-807F-526E6A834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38" name="Picture 11" descr=" ">
          <a:extLst>
            <a:ext uri="{FF2B5EF4-FFF2-40B4-BE49-F238E27FC236}">
              <a16:creationId xmlns:a16="http://schemas.microsoft.com/office/drawing/2014/main" id="{2DBB463D-192C-41AF-B7BC-97DFAD918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39" name="Picture 12" descr=" ">
          <a:extLst>
            <a:ext uri="{FF2B5EF4-FFF2-40B4-BE49-F238E27FC236}">
              <a16:creationId xmlns:a16="http://schemas.microsoft.com/office/drawing/2014/main" id="{CF6B5823-A122-4123-8FBD-DB89380AE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40" name="Picture 7" descr=" ">
          <a:extLst>
            <a:ext uri="{FF2B5EF4-FFF2-40B4-BE49-F238E27FC236}">
              <a16:creationId xmlns:a16="http://schemas.microsoft.com/office/drawing/2014/main" id="{3B5CD986-EDCC-49D1-BBF2-9C4E5AD61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41" name="Picture 8" descr=" ">
          <a:extLst>
            <a:ext uri="{FF2B5EF4-FFF2-40B4-BE49-F238E27FC236}">
              <a16:creationId xmlns:a16="http://schemas.microsoft.com/office/drawing/2014/main" id="{D36D1BED-2A94-469E-9522-6D311C157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42" name="Picture 9" descr=" ">
          <a:extLst>
            <a:ext uri="{FF2B5EF4-FFF2-40B4-BE49-F238E27FC236}">
              <a16:creationId xmlns:a16="http://schemas.microsoft.com/office/drawing/2014/main" id="{FE7C01EC-0BD5-444A-BAEC-741E35A44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43" name="Picture 10" descr=" ">
          <a:extLst>
            <a:ext uri="{FF2B5EF4-FFF2-40B4-BE49-F238E27FC236}">
              <a16:creationId xmlns:a16="http://schemas.microsoft.com/office/drawing/2014/main" id="{AA265716-27D5-4567-8FDE-6D693066E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44" name="Picture 11" descr=" ">
          <a:extLst>
            <a:ext uri="{FF2B5EF4-FFF2-40B4-BE49-F238E27FC236}">
              <a16:creationId xmlns:a16="http://schemas.microsoft.com/office/drawing/2014/main" id="{4C3F575F-6101-4B27-9FED-5FF2EC43F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45" name="Picture 12" descr=" ">
          <a:extLst>
            <a:ext uri="{FF2B5EF4-FFF2-40B4-BE49-F238E27FC236}">
              <a16:creationId xmlns:a16="http://schemas.microsoft.com/office/drawing/2014/main" id="{B9859C40-289C-4FE4-9D5E-2D3330E0F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46" name="Picture 7" descr=" ">
          <a:extLst>
            <a:ext uri="{FF2B5EF4-FFF2-40B4-BE49-F238E27FC236}">
              <a16:creationId xmlns:a16="http://schemas.microsoft.com/office/drawing/2014/main" id="{9ACDFB18-797E-43AD-B231-0413775D9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47" name="Picture 8" descr=" ">
          <a:extLst>
            <a:ext uri="{FF2B5EF4-FFF2-40B4-BE49-F238E27FC236}">
              <a16:creationId xmlns:a16="http://schemas.microsoft.com/office/drawing/2014/main" id="{36CACBBD-5EEF-4E6A-95AD-AD2BCFFF4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48" name="Picture 9" descr=" ">
          <a:extLst>
            <a:ext uri="{FF2B5EF4-FFF2-40B4-BE49-F238E27FC236}">
              <a16:creationId xmlns:a16="http://schemas.microsoft.com/office/drawing/2014/main" id="{6A74C8A5-DF30-4B73-B054-9DAD4DAA0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49" name="Picture 10" descr=" ">
          <a:extLst>
            <a:ext uri="{FF2B5EF4-FFF2-40B4-BE49-F238E27FC236}">
              <a16:creationId xmlns:a16="http://schemas.microsoft.com/office/drawing/2014/main" id="{3C5DD817-6F73-4780-BE36-97CDDD4C5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50" name="Picture 11" descr=" ">
          <a:extLst>
            <a:ext uri="{FF2B5EF4-FFF2-40B4-BE49-F238E27FC236}">
              <a16:creationId xmlns:a16="http://schemas.microsoft.com/office/drawing/2014/main" id="{44396376-B8B4-4C7D-8CD4-E092C7955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51" name="Picture 12" descr=" ">
          <a:extLst>
            <a:ext uri="{FF2B5EF4-FFF2-40B4-BE49-F238E27FC236}">
              <a16:creationId xmlns:a16="http://schemas.microsoft.com/office/drawing/2014/main" id="{C234D8E1-851F-4B74-B5A8-2F0350B30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52" name="Picture 7" descr=" ">
          <a:extLst>
            <a:ext uri="{FF2B5EF4-FFF2-40B4-BE49-F238E27FC236}">
              <a16:creationId xmlns:a16="http://schemas.microsoft.com/office/drawing/2014/main" id="{50B8A1AE-440C-490C-878C-86D9960D8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53" name="Picture 8" descr=" ">
          <a:extLst>
            <a:ext uri="{FF2B5EF4-FFF2-40B4-BE49-F238E27FC236}">
              <a16:creationId xmlns:a16="http://schemas.microsoft.com/office/drawing/2014/main" id="{50466E71-5EFC-4596-B0A9-73C274639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54" name="Picture 9" descr=" ">
          <a:extLst>
            <a:ext uri="{FF2B5EF4-FFF2-40B4-BE49-F238E27FC236}">
              <a16:creationId xmlns:a16="http://schemas.microsoft.com/office/drawing/2014/main" id="{8D38D649-6777-490D-8313-4B2949CC4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55" name="Picture 10" descr=" ">
          <a:extLst>
            <a:ext uri="{FF2B5EF4-FFF2-40B4-BE49-F238E27FC236}">
              <a16:creationId xmlns:a16="http://schemas.microsoft.com/office/drawing/2014/main" id="{73A31CF8-7A0E-4250-B0DD-9164155FD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56" name="Picture 11" descr=" ">
          <a:extLst>
            <a:ext uri="{FF2B5EF4-FFF2-40B4-BE49-F238E27FC236}">
              <a16:creationId xmlns:a16="http://schemas.microsoft.com/office/drawing/2014/main" id="{FE1A0635-5E96-4E8E-A825-056FB2377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57" name="Picture 12" descr=" ">
          <a:extLst>
            <a:ext uri="{FF2B5EF4-FFF2-40B4-BE49-F238E27FC236}">
              <a16:creationId xmlns:a16="http://schemas.microsoft.com/office/drawing/2014/main" id="{8D792DC9-0966-4CD6-AA90-CBF0ABE47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58" name="Picture 7" descr=" ">
          <a:extLst>
            <a:ext uri="{FF2B5EF4-FFF2-40B4-BE49-F238E27FC236}">
              <a16:creationId xmlns:a16="http://schemas.microsoft.com/office/drawing/2014/main" id="{AF3F4E07-B82F-4B68-83D2-A620ED53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59" name="Picture 8" descr=" ">
          <a:extLst>
            <a:ext uri="{FF2B5EF4-FFF2-40B4-BE49-F238E27FC236}">
              <a16:creationId xmlns:a16="http://schemas.microsoft.com/office/drawing/2014/main" id="{90F2BE6C-9CD3-4FEF-A826-6DBE1C3B5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60" name="Picture 9" descr=" ">
          <a:extLst>
            <a:ext uri="{FF2B5EF4-FFF2-40B4-BE49-F238E27FC236}">
              <a16:creationId xmlns:a16="http://schemas.microsoft.com/office/drawing/2014/main" id="{67940B69-8298-4799-BFD2-C8693CCC0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61" name="Picture 10" descr=" ">
          <a:extLst>
            <a:ext uri="{FF2B5EF4-FFF2-40B4-BE49-F238E27FC236}">
              <a16:creationId xmlns:a16="http://schemas.microsoft.com/office/drawing/2014/main" id="{45FAE38D-5C0D-4F3A-B80B-58BC1742F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62" name="Picture 11" descr=" ">
          <a:extLst>
            <a:ext uri="{FF2B5EF4-FFF2-40B4-BE49-F238E27FC236}">
              <a16:creationId xmlns:a16="http://schemas.microsoft.com/office/drawing/2014/main" id="{157612D7-1A06-4F0A-806B-644717A3F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63" name="Picture 12" descr=" ">
          <a:extLst>
            <a:ext uri="{FF2B5EF4-FFF2-40B4-BE49-F238E27FC236}">
              <a16:creationId xmlns:a16="http://schemas.microsoft.com/office/drawing/2014/main" id="{98F4038D-9A0A-467C-9A71-2D09D62DD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64" name="Picture 7" descr=" ">
          <a:extLst>
            <a:ext uri="{FF2B5EF4-FFF2-40B4-BE49-F238E27FC236}">
              <a16:creationId xmlns:a16="http://schemas.microsoft.com/office/drawing/2014/main" id="{7F692625-DF3D-404A-84FB-229E409AE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65" name="Picture 8" descr=" ">
          <a:extLst>
            <a:ext uri="{FF2B5EF4-FFF2-40B4-BE49-F238E27FC236}">
              <a16:creationId xmlns:a16="http://schemas.microsoft.com/office/drawing/2014/main" id="{743502C0-BD96-407F-87D2-C24213731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66" name="Picture 9" descr=" ">
          <a:extLst>
            <a:ext uri="{FF2B5EF4-FFF2-40B4-BE49-F238E27FC236}">
              <a16:creationId xmlns:a16="http://schemas.microsoft.com/office/drawing/2014/main" id="{B237D221-68E6-414D-8EF8-477456622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67" name="Picture 10" descr=" ">
          <a:extLst>
            <a:ext uri="{FF2B5EF4-FFF2-40B4-BE49-F238E27FC236}">
              <a16:creationId xmlns:a16="http://schemas.microsoft.com/office/drawing/2014/main" id="{BB0BF0DD-E897-46E0-809F-9333CD48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68" name="Picture 11" descr=" ">
          <a:extLst>
            <a:ext uri="{FF2B5EF4-FFF2-40B4-BE49-F238E27FC236}">
              <a16:creationId xmlns:a16="http://schemas.microsoft.com/office/drawing/2014/main" id="{702F2F04-FBC0-496E-A64E-D28BE69A3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69" name="Picture 12" descr=" ">
          <a:extLst>
            <a:ext uri="{FF2B5EF4-FFF2-40B4-BE49-F238E27FC236}">
              <a16:creationId xmlns:a16="http://schemas.microsoft.com/office/drawing/2014/main" id="{A543E2FD-AEE7-4199-923B-DBB3F3999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70" name="Picture 7" descr=" ">
          <a:extLst>
            <a:ext uri="{FF2B5EF4-FFF2-40B4-BE49-F238E27FC236}">
              <a16:creationId xmlns:a16="http://schemas.microsoft.com/office/drawing/2014/main" id="{AAF4705B-85A8-4EFB-A650-92A68C910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71" name="Picture 8" descr=" ">
          <a:extLst>
            <a:ext uri="{FF2B5EF4-FFF2-40B4-BE49-F238E27FC236}">
              <a16:creationId xmlns:a16="http://schemas.microsoft.com/office/drawing/2014/main" id="{116D20AD-E485-400E-85F1-DA851D09B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72" name="Picture 9" descr=" ">
          <a:extLst>
            <a:ext uri="{FF2B5EF4-FFF2-40B4-BE49-F238E27FC236}">
              <a16:creationId xmlns:a16="http://schemas.microsoft.com/office/drawing/2014/main" id="{DC020D62-A946-4285-8DE6-59FCE805F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73" name="Picture 10" descr=" ">
          <a:extLst>
            <a:ext uri="{FF2B5EF4-FFF2-40B4-BE49-F238E27FC236}">
              <a16:creationId xmlns:a16="http://schemas.microsoft.com/office/drawing/2014/main" id="{F124BF2B-FD61-411D-8FDC-F4C871DAE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74" name="Picture 11" descr=" ">
          <a:extLst>
            <a:ext uri="{FF2B5EF4-FFF2-40B4-BE49-F238E27FC236}">
              <a16:creationId xmlns:a16="http://schemas.microsoft.com/office/drawing/2014/main" id="{1263DD59-8CC1-4AF7-966F-5A38AA49D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75" name="Picture 12" descr=" ">
          <a:extLst>
            <a:ext uri="{FF2B5EF4-FFF2-40B4-BE49-F238E27FC236}">
              <a16:creationId xmlns:a16="http://schemas.microsoft.com/office/drawing/2014/main" id="{A7035397-43E8-4E22-8E26-CABB8A6B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76" name="Picture 7" descr=" ">
          <a:extLst>
            <a:ext uri="{FF2B5EF4-FFF2-40B4-BE49-F238E27FC236}">
              <a16:creationId xmlns:a16="http://schemas.microsoft.com/office/drawing/2014/main" id="{9EFA8942-8EFB-4057-B0AC-0E9F45557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77" name="Picture 8" descr=" ">
          <a:extLst>
            <a:ext uri="{FF2B5EF4-FFF2-40B4-BE49-F238E27FC236}">
              <a16:creationId xmlns:a16="http://schemas.microsoft.com/office/drawing/2014/main" id="{5CB33D44-79B6-465B-B209-D5E3821A5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78" name="Picture 9" descr=" ">
          <a:extLst>
            <a:ext uri="{FF2B5EF4-FFF2-40B4-BE49-F238E27FC236}">
              <a16:creationId xmlns:a16="http://schemas.microsoft.com/office/drawing/2014/main" id="{99A0D91A-D4C3-4E55-AE1D-DCCED4DA6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79" name="Picture 10" descr=" ">
          <a:extLst>
            <a:ext uri="{FF2B5EF4-FFF2-40B4-BE49-F238E27FC236}">
              <a16:creationId xmlns:a16="http://schemas.microsoft.com/office/drawing/2014/main" id="{C1148453-6DBA-4174-BB1D-010791CA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80" name="Picture 11" descr=" ">
          <a:extLst>
            <a:ext uri="{FF2B5EF4-FFF2-40B4-BE49-F238E27FC236}">
              <a16:creationId xmlns:a16="http://schemas.microsoft.com/office/drawing/2014/main" id="{8760B6C9-1FD3-411C-81CF-0FEA0E323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81" name="Picture 12" descr=" ">
          <a:extLst>
            <a:ext uri="{FF2B5EF4-FFF2-40B4-BE49-F238E27FC236}">
              <a16:creationId xmlns:a16="http://schemas.microsoft.com/office/drawing/2014/main" id="{C4E40CBB-0C04-4CB8-A6BA-DB20E72D3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82" name="Picture 7" descr=" ">
          <a:extLst>
            <a:ext uri="{FF2B5EF4-FFF2-40B4-BE49-F238E27FC236}">
              <a16:creationId xmlns:a16="http://schemas.microsoft.com/office/drawing/2014/main" id="{D8D4218A-5541-414D-A33A-00E0E7C76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83" name="Picture 8" descr=" ">
          <a:extLst>
            <a:ext uri="{FF2B5EF4-FFF2-40B4-BE49-F238E27FC236}">
              <a16:creationId xmlns:a16="http://schemas.microsoft.com/office/drawing/2014/main" id="{1AD463D7-18AC-4B6A-A52F-2AD4BCD1C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84" name="Picture 9" descr=" ">
          <a:extLst>
            <a:ext uri="{FF2B5EF4-FFF2-40B4-BE49-F238E27FC236}">
              <a16:creationId xmlns:a16="http://schemas.microsoft.com/office/drawing/2014/main" id="{2204C5BA-25EE-402F-BC67-F7EBE7262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85" name="Picture 10" descr=" ">
          <a:extLst>
            <a:ext uri="{FF2B5EF4-FFF2-40B4-BE49-F238E27FC236}">
              <a16:creationId xmlns:a16="http://schemas.microsoft.com/office/drawing/2014/main" id="{54700660-78AA-46E8-B203-8594B1320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86" name="Picture 11" descr=" ">
          <a:extLst>
            <a:ext uri="{FF2B5EF4-FFF2-40B4-BE49-F238E27FC236}">
              <a16:creationId xmlns:a16="http://schemas.microsoft.com/office/drawing/2014/main" id="{DF5EB29F-5EE4-4BCC-B82E-A53327787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87" name="Picture 12" descr=" ">
          <a:extLst>
            <a:ext uri="{FF2B5EF4-FFF2-40B4-BE49-F238E27FC236}">
              <a16:creationId xmlns:a16="http://schemas.microsoft.com/office/drawing/2014/main" id="{F2D625D9-2B9E-4E10-B1A4-720C8509E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88" name="Picture 7" descr=" ">
          <a:extLst>
            <a:ext uri="{FF2B5EF4-FFF2-40B4-BE49-F238E27FC236}">
              <a16:creationId xmlns:a16="http://schemas.microsoft.com/office/drawing/2014/main" id="{B9623BAE-E08A-45E9-BAD6-947F6CA4F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89" name="Picture 8" descr=" ">
          <a:extLst>
            <a:ext uri="{FF2B5EF4-FFF2-40B4-BE49-F238E27FC236}">
              <a16:creationId xmlns:a16="http://schemas.microsoft.com/office/drawing/2014/main" id="{90C5B8F7-CFF8-43C9-B809-9D869106A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90" name="Picture 9" descr=" ">
          <a:extLst>
            <a:ext uri="{FF2B5EF4-FFF2-40B4-BE49-F238E27FC236}">
              <a16:creationId xmlns:a16="http://schemas.microsoft.com/office/drawing/2014/main" id="{BD150F3D-DE90-497B-A116-BDCDE1E29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91" name="Picture 10" descr=" ">
          <a:extLst>
            <a:ext uri="{FF2B5EF4-FFF2-40B4-BE49-F238E27FC236}">
              <a16:creationId xmlns:a16="http://schemas.microsoft.com/office/drawing/2014/main" id="{35791252-5C3D-47BF-B95E-5B6ADEB40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92" name="Picture 11" descr=" ">
          <a:extLst>
            <a:ext uri="{FF2B5EF4-FFF2-40B4-BE49-F238E27FC236}">
              <a16:creationId xmlns:a16="http://schemas.microsoft.com/office/drawing/2014/main" id="{43DA5264-92CF-4F07-B016-1F5241402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93" name="Picture 12" descr=" ">
          <a:extLst>
            <a:ext uri="{FF2B5EF4-FFF2-40B4-BE49-F238E27FC236}">
              <a16:creationId xmlns:a16="http://schemas.microsoft.com/office/drawing/2014/main" id="{8192F629-4BD5-4CE0-BB76-5B7974365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94" name="Picture 7" descr=" ">
          <a:extLst>
            <a:ext uri="{FF2B5EF4-FFF2-40B4-BE49-F238E27FC236}">
              <a16:creationId xmlns:a16="http://schemas.microsoft.com/office/drawing/2014/main" id="{1625804F-1BB4-48D4-A1D5-63F2EFB0F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95" name="Picture 8" descr=" ">
          <a:extLst>
            <a:ext uri="{FF2B5EF4-FFF2-40B4-BE49-F238E27FC236}">
              <a16:creationId xmlns:a16="http://schemas.microsoft.com/office/drawing/2014/main" id="{6F511300-7643-466B-BA80-D75340328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96" name="Picture 9" descr=" ">
          <a:extLst>
            <a:ext uri="{FF2B5EF4-FFF2-40B4-BE49-F238E27FC236}">
              <a16:creationId xmlns:a16="http://schemas.microsoft.com/office/drawing/2014/main" id="{A8999462-0CA1-4A35-B701-8E081DC72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97" name="Picture 10" descr=" ">
          <a:extLst>
            <a:ext uri="{FF2B5EF4-FFF2-40B4-BE49-F238E27FC236}">
              <a16:creationId xmlns:a16="http://schemas.microsoft.com/office/drawing/2014/main" id="{4CC1F046-E9EA-489E-9C39-2118F8C6D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98" name="Picture 11" descr=" ">
          <a:extLst>
            <a:ext uri="{FF2B5EF4-FFF2-40B4-BE49-F238E27FC236}">
              <a16:creationId xmlns:a16="http://schemas.microsoft.com/office/drawing/2014/main" id="{2D48633E-24D5-4D85-9507-090E16CA0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399" name="Picture 12" descr=" ">
          <a:extLst>
            <a:ext uri="{FF2B5EF4-FFF2-40B4-BE49-F238E27FC236}">
              <a16:creationId xmlns:a16="http://schemas.microsoft.com/office/drawing/2014/main" id="{0D814BA0-091F-4C8A-949A-A76F99510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00" name="Picture 7" descr=" ">
          <a:extLst>
            <a:ext uri="{FF2B5EF4-FFF2-40B4-BE49-F238E27FC236}">
              <a16:creationId xmlns:a16="http://schemas.microsoft.com/office/drawing/2014/main" id="{EE12FCCF-4145-4469-B740-E5EB1C03D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01" name="Picture 8" descr=" ">
          <a:extLst>
            <a:ext uri="{FF2B5EF4-FFF2-40B4-BE49-F238E27FC236}">
              <a16:creationId xmlns:a16="http://schemas.microsoft.com/office/drawing/2014/main" id="{CCD742FA-BCFA-4315-92E6-B80BF2F1D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02" name="Picture 9" descr=" ">
          <a:extLst>
            <a:ext uri="{FF2B5EF4-FFF2-40B4-BE49-F238E27FC236}">
              <a16:creationId xmlns:a16="http://schemas.microsoft.com/office/drawing/2014/main" id="{4AAD56F0-E1AE-488B-818F-13FB68310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03" name="Picture 10" descr=" ">
          <a:extLst>
            <a:ext uri="{FF2B5EF4-FFF2-40B4-BE49-F238E27FC236}">
              <a16:creationId xmlns:a16="http://schemas.microsoft.com/office/drawing/2014/main" id="{768F9645-A3E9-4627-B8D9-ABD84B0CB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04" name="Picture 11" descr=" ">
          <a:extLst>
            <a:ext uri="{FF2B5EF4-FFF2-40B4-BE49-F238E27FC236}">
              <a16:creationId xmlns:a16="http://schemas.microsoft.com/office/drawing/2014/main" id="{B94CFE31-041F-4EA8-967B-2631BEDBD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05" name="Picture 12" descr=" ">
          <a:extLst>
            <a:ext uri="{FF2B5EF4-FFF2-40B4-BE49-F238E27FC236}">
              <a16:creationId xmlns:a16="http://schemas.microsoft.com/office/drawing/2014/main" id="{6E84D18E-7B05-4BF5-A5CF-AA7A73CAC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06" name="Picture 7" descr=" ">
          <a:extLst>
            <a:ext uri="{FF2B5EF4-FFF2-40B4-BE49-F238E27FC236}">
              <a16:creationId xmlns:a16="http://schemas.microsoft.com/office/drawing/2014/main" id="{B359C3B4-630F-4317-B8A4-E3A891757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07" name="Picture 8" descr=" ">
          <a:extLst>
            <a:ext uri="{FF2B5EF4-FFF2-40B4-BE49-F238E27FC236}">
              <a16:creationId xmlns:a16="http://schemas.microsoft.com/office/drawing/2014/main" id="{3DC84179-8C0B-4654-A8A2-BFB0FD4A6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08" name="Picture 9" descr=" ">
          <a:extLst>
            <a:ext uri="{FF2B5EF4-FFF2-40B4-BE49-F238E27FC236}">
              <a16:creationId xmlns:a16="http://schemas.microsoft.com/office/drawing/2014/main" id="{E7BCF946-EB5D-42A6-B2C3-6C7CEA4D4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09" name="Picture 10" descr=" ">
          <a:extLst>
            <a:ext uri="{FF2B5EF4-FFF2-40B4-BE49-F238E27FC236}">
              <a16:creationId xmlns:a16="http://schemas.microsoft.com/office/drawing/2014/main" id="{5E2C065A-ADA8-4CF1-B2DA-98ED4BC12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10" name="Picture 11" descr=" ">
          <a:extLst>
            <a:ext uri="{FF2B5EF4-FFF2-40B4-BE49-F238E27FC236}">
              <a16:creationId xmlns:a16="http://schemas.microsoft.com/office/drawing/2014/main" id="{AA1C42CE-0DCB-4464-84F9-96965AFBC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11" name="Picture 12" descr=" ">
          <a:extLst>
            <a:ext uri="{FF2B5EF4-FFF2-40B4-BE49-F238E27FC236}">
              <a16:creationId xmlns:a16="http://schemas.microsoft.com/office/drawing/2014/main" id="{C7CA587D-7311-41E1-A6C2-59CD466BE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12" name="Picture 7" descr=" ">
          <a:extLst>
            <a:ext uri="{FF2B5EF4-FFF2-40B4-BE49-F238E27FC236}">
              <a16:creationId xmlns:a16="http://schemas.microsoft.com/office/drawing/2014/main" id="{40408F89-8C89-4D0E-8ABE-9B3A14051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13" name="Picture 8" descr=" ">
          <a:extLst>
            <a:ext uri="{FF2B5EF4-FFF2-40B4-BE49-F238E27FC236}">
              <a16:creationId xmlns:a16="http://schemas.microsoft.com/office/drawing/2014/main" id="{335DEE58-EC98-44B8-9E53-B2B28E36A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14" name="Picture 9" descr=" ">
          <a:extLst>
            <a:ext uri="{FF2B5EF4-FFF2-40B4-BE49-F238E27FC236}">
              <a16:creationId xmlns:a16="http://schemas.microsoft.com/office/drawing/2014/main" id="{D6F494FE-5D13-4786-A4AB-878C619E9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15" name="Picture 10" descr=" ">
          <a:extLst>
            <a:ext uri="{FF2B5EF4-FFF2-40B4-BE49-F238E27FC236}">
              <a16:creationId xmlns:a16="http://schemas.microsoft.com/office/drawing/2014/main" id="{B568ECF2-AD8F-4C5C-A152-0068EC251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16" name="Picture 11" descr=" ">
          <a:extLst>
            <a:ext uri="{FF2B5EF4-FFF2-40B4-BE49-F238E27FC236}">
              <a16:creationId xmlns:a16="http://schemas.microsoft.com/office/drawing/2014/main" id="{C6B85B17-4651-45FD-A407-458468DA5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17" name="Picture 12" descr=" ">
          <a:extLst>
            <a:ext uri="{FF2B5EF4-FFF2-40B4-BE49-F238E27FC236}">
              <a16:creationId xmlns:a16="http://schemas.microsoft.com/office/drawing/2014/main" id="{04678A45-C2EA-4CF0-BC17-74FFD2263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18" name="Picture 7" descr=" ">
          <a:extLst>
            <a:ext uri="{FF2B5EF4-FFF2-40B4-BE49-F238E27FC236}">
              <a16:creationId xmlns:a16="http://schemas.microsoft.com/office/drawing/2014/main" id="{402E1BE5-B873-4666-8962-451B8C834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19" name="Picture 8" descr=" ">
          <a:extLst>
            <a:ext uri="{FF2B5EF4-FFF2-40B4-BE49-F238E27FC236}">
              <a16:creationId xmlns:a16="http://schemas.microsoft.com/office/drawing/2014/main" id="{72051AB4-E02F-41C8-95F6-2A04DC72B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20" name="Picture 9" descr=" ">
          <a:extLst>
            <a:ext uri="{FF2B5EF4-FFF2-40B4-BE49-F238E27FC236}">
              <a16:creationId xmlns:a16="http://schemas.microsoft.com/office/drawing/2014/main" id="{97A53C75-7164-47AF-B696-88B7D1479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21" name="Picture 10" descr=" ">
          <a:extLst>
            <a:ext uri="{FF2B5EF4-FFF2-40B4-BE49-F238E27FC236}">
              <a16:creationId xmlns:a16="http://schemas.microsoft.com/office/drawing/2014/main" id="{735EB79C-DC5C-4924-805D-44D5E4935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22" name="Picture 11" descr=" ">
          <a:extLst>
            <a:ext uri="{FF2B5EF4-FFF2-40B4-BE49-F238E27FC236}">
              <a16:creationId xmlns:a16="http://schemas.microsoft.com/office/drawing/2014/main" id="{D28405A4-B36A-4B63-B09B-115C12FD4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23" name="Picture 12" descr=" ">
          <a:extLst>
            <a:ext uri="{FF2B5EF4-FFF2-40B4-BE49-F238E27FC236}">
              <a16:creationId xmlns:a16="http://schemas.microsoft.com/office/drawing/2014/main" id="{A592187C-7F23-422A-8518-B41CC93C8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24" name="Picture 7" descr=" ">
          <a:extLst>
            <a:ext uri="{FF2B5EF4-FFF2-40B4-BE49-F238E27FC236}">
              <a16:creationId xmlns:a16="http://schemas.microsoft.com/office/drawing/2014/main" id="{1415A739-1CA1-4269-8783-8FBAA0CA8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25" name="Picture 8" descr=" ">
          <a:extLst>
            <a:ext uri="{FF2B5EF4-FFF2-40B4-BE49-F238E27FC236}">
              <a16:creationId xmlns:a16="http://schemas.microsoft.com/office/drawing/2014/main" id="{83C22345-0CCC-4A08-A64B-B22149259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26" name="Picture 9" descr=" ">
          <a:extLst>
            <a:ext uri="{FF2B5EF4-FFF2-40B4-BE49-F238E27FC236}">
              <a16:creationId xmlns:a16="http://schemas.microsoft.com/office/drawing/2014/main" id="{E0D93331-B96D-4AED-A489-DF643206A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27" name="Picture 10" descr=" ">
          <a:extLst>
            <a:ext uri="{FF2B5EF4-FFF2-40B4-BE49-F238E27FC236}">
              <a16:creationId xmlns:a16="http://schemas.microsoft.com/office/drawing/2014/main" id="{A85CC1F7-7F7E-4BC7-A015-DB86BDF1F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28" name="Picture 11" descr=" ">
          <a:extLst>
            <a:ext uri="{FF2B5EF4-FFF2-40B4-BE49-F238E27FC236}">
              <a16:creationId xmlns:a16="http://schemas.microsoft.com/office/drawing/2014/main" id="{D4A462FC-83F7-42D0-94CE-DD31082AF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29" name="Picture 12" descr=" ">
          <a:extLst>
            <a:ext uri="{FF2B5EF4-FFF2-40B4-BE49-F238E27FC236}">
              <a16:creationId xmlns:a16="http://schemas.microsoft.com/office/drawing/2014/main" id="{B6D4CD03-5F12-4333-BBA5-6684D3687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30" name="Picture 7" descr=" ">
          <a:extLst>
            <a:ext uri="{FF2B5EF4-FFF2-40B4-BE49-F238E27FC236}">
              <a16:creationId xmlns:a16="http://schemas.microsoft.com/office/drawing/2014/main" id="{D01E6F6E-AFE2-4AFF-BC8F-564E66078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31" name="Picture 8" descr=" ">
          <a:extLst>
            <a:ext uri="{FF2B5EF4-FFF2-40B4-BE49-F238E27FC236}">
              <a16:creationId xmlns:a16="http://schemas.microsoft.com/office/drawing/2014/main" id="{6EDF9530-43C0-4711-9834-6D5634BCC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32" name="Picture 9" descr=" ">
          <a:extLst>
            <a:ext uri="{FF2B5EF4-FFF2-40B4-BE49-F238E27FC236}">
              <a16:creationId xmlns:a16="http://schemas.microsoft.com/office/drawing/2014/main" id="{BE2F96CC-ED50-4EE9-83A3-78FCA73CD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33" name="Picture 10" descr=" ">
          <a:extLst>
            <a:ext uri="{FF2B5EF4-FFF2-40B4-BE49-F238E27FC236}">
              <a16:creationId xmlns:a16="http://schemas.microsoft.com/office/drawing/2014/main" id="{21B12153-036D-4A49-9AB6-46C9BDBF4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34" name="Picture 11" descr=" ">
          <a:extLst>
            <a:ext uri="{FF2B5EF4-FFF2-40B4-BE49-F238E27FC236}">
              <a16:creationId xmlns:a16="http://schemas.microsoft.com/office/drawing/2014/main" id="{C9FDBD6B-322F-4995-A6DA-A463BF552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35" name="Picture 12" descr=" ">
          <a:extLst>
            <a:ext uri="{FF2B5EF4-FFF2-40B4-BE49-F238E27FC236}">
              <a16:creationId xmlns:a16="http://schemas.microsoft.com/office/drawing/2014/main" id="{2C9E0070-5816-4FFA-903E-5B12EF62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36" name="Picture 7" descr=" ">
          <a:extLst>
            <a:ext uri="{FF2B5EF4-FFF2-40B4-BE49-F238E27FC236}">
              <a16:creationId xmlns:a16="http://schemas.microsoft.com/office/drawing/2014/main" id="{2064E889-3377-487D-B2EF-E16619C40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37" name="Picture 8" descr=" ">
          <a:extLst>
            <a:ext uri="{FF2B5EF4-FFF2-40B4-BE49-F238E27FC236}">
              <a16:creationId xmlns:a16="http://schemas.microsoft.com/office/drawing/2014/main" id="{C953A161-9EDF-4789-8EC5-9C3C56BA7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38" name="Picture 9" descr=" ">
          <a:extLst>
            <a:ext uri="{FF2B5EF4-FFF2-40B4-BE49-F238E27FC236}">
              <a16:creationId xmlns:a16="http://schemas.microsoft.com/office/drawing/2014/main" id="{FCB0D323-1728-41D9-8A48-EB31C9138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39" name="Picture 10" descr=" ">
          <a:extLst>
            <a:ext uri="{FF2B5EF4-FFF2-40B4-BE49-F238E27FC236}">
              <a16:creationId xmlns:a16="http://schemas.microsoft.com/office/drawing/2014/main" id="{BAA50ECB-BF2A-4E00-B076-C822AA9A6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40" name="Picture 11" descr=" ">
          <a:extLst>
            <a:ext uri="{FF2B5EF4-FFF2-40B4-BE49-F238E27FC236}">
              <a16:creationId xmlns:a16="http://schemas.microsoft.com/office/drawing/2014/main" id="{4B88F957-514E-47F6-B3BF-77FF63794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41" name="Picture 12" descr=" ">
          <a:extLst>
            <a:ext uri="{FF2B5EF4-FFF2-40B4-BE49-F238E27FC236}">
              <a16:creationId xmlns:a16="http://schemas.microsoft.com/office/drawing/2014/main" id="{BB8EDEDA-0500-4CF2-982D-766A92E93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42" name="Picture 7" descr=" ">
          <a:extLst>
            <a:ext uri="{FF2B5EF4-FFF2-40B4-BE49-F238E27FC236}">
              <a16:creationId xmlns:a16="http://schemas.microsoft.com/office/drawing/2014/main" id="{C57996D1-9CB0-4A40-86D8-6A9C8D985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43" name="Picture 8" descr=" ">
          <a:extLst>
            <a:ext uri="{FF2B5EF4-FFF2-40B4-BE49-F238E27FC236}">
              <a16:creationId xmlns:a16="http://schemas.microsoft.com/office/drawing/2014/main" id="{32A8D6AC-0B8B-42D6-B52F-3F8816D9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44" name="Picture 9" descr=" ">
          <a:extLst>
            <a:ext uri="{FF2B5EF4-FFF2-40B4-BE49-F238E27FC236}">
              <a16:creationId xmlns:a16="http://schemas.microsoft.com/office/drawing/2014/main" id="{6FEB6269-019C-4F27-BE48-88CEC3F78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45" name="Picture 10" descr=" ">
          <a:extLst>
            <a:ext uri="{FF2B5EF4-FFF2-40B4-BE49-F238E27FC236}">
              <a16:creationId xmlns:a16="http://schemas.microsoft.com/office/drawing/2014/main" id="{0015C51C-A532-4B42-BAA0-5434254C7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46" name="Picture 11" descr=" ">
          <a:extLst>
            <a:ext uri="{FF2B5EF4-FFF2-40B4-BE49-F238E27FC236}">
              <a16:creationId xmlns:a16="http://schemas.microsoft.com/office/drawing/2014/main" id="{294F851A-C5BA-4510-B0EA-A762C482F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47" name="Picture 12" descr=" ">
          <a:extLst>
            <a:ext uri="{FF2B5EF4-FFF2-40B4-BE49-F238E27FC236}">
              <a16:creationId xmlns:a16="http://schemas.microsoft.com/office/drawing/2014/main" id="{C8B99138-02F7-474D-9254-39A231AFE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48" name="Picture 7" descr=" ">
          <a:extLst>
            <a:ext uri="{FF2B5EF4-FFF2-40B4-BE49-F238E27FC236}">
              <a16:creationId xmlns:a16="http://schemas.microsoft.com/office/drawing/2014/main" id="{DFF838DE-5F09-4487-9DA2-C58C2953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49" name="Picture 8" descr=" ">
          <a:extLst>
            <a:ext uri="{FF2B5EF4-FFF2-40B4-BE49-F238E27FC236}">
              <a16:creationId xmlns:a16="http://schemas.microsoft.com/office/drawing/2014/main" id="{1EED1870-F0CD-44FB-8B76-27C656698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50" name="Picture 9" descr=" ">
          <a:extLst>
            <a:ext uri="{FF2B5EF4-FFF2-40B4-BE49-F238E27FC236}">
              <a16:creationId xmlns:a16="http://schemas.microsoft.com/office/drawing/2014/main" id="{662D96C7-6C41-4BB8-890C-F05D6B890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51" name="Picture 10" descr=" ">
          <a:extLst>
            <a:ext uri="{FF2B5EF4-FFF2-40B4-BE49-F238E27FC236}">
              <a16:creationId xmlns:a16="http://schemas.microsoft.com/office/drawing/2014/main" id="{2AF285F7-8601-4443-90B2-513924010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52" name="Picture 11" descr=" ">
          <a:extLst>
            <a:ext uri="{FF2B5EF4-FFF2-40B4-BE49-F238E27FC236}">
              <a16:creationId xmlns:a16="http://schemas.microsoft.com/office/drawing/2014/main" id="{16FED5AB-C9E6-4B32-AB17-3D8F8DE1A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53" name="Picture 12" descr=" ">
          <a:extLst>
            <a:ext uri="{FF2B5EF4-FFF2-40B4-BE49-F238E27FC236}">
              <a16:creationId xmlns:a16="http://schemas.microsoft.com/office/drawing/2014/main" id="{6482A5DF-50C0-4FC6-A686-161E731F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54" name="Picture 7" descr=" ">
          <a:extLst>
            <a:ext uri="{FF2B5EF4-FFF2-40B4-BE49-F238E27FC236}">
              <a16:creationId xmlns:a16="http://schemas.microsoft.com/office/drawing/2014/main" id="{A9962907-09B3-4381-891B-9F9B6796E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55" name="Picture 8" descr=" ">
          <a:extLst>
            <a:ext uri="{FF2B5EF4-FFF2-40B4-BE49-F238E27FC236}">
              <a16:creationId xmlns:a16="http://schemas.microsoft.com/office/drawing/2014/main" id="{9892BB42-3544-448F-83A4-208D13CAF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56" name="Picture 9" descr=" ">
          <a:extLst>
            <a:ext uri="{FF2B5EF4-FFF2-40B4-BE49-F238E27FC236}">
              <a16:creationId xmlns:a16="http://schemas.microsoft.com/office/drawing/2014/main" id="{1B096575-95BE-4FE9-899B-EE2A70699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57" name="Picture 10" descr=" ">
          <a:extLst>
            <a:ext uri="{FF2B5EF4-FFF2-40B4-BE49-F238E27FC236}">
              <a16:creationId xmlns:a16="http://schemas.microsoft.com/office/drawing/2014/main" id="{EAF3F537-24FD-43F9-A506-E88AFF949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58" name="Picture 11" descr=" ">
          <a:extLst>
            <a:ext uri="{FF2B5EF4-FFF2-40B4-BE49-F238E27FC236}">
              <a16:creationId xmlns:a16="http://schemas.microsoft.com/office/drawing/2014/main" id="{FCC1679E-B685-44B6-A2C2-63FDEC2C9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59" name="Picture 12" descr=" ">
          <a:extLst>
            <a:ext uri="{FF2B5EF4-FFF2-40B4-BE49-F238E27FC236}">
              <a16:creationId xmlns:a16="http://schemas.microsoft.com/office/drawing/2014/main" id="{620C9A77-39CD-4E78-AF8F-7C783185D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60" name="Picture 7" descr=" ">
          <a:extLst>
            <a:ext uri="{FF2B5EF4-FFF2-40B4-BE49-F238E27FC236}">
              <a16:creationId xmlns:a16="http://schemas.microsoft.com/office/drawing/2014/main" id="{D04DD65E-4C60-41A9-9C31-22E6314E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61" name="Picture 8" descr=" ">
          <a:extLst>
            <a:ext uri="{FF2B5EF4-FFF2-40B4-BE49-F238E27FC236}">
              <a16:creationId xmlns:a16="http://schemas.microsoft.com/office/drawing/2014/main" id="{4BD8E0AA-BEF1-4381-9402-8408D3ABE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62" name="Picture 9" descr=" ">
          <a:extLst>
            <a:ext uri="{FF2B5EF4-FFF2-40B4-BE49-F238E27FC236}">
              <a16:creationId xmlns:a16="http://schemas.microsoft.com/office/drawing/2014/main" id="{0DF020EA-8CF4-4640-BF59-65C14C9EB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63" name="Picture 10" descr=" ">
          <a:extLst>
            <a:ext uri="{FF2B5EF4-FFF2-40B4-BE49-F238E27FC236}">
              <a16:creationId xmlns:a16="http://schemas.microsoft.com/office/drawing/2014/main" id="{8970DAE6-6B6A-4B56-BC5E-808587760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64" name="Picture 11" descr=" ">
          <a:extLst>
            <a:ext uri="{FF2B5EF4-FFF2-40B4-BE49-F238E27FC236}">
              <a16:creationId xmlns:a16="http://schemas.microsoft.com/office/drawing/2014/main" id="{A139C2E6-1785-45B5-AEBD-EA51D190F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65" name="Picture 12" descr=" ">
          <a:extLst>
            <a:ext uri="{FF2B5EF4-FFF2-40B4-BE49-F238E27FC236}">
              <a16:creationId xmlns:a16="http://schemas.microsoft.com/office/drawing/2014/main" id="{47DDEE0A-4774-4052-AB77-764BB12EB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66" name="Picture 7" descr=" ">
          <a:extLst>
            <a:ext uri="{FF2B5EF4-FFF2-40B4-BE49-F238E27FC236}">
              <a16:creationId xmlns:a16="http://schemas.microsoft.com/office/drawing/2014/main" id="{A2AEB441-0711-4159-A0E4-42F8F2EF5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67" name="Picture 8" descr=" ">
          <a:extLst>
            <a:ext uri="{FF2B5EF4-FFF2-40B4-BE49-F238E27FC236}">
              <a16:creationId xmlns:a16="http://schemas.microsoft.com/office/drawing/2014/main" id="{1D24D8A3-D47B-4B4B-BAD3-E64D350CE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68" name="Picture 9" descr=" ">
          <a:extLst>
            <a:ext uri="{FF2B5EF4-FFF2-40B4-BE49-F238E27FC236}">
              <a16:creationId xmlns:a16="http://schemas.microsoft.com/office/drawing/2014/main" id="{88B36109-B46C-4D74-81AE-24D5D064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69" name="Picture 10" descr=" ">
          <a:extLst>
            <a:ext uri="{FF2B5EF4-FFF2-40B4-BE49-F238E27FC236}">
              <a16:creationId xmlns:a16="http://schemas.microsoft.com/office/drawing/2014/main" id="{5757CD17-D978-486E-9E08-379E5A632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70" name="Picture 11" descr=" ">
          <a:extLst>
            <a:ext uri="{FF2B5EF4-FFF2-40B4-BE49-F238E27FC236}">
              <a16:creationId xmlns:a16="http://schemas.microsoft.com/office/drawing/2014/main" id="{E78F964F-862F-4F62-A74D-EDA81C522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71" name="Picture 12" descr=" ">
          <a:extLst>
            <a:ext uri="{FF2B5EF4-FFF2-40B4-BE49-F238E27FC236}">
              <a16:creationId xmlns:a16="http://schemas.microsoft.com/office/drawing/2014/main" id="{1D6338A6-5C49-42AE-A6CA-20FB18F6D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72" name="Picture 7" descr=" ">
          <a:extLst>
            <a:ext uri="{FF2B5EF4-FFF2-40B4-BE49-F238E27FC236}">
              <a16:creationId xmlns:a16="http://schemas.microsoft.com/office/drawing/2014/main" id="{C0623B85-3DC8-4789-AC19-3A3D7EDD6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73" name="Picture 8" descr=" ">
          <a:extLst>
            <a:ext uri="{FF2B5EF4-FFF2-40B4-BE49-F238E27FC236}">
              <a16:creationId xmlns:a16="http://schemas.microsoft.com/office/drawing/2014/main" id="{D227ECF4-A371-48AB-A5A8-37C0BB07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74" name="Picture 9" descr=" ">
          <a:extLst>
            <a:ext uri="{FF2B5EF4-FFF2-40B4-BE49-F238E27FC236}">
              <a16:creationId xmlns:a16="http://schemas.microsoft.com/office/drawing/2014/main" id="{4DBB3087-DBB3-416E-A0A2-40259058B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75" name="Picture 10" descr=" ">
          <a:extLst>
            <a:ext uri="{FF2B5EF4-FFF2-40B4-BE49-F238E27FC236}">
              <a16:creationId xmlns:a16="http://schemas.microsoft.com/office/drawing/2014/main" id="{AC043F3A-5BA5-4253-96D5-1B4C18A03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76" name="Picture 11" descr=" ">
          <a:extLst>
            <a:ext uri="{FF2B5EF4-FFF2-40B4-BE49-F238E27FC236}">
              <a16:creationId xmlns:a16="http://schemas.microsoft.com/office/drawing/2014/main" id="{55F92425-FFDB-417E-9551-017BD69E2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77" name="Picture 12" descr=" ">
          <a:extLst>
            <a:ext uri="{FF2B5EF4-FFF2-40B4-BE49-F238E27FC236}">
              <a16:creationId xmlns:a16="http://schemas.microsoft.com/office/drawing/2014/main" id="{3D64DEB0-FFFD-49D1-A8AD-F38755515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78" name="Picture 7" descr=" ">
          <a:extLst>
            <a:ext uri="{FF2B5EF4-FFF2-40B4-BE49-F238E27FC236}">
              <a16:creationId xmlns:a16="http://schemas.microsoft.com/office/drawing/2014/main" id="{1C5182B3-DFB3-4933-B1B7-41E262FED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79" name="Picture 8" descr=" ">
          <a:extLst>
            <a:ext uri="{FF2B5EF4-FFF2-40B4-BE49-F238E27FC236}">
              <a16:creationId xmlns:a16="http://schemas.microsoft.com/office/drawing/2014/main" id="{43D30240-03C6-4F1F-938D-AE471CC6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80" name="Picture 9" descr=" ">
          <a:extLst>
            <a:ext uri="{FF2B5EF4-FFF2-40B4-BE49-F238E27FC236}">
              <a16:creationId xmlns:a16="http://schemas.microsoft.com/office/drawing/2014/main" id="{FD5A3C07-8603-4740-8F23-C4807E7EF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81" name="Picture 10" descr=" ">
          <a:extLst>
            <a:ext uri="{FF2B5EF4-FFF2-40B4-BE49-F238E27FC236}">
              <a16:creationId xmlns:a16="http://schemas.microsoft.com/office/drawing/2014/main" id="{B2A62E5C-F6C1-406D-86FA-BE1BCC784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82" name="Picture 11" descr=" ">
          <a:extLst>
            <a:ext uri="{FF2B5EF4-FFF2-40B4-BE49-F238E27FC236}">
              <a16:creationId xmlns:a16="http://schemas.microsoft.com/office/drawing/2014/main" id="{6388FA8C-D5C4-437F-9D23-8BC1988CF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83" name="Picture 12" descr=" ">
          <a:extLst>
            <a:ext uri="{FF2B5EF4-FFF2-40B4-BE49-F238E27FC236}">
              <a16:creationId xmlns:a16="http://schemas.microsoft.com/office/drawing/2014/main" id="{DEF14E5E-9607-436E-AB08-62D0354DA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84" name="Picture 7" descr=" ">
          <a:extLst>
            <a:ext uri="{FF2B5EF4-FFF2-40B4-BE49-F238E27FC236}">
              <a16:creationId xmlns:a16="http://schemas.microsoft.com/office/drawing/2014/main" id="{8750B7B8-9FBD-4E1C-9DBC-EAF14FFEC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85" name="Picture 8" descr=" ">
          <a:extLst>
            <a:ext uri="{FF2B5EF4-FFF2-40B4-BE49-F238E27FC236}">
              <a16:creationId xmlns:a16="http://schemas.microsoft.com/office/drawing/2014/main" id="{2BCE7624-E688-40E1-87F9-8DB9ABBA6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86" name="Picture 9" descr=" ">
          <a:extLst>
            <a:ext uri="{FF2B5EF4-FFF2-40B4-BE49-F238E27FC236}">
              <a16:creationId xmlns:a16="http://schemas.microsoft.com/office/drawing/2014/main" id="{24242C50-AEE8-4C86-A5AC-F8B9B26DB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87" name="Picture 10" descr=" ">
          <a:extLst>
            <a:ext uri="{FF2B5EF4-FFF2-40B4-BE49-F238E27FC236}">
              <a16:creationId xmlns:a16="http://schemas.microsoft.com/office/drawing/2014/main" id="{21BBA4EC-DE95-491D-914C-BF2B3720C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88" name="Picture 11" descr=" ">
          <a:extLst>
            <a:ext uri="{FF2B5EF4-FFF2-40B4-BE49-F238E27FC236}">
              <a16:creationId xmlns:a16="http://schemas.microsoft.com/office/drawing/2014/main" id="{A7596F09-9A30-4E2E-9B36-7DCAFD338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89" name="Picture 12" descr=" ">
          <a:extLst>
            <a:ext uri="{FF2B5EF4-FFF2-40B4-BE49-F238E27FC236}">
              <a16:creationId xmlns:a16="http://schemas.microsoft.com/office/drawing/2014/main" id="{54573305-F7AF-4181-BED1-4C1D815CA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90" name="Picture 7" descr=" ">
          <a:extLst>
            <a:ext uri="{FF2B5EF4-FFF2-40B4-BE49-F238E27FC236}">
              <a16:creationId xmlns:a16="http://schemas.microsoft.com/office/drawing/2014/main" id="{2DFEE18F-09B0-4B74-86A5-BC6033D1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91" name="Picture 8" descr=" ">
          <a:extLst>
            <a:ext uri="{FF2B5EF4-FFF2-40B4-BE49-F238E27FC236}">
              <a16:creationId xmlns:a16="http://schemas.microsoft.com/office/drawing/2014/main" id="{FDC56E1E-873A-4D77-BC58-644C1DB84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92" name="Picture 9" descr=" ">
          <a:extLst>
            <a:ext uri="{FF2B5EF4-FFF2-40B4-BE49-F238E27FC236}">
              <a16:creationId xmlns:a16="http://schemas.microsoft.com/office/drawing/2014/main" id="{76F85C9F-E3C1-4D1C-9756-B883B240B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93" name="Picture 10" descr=" ">
          <a:extLst>
            <a:ext uri="{FF2B5EF4-FFF2-40B4-BE49-F238E27FC236}">
              <a16:creationId xmlns:a16="http://schemas.microsoft.com/office/drawing/2014/main" id="{123B06D3-CB1C-4A0B-896E-EB2EBA87C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94" name="Picture 11" descr=" ">
          <a:extLst>
            <a:ext uri="{FF2B5EF4-FFF2-40B4-BE49-F238E27FC236}">
              <a16:creationId xmlns:a16="http://schemas.microsoft.com/office/drawing/2014/main" id="{2551C6D8-FCB0-480F-9912-738E1AFF1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95" name="Picture 12" descr=" ">
          <a:extLst>
            <a:ext uri="{FF2B5EF4-FFF2-40B4-BE49-F238E27FC236}">
              <a16:creationId xmlns:a16="http://schemas.microsoft.com/office/drawing/2014/main" id="{55663600-3509-40D0-BC8B-6D05E3C57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96" name="Picture 7" descr=" ">
          <a:extLst>
            <a:ext uri="{FF2B5EF4-FFF2-40B4-BE49-F238E27FC236}">
              <a16:creationId xmlns:a16="http://schemas.microsoft.com/office/drawing/2014/main" id="{C7D873CD-9402-4204-A559-1F6039264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97" name="Picture 8" descr=" ">
          <a:extLst>
            <a:ext uri="{FF2B5EF4-FFF2-40B4-BE49-F238E27FC236}">
              <a16:creationId xmlns:a16="http://schemas.microsoft.com/office/drawing/2014/main" id="{A59A9A13-D9F1-4316-A905-8C8EA0656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98" name="Picture 9" descr=" ">
          <a:extLst>
            <a:ext uri="{FF2B5EF4-FFF2-40B4-BE49-F238E27FC236}">
              <a16:creationId xmlns:a16="http://schemas.microsoft.com/office/drawing/2014/main" id="{C00A7521-2A04-45E9-B82B-351B66328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499" name="Picture 10" descr=" ">
          <a:extLst>
            <a:ext uri="{FF2B5EF4-FFF2-40B4-BE49-F238E27FC236}">
              <a16:creationId xmlns:a16="http://schemas.microsoft.com/office/drawing/2014/main" id="{293B409E-1F44-4232-AAA8-B2942E25F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00" name="Picture 11" descr=" ">
          <a:extLst>
            <a:ext uri="{FF2B5EF4-FFF2-40B4-BE49-F238E27FC236}">
              <a16:creationId xmlns:a16="http://schemas.microsoft.com/office/drawing/2014/main" id="{76AC3377-DED8-4503-9BEA-5017EEFD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01" name="Picture 12" descr=" ">
          <a:extLst>
            <a:ext uri="{FF2B5EF4-FFF2-40B4-BE49-F238E27FC236}">
              <a16:creationId xmlns:a16="http://schemas.microsoft.com/office/drawing/2014/main" id="{270A8902-7227-4AFA-B751-9FCC1B8A3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02" name="Picture 7" descr=" ">
          <a:extLst>
            <a:ext uri="{FF2B5EF4-FFF2-40B4-BE49-F238E27FC236}">
              <a16:creationId xmlns:a16="http://schemas.microsoft.com/office/drawing/2014/main" id="{C976E096-B253-4D77-823A-39C2918DF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03" name="Picture 8" descr=" ">
          <a:extLst>
            <a:ext uri="{FF2B5EF4-FFF2-40B4-BE49-F238E27FC236}">
              <a16:creationId xmlns:a16="http://schemas.microsoft.com/office/drawing/2014/main" id="{33E49378-42E5-4E3D-8941-D9F149ACC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04" name="Picture 9" descr=" ">
          <a:extLst>
            <a:ext uri="{FF2B5EF4-FFF2-40B4-BE49-F238E27FC236}">
              <a16:creationId xmlns:a16="http://schemas.microsoft.com/office/drawing/2014/main" id="{C2E1021C-9DB0-4D64-B2D1-4258C8731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05" name="Picture 10" descr=" ">
          <a:extLst>
            <a:ext uri="{FF2B5EF4-FFF2-40B4-BE49-F238E27FC236}">
              <a16:creationId xmlns:a16="http://schemas.microsoft.com/office/drawing/2014/main" id="{D9BCE5E7-9C1D-46C6-851D-83C79591A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06" name="Picture 11" descr=" ">
          <a:extLst>
            <a:ext uri="{FF2B5EF4-FFF2-40B4-BE49-F238E27FC236}">
              <a16:creationId xmlns:a16="http://schemas.microsoft.com/office/drawing/2014/main" id="{ECDD8FA3-FF0A-464B-818D-7554E2FFA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07" name="Picture 12" descr=" ">
          <a:extLst>
            <a:ext uri="{FF2B5EF4-FFF2-40B4-BE49-F238E27FC236}">
              <a16:creationId xmlns:a16="http://schemas.microsoft.com/office/drawing/2014/main" id="{E2A5E066-262C-4B10-83BF-C99BA813B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08" name="Picture 7" descr=" ">
          <a:extLst>
            <a:ext uri="{FF2B5EF4-FFF2-40B4-BE49-F238E27FC236}">
              <a16:creationId xmlns:a16="http://schemas.microsoft.com/office/drawing/2014/main" id="{9413DDB1-73CB-40DC-AF2F-092BDDE91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09" name="Picture 8" descr=" ">
          <a:extLst>
            <a:ext uri="{FF2B5EF4-FFF2-40B4-BE49-F238E27FC236}">
              <a16:creationId xmlns:a16="http://schemas.microsoft.com/office/drawing/2014/main" id="{BEC9998C-2D7D-416B-9C94-6528DCF46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10" name="Picture 9" descr=" ">
          <a:extLst>
            <a:ext uri="{FF2B5EF4-FFF2-40B4-BE49-F238E27FC236}">
              <a16:creationId xmlns:a16="http://schemas.microsoft.com/office/drawing/2014/main" id="{05A62E6E-996D-4AE9-B461-B98800BF4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11" name="Picture 10" descr=" ">
          <a:extLst>
            <a:ext uri="{FF2B5EF4-FFF2-40B4-BE49-F238E27FC236}">
              <a16:creationId xmlns:a16="http://schemas.microsoft.com/office/drawing/2014/main" id="{8C5EF9CE-E9EF-4A80-8D14-6FA6CA017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12" name="Picture 11" descr=" ">
          <a:extLst>
            <a:ext uri="{FF2B5EF4-FFF2-40B4-BE49-F238E27FC236}">
              <a16:creationId xmlns:a16="http://schemas.microsoft.com/office/drawing/2014/main" id="{8D441D37-C22B-489B-B943-46ABA2576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13" name="Picture 12" descr=" ">
          <a:extLst>
            <a:ext uri="{FF2B5EF4-FFF2-40B4-BE49-F238E27FC236}">
              <a16:creationId xmlns:a16="http://schemas.microsoft.com/office/drawing/2014/main" id="{B9AC83BB-CAFD-4875-9FA8-826A55557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14" name="Picture 7" descr=" ">
          <a:extLst>
            <a:ext uri="{FF2B5EF4-FFF2-40B4-BE49-F238E27FC236}">
              <a16:creationId xmlns:a16="http://schemas.microsoft.com/office/drawing/2014/main" id="{384F6DD4-009B-40CD-8E70-EEDC0ED72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15" name="Picture 8" descr=" ">
          <a:extLst>
            <a:ext uri="{FF2B5EF4-FFF2-40B4-BE49-F238E27FC236}">
              <a16:creationId xmlns:a16="http://schemas.microsoft.com/office/drawing/2014/main" id="{17B35027-37F5-4D69-A12B-1575FA8E2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16" name="Picture 9" descr=" ">
          <a:extLst>
            <a:ext uri="{FF2B5EF4-FFF2-40B4-BE49-F238E27FC236}">
              <a16:creationId xmlns:a16="http://schemas.microsoft.com/office/drawing/2014/main" id="{DEE2E5C7-64E7-425B-A59F-44647448F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17" name="Picture 10" descr=" ">
          <a:extLst>
            <a:ext uri="{FF2B5EF4-FFF2-40B4-BE49-F238E27FC236}">
              <a16:creationId xmlns:a16="http://schemas.microsoft.com/office/drawing/2014/main" id="{4C9C5DDE-0120-4062-8789-93C7F4AC4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18" name="Picture 11" descr=" ">
          <a:extLst>
            <a:ext uri="{FF2B5EF4-FFF2-40B4-BE49-F238E27FC236}">
              <a16:creationId xmlns:a16="http://schemas.microsoft.com/office/drawing/2014/main" id="{2329AD20-101A-4ED8-BF06-CA20552D5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19" name="Picture 12" descr=" ">
          <a:extLst>
            <a:ext uri="{FF2B5EF4-FFF2-40B4-BE49-F238E27FC236}">
              <a16:creationId xmlns:a16="http://schemas.microsoft.com/office/drawing/2014/main" id="{A44C0772-8148-47DD-B181-808F5483A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20" name="Picture 7" descr=" ">
          <a:extLst>
            <a:ext uri="{FF2B5EF4-FFF2-40B4-BE49-F238E27FC236}">
              <a16:creationId xmlns:a16="http://schemas.microsoft.com/office/drawing/2014/main" id="{150F6A46-B579-4EFD-BDD8-D1EB2A5D0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21" name="Picture 8" descr=" ">
          <a:extLst>
            <a:ext uri="{FF2B5EF4-FFF2-40B4-BE49-F238E27FC236}">
              <a16:creationId xmlns:a16="http://schemas.microsoft.com/office/drawing/2014/main" id="{1CC6ABDE-6DE7-4AFA-8CF1-533E07BA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22" name="Picture 9" descr=" ">
          <a:extLst>
            <a:ext uri="{FF2B5EF4-FFF2-40B4-BE49-F238E27FC236}">
              <a16:creationId xmlns:a16="http://schemas.microsoft.com/office/drawing/2014/main" id="{22B50BF9-C056-4BFA-9067-6E87CD598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23" name="Picture 10" descr=" ">
          <a:extLst>
            <a:ext uri="{FF2B5EF4-FFF2-40B4-BE49-F238E27FC236}">
              <a16:creationId xmlns:a16="http://schemas.microsoft.com/office/drawing/2014/main" id="{0B81FE2E-C8E8-4809-A56A-80B507B9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24" name="Picture 11" descr=" ">
          <a:extLst>
            <a:ext uri="{FF2B5EF4-FFF2-40B4-BE49-F238E27FC236}">
              <a16:creationId xmlns:a16="http://schemas.microsoft.com/office/drawing/2014/main" id="{03DFEC41-7CC0-44E8-B2F0-3B3E16B6B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25" name="Picture 12" descr=" ">
          <a:extLst>
            <a:ext uri="{FF2B5EF4-FFF2-40B4-BE49-F238E27FC236}">
              <a16:creationId xmlns:a16="http://schemas.microsoft.com/office/drawing/2014/main" id="{34DF5F2A-6ACE-462D-AE67-2096FB24A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26" name="Picture 7" descr=" ">
          <a:extLst>
            <a:ext uri="{FF2B5EF4-FFF2-40B4-BE49-F238E27FC236}">
              <a16:creationId xmlns:a16="http://schemas.microsoft.com/office/drawing/2014/main" id="{19BB6498-DC8F-4D8B-87DD-EDBD5B6A3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27" name="Picture 8" descr=" ">
          <a:extLst>
            <a:ext uri="{FF2B5EF4-FFF2-40B4-BE49-F238E27FC236}">
              <a16:creationId xmlns:a16="http://schemas.microsoft.com/office/drawing/2014/main" id="{DBDFE766-BAB8-4655-AE28-A0ABA0370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28" name="Picture 9" descr=" ">
          <a:extLst>
            <a:ext uri="{FF2B5EF4-FFF2-40B4-BE49-F238E27FC236}">
              <a16:creationId xmlns:a16="http://schemas.microsoft.com/office/drawing/2014/main" id="{375684BE-E545-49CF-9667-5B92D3767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29" name="Picture 10" descr=" ">
          <a:extLst>
            <a:ext uri="{FF2B5EF4-FFF2-40B4-BE49-F238E27FC236}">
              <a16:creationId xmlns:a16="http://schemas.microsoft.com/office/drawing/2014/main" id="{23CFB478-9892-49C2-BCCD-D65171FF9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30" name="Picture 11" descr=" ">
          <a:extLst>
            <a:ext uri="{FF2B5EF4-FFF2-40B4-BE49-F238E27FC236}">
              <a16:creationId xmlns:a16="http://schemas.microsoft.com/office/drawing/2014/main" id="{94560E49-6433-49ED-956B-1F9568EF9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31" name="Picture 12" descr=" ">
          <a:extLst>
            <a:ext uri="{FF2B5EF4-FFF2-40B4-BE49-F238E27FC236}">
              <a16:creationId xmlns:a16="http://schemas.microsoft.com/office/drawing/2014/main" id="{72405EAF-035B-4C55-856E-128504298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32" name="Picture 7" descr=" ">
          <a:extLst>
            <a:ext uri="{FF2B5EF4-FFF2-40B4-BE49-F238E27FC236}">
              <a16:creationId xmlns:a16="http://schemas.microsoft.com/office/drawing/2014/main" id="{E491FFFA-FC40-42E9-9385-B27F00075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33" name="Picture 8" descr=" ">
          <a:extLst>
            <a:ext uri="{FF2B5EF4-FFF2-40B4-BE49-F238E27FC236}">
              <a16:creationId xmlns:a16="http://schemas.microsoft.com/office/drawing/2014/main" id="{3076F81B-D502-4778-ADAC-207DD1ABA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34" name="Picture 9" descr=" ">
          <a:extLst>
            <a:ext uri="{FF2B5EF4-FFF2-40B4-BE49-F238E27FC236}">
              <a16:creationId xmlns:a16="http://schemas.microsoft.com/office/drawing/2014/main" id="{F2958326-35E7-433A-BA99-69C6E3ED8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35" name="Picture 10" descr=" ">
          <a:extLst>
            <a:ext uri="{FF2B5EF4-FFF2-40B4-BE49-F238E27FC236}">
              <a16:creationId xmlns:a16="http://schemas.microsoft.com/office/drawing/2014/main" id="{EA6DBDAD-A6BB-4DD9-B087-33FDCE901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36" name="Picture 11" descr=" ">
          <a:extLst>
            <a:ext uri="{FF2B5EF4-FFF2-40B4-BE49-F238E27FC236}">
              <a16:creationId xmlns:a16="http://schemas.microsoft.com/office/drawing/2014/main" id="{BD3F07F7-867A-44B4-B7D2-2FC4D85D3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37" name="Picture 12" descr=" ">
          <a:extLst>
            <a:ext uri="{FF2B5EF4-FFF2-40B4-BE49-F238E27FC236}">
              <a16:creationId xmlns:a16="http://schemas.microsoft.com/office/drawing/2014/main" id="{89D537A8-C00D-4F44-9CD6-FAB448E21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38" name="Picture 7" descr=" ">
          <a:extLst>
            <a:ext uri="{FF2B5EF4-FFF2-40B4-BE49-F238E27FC236}">
              <a16:creationId xmlns:a16="http://schemas.microsoft.com/office/drawing/2014/main" id="{8FBD8ACB-8E13-4D9D-995E-C0A0AEB6D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39" name="Picture 8" descr=" ">
          <a:extLst>
            <a:ext uri="{FF2B5EF4-FFF2-40B4-BE49-F238E27FC236}">
              <a16:creationId xmlns:a16="http://schemas.microsoft.com/office/drawing/2014/main" id="{6C92A590-037B-42EE-9D37-F117222BB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40" name="Picture 9" descr=" ">
          <a:extLst>
            <a:ext uri="{FF2B5EF4-FFF2-40B4-BE49-F238E27FC236}">
              <a16:creationId xmlns:a16="http://schemas.microsoft.com/office/drawing/2014/main" id="{DECB935B-2875-46BE-9726-80125D6D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41" name="Picture 10" descr=" ">
          <a:extLst>
            <a:ext uri="{FF2B5EF4-FFF2-40B4-BE49-F238E27FC236}">
              <a16:creationId xmlns:a16="http://schemas.microsoft.com/office/drawing/2014/main" id="{5FEFB41F-B443-4CB6-856B-30254BBC4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42" name="Picture 11" descr=" ">
          <a:extLst>
            <a:ext uri="{FF2B5EF4-FFF2-40B4-BE49-F238E27FC236}">
              <a16:creationId xmlns:a16="http://schemas.microsoft.com/office/drawing/2014/main" id="{4CD52EE7-8C42-40DE-958E-236AF0B03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43" name="Picture 12" descr=" ">
          <a:extLst>
            <a:ext uri="{FF2B5EF4-FFF2-40B4-BE49-F238E27FC236}">
              <a16:creationId xmlns:a16="http://schemas.microsoft.com/office/drawing/2014/main" id="{FC35EC40-3958-4F06-B15C-64512180C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44" name="Picture 7" descr=" ">
          <a:extLst>
            <a:ext uri="{FF2B5EF4-FFF2-40B4-BE49-F238E27FC236}">
              <a16:creationId xmlns:a16="http://schemas.microsoft.com/office/drawing/2014/main" id="{E924BF01-1B7E-48D2-8959-DF1AE98A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45" name="Picture 8" descr=" ">
          <a:extLst>
            <a:ext uri="{FF2B5EF4-FFF2-40B4-BE49-F238E27FC236}">
              <a16:creationId xmlns:a16="http://schemas.microsoft.com/office/drawing/2014/main" id="{359AF70A-E3C6-484A-84CC-C14410206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46" name="Picture 9" descr=" ">
          <a:extLst>
            <a:ext uri="{FF2B5EF4-FFF2-40B4-BE49-F238E27FC236}">
              <a16:creationId xmlns:a16="http://schemas.microsoft.com/office/drawing/2014/main" id="{57248849-FA95-4D7D-9BCB-B9BC9B652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47" name="Picture 10" descr=" ">
          <a:extLst>
            <a:ext uri="{FF2B5EF4-FFF2-40B4-BE49-F238E27FC236}">
              <a16:creationId xmlns:a16="http://schemas.microsoft.com/office/drawing/2014/main" id="{5BB93B16-840C-413C-B62A-B5F3AA871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48" name="Picture 11" descr=" ">
          <a:extLst>
            <a:ext uri="{FF2B5EF4-FFF2-40B4-BE49-F238E27FC236}">
              <a16:creationId xmlns:a16="http://schemas.microsoft.com/office/drawing/2014/main" id="{4E79F8FD-A32C-4E13-9061-8ABA39CE7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49" name="Picture 12" descr=" ">
          <a:extLst>
            <a:ext uri="{FF2B5EF4-FFF2-40B4-BE49-F238E27FC236}">
              <a16:creationId xmlns:a16="http://schemas.microsoft.com/office/drawing/2014/main" id="{26E62774-833F-4A6F-8D45-C18609701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50" name="Picture 7" descr=" ">
          <a:extLst>
            <a:ext uri="{FF2B5EF4-FFF2-40B4-BE49-F238E27FC236}">
              <a16:creationId xmlns:a16="http://schemas.microsoft.com/office/drawing/2014/main" id="{79177DE6-193E-4B5B-8CD1-9E54FFCDD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51" name="Picture 8" descr=" ">
          <a:extLst>
            <a:ext uri="{FF2B5EF4-FFF2-40B4-BE49-F238E27FC236}">
              <a16:creationId xmlns:a16="http://schemas.microsoft.com/office/drawing/2014/main" id="{FEBDB3E1-A778-4BF6-87F8-2B37F9EC3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52" name="Picture 9" descr=" ">
          <a:extLst>
            <a:ext uri="{FF2B5EF4-FFF2-40B4-BE49-F238E27FC236}">
              <a16:creationId xmlns:a16="http://schemas.microsoft.com/office/drawing/2014/main" id="{0E246333-EC01-43E9-B084-E5BF27E07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53" name="Picture 10" descr=" ">
          <a:extLst>
            <a:ext uri="{FF2B5EF4-FFF2-40B4-BE49-F238E27FC236}">
              <a16:creationId xmlns:a16="http://schemas.microsoft.com/office/drawing/2014/main" id="{CD18844E-DBA5-4C9E-AB6C-A135BA4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54" name="Picture 11" descr=" ">
          <a:extLst>
            <a:ext uri="{FF2B5EF4-FFF2-40B4-BE49-F238E27FC236}">
              <a16:creationId xmlns:a16="http://schemas.microsoft.com/office/drawing/2014/main" id="{F06DBA39-F1F5-4A10-B0E4-996BF9791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55" name="Picture 12" descr=" ">
          <a:extLst>
            <a:ext uri="{FF2B5EF4-FFF2-40B4-BE49-F238E27FC236}">
              <a16:creationId xmlns:a16="http://schemas.microsoft.com/office/drawing/2014/main" id="{28ACA793-9BDA-410B-AE8E-1A5D50D07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56" name="Picture 7" descr=" ">
          <a:extLst>
            <a:ext uri="{FF2B5EF4-FFF2-40B4-BE49-F238E27FC236}">
              <a16:creationId xmlns:a16="http://schemas.microsoft.com/office/drawing/2014/main" id="{24776F2A-699B-4D70-8E06-148B24AD0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57" name="Picture 8" descr=" ">
          <a:extLst>
            <a:ext uri="{FF2B5EF4-FFF2-40B4-BE49-F238E27FC236}">
              <a16:creationId xmlns:a16="http://schemas.microsoft.com/office/drawing/2014/main" id="{4AE06251-6D32-483C-BE79-C0DA3E7BD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58" name="Picture 9" descr=" ">
          <a:extLst>
            <a:ext uri="{FF2B5EF4-FFF2-40B4-BE49-F238E27FC236}">
              <a16:creationId xmlns:a16="http://schemas.microsoft.com/office/drawing/2014/main" id="{D460B25C-ED9C-4815-AA23-37675434E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59" name="Picture 10" descr=" ">
          <a:extLst>
            <a:ext uri="{FF2B5EF4-FFF2-40B4-BE49-F238E27FC236}">
              <a16:creationId xmlns:a16="http://schemas.microsoft.com/office/drawing/2014/main" id="{C4B8B1FD-C608-4E6A-800B-704BF316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60" name="Picture 11" descr=" ">
          <a:extLst>
            <a:ext uri="{FF2B5EF4-FFF2-40B4-BE49-F238E27FC236}">
              <a16:creationId xmlns:a16="http://schemas.microsoft.com/office/drawing/2014/main" id="{39C022B8-F3D5-45D8-BCC6-5A419DFE2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61" name="Picture 12" descr=" ">
          <a:extLst>
            <a:ext uri="{FF2B5EF4-FFF2-40B4-BE49-F238E27FC236}">
              <a16:creationId xmlns:a16="http://schemas.microsoft.com/office/drawing/2014/main" id="{610F972A-FA5A-49E8-928D-F453837E1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62" name="Picture 7" descr=" ">
          <a:extLst>
            <a:ext uri="{FF2B5EF4-FFF2-40B4-BE49-F238E27FC236}">
              <a16:creationId xmlns:a16="http://schemas.microsoft.com/office/drawing/2014/main" id="{5C6D4844-C0D7-440B-995E-CD0C2709A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63" name="Picture 8" descr=" ">
          <a:extLst>
            <a:ext uri="{FF2B5EF4-FFF2-40B4-BE49-F238E27FC236}">
              <a16:creationId xmlns:a16="http://schemas.microsoft.com/office/drawing/2014/main" id="{C951997E-7E19-4EAF-AC05-BCEFF4CA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64" name="Picture 9" descr=" ">
          <a:extLst>
            <a:ext uri="{FF2B5EF4-FFF2-40B4-BE49-F238E27FC236}">
              <a16:creationId xmlns:a16="http://schemas.microsoft.com/office/drawing/2014/main" id="{4B8E4B1C-6C36-4C6A-A2DD-526C5767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65" name="Picture 10" descr=" ">
          <a:extLst>
            <a:ext uri="{FF2B5EF4-FFF2-40B4-BE49-F238E27FC236}">
              <a16:creationId xmlns:a16="http://schemas.microsoft.com/office/drawing/2014/main" id="{581F5191-5F05-428A-AC69-47D217514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66" name="Picture 11" descr=" ">
          <a:extLst>
            <a:ext uri="{FF2B5EF4-FFF2-40B4-BE49-F238E27FC236}">
              <a16:creationId xmlns:a16="http://schemas.microsoft.com/office/drawing/2014/main" id="{9A795D59-D849-4435-9AD2-83826E881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67" name="Picture 12" descr=" ">
          <a:extLst>
            <a:ext uri="{FF2B5EF4-FFF2-40B4-BE49-F238E27FC236}">
              <a16:creationId xmlns:a16="http://schemas.microsoft.com/office/drawing/2014/main" id="{28FF81DE-6D4F-4B78-AD00-305EEB07B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68" name="Picture 7" descr=" ">
          <a:extLst>
            <a:ext uri="{FF2B5EF4-FFF2-40B4-BE49-F238E27FC236}">
              <a16:creationId xmlns:a16="http://schemas.microsoft.com/office/drawing/2014/main" id="{31ED55DA-2262-436F-AF43-9A1DE68AF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69" name="Picture 8" descr=" ">
          <a:extLst>
            <a:ext uri="{FF2B5EF4-FFF2-40B4-BE49-F238E27FC236}">
              <a16:creationId xmlns:a16="http://schemas.microsoft.com/office/drawing/2014/main" id="{BDA8E405-987A-4397-9555-1474ACD6D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70" name="Picture 9" descr=" ">
          <a:extLst>
            <a:ext uri="{FF2B5EF4-FFF2-40B4-BE49-F238E27FC236}">
              <a16:creationId xmlns:a16="http://schemas.microsoft.com/office/drawing/2014/main" id="{9E7BD929-3954-4353-8E10-FFC139E1A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71" name="Picture 10" descr=" ">
          <a:extLst>
            <a:ext uri="{FF2B5EF4-FFF2-40B4-BE49-F238E27FC236}">
              <a16:creationId xmlns:a16="http://schemas.microsoft.com/office/drawing/2014/main" id="{8260733C-A04C-49CD-B213-444C846C1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72" name="Picture 11" descr=" ">
          <a:extLst>
            <a:ext uri="{FF2B5EF4-FFF2-40B4-BE49-F238E27FC236}">
              <a16:creationId xmlns:a16="http://schemas.microsoft.com/office/drawing/2014/main" id="{E5CD55B3-3A58-417D-AA51-A79FA442D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73" name="Picture 12" descr=" ">
          <a:extLst>
            <a:ext uri="{FF2B5EF4-FFF2-40B4-BE49-F238E27FC236}">
              <a16:creationId xmlns:a16="http://schemas.microsoft.com/office/drawing/2014/main" id="{25A34103-F882-4D19-A11A-CE6B661EE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74" name="Picture 7" descr=" ">
          <a:extLst>
            <a:ext uri="{FF2B5EF4-FFF2-40B4-BE49-F238E27FC236}">
              <a16:creationId xmlns:a16="http://schemas.microsoft.com/office/drawing/2014/main" id="{E8DAE10E-46CE-405A-BF96-777008235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75" name="Picture 8" descr=" ">
          <a:extLst>
            <a:ext uri="{FF2B5EF4-FFF2-40B4-BE49-F238E27FC236}">
              <a16:creationId xmlns:a16="http://schemas.microsoft.com/office/drawing/2014/main" id="{2E9E9EA4-0D2A-42DE-AC99-189434253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76" name="Picture 9" descr=" ">
          <a:extLst>
            <a:ext uri="{FF2B5EF4-FFF2-40B4-BE49-F238E27FC236}">
              <a16:creationId xmlns:a16="http://schemas.microsoft.com/office/drawing/2014/main" id="{6CF9B6B8-17BC-425F-BC74-F7F3FFD97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77" name="Picture 10" descr=" ">
          <a:extLst>
            <a:ext uri="{FF2B5EF4-FFF2-40B4-BE49-F238E27FC236}">
              <a16:creationId xmlns:a16="http://schemas.microsoft.com/office/drawing/2014/main" id="{FE363EFF-A043-4BD8-A1CA-976D05F0C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78" name="Picture 11" descr=" ">
          <a:extLst>
            <a:ext uri="{FF2B5EF4-FFF2-40B4-BE49-F238E27FC236}">
              <a16:creationId xmlns:a16="http://schemas.microsoft.com/office/drawing/2014/main" id="{F883AE07-B443-4DA1-92B2-E662C9FF5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79" name="Picture 12" descr=" ">
          <a:extLst>
            <a:ext uri="{FF2B5EF4-FFF2-40B4-BE49-F238E27FC236}">
              <a16:creationId xmlns:a16="http://schemas.microsoft.com/office/drawing/2014/main" id="{F6DC1348-C56D-4969-BDC3-38A1A93A6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80" name="Picture 7" descr=" ">
          <a:extLst>
            <a:ext uri="{FF2B5EF4-FFF2-40B4-BE49-F238E27FC236}">
              <a16:creationId xmlns:a16="http://schemas.microsoft.com/office/drawing/2014/main" id="{A7E791BD-755B-4D0F-A0BF-E46A263D3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81" name="Picture 8" descr=" ">
          <a:extLst>
            <a:ext uri="{FF2B5EF4-FFF2-40B4-BE49-F238E27FC236}">
              <a16:creationId xmlns:a16="http://schemas.microsoft.com/office/drawing/2014/main" id="{7037B830-CF65-4E4D-97C1-87E25FFD6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82" name="Picture 9" descr=" ">
          <a:extLst>
            <a:ext uri="{FF2B5EF4-FFF2-40B4-BE49-F238E27FC236}">
              <a16:creationId xmlns:a16="http://schemas.microsoft.com/office/drawing/2014/main" id="{4D6309F2-8E6F-46D9-A9E0-BF1449FF3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83" name="Picture 10" descr=" ">
          <a:extLst>
            <a:ext uri="{FF2B5EF4-FFF2-40B4-BE49-F238E27FC236}">
              <a16:creationId xmlns:a16="http://schemas.microsoft.com/office/drawing/2014/main" id="{399129B7-DE3F-47CC-93FC-2FCEF9F7E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84" name="Picture 11" descr=" ">
          <a:extLst>
            <a:ext uri="{FF2B5EF4-FFF2-40B4-BE49-F238E27FC236}">
              <a16:creationId xmlns:a16="http://schemas.microsoft.com/office/drawing/2014/main" id="{D078E9F2-FC18-401A-9013-9513034AF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85" name="Picture 12" descr=" ">
          <a:extLst>
            <a:ext uri="{FF2B5EF4-FFF2-40B4-BE49-F238E27FC236}">
              <a16:creationId xmlns:a16="http://schemas.microsoft.com/office/drawing/2014/main" id="{A2CBC404-E61B-4087-A821-523CDF6AA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86" name="Picture 7" descr=" ">
          <a:extLst>
            <a:ext uri="{FF2B5EF4-FFF2-40B4-BE49-F238E27FC236}">
              <a16:creationId xmlns:a16="http://schemas.microsoft.com/office/drawing/2014/main" id="{D039F271-982A-4BF7-BFB0-F3F9A2CA8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87" name="Picture 8" descr=" ">
          <a:extLst>
            <a:ext uri="{FF2B5EF4-FFF2-40B4-BE49-F238E27FC236}">
              <a16:creationId xmlns:a16="http://schemas.microsoft.com/office/drawing/2014/main" id="{35D35EF5-6E9B-4CB9-9202-1A1D75956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88" name="Picture 9" descr=" ">
          <a:extLst>
            <a:ext uri="{FF2B5EF4-FFF2-40B4-BE49-F238E27FC236}">
              <a16:creationId xmlns:a16="http://schemas.microsoft.com/office/drawing/2014/main" id="{B08FE7FE-980A-409C-BD17-7E2A9B630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89" name="Picture 10" descr=" ">
          <a:extLst>
            <a:ext uri="{FF2B5EF4-FFF2-40B4-BE49-F238E27FC236}">
              <a16:creationId xmlns:a16="http://schemas.microsoft.com/office/drawing/2014/main" id="{E4E21D18-8A01-474A-8531-3FCEE84F7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90" name="Picture 11" descr=" ">
          <a:extLst>
            <a:ext uri="{FF2B5EF4-FFF2-40B4-BE49-F238E27FC236}">
              <a16:creationId xmlns:a16="http://schemas.microsoft.com/office/drawing/2014/main" id="{FF7ACF19-9326-44D9-94D9-6FD9522AF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91" name="Picture 12" descr=" ">
          <a:extLst>
            <a:ext uri="{FF2B5EF4-FFF2-40B4-BE49-F238E27FC236}">
              <a16:creationId xmlns:a16="http://schemas.microsoft.com/office/drawing/2014/main" id="{C0E6EF88-5083-4CBF-81C6-070A28A00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92" name="Picture 7" descr=" ">
          <a:extLst>
            <a:ext uri="{FF2B5EF4-FFF2-40B4-BE49-F238E27FC236}">
              <a16:creationId xmlns:a16="http://schemas.microsoft.com/office/drawing/2014/main" id="{C9C9243C-7412-47F0-AD2A-4BB0A5C99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93" name="Picture 8" descr=" ">
          <a:extLst>
            <a:ext uri="{FF2B5EF4-FFF2-40B4-BE49-F238E27FC236}">
              <a16:creationId xmlns:a16="http://schemas.microsoft.com/office/drawing/2014/main" id="{C22A4808-7D2F-4ABF-BB5E-D906022B6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94" name="Picture 9" descr=" ">
          <a:extLst>
            <a:ext uri="{FF2B5EF4-FFF2-40B4-BE49-F238E27FC236}">
              <a16:creationId xmlns:a16="http://schemas.microsoft.com/office/drawing/2014/main" id="{6829B984-556F-4CAC-B036-0F05B8BA4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95" name="Picture 10" descr=" ">
          <a:extLst>
            <a:ext uri="{FF2B5EF4-FFF2-40B4-BE49-F238E27FC236}">
              <a16:creationId xmlns:a16="http://schemas.microsoft.com/office/drawing/2014/main" id="{819D0BF1-16DF-4F8F-A341-BA5180AB3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96" name="Picture 11" descr=" ">
          <a:extLst>
            <a:ext uri="{FF2B5EF4-FFF2-40B4-BE49-F238E27FC236}">
              <a16:creationId xmlns:a16="http://schemas.microsoft.com/office/drawing/2014/main" id="{9D2D1C4A-B515-405F-A4A6-72382AFD6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97" name="Picture 12" descr=" ">
          <a:extLst>
            <a:ext uri="{FF2B5EF4-FFF2-40B4-BE49-F238E27FC236}">
              <a16:creationId xmlns:a16="http://schemas.microsoft.com/office/drawing/2014/main" id="{37099585-6FFF-4EFD-8089-47A42F2E8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98" name="Picture 7" descr=" ">
          <a:extLst>
            <a:ext uri="{FF2B5EF4-FFF2-40B4-BE49-F238E27FC236}">
              <a16:creationId xmlns:a16="http://schemas.microsoft.com/office/drawing/2014/main" id="{3C98F9DD-2758-446A-9160-7634AADCD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599" name="Picture 8" descr=" ">
          <a:extLst>
            <a:ext uri="{FF2B5EF4-FFF2-40B4-BE49-F238E27FC236}">
              <a16:creationId xmlns:a16="http://schemas.microsoft.com/office/drawing/2014/main" id="{7A5BF1C9-7121-4324-9635-F6D7A9309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00" name="Picture 9" descr=" ">
          <a:extLst>
            <a:ext uri="{FF2B5EF4-FFF2-40B4-BE49-F238E27FC236}">
              <a16:creationId xmlns:a16="http://schemas.microsoft.com/office/drawing/2014/main" id="{1106FCC2-0D1D-4239-88F5-948CA1620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01" name="Picture 10" descr=" ">
          <a:extLst>
            <a:ext uri="{FF2B5EF4-FFF2-40B4-BE49-F238E27FC236}">
              <a16:creationId xmlns:a16="http://schemas.microsoft.com/office/drawing/2014/main" id="{C5C6BB58-4374-4597-A269-D96F92FCF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02" name="Picture 11" descr=" ">
          <a:extLst>
            <a:ext uri="{FF2B5EF4-FFF2-40B4-BE49-F238E27FC236}">
              <a16:creationId xmlns:a16="http://schemas.microsoft.com/office/drawing/2014/main" id="{CEC6A427-03E6-46B9-B3DA-AC00FB78E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03" name="Picture 12" descr=" ">
          <a:extLst>
            <a:ext uri="{FF2B5EF4-FFF2-40B4-BE49-F238E27FC236}">
              <a16:creationId xmlns:a16="http://schemas.microsoft.com/office/drawing/2014/main" id="{C632BD64-05DE-4679-AB33-1CF0E9A40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04" name="Picture 7" descr=" ">
          <a:extLst>
            <a:ext uri="{FF2B5EF4-FFF2-40B4-BE49-F238E27FC236}">
              <a16:creationId xmlns:a16="http://schemas.microsoft.com/office/drawing/2014/main" id="{AF8FF6CA-82C4-48D3-9D75-194F31D66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05" name="Picture 8" descr=" ">
          <a:extLst>
            <a:ext uri="{FF2B5EF4-FFF2-40B4-BE49-F238E27FC236}">
              <a16:creationId xmlns:a16="http://schemas.microsoft.com/office/drawing/2014/main" id="{F79E7CA5-CAAD-447A-ACF0-BA8D5255D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06" name="Picture 9" descr=" ">
          <a:extLst>
            <a:ext uri="{FF2B5EF4-FFF2-40B4-BE49-F238E27FC236}">
              <a16:creationId xmlns:a16="http://schemas.microsoft.com/office/drawing/2014/main" id="{5BF7478D-152B-4426-A780-BB1EBB8CA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07" name="Picture 10" descr=" ">
          <a:extLst>
            <a:ext uri="{FF2B5EF4-FFF2-40B4-BE49-F238E27FC236}">
              <a16:creationId xmlns:a16="http://schemas.microsoft.com/office/drawing/2014/main" id="{BEF459C0-F7F8-42F5-9C2E-E6366F11F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08" name="Picture 11" descr=" ">
          <a:extLst>
            <a:ext uri="{FF2B5EF4-FFF2-40B4-BE49-F238E27FC236}">
              <a16:creationId xmlns:a16="http://schemas.microsoft.com/office/drawing/2014/main" id="{FBBC1FFB-3987-4FF0-9ADA-87B74E5FA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09" name="Picture 12" descr=" ">
          <a:extLst>
            <a:ext uri="{FF2B5EF4-FFF2-40B4-BE49-F238E27FC236}">
              <a16:creationId xmlns:a16="http://schemas.microsoft.com/office/drawing/2014/main" id="{CA21C19D-91AA-4F96-973F-51A122EE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10" name="Picture 7" descr=" ">
          <a:extLst>
            <a:ext uri="{FF2B5EF4-FFF2-40B4-BE49-F238E27FC236}">
              <a16:creationId xmlns:a16="http://schemas.microsoft.com/office/drawing/2014/main" id="{37CA0C6E-AF1C-4716-8182-212808CA3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11" name="Picture 8" descr=" ">
          <a:extLst>
            <a:ext uri="{FF2B5EF4-FFF2-40B4-BE49-F238E27FC236}">
              <a16:creationId xmlns:a16="http://schemas.microsoft.com/office/drawing/2014/main" id="{A0C310E2-FA1A-46A2-A795-B3B3BABF2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12" name="Picture 9" descr=" ">
          <a:extLst>
            <a:ext uri="{FF2B5EF4-FFF2-40B4-BE49-F238E27FC236}">
              <a16:creationId xmlns:a16="http://schemas.microsoft.com/office/drawing/2014/main" id="{F4399121-8E87-4B40-8D98-12D1FBACA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13" name="Picture 10" descr=" ">
          <a:extLst>
            <a:ext uri="{FF2B5EF4-FFF2-40B4-BE49-F238E27FC236}">
              <a16:creationId xmlns:a16="http://schemas.microsoft.com/office/drawing/2014/main" id="{B6A84E00-45A1-466F-B70F-5512BF9D1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14" name="Picture 11" descr=" ">
          <a:extLst>
            <a:ext uri="{FF2B5EF4-FFF2-40B4-BE49-F238E27FC236}">
              <a16:creationId xmlns:a16="http://schemas.microsoft.com/office/drawing/2014/main" id="{A9C4BCED-8D1F-4DD5-808B-1178F6522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15" name="Picture 12" descr=" ">
          <a:extLst>
            <a:ext uri="{FF2B5EF4-FFF2-40B4-BE49-F238E27FC236}">
              <a16:creationId xmlns:a16="http://schemas.microsoft.com/office/drawing/2014/main" id="{F41439CD-ECE4-4E24-89F7-A279D918F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16" name="Picture 7" descr=" ">
          <a:extLst>
            <a:ext uri="{FF2B5EF4-FFF2-40B4-BE49-F238E27FC236}">
              <a16:creationId xmlns:a16="http://schemas.microsoft.com/office/drawing/2014/main" id="{F6D2FF25-95D1-4DF6-891C-C034E803C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17" name="Picture 8" descr=" ">
          <a:extLst>
            <a:ext uri="{FF2B5EF4-FFF2-40B4-BE49-F238E27FC236}">
              <a16:creationId xmlns:a16="http://schemas.microsoft.com/office/drawing/2014/main" id="{10D4C0EE-1D26-479F-B266-AAEB11A45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18" name="Picture 9" descr=" ">
          <a:extLst>
            <a:ext uri="{FF2B5EF4-FFF2-40B4-BE49-F238E27FC236}">
              <a16:creationId xmlns:a16="http://schemas.microsoft.com/office/drawing/2014/main" id="{FF2FFE6D-2684-4305-BC80-B8F9379965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19" name="Picture 10" descr=" ">
          <a:extLst>
            <a:ext uri="{FF2B5EF4-FFF2-40B4-BE49-F238E27FC236}">
              <a16:creationId xmlns:a16="http://schemas.microsoft.com/office/drawing/2014/main" id="{3A11EDE3-E0E0-4DC3-A92F-77964C4B7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20" name="Picture 11" descr=" ">
          <a:extLst>
            <a:ext uri="{FF2B5EF4-FFF2-40B4-BE49-F238E27FC236}">
              <a16:creationId xmlns:a16="http://schemas.microsoft.com/office/drawing/2014/main" id="{951A8180-6F2E-4770-B532-C817699F5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21" name="Picture 12" descr=" ">
          <a:extLst>
            <a:ext uri="{FF2B5EF4-FFF2-40B4-BE49-F238E27FC236}">
              <a16:creationId xmlns:a16="http://schemas.microsoft.com/office/drawing/2014/main" id="{11EBCB38-D75D-4E05-9756-63408F525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22" name="Picture 7" descr=" ">
          <a:extLst>
            <a:ext uri="{FF2B5EF4-FFF2-40B4-BE49-F238E27FC236}">
              <a16:creationId xmlns:a16="http://schemas.microsoft.com/office/drawing/2014/main" id="{82F4BACF-CE84-4929-9254-10E74E41D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23" name="Picture 8" descr=" ">
          <a:extLst>
            <a:ext uri="{FF2B5EF4-FFF2-40B4-BE49-F238E27FC236}">
              <a16:creationId xmlns:a16="http://schemas.microsoft.com/office/drawing/2014/main" id="{E8F20CAF-A844-4893-9442-25712CF14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24" name="Picture 9" descr=" ">
          <a:extLst>
            <a:ext uri="{FF2B5EF4-FFF2-40B4-BE49-F238E27FC236}">
              <a16:creationId xmlns:a16="http://schemas.microsoft.com/office/drawing/2014/main" id="{AFB61BD3-072B-43BE-9F64-260468504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25" name="Picture 10" descr=" ">
          <a:extLst>
            <a:ext uri="{FF2B5EF4-FFF2-40B4-BE49-F238E27FC236}">
              <a16:creationId xmlns:a16="http://schemas.microsoft.com/office/drawing/2014/main" id="{98684515-6124-4959-AD53-DD197A53B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26" name="Picture 11" descr=" ">
          <a:extLst>
            <a:ext uri="{FF2B5EF4-FFF2-40B4-BE49-F238E27FC236}">
              <a16:creationId xmlns:a16="http://schemas.microsoft.com/office/drawing/2014/main" id="{245143A8-26C5-4734-A818-068D713A0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27" name="Picture 12" descr=" ">
          <a:extLst>
            <a:ext uri="{FF2B5EF4-FFF2-40B4-BE49-F238E27FC236}">
              <a16:creationId xmlns:a16="http://schemas.microsoft.com/office/drawing/2014/main" id="{61D1E1E3-6EF0-4984-A23B-F48AA31FE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28" name="Picture 7" descr=" ">
          <a:extLst>
            <a:ext uri="{FF2B5EF4-FFF2-40B4-BE49-F238E27FC236}">
              <a16:creationId xmlns:a16="http://schemas.microsoft.com/office/drawing/2014/main" id="{ABEA440A-539A-4B0E-AB7B-349711EAA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29" name="Picture 8" descr=" ">
          <a:extLst>
            <a:ext uri="{FF2B5EF4-FFF2-40B4-BE49-F238E27FC236}">
              <a16:creationId xmlns:a16="http://schemas.microsoft.com/office/drawing/2014/main" id="{497714F3-C14D-4CEC-B728-96EA46F22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30" name="Picture 9" descr=" ">
          <a:extLst>
            <a:ext uri="{FF2B5EF4-FFF2-40B4-BE49-F238E27FC236}">
              <a16:creationId xmlns:a16="http://schemas.microsoft.com/office/drawing/2014/main" id="{17C0E0BA-2B9A-43F9-99BC-D953D0665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31" name="Picture 10" descr=" ">
          <a:extLst>
            <a:ext uri="{FF2B5EF4-FFF2-40B4-BE49-F238E27FC236}">
              <a16:creationId xmlns:a16="http://schemas.microsoft.com/office/drawing/2014/main" id="{E3488E7E-BFA0-4DAF-B714-D3A7B2371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32" name="Picture 11" descr=" ">
          <a:extLst>
            <a:ext uri="{FF2B5EF4-FFF2-40B4-BE49-F238E27FC236}">
              <a16:creationId xmlns:a16="http://schemas.microsoft.com/office/drawing/2014/main" id="{475AFD85-1128-4794-8F24-A744F2AED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33" name="Picture 12" descr=" ">
          <a:extLst>
            <a:ext uri="{FF2B5EF4-FFF2-40B4-BE49-F238E27FC236}">
              <a16:creationId xmlns:a16="http://schemas.microsoft.com/office/drawing/2014/main" id="{C3A8CC8C-AF85-4B57-A80D-2570D484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34" name="Picture 7" descr=" ">
          <a:extLst>
            <a:ext uri="{FF2B5EF4-FFF2-40B4-BE49-F238E27FC236}">
              <a16:creationId xmlns:a16="http://schemas.microsoft.com/office/drawing/2014/main" id="{AE8AB107-D4D9-4001-BA42-7D2735B7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35" name="Picture 8" descr=" ">
          <a:extLst>
            <a:ext uri="{FF2B5EF4-FFF2-40B4-BE49-F238E27FC236}">
              <a16:creationId xmlns:a16="http://schemas.microsoft.com/office/drawing/2014/main" id="{37FD6724-12EB-48BC-8C3E-39FEC7F53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36" name="Picture 9" descr=" ">
          <a:extLst>
            <a:ext uri="{FF2B5EF4-FFF2-40B4-BE49-F238E27FC236}">
              <a16:creationId xmlns:a16="http://schemas.microsoft.com/office/drawing/2014/main" id="{8D2B04F1-600D-48C8-975E-C4F9234EB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37" name="Picture 10" descr=" ">
          <a:extLst>
            <a:ext uri="{FF2B5EF4-FFF2-40B4-BE49-F238E27FC236}">
              <a16:creationId xmlns:a16="http://schemas.microsoft.com/office/drawing/2014/main" id="{71EBD2E6-009A-42DF-B1EA-C23A6436E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38" name="Picture 11" descr=" ">
          <a:extLst>
            <a:ext uri="{FF2B5EF4-FFF2-40B4-BE49-F238E27FC236}">
              <a16:creationId xmlns:a16="http://schemas.microsoft.com/office/drawing/2014/main" id="{879D1AF1-0215-45FC-A295-A4C4E0CBF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39" name="Picture 12" descr=" ">
          <a:extLst>
            <a:ext uri="{FF2B5EF4-FFF2-40B4-BE49-F238E27FC236}">
              <a16:creationId xmlns:a16="http://schemas.microsoft.com/office/drawing/2014/main" id="{05CB801B-07A6-4152-BBFF-1488D4267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40" name="Picture 7" descr=" ">
          <a:extLst>
            <a:ext uri="{FF2B5EF4-FFF2-40B4-BE49-F238E27FC236}">
              <a16:creationId xmlns:a16="http://schemas.microsoft.com/office/drawing/2014/main" id="{CE6D22CA-5140-490A-A1D9-593D21A06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41" name="Picture 8" descr=" ">
          <a:extLst>
            <a:ext uri="{FF2B5EF4-FFF2-40B4-BE49-F238E27FC236}">
              <a16:creationId xmlns:a16="http://schemas.microsoft.com/office/drawing/2014/main" id="{C86C0F06-9A0B-40CC-B7EE-0BD3B44B9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42" name="Picture 9" descr=" ">
          <a:extLst>
            <a:ext uri="{FF2B5EF4-FFF2-40B4-BE49-F238E27FC236}">
              <a16:creationId xmlns:a16="http://schemas.microsoft.com/office/drawing/2014/main" id="{8D838CD7-6924-4C6D-9D30-E8B04AC07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43" name="Picture 10" descr=" ">
          <a:extLst>
            <a:ext uri="{FF2B5EF4-FFF2-40B4-BE49-F238E27FC236}">
              <a16:creationId xmlns:a16="http://schemas.microsoft.com/office/drawing/2014/main" id="{EA6F69DB-1C7E-4FF2-87E9-F819D17B4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44" name="Picture 11" descr=" ">
          <a:extLst>
            <a:ext uri="{FF2B5EF4-FFF2-40B4-BE49-F238E27FC236}">
              <a16:creationId xmlns:a16="http://schemas.microsoft.com/office/drawing/2014/main" id="{50C66DF1-36D2-4CF8-87EB-347D5308C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45" name="Picture 12" descr=" ">
          <a:extLst>
            <a:ext uri="{FF2B5EF4-FFF2-40B4-BE49-F238E27FC236}">
              <a16:creationId xmlns:a16="http://schemas.microsoft.com/office/drawing/2014/main" id="{5BBDE090-D738-4DD3-A88C-37BCD41AA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46" name="Picture 7" descr=" ">
          <a:extLst>
            <a:ext uri="{FF2B5EF4-FFF2-40B4-BE49-F238E27FC236}">
              <a16:creationId xmlns:a16="http://schemas.microsoft.com/office/drawing/2014/main" id="{3C3C059A-BBBD-4B98-B93C-C95A24DA2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47" name="Picture 8" descr=" ">
          <a:extLst>
            <a:ext uri="{FF2B5EF4-FFF2-40B4-BE49-F238E27FC236}">
              <a16:creationId xmlns:a16="http://schemas.microsoft.com/office/drawing/2014/main" id="{4D6488AF-5A2F-40D1-B8F5-61A3B1CDD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48" name="Picture 9" descr=" ">
          <a:extLst>
            <a:ext uri="{FF2B5EF4-FFF2-40B4-BE49-F238E27FC236}">
              <a16:creationId xmlns:a16="http://schemas.microsoft.com/office/drawing/2014/main" id="{3E4D4C8B-C0BF-4B68-BD2E-99F660A5D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49" name="Picture 10" descr=" ">
          <a:extLst>
            <a:ext uri="{FF2B5EF4-FFF2-40B4-BE49-F238E27FC236}">
              <a16:creationId xmlns:a16="http://schemas.microsoft.com/office/drawing/2014/main" id="{BE58FB04-7357-4AAC-B729-FCA917BF6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50" name="Picture 11" descr=" ">
          <a:extLst>
            <a:ext uri="{FF2B5EF4-FFF2-40B4-BE49-F238E27FC236}">
              <a16:creationId xmlns:a16="http://schemas.microsoft.com/office/drawing/2014/main" id="{50A95324-7D1E-4CD1-AD2D-BB0915CE0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51" name="Picture 12" descr=" ">
          <a:extLst>
            <a:ext uri="{FF2B5EF4-FFF2-40B4-BE49-F238E27FC236}">
              <a16:creationId xmlns:a16="http://schemas.microsoft.com/office/drawing/2014/main" id="{0FF27445-D0BC-4EB3-8185-7ECE3EAAC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52" name="Picture 7" descr=" ">
          <a:extLst>
            <a:ext uri="{FF2B5EF4-FFF2-40B4-BE49-F238E27FC236}">
              <a16:creationId xmlns:a16="http://schemas.microsoft.com/office/drawing/2014/main" id="{5797DE98-47C7-41D2-BCA8-CA58C7901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53" name="Picture 8" descr=" ">
          <a:extLst>
            <a:ext uri="{FF2B5EF4-FFF2-40B4-BE49-F238E27FC236}">
              <a16:creationId xmlns:a16="http://schemas.microsoft.com/office/drawing/2014/main" id="{79FBD509-33DC-4BEE-A56F-8F7CD6420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54" name="Picture 9" descr=" ">
          <a:extLst>
            <a:ext uri="{FF2B5EF4-FFF2-40B4-BE49-F238E27FC236}">
              <a16:creationId xmlns:a16="http://schemas.microsoft.com/office/drawing/2014/main" id="{3BD6E48D-F709-445F-B40D-90BC35B15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55" name="Picture 10" descr=" ">
          <a:extLst>
            <a:ext uri="{FF2B5EF4-FFF2-40B4-BE49-F238E27FC236}">
              <a16:creationId xmlns:a16="http://schemas.microsoft.com/office/drawing/2014/main" id="{1CD2B427-995A-4D97-9E20-F61BAB10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56" name="Picture 11" descr=" ">
          <a:extLst>
            <a:ext uri="{FF2B5EF4-FFF2-40B4-BE49-F238E27FC236}">
              <a16:creationId xmlns:a16="http://schemas.microsoft.com/office/drawing/2014/main" id="{FF80BE48-E089-4460-8FDE-87349D3B1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57" name="Picture 12" descr=" ">
          <a:extLst>
            <a:ext uri="{FF2B5EF4-FFF2-40B4-BE49-F238E27FC236}">
              <a16:creationId xmlns:a16="http://schemas.microsoft.com/office/drawing/2014/main" id="{096350EB-1522-40DE-A0A8-65988828C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58" name="Picture 7" descr=" ">
          <a:extLst>
            <a:ext uri="{FF2B5EF4-FFF2-40B4-BE49-F238E27FC236}">
              <a16:creationId xmlns:a16="http://schemas.microsoft.com/office/drawing/2014/main" id="{17A4C66D-754F-4A1F-B89B-7F7C83D16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59" name="Picture 8" descr=" ">
          <a:extLst>
            <a:ext uri="{FF2B5EF4-FFF2-40B4-BE49-F238E27FC236}">
              <a16:creationId xmlns:a16="http://schemas.microsoft.com/office/drawing/2014/main" id="{D999E20C-161C-4B7B-B267-E26A5CE32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60" name="Picture 9" descr=" ">
          <a:extLst>
            <a:ext uri="{FF2B5EF4-FFF2-40B4-BE49-F238E27FC236}">
              <a16:creationId xmlns:a16="http://schemas.microsoft.com/office/drawing/2014/main" id="{259B7D40-C3F4-4A78-A0C9-4083F0404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61" name="Picture 10" descr=" ">
          <a:extLst>
            <a:ext uri="{FF2B5EF4-FFF2-40B4-BE49-F238E27FC236}">
              <a16:creationId xmlns:a16="http://schemas.microsoft.com/office/drawing/2014/main" id="{29E2F394-B2DC-47E2-8F73-411593F4C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62" name="Picture 11" descr=" ">
          <a:extLst>
            <a:ext uri="{FF2B5EF4-FFF2-40B4-BE49-F238E27FC236}">
              <a16:creationId xmlns:a16="http://schemas.microsoft.com/office/drawing/2014/main" id="{D013F856-8190-4DA5-9760-B78C084AD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63" name="Picture 12" descr=" ">
          <a:extLst>
            <a:ext uri="{FF2B5EF4-FFF2-40B4-BE49-F238E27FC236}">
              <a16:creationId xmlns:a16="http://schemas.microsoft.com/office/drawing/2014/main" id="{5FF12EA6-625B-4FDD-8F2A-9BE461F2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64" name="Picture 7" descr=" ">
          <a:extLst>
            <a:ext uri="{FF2B5EF4-FFF2-40B4-BE49-F238E27FC236}">
              <a16:creationId xmlns:a16="http://schemas.microsoft.com/office/drawing/2014/main" id="{2DF5D55B-BAEA-4714-B4B7-638388282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65" name="Picture 8" descr=" ">
          <a:extLst>
            <a:ext uri="{FF2B5EF4-FFF2-40B4-BE49-F238E27FC236}">
              <a16:creationId xmlns:a16="http://schemas.microsoft.com/office/drawing/2014/main" id="{D8DC4B57-796E-4189-A23A-1E8D4A9D6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66" name="Picture 9" descr=" ">
          <a:extLst>
            <a:ext uri="{FF2B5EF4-FFF2-40B4-BE49-F238E27FC236}">
              <a16:creationId xmlns:a16="http://schemas.microsoft.com/office/drawing/2014/main" id="{1751F845-FCC7-4069-A4D8-56CD5E67B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67" name="Picture 10" descr=" ">
          <a:extLst>
            <a:ext uri="{FF2B5EF4-FFF2-40B4-BE49-F238E27FC236}">
              <a16:creationId xmlns:a16="http://schemas.microsoft.com/office/drawing/2014/main" id="{3F4CD0B5-9669-4314-A880-56B5E467A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68" name="Picture 11" descr=" ">
          <a:extLst>
            <a:ext uri="{FF2B5EF4-FFF2-40B4-BE49-F238E27FC236}">
              <a16:creationId xmlns:a16="http://schemas.microsoft.com/office/drawing/2014/main" id="{75FBB815-7189-4470-8E31-9A9315183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69" name="Picture 12" descr=" ">
          <a:extLst>
            <a:ext uri="{FF2B5EF4-FFF2-40B4-BE49-F238E27FC236}">
              <a16:creationId xmlns:a16="http://schemas.microsoft.com/office/drawing/2014/main" id="{5FB33011-E793-4806-8500-915DDEDAD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70" name="Picture 7" descr=" ">
          <a:extLst>
            <a:ext uri="{FF2B5EF4-FFF2-40B4-BE49-F238E27FC236}">
              <a16:creationId xmlns:a16="http://schemas.microsoft.com/office/drawing/2014/main" id="{4C6EC378-196F-42DD-8F39-13143E437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71" name="Picture 8" descr=" ">
          <a:extLst>
            <a:ext uri="{FF2B5EF4-FFF2-40B4-BE49-F238E27FC236}">
              <a16:creationId xmlns:a16="http://schemas.microsoft.com/office/drawing/2014/main" id="{D1A81E9F-BB3F-49A6-A7BB-2CCEE7B55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72" name="Picture 9" descr=" ">
          <a:extLst>
            <a:ext uri="{FF2B5EF4-FFF2-40B4-BE49-F238E27FC236}">
              <a16:creationId xmlns:a16="http://schemas.microsoft.com/office/drawing/2014/main" id="{4CDBA2C8-7F79-4927-9E21-CA92AEC83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73" name="Picture 10" descr=" ">
          <a:extLst>
            <a:ext uri="{FF2B5EF4-FFF2-40B4-BE49-F238E27FC236}">
              <a16:creationId xmlns:a16="http://schemas.microsoft.com/office/drawing/2014/main" id="{D9FA2FBD-B0FA-4289-81F3-DD335CF3C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74" name="Picture 11" descr=" ">
          <a:extLst>
            <a:ext uri="{FF2B5EF4-FFF2-40B4-BE49-F238E27FC236}">
              <a16:creationId xmlns:a16="http://schemas.microsoft.com/office/drawing/2014/main" id="{5A051DAE-63FF-43E4-A06D-651AFCDDF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75" name="Picture 12" descr=" ">
          <a:extLst>
            <a:ext uri="{FF2B5EF4-FFF2-40B4-BE49-F238E27FC236}">
              <a16:creationId xmlns:a16="http://schemas.microsoft.com/office/drawing/2014/main" id="{9C42CEED-880D-42D6-B806-ABA813068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76" name="Picture 7" descr=" ">
          <a:extLst>
            <a:ext uri="{FF2B5EF4-FFF2-40B4-BE49-F238E27FC236}">
              <a16:creationId xmlns:a16="http://schemas.microsoft.com/office/drawing/2014/main" id="{B93B6141-71F1-47A8-A8CC-46C40802A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77" name="Picture 8" descr=" ">
          <a:extLst>
            <a:ext uri="{FF2B5EF4-FFF2-40B4-BE49-F238E27FC236}">
              <a16:creationId xmlns:a16="http://schemas.microsoft.com/office/drawing/2014/main" id="{264C8FF3-11AA-4165-A5ED-02D75B701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78" name="Picture 9" descr=" ">
          <a:extLst>
            <a:ext uri="{FF2B5EF4-FFF2-40B4-BE49-F238E27FC236}">
              <a16:creationId xmlns:a16="http://schemas.microsoft.com/office/drawing/2014/main" id="{A2D8546B-A9AF-4BA3-9EC1-3BF49D3FB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79" name="Picture 10" descr=" ">
          <a:extLst>
            <a:ext uri="{FF2B5EF4-FFF2-40B4-BE49-F238E27FC236}">
              <a16:creationId xmlns:a16="http://schemas.microsoft.com/office/drawing/2014/main" id="{B6F09D1A-955B-4293-8C12-9F08CCD1B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80" name="Picture 11" descr=" ">
          <a:extLst>
            <a:ext uri="{FF2B5EF4-FFF2-40B4-BE49-F238E27FC236}">
              <a16:creationId xmlns:a16="http://schemas.microsoft.com/office/drawing/2014/main" id="{6C58461D-F2CD-45AD-BB84-2CA04D701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81" name="Picture 12" descr=" ">
          <a:extLst>
            <a:ext uri="{FF2B5EF4-FFF2-40B4-BE49-F238E27FC236}">
              <a16:creationId xmlns:a16="http://schemas.microsoft.com/office/drawing/2014/main" id="{54249424-A1D1-46C6-B437-6F595F2E0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82" name="Picture 7" descr=" ">
          <a:extLst>
            <a:ext uri="{FF2B5EF4-FFF2-40B4-BE49-F238E27FC236}">
              <a16:creationId xmlns:a16="http://schemas.microsoft.com/office/drawing/2014/main" id="{7B31D6D0-75C5-4DEF-B45D-73B5F8445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83" name="Picture 8" descr=" ">
          <a:extLst>
            <a:ext uri="{FF2B5EF4-FFF2-40B4-BE49-F238E27FC236}">
              <a16:creationId xmlns:a16="http://schemas.microsoft.com/office/drawing/2014/main" id="{E8C1AB93-47B6-415E-977B-D50486D8A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84" name="Picture 9" descr=" ">
          <a:extLst>
            <a:ext uri="{FF2B5EF4-FFF2-40B4-BE49-F238E27FC236}">
              <a16:creationId xmlns:a16="http://schemas.microsoft.com/office/drawing/2014/main" id="{39CCC25A-F073-476B-91E4-F3C2BFFFC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85" name="Picture 10" descr=" ">
          <a:extLst>
            <a:ext uri="{FF2B5EF4-FFF2-40B4-BE49-F238E27FC236}">
              <a16:creationId xmlns:a16="http://schemas.microsoft.com/office/drawing/2014/main" id="{76131D55-9291-42CE-BAD0-114F5C385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86" name="Picture 11" descr=" ">
          <a:extLst>
            <a:ext uri="{FF2B5EF4-FFF2-40B4-BE49-F238E27FC236}">
              <a16:creationId xmlns:a16="http://schemas.microsoft.com/office/drawing/2014/main" id="{6D342FF3-5041-494E-AB98-408450FC5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87" name="Picture 12" descr=" ">
          <a:extLst>
            <a:ext uri="{FF2B5EF4-FFF2-40B4-BE49-F238E27FC236}">
              <a16:creationId xmlns:a16="http://schemas.microsoft.com/office/drawing/2014/main" id="{B3E74CFB-13B4-4B9F-A13D-B94F2E225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88" name="Picture 7" descr=" ">
          <a:extLst>
            <a:ext uri="{FF2B5EF4-FFF2-40B4-BE49-F238E27FC236}">
              <a16:creationId xmlns:a16="http://schemas.microsoft.com/office/drawing/2014/main" id="{23546767-7C97-4078-9A8D-A8A18EFFF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89" name="Picture 8" descr=" ">
          <a:extLst>
            <a:ext uri="{FF2B5EF4-FFF2-40B4-BE49-F238E27FC236}">
              <a16:creationId xmlns:a16="http://schemas.microsoft.com/office/drawing/2014/main" id="{B92DE3D0-9307-439C-B440-F0BC2B8A9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90" name="Picture 9" descr=" ">
          <a:extLst>
            <a:ext uri="{FF2B5EF4-FFF2-40B4-BE49-F238E27FC236}">
              <a16:creationId xmlns:a16="http://schemas.microsoft.com/office/drawing/2014/main" id="{AE624190-23E0-4A9A-AEA9-2AD316687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91" name="Picture 10" descr=" ">
          <a:extLst>
            <a:ext uri="{FF2B5EF4-FFF2-40B4-BE49-F238E27FC236}">
              <a16:creationId xmlns:a16="http://schemas.microsoft.com/office/drawing/2014/main" id="{D912FE9C-C047-4DCD-8A19-639F24958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92" name="Picture 11" descr=" ">
          <a:extLst>
            <a:ext uri="{FF2B5EF4-FFF2-40B4-BE49-F238E27FC236}">
              <a16:creationId xmlns:a16="http://schemas.microsoft.com/office/drawing/2014/main" id="{E48B8AAD-EA4B-45C6-AD68-060C7573F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93" name="Picture 12" descr=" ">
          <a:extLst>
            <a:ext uri="{FF2B5EF4-FFF2-40B4-BE49-F238E27FC236}">
              <a16:creationId xmlns:a16="http://schemas.microsoft.com/office/drawing/2014/main" id="{9BAC5F5F-D3AA-4979-AFE3-C61D93BAC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94" name="Picture 7" descr=" ">
          <a:extLst>
            <a:ext uri="{FF2B5EF4-FFF2-40B4-BE49-F238E27FC236}">
              <a16:creationId xmlns:a16="http://schemas.microsoft.com/office/drawing/2014/main" id="{044346A5-3D6A-4A96-9D23-4953ECC0A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95" name="Picture 8" descr=" ">
          <a:extLst>
            <a:ext uri="{FF2B5EF4-FFF2-40B4-BE49-F238E27FC236}">
              <a16:creationId xmlns:a16="http://schemas.microsoft.com/office/drawing/2014/main" id="{BB2F6F77-2B2C-4672-B80E-B5A6FB56C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96" name="Picture 9" descr=" ">
          <a:extLst>
            <a:ext uri="{FF2B5EF4-FFF2-40B4-BE49-F238E27FC236}">
              <a16:creationId xmlns:a16="http://schemas.microsoft.com/office/drawing/2014/main" id="{E12CCDE6-A361-4B26-89BD-1963FFBB8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97" name="Picture 10" descr=" ">
          <a:extLst>
            <a:ext uri="{FF2B5EF4-FFF2-40B4-BE49-F238E27FC236}">
              <a16:creationId xmlns:a16="http://schemas.microsoft.com/office/drawing/2014/main" id="{CBCEDDC4-148D-4852-A398-5F9A23409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98" name="Picture 11" descr=" ">
          <a:extLst>
            <a:ext uri="{FF2B5EF4-FFF2-40B4-BE49-F238E27FC236}">
              <a16:creationId xmlns:a16="http://schemas.microsoft.com/office/drawing/2014/main" id="{088B7F00-98AC-4C42-B937-60775B173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699" name="Picture 12" descr=" ">
          <a:extLst>
            <a:ext uri="{FF2B5EF4-FFF2-40B4-BE49-F238E27FC236}">
              <a16:creationId xmlns:a16="http://schemas.microsoft.com/office/drawing/2014/main" id="{19D0EF9C-C851-4728-AA5D-292AB6BCF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00" name="Picture 7" descr=" ">
          <a:extLst>
            <a:ext uri="{FF2B5EF4-FFF2-40B4-BE49-F238E27FC236}">
              <a16:creationId xmlns:a16="http://schemas.microsoft.com/office/drawing/2014/main" id="{18E59F3C-802B-4504-BC13-63425A45E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01" name="Picture 8" descr=" ">
          <a:extLst>
            <a:ext uri="{FF2B5EF4-FFF2-40B4-BE49-F238E27FC236}">
              <a16:creationId xmlns:a16="http://schemas.microsoft.com/office/drawing/2014/main" id="{B4103976-59B1-4A89-A924-10F295BBE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02" name="Picture 9" descr=" ">
          <a:extLst>
            <a:ext uri="{FF2B5EF4-FFF2-40B4-BE49-F238E27FC236}">
              <a16:creationId xmlns:a16="http://schemas.microsoft.com/office/drawing/2014/main" id="{BAC6A030-31BD-44A8-951A-E9AB4E69D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03" name="Picture 10" descr=" ">
          <a:extLst>
            <a:ext uri="{FF2B5EF4-FFF2-40B4-BE49-F238E27FC236}">
              <a16:creationId xmlns:a16="http://schemas.microsoft.com/office/drawing/2014/main" id="{8E0AEA23-D9DD-432C-9FB0-A130CBF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04" name="Picture 11" descr=" ">
          <a:extLst>
            <a:ext uri="{FF2B5EF4-FFF2-40B4-BE49-F238E27FC236}">
              <a16:creationId xmlns:a16="http://schemas.microsoft.com/office/drawing/2014/main" id="{5B8AF7EF-8A06-4C23-94D0-8CBCE68AB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05" name="Picture 12" descr=" ">
          <a:extLst>
            <a:ext uri="{FF2B5EF4-FFF2-40B4-BE49-F238E27FC236}">
              <a16:creationId xmlns:a16="http://schemas.microsoft.com/office/drawing/2014/main" id="{B96D2352-0C3F-4BC5-A72E-E66859320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06" name="Picture 7" descr=" ">
          <a:extLst>
            <a:ext uri="{FF2B5EF4-FFF2-40B4-BE49-F238E27FC236}">
              <a16:creationId xmlns:a16="http://schemas.microsoft.com/office/drawing/2014/main" id="{53EFF5A4-5BD9-4B5B-A227-2327B40E3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07" name="Picture 8" descr=" ">
          <a:extLst>
            <a:ext uri="{FF2B5EF4-FFF2-40B4-BE49-F238E27FC236}">
              <a16:creationId xmlns:a16="http://schemas.microsoft.com/office/drawing/2014/main" id="{21FC8EF5-12B8-48BA-B526-4EA4539B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08" name="Picture 9" descr=" ">
          <a:extLst>
            <a:ext uri="{FF2B5EF4-FFF2-40B4-BE49-F238E27FC236}">
              <a16:creationId xmlns:a16="http://schemas.microsoft.com/office/drawing/2014/main" id="{9C4110DB-4E6C-4BBD-8B4B-20FB995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09" name="Picture 10" descr=" ">
          <a:extLst>
            <a:ext uri="{FF2B5EF4-FFF2-40B4-BE49-F238E27FC236}">
              <a16:creationId xmlns:a16="http://schemas.microsoft.com/office/drawing/2014/main" id="{86E1B6B3-82E1-4912-B0F9-06500DF9B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10" name="Picture 11" descr=" ">
          <a:extLst>
            <a:ext uri="{FF2B5EF4-FFF2-40B4-BE49-F238E27FC236}">
              <a16:creationId xmlns:a16="http://schemas.microsoft.com/office/drawing/2014/main" id="{5CDF6698-A067-490A-B9CA-9937D5891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11" name="Picture 12" descr=" ">
          <a:extLst>
            <a:ext uri="{FF2B5EF4-FFF2-40B4-BE49-F238E27FC236}">
              <a16:creationId xmlns:a16="http://schemas.microsoft.com/office/drawing/2014/main" id="{9975D46F-918D-42D8-A495-91F25B023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12" name="Picture 7" descr=" ">
          <a:extLst>
            <a:ext uri="{FF2B5EF4-FFF2-40B4-BE49-F238E27FC236}">
              <a16:creationId xmlns:a16="http://schemas.microsoft.com/office/drawing/2014/main" id="{4CA7DBA5-6097-432D-A6EF-414CE8229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13" name="Picture 8" descr=" ">
          <a:extLst>
            <a:ext uri="{FF2B5EF4-FFF2-40B4-BE49-F238E27FC236}">
              <a16:creationId xmlns:a16="http://schemas.microsoft.com/office/drawing/2014/main" id="{1DACD99B-0158-4600-B701-BF71BBA62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14" name="Picture 9" descr=" ">
          <a:extLst>
            <a:ext uri="{FF2B5EF4-FFF2-40B4-BE49-F238E27FC236}">
              <a16:creationId xmlns:a16="http://schemas.microsoft.com/office/drawing/2014/main" id="{DE65FE87-9472-4AFB-9964-9D8B1ABBD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15" name="Picture 10" descr=" ">
          <a:extLst>
            <a:ext uri="{FF2B5EF4-FFF2-40B4-BE49-F238E27FC236}">
              <a16:creationId xmlns:a16="http://schemas.microsoft.com/office/drawing/2014/main" id="{A6DB9536-6560-4665-B23F-7A819A028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16" name="Picture 11" descr=" ">
          <a:extLst>
            <a:ext uri="{FF2B5EF4-FFF2-40B4-BE49-F238E27FC236}">
              <a16:creationId xmlns:a16="http://schemas.microsoft.com/office/drawing/2014/main" id="{0A2D172F-C8A6-4403-A3C7-CCF5DBF64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17" name="Picture 12" descr=" ">
          <a:extLst>
            <a:ext uri="{FF2B5EF4-FFF2-40B4-BE49-F238E27FC236}">
              <a16:creationId xmlns:a16="http://schemas.microsoft.com/office/drawing/2014/main" id="{365A1EC2-C2D8-43BC-8C45-448644295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18" name="Picture 7" descr=" ">
          <a:extLst>
            <a:ext uri="{FF2B5EF4-FFF2-40B4-BE49-F238E27FC236}">
              <a16:creationId xmlns:a16="http://schemas.microsoft.com/office/drawing/2014/main" id="{DBDD7176-21C1-4CBE-A028-15839A93A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19" name="Picture 8" descr=" ">
          <a:extLst>
            <a:ext uri="{FF2B5EF4-FFF2-40B4-BE49-F238E27FC236}">
              <a16:creationId xmlns:a16="http://schemas.microsoft.com/office/drawing/2014/main" id="{1AD7749E-D14B-4F17-8A55-16B382A20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20" name="Picture 9" descr=" ">
          <a:extLst>
            <a:ext uri="{FF2B5EF4-FFF2-40B4-BE49-F238E27FC236}">
              <a16:creationId xmlns:a16="http://schemas.microsoft.com/office/drawing/2014/main" id="{2DDE08D3-6125-412C-A870-2AFADCABA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21" name="Picture 10" descr=" ">
          <a:extLst>
            <a:ext uri="{FF2B5EF4-FFF2-40B4-BE49-F238E27FC236}">
              <a16:creationId xmlns:a16="http://schemas.microsoft.com/office/drawing/2014/main" id="{85510E83-E6FD-46C8-B54B-0D812D310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22" name="Picture 11" descr=" ">
          <a:extLst>
            <a:ext uri="{FF2B5EF4-FFF2-40B4-BE49-F238E27FC236}">
              <a16:creationId xmlns:a16="http://schemas.microsoft.com/office/drawing/2014/main" id="{17EB2F17-41D7-4DEB-86DE-CB7004135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23" name="Picture 12" descr=" ">
          <a:extLst>
            <a:ext uri="{FF2B5EF4-FFF2-40B4-BE49-F238E27FC236}">
              <a16:creationId xmlns:a16="http://schemas.microsoft.com/office/drawing/2014/main" id="{CE901FF7-EE6D-42AC-ADE3-52548EE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24" name="Picture 7" descr=" ">
          <a:extLst>
            <a:ext uri="{FF2B5EF4-FFF2-40B4-BE49-F238E27FC236}">
              <a16:creationId xmlns:a16="http://schemas.microsoft.com/office/drawing/2014/main" id="{D576437C-854B-4BE8-AA51-E1BCA534D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25" name="Picture 8" descr=" ">
          <a:extLst>
            <a:ext uri="{FF2B5EF4-FFF2-40B4-BE49-F238E27FC236}">
              <a16:creationId xmlns:a16="http://schemas.microsoft.com/office/drawing/2014/main" id="{83E36F72-6CF1-4DC1-AB1A-09E40AC73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26" name="Picture 9" descr=" ">
          <a:extLst>
            <a:ext uri="{FF2B5EF4-FFF2-40B4-BE49-F238E27FC236}">
              <a16:creationId xmlns:a16="http://schemas.microsoft.com/office/drawing/2014/main" id="{76FC4861-0EF2-49D5-826C-A9077BD8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27" name="Picture 10" descr=" ">
          <a:extLst>
            <a:ext uri="{FF2B5EF4-FFF2-40B4-BE49-F238E27FC236}">
              <a16:creationId xmlns:a16="http://schemas.microsoft.com/office/drawing/2014/main" id="{551C0BEC-58CB-4ED9-9A4B-C6BF458F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28" name="Picture 11" descr=" ">
          <a:extLst>
            <a:ext uri="{FF2B5EF4-FFF2-40B4-BE49-F238E27FC236}">
              <a16:creationId xmlns:a16="http://schemas.microsoft.com/office/drawing/2014/main" id="{9EAFA5FD-178C-4A0E-B7B9-D386ED696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29" name="Picture 12" descr=" ">
          <a:extLst>
            <a:ext uri="{FF2B5EF4-FFF2-40B4-BE49-F238E27FC236}">
              <a16:creationId xmlns:a16="http://schemas.microsoft.com/office/drawing/2014/main" id="{B0AEB89A-DCF9-48D0-A8CB-FE844A45F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30" name="Picture 7" descr=" ">
          <a:extLst>
            <a:ext uri="{FF2B5EF4-FFF2-40B4-BE49-F238E27FC236}">
              <a16:creationId xmlns:a16="http://schemas.microsoft.com/office/drawing/2014/main" id="{D630C559-D8F5-428E-A15A-E1E092DCA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31" name="Picture 8" descr=" ">
          <a:extLst>
            <a:ext uri="{FF2B5EF4-FFF2-40B4-BE49-F238E27FC236}">
              <a16:creationId xmlns:a16="http://schemas.microsoft.com/office/drawing/2014/main" id="{0051E7EB-CE92-4538-9AF0-C373C2BFE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32" name="Picture 9" descr=" ">
          <a:extLst>
            <a:ext uri="{FF2B5EF4-FFF2-40B4-BE49-F238E27FC236}">
              <a16:creationId xmlns:a16="http://schemas.microsoft.com/office/drawing/2014/main" id="{DF36D3FE-3346-48D6-A1FA-3DB4D7D54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33" name="Picture 10" descr=" ">
          <a:extLst>
            <a:ext uri="{FF2B5EF4-FFF2-40B4-BE49-F238E27FC236}">
              <a16:creationId xmlns:a16="http://schemas.microsoft.com/office/drawing/2014/main" id="{A43FE926-6353-4F21-948D-8F76AC706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34" name="Picture 11" descr=" ">
          <a:extLst>
            <a:ext uri="{FF2B5EF4-FFF2-40B4-BE49-F238E27FC236}">
              <a16:creationId xmlns:a16="http://schemas.microsoft.com/office/drawing/2014/main" id="{62892FC5-89BF-4FD9-B76E-9B98DD5FE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35" name="Picture 12" descr=" ">
          <a:extLst>
            <a:ext uri="{FF2B5EF4-FFF2-40B4-BE49-F238E27FC236}">
              <a16:creationId xmlns:a16="http://schemas.microsoft.com/office/drawing/2014/main" id="{F9B78D59-E632-4427-983D-5DC91AE09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36" name="Picture 7" descr=" ">
          <a:extLst>
            <a:ext uri="{FF2B5EF4-FFF2-40B4-BE49-F238E27FC236}">
              <a16:creationId xmlns:a16="http://schemas.microsoft.com/office/drawing/2014/main" id="{D7A20819-C839-4A7C-8D6F-D65EC83C1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37" name="Picture 8" descr=" ">
          <a:extLst>
            <a:ext uri="{FF2B5EF4-FFF2-40B4-BE49-F238E27FC236}">
              <a16:creationId xmlns:a16="http://schemas.microsoft.com/office/drawing/2014/main" id="{E579F672-4656-48FC-94AB-5600722C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38" name="Picture 9" descr=" ">
          <a:extLst>
            <a:ext uri="{FF2B5EF4-FFF2-40B4-BE49-F238E27FC236}">
              <a16:creationId xmlns:a16="http://schemas.microsoft.com/office/drawing/2014/main" id="{1DA5DC40-2A8D-407B-9500-6629443C3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39" name="Picture 10" descr=" ">
          <a:extLst>
            <a:ext uri="{FF2B5EF4-FFF2-40B4-BE49-F238E27FC236}">
              <a16:creationId xmlns:a16="http://schemas.microsoft.com/office/drawing/2014/main" id="{46931444-EDDD-446E-B467-84738A822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40" name="Picture 11" descr=" ">
          <a:extLst>
            <a:ext uri="{FF2B5EF4-FFF2-40B4-BE49-F238E27FC236}">
              <a16:creationId xmlns:a16="http://schemas.microsoft.com/office/drawing/2014/main" id="{9B01716D-1EA8-4A84-8315-35A85042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41" name="Picture 12" descr=" ">
          <a:extLst>
            <a:ext uri="{FF2B5EF4-FFF2-40B4-BE49-F238E27FC236}">
              <a16:creationId xmlns:a16="http://schemas.microsoft.com/office/drawing/2014/main" id="{91D8CD64-6BA9-4761-9F30-99B53FD0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42" name="Picture 7" descr=" ">
          <a:extLst>
            <a:ext uri="{FF2B5EF4-FFF2-40B4-BE49-F238E27FC236}">
              <a16:creationId xmlns:a16="http://schemas.microsoft.com/office/drawing/2014/main" id="{85F902BE-8183-46B1-88B9-F3762EB22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43" name="Picture 8" descr=" ">
          <a:extLst>
            <a:ext uri="{FF2B5EF4-FFF2-40B4-BE49-F238E27FC236}">
              <a16:creationId xmlns:a16="http://schemas.microsoft.com/office/drawing/2014/main" id="{EB1C1FA4-270E-4D8C-BA87-80EC04FF8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44" name="Picture 9" descr=" ">
          <a:extLst>
            <a:ext uri="{FF2B5EF4-FFF2-40B4-BE49-F238E27FC236}">
              <a16:creationId xmlns:a16="http://schemas.microsoft.com/office/drawing/2014/main" id="{F262A996-7F3A-4309-9E56-294C80FDC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45" name="Picture 10" descr=" ">
          <a:extLst>
            <a:ext uri="{FF2B5EF4-FFF2-40B4-BE49-F238E27FC236}">
              <a16:creationId xmlns:a16="http://schemas.microsoft.com/office/drawing/2014/main" id="{06CAF187-35C6-444C-9482-5ED0EB959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46" name="Picture 11" descr=" ">
          <a:extLst>
            <a:ext uri="{FF2B5EF4-FFF2-40B4-BE49-F238E27FC236}">
              <a16:creationId xmlns:a16="http://schemas.microsoft.com/office/drawing/2014/main" id="{0C38A894-2637-4EFB-B462-5A7B59747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47" name="Picture 12" descr=" ">
          <a:extLst>
            <a:ext uri="{FF2B5EF4-FFF2-40B4-BE49-F238E27FC236}">
              <a16:creationId xmlns:a16="http://schemas.microsoft.com/office/drawing/2014/main" id="{F61E7FA4-05BE-4BF5-B5E0-D61348291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48" name="Picture 7" descr=" ">
          <a:extLst>
            <a:ext uri="{FF2B5EF4-FFF2-40B4-BE49-F238E27FC236}">
              <a16:creationId xmlns:a16="http://schemas.microsoft.com/office/drawing/2014/main" id="{8C5E776C-BD91-4415-B459-3EC6C327F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49" name="Picture 8" descr=" ">
          <a:extLst>
            <a:ext uri="{FF2B5EF4-FFF2-40B4-BE49-F238E27FC236}">
              <a16:creationId xmlns:a16="http://schemas.microsoft.com/office/drawing/2014/main" id="{3CFE7EAE-F780-4803-B389-877768BE1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50" name="Picture 9" descr=" ">
          <a:extLst>
            <a:ext uri="{FF2B5EF4-FFF2-40B4-BE49-F238E27FC236}">
              <a16:creationId xmlns:a16="http://schemas.microsoft.com/office/drawing/2014/main" id="{F4B2FC3F-533E-4236-93AA-4742A6C72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51" name="Picture 10" descr=" ">
          <a:extLst>
            <a:ext uri="{FF2B5EF4-FFF2-40B4-BE49-F238E27FC236}">
              <a16:creationId xmlns:a16="http://schemas.microsoft.com/office/drawing/2014/main" id="{704B8F86-56C5-4327-8079-D8B50657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52" name="Picture 11" descr=" ">
          <a:extLst>
            <a:ext uri="{FF2B5EF4-FFF2-40B4-BE49-F238E27FC236}">
              <a16:creationId xmlns:a16="http://schemas.microsoft.com/office/drawing/2014/main" id="{11B1704B-E579-4001-8FE9-744F9BDF5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53" name="Picture 12" descr=" ">
          <a:extLst>
            <a:ext uri="{FF2B5EF4-FFF2-40B4-BE49-F238E27FC236}">
              <a16:creationId xmlns:a16="http://schemas.microsoft.com/office/drawing/2014/main" id="{6A925124-F860-4E6D-A8A0-4F486D655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54" name="Picture 7" descr=" ">
          <a:extLst>
            <a:ext uri="{FF2B5EF4-FFF2-40B4-BE49-F238E27FC236}">
              <a16:creationId xmlns:a16="http://schemas.microsoft.com/office/drawing/2014/main" id="{F1887CE8-A830-4DFE-96DF-2D90BB52F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55" name="Picture 8" descr=" ">
          <a:extLst>
            <a:ext uri="{FF2B5EF4-FFF2-40B4-BE49-F238E27FC236}">
              <a16:creationId xmlns:a16="http://schemas.microsoft.com/office/drawing/2014/main" id="{BE2E77C1-2C1A-49EA-B3AA-15AE09072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56" name="Picture 9" descr=" ">
          <a:extLst>
            <a:ext uri="{FF2B5EF4-FFF2-40B4-BE49-F238E27FC236}">
              <a16:creationId xmlns:a16="http://schemas.microsoft.com/office/drawing/2014/main" id="{120BAE0C-9F36-49FC-9055-CC5460380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57" name="Picture 10" descr=" ">
          <a:extLst>
            <a:ext uri="{FF2B5EF4-FFF2-40B4-BE49-F238E27FC236}">
              <a16:creationId xmlns:a16="http://schemas.microsoft.com/office/drawing/2014/main" id="{C8D491E8-21D8-402A-8FA1-1570A870D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58" name="Picture 11" descr=" ">
          <a:extLst>
            <a:ext uri="{FF2B5EF4-FFF2-40B4-BE49-F238E27FC236}">
              <a16:creationId xmlns:a16="http://schemas.microsoft.com/office/drawing/2014/main" id="{39A7B60E-EA01-49A5-A222-850DCAE97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59" name="Picture 12" descr=" ">
          <a:extLst>
            <a:ext uri="{FF2B5EF4-FFF2-40B4-BE49-F238E27FC236}">
              <a16:creationId xmlns:a16="http://schemas.microsoft.com/office/drawing/2014/main" id="{26756900-E793-429B-84F6-CFAC90FD5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60" name="Picture 7" descr=" ">
          <a:extLst>
            <a:ext uri="{FF2B5EF4-FFF2-40B4-BE49-F238E27FC236}">
              <a16:creationId xmlns:a16="http://schemas.microsoft.com/office/drawing/2014/main" id="{4F7F24C1-D103-40F5-BD4C-66858C9AD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61" name="Picture 8" descr=" ">
          <a:extLst>
            <a:ext uri="{FF2B5EF4-FFF2-40B4-BE49-F238E27FC236}">
              <a16:creationId xmlns:a16="http://schemas.microsoft.com/office/drawing/2014/main" id="{5E49F0A3-0BE4-426E-875C-A949B6BD1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62" name="Picture 9" descr=" ">
          <a:extLst>
            <a:ext uri="{FF2B5EF4-FFF2-40B4-BE49-F238E27FC236}">
              <a16:creationId xmlns:a16="http://schemas.microsoft.com/office/drawing/2014/main" id="{75238D8D-3AAB-4D46-9975-8DBC78543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63" name="Picture 10" descr=" ">
          <a:extLst>
            <a:ext uri="{FF2B5EF4-FFF2-40B4-BE49-F238E27FC236}">
              <a16:creationId xmlns:a16="http://schemas.microsoft.com/office/drawing/2014/main" id="{84FD6901-99F0-48D6-B050-2E67E8444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64" name="Picture 11" descr=" ">
          <a:extLst>
            <a:ext uri="{FF2B5EF4-FFF2-40B4-BE49-F238E27FC236}">
              <a16:creationId xmlns:a16="http://schemas.microsoft.com/office/drawing/2014/main" id="{5C237692-D848-4EEB-8C37-7B14C1A86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65" name="Picture 12" descr=" ">
          <a:extLst>
            <a:ext uri="{FF2B5EF4-FFF2-40B4-BE49-F238E27FC236}">
              <a16:creationId xmlns:a16="http://schemas.microsoft.com/office/drawing/2014/main" id="{3F2EF397-A1CC-4DA1-ACE4-547131951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66" name="Picture 7" descr=" ">
          <a:extLst>
            <a:ext uri="{FF2B5EF4-FFF2-40B4-BE49-F238E27FC236}">
              <a16:creationId xmlns:a16="http://schemas.microsoft.com/office/drawing/2014/main" id="{E51BE18F-DD4E-4D81-BAA7-85455757C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67" name="Picture 8" descr=" ">
          <a:extLst>
            <a:ext uri="{FF2B5EF4-FFF2-40B4-BE49-F238E27FC236}">
              <a16:creationId xmlns:a16="http://schemas.microsoft.com/office/drawing/2014/main" id="{20C7183F-F6FE-4B41-9D1B-EBBE6586A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68" name="Picture 9" descr=" ">
          <a:extLst>
            <a:ext uri="{FF2B5EF4-FFF2-40B4-BE49-F238E27FC236}">
              <a16:creationId xmlns:a16="http://schemas.microsoft.com/office/drawing/2014/main" id="{B0FE23B6-01F0-4AD5-B138-7D984FCD1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69" name="Picture 10" descr=" ">
          <a:extLst>
            <a:ext uri="{FF2B5EF4-FFF2-40B4-BE49-F238E27FC236}">
              <a16:creationId xmlns:a16="http://schemas.microsoft.com/office/drawing/2014/main" id="{7DB02993-36A6-45AD-9E5F-FA168F1B2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70" name="Picture 11" descr=" ">
          <a:extLst>
            <a:ext uri="{FF2B5EF4-FFF2-40B4-BE49-F238E27FC236}">
              <a16:creationId xmlns:a16="http://schemas.microsoft.com/office/drawing/2014/main" id="{1338B420-3C9B-4B5D-ACD8-7F711D280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71" name="Picture 12" descr=" ">
          <a:extLst>
            <a:ext uri="{FF2B5EF4-FFF2-40B4-BE49-F238E27FC236}">
              <a16:creationId xmlns:a16="http://schemas.microsoft.com/office/drawing/2014/main" id="{DA7C1DDE-5DD9-43A3-8DD5-BF26A60FD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72" name="Picture 7" descr=" ">
          <a:extLst>
            <a:ext uri="{FF2B5EF4-FFF2-40B4-BE49-F238E27FC236}">
              <a16:creationId xmlns:a16="http://schemas.microsoft.com/office/drawing/2014/main" id="{41D35E53-6A42-40E9-9524-16591861C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73" name="Picture 8" descr=" ">
          <a:extLst>
            <a:ext uri="{FF2B5EF4-FFF2-40B4-BE49-F238E27FC236}">
              <a16:creationId xmlns:a16="http://schemas.microsoft.com/office/drawing/2014/main" id="{47DECCF7-8D3B-402E-A331-FB1CE982E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74" name="Picture 9" descr=" ">
          <a:extLst>
            <a:ext uri="{FF2B5EF4-FFF2-40B4-BE49-F238E27FC236}">
              <a16:creationId xmlns:a16="http://schemas.microsoft.com/office/drawing/2014/main" id="{B054A222-F3E8-437E-AF42-E66AE77F5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75" name="Picture 10" descr=" ">
          <a:extLst>
            <a:ext uri="{FF2B5EF4-FFF2-40B4-BE49-F238E27FC236}">
              <a16:creationId xmlns:a16="http://schemas.microsoft.com/office/drawing/2014/main" id="{971808BC-E66D-4120-95BA-A2C701B25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76" name="Picture 11" descr=" ">
          <a:extLst>
            <a:ext uri="{FF2B5EF4-FFF2-40B4-BE49-F238E27FC236}">
              <a16:creationId xmlns:a16="http://schemas.microsoft.com/office/drawing/2014/main" id="{887124CC-B3E0-484F-A3FD-5C8D71C5D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77" name="Picture 12" descr=" ">
          <a:extLst>
            <a:ext uri="{FF2B5EF4-FFF2-40B4-BE49-F238E27FC236}">
              <a16:creationId xmlns:a16="http://schemas.microsoft.com/office/drawing/2014/main" id="{DC34E21E-6402-4300-8207-9AA3D70CA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78" name="Picture 7" descr=" ">
          <a:extLst>
            <a:ext uri="{FF2B5EF4-FFF2-40B4-BE49-F238E27FC236}">
              <a16:creationId xmlns:a16="http://schemas.microsoft.com/office/drawing/2014/main" id="{6FB6BB44-959F-430E-9A2C-9DE32E500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79" name="Picture 8" descr=" ">
          <a:extLst>
            <a:ext uri="{FF2B5EF4-FFF2-40B4-BE49-F238E27FC236}">
              <a16:creationId xmlns:a16="http://schemas.microsoft.com/office/drawing/2014/main" id="{001DCF11-FF83-41EF-99D9-0141F7F29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80" name="Picture 9" descr=" ">
          <a:extLst>
            <a:ext uri="{FF2B5EF4-FFF2-40B4-BE49-F238E27FC236}">
              <a16:creationId xmlns:a16="http://schemas.microsoft.com/office/drawing/2014/main" id="{6C87D551-57F8-44E4-BDE3-2548FDBE7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81" name="Picture 10" descr=" ">
          <a:extLst>
            <a:ext uri="{FF2B5EF4-FFF2-40B4-BE49-F238E27FC236}">
              <a16:creationId xmlns:a16="http://schemas.microsoft.com/office/drawing/2014/main" id="{EFA3B8C2-6B7F-43F9-A3ED-2821BB151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82" name="Picture 11" descr=" ">
          <a:extLst>
            <a:ext uri="{FF2B5EF4-FFF2-40B4-BE49-F238E27FC236}">
              <a16:creationId xmlns:a16="http://schemas.microsoft.com/office/drawing/2014/main" id="{568A5592-F714-4B02-BB74-7B9884D2A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83" name="Picture 12" descr=" ">
          <a:extLst>
            <a:ext uri="{FF2B5EF4-FFF2-40B4-BE49-F238E27FC236}">
              <a16:creationId xmlns:a16="http://schemas.microsoft.com/office/drawing/2014/main" id="{1A5A5FDE-F251-4C23-A5EF-53DC5B929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84" name="Picture 7" descr=" ">
          <a:extLst>
            <a:ext uri="{FF2B5EF4-FFF2-40B4-BE49-F238E27FC236}">
              <a16:creationId xmlns:a16="http://schemas.microsoft.com/office/drawing/2014/main" id="{6D020B8D-6DA7-4E8E-A18B-5B81EA9AC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85" name="Picture 8" descr=" ">
          <a:extLst>
            <a:ext uri="{FF2B5EF4-FFF2-40B4-BE49-F238E27FC236}">
              <a16:creationId xmlns:a16="http://schemas.microsoft.com/office/drawing/2014/main" id="{918AC62A-D86B-454F-9DC0-158F6324F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86" name="Picture 9" descr=" ">
          <a:extLst>
            <a:ext uri="{FF2B5EF4-FFF2-40B4-BE49-F238E27FC236}">
              <a16:creationId xmlns:a16="http://schemas.microsoft.com/office/drawing/2014/main" id="{85CA2FAE-E163-41AE-956D-DE0D4228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87" name="Picture 10" descr=" ">
          <a:extLst>
            <a:ext uri="{FF2B5EF4-FFF2-40B4-BE49-F238E27FC236}">
              <a16:creationId xmlns:a16="http://schemas.microsoft.com/office/drawing/2014/main" id="{2F5ACFAE-87E5-4B62-94A8-C4D218BB7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88" name="Picture 11" descr=" ">
          <a:extLst>
            <a:ext uri="{FF2B5EF4-FFF2-40B4-BE49-F238E27FC236}">
              <a16:creationId xmlns:a16="http://schemas.microsoft.com/office/drawing/2014/main" id="{CE416636-B6AF-4440-A222-CD7334B93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89" name="Picture 12" descr=" ">
          <a:extLst>
            <a:ext uri="{FF2B5EF4-FFF2-40B4-BE49-F238E27FC236}">
              <a16:creationId xmlns:a16="http://schemas.microsoft.com/office/drawing/2014/main" id="{9BB8C481-7A43-499B-8AD0-C32DC379E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90" name="Picture 7" descr=" ">
          <a:extLst>
            <a:ext uri="{FF2B5EF4-FFF2-40B4-BE49-F238E27FC236}">
              <a16:creationId xmlns:a16="http://schemas.microsoft.com/office/drawing/2014/main" id="{B2D659C2-4C85-44CD-85B4-6D31FC2C4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91" name="Picture 8" descr=" ">
          <a:extLst>
            <a:ext uri="{FF2B5EF4-FFF2-40B4-BE49-F238E27FC236}">
              <a16:creationId xmlns:a16="http://schemas.microsoft.com/office/drawing/2014/main" id="{FDE48CE2-53DA-4FAD-9DE7-29A07EB3E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92" name="Picture 9" descr=" ">
          <a:extLst>
            <a:ext uri="{FF2B5EF4-FFF2-40B4-BE49-F238E27FC236}">
              <a16:creationId xmlns:a16="http://schemas.microsoft.com/office/drawing/2014/main" id="{4BA90767-78FA-4861-95A8-010D9375F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93" name="Picture 10" descr=" ">
          <a:extLst>
            <a:ext uri="{FF2B5EF4-FFF2-40B4-BE49-F238E27FC236}">
              <a16:creationId xmlns:a16="http://schemas.microsoft.com/office/drawing/2014/main" id="{C5E1B724-ABEF-4C01-920B-CCAE4A3C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94" name="Picture 11" descr=" ">
          <a:extLst>
            <a:ext uri="{FF2B5EF4-FFF2-40B4-BE49-F238E27FC236}">
              <a16:creationId xmlns:a16="http://schemas.microsoft.com/office/drawing/2014/main" id="{A936DFD8-7D9C-4200-B81A-5B9ECC102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95" name="Picture 12" descr=" ">
          <a:extLst>
            <a:ext uri="{FF2B5EF4-FFF2-40B4-BE49-F238E27FC236}">
              <a16:creationId xmlns:a16="http://schemas.microsoft.com/office/drawing/2014/main" id="{6343AE20-4C2A-4CF7-A3E7-D3AC838AA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96" name="Picture 7" descr=" ">
          <a:extLst>
            <a:ext uri="{FF2B5EF4-FFF2-40B4-BE49-F238E27FC236}">
              <a16:creationId xmlns:a16="http://schemas.microsoft.com/office/drawing/2014/main" id="{878840CE-5092-47D2-8EF0-CA98A3164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97" name="Picture 8" descr=" ">
          <a:extLst>
            <a:ext uri="{FF2B5EF4-FFF2-40B4-BE49-F238E27FC236}">
              <a16:creationId xmlns:a16="http://schemas.microsoft.com/office/drawing/2014/main" id="{1C4D77A5-DE6F-41FB-8D3C-E6C20833E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98" name="Picture 9" descr=" ">
          <a:extLst>
            <a:ext uri="{FF2B5EF4-FFF2-40B4-BE49-F238E27FC236}">
              <a16:creationId xmlns:a16="http://schemas.microsoft.com/office/drawing/2014/main" id="{3B74C043-82C8-4ACE-89DE-3CBECC59F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799" name="Picture 10" descr=" ">
          <a:extLst>
            <a:ext uri="{FF2B5EF4-FFF2-40B4-BE49-F238E27FC236}">
              <a16:creationId xmlns:a16="http://schemas.microsoft.com/office/drawing/2014/main" id="{298CECDB-4D3E-4A6D-B51A-BF18CC89D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00" name="Picture 11" descr=" ">
          <a:extLst>
            <a:ext uri="{FF2B5EF4-FFF2-40B4-BE49-F238E27FC236}">
              <a16:creationId xmlns:a16="http://schemas.microsoft.com/office/drawing/2014/main" id="{5E6B6FAD-9923-4167-B6A6-F29FA3519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01" name="Picture 12" descr=" ">
          <a:extLst>
            <a:ext uri="{FF2B5EF4-FFF2-40B4-BE49-F238E27FC236}">
              <a16:creationId xmlns:a16="http://schemas.microsoft.com/office/drawing/2014/main" id="{65CCA3DA-3688-4D3D-9B42-9449F2B9F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02" name="Picture 7" descr=" ">
          <a:extLst>
            <a:ext uri="{FF2B5EF4-FFF2-40B4-BE49-F238E27FC236}">
              <a16:creationId xmlns:a16="http://schemas.microsoft.com/office/drawing/2014/main" id="{67B0C7DA-4006-40EE-8D23-1DDD1022B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03" name="Picture 8" descr=" ">
          <a:extLst>
            <a:ext uri="{FF2B5EF4-FFF2-40B4-BE49-F238E27FC236}">
              <a16:creationId xmlns:a16="http://schemas.microsoft.com/office/drawing/2014/main" id="{736670F3-DAD2-4AFE-A07F-F2D5C4111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04" name="Picture 9" descr=" ">
          <a:extLst>
            <a:ext uri="{FF2B5EF4-FFF2-40B4-BE49-F238E27FC236}">
              <a16:creationId xmlns:a16="http://schemas.microsoft.com/office/drawing/2014/main" id="{A77680CB-B22C-4506-9AFF-355020A2F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05" name="Picture 10" descr=" ">
          <a:extLst>
            <a:ext uri="{FF2B5EF4-FFF2-40B4-BE49-F238E27FC236}">
              <a16:creationId xmlns:a16="http://schemas.microsoft.com/office/drawing/2014/main" id="{7E09269F-4A5E-4804-9FD3-866612F6C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06" name="Picture 11" descr=" ">
          <a:extLst>
            <a:ext uri="{FF2B5EF4-FFF2-40B4-BE49-F238E27FC236}">
              <a16:creationId xmlns:a16="http://schemas.microsoft.com/office/drawing/2014/main" id="{23F9A280-915E-4A07-91E5-C0100BA42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07" name="Picture 12" descr=" ">
          <a:extLst>
            <a:ext uri="{FF2B5EF4-FFF2-40B4-BE49-F238E27FC236}">
              <a16:creationId xmlns:a16="http://schemas.microsoft.com/office/drawing/2014/main" id="{89575C73-A203-4CE1-B722-C1AC06F0B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08" name="Picture 7" descr=" ">
          <a:extLst>
            <a:ext uri="{FF2B5EF4-FFF2-40B4-BE49-F238E27FC236}">
              <a16:creationId xmlns:a16="http://schemas.microsoft.com/office/drawing/2014/main" id="{D35647AC-5813-4A43-9E0B-14E6043B8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09" name="Picture 8" descr=" ">
          <a:extLst>
            <a:ext uri="{FF2B5EF4-FFF2-40B4-BE49-F238E27FC236}">
              <a16:creationId xmlns:a16="http://schemas.microsoft.com/office/drawing/2014/main" id="{11A4734F-938A-48BB-86C2-EF1751BA7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10" name="Picture 9" descr=" ">
          <a:extLst>
            <a:ext uri="{FF2B5EF4-FFF2-40B4-BE49-F238E27FC236}">
              <a16:creationId xmlns:a16="http://schemas.microsoft.com/office/drawing/2014/main" id="{AECC2EBF-440F-4260-8311-68294831D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11" name="Picture 10" descr=" ">
          <a:extLst>
            <a:ext uri="{FF2B5EF4-FFF2-40B4-BE49-F238E27FC236}">
              <a16:creationId xmlns:a16="http://schemas.microsoft.com/office/drawing/2014/main" id="{EF2AF724-BAC9-40BE-BA10-0CCD89F28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12" name="Picture 11" descr=" ">
          <a:extLst>
            <a:ext uri="{FF2B5EF4-FFF2-40B4-BE49-F238E27FC236}">
              <a16:creationId xmlns:a16="http://schemas.microsoft.com/office/drawing/2014/main" id="{4069D751-6156-414C-AA84-B92FDF7F2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13" name="Picture 12" descr=" ">
          <a:extLst>
            <a:ext uri="{FF2B5EF4-FFF2-40B4-BE49-F238E27FC236}">
              <a16:creationId xmlns:a16="http://schemas.microsoft.com/office/drawing/2014/main" id="{049CE15C-F6F5-4A71-8341-983935B8B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14" name="Picture 7" descr=" ">
          <a:extLst>
            <a:ext uri="{FF2B5EF4-FFF2-40B4-BE49-F238E27FC236}">
              <a16:creationId xmlns:a16="http://schemas.microsoft.com/office/drawing/2014/main" id="{5EBB3F29-1FC1-41CA-90C5-C3C75EB58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15" name="Picture 8" descr=" ">
          <a:extLst>
            <a:ext uri="{FF2B5EF4-FFF2-40B4-BE49-F238E27FC236}">
              <a16:creationId xmlns:a16="http://schemas.microsoft.com/office/drawing/2014/main" id="{3046D5EB-0960-4D29-8ECC-98544F980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16" name="Picture 9" descr=" ">
          <a:extLst>
            <a:ext uri="{FF2B5EF4-FFF2-40B4-BE49-F238E27FC236}">
              <a16:creationId xmlns:a16="http://schemas.microsoft.com/office/drawing/2014/main" id="{7511EA78-87BD-4E64-BA9E-5E8817B51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17" name="Picture 10" descr=" ">
          <a:extLst>
            <a:ext uri="{FF2B5EF4-FFF2-40B4-BE49-F238E27FC236}">
              <a16:creationId xmlns:a16="http://schemas.microsoft.com/office/drawing/2014/main" id="{B9B081A8-8C74-4113-B952-3C2302BD0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18" name="Picture 11" descr=" ">
          <a:extLst>
            <a:ext uri="{FF2B5EF4-FFF2-40B4-BE49-F238E27FC236}">
              <a16:creationId xmlns:a16="http://schemas.microsoft.com/office/drawing/2014/main" id="{21245A26-8C31-432C-A5CF-2239572EC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19" name="Picture 12" descr=" ">
          <a:extLst>
            <a:ext uri="{FF2B5EF4-FFF2-40B4-BE49-F238E27FC236}">
              <a16:creationId xmlns:a16="http://schemas.microsoft.com/office/drawing/2014/main" id="{8158CE1D-B372-449F-AD23-3FC09B49C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20" name="Picture 7" descr=" ">
          <a:extLst>
            <a:ext uri="{FF2B5EF4-FFF2-40B4-BE49-F238E27FC236}">
              <a16:creationId xmlns:a16="http://schemas.microsoft.com/office/drawing/2014/main" id="{3E2E7879-7094-4C48-B854-E0562D81F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21" name="Picture 8" descr=" ">
          <a:extLst>
            <a:ext uri="{FF2B5EF4-FFF2-40B4-BE49-F238E27FC236}">
              <a16:creationId xmlns:a16="http://schemas.microsoft.com/office/drawing/2014/main" id="{A4BE2A94-BA40-40EA-99D3-FEBBFC69B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22" name="Picture 9" descr=" ">
          <a:extLst>
            <a:ext uri="{FF2B5EF4-FFF2-40B4-BE49-F238E27FC236}">
              <a16:creationId xmlns:a16="http://schemas.microsoft.com/office/drawing/2014/main" id="{3DAC4AF3-CE09-405C-8152-1B297C62B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23" name="Picture 10" descr=" ">
          <a:extLst>
            <a:ext uri="{FF2B5EF4-FFF2-40B4-BE49-F238E27FC236}">
              <a16:creationId xmlns:a16="http://schemas.microsoft.com/office/drawing/2014/main" id="{BDEA35A8-4DF3-4DC0-A31A-94987C16C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24" name="Picture 11" descr=" ">
          <a:extLst>
            <a:ext uri="{FF2B5EF4-FFF2-40B4-BE49-F238E27FC236}">
              <a16:creationId xmlns:a16="http://schemas.microsoft.com/office/drawing/2014/main" id="{5616F876-4EDA-4ACE-9A65-91E726DC4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25" name="Picture 12" descr=" ">
          <a:extLst>
            <a:ext uri="{FF2B5EF4-FFF2-40B4-BE49-F238E27FC236}">
              <a16:creationId xmlns:a16="http://schemas.microsoft.com/office/drawing/2014/main" id="{E49FE350-9B14-4493-B570-EDA909393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26" name="Picture 7" descr=" ">
          <a:extLst>
            <a:ext uri="{FF2B5EF4-FFF2-40B4-BE49-F238E27FC236}">
              <a16:creationId xmlns:a16="http://schemas.microsoft.com/office/drawing/2014/main" id="{7B3E485E-B0B7-447B-B732-4478A7EA2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27" name="Picture 8" descr=" ">
          <a:extLst>
            <a:ext uri="{FF2B5EF4-FFF2-40B4-BE49-F238E27FC236}">
              <a16:creationId xmlns:a16="http://schemas.microsoft.com/office/drawing/2014/main" id="{A22B99A2-EED9-4B1A-B448-16E5ECFBF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28" name="Picture 9" descr=" ">
          <a:extLst>
            <a:ext uri="{FF2B5EF4-FFF2-40B4-BE49-F238E27FC236}">
              <a16:creationId xmlns:a16="http://schemas.microsoft.com/office/drawing/2014/main" id="{B83706CA-C01B-4FC5-8EFF-5F1E42F48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29" name="Picture 10" descr=" ">
          <a:extLst>
            <a:ext uri="{FF2B5EF4-FFF2-40B4-BE49-F238E27FC236}">
              <a16:creationId xmlns:a16="http://schemas.microsoft.com/office/drawing/2014/main" id="{FD919B01-06AB-4517-826F-8C837FC8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30" name="Picture 11" descr=" ">
          <a:extLst>
            <a:ext uri="{FF2B5EF4-FFF2-40B4-BE49-F238E27FC236}">
              <a16:creationId xmlns:a16="http://schemas.microsoft.com/office/drawing/2014/main" id="{44729FF5-89B2-4E5B-9D5F-34A5D5499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31" name="Picture 12" descr=" ">
          <a:extLst>
            <a:ext uri="{FF2B5EF4-FFF2-40B4-BE49-F238E27FC236}">
              <a16:creationId xmlns:a16="http://schemas.microsoft.com/office/drawing/2014/main" id="{982AB8BB-D745-4A7A-BD0E-F23A84AD0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32" name="Picture 7" descr=" ">
          <a:extLst>
            <a:ext uri="{FF2B5EF4-FFF2-40B4-BE49-F238E27FC236}">
              <a16:creationId xmlns:a16="http://schemas.microsoft.com/office/drawing/2014/main" id="{4E026891-9ED2-45DA-AA0B-15FA2E5D2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33" name="Picture 8" descr=" ">
          <a:extLst>
            <a:ext uri="{FF2B5EF4-FFF2-40B4-BE49-F238E27FC236}">
              <a16:creationId xmlns:a16="http://schemas.microsoft.com/office/drawing/2014/main" id="{E0C8A466-0607-4175-8579-F6B67B5AA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34" name="Picture 9" descr=" ">
          <a:extLst>
            <a:ext uri="{FF2B5EF4-FFF2-40B4-BE49-F238E27FC236}">
              <a16:creationId xmlns:a16="http://schemas.microsoft.com/office/drawing/2014/main" id="{8ADBA9F1-3743-4E4B-9A7E-920255D21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35" name="Picture 10" descr=" ">
          <a:extLst>
            <a:ext uri="{FF2B5EF4-FFF2-40B4-BE49-F238E27FC236}">
              <a16:creationId xmlns:a16="http://schemas.microsoft.com/office/drawing/2014/main" id="{0BFB52CD-443C-44D7-B138-4BA704747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36" name="Picture 11" descr=" ">
          <a:extLst>
            <a:ext uri="{FF2B5EF4-FFF2-40B4-BE49-F238E27FC236}">
              <a16:creationId xmlns:a16="http://schemas.microsoft.com/office/drawing/2014/main" id="{86150298-B621-45C9-9C8D-E2E665D5F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37" name="Picture 12" descr=" ">
          <a:extLst>
            <a:ext uri="{FF2B5EF4-FFF2-40B4-BE49-F238E27FC236}">
              <a16:creationId xmlns:a16="http://schemas.microsoft.com/office/drawing/2014/main" id="{6BDC8660-74C0-4EB6-9A9D-EBA2321D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38" name="Picture 7" descr=" ">
          <a:extLst>
            <a:ext uri="{FF2B5EF4-FFF2-40B4-BE49-F238E27FC236}">
              <a16:creationId xmlns:a16="http://schemas.microsoft.com/office/drawing/2014/main" id="{9E82D126-B231-463C-9E38-4C5E58C5D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39" name="Picture 8" descr=" ">
          <a:extLst>
            <a:ext uri="{FF2B5EF4-FFF2-40B4-BE49-F238E27FC236}">
              <a16:creationId xmlns:a16="http://schemas.microsoft.com/office/drawing/2014/main" id="{E5D14817-47C0-4F5F-A1D8-96DE8D01E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40" name="Picture 9" descr=" ">
          <a:extLst>
            <a:ext uri="{FF2B5EF4-FFF2-40B4-BE49-F238E27FC236}">
              <a16:creationId xmlns:a16="http://schemas.microsoft.com/office/drawing/2014/main" id="{37D2D202-4F7D-41D9-A1AF-58DD841BD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41" name="Picture 10" descr=" ">
          <a:extLst>
            <a:ext uri="{FF2B5EF4-FFF2-40B4-BE49-F238E27FC236}">
              <a16:creationId xmlns:a16="http://schemas.microsoft.com/office/drawing/2014/main" id="{8970F188-C363-44B7-86F9-207274EA2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42" name="Picture 11" descr=" ">
          <a:extLst>
            <a:ext uri="{FF2B5EF4-FFF2-40B4-BE49-F238E27FC236}">
              <a16:creationId xmlns:a16="http://schemas.microsoft.com/office/drawing/2014/main" id="{03B3FFE7-B9FF-4AB3-918B-E5725D933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43" name="Picture 12" descr=" ">
          <a:extLst>
            <a:ext uri="{FF2B5EF4-FFF2-40B4-BE49-F238E27FC236}">
              <a16:creationId xmlns:a16="http://schemas.microsoft.com/office/drawing/2014/main" id="{89369288-C09E-4910-93C5-0BE71C3D1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44" name="Picture 7" descr=" ">
          <a:extLst>
            <a:ext uri="{FF2B5EF4-FFF2-40B4-BE49-F238E27FC236}">
              <a16:creationId xmlns:a16="http://schemas.microsoft.com/office/drawing/2014/main" id="{66D9ABAC-1EF5-4B5C-8706-28D03BE23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45" name="Picture 8" descr=" ">
          <a:extLst>
            <a:ext uri="{FF2B5EF4-FFF2-40B4-BE49-F238E27FC236}">
              <a16:creationId xmlns:a16="http://schemas.microsoft.com/office/drawing/2014/main" id="{626E3E80-9580-4F88-ADA5-7147DD423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46" name="Picture 9" descr=" ">
          <a:extLst>
            <a:ext uri="{FF2B5EF4-FFF2-40B4-BE49-F238E27FC236}">
              <a16:creationId xmlns:a16="http://schemas.microsoft.com/office/drawing/2014/main" id="{4394F737-0E31-4BF1-940A-817465060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47" name="Picture 10" descr=" ">
          <a:extLst>
            <a:ext uri="{FF2B5EF4-FFF2-40B4-BE49-F238E27FC236}">
              <a16:creationId xmlns:a16="http://schemas.microsoft.com/office/drawing/2014/main" id="{35729CB4-5137-48D9-AACC-D8D885DCB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48" name="Picture 11" descr=" ">
          <a:extLst>
            <a:ext uri="{FF2B5EF4-FFF2-40B4-BE49-F238E27FC236}">
              <a16:creationId xmlns:a16="http://schemas.microsoft.com/office/drawing/2014/main" id="{5D398346-29D0-4D9A-807F-F187B1AAA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49" name="Picture 12" descr=" ">
          <a:extLst>
            <a:ext uri="{FF2B5EF4-FFF2-40B4-BE49-F238E27FC236}">
              <a16:creationId xmlns:a16="http://schemas.microsoft.com/office/drawing/2014/main" id="{F2B7B002-FCDD-4270-8345-77D0E7732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50" name="Picture 7" descr=" ">
          <a:extLst>
            <a:ext uri="{FF2B5EF4-FFF2-40B4-BE49-F238E27FC236}">
              <a16:creationId xmlns:a16="http://schemas.microsoft.com/office/drawing/2014/main" id="{D20727E7-399B-4D97-9FA8-9D6320B33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51" name="Picture 8" descr=" ">
          <a:extLst>
            <a:ext uri="{FF2B5EF4-FFF2-40B4-BE49-F238E27FC236}">
              <a16:creationId xmlns:a16="http://schemas.microsoft.com/office/drawing/2014/main" id="{CB3110A3-DD3A-47BE-86C9-01401A7BC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52" name="Picture 9" descr=" ">
          <a:extLst>
            <a:ext uri="{FF2B5EF4-FFF2-40B4-BE49-F238E27FC236}">
              <a16:creationId xmlns:a16="http://schemas.microsoft.com/office/drawing/2014/main" id="{6E697FEC-E3B0-4E9C-859A-7FD240AAD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53" name="Picture 10" descr=" ">
          <a:extLst>
            <a:ext uri="{FF2B5EF4-FFF2-40B4-BE49-F238E27FC236}">
              <a16:creationId xmlns:a16="http://schemas.microsoft.com/office/drawing/2014/main" id="{B332709E-3515-457E-8FD5-BFF70E4DC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54" name="Picture 11" descr=" ">
          <a:extLst>
            <a:ext uri="{FF2B5EF4-FFF2-40B4-BE49-F238E27FC236}">
              <a16:creationId xmlns:a16="http://schemas.microsoft.com/office/drawing/2014/main" id="{E9E8A41E-3026-471F-8261-B57B2CB38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55" name="Picture 12" descr=" ">
          <a:extLst>
            <a:ext uri="{FF2B5EF4-FFF2-40B4-BE49-F238E27FC236}">
              <a16:creationId xmlns:a16="http://schemas.microsoft.com/office/drawing/2014/main" id="{B6EF6E47-6926-4B2F-A673-E1CB18D48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56" name="Picture 7" descr=" ">
          <a:extLst>
            <a:ext uri="{FF2B5EF4-FFF2-40B4-BE49-F238E27FC236}">
              <a16:creationId xmlns:a16="http://schemas.microsoft.com/office/drawing/2014/main" id="{4B5A2518-D73A-4047-912C-F52224139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57" name="Picture 8" descr=" ">
          <a:extLst>
            <a:ext uri="{FF2B5EF4-FFF2-40B4-BE49-F238E27FC236}">
              <a16:creationId xmlns:a16="http://schemas.microsoft.com/office/drawing/2014/main" id="{D48E5542-0BA4-4973-8E8F-20F001A3C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58" name="Picture 9" descr=" ">
          <a:extLst>
            <a:ext uri="{FF2B5EF4-FFF2-40B4-BE49-F238E27FC236}">
              <a16:creationId xmlns:a16="http://schemas.microsoft.com/office/drawing/2014/main" id="{9279FE39-2D69-4543-8D84-D8596BBF6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59" name="Picture 10" descr=" ">
          <a:extLst>
            <a:ext uri="{FF2B5EF4-FFF2-40B4-BE49-F238E27FC236}">
              <a16:creationId xmlns:a16="http://schemas.microsoft.com/office/drawing/2014/main" id="{9BBB4EEF-95B2-468A-A7BB-345C8439F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60" name="Picture 11" descr=" ">
          <a:extLst>
            <a:ext uri="{FF2B5EF4-FFF2-40B4-BE49-F238E27FC236}">
              <a16:creationId xmlns:a16="http://schemas.microsoft.com/office/drawing/2014/main" id="{CE61D35E-DBD1-4BC9-A019-B88C3E98C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61" name="Picture 12" descr=" ">
          <a:extLst>
            <a:ext uri="{FF2B5EF4-FFF2-40B4-BE49-F238E27FC236}">
              <a16:creationId xmlns:a16="http://schemas.microsoft.com/office/drawing/2014/main" id="{677DE823-74D2-4F07-983C-5A5B8CF8D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62" name="Picture 7" descr=" ">
          <a:extLst>
            <a:ext uri="{FF2B5EF4-FFF2-40B4-BE49-F238E27FC236}">
              <a16:creationId xmlns:a16="http://schemas.microsoft.com/office/drawing/2014/main" id="{BBAB8167-1CEA-4B38-849D-1C0007741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63" name="Picture 8" descr=" ">
          <a:extLst>
            <a:ext uri="{FF2B5EF4-FFF2-40B4-BE49-F238E27FC236}">
              <a16:creationId xmlns:a16="http://schemas.microsoft.com/office/drawing/2014/main" id="{8E594E6A-F393-4BFF-948B-67B147EBA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64" name="Picture 9" descr=" ">
          <a:extLst>
            <a:ext uri="{FF2B5EF4-FFF2-40B4-BE49-F238E27FC236}">
              <a16:creationId xmlns:a16="http://schemas.microsoft.com/office/drawing/2014/main" id="{610CB6CD-F826-4037-8CBE-46AC27DB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65" name="Picture 10" descr=" ">
          <a:extLst>
            <a:ext uri="{FF2B5EF4-FFF2-40B4-BE49-F238E27FC236}">
              <a16:creationId xmlns:a16="http://schemas.microsoft.com/office/drawing/2014/main" id="{26307B1B-C121-4C77-8F8F-A642B5076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66" name="Picture 11" descr=" ">
          <a:extLst>
            <a:ext uri="{FF2B5EF4-FFF2-40B4-BE49-F238E27FC236}">
              <a16:creationId xmlns:a16="http://schemas.microsoft.com/office/drawing/2014/main" id="{72260D2B-CA22-4347-AB4B-E0B7080DF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67" name="Picture 12" descr=" ">
          <a:extLst>
            <a:ext uri="{FF2B5EF4-FFF2-40B4-BE49-F238E27FC236}">
              <a16:creationId xmlns:a16="http://schemas.microsoft.com/office/drawing/2014/main" id="{EE70A443-5A1C-47E1-BD8D-FB585CB2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68" name="Picture 7" descr=" ">
          <a:extLst>
            <a:ext uri="{FF2B5EF4-FFF2-40B4-BE49-F238E27FC236}">
              <a16:creationId xmlns:a16="http://schemas.microsoft.com/office/drawing/2014/main" id="{311547BA-3E13-4CFC-A5FD-A985B17C9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69" name="Picture 8" descr=" ">
          <a:extLst>
            <a:ext uri="{FF2B5EF4-FFF2-40B4-BE49-F238E27FC236}">
              <a16:creationId xmlns:a16="http://schemas.microsoft.com/office/drawing/2014/main" id="{74E341EB-53E6-4CBF-99FB-2DA75F97B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70" name="Picture 9" descr=" ">
          <a:extLst>
            <a:ext uri="{FF2B5EF4-FFF2-40B4-BE49-F238E27FC236}">
              <a16:creationId xmlns:a16="http://schemas.microsoft.com/office/drawing/2014/main" id="{9D39CF6D-CFEA-4388-8303-4139684EC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71" name="Picture 10" descr=" ">
          <a:extLst>
            <a:ext uri="{FF2B5EF4-FFF2-40B4-BE49-F238E27FC236}">
              <a16:creationId xmlns:a16="http://schemas.microsoft.com/office/drawing/2014/main" id="{6C323CB0-49AD-49F5-9AA7-8C2BC6C06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72" name="Picture 11" descr=" ">
          <a:extLst>
            <a:ext uri="{FF2B5EF4-FFF2-40B4-BE49-F238E27FC236}">
              <a16:creationId xmlns:a16="http://schemas.microsoft.com/office/drawing/2014/main" id="{2F93E903-BA75-4209-88F5-E5FE48FEF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73" name="Picture 12" descr=" ">
          <a:extLst>
            <a:ext uri="{FF2B5EF4-FFF2-40B4-BE49-F238E27FC236}">
              <a16:creationId xmlns:a16="http://schemas.microsoft.com/office/drawing/2014/main" id="{B6F9C2DB-0648-4E18-85E5-AA9163EE5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74" name="Picture 7" descr=" ">
          <a:extLst>
            <a:ext uri="{FF2B5EF4-FFF2-40B4-BE49-F238E27FC236}">
              <a16:creationId xmlns:a16="http://schemas.microsoft.com/office/drawing/2014/main" id="{A7925A2A-8844-440E-AC33-0D381ED43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75" name="Picture 8" descr=" ">
          <a:extLst>
            <a:ext uri="{FF2B5EF4-FFF2-40B4-BE49-F238E27FC236}">
              <a16:creationId xmlns:a16="http://schemas.microsoft.com/office/drawing/2014/main" id="{A54CBF00-7087-45EC-BDCD-6CDE9783D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76" name="Picture 9" descr=" ">
          <a:extLst>
            <a:ext uri="{FF2B5EF4-FFF2-40B4-BE49-F238E27FC236}">
              <a16:creationId xmlns:a16="http://schemas.microsoft.com/office/drawing/2014/main" id="{051017F2-F71A-4631-A072-EA144987B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77" name="Picture 10" descr=" ">
          <a:extLst>
            <a:ext uri="{FF2B5EF4-FFF2-40B4-BE49-F238E27FC236}">
              <a16:creationId xmlns:a16="http://schemas.microsoft.com/office/drawing/2014/main" id="{EF8983BD-1856-4B1B-AD35-378B2D216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78" name="Picture 11" descr=" ">
          <a:extLst>
            <a:ext uri="{FF2B5EF4-FFF2-40B4-BE49-F238E27FC236}">
              <a16:creationId xmlns:a16="http://schemas.microsoft.com/office/drawing/2014/main" id="{191B97A1-510E-4730-B377-4A2B72F31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79" name="Picture 12" descr=" ">
          <a:extLst>
            <a:ext uri="{FF2B5EF4-FFF2-40B4-BE49-F238E27FC236}">
              <a16:creationId xmlns:a16="http://schemas.microsoft.com/office/drawing/2014/main" id="{46067830-36A3-40DD-AD04-5CEF79046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80" name="Picture 7" descr=" ">
          <a:extLst>
            <a:ext uri="{FF2B5EF4-FFF2-40B4-BE49-F238E27FC236}">
              <a16:creationId xmlns:a16="http://schemas.microsoft.com/office/drawing/2014/main" id="{396BBF8E-BEDA-4737-B8B4-5830F7E12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81" name="Picture 8" descr=" ">
          <a:extLst>
            <a:ext uri="{FF2B5EF4-FFF2-40B4-BE49-F238E27FC236}">
              <a16:creationId xmlns:a16="http://schemas.microsoft.com/office/drawing/2014/main" id="{1FBB0AE6-9F07-4EEC-8449-BC07820AD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82" name="Picture 9" descr=" ">
          <a:extLst>
            <a:ext uri="{FF2B5EF4-FFF2-40B4-BE49-F238E27FC236}">
              <a16:creationId xmlns:a16="http://schemas.microsoft.com/office/drawing/2014/main" id="{5F713F15-30BC-48CB-A774-6654083D0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83" name="Picture 10" descr=" ">
          <a:extLst>
            <a:ext uri="{FF2B5EF4-FFF2-40B4-BE49-F238E27FC236}">
              <a16:creationId xmlns:a16="http://schemas.microsoft.com/office/drawing/2014/main" id="{C6BF9065-5F33-4503-BDA2-D1E24B29A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84" name="Picture 11" descr=" ">
          <a:extLst>
            <a:ext uri="{FF2B5EF4-FFF2-40B4-BE49-F238E27FC236}">
              <a16:creationId xmlns:a16="http://schemas.microsoft.com/office/drawing/2014/main" id="{A16E098B-016D-49B9-A261-C626ADE0F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85" name="Picture 12" descr=" ">
          <a:extLst>
            <a:ext uri="{FF2B5EF4-FFF2-40B4-BE49-F238E27FC236}">
              <a16:creationId xmlns:a16="http://schemas.microsoft.com/office/drawing/2014/main" id="{14753C84-F07F-47E3-9CFD-AC82A6096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86" name="Picture 7" descr=" ">
          <a:extLst>
            <a:ext uri="{FF2B5EF4-FFF2-40B4-BE49-F238E27FC236}">
              <a16:creationId xmlns:a16="http://schemas.microsoft.com/office/drawing/2014/main" id="{84EB703E-AC66-489E-9B39-C88870E3D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87" name="Picture 8" descr=" ">
          <a:extLst>
            <a:ext uri="{FF2B5EF4-FFF2-40B4-BE49-F238E27FC236}">
              <a16:creationId xmlns:a16="http://schemas.microsoft.com/office/drawing/2014/main" id="{D423B94B-B3CD-49EE-A1C0-E3946D506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88" name="Picture 9" descr=" ">
          <a:extLst>
            <a:ext uri="{FF2B5EF4-FFF2-40B4-BE49-F238E27FC236}">
              <a16:creationId xmlns:a16="http://schemas.microsoft.com/office/drawing/2014/main" id="{C33EDFE4-E2D1-4C7F-8889-AD9817AF6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89" name="Picture 10" descr=" ">
          <a:extLst>
            <a:ext uri="{FF2B5EF4-FFF2-40B4-BE49-F238E27FC236}">
              <a16:creationId xmlns:a16="http://schemas.microsoft.com/office/drawing/2014/main" id="{C7D4B2DE-AA7B-4C74-B952-5FBEBF132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90" name="Picture 11" descr=" ">
          <a:extLst>
            <a:ext uri="{FF2B5EF4-FFF2-40B4-BE49-F238E27FC236}">
              <a16:creationId xmlns:a16="http://schemas.microsoft.com/office/drawing/2014/main" id="{E7475035-BBAE-4968-B292-18500EA80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91" name="Picture 12" descr=" ">
          <a:extLst>
            <a:ext uri="{FF2B5EF4-FFF2-40B4-BE49-F238E27FC236}">
              <a16:creationId xmlns:a16="http://schemas.microsoft.com/office/drawing/2014/main" id="{60EEA9EA-0B5E-491A-B7E9-972D3553E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92" name="Picture 7" descr=" ">
          <a:extLst>
            <a:ext uri="{FF2B5EF4-FFF2-40B4-BE49-F238E27FC236}">
              <a16:creationId xmlns:a16="http://schemas.microsoft.com/office/drawing/2014/main" id="{0AE580AB-D2AE-413D-A53B-10ABB3C47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93" name="Picture 8" descr=" ">
          <a:extLst>
            <a:ext uri="{FF2B5EF4-FFF2-40B4-BE49-F238E27FC236}">
              <a16:creationId xmlns:a16="http://schemas.microsoft.com/office/drawing/2014/main" id="{85DFA4E0-EA93-4D80-A98E-53FAC1C03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94" name="Picture 9" descr=" ">
          <a:extLst>
            <a:ext uri="{FF2B5EF4-FFF2-40B4-BE49-F238E27FC236}">
              <a16:creationId xmlns:a16="http://schemas.microsoft.com/office/drawing/2014/main" id="{DAFA5801-C985-4F5D-92E4-CF2ADC88B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95" name="Picture 10" descr=" ">
          <a:extLst>
            <a:ext uri="{FF2B5EF4-FFF2-40B4-BE49-F238E27FC236}">
              <a16:creationId xmlns:a16="http://schemas.microsoft.com/office/drawing/2014/main" id="{863B7A93-F79E-45D3-84FD-57A96EDAD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96" name="Picture 11" descr=" ">
          <a:extLst>
            <a:ext uri="{FF2B5EF4-FFF2-40B4-BE49-F238E27FC236}">
              <a16:creationId xmlns:a16="http://schemas.microsoft.com/office/drawing/2014/main" id="{62A23D36-0192-42D5-A99B-0FB118682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97" name="Picture 12" descr=" ">
          <a:extLst>
            <a:ext uri="{FF2B5EF4-FFF2-40B4-BE49-F238E27FC236}">
              <a16:creationId xmlns:a16="http://schemas.microsoft.com/office/drawing/2014/main" id="{C357A179-8C5F-47F0-9BF9-5F2EBC7A6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98" name="Picture 7" descr=" ">
          <a:extLst>
            <a:ext uri="{FF2B5EF4-FFF2-40B4-BE49-F238E27FC236}">
              <a16:creationId xmlns:a16="http://schemas.microsoft.com/office/drawing/2014/main" id="{7E279630-FDFB-49E0-B409-624CB8581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899" name="Picture 8" descr=" ">
          <a:extLst>
            <a:ext uri="{FF2B5EF4-FFF2-40B4-BE49-F238E27FC236}">
              <a16:creationId xmlns:a16="http://schemas.microsoft.com/office/drawing/2014/main" id="{3498D149-B5FF-4555-B51E-8C5EFD30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900" name="Picture 9" descr=" ">
          <a:extLst>
            <a:ext uri="{FF2B5EF4-FFF2-40B4-BE49-F238E27FC236}">
              <a16:creationId xmlns:a16="http://schemas.microsoft.com/office/drawing/2014/main" id="{202959B3-9F71-4F6E-A66E-CF983CA6A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901" name="Picture 10" descr=" ">
          <a:extLst>
            <a:ext uri="{FF2B5EF4-FFF2-40B4-BE49-F238E27FC236}">
              <a16:creationId xmlns:a16="http://schemas.microsoft.com/office/drawing/2014/main" id="{F5C71C0C-953F-4AD3-97C4-4F063AD6F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902" name="Picture 11" descr=" ">
          <a:extLst>
            <a:ext uri="{FF2B5EF4-FFF2-40B4-BE49-F238E27FC236}">
              <a16:creationId xmlns:a16="http://schemas.microsoft.com/office/drawing/2014/main" id="{FB931625-42B8-4408-A95D-4322F9682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903" name="Picture 12" descr=" ">
          <a:extLst>
            <a:ext uri="{FF2B5EF4-FFF2-40B4-BE49-F238E27FC236}">
              <a16:creationId xmlns:a16="http://schemas.microsoft.com/office/drawing/2014/main" id="{B7616BC1-2D72-4650-BB71-FFA8DC8CA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904" name="Picture 7" descr=" ">
          <a:extLst>
            <a:ext uri="{FF2B5EF4-FFF2-40B4-BE49-F238E27FC236}">
              <a16:creationId xmlns:a16="http://schemas.microsoft.com/office/drawing/2014/main" id="{533D3601-B659-43D5-AFE2-7C8DA5501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905" name="Picture 8" descr=" ">
          <a:extLst>
            <a:ext uri="{FF2B5EF4-FFF2-40B4-BE49-F238E27FC236}">
              <a16:creationId xmlns:a16="http://schemas.microsoft.com/office/drawing/2014/main" id="{4E0378AD-906D-4283-9819-20208ED98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906" name="Picture 9" descr=" ">
          <a:extLst>
            <a:ext uri="{FF2B5EF4-FFF2-40B4-BE49-F238E27FC236}">
              <a16:creationId xmlns:a16="http://schemas.microsoft.com/office/drawing/2014/main" id="{9ED8BA8D-24FA-4A6F-9DC0-FB5E2F9AB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907" name="Picture 10" descr=" ">
          <a:extLst>
            <a:ext uri="{FF2B5EF4-FFF2-40B4-BE49-F238E27FC236}">
              <a16:creationId xmlns:a16="http://schemas.microsoft.com/office/drawing/2014/main" id="{AEB1E317-7130-420F-BCBA-DC4280ECA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908" name="Picture 11" descr=" ">
          <a:extLst>
            <a:ext uri="{FF2B5EF4-FFF2-40B4-BE49-F238E27FC236}">
              <a16:creationId xmlns:a16="http://schemas.microsoft.com/office/drawing/2014/main" id="{68AD2232-5839-4617-8B72-78B5BB71C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909" name="Picture 12" descr=" ">
          <a:extLst>
            <a:ext uri="{FF2B5EF4-FFF2-40B4-BE49-F238E27FC236}">
              <a16:creationId xmlns:a16="http://schemas.microsoft.com/office/drawing/2014/main" id="{2CC28649-E627-41B2-87D4-447B2EC05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910" name="Picture 7" descr=" ">
          <a:extLst>
            <a:ext uri="{FF2B5EF4-FFF2-40B4-BE49-F238E27FC236}">
              <a16:creationId xmlns:a16="http://schemas.microsoft.com/office/drawing/2014/main" id="{D91ABFE4-256B-4738-8273-D5AF14C15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911" name="Picture 8" descr=" ">
          <a:extLst>
            <a:ext uri="{FF2B5EF4-FFF2-40B4-BE49-F238E27FC236}">
              <a16:creationId xmlns:a16="http://schemas.microsoft.com/office/drawing/2014/main" id="{DE7FCBB5-43B3-448F-951E-9F21AD4BD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912" name="Picture 9" descr=" ">
          <a:extLst>
            <a:ext uri="{FF2B5EF4-FFF2-40B4-BE49-F238E27FC236}">
              <a16:creationId xmlns:a16="http://schemas.microsoft.com/office/drawing/2014/main" id="{0683F408-D9D8-4C77-A41C-A76BF932D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913" name="Picture 10" descr=" ">
          <a:extLst>
            <a:ext uri="{FF2B5EF4-FFF2-40B4-BE49-F238E27FC236}">
              <a16:creationId xmlns:a16="http://schemas.microsoft.com/office/drawing/2014/main" id="{C6F8AFA1-BF7A-4040-B8B4-C32D9B452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914" name="Picture 11" descr=" ">
          <a:extLst>
            <a:ext uri="{FF2B5EF4-FFF2-40B4-BE49-F238E27FC236}">
              <a16:creationId xmlns:a16="http://schemas.microsoft.com/office/drawing/2014/main" id="{AF739B3D-5F2E-495A-A227-B31A2583A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915" name="Picture 12" descr=" ">
          <a:extLst>
            <a:ext uri="{FF2B5EF4-FFF2-40B4-BE49-F238E27FC236}">
              <a16:creationId xmlns:a16="http://schemas.microsoft.com/office/drawing/2014/main" id="{0513FDCE-CF19-4C90-8D4D-5639A55AC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916" name="Picture 7" descr=" ">
          <a:extLst>
            <a:ext uri="{FF2B5EF4-FFF2-40B4-BE49-F238E27FC236}">
              <a16:creationId xmlns:a16="http://schemas.microsoft.com/office/drawing/2014/main" id="{BEB6C417-6044-4F32-ADCB-982354028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917" name="Picture 8" descr=" ">
          <a:extLst>
            <a:ext uri="{FF2B5EF4-FFF2-40B4-BE49-F238E27FC236}">
              <a16:creationId xmlns:a16="http://schemas.microsoft.com/office/drawing/2014/main" id="{6EA5A31E-4994-4D6A-B0C8-710B7FFBE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918" name="Picture 9" descr=" ">
          <a:extLst>
            <a:ext uri="{FF2B5EF4-FFF2-40B4-BE49-F238E27FC236}">
              <a16:creationId xmlns:a16="http://schemas.microsoft.com/office/drawing/2014/main" id="{21D7BC5C-1AD5-4C83-92DC-21B3D3F93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919" name="Picture 10" descr=" ">
          <a:extLst>
            <a:ext uri="{FF2B5EF4-FFF2-40B4-BE49-F238E27FC236}">
              <a16:creationId xmlns:a16="http://schemas.microsoft.com/office/drawing/2014/main" id="{ABFA499B-2F2F-4BF4-9B2A-BC7587494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920" name="Picture 11" descr=" ">
          <a:extLst>
            <a:ext uri="{FF2B5EF4-FFF2-40B4-BE49-F238E27FC236}">
              <a16:creationId xmlns:a16="http://schemas.microsoft.com/office/drawing/2014/main" id="{80150B85-B685-4DAE-AA7D-99DACED88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4921" name="Picture 12" descr=" ">
          <a:extLst>
            <a:ext uri="{FF2B5EF4-FFF2-40B4-BE49-F238E27FC236}">
              <a16:creationId xmlns:a16="http://schemas.microsoft.com/office/drawing/2014/main" id="{98014FE8-B40D-4AA5-B503-1B38F394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38100</xdr:rowOff>
    </xdr:to>
    <xdr:pic>
      <xdr:nvPicPr>
        <xdr:cNvPr id="4922" name="Picture 7" descr=" ">
          <a:extLst>
            <a:ext uri="{FF2B5EF4-FFF2-40B4-BE49-F238E27FC236}">
              <a16:creationId xmlns:a16="http://schemas.microsoft.com/office/drawing/2014/main" id="{DE11D119-D8E9-4E5D-B963-2DC6E86AB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1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38100</xdr:rowOff>
    </xdr:to>
    <xdr:pic>
      <xdr:nvPicPr>
        <xdr:cNvPr id="4923" name="Picture 8" descr=" ">
          <a:extLst>
            <a:ext uri="{FF2B5EF4-FFF2-40B4-BE49-F238E27FC236}">
              <a16:creationId xmlns:a16="http://schemas.microsoft.com/office/drawing/2014/main" id="{A12AB80D-3074-49BD-8B3A-8538CE083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1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38100</xdr:rowOff>
    </xdr:to>
    <xdr:pic>
      <xdr:nvPicPr>
        <xdr:cNvPr id="4924" name="Picture 9" descr=" ">
          <a:extLst>
            <a:ext uri="{FF2B5EF4-FFF2-40B4-BE49-F238E27FC236}">
              <a16:creationId xmlns:a16="http://schemas.microsoft.com/office/drawing/2014/main" id="{2DEE310B-FD8A-4322-9595-68725292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1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38100</xdr:rowOff>
    </xdr:to>
    <xdr:pic>
      <xdr:nvPicPr>
        <xdr:cNvPr id="4925" name="Picture 10" descr=" ">
          <a:extLst>
            <a:ext uri="{FF2B5EF4-FFF2-40B4-BE49-F238E27FC236}">
              <a16:creationId xmlns:a16="http://schemas.microsoft.com/office/drawing/2014/main" id="{E2C527C8-187F-4A51-B5A7-2C4F2764D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1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38100</xdr:rowOff>
    </xdr:to>
    <xdr:pic>
      <xdr:nvPicPr>
        <xdr:cNvPr id="4926" name="Picture 11" descr=" ">
          <a:extLst>
            <a:ext uri="{FF2B5EF4-FFF2-40B4-BE49-F238E27FC236}">
              <a16:creationId xmlns:a16="http://schemas.microsoft.com/office/drawing/2014/main" id="{6066F1B1-81DE-48F4-ABBD-BBBFB7C36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1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9525</xdr:colOff>
      <xdr:row>20</xdr:row>
      <xdr:rowOff>38100</xdr:rowOff>
    </xdr:to>
    <xdr:pic>
      <xdr:nvPicPr>
        <xdr:cNvPr id="4927" name="Picture 12" descr=" ">
          <a:extLst>
            <a:ext uri="{FF2B5EF4-FFF2-40B4-BE49-F238E27FC236}">
              <a16:creationId xmlns:a16="http://schemas.microsoft.com/office/drawing/2014/main" id="{CD2F83F5-37E3-415A-941F-63704FC27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01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</xdr:colOff>
      <xdr:row>21</xdr:row>
      <xdr:rowOff>38100</xdr:rowOff>
    </xdr:to>
    <xdr:pic>
      <xdr:nvPicPr>
        <xdr:cNvPr id="4928" name="Picture 7" descr=" ">
          <a:extLst>
            <a:ext uri="{FF2B5EF4-FFF2-40B4-BE49-F238E27FC236}">
              <a16:creationId xmlns:a16="http://schemas.microsoft.com/office/drawing/2014/main" id="{8FEFE8C5-8EEB-4C98-BF20-211ABD66C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4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</xdr:colOff>
      <xdr:row>21</xdr:row>
      <xdr:rowOff>38100</xdr:rowOff>
    </xdr:to>
    <xdr:pic>
      <xdr:nvPicPr>
        <xdr:cNvPr id="4929" name="Picture 8" descr=" ">
          <a:extLst>
            <a:ext uri="{FF2B5EF4-FFF2-40B4-BE49-F238E27FC236}">
              <a16:creationId xmlns:a16="http://schemas.microsoft.com/office/drawing/2014/main" id="{CD35E6BA-EF02-4CE9-AEAE-568E21FB4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4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</xdr:colOff>
      <xdr:row>21</xdr:row>
      <xdr:rowOff>38100</xdr:rowOff>
    </xdr:to>
    <xdr:pic>
      <xdr:nvPicPr>
        <xdr:cNvPr id="4930" name="Picture 9" descr=" ">
          <a:extLst>
            <a:ext uri="{FF2B5EF4-FFF2-40B4-BE49-F238E27FC236}">
              <a16:creationId xmlns:a16="http://schemas.microsoft.com/office/drawing/2014/main" id="{FE9D2E71-5647-43B5-9361-1078DA224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4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</xdr:colOff>
      <xdr:row>21</xdr:row>
      <xdr:rowOff>38100</xdr:rowOff>
    </xdr:to>
    <xdr:pic>
      <xdr:nvPicPr>
        <xdr:cNvPr id="4931" name="Picture 10" descr=" ">
          <a:extLst>
            <a:ext uri="{FF2B5EF4-FFF2-40B4-BE49-F238E27FC236}">
              <a16:creationId xmlns:a16="http://schemas.microsoft.com/office/drawing/2014/main" id="{EF0C97F8-5817-4F7C-81E3-989A1BE1C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4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</xdr:colOff>
      <xdr:row>21</xdr:row>
      <xdr:rowOff>38100</xdr:rowOff>
    </xdr:to>
    <xdr:pic>
      <xdr:nvPicPr>
        <xdr:cNvPr id="4932" name="Picture 11" descr=" ">
          <a:extLst>
            <a:ext uri="{FF2B5EF4-FFF2-40B4-BE49-F238E27FC236}">
              <a16:creationId xmlns:a16="http://schemas.microsoft.com/office/drawing/2014/main" id="{B4124D0E-B427-4380-9CB2-AA4DB3D56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4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</xdr:colOff>
      <xdr:row>21</xdr:row>
      <xdr:rowOff>38100</xdr:rowOff>
    </xdr:to>
    <xdr:pic>
      <xdr:nvPicPr>
        <xdr:cNvPr id="4933" name="Picture 12" descr=" ">
          <a:extLst>
            <a:ext uri="{FF2B5EF4-FFF2-40B4-BE49-F238E27FC236}">
              <a16:creationId xmlns:a16="http://schemas.microsoft.com/office/drawing/2014/main" id="{DE5AF0D2-CB54-4308-B74F-A6B6C1CD5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4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38100</xdr:rowOff>
    </xdr:to>
    <xdr:pic>
      <xdr:nvPicPr>
        <xdr:cNvPr id="4934" name="Picture 7" descr=" ">
          <a:extLst>
            <a:ext uri="{FF2B5EF4-FFF2-40B4-BE49-F238E27FC236}">
              <a16:creationId xmlns:a16="http://schemas.microsoft.com/office/drawing/2014/main" id="{258B6FC4-137A-4560-A39C-D4049C8E1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2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38100</xdr:rowOff>
    </xdr:to>
    <xdr:pic>
      <xdr:nvPicPr>
        <xdr:cNvPr id="4935" name="Picture 8" descr=" ">
          <a:extLst>
            <a:ext uri="{FF2B5EF4-FFF2-40B4-BE49-F238E27FC236}">
              <a16:creationId xmlns:a16="http://schemas.microsoft.com/office/drawing/2014/main" id="{C8D24CB9-3180-41BC-BB8D-107D63560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2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38100</xdr:rowOff>
    </xdr:to>
    <xdr:pic>
      <xdr:nvPicPr>
        <xdr:cNvPr id="4936" name="Picture 9" descr=" ">
          <a:extLst>
            <a:ext uri="{FF2B5EF4-FFF2-40B4-BE49-F238E27FC236}">
              <a16:creationId xmlns:a16="http://schemas.microsoft.com/office/drawing/2014/main" id="{CA013486-778C-4814-905D-1AE7C8953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2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38100</xdr:rowOff>
    </xdr:to>
    <xdr:pic>
      <xdr:nvPicPr>
        <xdr:cNvPr id="4937" name="Picture 10" descr=" ">
          <a:extLst>
            <a:ext uri="{FF2B5EF4-FFF2-40B4-BE49-F238E27FC236}">
              <a16:creationId xmlns:a16="http://schemas.microsoft.com/office/drawing/2014/main" id="{FFD696F0-FD38-4931-8632-C3690B53A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2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38100</xdr:rowOff>
    </xdr:to>
    <xdr:pic>
      <xdr:nvPicPr>
        <xdr:cNvPr id="4938" name="Picture 11" descr=" ">
          <a:extLst>
            <a:ext uri="{FF2B5EF4-FFF2-40B4-BE49-F238E27FC236}">
              <a16:creationId xmlns:a16="http://schemas.microsoft.com/office/drawing/2014/main" id="{7F3E6193-538D-42D4-AB48-90E84A4D5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2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38100</xdr:rowOff>
    </xdr:to>
    <xdr:pic>
      <xdr:nvPicPr>
        <xdr:cNvPr id="4939" name="Picture 12" descr=" ">
          <a:extLst>
            <a:ext uri="{FF2B5EF4-FFF2-40B4-BE49-F238E27FC236}">
              <a16:creationId xmlns:a16="http://schemas.microsoft.com/office/drawing/2014/main" id="{D45E45C4-3019-4443-B067-150CA12B5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2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38100</xdr:rowOff>
    </xdr:to>
    <xdr:pic>
      <xdr:nvPicPr>
        <xdr:cNvPr id="4940" name="Picture 7" descr=" ">
          <a:extLst>
            <a:ext uri="{FF2B5EF4-FFF2-40B4-BE49-F238E27FC236}">
              <a16:creationId xmlns:a16="http://schemas.microsoft.com/office/drawing/2014/main" id="{B7C093DD-AEA2-4815-9DD7-178C1675B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2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38100</xdr:rowOff>
    </xdr:to>
    <xdr:pic>
      <xdr:nvPicPr>
        <xdr:cNvPr id="4941" name="Picture 8" descr=" ">
          <a:extLst>
            <a:ext uri="{FF2B5EF4-FFF2-40B4-BE49-F238E27FC236}">
              <a16:creationId xmlns:a16="http://schemas.microsoft.com/office/drawing/2014/main" id="{9525DBFB-2C45-49FA-B613-E63BB8402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2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38100</xdr:rowOff>
    </xdr:to>
    <xdr:pic>
      <xdr:nvPicPr>
        <xdr:cNvPr id="4942" name="Picture 9" descr=" ">
          <a:extLst>
            <a:ext uri="{FF2B5EF4-FFF2-40B4-BE49-F238E27FC236}">
              <a16:creationId xmlns:a16="http://schemas.microsoft.com/office/drawing/2014/main" id="{2F2B5A83-1E26-4932-97CA-A2AEC834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2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38100</xdr:rowOff>
    </xdr:to>
    <xdr:pic>
      <xdr:nvPicPr>
        <xdr:cNvPr id="4943" name="Picture 10" descr=" ">
          <a:extLst>
            <a:ext uri="{FF2B5EF4-FFF2-40B4-BE49-F238E27FC236}">
              <a16:creationId xmlns:a16="http://schemas.microsoft.com/office/drawing/2014/main" id="{CA47E891-CF7B-4BC1-A40A-EA13B7E2E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2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38100</xdr:rowOff>
    </xdr:to>
    <xdr:pic>
      <xdr:nvPicPr>
        <xdr:cNvPr id="4944" name="Picture 11" descr=" ">
          <a:extLst>
            <a:ext uri="{FF2B5EF4-FFF2-40B4-BE49-F238E27FC236}">
              <a16:creationId xmlns:a16="http://schemas.microsoft.com/office/drawing/2014/main" id="{F3D7E00D-8442-4BA9-9CD4-02304CF53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2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9525</xdr:colOff>
      <xdr:row>24</xdr:row>
      <xdr:rowOff>38100</xdr:rowOff>
    </xdr:to>
    <xdr:pic>
      <xdr:nvPicPr>
        <xdr:cNvPr id="4945" name="Picture 12" descr=" ">
          <a:extLst>
            <a:ext uri="{FF2B5EF4-FFF2-40B4-BE49-F238E27FC236}">
              <a16:creationId xmlns:a16="http://schemas.microsoft.com/office/drawing/2014/main" id="{69F4C922-8D06-4421-A37E-A72D654AD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32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4946" name="Picture 7" descr=" ">
          <a:extLst>
            <a:ext uri="{FF2B5EF4-FFF2-40B4-BE49-F238E27FC236}">
              <a16:creationId xmlns:a16="http://schemas.microsoft.com/office/drawing/2014/main" id="{B55663B7-11A5-418C-83E4-566604FF2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4947" name="Picture 8" descr=" ">
          <a:extLst>
            <a:ext uri="{FF2B5EF4-FFF2-40B4-BE49-F238E27FC236}">
              <a16:creationId xmlns:a16="http://schemas.microsoft.com/office/drawing/2014/main" id="{499CC999-F165-4F5A-81EC-418E69F46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4948" name="Picture 9" descr=" ">
          <a:extLst>
            <a:ext uri="{FF2B5EF4-FFF2-40B4-BE49-F238E27FC236}">
              <a16:creationId xmlns:a16="http://schemas.microsoft.com/office/drawing/2014/main" id="{D08FB37C-46CD-44E8-9AC0-0ED0A677F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4949" name="Picture 10" descr=" ">
          <a:extLst>
            <a:ext uri="{FF2B5EF4-FFF2-40B4-BE49-F238E27FC236}">
              <a16:creationId xmlns:a16="http://schemas.microsoft.com/office/drawing/2014/main" id="{743212F8-47CD-4726-9B89-72780C901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4950" name="Picture 11" descr=" ">
          <a:extLst>
            <a:ext uri="{FF2B5EF4-FFF2-40B4-BE49-F238E27FC236}">
              <a16:creationId xmlns:a16="http://schemas.microsoft.com/office/drawing/2014/main" id="{686F1523-AB3A-430E-BB70-4D265DE0A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4951" name="Picture 12" descr=" ">
          <a:extLst>
            <a:ext uri="{FF2B5EF4-FFF2-40B4-BE49-F238E27FC236}">
              <a16:creationId xmlns:a16="http://schemas.microsoft.com/office/drawing/2014/main" id="{FC8B217D-4090-4094-BC18-AF4D31C8A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4952" name="Picture 7" descr=" ">
          <a:extLst>
            <a:ext uri="{FF2B5EF4-FFF2-40B4-BE49-F238E27FC236}">
              <a16:creationId xmlns:a16="http://schemas.microsoft.com/office/drawing/2014/main" id="{58B52257-576B-4C9C-BCEF-4371F6CA3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4953" name="Picture 8" descr=" ">
          <a:extLst>
            <a:ext uri="{FF2B5EF4-FFF2-40B4-BE49-F238E27FC236}">
              <a16:creationId xmlns:a16="http://schemas.microsoft.com/office/drawing/2014/main" id="{5CCD0F89-85CE-46AC-A25D-1D0131787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4954" name="Picture 9" descr=" ">
          <a:extLst>
            <a:ext uri="{FF2B5EF4-FFF2-40B4-BE49-F238E27FC236}">
              <a16:creationId xmlns:a16="http://schemas.microsoft.com/office/drawing/2014/main" id="{6499E2F0-C849-4BF3-AB87-AD5B67AA3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4955" name="Picture 10" descr=" ">
          <a:extLst>
            <a:ext uri="{FF2B5EF4-FFF2-40B4-BE49-F238E27FC236}">
              <a16:creationId xmlns:a16="http://schemas.microsoft.com/office/drawing/2014/main" id="{E475F3A7-E542-487B-8445-230831B08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4956" name="Picture 11" descr=" ">
          <a:extLst>
            <a:ext uri="{FF2B5EF4-FFF2-40B4-BE49-F238E27FC236}">
              <a16:creationId xmlns:a16="http://schemas.microsoft.com/office/drawing/2014/main" id="{27155DF0-F856-4D50-A756-D7F826A0A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4957" name="Picture 12" descr=" ">
          <a:extLst>
            <a:ext uri="{FF2B5EF4-FFF2-40B4-BE49-F238E27FC236}">
              <a16:creationId xmlns:a16="http://schemas.microsoft.com/office/drawing/2014/main" id="{05F48671-5688-4CC8-AFB1-BF1054310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4958" name="Picture 7" descr=" ">
          <a:extLst>
            <a:ext uri="{FF2B5EF4-FFF2-40B4-BE49-F238E27FC236}">
              <a16:creationId xmlns:a16="http://schemas.microsoft.com/office/drawing/2014/main" id="{3BC094E9-0003-40FD-99B0-4E8BB3054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4959" name="Picture 8" descr=" ">
          <a:extLst>
            <a:ext uri="{FF2B5EF4-FFF2-40B4-BE49-F238E27FC236}">
              <a16:creationId xmlns:a16="http://schemas.microsoft.com/office/drawing/2014/main" id="{0F39D278-8A54-441A-89C5-526CA2873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4960" name="Picture 9" descr=" ">
          <a:extLst>
            <a:ext uri="{FF2B5EF4-FFF2-40B4-BE49-F238E27FC236}">
              <a16:creationId xmlns:a16="http://schemas.microsoft.com/office/drawing/2014/main" id="{794CC6EC-5679-44AC-B613-090F4B143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4961" name="Picture 10" descr=" ">
          <a:extLst>
            <a:ext uri="{FF2B5EF4-FFF2-40B4-BE49-F238E27FC236}">
              <a16:creationId xmlns:a16="http://schemas.microsoft.com/office/drawing/2014/main" id="{2BAA2901-1E49-4CAA-945E-6454D5864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4962" name="Picture 11" descr=" ">
          <a:extLst>
            <a:ext uri="{FF2B5EF4-FFF2-40B4-BE49-F238E27FC236}">
              <a16:creationId xmlns:a16="http://schemas.microsoft.com/office/drawing/2014/main" id="{2CA98480-8F2A-49CB-87CB-4D1F06968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</xdr:colOff>
      <xdr:row>41</xdr:row>
      <xdr:rowOff>38100</xdr:rowOff>
    </xdr:to>
    <xdr:pic>
      <xdr:nvPicPr>
        <xdr:cNvPr id="4963" name="Picture 12" descr=" ">
          <a:extLst>
            <a:ext uri="{FF2B5EF4-FFF2-40B4-BE49-F238E27FC236}">
              <a16:creationId xmlns:a16="http://schemas.microsoft.com/office/drawing/2014/main" id="{171DF6BA-9B6F-44B2-BD8F-E08A2E655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58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64" name="Picture 7" descr=" ">
          <a:extLst>
            <a:ext uri="{FF2B5EF4-FFF2-40B4-BE49-F238E27FC236}">
              <a16:creationId xmlns:a16="http://schemas.microsoft.com/office/drawing/2014/main" id="{025BC9EA-1019-4AB3-BAB9-3276E6FB2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65" name="Picture 8" descr=" ">
          <a:extLst>
            <a:ext uri="{FF2B5EF4-FFF2-40B4-BE49-F238E27FC236}">
              <a16:creationId xmlns:a16="http://schemas.microsoft.com/office/drawing/2014/main" id="{12C2656C-35C5-468F-B640-6A8BE8C07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66" name="Picture 9" descr=" ">
          <a:extLst>
            <a:ext uri="{FF2B5EF4-FFF2-40B4-BE49-F238E27FC236}">
              <a16:creationId xmlns:a16="http://schemas.microsoft.com/office/drawing/2014/main" id="{2BC5479E-C05F-49BA-9A2A-95007176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67" name="Picture 10" descr=" ">
          <a:extLst>
            <a:ext uri="{FF2B5EF4-FFF2-40B4-BE49-F238E27FC236}">
              <a16:creationId xmlns:a16="http://schemas.microsoft.com/office/drawing/2014/main" id="{F873EA57-9796-4886-BD6D-7756BEB9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68" name="Picture 11" descr=" ">
          <a:extLst>
            <a:ext uri="{FF2B5EF4-FFF2-40B4-BE49-F238E27FC236}">
              <a16:creationId xmlns:a16="http://schemas.microsoft.com/office/drawing/2014/main" id="{255BD72A-8B95-4CC6-A261-67B639BA8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69" name="Picture 12" descr=" ">
          <a:extLst>
            <a:ext uri="{FF2B5EF4-FFF2-40B4-BE49-F238E27FC236}">
              <a16:creationId xmlns:a16="http://schemas.microsoft.com/office/drawing/2014/main" id="{6B44268D-2575-4A8C-8140-D03B9CBBB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70" name="Picture 7" descr=" ">
          <a:extLst>
            <a:ext uri="{FF2B5EF4-FFF2-40B4-BE49-F238E27FC236}">
              <a16:creationId xmlns:a16="http://schemas.microsoft.com/office/drawing/2014/main" id="{00CF83B3-6262-4DFF-9D85-B5D4B71EA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71" name="Picture 8" descr=" ">
          <a:extLst>
            <a:ext uri="{FF2B5EF4-FFF2-40B4-BE49-F238E27FC236}">
              <a16:creationId xmlns:a16="http://schemas.microsoft.com/office/drawing/2014/main" id="{DAFA71F2-2893-4FC6-8CB7-3B030D7BE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72" name="Picture 9" descr=" ">
          <a:extLst>
            <a:ext uri="{FF2B5EF4-FFF2-40B4-BE49-F238E27FC236}">
              <a16:creationId xmlns:a16="http://schemas.microsoft.com/office/drawing/2014/main" id="{B71EFE72-4AEA-4B2B-B284-EA5833B46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73" name="Picture 10" descr=" ">
          <a:extLst>
            <a:ext uri="{FF2B5EF4-FFF2-40B4-BE49-F238E27FC236}">
              <a16:creationId xmlns:a16="http://schemas.microsoft.com/office/drawing/2014/main" id="{6B0B2CCA-2D01-4785-B78D-4DC808E7D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74" name="Picture 11" descr=" ">
          <a:extLst>
            <a:ext uri="{FF2B5EF4-FFF2-40B4-BE49-F238E27FC236}">
              <a16:creationId xmlns:a16="http://schemas.microsoft.com/office/drawing/2014/main" id="{63476912-C780-45CA-87EA-85C3B2A0C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75" name="Picture 12" descr=" ">
          <a:extLst>
            <a:ext uri="{FF2B5EF4-FFF2-40B4-BE49-F238E27FC236}">
              <a16:creationId xmlns:a16="http://schemas.microsoft.com/office/drawing/2014/main" id="{5EBA8345-875B-4B02-BCF1-5A577A7F8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76" name="Picture 7" descr=" ">
          <a:extLst>
            <a:ext uri="{FF2B5EF4-FFF2-40B4-BE49-F238E27FC236}">
              <a16:creationId xmlns:a16="http://schemas.microsoft.com/office/drawing/2014/main" id="{D6CCA9B4-4C54-4DDF-8A60-6172D228D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77" name="Picture 8" descr=" ">
          <a:extLst>
            <a:ext uri="{FF2B5EF4-FFF2-40B4-BE49-F238E27FC236}">
              <a16:creationId xmlns:a16="http://schemas.microsoft.com/office/drawing/2014/main" id="{56FFBE19-F5BC-45C8-B9D3-C182A0BD3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78" name="Picture 9" descr=" ">
          <a:extLst>
            <a:ext uri="{FF2B5EF4-FFF2-40B4-BE49-F238E27FC236}">
              <a16:creationId xmlns:a16="http://schemas.microsoft.com/office/drawing/2014/main" id="{E013FF40-5EB6-4C30-B1F5-6EDC9B4BC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79" name="Picture 10" descr=" ">
          <a:extLst>
            <a:ext uri="{FF2B5EF4-FFF2-40B4-BE49-F238E27FC236}">
              <a16:creationId xmlns:a16="http://schemas.microsoft.com/office/drawing/2014/main" id="{927410E4-E7F1-4705-8B16-4324D5838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80" name="Picture 11" descr=" ">
          <a:extLst>
            <a:ext uri="{FF2B5EF4-FFF2-40B4-BE49-F238E27FC236}">
              <a16:creationId xmlns:a16="http://schemas.microsoft.com/office/drawing/2014/main" id="{701D2900-97E7-4171-821B-3FE576365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81" name="Picture 12" descr=" ">
          <a:extLst>
            <a:ext uri="{FF2B5EF4-FFF2-40B4-BE49-F238E27FC236}">
              <a16:creationId xmlns:a16="http://schemas.microsoft.com/office/drawing/2014/main" id="{2EBB43BD-B25C-40A5-8EF0-D78478EA2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82" name="Picture 7" descr=" ">
          <a:extLst>
            <a:ext uri="{FF2B5EF4-FFF2-40B4-BE49-F238E27FC236}">
              <a16:creationId xmlns:a16="http://schemas.microsoft.com/office/drawing/2014/main" id="{57077551-9308-46D4-80B4-F79867D58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83" name="Picture 8" descr=" ">
          <a:extLst>
            <a:ext uri="{FF2B5EF4-FFF2-40B4-BE49-F238E27FC236}">
              <a16:creationId xmlns:a16="http://schemas.microsoft.com/office/drawing/2014/main" id="{E801CE99-FC1E-47B7-98BC-B305F267A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84" name="Picture 9" descr=" ">
          <a:extLst>
            <a:ext uri="{FF2B5EF4-FFF2-40B4-BE49-F238E27FC236}">
              <a16:creationId xmlns:a16="http://schemas.microsoft.com/office/drawing/2014/main" id="{F0DFAC24-722D-4A1E-A018-F3E84249D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85" name="Picture 10" descr=" ">
          <a:extLst>
            <a:ext uri="{FF2B5EF4-FFF2-40B4-BE49-F238E27FC236}">
              <a16:creationId xmlns:a16="http://schemas.microsoft.com/office/drawing/2014/main" id="{1D8B17DF-0396-4495-AEB4-7713A3743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86" name="Picture 11" descr=" ">
          <a:extLst>
            <a:ext uri="{FF2B5EF4-FFF2-40B4-BE49-F238E27FC236}">
              <a16:creationId xmlns:a16="http://schemas.microsoft.com/office/drawing/2014/main" id="{2BDFD5B7-4CE8-4928-8DEF-38967169D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</xdr:colOff>
      <xdr:row>50</xdr:row>
      <xdr:rowOff>38100</xdr:rowOff>
    </xdr:to>
    <xdr:pic>
      <xdr:nvPicPr>
        <xdr:cNvPr id="4987" name="Picture 12" descr=" ">
          <a:extLst>
            <a:ext uri="{FF2B5EF4-FFF2-40B4-BE49-F238E27FC236}">
              <a16:creationId xmlns:a16="http://schemas.microsoft.com/office/drawing/2014/main" id="{4260438B-C7AE-4DB3-A38A-A14EC5198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1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4988" name="Picture 7" descr=" ">
          <a:extLst>
            <a:ext uri="{FF2B5EF4-FFF2-40B4-BE49-F238E27FC236}">
              <a16:creationId xmlns:a16="http://schemas.microsoft.com/office/drawing/2014/main" id="{55798C3B-AD96-4AB6-AF0D-BE4C8AC4A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4989" name="Picture 8" descr=" ">
          <a:extLst>
            <a:ext uri="{FF2B5EF4-FFF2-40B4-BE49-F238E27FC236}">
              <a16:creationId xmlns:a16="http://schemas.microsoft.com/office/drawing/2014/main" id="{374DC44D-587C-4736-A286-7F9EF252C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4990" name="Picture 9" descr=" ">
          <a:extLst>
            <a:ext uri="{FF2B5EF4-FFF2-40B4-BE49-F238E27FC236}">
              <a16:creationId xmlns:a16="http://schemas.microsoft.com/office/drawing/2014/main" id="{B400DDA3-A2E1-4A49-8F2F-D70EA4B29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4991" name="Picture 10" descr=" ">
          <a:extLst>
            <a:ext uri="{FF2B5EF4-FFF2-40B4-BE49-F238E27FC236}">
              <a16:creationId xmlns:a16="http://schemas.microsoft.com/office/drawing/2014/main" id="{CDCBD995-3D96-446C-BBA5-DB498B9EE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4992" name="Picture 11" descr=" ">
          <a:extLst>
            <a:ext uri="{FF2B5EF4-FFF2-40B4-BE49-F238E27FC236}">
              <a16:creationId xmlns:a16="http://schemas.microsoft.com/office/drawing/2014/main" id="{CB632B5D-21A0-4FC7-8E9F-5EA919590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4993" name="Picture 12" descr=" ">
          <a:extLst>
            <a:ext uri="{FF2B5EF4-FFF2-40B4-BE49-F238E27FC236}">
              <a16:creationId xmlns:a16="http://schemas.microsoft.com/office/drawing/2014/main" id="{A6D6B72C-8857-45C3-847B-03DBDA87C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4994" name="Picture 7" descr=" ">
          <a:extLst>
            <a:ext uri="{FF2B5EF4-FFF2-40B4-BE49-F238E27FC236}">
              <a16:creationId xmlns:a16="http://schemas.microsoft.com/office/drawing/2014/main" id="{C82C9DA3-8B65-4B3F-86EF-C9B188087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4995" name="Picture 8" descr=" ">
          <a:extLst>
            <a:ext uri="{FF2B5EF4-FFF2-40B4-BE49-F238E27FC236}">
              <a16:creationId xmlns:a16="http://schemas.microsoft.com/office/drawing/2014/main" id="{18AF6EE9-02BA-4C2C-BFD8-552A341E3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4996" name="Picture 9" descr=" ">
          <a:extLst>
            <a:ext uri="{FF2B5EF4-FFF2-40B4-BE49-F238E27FC236}">
              <a16:creationId xmlns:a16="http://schemas.microsoft.com/office/drawing/2014/main" id="{DDE24FBD-EAAB-4D3F-ACAE-222524C1C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4997" name="Picture 10" descr=" ">
          <a:extLst>
            <a:ext uri="{FF2B5EF4-FFF2-40B4-BE49-F238E27FC236}">
              <a16:creationId xmlns:a16="http://schemas.microsoft.com/office/drawing/2014/main" id="{182A2317-6924-4C4D-9CB3-B6776FC02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4998" name="Picture 11" descr=" ">
          <a:extLst>
            <a:ext uri="{FF2B5EF4-FFF2-40B4-BE49-F238E27FC236}">
              <a16:creationId xmlns:a16="http://schemas.microsoft.com/office/drawing/2014/main" id="{EFB28AC3-BAF7-468A-99B5-72ECAFCF4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4999" name="Picture 12" descr=" ">
          <a:extLst>
            <a:ext uri="{FF2B5EF4-FFF2-40B4-BE49-F238E27FC236}">
              <a16:creationId xmlns:a16="http://schemas.microsoft.com/office/drawing/2014/main" id="{DF319B04-78A7-4D12-9E43-3C853F2C7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5000" name="Picture 7" descr=" ">
          <a:extLst>
            <a:ext uri="{FF2B5EF4-FFF2-40B4-BE49-F238E27FC236}">
              <a16:creationId xmlns:a16="http://schemas.microsoft.com/office/drawing/2014/main" id="{D7A5EBFE-6DC8-4BEB-AF1F-3B8165321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5001" name="Picture 8" descr=" ">
          <a:extLst>
            <a:ext uri="{FF2B5EF4-FFF2-40B4-BE49-F238E27FC236}">
              <a16:creationId xmlns:a16="http://schemas.microsoft.com/office/drawing/2014/main" id="{2CAEE92B-D400-4007-A478-15C095F4F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5002" name="Picture 9" descr=" ">
          <a:extLst>
            <a:ext uri="{FF2B5EF4-FFF2-40B4-BE49-F238E27FC236}">
              <a16:creationId xmlns:a16="http://schemas.microsoft.com/office/drawing/2014/main" id="{A9FD66BD-49F4-4ACD-A404-0BBA024AA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5003" name="Picture 10" descr=" ">
          <a:extLst>
            <a:ext uri="{FF2B5EF4-FFF2-40B4-BE49-F238E27FC236}">
              <a16:creationId xmlns:a16="http://schemas.microsoft.com/office/drawing/2014/main" id="{1467BD02-09E6-4647-8FE0-3CC91529B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5004" name="Picture 11" descr=" ">
          <a:extLst>
            <a:ext uri="{FF2B5EF4-FFF2-40B4-BE49-F238E27FC236}">
              <a16:creationId xmlns:a16="http://schemas.microsoft.com/office/drawing/2014/main" id="{025DB6DA-6047-4E43-BB78-2482332CC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5005" name="Picture 12" descr=" ">
          <a:extLst>
            <a:ext uri="{FF2B5EF4-FFF2-40B4-BE49-F238E27FC236}">
              <a16:creationId xmlns:a16="http://schemas.microsoft.com/office/drawing/2014/main" id="{F3A91C75-E3D7-43D2-8DF7-1669C8DB4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5006" name="Picture 7" descr=" ">
          <a:extLst>
            <a:ext uri="{FF2B5EF4-FFF2-40B4-BE49-F238E27FC236}">
              <a16:creationId xmlns:a16="http://schemas.microsoft.com/office/drawing/2014/main" id="{B0ADDA18-FB6E-4F30-A067-C12FE1676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5007" name="Picture 8" descr=" ">
          <a:extLst>
            <a:ext uri="{FF2B5EF4-FFF2-40B4-BE49-F238E27FC236}">
              <a16:creationId xmlns:a16="http://schemas.microsoft.com/office/drawing/2014/main" id="{3BD3491B-7AB5-4873-9BA1-D936083D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5008" name="Picture 9" descr=" ">
          <a:extLst>
            <a:ext uri="{FF2B5EF4-FFF2-40B4-BE49-F238E27FC236}">
              <a16:creationId xmlns:a16="http://schemas.microsoft.com/office/drawing/2014/main" id="{DBF2E4FE-916A-436A-93D2-A3F67AA0C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5009" name="Picture 10" descr=" ">
          <a:extLst>
            <a:ext uri="{FF2B5EF4-FFF2-40B4-BE49-F238E27FC236}">
              <a16:creationId xmlns:a16="http://schemas.microsoft.com/office/drawing/2014/main" id="{4A19A073-243B-498B-95C6-3D3419A48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5010" name="Picture 11" descr=" ">
          <a:extLst>
            <a:ext uri="{FF2B5EF4-FFF2-40B4-BE49-F238E27FC236}">
              <a16:creationId xmlns:a16="http://schemas.microsoft.com/office/drawing/2014/main" id="{64035A71-F059-4AD8-A782-BAB244277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5011" name="Picture 12" descr=" ">
          <a:extLst>
            <a:ext uri="{FF2B5EF4-FFF2-40B4-BE49-F238E27FC236}">
              <a16:creationId xmlns:a16="http://schemas.microsoft.com/office/drawing/2014/main" id="{60C95D8E-3628-45AB-A966-2B3FB7130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5012" name="Picture 7" descr=" ">
          <a:extLst>
            <a:ext uri="{FF2B5EF4-FFF2-40B4-BE49-F238E27FC236}">
              <a16:creationId xmlns:a16="http://schemas.microsoft.com/office/drawing/2014/main" id="{F1D78063-0C25-4385-8360-9F802E140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5013" name="Picture 8" descr=" ">
          <a:extLst>
            <a:ext uri="{FF2B5EF4-FFF2-40B4-BE49-F238E27FC236}">
              <a16:creationId xmlns:a16="http://schemas.microsoft.com/office/drawing/2014/main" id="{0561EB67-4E4B-45E3-8DDA-C5E7E77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5014" name="Picture 9" descr=" ">
          <a:extLst>
            <a:ext uri="{FF2B5EF4-FFF2-40B4-BE49-F238E27FC236}">
              <a16:creationId xmlns:a16="http://schemas.microsoft.com/office/drawing/2014/main" id="{C55522E1-0667-435A-AC83-08EBCF894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5015" name="Picture 10" descr=" ">
          <a:extLst>
            <a:ext uri="{FF2B5EF4-FFF2-40B4-BE49-F238E27FC236}">
              <a16:creationId xmlns:a16="http://schemas.microsoft.com/office/drawing/2014/main" id="{030B210D-3472-4D0E-83DC-57B87556F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5016" name="Picture 11" descr=" ">
          <a:extLst>
            <a:ext uri="{FF2B5EF4-FFF2-40B4-BE49-F238E27FC236}">
              <a16:creationId xmlns:a16="http://schemas.microsoft.com/office/drawing/2014/main" id="{4DE5A54B-DD26-46E7-B6E8-6520F92BA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</xdr:colOff>
      <xdr:row>57</xdr:row>
      <xdr:rowOff>38100</xdr:rowOff>
    </xdr:to>
    <xdr:pic>
      <xdr:nvPicPr>
        <xdr:cNvPr id="5017" name="Picture 12" descr=" ">
          <a:extLst>
            <a:ext uri="{FF2B5EF4-FFF2-40B4-BE49-F238E27FC236}">
              <a16:creationId xmlns:a16="http://schemas.microsoft.com/office/drawing/2014/main" id="{CA1C7A60-CABA-463C-A523-D9B03949F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02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18" name="Picture 7" descr=" ">
          <a:extLst>
            <a:ext uri="{FF2B5EF4-FFF2-40B4-BE49-F238E27FC236}">
              <a16:creationId xmlns:a16="http://schemas.microsoft.com/office/drawing/2014/main" id="{8757CBC7-1F4B-4566-8400-306C423CF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19" name="Picture 8" descr=" ">
          <a:extLst>
            <a:ext uri="{FF2B5EF4-FFF2-40B4-BE49-F238E27FC236}">
              <a16:creationId xmlns:a16="http://schemas.microsoft.com/office/drawing/2014/main" id="{9F197822-966F-4597-84EF-BC73ABCBE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20" name="Picture 9" descr=" ">
          <a:extLst>
            <a:ext uri="{FF2B5EF4-FFF2-40B4-BE49-F238E27FC236}">
              <a16:creationId xmlns:a16="http://schemas.microsoft.com/office/drawing/2014/main" id="{330DB1AE-8CD5-4CEF-A664-F2F6A901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21" name="Picture 10" descr=" ">
          <a:extLst>
            <a:ext uri="{FF2B5EF4-FFF2-40B4-BE49-F238E27FC236}">
              <a16:creationId xmlns:a16="http://schemas.microsoft.com/office/drawing/2014/main" id="{DC1B8B0D-4DC2-42EA-A604-C1C8F08EF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22" name="Picture 11" descr=" ">
          <a:extLst>
            <a:ext uri="{FF2B5EF4-FFF2-40B4-BE49-F238E27FC236}">
              <a16:creationId xmlns:a16="http://schemas.microsoft.com/office/drawing/2014/main" id="{FB45C33E-A153-4732-956B-BE1AD988D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23" name="Picture 12" descr=" ">
          <a:extLst>
            <a:ext uri="{FF2B5EF4-FFF2-40B4-BE49-F238E27FC236}">
              <a16:creationId xmlns:a16="http://schemas.microsoft.com/office/drawing/2014/main" id="{F34BA711-755F-46D7-8283-05D49FE3F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24" name="Picture 7" descr=" ">
          <a:extLst>
            <a:ext uri="{FF2B5EF4-FFF2-40B4-BE49-F238E27FC236}">
              <a16:creationId xmlns:a16="http://schemas.microsoft.com/office/drawing/2014/main" id="{3A00E8F7-4DB2-49AF-8132-CA777D13C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25" name="Picture 8" descr=" ">
          <a:extLst>
            <a:ext uri="{FF2B5EF4-FFF2-40B4-BE49-F238E27FC236}">
              <a16:creationId xmlns:a16="http://schemas.microsoft.com/office/drawing/2014/main" id="{1FA4BF20-5C8F-40C5-8112-66F8DD7C2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26" name="Picture 9" descr=" ">
          <a:extLst>
            <a:ext uri="{FF2B5EF4-FFF2-40B4-BE49-F238E27FC236}">
              <a16:creationId xmlns:a16="http://schemas.microsoft.com/office/drawing/2014/main" id="{E84DD061-C7F0-4117-8443-33347E7A0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27" name="Picture 10" descr=" ">
          <a:extLst>
            <a:ext uri="{FF2B5EF4-FFF2-40B4-BE49-F238E27FC236}">
              <a16:creationId xmlns:a16="http://schemas.microsoft.com/office/drawing/2014/main" id="{CB6D2E73-F8B2-4A7E-B68B-5FA0026FF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28" name="Picture 11" descr=" ">
          <a:extLst>
            <a:ext uri="{FF2B5EF4-FFF2-40B4-BE49-F238E27FC236}">
              <a16:creationId xmlns:a16="http://schemas.microsoft.com/office/drawing/2014/main" id="{46D5FF87-1058-4268-B2F7-ECC796532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29" name="Picture 12" descr=" ">
          <a:extLst>
            <a:ext uri="{FF2B5EF4-FFF2-40B4-BE49-F238E27FC236}">
              <a16:creationId xmlns:a16="http://schemas.microsoft.com/office/drawing/2014/main" id="{D2E8BF39-9DAD-4C73-A09F-90DFA40E5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30" name="Picture 7" descr=" ">
          <a:extLst>
            <a:ext uri="{FF2B5EF4-FFF2-40B4-BE49-F238E27FC236}">
              <a16:creationId xmlns:a16="http://schemas.microsoft.com/office/drawing/2014/main" id="{D13E97B4-37A8-4F38-B398-7EE259F01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31" name="Picture 8" descr=" ">
          <a:extLst>
            <a:ext uri="{FF2B5EF4-FFF2-40B4-BE49-F238E27FC236}">
              <a16:creationId xmlns:a16="http://schemas.microsoft.com/office/drawing/2014/main" id="{89C54378-C505-4F4D-86F6-FDD7B4C8E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32" name="Picture 9" descr=" ">
          <a:extLst>
            <a:ext uri="{FF2B5EF4-FFF2-40B4-BE49-F238E27FC236}">
              <a16:creationId xmlns:a16="http://schemas.microsoft.com/office/drawing/2014/main" id="{6AD29493-CF33-4B27-8AED-D12B244C9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33" name="Picture 10" descr=" ">
          <a:extLst>
            <a:ext uri="{FF2B5EF4-FFF2-40B4-BE49-F238E27FC236}">
              <a16:creationId xmlns:a16="http://schemas.microsoft.com/office/drawing/2014/main" id="{23A96929-09AD-4BF4-ACAE-D7DEAB59B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34" name="Picture 11" descr=" ">
          <a:extLst>
            <a:ext uri="{FF2B5EF4-FFF2-40B4-BE49-F238E27FC236}">
              <a16:creationId xmlns:a16="http://schemas.microsoft.com/office/drawing/2014/main" id="{ECCE1F9B-8D86-4F57-8429-5FAA9DDEE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35" name="Picture 12" descr=" ">
          <a:extLst>
            <a:ext uri="{FF2B5EF4-FFF2-40B4-BE49-F238E27FC236}">
              <a16:creationId xmlns:a16="http://schemas.microsoft.com/office/drawing/2014/main" id="{59048AA7-AA57-4266-8774-7B1E62263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36" name="Picture 7" descr=" ">
          <a:extLst>
            <a:ext uri="{FF2B5EF4-FFF2-40B4-BE49-F238E27FC236}">
              <a16:creationId xmlns:a16="http://schemas.microsoft.com/office/drawing/2014/main" id="{DAC5DF4B-4451-415F-ADE1-91293FD1E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37" name="Picture 8" descr=" ">
          <a:extLst>
            <a:ext uri="{FF2B5EF4-FFF2-40B4-BE49-F238E27FC236}">
              <a16:creationId xmlns:a16="http://schemas.microsoft.com/office/drawing/2014/main" id="{D1AF8410-A736-4B86-95A4-BA56E40DE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38" name="Picture 9" descr=" ">
          <a:extLst>
            <a:ext uri="{FF2B5EF4-FFF2-40B4-BE49-F238E27FC236}">
              <a16:creationId xmlns:a16="http://schemas.microsoft.com/office/drawing/2014/main" id="{14B4A27E-34F6-4897-99DE-39F4E927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39" name="Picture 10" descr=" ">
          <a:extLst>
            <a:ext uri="{FF2B5EF4-FFF2-40B4-BE49-F238E27FC236}">
              <a16:creationId xmlns:a16="http://schemas.microsoft.com/office/drawing/2014/main" id="{B75B1C2C-F7BC-4FB6-A0AB-80FF2F430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40" name="Picture 11" descr=" ">
          <a:extLst>
            <a:ext uri="{FF2B5EF4-FFF2-40B4-BE49-F238E27FC236}">
              <a16:creationId xmlns:a16="http://schemas.microsoft.com/office/drawing/2014/main" id="{A1FA206D-0C38-47C8-8409-BB9687AA4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41" name="Picture 12" descr=" ">
          <a:extLst>
            <a:ext uri="{FF2B5EF4-FFF2-40B4-BE49-F238E27FC236}">
              <a16:creationId xmlns:a16="http://schemas.microsoft.com/office/drawing/2014/main" id="{1D3E094A-E8FF-4433-A817-177370B0F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42" name="Picture 7" descr=" ">
          <a:extLst>
            <a:ext uri="{FF2B5EF4-FFF2-40B4-BE49-F238E27FC236}">
              <a16:creationId xmlns:a16="http://schemas.microsoft.com/office/drawing/2014/main" id="{23444E79-F186-493B-BD6E-B9A94E4D0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43" name="Picture 8" descr=" ">
          <a:extLst>
            <a:ext uri="{FF2B5EF4-FFF2-40B4-BE49-F238E27FC236}">
              <a16:creationId xmlns:a16="http://schemas.microsoft.com/office/drawing/2014/main" id="{A4DD0BBD-61A0-4F14-A082-7C07F9371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44" name="Picture 9" descr=" ">
          <a:extLst>
            <a:ext uri="{FF2B5EF4-FFF2-40B4-BE49-F238E27FC236}">
              <a16:creationId xmlns:a16="http://schemas.microsoft.com/office/drawing/2014/main" id="{743C7F74-9DF0-4743-ABC5-CEB14B7DF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45" name="Picture 10" descr=" ">
          <a:extLst>
            <a:ext uri="{FF2B5EF4-FFF2-40B4-BE49-F238E27FC236}">
              <a16:creationId xmlns:a16="http://schemas.microsoft.com/office/drawing/2014/main" id="{A2239306-764A-4594-9524-7D09F5776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46" name="Picture 11" descr=" ">
          <a:extLst>
            <a:ext uri="{FF2B5EF4-FFF2-40B4-BE49-F238E27FC236}">
              <a16:creationId xmlns:a16="http://schemas.microsoft.com/office/drawing/2014/main" id="{BA6CFFBD-4906-47F1-8435-3EA668A5F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47" name="Picture 12" descr=" ">
          <a:extLst>
            <a:ext uri="{FF2B5EF4-FFF2-40B4-BE49-F238E27FC236}">
              <a16:creationId xmlns:a16="http://schemas.microsoft.com/office/drawing/2014/main" id="{B59F61F1-6970-43AE-9FF3-21059CDA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48" name="Picture 7" descr=" ">
          <a:extLst>
            <a:ext uri="{FF2B5EF4-FFF2-40B4-BE49-F238E27FC236}">
              <a16:creationId xmlns:a16="http://schemas.microsoft.com/office/drawing/2014/main" id="{DAE60571-A70E-47F2-92A4-976130BAC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49" name="Picture 8" descr=" ">
          <a:extLst>
            <a:ext uri="{FF2B5EF4-FFF2-40B4-BE49-F238E27FC236}">
              <a16:creationId xmlns:a16="http://schemas.microsoft.com/office/drawing/2014/main" id="{03719F9A-DCF8-4788-BFEC-5B518312B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50" name="Picture 9" descr=" ">
          <a:extLst>
            <a:ext uri="{FF2B5EF4-FFF2-40B4-BE49-F238E27FC236}">
              <a16:creationId xmlns:a16="http://schemas.microsoft.com/office/drawing/2014/main" id="{12D4D341-1C23-4CF4-A152-25DABBF5F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51" name="Picture 10" descr=" ">
          <a:extLst>
            <a:ext uri="{FF2B5EF4-FFF2-40B4-BE49-F238E27FC236}">
              <a16:creationId xmlns:a16="http://schemas.microsoft.com/office/drawing/2014/main" id="{7B88F537-0848-45DA-9E21-57D756C38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52" name="Picture 11" descr=" ">
          <a:extLst>
            <a:ext uri="{FF2B5EF4-FFF2-40B4-BE49-F238E27FC236}">
              <a16:creationId xmlns:a16="http://schemas.microsoft.com/office/drawing/2014/main" id="{820A81F9-2820-443D-850A-17666269B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</xdr:colOff>
      <xdr:row>61</xdr:row>
      <xdr:rowOff>38100</xdr:rowOff>
    </xdr:to>
    <xdr:pic>
      <xdr:nvPicPr>
        <xdr:cNvPr id="5053" name="Picture 12" descr=" ">
          <a:extLst>
            <a:ext uri="{FF2B5EF4-FFF2-40B4-BE49-F238E27FC236}">
              <a16:creationId xmlns:a16="http://schemas.microsoft.com/office/drawing/2014/main" id="{ED5590EB-92CF-4CF9-A53F-DB0DA9416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54" name="Picture 7" descr=" ">
          <a:extLst>
            <a:ext uri="{FF2B5EF4-FFF2-40B4-BE49-F238E27FC236}">
              <a16:creationId xmlns:a16="http://schemas.microsoft.com/office/drawing/2014/main" id="{43ADA173-B4F1-42C0-B9B9-5AE3F1093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55" name="Picture 8" descr=" ">
          <a:extLst>
            <a:ext uri="{FF2B5EF4-FFF2-40B4-BE49-F238E27FC236}">
              <a16:creationId xmlns:a16="http://schemas.microsoft.com/office/drawing/2014/main" id="{9D0BA3FB-EB64-43D8-A343-60CA07B52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56" name="Picture 9" descr=" ">
          <a:extLst>
            <a:ext uri="{FF2B5EF4-FFF2-40B4-BE49-F238E27FC236}">
              <a16:creationId xmlns:a16="http://schemas.microsoft.com/office/drawing/2014/main" id="{495FA672-33B2-48C4-B7AF-A6BD38A48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57" name="Picture 10" descr=" ">
          <a:extLst>
            <a:ext uri="{FF2B5EF4-FFF2-40B4-BE49-F238E27FC236}">
              <a16:creationId xmlns:a16="http://schemas.microsoft.com/office/drawing/2014/main" id="{3AA1CE64-530F-4537-92DB-25BB1B7B8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58" name="Picture 11" descr=" ">
          <a:extLst>
            <a:ext uri="{FF2B5EF4-FFF2-40B4-BE49-F238E27FC236}">
              <a16:creationId xmlns:a16="http://schemas.microsoft.com/office/drawing/2014/main" id="{8548F8ED-D2D9-4298-A191-E74220606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59" name="Picture 12" descr=" ">
          <a:extLst>
            <a:ext uri="{FF2B5EF4-FFF2-40B4-BE49-F238E27FC236}">
              <a16:creationId xmlns:a16="http://schemas.microsoft.com/office/drawing/2014/main" id="{ECA7E482-4023-4DED-92DE-8B0FDF216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60" name="Picture 7" descr=" ">
          <a:extLst>
            <a:ext uri="{FF2B5EF4-FFF2-40B4-BE49-F238E27FC236}">
              <a16:creationId xmlns:a16="http://schemas.microsoft.com/office/drawing/2014/main" id="{EEFCCFAA-9098-4050-AC11-0724ECF3A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61" name="Picture 8" descr=" ">
          <a:extLst>
            <a:ext uri="{FF2B5EF4-FFF2-40B4-BE49-F238E27FC236}">
              <a16:creationId xmlns:a16="http://schemas.microsoft.com/office/drawing/2014/main" id="{A333A357-E211-4CE9-9C74-79BE3C9FF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62" name="Picture 9" descr=" ">
          <a:extLst>
            <a:ext uri="{FF2B5EF4-FFF2-40B4-BE49-F238E27FC236}">
              <a16:creationId xmlns:a16="http://schemas.microsoft.com/office/drawing/2014/main" id="{E120E0EA-C45B-479C-A786-3A78109EA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63" name="Picture 10" descr=" ">
          <a:extLst>
            <a:ext uri="{FF2B5EF4-FFF2-40B4-BE49-F238E27FC236}">
              <a16:creationId xmlns:a16="http://schemas.microsoft.com/office/drawing/2014/main" id="{D9DDE3F2-CA7A-4754-B43E-44DE0DE0F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64" name="Picture 11" descr=" ">
          <a:extLst>
            <a:ext uri="{FF2B5EF4-FFF2-40B4-BE49-F238E27FC236}">
              <a16:creationId xmlns:a16="http://schemas.microsoft.com/office/drawing/2014/main" id="{011DA4CA-E228-44A3-AB52-5F15018AA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65" name="Picture 12" descr=" ">
          <a:extLst>
            <a:ext uri="{FF2B5EF4-FFF2-40B4-BE49-F238E27FC236}">
              <a16:creationId xmlns:a16="http://schemas.microsoft.com/office/drawing/2014/main" id="{C24049B5-5D74-4F20-9E26-26FBAD12D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66" name="Picture 7" descr=" ">
          <a:extLst>
            <a:ext uri="{FF2B5EF4-FFF2-40B4-BE49-F238E27FC236}">
              <a16:creationId xmlns:a16="http://schemas.microsoft.com/office/drawing/2014/main" id="{F2F49D57-58CD-4EC1-93BB-CC40DBA59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67" name="Picture 8" descr=" ">
          <a:extLst>
            <a:ext uri="{FF2B5EF4-FFF2-40B4-BE49-F238E27FC236}">
              <a16:creationId xmlns:a16="http://schemas.microsoft.com/office/drawing/2014/main" id="{5E434943-C842-49C7-A6E9-D2444EB9D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68" name="Picture 9" descr=" ">
          <a:extLst>
            <a:ext uri="{FF2B5EF4-FFF2-40B4-BE49-F238E27FC236}">
              <a16:creationId xmlns:a16="http://schemas.microsoft.com/office/drawing/2014/main" id="{812C31F0-4CA3-44F1-96DA-194F48E8E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69" name="Picture 10" descr=" ">
          <a:extLst>
            <a:ext uri="{FF2B5EF4-FFF2-40B4-BE49-F238E27FC236}">
              <a16:creationId xmlns:a16="http://schemas.microsoft.com/office/drawing/2014/main" id="{5A45A5F3-1D41-4AB9-AC24-F1AF3C084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70" name="Picture 11" descr=" ">
          <a:extLst>
            <a:ext uri="{FF2B5EF4-FFF2-40B4-BE49-F238E27FC236}">
              <a16:creationId xmlns:a16="http://schemas.microsoft.com/office/drawing/2014/main" id="{4CC0D81B-C653-4F66-BBA8-D6A1C1B16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71" name="Picture 12" descr=" ">
          <a:extLst>
            <a:ext uri="{FF2B5EF4-FFF2-40B4-BE49-F238E27FC236}">
              <a16:creationId xmlns:a16="http://schemas.microsoft.com/office/drawing/2014/main" id="{7FF72D36-BFE9-41CE-81F5-95E696873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72" name="Picture 7" descr=" ">
          <a:extLst>
            <a:ext uri="{FF2B5EF4-FFF2-40B4-BE49-F238E27FC236}">
              <a16:creationId xmlns:a16="http://schemas.microsoft.com/office/drawing/2014/main" id="{158AFAB4-C1D7-4E73-917A-6E833EE3B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73" name="Picture 8" descr=" ">
          <a:extLst>
            <a:ext uri="{FF2B5EF4-FFF2-40B4-BE49-F238E27FC236}">
              <a16:creationId xmlns:a16="http://schemas.microsoft.com/office/drawing/2014/main" id="{7670DE03-D5E2-44DF-9332-A6AD41562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74" name="Picture 9" descr=" ">
          <a:extLst>
            <a:ext uri="{FF2B5EF4-FFF2-40B4-BE49-F238E27FC236}">
              <a16:creationId xmlns:a16="http://schemas.microsoft.com/office/drawing/2014/main" id="{872372D9-1829-4CED-85BC-0CC0F2941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75" name="Picture 10" descr=" ">
          <a:extLst>
            <a:ext uri="{FF2B5EF4-FFF2-40B4-BE49-F238E27FC236}">
              <a16:creationId xmlns:a16="http://schemas.microsoft.com/office/drawing/2014/main" id="{62E89F08-BC4A-4DA4-90C8-5AFFFFD3A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76" name="Picture 11" descr=" ">
          <a:extLst>
            <a:ext uri="{FF2B5EF4-FFF2-40B4-BE49-F238E27FC236}">
              <a16:creationId xmlns:a16="http://schemas.microsoft.com/office/drawing/2014/main" id="{C3D6663B-8303-480D-811C-0822AA7D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77" name="Picture 12" descr=" ">
          <a:extLst>
            <a:ext uri="{FF2B5EF4-FFF2-40B4-BE49-F238E27FC236}">
              <a16:creationId xmlns:a16="http://schemas.microsoft.com/office/drawing/2014/main" id="{3A2D5A3C-BF6F-4791-8315-E0BD563CC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78" name="Picture 7" descr=" ">
          <a:extLst>
            <a:ext uri="{FF2B5EF4-FFF2-40B4-BE49-F238E27FC236}">
              <a16:creationId xmlns:a16="http://schemas.microsoft.com/office/drawing/2014/main" id="{DE3288BF-6DC5-4304-8CB1-F08C457BC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79" name="Picture 8" descr=" ">
          <a:extLst>
            <a:ext uri="{FF2B5EF4-FFF2-40B4-BE49-F238E27FC236}">
              <a16:creationId xmlns:a16="http://schemas.microsoft.com/office/drawing/2014/main" id="{29797322-094F-41E5-8904-ED17A89FD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80" name="Picture 9" descr=" ">
          <a:extLst>
            <a:ext uri="{FF2B5EF4-FFF2-40B4-BE49-F238E27FC236}">
              <a16:creationId xmlns:a16="http://schemas.microsoft.com/office/drawing/2014/main" id="{A25EE74A-6E18-42C6-85ED-FAD2E3BC2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81" name="Picture 10" descr=" ">
          <a:extLst>
            <a:ext uri="{FF2B5EF4-FFF2-40B4-BE49-F238E27FC236}">
              <a16:creationId xmlns:a16="http://schemas.microsoft.com/office/drawing/2014/main" id="{3E9988E5-10F5-4937-8135-4CC0FB02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82" name="Picture 11" descr=" ">
          <a:extLst>
            <a:ext uri="{FF2B5EF4-FFF2-40B4-BE49-F238E27FC236}">
              <a16:creationId xmlns:a16="http://schemas.microsoft.com/office/drawing/2014/main" id="{44D30B02-0BE8-4140-8A69-2900555B2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83" name="Picture 12" descr=" ">
          <a:extLst>
            <a:ext uri="{FF2B5EF4-FFF2-40B4-BE49-F238E27FC236}">
              <a16:creationId xmlns:a16="http://schemas.microsoft.com/office/drawing/2014/main" id="{791D594C-D926-49EC-B612-60813A666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84" name="Picture 7" descr=" ">
          <a:extLst>
            <a:ext uri="{FF2B5EF4-FFF2-40B4-BE49-F238E27FC236}">
              <a16:creationId xmlns:a16="http://schemas.microsoft.com/office/drawing/2014/main" id="{77FFEE37-F01C-44A9-B37F-4BFB16771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85" name="Picture 8" descr=" ">
          <a:extLst>
            <a:ext uri="{FF2B5EF4-FFF2-40B4-BE49-F238E27FC236}">
              <a16:creationId xmlns:a16="http://schemas.microsoft.com/office/drawing/2014/main" id="{5ACB79DA-69A9-400D-B24A-D1946CB0B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86" name="Picture 9" descr=" ">
          <a:extLst>
            <a:ext uri="{FF2B5EF4-FFF2-40B4-BE49-F238E27FC236}">
              <a16:creationId xmlns:a16="http://schemas.microsoft.com/office/drawing/2014/main" id="{C4092681-94E6-4C4E-A6F0-8AED0C290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87" name="Picture 10" descr=" ">
          <a:extLst>
            <a:ext uri="{FF2B5EF4-FFF2-40B4-BE49-F238E27FC236}">
              <a16:creationId xmlns:a16="http://schemas.microsoft.com/office/drawing/2014/main" id="{8804CA50-E8D2-4C6C-9F57-B092378A0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88" name="Picture 11" descr=" ">
          <a:extLst>
            <a:ext uri="{FF2B5EF4-FFF2-40B4-BE49-F238E27FC236}">
              <a16:creationId xmlns:a16="http://schemas.microsoft.com/office/drawing/2014/main" id="{4452C8F3-03FA-427B-91B5-10D249941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89" name="Picture 12" descr=" ">
          <a:extLst>
            <a:ext uri="{FF2B5EF4-FFF2-40B4-BE49-F238E27FC236}">
              <a16:creationId xmlns:a16="http://schemas.microsoft.com/office/drawing/2014/main" id="{090491D4-AE4A-4ED5-8882-9B46E7D4D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90" name="Picture 7" descr=" ">
          <a:extLst>
            <a:ext uri="{FF2B5EF4-FFF2-40B4-BE49-F238E27FC236}">
              <a16:creationId xmlns:a16="http://schemas.microsoft.com/office/drawing/2014/main" id="{B2675EA7-13E6-4805-B13A-0B125B39A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91" name="Picture 8" descr=" ">
          <a:extLst>
            <a:ext uri="{FF2B5EF4-FFF2-40B4-BE49-F238E27FC236}">
              <a16:creationId xmlns:a16="http://schemas.microsoft.com/office/drawing/2014/main" id="{A5793B59-5BA0-494B-9783-CAE0A3681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92" name="Picture 9" descr=" ">
          <a:extLst>
            <a:ext uri="{FF2B5EF4-FFF2-40B4-BE49-F238E27FC236}">
              <a16:creationId xmlns:a16="http://schemas.microsoft.com/office/drawing/2014/main" id="{C3D3FD28-D485-4929-A968-BC73171A6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93" name="Picture 10" descr=" ">
          <a:extLst>
            <a:ext uri="{FF2B5EF4-FFF2-40B4-BE49-F238E27FC236}">
              <a16:creationId xmlns:a16="http://schemas.microsoft.com/office/drawing/2014/main" id="{AC6ACF05-2DCE-4B59-B622-04C22EDEF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94" name="Picture 11" descr=" ">
          <a:extLst>
            <a:ext uri="{FF2B5EF4-FFF2-40B4-BE49-F238E27FC236}">
              <a16:creationId xmlns:a16="http://schemas.microsoft.com/office/drawing/2014/main" id="{658572F1-6B7F-44B5-8624-7B69C92A9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9525</xdr:colOff>
      <xdr:row>87</xdr:row>
      <xdr:rowOff>38100</xdr:rowOff>
    </xdr:to>
    <xdr:pic>
      <xdr:nvPicPr>
        <xdr:cNvPr id="5095" name="Picture 12" descr=" ">
          <a:extLst>
            <a:ext uri="{FF2B5EF4-FFF2-40B4-BE49-F238E27FC236}">
              <a16:creationId xmlns:a16="http://schemas.microsoft.com/office/drawing/2014/main" id="{D2FC8929-2AED-496E-9665-9971CC05D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88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096" name="Picture 7" descr=" ">
          <a:extLst>
            <a:ext uri="{FF2B5EF4-FFF2-40B4-BE49-F238E27FC236}">
              <a16:creationId xmlns:a16="http://schemas.microsoft.com/office/drawing/2014/main" id="{284CBEE9-4EF8-4680-8273-27A8DF6C1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097" name="Picture 8" descr=" ">
          <a:extLst>
            <a:ext uri="{FF2B5EF4-FFF2-40B4-BE49-F238E27FC236}">
              <a16:creationId xmlns:a16="http://schemas.microsoft.com/office/drawing/2014/main" id="{A27EA484-3486-4A4C-BFA5-F75434E9E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098" name="Picture 9" descr=" ">
          <a:extLst>
            <a:ext uri="{FF2B5EF4-FFF2-40B4-BE49-F238E27FC236}">
              <a16:creationId xmlns:a16="http://schemas.microsoft.com/office/drawing/2014/main" id="{EFD08BC9-8BBF-4511-A6D7-E98B40656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099" name="Picture 10" descr=" ">
          <a:extLst>
            <a:ext uri="{FF2B5EF4-FFF2-40B4-BE49-F238E27FC236}">
              <a16:creationId xmlns:a16="http://schemas.microsoft.com/office/drawing/2014/main" id="{584CDF36-5ECC-43B8-8D3D-EF884F90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00" name="Picture 11" descr=" ">
          <a:extLst>
            <a:ext uri="{FF2B5EF4-FFF2-40B4-BE49-F238E27FC236}">
              <a16:creationId xmlns:a16="http://schemas.microsoft.com/office/drawing/2014/main" id="{4D4D66C7-33A3-4D82-99F9-6B68BB064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01" name="Picture 12" descr=" ">
          <a:extLst>
            <a:ext uri="{FF2B5EF4-FFF2-40B4-BE49-F238E27FC236}">
              <a16:creationId xmlns:a16="http://schemas.microsoft.com/office/drawing/2014/main" id="{432EF786-6FE8-468A-82A5-980B88401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02" name="Picture 7" descr=" ">
          <a:extLst>
            <a:ext uri="{FF2B5EF4-FFF2-40B4-BE49-F238E27FC236}">
              <a16:creationId xmlns:a16="http://schemas.microsoft.com/office/drawing/2014/main" id="{42BE5B67-DE25-482E-9DEC-58B5F02E6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03" name="Picture 8" descr=" ">
          <a:extLst>
            <a:ext uri="{FF2B5EF4-FFF2-40B4-BE49-F238E27FC236}">
              <a16:creationId xmlns:a16="http://schemas.microsoft.com/office/drawing/2014/main" id="{899B61E0-4981-4332-A4B9-AE3EA47F5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04" name="Picture 9" descr=" ">
          <a:extLst>
            <a:ext uri="{FF2B5EF4-FFF2-40B4-BE49-F238E27FC236}">
              <a16:creationId xmlns:a16="http://schemas.microsoft.com/office/drawing/2014/main" id="{64743597-C778-48FE-BB1F-5BB4BBA7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05" name="Picture 10" descr=" ">
          <a:extLst>
            <a:ext uri="{FF2B5EF4-FFF2-40B4-BE49-F238E27FC236}">
              <a16:creationId xmlns:a16="http://schemas.microsoft.com/office/drawing/2014/main" id="{4F367AD7-AFA2-4CC2-BEBF-0CF1D0400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06" name="Picture 11" descr=" ">
          <a:extLst>
            <a:ext uri="{FF2B5EF4-FFF2-40B4-BE49-F238E27FC236}">
              <a16:creationId xmlns:a16="http://schemas.microsoft.com/office/drawing/2014/main" id="{BF59D2D3-A030-4359-85AC-86632AF7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07" name="Picture 12" descr=" ">
          <a:extLst>
            <a:ext uri="{FF2B5EF4-FFF2-40B4-BE49-F238E27FC236}">
              <a16:creationId xmlns:a16="http://schemas.microsoft.com/office/drawing/2014/main" id="{231F5DDA-A1BA-4874-9070-55A2E25F4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08" name="Picture 7" descr=" ">
          <a:extLst>
            <a:ext uri="{FF2B5EF4-FFF2-40B4-BE49-F238E27FC236}">
              <a16:creationId xmlns:a16="http://schemas.microsoft.com/office/drawing/2014/main" id="{773C84DE-23CE-4548-AC65-CED240D78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09" name="Picture 8" descr=" ">
          <a:extLst>
            <a:ext uri="{FF2B5EF4-FFF2-40B4-BE49-F238E27FC236}">
              <a16:creationId xmlns:a16="http://schemas.microsoft.com/office/drawing/2014/main" id="{F506C60E-DC53-4B6C-8941-FB7E25813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10" name="Picture 9" descr=" ">
          <a:extLst>
            <a:ext uri="{FF2B5EF4-FFF2-40B4-BE49-F238E27FC236}">
              <a16:creationId xmlns:a16="http://schemas.microsoft.com/office/drawing/2014/main" id="{D90D98D0-88FF-4DFB-9289-66851FD33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11" name="Picture 10" descr=" ">
          <a:extLst>
            <a:ext uri="{FF2B5EF4-FFF2-40B4-BE49-F238E27FC236}">
              <a16:creationId xmlns:a16="http://schemas.microsoft.com/office/drawing/2014/main" id="{DEECD26C-63BC-4AF9-A99B-9ACD71F11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12" name="Picture 11" descr=" ">
          <a:extLst>
            <a:ext uri="{FF2B5EF4-FFF2-40B4-BE49-F238E27FC236}">
              <a16:creationId xmlns:a16="http://schemas.microsoft.com/office/drawing/2014/main" id="{B00C6869-791C-4B24-95AB-D61752899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13" name="Picture 12" descr=" ">
          <a:extLst>
            <a:ext uri="{FF2B5EF4-FFF2-40B4-BE49-F238E27FC236}">
              <a16:creationId xmlns:a16="http://schemas.microsoft.com/office/drawing/2014/main" id="{913A5019-A96B-4827-9993-2E3DFDED5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14" name="Picture 7" descr=" ">
          <a:extLst>
            <a:ext uri="{FF2B5EF4-FFF2-40B4-BE49-F238E27FC236}">
              <a16:creationId xmlns:a16="http://schemas.microsoft.com/office/drawing/2014/main" id="{2669DB5B-FA5F-4FD2-AD4E-95DE988BD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15" name="Picture 8" descr=" ">
          <a:extLst>
            <a:ext uri="{FF2B5EF4-FFF2-40B4-BE49-F238E27FC236}">
              <a16:creationId xmlns:a16="http://schemas.microsoft.com/office/drawing/2014/main" id="{392A7B14-3652-4B48-B0C4-90A71EE87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16" name="Picture 9" descr=" ">
          <a:extLst>
            <a:ext uri="{FF2B5EF4-FFF2-40B4-BE49-F238E27FC236}">
              <a16:creationId xmlns:a16="http://schemas.microsoft.com/office/drawing/2014/main" id="{BE19DFC5-6C81-44F7-ACBF-908252991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17" name="Picture 10" descr=" ">
          <a:extLst>
            <a:ext uri="{FF2B5EF4-FFF2-40B4-BE49-F238E27FC236}">
              <a16:creationId xmlns:a16="http://schemas.microsoft.com/office/drawing/2014/main" id="{4F639220-A25A-4DDC-83B1-237FC1F1B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18" name="Picture 11" descr=" ">
          <a:extLst>
            <a:ext uri="{FF2B5EF4-FFF2-40B4-BE49-F238E27FC236}">
              <a16:creationId xmlns:a16="http://schemas.microsoft.com/office/drawing/2014/main" id="{124FB69C-A959-4399-8BA6-8CA061267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19" name="Picture 12" descr=" ">
          <a:extLst>
            <a:ext uri="{FF2B5EF4-FFF2-40B4-BE49-F238E27FC236}">
              <a16:creationId xmlns:a16="http://schemas.microsoft.com/office/drawing/2014/main" id="{59589919-374A-487F-874D-2BBE94EB4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20" name="Picture 7" descr=" ">
          <a:extLst>
            <a:ext uri="{FF2B5EF4-FFF2-40B4-BE49-F238E27FC236}">
              <a16:creationId xmlns:a16="http://schemas.microsoft.com/office/drawing/2014/main" id="{4E88D5C0-0BFC-43D0-845A-06E33CDA0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21" name="Picture 8" descr=" ">
          <a:extLst>
            <a:ext uri="{FF2B5EF4-FFF2-40B4-BE49-F238E27FC236}">
              <a16:creationId xmlns:a16="http://schemas.microsoft.com/office/drawing/2014/main" id="{8ECB9117-64AB-42E2-A0F1-E6C4D29ED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22" name="Picture 9" descr=" ">
          <a:extLst>
            <a:ext uri="{FF2B5EF4-FFF2-40B4-BE49-F238E27FC236}">
              <a16:creationId xmlns:a16="http://schemas.microsoft.com/office/drawing/2014/main" id="{6B9746C5-6457-43E2-96BA-7CC493DFA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23" name="Picture 10" descr=" ">
          <a:extLst>
            <a:ext uri="{FF2B5EF4-FFF2-40B4-BE49-F238E27FC236}">
              <a16:creationId xmlns:a16="http://schemas.microsoft.com/office/drawing/2014/main" id="{3D878558-AB0C-4007-881F-93D58BF14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24" name="Picture 11" descr=" ">
          <a:extLst>
            <a:ext uri="{FF2B5EF4-FFF2-40B4-BE49-F238E27FC236}">
              <a16:creationId xmlns:a16="http://schemas.microsoft.com/office/drawing/2014/main" id="{15C390AB-7CAD-450E-B848-13686F81E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25" name="Picture 12" descr=" ">
          <a:extLst>
            <a:ext uri="{FF2B5EF4-FFF2-40B4-BE49-F238E27FC236}">
              <a16:creationId xmlns:a16="http://schemas.microsoft.com/office/drawing/2014/main" id="{9F82C1F0-F4A4-4ED1-A4D9-A4911E596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26" name="Picture 7" descr=" ">
          <a:extLst>
            <a:ext uri="{FF2B5EF4-FFF2-40B4-BE49-F238E27FC236}">
              <a16:creationId xmlns:a16="http://schemas.microsoft.com/office/drawing/2014/main" id="{1311FEC1-B9E3-4A28-8CEE-C5828AECA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27" name="Picture 8" descr=" ">
          <a:extLst>
            <a:ext uri="{FF2B5EF4-FFF2-40B4-BE49-F238E27FC236}">
              <a16:creationId xmlns:a16="http://schemas.microsoft.com/office/drawing/2014/main" id="{1720A2C2-9ECF-4C64-8704-6746D1F56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28" name="Picture 9" descr=" ">
          <a:extLst>
            <a:ext uri="{FF2B5EF4-FFF2-40B4-BE49-F238E27FC236}">
              <a16:creationId xmlns:a16="http://schemas.microsoft.com/office/drawing/2014/main" id="{6E641956-C5A2-4AF2-8CC2-B3589DE90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29" name="Picture 10" descr=" ">
          <a:extLst>
            <a:ext uri="{FF2B5EF4-FFF2-40B4-BE49-F238E27FC236}">
              <a16:creationId xmlns:a16="http://schemas.microsoft.com/office/drawing/2014/main" id="{80DF6FE7-6FC4-4595-83E3-8CC10F94C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30" name="Picture 11" descr=" ">
          <a:extLst>
            <a:ext uri="{FF2B5EF4-FFF2-40B4-BE49-F238E27FC236}">
              <a16:creationId xmlns:a16="http://schemas.microsoft.com/office/drawing/2014/main" id="{28E79635-6559-4A7E-98BA-8D3790FD4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31" name="Picture 12" descr=" ">
          <a:extLst>
            <a:ext uri="{FF2B5EF4-FFF2-40B4-BE49-F238E27FC236}">
              <a16:creationId xmlns:a16="http://schemas.microsoft.com/office/drawing/2014/main" id="{3B8AC8A4-E381-42E5-9F47-F2A1BF69F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32" name="Picture 7" descr=" ">
          <a:extLst>
            <a:ext uri="{FF2B5EF4-FFF2-40B4-BE49-F238E27FC236}">
              <a16:creationId xmlns:a16="http://schemas.microsoft.com/office/drawing/2014/main" id="{D8B2D118-813F-41CE-8937-D5C3575B9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33" name="Picture 8" descr=" ">
          <a:extLst>
            <a:ext uri="{FF2B5EF4-FFF2-40B4-BE49-F238E27FC236}">
              <a16:creationId xmlns:a16="http://schemas.microsoft.com/office/drawing/2014/main" id="{E4768DEB-DC71-42FD-9D82-80B6BE990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34" name="Picture 9" descr=" ">
          <a:extLst>
            <a:ext uri="{FF2B5EF4-FFF2-40B4-BE49-F238E27FC236}">
              <a16:creationId xmlns:a16="http://schemas.microsoft.com/office/drawing/2014/main" id="{6958D70C-A911-4462-B0EE-EB153B14A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35" name="Picture 10" descr=" ">
          <a:extLst>
            <a:ext uri="{FF2B5EF4-FFF2-40B4-BE49-F238E27FC236}">
              <a16:creationId xmlns:a16="http://schemas.microsoft.com/office/drawing/2014/main" id="{7BD7D539-A111-4FB1-9DB7-D07A4E683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36" name="Picture 11" descr=" ">
          <a:extLst>
            <a:ext uri="{FF2B5EF4-FFF2-40B4-BE49-F238E27FC236}">
              <a16:creationId xmlns:a16="http://schemas.microsoft.com/office/drawing/2014/main" id="{6EAB0434-670A-4ED1-8666-BBA62601C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37" name="Picture 12" descr=" ">
          <a:extLst>
            <a:ext uri="{FF2B5EF4-FFF2-40B4-BE49-F238E27FC236}">
              <a16:creationId xmlns:a16="http://schemas.microsoft.com/office/drawing/2014/main" id="{607869B6-2AF7-483E-9402-2597C534A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38" name="Picture 7" descr=" ">
          <a:extLst>
            <a:ext uri="{FF2B5EF4-FFF2-40B4-BE49-F238E27FC236}">
              <a16:creationId xmlns:a16="http://schemas.microsoft.com/office/drawing/2014/main" id="{358D0517-C085-4116-A18A-28E1AB634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39" name="Picture 8" descr=" ">
          <a:extLst>
            <a:ext uri="{FF2B5EF4-FFF2-40B4-BE49-F238E27FC236}">
              <a16:creationId xmlns:a16="http://schemas.microsoft.com/office/drawing/2014/main" id="{0A49F514-27E6-4DF8-AC33-C6BC2AE0A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40" name="Picture 9" descr=" ">
          <a:extLst>
            <a:ext uri="{FF2B5EF4-FFF2-40B4-BE49-F238E27FC236}">
              <a16:creationId xmlns:a16="http://schemas.microsoft.com/office/drawing/2014/main" id="{BD0C73B5-02DF-49DC-ABA4-360CB679C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41" name="Picture 10" descr=" ">
          <a:extLst>
            <a:ext uri="{FF2B5EF4-FFF2-40B4-BE49-F238E27FC236}">
              <a16:creationId xmlns:a16="http://schemas.microsoft.com/office/drawing/2014/main" id="{1C68D968-5155-4050-B5C7-C79E1656E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42" name="Picture 11" descr=" ">
          <a:extLst>
            <a:ext uri="{FF2B5EF4-FFF2-40B4-BE49-F238E27FC236}">
              <a16:creationId xmlns:a16="http://schemas.microsoft.com/office/drawing/2014/main" id="{A84F73F7-805E-4971-B1A0-C4D159019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9525</xdr:colOff>
      <xdr:row>98</xdr:row>
      <xdr:rowOff>38100</xdr:rowOff>
    </xdr:to>
    <xdr:pic>
      <xdr:nvPicPr>
        <xdr:cNvPr id="5143" name="Picture 12" descr=" ">
          <a:extLst>
            <a:ext uri="{FF2B5EF4-FFF2-40B4-BE49-F238E27FC236}">
              <a16:creationId xmlns:a16="http://schemas.microsoft.com/office/drawing/2014/main" id="{D0E8DB0B-D8E3-4A92-9DFE-2BA84302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00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44" name="Picture 7" descr=" ">
          <a:extLst>
            <a:ext uri="{FF2B5EF4-FFF2-40B4-BE49-F238E27FC236}">
              <a16:creationId xmlns:a16="http://schemas.microsoft.com/office/drawing/2014/main" id="{4ED716DC-6AA7-4E8F-AA1D-7857CFC4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45" name="Picture 8" descr=" ">
          <a:extLst>
            <a:ext uri="{FF2B5EF4-FFF2-40B4-BE49-F238E27FC236}">
              <a16:creationId xmlns:a16="http://schemas.microsoft.com/office/drawing/2014/main" id="{E42D975D-89D5-469F-B539-9EA674FB8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46" name="Picture 9" descr=" ">
          <a:extLst>
            <a:ext uri="{FF2B5EF4-FFF2-40B4-BE49-F238E27FC236}">
              <a16:creationId xmlns:a16="http://schemas.microsoft.com/office/drawing/2014/main" id="{23C30102-C386-48AA-8D19-68ED5932C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47" name="Picture 10" descr=" ">
          <a:extLst>
            <a:ext uri="{FF2B5EF4-FFF2-40B4-BE49-F238E27FC236}">
              <a16:creationId xmlns:a16="http://schemas.microsoft.com/office/drawing/2014/main" id="{F218208D-0592-4D5B-913E-7FECBB5BB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48" name="Picture 11" descr=" ">
          <a:extLst>
            <a:ext uri="{FF2B5EF4-FFF2-40B4-BE49-F238E27FC236}">
              <a16:creationId xmlns:a16="http://schemas.microsoft.com/office/drawing/2014/main" id="{6DCE3805-19C4-408F-A3A3-DAB1F6A4E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49" name="Picture 12" descr=" ">
          <a:extLst>
            <a:ext uri="{FF2B5EF4-FFF2-40B4-BE49-F238E27FC236}">
              <a16:creationId xmlns:a16="http://schemas.microsoft.com/office/drawing/2014/main" id="{96FB8F80-6F8C-4C7F-889B-076862C10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50" name="Picture 7" descr=" ">
          <a:extLst>
            <a:ext uri="{FF2B5EF4-FFF2-40B4-BE49-F238E27FC236}">
              <a16:creationId xmlns:a16="http://schemas.microsoft.com/office/drawing/2014/main" id="{4F24B5D5-E73C-4E2B-9A2A-91BE8622C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51" name="Picture 8" descr=" ">
          <a:extLst>
            <a:ext uri="{FF2B5EF4-FFF2-40B4-BE49-F238E27FC236}">
              <a16:creationId xmlns:a16="http://schemas.microsoft.com/office/drawing/2014/main" id="{3AF36E21-EC5B-4CEE-8DCC-2E2463150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52" name="Picture 9" descr=" ">
          <a:extLst>
            <a:ext uri="{FF2B5EF4-FFF2-40B4-BE49-F238E27FC236}">
              <a16:creationId xmlns:a16="http://schemas.microsoft.com/office/drawing/2014/main" id="{01D715D4-6CAC-4FFD-B37E-172D9E0B8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53" name="Picture 10" descr=" ">
          <a:extLst>
            <a:ext uri="{FF2B5EF4-FFF2-40B4-BE49-F238E27FC236}">
              <a16:creationId xmlns:a16="http://schemas.microsoft.com/office/drawing/2014/main" id="{B4A6D021-13B9-450D-8821-F83C563FC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54" name="Picture 11" descr=" ">
          <a:extLst>
            <a:ext uri="{FF2B5EF4-FFF2-40B4-BE49-F238E27FC236}">
              <a16:creationId xmlns:a16="http://schemas.microsoft.com/office/drawing/2014/main" id="{A08E7962-C6D0-4B51-9D7B-2C04B40B0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55" name="Picture 12" descr=" ">
          <a:extLst>
            <a:ext uri="{FF2B5EF4-FFF2-40B4-BE49-F238E27FC236}">
              <a16:creationId xmlns:a16="http://schemas.microsoft.com/office/drawing/2014/main" id="{A6E3AA62-E725-41FA-BE63-7A09B7F6A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56" name="Picture 7" descr=" ">
          <a:extLst>
            <a:ext uri="{FF2B5EF4-FFF2-40B4-BE49-F238E27FC236}">
              <a16:creationId xmlns:a16="http://schemas.microsoft.com/office/drawing/2014/main" id="{7CD08B28-DAFB-4ACB-BEF3-73056CB1C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57" name="Picture 8" descr=" ">
          <a:extLst>
            <a:ext uri="{FF2B5EF4-FFF2-40B4-BE49-F238E27FC236}">
              <a16:creationId xmlns:a16="http://schemas.microsoft.com/office/drawing/2014/main" id="{F7989DB3-B36E-4195-89B4-57C75F378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58" name="Picture 9" descr=" ">
          <a:extLst>
            <a:ext uri="{FF2B5EF4-FFF2-40B4-BE49-F238E27FC236}">
              <a16:creationId xmlns:a16="http://schemas.microsoft.com/office/drawing/2014/main" id="{9ADC2EE1-896C-4EF8-904B-47A874BAD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59" name="Picture 10" descr=" ">
          <a:extLst>
            <a:ext uri="{FF2B5EF4-FFF2-40B4-BE49-F238E27FC236}">
              <a16:creationId xmlns:a16="http://schemas.microsoft.com/office/drawing/2014/main" id="{77B6F950-0122-4115-ACB1-97A4A5906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60" name="Picture 11" descr=" ">
          <a:extLst>
            <a:ext uri="{FF2B5EF4-FFF2-40B4-BE49-F238E27FC236}">
              <a16:creationId xmlns:a16="http://schemas.microsoft.com/office/drawing/2014/main" id="{5F055764-91F0-4176-9462-EC95039BB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61" name="Picture 12" descr=" ">
          <a:extLst>
            <a:ext uri="{FF2B5EF4-FFF2-40B4-BE49-F238E27FC236}">
              <a16:creationId xmlns:a16="http://schemas.microsoft.com/office/drawing/2014/main" id="{F5ECC0EA-5EE6-4594-82B9-958DE611B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62" name="Picture 7" descr=" ">
          <a:extLst>
            <a:ext uri="{FF2B5EF4-FFF2-40B4-BE49-F238E27FC236}">
              <a16:creationId xmlns:a16="http://schemas.microsoft.com/office/drawing/2014/main" id="{225E8BE8-347B-4D83-9E7B-CCF533A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63" name="Picture 8" descr=" ">
          <a:extLst>
            <a:ext uri="{FF2B5EF4-FFF2-40B4-BE49-F238E27FC236}">
              <a16:creationId xmlns:a16="http://schemas.microsoft.com/office/drawing/2014/main" id="{D9806685-E20E-4BBF-81F1-90B6235BD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64" name="Picture 9" descr=" ">
          <a:extLst>
            <a:ext uri="{FF2B5EF4-FFF2-40B4-BE49-F238E27FC236}">
              <a16:creationId xmlns:a16="http://schemas.microsoft.com/office/drawing/2014/main" id="{AADFD438-AF0F-4BAD-A45A-157FF09F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65" name="Picture 10" descr=" ">
          <a:extLst>
            <a:ext uri="{FF2B5EF4-FFF2-40B4-BE49-F238E27FC236}">
              <a16:creationId xmlns:a16="http://schemas.microsoft.com/office/drawing/2014/main" id="{761CBE5E-7261-4384-BDAF-8D11DED66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66" name="Picture 11" descr=" ">
          <a:extLst>
            <a:ext uri="{FF2B5EF4-FFF2-40B4-BE49-F238E27FC236}">
              <a16:creationId xmlns:a16="http://schemas.microsoft.com/office/drawing/2014/main" id="{02B63CC5-E249-4CD2-ACFA-A2792CE8E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67" name="Picture 12" descr=" ">
          <a:extLst>
            <a:ext uri="{FF2B5EF4-FFF2-40B4-BE49-F238E27FC236}">
              <a16:creationId xmlns:a16="http://schemas.microsoft.com/office/drawing/2014/main" id="{8DC63273-910F-439F-97F8-6BB2E0621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68" name="Picture 7" descr=" ">
          <a:extLst>
            <a:ext uri="{FF2B5EF4-FFF2-40B4-BE49-F238E27FC236}">
              <a16:creationId xmlns:a16="http://schemas.microsoft.com/office/drawing/2014/main" id="{6664D4EC-FF24-4B6F-86AA-A07C18D54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69" name="Picture 8" descr=" ">
          <a:extLst>
            <a:ext uri="{FF2B5EF4-FFF2-40B4-BE49-F238E27FC236}">
              <a16:creationId xmlns:a16="http://schemas.microsoft.com/office/drawing/2014/main" id="{6E33A416-D7A9-4903-A3AC-E9CA8608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70" name="Picture 9" descr=" ">
          <a:extLst>
            <a:ext uri="{FF2B5EF4-FFF2-40B4-BE49-F238E27FC236}">
              <a16:creationId xmlns:a16="http://schemas.microsoft.com/office/drawing/2014/main" id="{D98E5909-B993-4EF3-B9DB-A7F7F9B7B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71" name="Picture 10" descr=" ">
          <a:extLst>
            <a:ext uri="{FF2B5EF4-FFF2-40B4-BE49-F238E27FC236}">
              <a16:creationId xmlns:a16="http://schemas.microsoft.com/office/drawing/2014/main" id="{8D0589DE-0692-49D3-9481-5751910AC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72" name="Picture 11" descr=" ">
          <a:extLst>
            <a:ext uri="{FF2B5EF4-FFF2-40B4-BE49-F238E27FC236}">
              <a16:creationId xmlns:a16="http://schemas.microsoft.com/office/drawing/2014/main" id="{99738F3B-41E5-4E16-A715-ED7533428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73" name="Picture 12" descr=" ">
          <a:extLst>
            <a:ext uri="{FF2B5EF4-FFF2-40B4-BE49-F238E27FC236}">
              <a16:creationId xmlns:a16="http://schemas.microsoft.com/office/drawing/2014/main" id="{3814934D-B74F-4E51-AA73-BD9A9C640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74" name="Picture 7" descr=" ">
          <a:extLst>
            <a:ext uri="{FF2B5EF4-FFF2-40B4-BE49-F238E27FC236}">
              <a16:creationId xmlns:a16="http://schemas.microsoft.com/office/drawing/2014/main" id="{3F30FC37-23DE-4A7F-925E-BAF47B03F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75" name="Picture 8" descr=" ">
          <a:extLst>
            <a:ext uri="{FF2B5EF4-FFF2-40B4-BE49-F238E27FC236}">
              <a16:creationId xmlns:a16="http://schemas.microsoft.com/office/drawing/2014/main" id="{9F4A7518-6C34-41F4-93B8-69A2B324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76" name="Picture 9" descr=" ">
          <a:extLst>
            <a:ext uri="{FF2B5EF4-FFF2-40B4-BE49-F238E27FC236}">
              <a16:creationId xmlns:a16="http://schemas.microsoft.com/office/drawing/2014/main" id="{2618F2C7-7C30-40F1-BAB5-A291B19C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77" name="Picture 10" descr=" ">
          <a:extLst>
            <a:ext uri="{FF2B5EF4-FFF2-40B4-BE49-F238E27FC236}">
              <a16:creationId xmlns:a16="http://schemas.microsoft.com/office/drawing/2014/main" id="{C7A93BF1-D976-4623-85D6-8B1D9CFDD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78" name="Picture 11" descr=" ">
          <a:extLst>
            <a:ext uri="{FF2B5EF4-FFF2-40B4-BE49-F238E27FC236}">
              <a16:creationId xmlns:a16="http://schemas.microsoft.com/office/drawing/2014/main" id="{651B6C15-84A2-43E3-ABA7-CDD444F60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79" name="Picture 12" descr=" ">
          <a:extLst>
            <a:ext uri="{FF2B5EF4-FFF2-40B4-BE49-F238E27FC236}">
              <a16:creationId xmlns:a16="http://schemas.microsoft.com/office/drawing/2014/main" id="{821D62CC-7CE0-4D33-A19E-3157E6A0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80" name="Picture 7" descr=" ">
          <a:extLst>
            <a:ext uri="{FF2B5EF4-FFF2-40B4-BE49-F238E27FC236}">
              <a16:creationId xmlns:a16="http://schemas.microsoft.com/office/drawing/2014/main" id="{ED673F14-C7D6-4A66-BB1E-38F594E77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81" name="Picture 8" descr=" ">
          <a:extLst>
            <a:ext uri="{FF2B5EF4-FFF2-40B4-BE49-F238E27FC236}">
              <a16:creationId xmlns:a16="http://schemas.microsoft.com/office/drawing/2014/main" id="{172D3657-584D-41DC-A82B-FE51B2390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82" name="Picture 9" descr=" ">
          <a:extLst>
            <a:ext uri="{FF2B5EF4-FFF2-40B4-BE49-F238E27FC236}">
              <a16:creationId xmlns:a16="http://schemas.microsoft.com/office/drawing/2014/main" id="{FD71905E-FA5E-4058-AEC4-5EE9AFBC1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83" name="Picture 10" descr=" ">
          <a:extLst>
            <a:ext uri="{FF2B5EF4-FFF2-40B4-BE49-F238E27FC236}">
              <a16:creationId xmlns:a16="http://schemas.microsoft.com/office/drawing/2014/main" id="{3B7604D9-C1A8-4029-8731-A979694B0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84" name="Picture 11" descr=" ">
          <a:extLst>
            <a:ext uri="{FF2B5EF4-FFF2-40B4-BE49-F238E27FC236}">
              <a16:creationId xmlns:a16="http://schemas.microsoft.com/office/drawing/2014/main" id="{F72E6321-9D3C-46C5-879C-5CEF04FE6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85" name="Picture 12" descr=" ">
          <a:extLst>
            <a:ext uri="{FF2B5EF4-FFF2-40B4-BE49-F238E27FC236}">
              <a16:creationId xmlns:a16="http://schemas.microsoft.com/office/drawing/2014/main" id="{5A2CD53F-6B70-4F53-AE3D-C90C4967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86" name="Picture 7" descr=" ">
          <a:extLst>
            <a:ext uri="{FF2B5EF4-FFF2-40B4-BE49-F238E27FC236}">
              <a16:creationId xmlns:a16="http://schemas.microsoft.com/office/drawing/2014/main" id="{3E3C0E5B-C5A8-48E6-8436-64EAF23DB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87" name="Picture 8" descr=" ">
          <a:extLst>
            <a:ext uri="{FF2B5EF4-FFF2-40B4-BE49-F238E27FC236}">
              <a16:creationId xmlns:a16="http://schemas.microsoft.com/office/drawing/2014/main" id="{C4FE9E4E-A528-4281-AA27-94C87FBB8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88" name="Picture 9" descr=" ">
          <a:extLst>
            <a:ext uri="{FF2B5EF4-FFF2-40B4-BE49-F238E27FC236}">
              <a16:creationId xmlns:a16="http://schemas.microsoft.com/office/drawing/2014/main" id="{947ADF26-C2E7-426D-AD9E-F48B4F67A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89" name="Picture 10" descr=" ">
          <a:extLst>
            <a:ext uri="{FF2B5EF4-FFF2-40B4-BE49-F238E27FC236}">
              <a16:creationId xmlns:a16="http://schemas.microsoft.com/office/drawing/2014/main" id="{B5101323-2340-4E66-BD6B-815907659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90" name="Picture 11" descr=" ">
          <a:extLst>
            <a:ext uri="{FF2B5EF4-FFF2-40B4-BE49-F238E27FC236}">
              <a16:creationId xmlns:a16="http://schemas.microsoft.com/office/drawing/2014/main" id="{57A59E22-9A5A-424E-8B63-A5574BAF0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91" name="Picture 12" descr=" ">
          <a:extLst>
            <a:ext uri="{FF2B5EF4-FFF2-40B4-BE49-F238E27FC236}">
              <a16:creationId xmlns:a16="http://schemas.microsoft.com/office/drawing/2014/main" id="{56CF8302-100C-4022-98CC-3455A3599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92" name="Picture 7" descr=" ">
          <a:extLst>
            <a:ext uri="{FF2B5EF4-FFF2-40B4-BE49-F238E27FC236}">
              <a16:creationId xmlns:a16="http://schemas.microsoft.com/office/drawing/2014/main" id="{EF82F0A9-C97A-4641-8E73-C1C3866C5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93" name="Picture 8" descr=" ">
          <a:extLst>
            <a:ext uri="{FF2B5EF4-FFF2-40B4-BE49-F238E27FC236}">
              <a16:creationId xmlns:a16="http://schemas.microsoft.com/office/drawing/2014/main" id="{5BE489A5-E262-4B20-B652-613ADC840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94" name="Picture 9" descr=" ">
          <a:extLst>
            <a:ext uri="{FF2B5EF4-FFF2-40B4-BE49-F238E27FC236}">
              <a16:creationId xmlns:a16="http://schemas.microsoft.com/office/drawing/2014/main" id="{3FBF3F5D-3756-4FE2-BC47-D183EA806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95" name="Picture 10" descr=" ">
          <a:extLst>
            <a:ext uri="{FF2B5EF4-FFF2-40B4-BE49-F238E27FC236}">
              <a16:creationId xmlns:a16="http://schemas.microsoft.com/office/drawing/2014/main" id="{F45863C6-A426-43C7-BF72-EEF4A975F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96" name="Picture 11" descr=" ">
          <a:extLst>
            <a:ext uri="{FF2B5EF4-FFF2-40B4-BE49-F238E27FC236}">
              <a16:creationId xmlns:a16="http://schemas.microsoft.com/office/drawing/2014/main" id="{13C9EC0E-A42D-4442-A336-C2F78F9E4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0</xdr:col>
      <xdr:colOff>9525</xdr:colOff>
      <xdr:row>122</xdr:row>
      <xdr:rowOff>38100</xdr:rowOff>
    </xdr:to>
    <xdr:pic>
      <xdr:nvPicPr>
        <xdr:cNvPr id="5197" name="Picture 12" descr=" ">
          <a:extLst>
            <a:ext uri="{FF2B5EF4-FFF2-40B4-BE49-F238E27FC236}">
              <a16:creationId xmlns:a16="http://schemas.microsoft.com/office/drawing/2014/main" id="{D80416D2-5A99-42FD-B536-9E9EC3D51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800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198" name="Picture 7" descr=" ">
          <a:extLst>
            <a:ext uri="{FF2B5EF4-FFF2-40B4-BE49-F238E27FC236}">
              <a16:creationId xmlns:a16="http://schemas.microsoft.com/office/drawing/2014/main" id="{66870087-24E3-4BD7-BDB6-333F8C19E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199" name="Picture 8" descr=" ">
          <a:extLst>
            <a:ext uri="{FF2B5EF4-FFF2-40B4-BE49-F238E27FC236}">
              <a16:creationId xmlns:a16="http://schemas.microsoft.com/office/drawing/2014/main" id="{9A6E789A-0543-4950-9454-6EE0B851A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00" name="Picture 9" descr=" ">
          <a:extLst>
            <a:ext uri="{FF2B5EF4-FFF2-40B4-BE49-F238E27FC236}">
              <a16:creationId xmlns:a16="http://schemas.microsoft.com/office/drawing/2014/main" id="{AB110456-5B9B-4B58-BCD8-63C852153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01" name="Picture 10" descr=" ">
          <a:extLst>
            <a:ext uri="{FF2B5EF4-FFF2-40B4-BE49-F238E27FC236}">
              <a16:creationId xmlns:a16="http://schemas.microsoft.com/office/drawing/2014/main" id="{38017633-9C5E-460B-B47A-D6056BE8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02" name="Picture 11" descr=" ">
          <a:extLst>
            <a:ext uri="{FF2B5EF4-FFF2-40B4-BE49-F238E27FC236}">
              <a16:creationId xmlns:a16="http://schemas.microsoft.com/office/drawing/2014/main" id="{A93CD3D1-4501-4E41-BAEB-219F0E047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03" name="Picture 12" descr=" ">
          <a:extLst>
            <a:ext uri="{FF2B5EF4-FFF2-40B4-BE49-F238E27FC236}">
              <a16:creationId xmlns:a16="http://schemas.microsoft.com/office/drawing/2014/main" id="{94142FC6-3B32-41E7-85A5-573AE2559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04" name="Picture 7" descr=" ">
          <a:extLst>
            <a:ext uri="{FF2B5EF4-FFF2-40B4-BE49-F238E27FC236}">
              <a16:creationId xmlns:a16="http://schemas.microsoft.com/office/drawing/2014/main" id="{27DD6BC7-4DA7-45F1-9316-36791C573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05" name="Picture 8" descr=" ">
          <a:extLst>
            <a:ext uri="{FF2B5EF4-FFF2-40B4-BE49-F238E27FC236}">
              <a16:creationId xmlns:a16="http://schemas.microsoft.com/office/drawing/2014/main" id="{3A4B6C77-4255-4B5C-B12D-63F4FCE1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06" name="Picture 9" descr=" ">
          <a:extLst>
            <a:ext uri="{FF2B5EF4-FFF2-40B4-BE49-F238E27FC236}">
              <a16:creationId xmlns:a16="http://schemas.microsoft.com/office/drawing/2014/main" id="{9048FFAE-522F-4A68-80C9-96471DD1A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07" name="Picture 10" descr=" ">
          <a:extLst>
            <a:ext uri="{FF2B5EF4-FFF2-40B4-BE49-F238E27FC236}">
              <a16:creationId xmlns:a16="http://schemas.microsoft.com/office/drawing/2014/main" id="{C21492D9-B18F-4409-B0A1-99E31DB7C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08" name="Picture 11" descr=" ">
          <a:extLst>
            <a:ext uri="{FF2B5EF4-FFF2-40B4-BE49-F238E27FC236}">
              <a16:creationId xmlns:a16="http://schemas.microsoft.com/office/drawing/2014/main" id="{FB2B588A-173A-49BE-B071-A011CC0DF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09" name="Picture 12" descr=" ">
          <a:extLst>
            <a:ext uri="{FF2B5EF4-FFF2-40B4-BE49-F238E27FC236}">
              <a16:creationId xmlns:a16="http://schemas.microsoft.com/office/drawing/2014/main" id="{53E196DF-FC3B-43C7-BB68-14B2200FF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10" name="Picture 7" descr=" ">
          <a:extLst>
            <a:ext uri="{FF2B5EF4-FFF2-40B4-BE49-F238E27FC236}">
              <a16:creationId xmlns:a16="http://schemas.microsoft.com/office/drawing/2014/main" id="{94862C13-0157-4D4B-AFC8-86092C117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11" name="Picture 8" descr=" ">
          <a:extLst>
            <a:ext uri="{FF2B5EF4-FFF2-40B4-BE49-F238E27FC236}">
              <a16:creationId xmlns:a16="http://schemas.microsoft.com/office/drawing/2014/main" id="{8D1009E0-DCC9-41DB-AAA7-CE8816206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12" name="Picture 9" descr=" ">
          <a:extLst>
            <a:ext uri="{FF2B5EF4-FFF2-40B4-BE49-F238E27FC236}">
              <a16:creationId xmlns:a16="http://schemas.microsoft.com/office/drawing/2014/main" id="{3E830A45-034C-4ECE-B5E7-B855B802E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13" name="Picture 10" descr=" ">
          <a:extLst>
            <a:ext uri="{FF2B5EF4-FFF2-40B4-BE49-F238E27FC236}">
              <a16:creationId xmlns:a16="http://schemas.microsoft.com/office/drawing/2014/main" id="{A46819BF-345F-4BC9-9F2A-6ECAD20CC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14" name="Picture 11" descr=" ">
          <a:extLst>
            <a:ext uri="{FF2B5EF4-FFF2-40B4-BE49-F238E27FC236}">
              <a16:creationId xmlns:a16="http://schemas.microsoft.com/office/drawing/2014/main" id="{87798743-67A6-41AD-A230-0FE642666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15" name="Picture 12" descr=" ">
          <a:extLst>
            <a:ext uri="{FF2B5EF4-FFF2-40B4-BE49-F238E27FC236}">
              <a16:creationId xmlns:a16="http://schemas.microsoft.com/office/drawing/2014/main" id="{BE1562F0-4777-4491-8D21-B47694B58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16" name="Picture 7" descr=" ">
          <a:extLst>
            <a:ext uri="{FF2B5EF4-FFF2-40B4-BE49-F238E27FC236}">
              <a16:creationId xmlns:a16="http://schemas.microsoft.com/office/drawing/2014/main" id="{FA378070-1FCF-4BF8-83D5-6158F2F70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17" name="Picture 8" descr=" ">
          <a:extLst>
            <a:ext uri="{FF2B5EF4-FFF2-40B4-BE49-F238E27FC236}">
              <a16:creationId xmlns:a16="http://schemas.microsoft.com/office/drawing/2014/main" id="{D6276C4D-5254-4822-9F99-CB0BA0CE3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18" name="Picture 9" descr=" ">
          <a:extLst>
            <a:ext uri="{FF2B5EF4-FFF2-40B4-BE49-F238E27FC236}">
              <a16:creationId xmlns:a16="http://schemas.microsoft.com/office/drawing/2014/main" id="{48E13AF4-4EE4-49E3-9E62-95E2C0EDD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19" name="Picture 10" descr=" ">
          <a:extLst>
            <a:ext uri="{FF2B5EF4-FFF2-40B4-BE49-F238E27FC236}">
              <a16:creationId xmlns:a16="http://schemas.microsoft.com/office/drawing/2014/main" id="{40024B1C-0CBA-4469-97E8-93762F029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20" name="Picture 11" descr=" ">
          <a:extLst>
            <a:ext uri="{FF2B5EF4-FFF2-40B4-BE49-F238E27FC236}">
              <a16:creationId xmlns:a16="http://schemas.microsoft.com/office/drawing/2014/main" id="{CA194CE4-55AF-44F2-A3DC-E9D0A0E62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21" name="Picture 12" descr=" ">
          <a:extLst>
            <a:ext uri="{FF2B5EF4-FFF2-40B4-BE49-F238E27FC236}">
              <a16:creationId xmlns:a16="http://schemas.microsoft.com/office/drawing/2014/main" id="{D47D0FC9-5CD7-4F57-8703-A5D36992B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22" name="Picture 7" descr=" ">
          <a:extLst>
            <a:ext uri="{FF2B5EF4-FFF2-40B4-BE49-F238E27FC236}">
              <a16:creationId xmlns:a16="http://schemas.microsoft.com/office/drawing/2014/main" id="{FC9A9372-37DC-4509-81E9-49FF077F1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23" name="Picture 8" descr=" ">
          <a:extLst>
            <a:ext uri="{FF2B5EF4-FFF2-40B4-BE49-F238E27FC236}">
              <a16:creationId xmlns:a16="http://schemas.microsoft.com/office/drawing/2014/main" id="{357CDC2D-3D92-43A7-92BA-FB6D538EF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24" name="Picture 9" descr=" ">
          <a:extLst>
            <a:ext uri="{FF2B5EF4-FFF2-40B4-BE49-F238E27FC236}">
              <a16:creationId xmlns:a16="http://schemas.microsoft.com/office/drawing/2014/main" id="{A4C47F28-5A32-48E5-8523-4E54BD5B7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25" name="Picture 10" descr=" ">
          <a:extLst>
            <a:ext uri="{FF2B5EF4-FFF2-40B4-BE49-F238E27FC236}">
              <a16:creationId xmlns:a16="http://schemas.microsoft.com/office/drawing/2014/main" id="{23940F8C-06D3-455F-AADB-9E1797C9E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26" name="Picture 11" descr=" ">
          <a:extLst>
            <a:ext uri="{FF2B5EF4-FFF2-40B4-BE49-F238E27FC236}">
              <a16:creationId xmlns:a16="http://schemas.microsoft.com/office/drawing/2014/main" id="{F7755F59-7DAF-483C-A57D-93ECB0458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27" name="Picture 12" descr=" ">
          <a:extLst>
            <a:ext uri="{FF2B5EF4-FFF2-40B4-BE49-F238E27FC236}">
              <a16:creationId xmlns:a16="http://schemas.microsoft.com/office/drawing/2014/main" id="{677947B4-7B89-49CB-B99B-490D5FFED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28" name="Picture 7" descr=" ">
          <a:extLst>
            <a:ext uri="{FF2B5EF4-FFF2-40B4-BE49-F238E27FC236}">
              <a16:creationId xmlns:a16="http://schemas.microsoft.com/office/drawing/2014/main" id="{29E133A4-7EF4-425B-845D-3AC4DBBD2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29" name="Picture 8" descr=" ">
          <a:extLst>
            <a:ext uri="{FF2B5EF4-FFF2-40B4-BE49-F238E27FC236}">
              <a16:creationId xmlns:a16="http://schemas.microsoft.com/office/drawing/2014/main" id="{7B84E858-108A-4AA8-80A2-177BAAA99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30" name="Picture 9" descr=" ">
          <a:extLst>
            <a:ext uri="{FF2B5EF4-FFF2-40B4-BE49-F238E27FC236}">
              <a16:creationId xmlns:a16="http://schemas.microsoft.com/office/drawing/2014/main" id="{764ED202-5A0D-425F-B35E-9752667CC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31" name="Picture 10" descr=" ">
          <a:extLst>
            <a:ext uri="{FF2B5EF4-FFF2-40B4-BE49-F238E27FC236}">
              <a16:creationId xmlns:a16="http://schemas.microsoft.com/office/drawing/2014/main" id="{C5FBDB8D-AAD7-4E05-A794-5FC1B2B20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32" name="Picture 11" descr=" ">
          <a:extLst>
            <a:ext uri="{FF2B5EF4-FFF2-40B4-BE49-F238E27FC236}">
              <a16:creationId xmlns:a16="http://schemas.microsoft.com/office/drawing/2014/main" id="{7A717690-A4E5-49DB-A6C0-63D5D3774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33" name="Picture 12" descr=" ">
          <a:extLst>
            <a:ext uri="{FF2B5EF4-FFF2-40B4-BE49-F238E27FC236}">
              <a16:creationId xmlns:a16="http://schemas.microsoft.com/office/drawing/2014/main" id="{CF3D0D26-F0B8-4D65-8752-BB1671033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34" name="Picture 7" descr=" ">
          <a:extLst>
            <a:ext uri="{FF2B5EF4-FFF2-40B4-BE49-F238E27FC236}">
              <a16:creationId xmlns:a16="http://schemas.microsoft.com/office/drawing/2014/main" id="{63C38053-553E-4498-9681-7C8ACF5F4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35" name="Picture 8" descr=" ">
          <a:extLst>
            <a:ext uri="{FF2B5EF4-FFF2-40B4-BE49-F238E27FC236}">
              <a16:creationId xmlns:a16="http://schemas.microsoft.com/office/drawing/2014/main" id="{B6E22C81-D736-4ABC-86F1-3AF165A5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36" name="Picture 9" descr=" ">
          <a:extLst>
            <a:ext uri="{FF2B5EF4-FFF2-40B4-BE49-F238E27FC236}">
              <a16:creationId xmlns:a16="http://schemas.microsoft.com/office/drawing/2014/main" id="{749EC975-C18B-45E1-9328-5A85F846A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37" name="Picture 10" descr=" ">
          <a:extLst>
            <a:ext uri="{FF2B5EF4-FFF2-40B4-BE49-F238E27FC236}">
              <a16:creationId xmlns:a16="http://schemas.microsoft.com/office/drawing/2014/main" id="{63585089-3E63-4B6D-9DFD-C4076A36E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38" name="Picture 11" descr=" ">
          <a:extLst>
            <a:ext uri="{FF2B5EF4-FFF2-40B4-BE49-F238E27FC236}">
              <a16:creationId xmlns:a16="http://schemas.microsoft.com/office/drawing/2014/main" id="{25C6F8B4-043C-4D7F-8ACB-90FF2F54D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39" name="Picture 12" descr=" ">
          <a:extLst>
            <a:ext uri="{FF2B5EF4-FFF2-40B4-BE49-F238E27FC236}">
              <a16:creationId xmlns:a16="http://schemas.microsoft.com/office/drawing/2014/main" id="{FC72991B-D004-428E-ADA0-E30B973F4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40" name="Picture 7" descr=" ">
          <a:extLst>
            <a:ext uri="{FF2B5EF4-FFF2-40B4-BE49-F238E27FC236}">
              <a16:creationId xmlns:a16="http://schemas.microsoft.com/office/drawing/2014/main" id="{806CD507-43E5-4CDA-AEA5-0AD772AF4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41" name="Picture 8" descr=" ">
          <a:extLst>
            <a:ext uri="{FF2B5EF4-FFF2-40B4-BE49-F238E27FC236}">
              <a16:creationId xmlns:a16="http://schemas.microsoft.com/office/drawing/2014/main" id="{4C4D1BEA-BC71-4E13-9BBB-966005FE8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42" name="Picture 9" descr=" ">
          <a:extLst>
            <a:ext uri="{FF2B5EF4-FFF2-40B4-BE49-F238E27FC236}">
              <a16:creationId xmlns:a16="http://schemas.microsoft.com/office/drawing/2014/main" id="{0AC012C5-345C-4082-82D6-1B85B4CDA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43" name="Picture 10" descr=" ">
          <a:extLst>
            <a:ext uri="{FF2B5EF4-FFF2-40B4-BE49-F238E27FC236}">
              <a16:creationId xmlns:a16="http://schemas.microsoft.com/office/drawing/2014/main" id="{04BFC539-BB44-49DA-9B60-B277AB91E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44" name="Picture 11" descr=" ">
          <a:extLst>
            <a:ext uri="{FF2B5EF4-FFF2-40B4-BE49-F238E27FC236}">
              <a16:creationId xmlns:a16="http://schemas.microsoft.com/office/drawing/2014/main" id="{903D10C3-1EEE-42E8-AEA4-9DE09C8E0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45" name="Picture 12" descr=" ">
          <a:extLst>
            <a:ext uri="{FF2B5EF4-FFF2-40B4-BE49-F238E27FC236}">
              <a16:creationId xmlns:a16="http://schemas.microsoft.com/office/drawing/2014/main" id="{EFDCB099-0BF3-4E78-8420-2FD30C3B4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46" name="Picture 7" descr=" ">
          <a:extLst>
            <a:ext uri="{FF2B5EF4-FFF2-40B4-BE49-F238E27FC236}">
              <a16:creationId xmlns:a16="http://schemas.microsoft.com/office/drawing/2014/main" id="{AAA1570E-0194-4800-97E3-06AD69BB4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47" name="Picture 8" descr=" ">
          <a:extLst>
            <a:ext uri="{FF2B5EF4-FFF2-40B4-BE49-F238E27FC236}">
              <a16:creationId xmlns:a16="http://schemas.microsoft.com/office/drawing/2014/main" id="{019DE93C-C485-4B4F-94C2-F8DF9E5FD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48" name="Picture 9" descr=" ">
          <a:extLst>
            <a:ext uri="{FF2B5EF4-FFF2-40B4-BE49-F238E27FC236}">
              <a16:creationId xmlns:a16="http://schemas.microsoft.com/office/drawing/2014/main" id="{ED02C544-0B36-4465-927F-C01697D68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49" name="Picture 10" descr=" ">
          <a:extLst>
            <a:ext uri="{FF2B5EF4-FFF2-40B4-BE49-F238E27FC236}">
              <a16:creationId xmlns:a16="http://schemas.microsoft.com/office/drawing/2014/main" id="{8E01A746-494D-4D0D-963F-9910A5CC8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50" name="Picture 11" descr=" ">
          <a:extLst>
            <a:ext uri="{FF2B5EF4-FFF2-40B4-BE49-F238E27FC236}">
              <a16:creationId xmlns:a16="http://schemas.microsoft.com/office/drawing/2014/main" id="{9EA02B0D-6470-4F9B-929D-D5EDADF84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51" name="Picture 12" descr=" ">
          <a:extLst>
            <a:ext uri="{FF2B5EF4-FFF2-40B4-BE49-F238E27FC236}">
              <a16:creationId xmlns:a16="http://schemas.microsoft.com/office/drawing/2014/main" id="{4B7F1B74-6EDF-441E-856F-ED24737EA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52" name="Picture 7" descr=" ">
          <a:extLst>
            <a:ext uri="{FF2B5EF4-FFF2-40B4-BE49-F238E27FC236}">
              <a16:creationId xmlns:a16="http://schemas.microsoft.com/office/drawing/2014/main" id="{95AA9A8C-014A-44D5-A17A-A6235FD53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53" name="Picture 8" descr=" ">
          <a:extLst>
            <a:ext uri="{FF2B5EF4-FFF2-40B4-BE49-F238E27FC236}">
              <a16:creationId xmlns:a16="http://schemas.microsoft.com/office/drawing/2014/main" id="{4EB25B47-6DB6-46E0-94FD-43E2F5BAE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54" name="Picture 9" descr=" ">
          <a:extLst>
            <a:ext uri="{FF2B5EF4-FFF2-40B4-BE49-F238E27FC236}">
              <a16:creationId xmlns:a16="http://schemas.microsoft.com/office/drawing/2014/main" id="{73E8CD9F-F5F1-41BF-B536-2395E7BCD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55" name="Picture 10" descr=" ">
          <a:extLst>
            <a:ext uri="{FF2B5EF4-FFF2-40B4-BE49-F238E27FC236}">
              <a16:creationId xmlns:a16="http://schemas.microsoft.com/office/drawing/2014/main" id="{BF0DB53A-FC93-422D-8BB4-A94BDD1EE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56" name="Picture 11" descr=" ">
          <a:extLst>
            <a:ext uri="{FF2B5EF4-FFF2-40B4-BE49-F238E27FC236}">
              <a16:creationId xmlns:a16="http://schemas.microsoft.com/office/drawing/2014/main" id="{0926F93E-3D37-4F87-A5CD-9B9ADAD02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</xdr:colOff>
      <xdr:row>134</xdr:row>
      <xdr:rowOff>38100</xdr:rowOff>
    </xdr:to>
    <xdr:pic>
      <xdr:nvPicPr>
        <xdr:cNvPr id="5257" name="Picture 12" descr=" ">
          <a:extLst>
            <a:ext uri="{FF2B5EF4-FFF2-40B4-BE49-F238E27FC236}">
              <a16:creationId xmlns:a16="http://schemas.microsoft.com/office/drawing/2014/main" id="{20C15144-7FC9-4179-B5F7-CB712881B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995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58" name="Picture 7" descr=" ">
          <a:extLst>
            <a:ext uri="{FF2B5EF4-FFF2-40B4-BE49-F238E27FC236}">
              <a16:creationId xmlns:a16="http://schemas.microsoft.com/office/drawing/2014/main" id="{9DACB2D7-479C-47F4-B0F1-669C1380E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59" name="Picture 8" descr=" ">
          <a:extLst>
            <a:ext uri="{FF2B5EF4-FFF2-40B4-BE49-F238E27FC236}">
              <a16:creationId xmlns:a16="http://schemas.microsoft.com/office/drawing/2014/main" id="{00934C82-D5DB-4D84-BF89-AD970E14C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60" name="Picture 9" descr=" ">
          <a:extLst>
            <a:ext uri="{FF2B5EF4-FFF2-40B4-BE49-F238E27FC236}">
              <a16:creationId xmlns:a16="http://schemas.microsoft.com/office/drawing/2014/main" id="{DE2A1A1C-17FD-4050-BB1F-13F63D869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61" name="Picture 10" descr=" ">
          <a:extLst>
            <a:ext uri="{FF2B5EF4-FFF2-40B4-BE49-F238E27FC236}">
              <a16:creationId xmlns:a16="http://schemas.microsoft.com/office/drawing/2014/main" id="{28B73C05-08DE-474C-BD61-BCE41C503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62" name="Picture 11" descr=" ">
          <a:extLst>
            <a:ext uri="{FF2B5EF4-FFF2-40B4-BE49-F238E27FC236}">
              <a16:creationId xmlns:a16="http://schemas.microsoft.com/office/drawing/2014/main" id="{04F172C7-F6F8-43A7-AEF0-E87D28E13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63" name="Picture 12" descr=" ">
          <a:extLst>
            <a:ext uri="{FF2B5EF4-FFF2-40B4-BE49-F238E27FC236}">
              <a16:creationId xmlns:a16="http://schemas.microsoft.com/office/drawing/2014/main" id="{74B559ED-6CBE-4ACA-8715-589FB82CA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5264" name="Picture 7" descr=" ">
          <a:extLst>
            <a:ext uri="{FF2B5EF4-FFF2-40B4-BE49-F238E27FC236}">
              <a16:creationId xmlns:a16="http://schemas.microsoft.com/office/drawing/2014/main" id="{C8D4B103-C4C1-4FBD-8F50-E2DB536DD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5265" name="Picture 8" descr=" ">
          <a:extLst>
            <a:ext uri="{FF2B5EF4-FFF2-40B4-BE49-F238E27FC236}">
              <a16:creationId xmlns:a16="http://schemas.microsoft.com/office/drawing/2014/main" id="{CA2C3D54-79DC-4FF1-90AF-B85FBECB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5266" name="Picture 9" descr=" ">
          <a:extLst>
            <a:ext uri="{FF2B5EF4-FFF2-40B4-BE49-F238E27FC236}">
              <a16:creationId xmlns:a16="http://schemas.microsoft.com/office/drawing/2014/main" id="{E38F62F4-3515-44BF-AABA-D6BA908A5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5267" name="Picture 10" descr=" ">
          <a:extLst>
            <a:ext uri="{FF2B5EF4-FFF2-40B4-BE49-F238E27FC236}">
              <a16:creationId xmlns:a16="http://schemas.microsoft.com/office/drawing/2014/main" id="{27226B3F-4553-43F1-917F-C88B2AA36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5268" name="Picture 11" descr=" ">
          <a:extLst>
            <a:ext uri="{FF2B5EF4-FFF2-40B4-BE49-F238E27FC236}">
              <a16:creationId xmlns:a16="http://schemas.microsoft.com/office/drawing/2014/main" id="{138885A1-F761-4131-8736-529473E55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9525</xdr:colOff>
      <xdr:row>155</xdr:row>
      <xdr:rowOff>38100</xdr:rowOff>
    </xdr:to>
    <xdr:pic>
      <xdr:nvPicPr>
        <xdr:cNvPr id="5269" name="Picture 12" descr=" ">
          <a:extLst>
            <a:ext uri="{FF2B5EF4-FFF2-40B4-BE49-F238E27FC236}">
              <a16:creationId xmlns:a16="http://schemas.microsoft.com/office/drawing/2014/main" id="{FEBAE798-3835-49F3-AD46-FB8DFE124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87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9525</xdr:colOff>
      <xdr:row>156</xdr:row>
      <xdr:rowOff>38100</xdr:rowOff>
    </xdr:to>
    <xdr:pic>
      <xdr:nvPicPr>
        <xdr:cNvPr id="5270" name="Picture 7" descr=" ">
          <a:extLst>
            <a:ext uri="{FF2B5EF4-FFF2-40B4-BE49-F238E27FC236}">
              <a16:creationId xmlns:a16="http://schemas.microsoft.com/office/drawing/2014/main" id="{421DF1DE-8C28-41F6-A6F2-C3810826E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70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9525</xdr:colOff>
      <xdr:row>156</xdr:row>
      <xdr:rowOff>38100</xdr:rowOff>
    </xdr:to>
    <xdr:pic>
      <xdr:nvPicPr>
        <xdr:cNvPr id="5271" name="Picture 8" descr=" ">
          <a:extLst>
            <a:ext uri="{FF2B5EF4-FFF2-40B4-BE49-F238E27FC236}">
              <a16:creationId xmlns:a16="http://schemas.microsoft.com/office/drawing/2014/main" id="{721DB4D0-F5C2-42BD-9D6B-0D90A88A9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70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9525</xdr:colOff>
      <xdr:row>156</xdr:row>
      <xdr:rowOff>38100</xdr:rowOff>
    </xdr:to>
    <xdr:pic>
      <xdr:nvPicPr>
        <xdr:cNvPr id="5272" name="Picture 9" descr=" ">
          <a:extLst>
            <a:ext uri="{FF2B5EF4-FFF2-40B4-BE49-F238E27FC236}">
              <a16:creationId xmlns:a16="http://schemas.microsoft.com/office/drawing/2014/main" id="{9AC2D7D5-9E87-4495-9B33-E1F5D0D3F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70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9525</xdr:colOff>
      <xdr:row>156</xdr:row>
      <xdr:rowOff>38100</xdr:rowOff>
    </xdr:to>
    <xdr:pic>
      <xdr:nvPicPr>
        <xdr:cNvPr id="5273" name="Picture 10" descr=" ">
          <a:extLst>
            <a:ext uri="{FF2B5EF4-FFF2-40B4-BE49-F238E27FC236}">
              <a16:creationId xmlns:a16="http://schemas.microsoft.com/office/drawing/2014/main" id="{21DFB147-5DBE-4795-B1A8-E4551678C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70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9525</xdr:colOff>
      <xdr:row>156</xdr:row>
      <xdr:rowOff>38100</xdr:rowOff>
    </xdr:to>
    <xdr:pic>
      <xdr:nvPicPr>
        <xdr:cNvPr id="5274" name="Picture 11" descr=" ">
          <a:extLst>
            <a:ext uri="{FF2B5EF4-FFF2-40B4-BE49-F238E27FC236}">
              <a16:creationId xmlns:a16="http://schemas.microsoft.com/office/drawing/2014/main" id="{4460147C-F4B6-41D5-AE82-BC6C1FE62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70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9525</xdr:colOff>
      <xdr:row>156</xdr:row>
      <xdr:rowOff>38100</xdr:rowOff>
    </xdr:to>
    <xdr:pic>
      <xdr:nvPicPr>
        <xdr:cNvPr id="5275" name="Picture 12" descr=" ">
          <a:extLst>
            <a:ext uri="{FF2B5EF4-FFF2-40B4-BE49-F238E27FC236}">
              <a16:creationId xmlns:a16="http://schemas.microsoft.com/office/drawing/2014/main" id="{BB95F231-FD73-45A2-ACF4-9661ED03C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70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76" name="Picture 7" descr=" ">
          <a:extLst>
            <a:ext uri="{FF2B5EF4-FFF2-40B4-BE49-F238E27FC236}">
              <a16:creationId xmlns:a16="http://schemas.microsoft.com/office/drawing/2014/main" id="{65B2BEA3-B4EA-495B-AC0E-1A1F2FAB2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77" name="Picture 8" descr=" ">
          <a:extLst>
            <a:ext uri="{FF2B5EF4-FFF2-40B4-BE49-F238E27FC236}">
              <a16:creationId xmlns:a16="http://schemas.microsoft.com/office/drawing/2014/main" id="{12D7064D-A7EB-4019-9F80-1FDE8188C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78" name="Picture 9" descr=" ">
          <a:extLst>
            <a:ext uri="{FF2B5EF4-FFF2-40B4-BE49-F238E27FC236}">
              <a16:creationId xmlns:a16="http://schemas.microsoft.com/office/drawing/2014/main" id="{5AB289AB-FCF7-476E-A906-E1241FB25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79" name="Picture 10" descr=" ">
          <a:extLst>
            <a:ext uri="{FF2B5EF4-FFF2-40B4-BE49-F238E27FC236}">
              <a16:creationId xmlns:a16="http://schemas.microsoft.com/office/drawing/2014/main" id="{D361446E-AFFF-4A0F-AE88-A2AE33086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80" name="Picture 11" descr=" ">
          <a:extLst>
            <a:ext uri="{FF2B5EF4-FFF2-40B4-BE49-F238E27FC236}">
              <a16:creationId xmlns:a16="http://schemas.microsoft.com/office/drawing/2014/main" id="{99010666-8A42-4B4D-8B39-79736FDB9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81" name="Picture 12" descr=" ">
          <a:extLst>
            <a:ext uri="{FF2B5EF4-FFF2-40B4-BE49-F238E27FC236}">
              <a16:creationId xmlns:a16="http://schemas.microsoft.com/office/drawing/2014/main" id="{4F71D5E2-DC45-4D6D-AED0-BBE5161BF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82" name="Picture 7" descr=" ">
          <a:extLst>
            <a:ext uri="{FF2B5EF4-FFF2-40B4-BE49-F238E27FC236}">
              <a16:creationId xmlns:a16="http://schemas.microsoft.com/office/drawing/2014/main" id="{24D05450-8865-4645-8D33-4F24D113B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83" name="Picture 8" descr=" ">
          <a:extLst>
            <a:ext uri="{FF2B5EF4-FFF2-40B4-BE49-F238E27FC236}">
              <a16:creationId xmlns:a16="http://schemas.microsoft.com/office/drawing/2014/main" id="{E7446CD3-A5C1-4C43-B525-ED85E50AC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84" name="Picture 9" descr=" ">
          <a:extLst>
            <a:ext uri="{FF2B5EF4-FFF2-40B4-BE49-F238E27FC236}">
              <a16:creationId xmlns:a16="http://schemas.microsoft.com/office/drawing/2014/main" id="{18BD15FE-E957-4D5A-B011-620E8BD08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85" name="Picture 10" descr=" ">
          <a:extLst>
            <a:ext uri="{FF2B5EF4-FFF2-40B4-BE49-F238E27FC236}">
              <a16:creationId xmlns:a16="http://schemas.microsoft.com/office/drawing/2014/main" id="{9C460F18-3C0A-44A4-B4C4-320BD4D0E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86" name="Picture 11" descr=" ">
          <a:extLst>
            <a:ext uri="{FF2B5EF4-FFF2-40B4-BE49-F238E27FC236}">
              <a16:creationId xmlns:a16="http://schemas.microsoft.com/office/drawing/2014/main" id="{0E59A215-44B8-4B34-89E7-262D8E18B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87" name="Picture 12" descr=" ">
          <a:extLst>
            <a:ext uri="{FF2B5EF4-FFF2-40B4-BE49-F238E27FC236}">
              <a16:creationId xmlns:a16="http://schemas.microsoft.com/office/drawing/2014/main" id="{C6375CB8-6A28-4CEA-AB10-7A0A7B2F9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88" name="Picture 7" descr=" ">
          <a:extLst>
            <a:ext uri="{FF2B5EF4-FFF2-40B4-BE49-F238E27FC236}">
              <a16:creationId xmlns:a16="http://schemas.microsoft.com/office/drawing/2014/main" id="{1F840A9C-0FA7-4844-B4ED-B83297F78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89" name="Picture 8" descr=" ">
          <a:extLst>
            <a:ext uri="{FF2B5EF4-FFF2-40B4-BE49-F238E27FC236}">
              <a16:creationId xmlns:a16="http://schemas.microsoft.com/office/drawing/2014/main" id="{66C621CE-DA3E-4A2B-AA07-B5414ACAE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90" name="Picture 9" descr=" ">
          <a:extLst>
            <a:ext uri="{FF2B5EF4-FFF2-40B4-BE49-F238E27FC236}">
              <a16:creationId xmlns:a16="http://schemas.microsoft.com/office/drawing/2014/main" id="{50E76935-0F0E-45EB-B5A9-C7A5EFA15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91" name="Picture 10" descr=" ">
          <a:extLst>
            <a:ext uri="{FF2B5EF4-FFF2-40B4-BE49-F238E27FC236}">
              <a16:creationId xmlns:a16="http://schemas.microsoft.com/office/drawing/2014/main" id="{D517934B-8471-4BDF-8D6F-79B909E2F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92" name="Picture 11" descr=" ">
          <a:extLst>
            <a:ext uri="{FF2B5EF4-FFF2-40B4-BE49-F238E27FC236}">
              <a16:creationId xmlns:a16="http://schemas.microsoft.com/office/drawing/2014/main" id="{EC8FD7AB-C7BE-4E17-BCCB-7E97CB6A94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93" name="Picture 12" descr=" ">
          <a:extLst>
            <a:ext uri="{FF2B5EF4-FFF2-40B4-BE49-F238E27FC236}">
              <a16:creationId xmlns:a16="http://schemas.microsoft.com/office/drawing/2014/main" id="{D8C82571-8D3A-4FDD-94CE-768744CD1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94" name="Picture 7" descr=" ">
          <a:extLst>
            <a:ext uri="{FF2B5EF4-FFF2-40B4-BE49-F238E27FC236}">
              <a16:creationId xmlns:a16="http://schemas.microsoft.com/office/drawing/2014/main" id="{D6576347-836F-4430-AA53-B0BF622E6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95" name="Picture 8" descr=" ">
          <a:extLst>
            <a:ext uri="{FF2B5EF4-FFF2-40B4-BE49-F238E27FC236}">
              <a16:creationId xmlns:a16="http://schemas.microsoft.com/office/drawing/2014/main" id="{F1A24010-BB7A-4391-B84C-27A9F8777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96" name="Picture 9" descr=" ">
          <a:extLst>
            <a:ext uri="{FF2B5EF4-FFF2-40B4-BE49-F238E27FC236}">
              <a16:creationId xmlns:a16="http://schemas.microsoft.com/office/drawing/2014/main" id="{D868D0B1-24C1-4AAC-B8EF-567955401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97" name="Picture 10" descr=" ">
          <a:extLst>
            <a:ext uri="{FF2B5EF4-FFF2-40B4-BE49-F238E27FC236}">
              <a16:creationId xmlns:a16="http://schemas.microsoft.com/office/drawing/2014/main" id="{FBA08302-6DFF-4DD5-8C07-6CFE12448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98" name="Picture 11" descr=" ">
          <a:extLst>
            <a:ext uri="{FF2B5EF4-FFF2-40B4-BE49-F238E27FC236}">
              <a16:creationId xmlns:a16="http://schemas.microsoft.com/office/drawing/2014/main" id="{466328FE-95D5-4344-B968-48C1D5005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299" name="Picture 12" descr=" ">
          <a:extLst>
            <a:ext uri="{FF2B5EF4-FFF2-40B4-BE49-F238E27FC236}">
              <a16:creationId xmlns:a16="http://schemas.microsoft.com/office/drawing/2014/main" id="{8DD2B9F4-06A5-41D9-9987-21F673D3A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00" name="Picture 7" descr=" ">
          <a:extLst>
            <a:ext uri="{FF2B5EF4-FFF2-40B4-BE49-F238E27FC236}">
              <a16:creationId xmlns:a16="http://schemas.microsoft.com/office/drawing/2014/main" id="{1D94D014-85EA-4549-9021-DA6B503032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01" name="Picture 8" descr=" ">
          <a:extLst>
            <a:ext uri="{FF2B5EF4-FFF2-40B4-BE49-F238E27FC236}">
              <a16:creationId xmlns:a16="http://schemas.microsoft.com/office/drawing/2014/main" id="{C3109A57-287C-4C79-9BD2-D2F8497F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02" name="Picture 9" descr=" ">
          <a:extLst>
            <a:ext uri="{FF2B5EF4-FFF2-40B4-BE49-F238E27FC236}">
              <a16:creationId xmlns:a16="http://schemas.microsoft.com/office/drawing/2014/main" id="{01D08C15-F4AF-47C3-A867-BB9C6B4D8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03" name="Picture 10" descr=" ">
          <a:extLst>
            <a:ext uri="{FF2B5EF4-FFF2-40B4-BE49-F238E27FC236}">
              <a16:creationId xmlns:a16="http://schemas.microsoft.com/office/drawing/2014/main" id="{93BEC3E2-A4B4-496D-9427-1F604FEC3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04" name="Picture 11" descr=" ">
          <a:extLst>
            <a:ext uri="{FF2B5EF4-FFF2-40B4-BE49-F238E27FC236}">
              <a16:creationId xmlns:a16="http://schemas.microsoft.com/office/drawing/2014/main" id="{AE18E957-2E6D-4E3C-B1F3-A890A4461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05" name="Picture 12" descr=" ">
          <a:extLst>
            <a:ext uri="{FF2B5EF4-FFF2-40B4-BE49-F238E27FC236}">
              <a16:creationId xmlns:a16="http://schemas.microsoft.com/office/drawing/2014/main" id="{21C071A4-F0DF-47D0-B6C2-70A5896DD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06" name="Picture 7" descr=" ">
          <a:extLst>
            <a:ext uri="{FF2B5EF4-FFF2-40B4-BE49-F238E27FC236}">
              <a16:creationId xmlns:a16="http://schemas.microsoft.com/office/drawing/2014/main" id="{85A58810-3A3A-4C5E-BEA2-30CD8066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07" name="Picture 8" descr=" ">
          <a:extLst>
            <a:ext uri="{FF2B5EF4-FFF2-40B4-BE49-F238E27FC236}">
              <a16:creationId xmlns:a16="http://schemas.microsoft.com/office/drawing/2014/main" id="{33FF7BD5-377A-4ACF-82D6-D9CB0385B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08" name="Picture 9" descr=" ">
          <a:extLst>
            <a:ext uri="{FF2B5EF4-FFF2-40B4-BE49-F238E27FC236}">
              <a16:creationId xmlns:a16="http://schemas.microsoft.com/office/drawing/2014/main" id="{1D3D2CBD-0668-4DA4-84CE-9035967A5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09" name="Picture 10" descr=" ">
          <a:extLst>
            <a:ext uri="{FF2B5EF4-FFF2-40B4-BE49-F238E27FC236}">
              <a16:creationId xmlns:a16="http://schemas.microsoft.com/office/drawing/2014/main" id="{227C2B5C-0045-4C5B-911B-085E62CA1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10" name="Picture 11" descr=" ">
          <a:extLst>
            <a:ext uri="{FF2B5EF4-FFF2-40B4-BE49-F238E27FC236}">
              <a16:creationId xmlns:a16="http://schemas.microsoft.com/office/drawing/2014/main" id="{394700B1-0CC7-4B13-8FEA-23C0D7D9E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11" name="Picture 12" descr=" ">
          <a:extLst>
            <a:ext uri="{FF2B5EF4-FFF2-40B4-BE49-F238E27FC236}">
              <a16:creationId xmlns:a16="http://schemas.microsoft.com/office/drawing/2014/main" id="{240BD91E-75CB-4134-8AAC-5E9E392E4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12" name="Picture 7" descr=" ">
          <a:extLst>
            <a:ext uri="{FF2B5EF4-FFF2-40B4-BE49-F238E27FC236}">
              <a16:creationId xmlns:a16="http://schemas.microsoft.com/office/drawing/2014/main" id="{C0CBD286-47F7-49AD-B9E8-64D1651BA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13" name="Picture 8" descr=" ">
          <a:extLst>
            <a:ext uri="{FF2B5EF4-FFF2-40B4-BE49-F238E27FC236}">
              <a16:creationId xmlns:a16="http://schemas.microsoft.com/office/drawing/2014/main" id="{761D272A-9E2D-419A-8C61-719663767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14" name="Picture 9" descr=" ">
          <a:extLst>
            <a:ext uri="{FF2B5EF4-FFF2-40B4-BE49-F238E27FC236}">
              <a16:creationId xmlns:a16="http://schemas.microsoft.com/office/drawing/2014/main" id="{C4A8A682-8DAB-4D50-93DC-D5782AB98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15" name="Picture 10" descr=" ">
          <a:extLst>
            <a:ext uri="{FF2B5EF4-FFF2-40B4-BE49-F238E27FC236}">
              <a16:creationId xmlns:a16="http://schemas.microsoft.com/office/drawing/2014/main" id="{C27FFC37-43F0-496B-B815-74541E430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16" name="Picture 11" descr=" ">
          <a:extLst>
            <a:ext uri="{FF2B5EF4-FFF2-40B4-BE49-F238E27FC236}">
              <a16:creationId xmlns:a16="http://schemas.microsoft.com/office/drawing/2014/main" id="{F8BBCF43-CFDB-4164-80E6-D2B89475E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17" name="Picture 12" descr=" ">
          <a:extLst>
            <a:ext uri="{FF2B5EF4-FFF2-40B4-BE49-F238E27FC236}">
              <a16:creationId xmlns:a16="http://schemas.microsoft.com/office/drawing/2014/main" id="{6AC98CF4-548A-4D47-BA4E-14219960F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18" name="Picture 7" descr=" ">
          <a:extLst>
            <a:ext uri="{FF2B5EF4-FFF2-40B4-BE49-F238E27FC236}">
              <a16:creationId xmlns:a16="http://schemas.microsoft.com/office/drawing/2014/main" id="{23D63D93-0B17-4D16-B535-9748B59B3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19" name="Picture 8" descr=" ">
          <a:extLst>
            <a:ext uri="{FF2B5EF4-FFF2-40B4-BE49-F238E27FC236}">
              <a16:creationId xmlns:a16="http://schemas.microsoft.com/office/drawing/2014/main" id="{97BF6E59-F523-47C6-A436-9686E32C2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20" name="Picture 9" descr=" ">
          <a:extLst>
            <a:ext uri="{FF2B5EF4-FFF2-40B4-BE49-F238E27FC236}">
              <a16:creationId xmlns:a16="http://schemas.microsoft.com/office/drawing/2014/main" id="{5E5A81D9-6640-4E6E-AD0B-AA0186683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21" name="Picture 10" descr=" ">
          <a:extLst>
            <a:ext uri="{FF2B5EF4-FFF2-40B4-BE49-F238E27FC236}">
              <a16:creationId xmlns:a16="http://schemas.microsoft.com/office/drawing/2014/main" id="{A9CA935E-FEA5-49A6-B373-1CF50E6B3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22" name="Picture 11" descr=" ">
          <a:extLst>
            <a:ext uri="{FF2B5EF4-FFF2-40B4-BE49-F238E27FC236}">
              <a16:creationId xmlns:a16="http://schemas.microsoft.com/office/drawing/2014/main" id="{E7E06BD0-FDFE-4118-8C2A-A296B8234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23" name="Picture 12" descr=" ">
          <a:extLst>
            <a:ext uri="{FF2B5EF4-FFF2-40B4-BE49-F238E27FC236}">
              <a16:creationId xmlns:a16="http://schemas.microsoft.com/office/drawing/2014/main" id="{E756C8DD-AC93-4725-9EA1-1CC64B9FF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24" name="Picture 7" descr=" ">
          <a:extLst>
            <a:ext uri="{FF2B5EF4-FFF2-40B4-BE49-F238E27FC236}">
              <a16:creationId xmlns:a16="http://schemas.microsoft.com/office/drawing/2014/main" id="{1072CE1D-0F1F-47BE-8730-F9CE3F1D4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25" name="Picture 8" descr=" ">
          <a:extLst>
            <a:ext uri="{FF2B5EF4-FFF2-40B4-BE49-F238E27FC236}">
              <a16:creationId xmlns:a16="http://schemas.microsoft.com/office/drawing/2014/main" id="{29752D1C-28B9-40EE-83E4-F5B0335D5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26" name="Picture 9" descr=" ">
          <a:extLst>
            <a:ext uri="{FF2B5EF4-FFF2-40B4-BE49-F238E27FC236}">
              <a16:creationId xmlns:a16="http://schemas.microsoft.com/office/drawing/2014/main" id="{42C6BB15-C721-4E48-A718-A79705E91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27" name="Picture 10" descr=" ">
          <a:extLst>
            <a:ext uri="{FF2B5EF4-FFF2-40B4-BE49-F238E27FC236}">
              <a16:creationId xmlns:a16="http://schemas.microsoft.com/office/drawing/2014/main" id="{A8F4001C-53B2-4AFC-8CE3-844398677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28" name="Picture 11" descr=" ">
          <a:extLst>
            <a:ext uri="{FF2B5EF4-FFF2-40B4-BE49-F238E27FC236}">
              <a16:creationId xmlns:a16="http://schemas.microsoft.com/office/drawing/2014/main" id="{0466285F-4D56-49C5-9FB5-E3FC51872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9525</xdr:colOff>
      <xdr:row>154</xdr:row>
      <xdr:rowOff>38100</xdr:rowOff>
    </xdr:to>
    <xdr:pic>
      <xdr:nvPicPr>
        <xdr:cNvPr id="5329" name="Picture 12" descr=" ">
          <a:extLst>
            <a:ext uri="{FF2B5EF4-FFF2-40B4-BE49-F238E27FC236}">
              <a16:creationId xmlns:a16="http://schemas.microsoft.com/office/drawing/2014/main" id="{8D77913D-D3DA-4D7D-9D72-575D8AF0A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104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</xdr:colOff>
      <xdr:row>160</xdr:row>
      <xdr:rowOff>38100</xdr:rowOff>
    </xdr:to>
    <xdr:pic>
      <xdr:nvPicPr>
        <xdr:cNvPr id="5330" name="Picture 7" descr=" ">
          <a:extLst>
            <a:ext uri="{FF2B5EF4-FFF2-40B4-BE49-F238E27FC236}">
              <a16:creationId xmlns:a16="http://schemas.microsoft.com/office/drawing/2014/main" id="{6831B957-B60A-420B-85A3-576ACF36B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01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</xdr:colOff>
      <xdr:row>160</xdr:row>
      <xdr:rowOff>38100</xdr:rowOff>
    </xdr:to>
    <xdr:pic>
      <xdr:nvPicPr>
        <xdr:cNvPr id="5331" name="Picture 8" descr=" ">
          <a:extLst>
            <a:ext uri="{FF2B5EF4-FFF2-40B4-BE49-F238E27FC236}">
              <a16:creationId xmlns:a16="http://schemas.microsoft.com/office/drawing/2014/main" id="{2DFF9CB6-875F-4323-96B4-9B390EF09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01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</xdr:colOff>
      <xdr:row>160</xdr:row>
      <xdr:rowOff>38100</xdr:rowOff>
    </xdr:to>
    <xdr:pic>
      <xdr:nvPicPr>
        <xdr:cNvPr id="5332" name="Picture 9" descr=" ">
          <a:extLst>
            <a:ext uri="{FF2B5EF4-FFF2-40B4-BE49-F238E27FC236}">
              <a16:creationId xmlns:a16="http://schemas.microsoft.com/office/drawing/2014/main" id="{28D3D109-432D-4AC7-A0D4-524A26681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01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</xdr:colOff>
      <xdr:row>160</xdr:row>
      <xdr:rowOff>38100</xdr:rowOff>
    </xdr:to>
    <xdr:pic>
      <xdr:nvPicPr>
        <xdr:cNvPr id="5333" name="Picture 10" descr=" ">
          <a:extLst>
            <a:ext uri="{FF2B5EF4-FFF2-40B4-BE49-F238E27FC236}">
              <a16:creationId xmlns:a16="http://schemas.microsoft.com/office/drawing/2014/main" id="{4D6635AC-9847-436C-B7C8-5BA863DF2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01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</xdr:colOff>
      <xdr:row>160</xdr:row>
      <xdr:rowOff>38100</xdr:rowOff>
    </xdr:to>
    <xdr:pic>
      <xdr:nvPicPr>
        <xdr:cNvPr id="5334" name="Picture 11" descr=" ">
          <a:extLst>
            <a:ext uri="{FF2B5EF4-FFF2-40B4-BE49-F238E27FC236}">
              <a16:creationId xmlns:a16="http://schemas.microsoft.com/office/drawing/2014/main" id="{EDFBF65F-2FE2-456F-999B-EB21D8C45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01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</xdr:colOff>
      <xdr:row>160</xdr:row>
      <xdr:rowOff>38100</xdr:rowOff>
    </xdr:to>
    <xdr:pic>
      <xdr:nvPicPr>
        <xdr:cNvPr id="5335" name="Picture 12" descr=" ">
          <a:extLst>
            <a:ext uri="{FF2B5EF4-FFF2-40B4-BE49-F238E27FC236}">
              <a16:creationId xmlns:a16="http://schemas.microsoft.com/office/drawing/2014/main" id="{976D8A0D-2A75-4340-9368-6C095141B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201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38100</xdr:rowOff>
    </xdr:to>
    <xdr:pic>
      <xdr:nvPicPr>
        <xdr:cNvPr id="5336" name="Picture 7" descr=" ">
          <a:extLst>
            <a:ext uri="{FF2B5EF4-FFF2-40B4-BE49-F238E27FC236}">
              <a16:creationId xmlns:a16="http://schemas.microsoft.com/office/drawing/2014/main" id="{083569C7-75EA-492C-A2E0-CF41421DB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84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38100</xdr:rowOff>
    </xdr:to>
    <xdr:pic>
      <xdr:nvPicPr>
        <xdr:cNvPr id="5337" name="Picture 8" descr=" ">
          <a:extLst>
            <a:ext uri="{FF2B5EF4-FFF2-40B4-BE49-F238E27FC236}">
              <a16:creationId xmlns:a16="http://schemas.microsoft.com/office/drawing/2014/main" id="{7B605464-10DB-4C73-81D1-AC6226914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84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38100</xdr:rowOff>
    </xdr:to>
    <xdr:pic>
      <xdr:nvPicPr>
        <xdr:cNvPr id="5338" name="Picture 9" descr=" ">
          <a:extLst>
            <a:ext uri="{FF2B5EF4-FFF2-40B4-BE49-F238E27FC236}">
              <a16:creationId xmlns:a16="http://schemas.microsoft.com/office/drawing/2014/main" id="{5D806FFA-E8C6-498B-9292-6E71764E2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84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38100</xdr:rowOff>
    </xdr:to>
    <xdr:pic>
      <xdr:nvPicPr>
        <xdr:cNvPr id="5339" name="Picture 10" descr=" ">
          <a:extLst>
            <a:ext uri="{FF2B5EF4-FFF2-40B4-BE49-F238E27FC236}">
              <a16:creationId xmlns:a16="http://schemas.microsoft.com/office/drawing/2014/main" id="{7326A203-632B-482E-A1DE-8F30FC1CE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84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38100</xdr:rowOff>
    </xdr:to>
    <xdr:pic>
      <xdr:nvPicPr>
        <xdr:cNvPr id="5340" name="Picture 11" descr=" ">
          <a:extLst>
            <a:ext uri="{FF2B5EF4-FFF2-40B4-BE49-F238E27FC236}">
              <a16:creationId xmlns:a16="http://schemas.microsoft.com/office/drawing/2014/main" id="{F05E502F-A40F-4804-9169-82000A687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84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38100</xdr:rowOff>
    </xdr:to>
    <xdr:pic>
      <xdr:nvPicPr>
        <xdr:cNvPr id="5341" name="Picture 12" descr=" ">
          <a:extLst>
            <a:ext uri="{FF2B5EF4-FFF2-40B4-BE49-F238E27FC236}">
              <a16:creationId xmlns:a16="http://schemas.microsoft.com/office/drawing/2014/main" id="{598553F9-554A-4F57-8AE7-0430932AC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84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38100</xdr:rowOff>
    </xdr:to>
    <xdr:pic>
      <xdr:nvPicPr>
        <xdr:cNvPr id="5342" name="Picture 7" descr=" ">
          <a:extLst>
            <a:ext uri="{FF2B5EF4-FFF2-40B4-BE49-F238E27FC236}">
              <a16:creationId xmlns:a16="http://schemas.microsoft.com/office/drawing/2014/main" id="{BF817F54-E04F-4444-9628-9963CBA3B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84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38100</xdr:rowOff>
    </xdr:to>
    <xdr:pic>
      <xdr:nvPicPr>
        <xdr:cNvPr id="5343" name="Picture 8" descr=" ">
          <a:extLst>
            <a:ext uri="{FF2B5EF4-FFF2-40B4-BE49-F238E27FC236}">
              <a16:creationId xmlns:a16="http://schemas.microsoft.com/office/drawing/2014/main" id="{33F37833-F97A-4CC1-83F0-B01B57B00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84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38100</xdr:rowOff>
    </xdr:to>
    <xdr:pic>
      <xdr:nvPicPr>
        <xdr:cNvPr id="5344" name="Picture 9" descr=" ">
          <a:extLst>
            <a:ext uri="{FF2B5EF4-FFF2-40B4-BE49-F238E27FC236}">
              <a16:creationId xmlns:a16="http://schemas.microsoft.com/office/drawing/2014/main" id="{DD7DE64C-5F34-4CF3-BE9A-E5B14C7C3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84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38100</xdr:rowOff>
    </xdr:to>
    <xdr:pic>
      <xdr:nvPicPr>
        <xdr:cNvPr id="5345" name="Picture 10" descr=" ">
          <a:extLst>
            <a:ext uri="{FF2B5EF4-FFF2-40B4-BE49-F238E27FC236}">
              <a16:creationId xmlns:a16="http://schemas.microsoft.com/office/drawing/2014/main" id="{75EB0A1D-D6A7-4D31-AEFC-E6417C85F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84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38100</xdr:rowOff>
    </xdr:to>
    <xdr:pic>
      <xdr:nvPicPr>
        <xdr:cNvPr id="5346" name="Picture 11" descr=" ">
          <a:extLst>
            <a:ext uri="{FF2B5EF4-FFF2-40B4-BE49-F238E27FC236}">
              <a16:creationId xmlns:a16="http://schemas.microsoft.com/office/drawing/2014/main" id="{A9BA39C6-F94A-4F59-BBB1-27259660E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84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9525</xdr:colOff>
      <xdr:row>161</xdr:row>
      <xdr:rowOff>38100</xdr:rowOff>
    </xdr:to>
    <xdr:pic>
      <xdr:nvPicPr>
        <xdr:cNvPr id="5347" name="Picture 12" descr=" ">
          <a:extLst>
            <a:ext uri="{FF2B5EF4-FFF2-40B4-BE49-F238E27FC236}">
              <a16:creationId xmlns:a16="http://schemas.microsoft.com/office/drawing/2014/main" id="{2AC84E2C-D040-4C89-A0DB-4FDF4759D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84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38100</xdr:rowOff>
    </xdr:to>
    <xdr:pic>
      <xdr:nvPicPr>
        <xdr:cNvPr id="5348" name="Picture 7" descr=" ">
          <a:extLst>
            <a:ext uri="{FF2B5EF4-FFF2-40B4-BE49-F238E27FC236}">
              <a16:creationId xmlns:a16="http://schemas.microsoft.com/office/drawing/2014/main" id="{E415B63C-C65B-478A-87A2-F06D80CB2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67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38100</xdr:rowOff>
    </xdr:to>
    <xdr:pic>
      <xdr:nvPicPr>
        <xdr:cNvPr id="5349" name="Picture 8" descr=" ">
          <a:extLst>
            <a:ext uri="{FF2B5EF4-FFF2-40B4-BE49-F238E27FC236}">
              <a16:creationId xmlns:a16="http://schemas.microsoft.com/office/drawing/2014/main" id="{6FBB383A-8662-4978-BF15-11893EF9B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67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38100</xdr:rowOff>
    </xdr:to>
    <xdr:pic>
      <xdr:nvPicPr>
        <xdr:cNvPr id="5350" name="Picture 9" descr=" ">
          <a:extLst>
            <a:ext uri="{FF2B5EF4-FFF2-40B4-BE49-F238E27FC236}">
              <a16:creationId xmlns:a16="http://schemas.microsoft.com/office/drawing/2014/main" id="{B0987016-9FC0-4548-B673-B481319F7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67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38100</xdr:rowOff>
    </xdr:to>
    <xdr:pic>
      <xdr:nvPicPr>
        <xdr:cNvPr id="5351" name="Picture 10" descr=" ">
          <a:extLst>
            <a:ext uri="{FF2B5EF4-FFF2-40B4-BE49-F238E27FC236}">
              <a16:creationId xmlns:a16="http://schemas.microsoft.com/office/drawing/2014/main" id="{88722391-FB19-402E-9F1E-07AF80C06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67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38100</xdr:rowOff>
    </xdr:to>
    <xdr:pic>
      <xdr:nvPicPr>
        <xdr:cNvPr id="5352" name="Picture 11" descr=" ">
          <a:extLst>
            <a:ext uri="{FF2B5EF4-FFF2-40B4-BE49-F238E27FC236}">
              <a16:creationId xmlns:a16="http://schemas.microsoft.com/office/drawing/2014/main" id="{EDC393CD-76F0-4B36-9673-545441EF3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67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38100</xdr:rowOff>
    </xdr:to>
    <xdr:pic>
      <xdr:nvPicPr>
        <xdr:cNvPr id="5353" name="Picture 12" descr=" ">
          <a:extLst>
            <a:ext uri="{FF2B5EF4-FFF2-40B4-BE49-F238E27FC236}">
              <a16:creationId xmlns:a16="http://schemas.microsoft.com/office/drawing/2014/main" id="{E9C8CFEC-3A38-4138-AE0D-3D03783FD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67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38100</xdr:rowOff>
    </xdr:to>
    <xdr:pic>
      <xdr:nvPicPr>
        <xdr:cNvPr id="5354" name="Picture 7" descr=" ">
          <a:extLst>
            <a:ext uri="{FF2B5EF4-FFF2-40B4-BE49-F238E27FC236}">
              <a16:creationId xmlns:a16="http://schemas.microsoft.com/office/drawing/2014/main" id="{E103FAC1-BB6D-4D31-8F99-23BA6998A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67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38100</xdr:rowOff>
    </xdr:to>
    <xdr:pic>
      <xdr:nvPicPr>
        <xdr:cNvPr id="5355" name="Picture 8" descr=" ">
          <a:extLst>
            <a:ext uri="{FF2B5EF4-FFF2-40B4-BE49-F238E27FC236}">
              <a16:creationId xmlns:a16="http://schemas.microsoft.com/office/drawing/2014/main" id="{1E44893F-BA9A-4FF9-B6A5-B9860ABC5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67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38100</xdr:rowOff>
    </xdr:to>
    <xdr:pic>
      <xdr:nvPicPr>
        <xdr:cNvPr id="5356" name="Picture 9" descr=" ">
          <a:extLst>
            <a:ext uri="{FF2B5EF4-FFF2-40B4-BE49-F238E27FC236}">
              <a16:creationId xmlns:a16="http://schemas.microsoft.com/office/drawing/2014/main" id="{48BB4A31-6685-4B98-91A3-EEAA765EE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67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38100</xdr:rowOff>
    </xdr:to>
    <xdr:pic>
      <xdr:nvPicPr>
        <xdr:cNvPr id="5357" name="Picture 10" descr=" ">
          <a:extLst>
            <a:ext uri="{FF2B5EF4-FFF2-40B4-BE49-F238E27FC236}">
              <a16:creationId xmlns:a16="http://schemas.microsoft.com/office/drawing/2014/main" id="{CD519B0B-6B8C-4C27-90E3-A232D01E8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67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38100</xdr:rowOff>
    </xdr:to>
    <xdr:pic>
      <xdr:nvPicPr>
        <xdr:cNvPr id="5358" name="Picture 11" descr=" ">
          <a:extLst>
            <a:ext uri="{FF2B5EF4-FFF2-40B4-BE49-F238E27FC236}">
              <a16:creationId xmlns:a16="http://schemas.microsoft.com/office/drawing/2014/main" id="{9BACE19D-9B20-4BCF-B5CD-8DA2C7515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67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</xdr:colOff>
      <xdr:row>162</xdr:row>
      <xdr:rowOff>38100</xdr:rowOff>
    </xdr:to>
    <xdr:pic>
      <xdr:nvPicPr>
        <xdr:cNvPr id="5359" name="Picture 12" descr=" ">
          <a:extLst>
            <a:ext uri="{FF2B5EF4-FFF2-40B4-BE49-F238E27FC236}">
              <a16:creationId xmlns:a16="http://schemas.microsoft.com/office/drawing/2014/main" id="{496295F3-CFA8-40A2-B22C-F168B6388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67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38100</xdr:rowOff>
    </xdr:to>
    <xdr:pic>
      <xdr:nvPicPr>
        <xdr:cNvPr id="5360" name="Picture 7" descr=" ">
          <a:extLst>
            <a:ext uri="{FF2B5EF4-FFF2-40B4-BE49-F238E27FC236}">
              <a16:creationId xmlns:a16="http://schemas.microsoft.com/office/drawing/2014/main" id="{CE8E2DD6-94D9-4E99-869A-79060FA3C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50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38100</xdr:rowOff>
    </xdr:to>
    <xdr:pic>
      <xdr:nvPicPr>
        <xdr:cNvPr id="5361" name="Picture 8" descr=" ">
          <a:extLst>
            <a:ext uri="{FF2B5EF4-FFF2-40B4-BE49-F238E27FC236}">
              <a16:creationId xmlns:a16="http://schemas.microsoft.com/office/drawing/2014/main" id="{5146B42A-AA30-40C1-B8CA-2610B36FF0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50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38100</xdr:rowOff>
    </xdr:to>
    <xdr:pic>
      <xdr:nvPicPr>
        <xdr:cNvPr id="5362" name="Picture 9" descr=" ">
          <a:extLst>
            <a:ext uri="{FF2B5EF4-FFF2-40B4-BE49-F238E27FC236}">
              <a16:creationId xmlns:a16="http://schemas.microsoft.com/office/drawing/2014/main" id="{A8317307-58AD-45F9-8418-0955AC721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50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38100</xdr:rowOff>
    </xdr:to>
    <xdr:pic>
      <xdr:nvPicPr>
        <xdr:cNvPr id="5363" name="Picture 10" descr=" ">
          <a:extLst>
            <a:ext uri="{FF2B5EF4-FFF2-40B4-BE49-F238E27FC236}">
              <a16:creationId xmlns:a16="http://schemas.microsoft.com/office/drawing/2014/main" id="{1591E82D-0738-495E-8C1C-AE07C92C6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50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38100</xdr:rowOff>
    </xdr:to>
    <xdr:pic>
      <xdr:nvPicPr>
        <xdr:cNvPr id="5364" name="Picture 11" descr=" ">
          <a:extLst>
            <a:ext uri="{FF2B5EF4-FFF2-40B4-BE49-F238E27FC236}">
              <a16:creationId xmlns:a16="http://schemas.microsoft.com/office/drawing/2014/main" id="{F95272E8-3D72-4F65-8D87-A1E0BD659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50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38100</xdr:rowOff>
    </xdr:to>
    <xdr:pic>
      <xdr:nvPicPr>
        <xdr:cNvPr id="5365" name="Picture 12" descr=" ">
          <a:extLst>
            <a:ext uri="{FF2B5EF4-FFF2-40B4-BE49-F238E27FC236}">
              <a16:creationId xmlns:a16="http://schemas.microsoft.com/office/drawing/2014/main" id="{CD0BF916-1F02-4DDF-B251-D373F58AC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50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38100</xdr:rowOff>
    </xdr:to>
    <xdr:pic>
      <xdr:nvPicPr>
        <xdr:cNvPr id="5366" name="Picture 7" descr=" ">
          <a:extLst>
            <a:ext uri="{FF2B5EF4-FFF2-40B4-BE49-F238E27FC236}">
              <a16:creationId xmlns:a16="http://schemas.microsoft.com/office/drawing/2014/main" id="{4AA59978-EB40-4E41-9339-4B7F5F787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50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38100</xdr:rowOff>
    </xdr:to>
    <xdr:pic>
      <xdr:nvPicPr>
        <xdr:cNvPr id="5367" name="Picture 8" descr=" ">
          <a:extLst>
            <a:ext uri="{FF2B5EF4-FFF2-40B4-BE49-F238E27FC236}">
              <a16:creationId xmlns:a16="http://schemas.microsoft.com/office/drawing/2014/main" id="{A014AFCF-C8A6-467E-81C5-CA7F54558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50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38100</xdr:rowOff>
    </xdr:to>
    <xdr:pic>
      <xdr:nvPicPr>
        <xdr:cNvPr id="5368" name="Picture 9" descr=" ">
          <a:extLst>
            <a:ext uri="{FF2B5EF4-FFF2-40B4-BE49-F238E27FC236}">
              <a16:creationId xmlns:a16="http://schemas.microsoft.com/office/drawing/2014/main" id="{69CC482D-1E7D-43B7-A839-5C91E6B21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50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38100</xdr:rowOff>
    </xdr:to>
    <xdr:pic>
      <xdr:nvPicPr>
        <xdr:cNvPr id="5369" name="Picture 10" descr=" ">
          <a:extLst>
            <a:ext uri="{FF2B5EF4-FFF2-40B4-BE49-F238E27FC236}">
              <a16:creationId xmlns:a16="http://schemas.microsoft.com/office/drawing/2014/main" id="{2BA59AD8-0BE7-4B8C-B754-769C368F4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50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38100</xdr:rowOff>
    </xdr:to>
    <xdr:pic>
      <xdr:nvPicPr>
        <xdr:cNvPr id="5370" name="Picture 11" descr=" ">
          <a:extLst>
            <a:ext uri="{FF2B5EF4-FFF2-40B4-BE49-F238E27FC236}">
              <a16:creationId xmlns:a16="http://schemas.microsoft.com/office/drawing/2014/main" id="{EF625125-D259-4351-A2A9-B1751EB44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50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9525</xdr:colOff>
      <xdr:row>163</xdr:row>
      <xdr:rowOff>38100</xdr:rowOff>
    </xdr:to>
    <xdr:pic>
      <xdr:nvPicPr>
        <xdr:cNvPr id="5371" name="Picture 12" descr=" ">
          <a:extLst>
            <a:ext uri="{FF2B5EF4-FFF2-40B4-BE49-F238E27FC236}">
              <a16:creationId xmlns:a16="http://schemas.microsoft.com/office/drawing/2014/main" id="{C89EB491-9D04-429B-A778-C48A36294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50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38100</xdr:rowOff>
    </xdr:to>
    <xdr:pic>
      <xdr:nvPicPr>
        <xdr:cNvPr id="5372" name="Picture 7" descr=" ">
          <a:extLst>
            <a:ext uri="{FF2B5EF4-FFF2-40B4-BE49-F238E27FC236}">
              <a16:creationId xmlns:a16="http://schemas.microsoft.com/office/drawing/2014/main" id="{A956E1E6-8B06-4C5C-9C21-5A3F1D90B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33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38100</xdr:rowOff>
    </xdr:to>
    <xdr:pic>
      <xdr:nvPicPr>
        <xdr:cNvPr id="5373" name="Picture 8" descr=" ">
          <a:extLst>
            <a:ext uri="{FF2B5EF4-FFF2-40B4-BE49-F238E27FC236}">
              <a16:creationId xmlns:a16="http://schemas.microsoft.com/office/drawing/2014/main" id="{CE1CE30A-9877-489C-A687-E644E9329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33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38100</xdr:rowOff>
    </xdr:to>
    <xdr:pic>
      <xdr:nvPicPr>
        <xdr:cNvPr id="5374" name="Picture 9" descr=" ">
          <a:extLst>
            <a:ext uri="{FF2B5EF4-FFF2-40B4-BE49-F238E27FC236}">
              <a16:creationId xmlns:a16="http://schemas.microsoft.com/office/drawing/2014/main" id="{F220FFDD-B3CE-416F-9483-36F52B53A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33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38100</xdr:rowOff>
    </xdr:to>
    <xdr:pic>
      <xdr:nvPicPr>
        <xdr:cNvPr id="5375" name="Picture 10" descr=" ">
          <a:extLst>
            <a:ext uri="{FF2B5EF4-FFF2-40B4-BE49-F238E27FC236}">
              <a16:creationId xmlns:a16="http://schemas.microsoft.com/office/drawing/2014/main" id="{37EB69AB-9F5B-45EF-846B-2A86B2B1F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33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38100</xdr:rowOff>
    </xdr:to>
    <xdr:pic>
      <xdr:nvPicPr>
        <xdr:cNvPr id="5376" name="Picture 11" descr=" ">
          <a:extLst>
            <a:ext uri="{FF2B5EF4-FFF2-40B4-BE49-F238E27FC236}">
              <a16:creationId xmlns:a16="http://schemas.microsoft.com/office/drawing/2014/main" id="{178FD5D4-8B99-4214-A069-E7CC242CE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33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38100</xdr:rowOff>
    </xdr:to>
    <xdr:pic>
      <xdr:nvPicPr>
        <xdr:cNvPr id="5377" name="Picture 12" descr=" ">
          <a:extLst>
            <a:ext uri="{FF2B5EF4-FFF2-40B4-BE49-F238E27FC236}">
              <a16:creationId xmlns:a16="http://schemas.microsoft.com/office/drawing/2014/main" id="{132B6779-D02C-45EC-B989-144F102AB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33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38100</xdr:rowOff>
    </xdr:to>
    <xdr:pic>
      <xdr:nvPicPr>
        <xdr:cNvPr id="5378" name="Picture 7" descr=" ">
          <a:extLst>
            <a:ext uri="{FF2B5EF4-FFF2-40B4-BE49-F238E27FC236}">
              <a16:creationId xmlns:a16="http://schemas.microsoft.com/office/drawing/2014/main" id="{B77034B2-BD9A-4F88-853A-CA260F17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33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38100</xdr:rowOff>
    </xdr:to>
    <xdr:pic>
      <xdr:nvPicPr>
        <xdr:cNvPr id="5379" name="Picture 8" descr=" ">
          <a:extLst>
            <a:ext uri="{FF2B5EF4-FFF2-40B4-BE49-F238E27FC236}">
              <a16:creationId xmlns:a16="http://schemas.microsoft.com/office/drawing/2014/main" id="{566609E5-44F5-4398-B066-22160E8EE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33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38100</xdr:rowOff>
    </xdr:to>
    <xdr:pic>
      <xdr:nvPicPr>
        <xdr:cNvPr id="5380" name="Picture 9" descr=" ">
          <a:extLst>
            <a:ext uri="{FF2B5EF4-FFF2-40B4-BE49-F238E27FC236}">
              <a16:creationId xmlns:a16="http://schemas.microsoft.com/office/drawing/2014/main" id="{9CD006FE-26F4-4609-96AD-D4594C55F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33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38100</xdr:rowOff>
    </xdr:to>
    <xdr:pic>
      <xdr:nvPicPr>
        <xdr:cNvPr id="5381" name="Picture 10" descr=" ">
          <a:extLst>
            <a:ext uri="{FF2B5EF4-FFF2-40B4-BE49-F238E27FC236}">
              <a16:creationId xmlns:a16="http://schemas.microsoft.com/office/drawing/2014/main" id="{FF46AADE-D264-454C-A33E-88176E8ED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33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38100</xdr:rowOff>
    </xdr:to>
    <xdr:pic>
      <xdr:nvPicPr>
        <xdr:cNvPr id="5382" name="Picture 11" descr=" ">
          <a:extLst>
            <a:ext uri="{FF2B5EF4-FFF2-40B4-BE49-F238E27FC236}">
              <a16:creationId xmlns:a16="http://schemas.microsoft.com/office/drawing/2014/main" id="{1073A565-5FFA-4A09-85C2-6D70718F5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33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</xdr:colOff>
      <xdr:row>164</xdr:row>
      <xdr:rowOff>38100</xdr:rowOff>
    </xdr:to>
    <xdr:pic>
      <xdr:nvPicPr>
        <xdr:cNvPr id="5383" name="Picture 12" descr=" ">
          <a:extLst>
            <a:ext uri="{FF2B5EF4-FFF2-40B4-BE49-F238E27FC236}">
              <a16:creationId xmlns:a16="http://schemas.microsoft.com/office/drawing/2014/main" id="{489F7723-E5BD-4423-9758-95054C6E5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33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38100</xdr:rowOff>
    </xdr:to>
    <xdr:pic>
      <xdr:nvPicPr>
        <xdr:cNvPr id="5384" name="Picture 7" descr=" ">
          <a:extLst>
            <a:ext uri="{FF2B5EF4-FFF2-40B4-BE49-F238E27FC236}">
              <a16:creationId xmlns:a16="http://schemas.microsoft.com/office/drawing/2014/main" id="{B5A1C2BD-58F1-49BD-91BA-C3279DEA6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16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38100</xdr:rowOff>
    </xdr:to>
    <xdr:pic>
      <xdr:nvPicPr>
        <xdr:cNvPr id="5385" name="Picture 8" descr=" ">
          <a:extLst>
            <a:ext uri="{FF2B5EF4-FFF2-40B4-BE49-F238E27FC236}">
              <a16:creationId xmlns:a16="http://schemas.microsoft.com/office/drawing/2014/main" id="{B3D0BC39-E603-47FD-AD4C-AF88C8E43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16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38100</xdr:rowOff>
    </xdr:to>
    <xdr:pic>
      <xdr:nvPicPr>
        <xdr:cNvPr id="5386" name="Picture 9" descr=" ">
          <a:extLst>
            <a:ext uri="{FF2B5EF4-FFF2-40B4-BE49-F238E27FC236}">
              <a16:creationId xmlns:a16="http://schemas.microsoft.com/office/drawing/2014/main" id="{C68ED483-D779-4BD7-9885-5ECB3FBCD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16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38100</xdr:rowOff>
    </xdr:to>
    <xdr:pic>
      <xdr:nvPicPr>
        <xdr:cNvPr id="5387" name="Picture 10" descr=" ">
          <a:extLst>
            <a:ext uri="{FF2B5EF4-FFF2-40B4-BE49-F238E27FC236}">
              <a16:creationId xmlns:a16="http://schemas.microsoft.com/office/drawing/2014/main" id="{B7F681AF-679E-4566-9E0F-0DDB4A97B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16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38100</xdr:rowOff>
    </xdr:to>
    <xdr:pic>
      <xdr:nvPicPr>
        <xdr:cNvPr id="5388" name="Picture 11" descr=" ">
          <a:extLst>
            <a:ext uri="{FF2B5EF4-FFF2-40B4-BE49-F238E27FC236}">
              <a16:creationId xmlns:a16="http://schemas.microsoft.com/office/drawing/2014/main" id="{27887E1C-301A-4E6C-8BCA-57DBED135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16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38100</xdr:rowOff>
    </xdr:to>
    <xdr:pic>
      <xdr:nvPicPr>
        <xdr:cNvPr id="5389" name="Picture 12" descr=" ">
          <a:extLst>
            <a:ext uri="{FF2B5EF4-FFF2-40B4-BE49-F238E27FC236}">
              <a16:creationId xmlns:a16="http://schemas.microsoft.com/office/drawing/2014/main" id="{B2621369-F331-4783-AA32-0A0587BA1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16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38100</xdr:rowOff>
    </xdr:to>
    <xdr:pic>
      <xdr:nvPicPr>
        <xdr:cNvPr id="5390" name="Picture 7" descr=" ">
          <a:extLst>
            <a:ext uri="{FF2B5EF4-FFF2-40B4-BE49-F238E27FC236}">
              <a16:creationId xmlns:a16="http://schemas.microsoft.com/office/drawing/2014/main" id="{2EC9F09D-406F-46A6-AA4E-D7EF87810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16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38100</xdr:rowOff>
    </xdr:to>
    <xdr:pic>
      <xdr:nvPicPr>
        <xdr:cNvPr id="5391" name="Picture 8" descr=" ">
          <a:extLst>
            <a:ext uri="{FF2B5EF4-FFF2-40B4-BE49-F238E27FC236}">
              <a16:creationId xmlns:a16="http://schemas.microsoft.com/office/drawing/2014/main" id="{C063B120-C124-49C0-A881-0DE76E817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16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38100</xdr:rowOff>
    </xdr:to>
    <xdr:pic>
      <xdr:nvPicPr>
        <xdr:cNvPr id="5392" name="Picture 9" descr=" ">
          <a:extLst>
            <a:ext uri="{FF2B5EF4-FFF2-40B4-BE49-F238E27FC236}">
              <a16:creationId xmlns:a16="http://schemas.microsoft.com/office/drawing/2014/main" id="{AD256427-2007-42C7-A0B8-FAB4A5110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16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38100</xdr:rowOff>
    </xdr:to>
    <xdr:pic>
      <xdr:nvPicPr>
        <xdr:cNvPr id="5393" name="Picture 10" descr=" ">
          <a:extLst>
            <a:ext uri="{FF2B5EF4-FFF2-40B4-BE49-F238E27FC236}">
              <a16:creationId xmlns:a16="http://schemas.microsoft.com/office/drawing/2014/main" id="{A2362C3A-FF66-481F-8A04-51C3EEB13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16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38100</xdr:rowOff>
    </xdr:to>
    <xdr:pic>
      <xdr:nvPicPr>
        <xdr:cNvPr id="5394" name="Picture 11" descr=" ">
          <a:extLst>
            <a:ext uri="{FF2B5EF4-FFF2-40B4-BE49-F238E27FC236}">
              <a16:creationId xmlns:a16="http://schemas.microsoft.com/office/drawing/2014/main" id="{379DC671-5A23-4390-89BB-E2617D5AB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16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</xdr:colOff>
      <xdr:row>165</xdr:row>
      <xdr:rowOff>38100</xdr:rowOff>
    </xdr:to>
    <xdr:pic>
      <xdr:nvPicPr>
        <xdr:cNvPr id="5395" name="Picture 12" descr=" ">
          <a:extLst>
            <a:ext uri="{FF2B5EF4-FFF2-40B4-BE49-F238E27FC236}">
              <a16:creationId xmlns:a16="http://schemas.microsoft.com/office/drawing/2014/main" id="{34A76433-517E-4BBD-8C78-7642789C3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16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38100</xdr:rowOff>
    </xdr:to>
    <xdr:pic>
      <xdr:nvPicPr>
        <xdr:cNvPr id="5396" name="Picture 7" descr=" ">
          <a:extLst>
            <a:ext uri="{FF2B5EF4-FFF2-40B4-BE49-F238E27FC236}">
              <a16:creationId xmlns:a16="http://schemas.microsoft.com/office/drawing/2014/main" id="{6D8D33E1-4D62-45D4-96C3-DE02BF82F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98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38100</xdr:rowOff>
    </xdr:to>
    <xdr:pic>
      <xdr:nvPicPr>
        <xdr:cNvPr id="5397" name="Picture 8" descr=" ">
          <a:extLst>
            <a:ext uri="{FF2B5EF4-FFF2-40B4-BE49-F238E27FC236}">
              <a16:creationId xmlns:a16="http://schemas.microsoft.com/office/drawing/2014/main" id="{9E862A57-E811-42A3-9441-13EE5B8E8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98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38100</xdr:rowOff>
    </xdr:to>
    <xdr:pic>
      <xdr:nvPicPr>
        <xdr:cNvPr id="5398" name="Picture 9" descr=" ">
          <a:extLst>
            <a:ext uri="{FF2B5EF4-FFF2-40B4-BE49-F238E27FC236}">
              <a16:creationId xmlns:a16="http://schemas.microsoft.com/office/drawing/2014/main" id="{7B086C80-D0A3-4B1A-8A4E-F14FB404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98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38100</xdr:rowOff>
    </xdr:to>
    <xdr:pic>
      <xdr:nvPicPr>
        <xdr:cNvPr id="5399" name="Picture 10" descr=" ">
          <a:extLst>
            <a:ext uri="{FF2B5EF4-FFF2-40B4-BE49-F238E27FC236}">
              <a16:creationId xmlns:a16="http://schemas.microsoft.com/office/drawing/2014/main" id="{63BB74F5-5FC5-48D9-AC4E-C780BF732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98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38100</xdr:rowOff>
    </xdr:to>
    <xdr:pic>
      <xdr:nvPicPr>
        <xdr:cNvPr id="5400" name="Picture 11" descr=" ">
          <a:extLst>
            <a:ext uri="{FF2B5EF4-FFF2-40B4-BE49-F238E27FC236}">
              <a16:creationId xmlns:a16="http://schemas.microsoft.com/office/drawing/2014/main" id="{F7D27788-4C60-4B1E-98B4-67006616F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98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38100</xdr:rowOff>
    </xdr:to>
    <xdr:pic>
      <xdr:nvPicPr>
        <xdr:cNvPr id="5401" name="Picture 12" descr=" ">
          <a:extLst>
            <a:ext uri="{FF2B5EF4-FFF2-40B4-BE49-F238E27FC236}">
              <a16:creationId xmlns:a16="http://schemas.microsoft.com/office/drawing/2014/main" id="{545E7D3E-E86B-4BE7-B2FA-838E055CE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98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38100</xdr:rowOff>
    </xdr:to>
    <xdr:pic>
      <xdr:nvPicPr>
        <xdr:cNvPr id="5402" name="Picture 7" descr=" ">
          <a:extLst>
            <a:ext uri="{FF2B5EF4-FFF2-40B4-BE49-F238E27FC236}">
              <a16:creationId xmlns:a16="http://schemas.microsoft.com/office/drawing/2014/main" id="{57F429DA-52A3-45AD-BB6A-C683F2725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98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38100</xdr:rowOff>
    </xdr:to>
    <xdr:pic>
      <xdr:nvPicPr>
        <xdr:cNvPr id="5403" name="Picture 8" descr=" ">
          <a:extLst>
            <a:ext uri="{FF2B5EF4-FFF2-40B4-BE49-F238E27FC236}">
              <a16:creationId xmlns:a16="http://schemas.microsoft.com/office/drawing/2014/main" id="{DFDCA3E1-DC13-49BF-8DCD-C0D782D31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98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38100</xdr:rowOff>
    </xdr:to>
    <xdr:pic>
      <xdr:nvPicPr>
        <xdr:cNvPr id="5404" name="Picture 9" descr=" ">
          <a:extLst>
            <a:ext uri="{FF2B5EF4-FFF2-40B4-BE49-F238E27FC236}">
              <a16:creationId xmlns:a16="http://schemas.microsoft.com/office/drawing/2014/main" id="{64226EB1-F039-432C-AA24-C504653B0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98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38100</xdr:rowOff>
    </xdr:to>
    <xdr:pic>
      <xdr:nvPicPr>
        <xdr:cNvPr id="5405" name="Picture 10" descr=" ">
          <a:extLst>
            <a:ext uri="{FF2B5EF4-FFF2-40B4-BE49-F238E27FC236}">
              <a16:creationId xmlns:a16="http://schemas.microsoft.com/office/drawing/2014/main" id="{3B0C452C-5CD2-447A-82C8-B353B7508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98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38100</xdr:rowOff>
    </xdr:to>
    <xdr:pic>
      <xdr:nvPicPr>
        <xdr:cNvPr id="5406" name="Picture 11" descr=" ">
          <a:extLst>
            <a:ext uri="{FF2B5EF4-FFF2-40B4-BE49-F238E27FC236}">
              <a16:creationId xmlns:a16="http://schemas.microsoft.com/office/drawing/2014/main" id="{6F2645F3-0345-4568-B189-3D86AE9B2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98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9525</xdr:colOff>
      <xdr:row>166</xdr:row>
      <xdr:rowOff>38100</xdr:rowOff>
    </xdr:to>
    <xdr:pic>
      <xdr:nvPicPr>
        <xdr:cNvPr id="5407" name="Picture 12" descr=" ">
          <a:extLst>
            <a:ext uri="{FF2B5EF4-FFF2-40B4-BE49-F238E27FC236}">
              <a16:creationId xmlns:a16="http://schemas.microsoft.com/office/drawing/2014/main" id="{4DD2302E-A7BF-4930-9C79-F05DE91C8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98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38100</xdr:rowOff>
    </xdr:to>
    <xdr:pic>
      <xdr:nvPicPr>
        <xdr:cNvPr id="5408" name="Picture 7" descr=" ">
          <a:extLst>
            <a:ext uri="{FF2B5EF4-FFF2-40B4-BE49-F238E27FC236}">
              <a16:creationId xmlns:a16="http://schemas.microsoft.com/office/drawing/2014/main" id="{E22AFE73-9278-4FAC-858D-5F2AF614E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1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38100</xdr:rowOff>
    </xdr:to>
    <xdr:pic>
      <xdr:nvPicPr>
        <xdr:cNvPr id="5409" name="Picture 8" descr=" ">
          <a:extLst>
            <a:ext uri="{FF2B5EF4-FFF2-40B4-BE49-F238E27FC236}">
              <a16:creationId xmlns:a16="http://schemas.microsoft.com/office/drawing/2014/main" id="{39B95849-ABEF-4A39-8A02-13A058863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1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38100</xdr:rowOff>
    </xdr:to>
    <xdr:pic>
      <xdr:nvPicPr>
        <xdr:cNvPr id="5410" name="Picture 9" descr=" ">
          <a:extLst>
            <a:ext uri="{FF2B5EF4-FFF2-40B4-BE49-F238E27FC236}">
              <a16:creationId xmlns:a16="http://schemas.microsoft.com/office/drawing/2014/main" id="{FAC76A9C-8243-4EAC-B343-CE1190C94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1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38100</xdr:rowOff>
    </xdr:to>
    <xdr:pic>
      <xdr:nvPicPr>
        <xdr:cNvPr id="5411" name="Picture 10" descr=" ">
          <a:extLst>
            <a:ext uri="{FF2B5EF4-FFF2-40B4-BE49-F238E27FC236}">
              <a16:creationId xmlns:a16="http://schemas.microsoft.com/office/drawing/2014/main" id="{8621205A-A46D-4531-95E9-1CD3D2DC5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1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38100</xdr:rowOff>
    </xdr:to>
    <xdr:pic>
      <xdr:nvPicPr>
        <xdr:cNvPr id="5412" name="Picture 11" descr=" ">
          <a:extLst>
            <a:ext uri="{FF2B5EF4-FFF2-40B4-BE49-F238E27FC236}">
              <a16:creationId xmlns:a16="http://schemas.microsoft.com/office/drawing/2014/main" id="{024117A4-8E92-4509-8A27-E65F49B21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1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38100</xdr:rowOff>
    </xdr:to>
    <xdr:pic>
      <xdr:nvPicPr>
        <xdr:cNvPr id="5413" name="Picture 12" descr=" ">
          <a:extLst>
            <a:ext uri="{FF2B5EF4-FFF2-40B4-BE49-F238E27FC236}">
              <a16:creationId xmlns:a16="http://schemas.microsoft.com/office/drawing/2014/main" id="{100B67A6-4018-45C7-9DAC-D68D4769B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1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38100</xdr:rowOff>
    </xdr:to>
    <xdr:pic>
      <xdr:nvPicPr>
        <xdr:cNvPr id="5414" name="Picture 7" descr=" ">
          <a:extLst>
            <a:ext uri="{FF2B5EF4-FFF2-40B4-BE49-F238E27FC236}">
              <a16:creationId xmlns:a16="http://schemas.microsoft.com/office/drawing/2014/main" id="{0DC17AD5-D4BC-4363-9D71-9FB375D02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1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38100</xdr:rowOff>
    </xdr:to>
    <xdr:pic>
      <xdr:nvPicPr>
        <xdr:cNvPr id="5415" name="Picture 8" descr=" ">
          <a:extLst>
            <a:ext uri="{FF2B5EF4-FFF2-40B4-BE49-F238E27FC236}">
              <a16:creationId xmlns:a16="http://schemas.microsoft.com/office/drawing/2014/main" id="{AA69BCCD-4CF0-4444-B57B-85E3B6AE6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1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38100</xdr:rowOff>
    </xdr:to>
    <xdr:pic>
      <xdr:nvPicPr>
        <xdr:cNvPr id="5416" name="Picture 9" descr=" ">
          <a:extLst>
            <a:ext uri="{FF2B5EF4-FFF2-40B4-BE49-F238E27FC236}">
              <a16:creationId xmlns:a16="http://schemas.microsoft.com/office/drawing/2014/main" id="{ABA629ED-222F-4BAB-9A08-0B145FF7D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1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38100</xdr:rowOff>
    </xdr:to>
    <xdr:pic>
      <xdr:nvPicPr>
        <xdr:cNvPr id="5417" name="Picture 10" descr=" ">
          <a:extLst>
            <a:ext uri="{FF2B5EF4-FFF2-40B4-BE49-F238E27FC236}">
              <a16:creationId xmlns:a16="http://schemas.microsoft.com/office/drawing/2014/main" id="{7281EEBD-A807-4644-AE70-3C506AB4E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1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38100</xdr:rowOff>
    </xdr:to>
    <xdr:pic>
      <xdr:nvPicPr>
        <xdr:cNvPr id="5418" name="Picture 11" descr=" ">
          <a:extLst>
            <a:ext uri="{FF2B5EF4-FFF2-40B4-BE49-F238E27FC236}">
              <a16:creationId xmlns:a16="http://schemas.microsoft.com/office/drawing/2014/main" id="{478D9AC9-A794-4761-82AD-319656D3D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1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9525</xdr:colOff>
      <xdr:row>167</xdr:row>
      <xdr:rowOff>38100</xdr:rowOff>
    </xdr:to>
    <xdr:pic>
      <xdr:nvPicPr>
        <xdr:cNvPr id="5419" name="Picture 12" descr=" ">
          <a:extLst>
            <a:ext uri="{FF2B5EF4-FFF2-40B4-BE49-F238E27FC236}">
              <a16:creationId xmlns:a16="http://schemas.microsoft.com/office/drawing/2014/main" id="{25A49FFA-6C34-4EDB-B2BC-52E22F1F9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1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38100</xdr:rowOff>
    </xdr:to>
    <xdr:pic>
      <xdr:nvPicPr>
        <xdr:cNvPr id="5420" name="Picture 7" descr=" ">
          <a:extLst>
            <a:ext uri="{FF2B5EF4-FFF2-40B4-BE49-F238E27FC236}">
              <a16:creationId xmlns:a16="http://schemas.microsoft.com/office/drawing/2014/main" id="{8FB79FF2-CC14-4347-9288-3E986DB17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64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38100</xdr:rowOff>
    </xdr:to>
    <xdr:pic>
      <xdr:nvPicPr>
        <xdr:cNvPr id="5421" name="Picture 8" descr=" ">
          <a:extLst>
            <a:ext uri="{FF2B5EF4-FFF2-40B4-BE49-F238E27FC236}">
              <a16:creationId xmlns:a16="http://schemas.microsoft.com/office/drawing/2014/main" id="{76A5773E-9D56-4792-90A2-FA88B0DBB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64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38100</xdr:rowOff>
    </xdr:to>
    <xdr:pic>
      <xdr:nvPicPr>
        <xdr:cNvPr id="5422" name="Picture 9" descr=" ">
          <a:extLst>
            <a:ext uri="{FF2B5EF4-FFF2-40B4-BE49-F238E27FC236}">
              <a16:creationId xmlns:a16="http://schemas.microsoft.com/office/drawing/2014/main" id="{9C10B8C3-F69A-4CCE-A6BC-B2C986184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64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38100</xdr:rowOff>
    </xdr:to>
    <xdr:pic>
      <xdr:nvPicPr>
        <xdr:cNvPr id="5423" name="Picture 10" descr=" ">
          <a:extLst>
            <a:ext uri="{FF2B5EF4-FFF2-40B4-BE49-F238E27FC236}">
              <a16:creationId xmlns:a16="http://schemas.microsoft.com/office/drawing/2014/main" id="{0EF3360D-7C51-44B0-A4C6-C55B117C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64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38100</xdr:rowOff>
    </xdr:to>
    <xdr:pic>
      <xdr:nvPicPr>
        <xdr:cNvPr id="5424" name="Picture 11" descr=" ">
          <a:extLst>
            <a:ext uri="{FF2B5EF4-FFF2-40B4-BE49-F238E27FC236}">
              <a16:creationId xmlns:a16="http://schemas.microsoft.com/office/drawing/2014/main" id="{190E0A1E-7941-4AEF-A252-3C16F95D0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64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38100</xdr:rowOff>
    </xdr:to>
    <xdr:pic>
      <xdr:nvPicPr>
        <xdr:cNvPr id="5425" name="Picture 12" descr=" ">
          <a:extLst>
            <a:ext uri="{FF2B5EF4-FFF2-40B4-BE49-F238E27FC236}">
              <a16:creationId xmlns:a16="http://schemas.microsoft.com/office/drawing/2014/main" id="{117E5762-7189-4FAF-9F9F-EBCECC01A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64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38100</xdr:rowOff>
    </xdr:to>
    <xdr:pic>
      <xdr:nvPicPr>
        <xdr:cNvPr id="5426" name="Picture 7" descr=" ">
          <a:extLst>
            <a:ext uri="{FF2B5EF4-FFF2-40B4-BE49-F238E27FC236}">
              <a16:creationId xmlns:a16="http://schemas.microsoft.com/office/drawing/2014/main" id="{EB17307C-09CA-4AB3-BC7F-6D5FE063C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64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38100</xdr:rowOff>
    </xdr:to>
    <xdr:pic>
      <xdr:nvPicPr>
        <xdr:cNvPr id="5427" name="Picture 8" descr=" ">
          <a:extLst>
            <a:ext uri="{FF2B5EF4-FFF2-40B4-BE49-F238E27FC236}">
              <a16:creationId xmlns:a16="http://schemas.microsoft.com/office/drawing/2014/main" id="{9AD4F5DA-19FF-415F-9A06-81ACC6F87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64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38100</xdr:rowOff>
    </xdr:to>
    <xdr:pic>
      <xdr:nvPicPr>
        <xdr:cNvPr id="5428" name="Picture 9" descr=" ">
          <a:extLst>
            <a:ext uri="{FF2B5EF4-FFF2-40B4-BE49-F238E27FC236}">
              <a16:creationId xmlns:a16="http://schemas.microsoft.com/office/drawing/2014/main" id="{85073EFD-FFEE-4FD2-952C-03F75AAB0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64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38100</xdr:rowOff>
    </xdr:to>
    <xdr:pic>
      <xdr:nvPicPr>
        <xdr:cNvPr id="5429" name="Picture 10" descr=" ">
          <a:extLst>
            <a:ext uri="{FF2B5EF4-FFF2-40B4-BE49-F238E27FC236}">
              <a16:creationId xmlns:a16="http://schemas.microsoft.com/office/drawing/2014/main" id="{440C3E70-3422-4420-81E2-DF097E22A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64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38100</xdr:rowOff>
    </xdr:to>
    <xdr:pic>
      <xdr:nvPicPr>
        <xdr:cNvPr id="5430" name="Picture 11" descr=" ">
          <a:extLst>
            <a:ext uri="{FF2B5EF4-FFF2-40B4-BE49-F238E27FC236}">
              <a16:creationId xmlns:a16="http://schemas.microsoft.com/office/drawing/2014/main" id="{9B16D703-C2B2-4146-85C1-442E9BB27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64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0</xdr:col>
      <xdr:colOff>9525</xdr:colOff>
      <xdr:row>168</xdr:row>
      <xdr:rowOff>38100</xdr:rowOff>
    </xdr:to>
    <xdr:pic>
      <xdr:nvPicPr>
        <xdr:cNvPr id="5431" name="Picture 12" descr=" ">
          <a:extLst>
            <a:ext uri="{FF2B5EF4-FFF2-40B4-BE49-F238E27FC236}">
              <a16:creationId xmlns:a16="http://schemas.microsoft.com/office/drawing/2014/main" id="{31E6CB04-89C4-4CE6-A379-605B02259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64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38100</xdr:rowOff>
    </xdr:to>
    <xdr:pic>
      <xdr:nvPicPr>
        <xdr:cNvPr id="5432" name="Picture 7" descr=" ">
          <a:extLst>
            <a:ext uri="{FF2B5EF4-FFF2-40B4-BE49-F238E27FC236}">
              <a16:creationId xmlns:a16="http://schemas.microsoft.com/office/drawing/2014/main" id="{F9B2C960-A01F-4A53-8B5A-DE8B43317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47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38100</xdr:rowOff>
    </xdr:to>
    <xdr:pic>
      <xdr:nvPicPr>
        <xdr:cNvPr id="5433" name="Picture 8" descr=" ">
          <a:extLst>
            <a:ext uri="{FF2B5EF4-FFF2-40B4-BE49-F238E27FC236}">
              <a16:creationId xmlns:a16="http://schemas.microsoft.com/office/drawing/2014/main" id="{EE001ACD-4219-4CB8-9596-7FF1DECB7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47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38100</xdr:rowOff>
    </xdr:to>
    <xdr:pic>
      <xdr:nvPicPr>
        <xdr:cNvPr id="5434" name="Picture 9" descr=" ">
          <a:extLst>
            <a:ext uri="{FF2B5EF4-FFF2-40B4-BE49-F238E27FC236}">
              <a16:creationId xmlns:a16="http://schemas.microsoft.com/office/drawing/2014/main" id="{1AE79062-8DE2-4373-9A86-CAD848940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47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38100</xdr:rowOff>
    </xdr:to>
    <xdr:pic>
      <xdr:nvPicPr>
        <xdr:cNvPr id="5435" name="Picture 10" descr=" ">
          <a:extLst>
            <a:ext uri="{FF2B5EF4-FFF2-40B4-BE49-F238E27FC236}">
              <a16:creationId xmlns:a16="http://schemas.microsoft.com/office/drawing/2014/main" id="{98018D4A-E2DB-437C-9D24-F03337DC4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47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38100</xdr:rowOff>
    </xdr:to>
    <xdr:pic>
      <xdr:nvPicPr>
        <xdr:cNvPr id="5436" name="Picture 11" descr=" ">
          <a:extLst>
            <a:ext uri="{FF2B5EF4-FFF2-40B4-BE49-F238E27FC236}">
              <a16:creationId xmlns:a16="http://schemas.microsoft.com/office/drawing/2014/main" id="{0BBA8993-BBA5-44F5-8CDF-AA37C6DE0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47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38100</xdr:rowOff>
    </xdr:to>
    <xdr:pic>
      <xdr:nvPicPr>
        <xdr:cNvPr id="5437" name="Picture 12" descr=" ">
          <a:extLst>
            <a:ext uri="{FF2B5EF4-FFF2-40B4-BE49-F238E27FC236}">
              <a16:creationId xmlns:a16="http://schemas.microsoft.com/office/drawing/2014/main" id="{806D731F-AFDB-44A4-969D-2AF1EE6B7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47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38100</xdr:rowOff>
    </xdr:to>
    <xdr:pic>
      <xdr:nvPicPr>
        <xdr:cNvPr id="5438" name="Picture 7" descr=" ">
          <a:extLst>
            <a:ext uri="{FF2B5EF4-FFF2-40B4-BE49-F238E27FC236}">
              <a16:creationId xmlns:a16="http://schemas.microsoft.com/office/drawing/2014/main" id="{C3C6E34E-4CA1-4B19-87FE-0B4916FC8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47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38100</xdr:rowOff>
    </xdr:to>
    <xdr:pic>
      <xdr:nvPicPr>
        <xdr:cNvPr id="5439" name="Picture 8" descr=" ">
          <a:extLst>
            <a:ext uri="{FF2B5EF4-FFF2-40B4-BE49-F238E27FC236}">
              <a16:creationId xmlns:a16="http://schemas.microsoft.com/office/drawing/2014/main" id="{337B9245-C9CE-4F6D-981F-6C90223A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47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38100</xdr:rowOff>
    </xdr:to>
    <xdr:pic>
      <xdr:nvPicPr>
        <xdr:cNvPr id="5440" name="Picture 9" descr=" ">
          <a:extLst>
            <a:ext uri="{FF2B5EF4-FFF2-40B4-BE49-F238E27FC236}">
              <a16:creationId xmlns:a16="http://schemas.microsoft.com/office/drawing/2014/main" id="{90ABE5B1-D503-4DEB-B527-E2857A17F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47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38100</xdr:rowOff>
    </xdr:to>
    <xdr:pic>
      <xdr:nvPicPr>
        <xdr:cNvPr id="5441" name="Picture 10" descr=" ">
          <a:extLst>
            <a:ext uri="{FF2B5EF4-FFF2-40B4-BE49-F238E27FC236}">
              <a16:creationId xmlns:a16="http://schemas.microsoft.com/office/drawing/2014/main" id="{0FEFAD6B-2A96-4E72-982A-A43CECD10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47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38100</xdr:rowOff>
    </xdr:to>
    <xdr:pic>
      <xdr:nvPicPr>
        <xdr:cNvPr id="5442" name="Picture 11" descr=" ">
          <a:extLst>
            <a:ext uri="{FF2B5EF4-FFF2-40B4-BE49-F238E27FC236}">
              <a16:creationId xmlns:a16="http://schemas.microsoft.com/office/drawing/2014/main" id="{0F031B30-6879-49A0-B845-73F32C3D3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47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</xdr:colOff>
      <xdr:row>169</xdr:row>
      <xdr:rowOff>38100</xdr:rowOff>
    </xdr:to>
    <xdr:pic>
      <xdr:nvPicPr>
        <xdr:cNvPr id="5443" name="Picture 12" descr=" ">
          <a:extLst>
            <a:ext uri="{FF2B5EF4-FFF2-40B4-BE49-F238E27FC236}">
              <a16:creationId xmlns:a16="http://schemas.microsoft.com/office/drawing/2014/main" id="{3310885F-895C-49AF-9CB8-D4FF69723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47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38100</xdr:rowOff>
    </xdr:to>
    <xdr:pic>
      <xdr:nvPicPr>
        <xdr:cNvPr id="5444" name="Picture 7" descr=" ">
          <a:extLst>
            <a:ext uri="{FF2B5EF4-FFF2-40B4-BE49-F238E27FC236}">
              <a16:creationId xmlns:a16="http://schemas.microsoft.com/office/drawing/2014/main" id="{81C67B3E-62D7-4BE4-8B86-6F0F869E2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30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38100</xdr:rowOff>
    </xdr:to>
    <xdr:pic>
      <xdr:nvPicPr>
        <xdr:cNvPr id="5445" name="Picture 8" descr=" ">
          <a:extLst>
            <a:ext uri="{FF2B5EF4-FFF2-40B4-BE49-F238E27FC236}">
              <a16:creationId xmlns:a16="http://schemas.microsoft.com/office/drawing/2014/main" id="{F2553030-4C1E-410B-9D82-1AC201E3F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30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38100</xdr:rowOff>
    </xdr:to>
    <xdr:pic>
      <xdr:nvPicPr>
        <xdr:cNvPr id="5446" name="Picture 9" descr=" ">
          <a:extLst>
            <a:ext uri="{FF2B5EF4-FFF2-40B4-BE49-F238E27FC236}">
              <a16:creationId xmlns:a16="http://schemas.microsoft.com/office/drawing/2014/main" id="{CDB4D77E-2B8F-424B-AC13-D7C3AC9FF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30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38100</xdr:rowOff>
    </xdr:to>
    <xdr:pic>
      <xdr:nvPicPr>
        <xdr:cNvPr id="5447" name="Picture 10" descr=" ">
          <a:extLst>
            <a:ext uri="{FF2B5EF4-FFF2-40B4-BE49-F238E27FC236}">
              <a16:creationId xmlns:a16="http://schemas.microsoft.com/office/drawing/2014/main" id="{BFFDAD3F-5119-497E-9440-ADE493142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30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38100</xdr:rowOff>
    </xdr:to>
    <xdr:pic>
      <xdr:nvPicPr>
        <xdr:cNvPr id="5448" name="Picture 11" descr=" ">
          <a:extLst>
            <a:ext uri="{FF2B5EF4-FFF2-40B4-BE49-F238E27FC236}">
              <a16:creationId xmlns:a16="http://schemas.microsoft.com/office/drawing/2014/main" id="{9A21918E-5BC0-43F8-ABF2-C4A78EE72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30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38100</xdr:rowOff>
    </xdr:to>
    <xdr:pic>
      <xdr:nvPicPr>
        <xdr:cNvPr id="5449" name="Picture 12" descr=" ">
          <a:extLst>
            <a:ext uri="{FF2B5EF4-FFF2-40B4-BE49-F238E27FC236}">
              <a16:creationId xmlns:a16="http://schemas.microsoft.com/office/drawing/2014/main" id="{DCDBD307-597A-4616-B672-6B7A89500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30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38100</xdr:rowOff>
    </xdr:to>
    <xdr:pic>
      <xdr:nvPicPr>
        <xdr:cNvPr id="5450" name="Picture 7" descr=" ">
          <a:extLst>
            <a:ext uri="{FF2B5EF4-FFF2-40B4-BE49-F238E27FC236}">
              <a16:creationId xmlns:a16="http://schemas.microsoft.com/office/drawing/2014/main" id="{4BD6DEDB-F721-4BD5-A45C-6F1CD0E93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30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38100</xdr:rowOff>
    </xdr:to>
    <xdr:pic>
      <xdr:nvPicPr>
        <xdr:cNvPr id="5451" name="Picture 8" descr=" ">
          <a:extLst>
            <a:ext uri="{FF2B5EF4-FFF2-40B4-BE49-F238E27FC236}">
              <a16:creationId xmlns:a16="http://schemas.microsoft.com/office/drawing/2014/main" id="{15A11C3C-D7AD-4F60-80A4-A9AF4C01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30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38100</xdr:rowOff>
    </xdr:to>
    <xdr:pic>
      <xdr:nvPicPr>
        <xdr:cNvPr id="5452" name="Picture 9" descr=" ">
          <a:extLst>
            <a:ext uri="{FF2B5EF4-FFF2-40B4-BE49-F238E27FC236}">
              <a16:creationId xmlns:a16="http://schemas.microsoft.com/office/drawing/2014/main" id="{CFD8B1E5-F806-4CB1-B513-33DF3BF58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30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38100</xdr:rowOff>
    </xdr:to>
    <xdr:pic>
      <xdr:nvPicPr>
        <xdr:cNvPr id="5453" name="Picture 10" descr=" ">
          <a:extLst>
            <a:ext uri="{FF2B5EF4-FFF2-40B4-BE49-F238E27FC236}">
              <a16:creationId xmlns:a16="http://schemas.microsoft.com/office/drawing/2014/main" id="{3B6BE0FC-D077-4D4D-B5D2-372EE24A3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30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38100</xdr:rowOff>
    </xdr:to>
    <xdr:pic>
      <xdr:nvPicPr>
        <xdr:cNvPr id="5454" name="Picture 11" descr=" ">
          <a:extLst>
            <a:ext uri="{FF2B5EF4-FFF2-40B4-BE49-F238E27FC236}">
              <a16:creationId xmlns:a16="http://schemas.microsoft.com/office/drawing/2014/main" id="{BF84DB5D-7DE2-4CC1-B40D-A70655846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30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</xdr:colOff>
      <xdr:row>170</xdr:row>
      <xdr:rowOff>38100</xdr:rowOff>
    </xdr:to>
    <xdr:pic>
      <xdr:nvPicPr>
        <xdr:cNvPr id="5455" name="Picture 12" descr=" ">
          <a:extLst>
            <a:ext uri="{FF2B5EF4-FFF2-40B4-BE49-F238E27FC236}">
              <a16:creationId xmlns:a16="http://schemas.microsoft.com/office/drawing/2014/main" id="{FC47D9F3-59D4-4D97-9048-6FF4718C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30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38100</xdr:rowOff>
    </xdr:to>
    <xdr:pic>
      <xdr:nvPicPr>
        <xdr:cNvPr id="5456" name="Picture 7" descr=" ">
          <a:extLst>
            <a:ext uri="{FF2B5EF4-FFF2-40B4-BE49-F238E27FC236}">
              <a16:creationId xmlns:a16="http://schemas.microsoft.com/office/drawing/2014/main" id="{8053A33D-6E3A-428B-994F-E95A31680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13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38100</xdr:rowOff>
    </xdr:to>
    <xdr:pic>
      <xdr:nvPicPr>
        <xdr:cNvPr id="5457" name="Picture 8" descr=" ">
          <a:extLst>
            <a:ext uri="{FF2B5EF4-FFF2-40B4-BE49-F238E27FC236}">
              <a16:creationId xmlns:a16="http://schemas.microsoft.com/office/drawing/2014/main" id="{CE77EDD5-E5F7-4486-9BE7-1BB7B9E8E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13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38100</xdr:rowOff>
    </xdr:to>
    <xdr:pic>
      <xdr:nvPicPr>
        <xdr:cNvPr id="5458" name="Picture 9" descr=" ">
          <a:extLst>
            <a:ext uri="{FF2B5EF4-FFF2-40B4-BE49-F238E27FC236}">
              <a16:creationId xmlns:a16="http://schemas.microsoft.com/office/drawing/2014/main" id="{9FC2AAC7-BD9E-4703-9521-200FEDF1B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13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38100</xdr:rowOff>
    </xdr:to>
    <xdr:pic>
      <xdr:nvPicPr>
        <xdr:cNvPr id="5459" name="Picture 10" descr=" ">
          <a:extLst>
            <a:ext uri="{FF2B5EF4-FFF2-40B4-BE49-F238E27FC236}">
              <a16:creationId xmlns:a16="http://schemas.microsoft.com/office/drawing/2014/main" id="{FC1498D5-B783-49B3-A71E-9A3685A21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13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38100</xdr:rowOff>
    </xdr:to>
    <xdr:pic>
      <xdr:nvPicPr>
        <xdr:cNvPr id="5460" name="Picture 11" descr=" ">
          <a:extLst>
            <a:ext uri="{FF2B5EF4-FFF2-40B4-BE49-F238E27FC236}">
              <a16:creationId xmlns:a16="http://schemas.microsoft.com/office/drawing/2014/main" id="{2B7C835E-754B-409B-B06C-FEDBFDFCC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13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38100</xdr:rowOff>
    </xdr:to>
    <xdr:pic>
      <xdr:nvPicPr>
        <xdr:cNvPr id="5461" name="Picture 12" descr=" ">
          <a:extLst>
            <a:ext uri="{FF2B5EF4-FFF2-40B4-BE49-F238E27FC236}">
              <a16:creationId xmlns:a16="http://schemas.microsoft.com/office/drawing/2014/main" id="{A51069A4-EEE4-4CB0-BC95-BF6BD6A5C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13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38100</xdr:rowOff>
    </xdr:to>
    <xdr:pic>
      <xdr:nvPicPr>
        <xdr:cNvPr id="5462" name="Picture 7" descr=" ">
          <a:extLst>
            <a:ext uri="{FF2B5EF4-FFF2-40B4-BE49-F238E27FC236}">
              <a16:creationId xmlns:a16="http://schemas.microsoft.com/office/drawing/2014/main" id="{ADF247FE-6CA5-4D67-B179-B0C3ACFAB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13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38100</xdr:rowOff>
    </xdr:to>
    <xdr:pic>
      <xdr:nvPicPr>
        <xdr:cNvPr id="5463" name="Picture 8" descr=" ">
          <a:extLst>
            <a:ext uri="{FF2B5EF4-FFF2-40B4-BE49-F238E27FC236}">
              <a16:creationId xmlns:a16="http://schemas.microsoft.com/office/drawing/2014/main" id="{83259C4D-CB41-43AE-844F-5B5D5758F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13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38100</xdr:rowOff>
    </xdr:to>
    <xdr:pic>
      <xdr:nvPicPr>
        <xdr:cNvPr id="5464" name="Picture 9" descr=" ">
          <a:extLst>
            <a:ext uri="{FF2B5EF4-FFF2-40B4-BE49-F238E27FC236}">
              <a16:creationId xmlns:a16="http://schemas.microsoft.com/office/drawing/2014/main" id="{9539CDBF-2F2A-462A-A7DE-147F09A48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13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38100</xdr:rowOff>
    </xdr:to>
    <xdr:pic>
      <xdr:nvPicPr>
        <xdr:cNvPr id="5465" name="Picture 10" descr=" ">
          <a:extLst>
            <a:ext uri="{FF2B5EF4-FFF2-40B4-BE49-F238E27FC236}">
              <a16:creationId xmlns:a16="http://schemas.microsoft.com/office/drawing/2014/main" id="{1428A193-89ED-4B71-BAF5-9C8D3A3EF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13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38100</xdr:rowOff>
    </xdr:to>
    <xdr:pic>
      <xdr:nvPicPr>
        <xdr:cNvPr id="5466" name="Picture 11" descr=" ">
          <a:extLst>
            <a:ext uri="{FF2B5EF4-FFF2-40B4-BE49-F238E27FC236}">
              <a16:creationId xmlns:a16="http://schemas.microsoft.com/office/drawing/2014/main" id="{29D925C8-1AE4-47E0-B342-0E1EA86B4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13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</xdr:colOff>
      <xdr:row>171</xdr:row>
      <xdr:rowOff>38100</xdr:rowOff>
    </xdr:to>
    <xdr:pic>
      <xdr:nvPicPr>
        <xdr:cNvPr id="5467" name="Picture 12" descr=" ">
          <a:extLst>
            <a:ext uri="{FF2B5EF4-FFF2-40B4-BE49-F238E27FC236}">
              <a16:creationId xmlns:a16="http://schemas.microsoft.com/office/drawing/2014/main" id="{E86AD17B-9D8F-4A6A-A6AB-6CE3ECC1F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13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38100</xdr:rowOff>
    </xdr:to>
    <xdr:pic>
      <xdr:nvPicPr>
        <xdr:cNvPr id="5468" name="Picture 7" descr=" ">
          <a:extLst>
            <a:ext uri="{FF2B5EF4-FFF2-40B4-BE49-F238E27FC236}">
              <a16:creationId xmlns:a16="http://schemas.microsoft.com/office/drawing/2014/main" id="{ED633057-0661-4606-AC45-5E0DDBE15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96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38100</xdr:rowOff>
    </xdr:to>
    <xdr:pic>
      <xdr:nvPicPr>
        <xdr:cNvPr id="5469" name="Picture 8" descr=" ">
          <a:extLst>
            <a:ext uri="{FF2B5EF4-FFF2-40B4-BE49-F238E27FC236}">
              <a16:creationId xmlns:a16="http://schemas.microsoft.com/office/drawing/2014/main" id="{ABDFCEB3-9411-4C64-B1B4-2F2B85194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96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38100</xdr:rowOff>
    </xdr:to>
    <xdr:pic>
      <xdr:nvPicPr>
        <xdr:cNvPr id="5470" name="Picture 9" descr=" ">
          <a:extLst>
            <a:ext uri="{FF2B5EF4-FFF2-40B4-BE49-F238E27FC236}">
              <a16:creationId xmlns:a16="http://schemas.microsoft.com/office/drawing/2014/main" id="{F9675132-E117-419A-93A7-D7938FC4A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96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38100</xdr:rowOff>
    </xdr:to>
    <xdr:pic>
      <xdr:nvPicPr>
        <xdr:cNvPr id="5471" name="Picture 10" descr=" ">
          <a:extLst>
            <a:ext uri="{FF2B5EF4-FFF2-40B4-BE49-F238E27FC236}">
              <a16:creationId xmlns:a16="http://schemas.microsoft.com/office/drawing/2014/main" id="{584472D1-91AF-4809-8D8A-1D60950D2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96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38100</xdr:rowOff>
    </xdr:to>
    <xdr:pic>
      <xdr:nvPicPr>
        <xdr:cNvPr id="5472" name="Picture 11" descr=" ">
          <a:extLst>
            <a:ext uri="{FF2B5EF4-FFF2-40B4-BE49-F238E27FC236}">
              <a16:creationId xmlns:a16="http://schemas.microsoft.com/office/drawing/2014/main" id="{1F15F4D1-8B45-4C54-B01B-7D9E56192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96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38100</xdr:rowOff>
    </xdr:to>
    <xdr:pic>
      <xdr:nvPicPr>
        <xdr:cNvPr id="5473" name="Picture 12" descr=" ">
          <a:extLst>
            <a:ext uri="{FF2B5EF4-FFF2-40B4-BE49-F238E27FC236}">
              <a16:creationId xmlns:a16="http://schemas.microsoft.com/office/drawing/2014/main" id="{DEE7A886-7CE2-49C4-B522-C8011E6E6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96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38100</xdr:rowOff>
    </xdr:to>
    <xdr:pic>
      <xdr:nvPicPr>
        <xdr:cNvPr id="5474" name="Picture 7" descr=" ">
          <a:extLst>
            <a:ext uri="{FF2B5EF4-FFF2-40B4-BE49-F238E27FC236}">
              <a16:creationId xmlns:a16="http://schemas.microsoft.com/office/drawing/2014/main" id="{2B72AF4C-8450-4949-A778-BA3D7805D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96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38100</xdr:rowOff>
    </xdr:to>
    <xdr:pic>
      <xdr:nvPicPr>
        <xdr:cNvPr id="5475" name="Picture 8" descr=" ">
          <a:extLst>
            <a:ext uri="{FF2B5EF4-FFF2-40B4-BE49-F238E27FC236}">
              <a16:creationId xmlns:a16="http://schemas.microsoft.com/office/drawing/2014/main" id="{0C43D10A-B3A0-46FE-8309-28BFF44CC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96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38100</xdr:rowOff>
    </xdr:to>
    <xdr:pic>
      <xdr:nvPicPr>
        <xdr:cNvPr id="5476" name="Picture 9" descr=" ">
          <a:extLst>
            <a:ext uri="{FF2B5EF4-FFF2-40B4-BE49-F238E27FC236}">
              <a16:creationId xmlns:a16="http://schemas.microsoft.com/office/drawing/2014/main" id="{826C43C7-51D1-4EA9-AF0B-58F52B588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96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38100</xdr:rowOff>
    </xdr:to>
    <xdr:pic>
      <xdr:nvPicPr>
        <xdr:cNvPr id="5477" name="Picture 10" descr=" ">
          <a:extLst>
            <a:ext uri="{FF2B5EF4-FFF2-40B4-BE49-F238E27FC236}">
              <a16:creationId xmlns:a16="http://schemas.microsoft.com/office/drawing/2014/main" id="{E926D0C5-685C-4C61-9FDC-D7897C4D7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96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38100</xdr:rowOff>
    </xdr:to>
    <xdr:pic>
      <xdr:nvPicPr>
        <xdr:cNvPr id="5478" name="Picture 11" descr=" ">
          <a:extLst>
            <a:ext uri="{FF2B5EF4-FFF2-40B4-BE49-F238E27FC236}">
              <a16:creationId xmlns:a16="http://schemas.microsoft.com/office/drawing/2014/main" id="{02889085-24D2-4E8E-B331-0DD8E753E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96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9525</xdr:colOff>
      <xdr:row>172</xdr:row>
      <xdr:rowOff>38100</xdr:rowOff>
    </xdr:to>
    <xdr:pic>
      <xdr:nvPicPr>
        <xdr:cNvPr id="5479" name="Picture 12" descr=" ">
          <a:extLst>
            <a:ext uri="{FF2B5EF4-FFF2-40B4-BE49-F238E27FC236}">
              <a16:creationId xmlns:a16="http://schemas.microsoft.com/office/drawing/2014/main" id="{3522B999-5FC4-49C1-ACA2-73EB766E2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96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38100</xdr:rowOff>
    </xdr:to>
    <xdr:pic>
      <xdr:nvPicPr>
        <xdr:cNvPr id="5480" name="Picture 7" descr=" ">
          <a:extLst>
            <a:ext uri="{FF2B5EF4-FFF2-40B4-BE49-F238E27FC236}">
              <a16:creationId xmlns:a16="http://schemas.microsoft.com/office/drawing/2014/main" id="{0D14CF4B-39D1-4192-9530-F60B4E545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79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38100</xdr:rowOff>
    </xdr:to>
    <xdr:pic>
      <xdr:nvPicPr>
        <xdr:cNvPr id="5481" name="Picture 8" descr=" ">
          <a:extLst>
            <a:ext uri="{FF2B5EF4-FFF2-40B4-BE49-F238E27FC236}">
              <a16:creationId xmlns:a16="http://schemas.microsoft.com/office/drawing/2014/main" id="{F862E36B-837E-41FB-AE21-B176C5FA2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79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38100</xdr:rowOff>
    </xdr:to>
    <xdr:pic>
      <xdr:nvPicPr>
        <xdr:cNvPr id="5482" name="Picture 9" descr=" ">
          <a:extLst>
            <a:ext uri="{FF2B5EF4-FFF2-40B4-BE49-F238E27FC236}">
              <a16:creationId xmlns:a16="http://schemas.microsoft.com/office/drawing/2014/main" id="{4453114C-BE86-42D1-9C17-0B78AAFB1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79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38100</xdr:rowOff>
    </xdr:to>
    <xdr:pic>
      <xdr:nvPicPr>
        <xdr:cNvPr id="5483" name="Picture 10" descr=" ">
          <a:extLst>
            <a:ext uri="{FF2B5EF4-FFF2-40B4-BE49-F238E27FC236}">
              <a16:creationId xmlns:a16="http://schemas.microsoft.com/office/drawing/2014/main" id="{ECF81C79-B16C-4D6B-A3D5-ABFADE464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79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38100</xdr:rowOff>
    </xdr:to>
    <xdr:pic>
      <xdr:nvPicPr>
        <xdr:cNvPr id="5484" name="Picture 11" descr=" ">
          <a:extLst>
            <a:ext uri="{FF2B5EF4-FFF2-40B4-BE49-F238E27FC236}">
              <a16:creationId xmlns:a16="http://schemas.microsoft.com/office/drawing/2014/main" id="{841B61E5-B00A-4B5B-A249-3ECCBDE37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79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38100</xdr:rowOff>
    </xdr:to>
    <xdr:pic>
      <xdr:nvPicPr>
        <xdr:cNvPr id="5485" name="Picture 12" descr=" ">
          <a:extLst>
            <a:ext uri="{FF2B5EF4-FFF2-40B4-BE49-F238E27FC236}">
              <a16:creationId xmlns:a16="http://schemas.microsoft.com/office/drawing/2014/main" id="{037CF32B-D2E1-4BAB-BFEB-42687356B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79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38100</xdr:rowOff>
    </xdr:to>
    <xdr:pic>
      <xdr:nvPicPr>
        <xdr:cNvPr id="5486" name="Picture 7" descr=" ">
          <a:extLst>
            <a:ext uri="{FF2B5EF4-FFF2-40B4-BE49-F238E27FC236}">
              <a16:creationId xmlns:a16="http://schemas.microsoft.com/office/drawing/2014/main" id="{4AFE7C66-056F-4744-AE81-61EE96F5A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79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38100</xdr:rowOff>
    </xdr:to>
    <xdr:pic>
      <xdr:nvPicPr>
        <xdr:cNvPr id="5487" name="Picture 8" descr=" ">
          <a:extLst>
            <a:ext uri="{FF2B5EF4-FFF2-40B4-BE49-F238E27FC236}">
              <a16:creationId xmlns:a16="http://schemas.microsoft.com/office/drawing/2014/main" id="{3560CD10-D570-43C6-A6FD-AFBABBBED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79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38100</xdr:rowOff>
    </xdr:to>
    <xdr:pic>
      <xdr:nvPicPr>
        <xdr:cNvPr id="5488" name="Picture 9" descr=" ">
          <a:extLst>
            <a:ext uri="{FF2B5EF4-FFF2-40B4-BE49-F238E27FC236}">
              <a16:creationId xmlns:a16="http://schemas.microsoft.com/office/drawing/2014/main" id="{90C8A39E-EB86-430A-98D0-4C4A6D1DA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79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38100</xdr:rowOff>
    </xdr:to>
    <xdr:pic>
      <xdr:nvPicPr>
        <xdr:cNvPr id="5489" name="Picture 10" descr=" ">
          <a:extLst>
            <a:ext uri="{FF2B5EF4-FFF2-40B4-BE49-F238E27FC236}">
              <a16:creationId xmlns:a16="http://schemas.microsoft.com/office/drawing/2014/main" id="{DDE2B8D8-9DAE-4AE5-A3AD-AFDC99F16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79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38100</xdr:rowOff>
    </xdr:to>
    <xdr:pic>
      <xdr:nvPicPr>
        <xdr:cNvPr id="5490" name="Picture 11" descr=" ">
          <a:extLst>
            <a:ext uri="{FF2B5EF4-FFF2-40B4-BE49-F238E27FC236}">
              <a16:creationId xmlns:a16="http://schemas.microsoft.com/office/drawing/2014/main" id="{5F4395FD-8D24-45B8-9953-3DF5AF207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79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</xdr:colOff>
      <xdr:row>173</xdr:row>
      <xdr:rowOff>38100</xdr:rowOff>
    </xdr:to>
    <xdr:pic>
      <xdr:nvPicPr>
        <xdr:cNvPr id="5491" name="Picture 12" descr=" ">
          <a:extLst>
            <a:ext uri="{FF2B5EF4-FFF2-40B4-BE49-F238E27FC236}">
              <a16:creationId xmlns:a16="http://schemas.microsoft.com/office/drawing/2014/main" id="{0A054634-67A5-4375-BD99-E14A11588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79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38100</xdr:rowOff>
    </xdr:to>
    <xdr:pic>
      <xdr:nvPicPr>
        <xdr:cNvPr id="5492" name="Picture 7" descr=" ">
          <a:extLst>
            <a:ext uri="{FF2B5EF4-FFF2-40B4-BE49-F238E27FC236}">
              <a16:creationId xmlns:a16="http://schemas.microsoft.com/office/drawing/2014/main" id="{B04C29DF-7C94-4760-AB27-7488F2BBD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61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38100</xdr:rowOff>
    </xdr:to>
    <xdr:pic>
      <xdr:nvPicPr>
        <xdr:cNvPr id="5493" name="Picture 8" descr=" ">
          <a:extLst>
            <a:ext uri="{FF2B5EF4-FFF2-40B4-BE49-F238E27FC236}">
              <a16:creationId xmlns:a16="http://schemas.microsoft.com/office/drawing/2014/main" id="{67071317-4E31-404D-9B01-38338EECE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61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38100</xdr:rowOff>
    </xdr:to>
    <xdr:pic>
      <xdr:nvPicPr>
        <xdr:cNvPr id="5494" name="Picture 9" descr=" ">
          <a:extLst>
            <a:ext uri="{FF2B5EF4-FFF2-40B4-BE49-F238E27FC236}">
              <a16:creationId xmlns:a16="http://schemas.microsoft.com/office/drawing/2014/main" id="{170535E8-B222-47E7-929D-05AD543B3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61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38100</xdr:rowOff>
    </xdr:to>
    <xdr:pic>
      <xdr:nvPicPr>
        <xdr:cNvPr id="5495" name="Picture 10" descr=" ">
          <a:extLst>
            <a:ext uri="{FF2B5EF4-FFF2-40B4-BE49-F238E27FC236}">
              <a16:creationId xmlns:a16="http://schemas.microsoft.com/office/drawing/2014/main" id="{6C1C8FC0-63F8-40EA-BE11-1EA19A6FC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61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38100</xdr:rowOff>
    </xdr:to>
    <xdr:pic>
      <xdr:nvPicPr>
        <xdr:cNvPr id="5496" name="Picture 11" descr=" ">
          <a:extLst>
            <a:ext uri="{FF2B5EF4-FFF2-40B4-BE49-F238E27FC236}">
              <a16:creationId xmlns:a16="http://schemas.microsoft.com/office/drawing/2014/main" id="{ECAA6A3C-31D2-4C57-90E7-3EA3CCAE9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61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38100</xdr:rowOff>
    </xdr:to>
    <xdr:pic>
      <xdr:nvPicPr>
        <xdr:cNvPr id="5497" name="Picture 12" descr=" ">
          <a:extLst>
            <a:ext uri="{FF2B5EF4-FFF2-40B4-BE49-F238E27FC236}">
              <a16:creationId xmlns:a16="http://schemas.microsoft.com/office/drawing/2014/main" id="{3AB0702F-460C-4FFA-B194-326253C2D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61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38100</xdr:rowOff>
    </xdr:to>
    <xdr:pic>
      <xdr:nvPicPr>
        <xdr:cNvPr id="5498" name="Picture 7" descr=" ">
          <a:extLst>
            <a:ext uri="{FF2B5EF4-FFF2-40B4-BE49-F238E27FC236}">
              <a16:creationId xmlns:a16="http://schemas.microsoft.com/office/drawing/2014/main" id="{40AF38AE-87EE-4D24-BC9F-6EA41C271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61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38100</xdr:rowOff>
    </xdr:to>
    <xdr:pic>
      <xdr:nvPicPr>
        <xdr:cNvPr id="5499" name="Picture 8" descr=" ">
          <a:extLst>
            <a:ext uri="{FF2B5EF4-FFF2-40B4-BE49-F238E27FC236}">
              <a16:creationId xmlns:a16="http://schemas.microsoft.com/office/drawing/2014/main" id="{1DCE7A37-F667-490B-A305-E9122814D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61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38100</xdr:rowOff>
    </xdr:to>
    <xdr:pic>
      <xdr:nvPicPr>
        <xdr:cNvPr id="5500" name="Picture 9" descr=" ">
          <a:extLst>
            <a:ext uri="{FF2B5EF4-FFF2-40B4-BE49-F238E27FC236}">
              <a16:creationId xmlns:a16="http://schemas.microsoft.com/office/drawing/2014/main" id="{490D50C1-7A38-462F-AA1E-314D002F9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61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38100</xdr:rowOff>
    </xdr:to>
    <xdr:pic>
      <xdr:nvPicPr>
        <xdr:cNvPr id="5501" name="Picture 10" descr=" ">
          <a:extLst>
            <a:ext uri="{FF2B5EF4-FFF2-40B4-BE49-F238E27FC236}">
              <a16:creationId xmlns:a16="http://schemas.microsoft.com/office/drawing/2014/main" id="{6A6DC8FB-A8C5-41BF-BA73-2FDE69FE4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61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38100</xdr:rowOff>
    </xdr:to>
    <xdr:pic>
      <xdr:nvPicPr>
        <xdr:cNvPr id="5502" name="Picture 11" descr=" ">
          <a:extLst>
            <a:ext uri="{FF2B5EF4-FFF2-40B4-BE49-F238E27FC236}">
              <a16:creationId xmlns:a16="http://schemas.microsoft.com/office/drawing/2014/main" id="{CD212895-2848-4DA8-ADD9-AC3AA35F5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61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</xdr:colOff>
      <xdr:row>174</xdr:row>
      <xdr:rowOff>38100</xdr:rowOff>
    </xdr:to>
    <xdr:pic>
      <xdr:nvPicPr>
        <xdr:cNvPr id="5503" name="Picture 12" descr=" ">
          <a:extLst>
            <a:ext uri="{FF2B5EF4-FFF2-40B4-BE49-F238E27FC236}">
              <a16:creationId xmlns:a16="http://schemas.microsoft.com/office/drawing/2014/main" id="{6BBEE68C-335D-491F-AA07-4892E21B9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761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38100</xdr:rowOff>
    </xdr:to>
    <xdr:pic>
      <xdr:nvPicPr>
        <xdr:cNvPr id="5504" name="Picture 7" descr=" ">
          <a:extLst>
            <a:ext uri="{FF2B5EF4-FFF2-40B4-BE49-F238E27FC236}">
              <a16:creationId xmlns:a16="http://schemas.microsoft.com/office/drawing/2014/main" id="{91CE4D71-8C2A-4479-AB9F-8081C69EF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44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38100</xdr:rowOff>
    </xdr:to>
    <xdr:pic>
      <xdr:nvPicPr>
        <xdr:cNvPr id="5505" name="Picture 8" descr=" ">
          <a:extLst>
            <a:ext uri="{FF2B5EF4-FFF2-40B4-BE49-F238E27FC236}">
              <a16:creationId xmlns:a16="http://schemas.microsoft.com/office/drawing/2014/main" id="{2A071E4E-C4A6-4D18-A4B4-869D827D4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44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38100</xdr:rowOff>
    </xdr:to>
    <xdr:pic>
      <xdr:nvPicPr>
        <xdr:cNvPr id="5506" name="Picture 9" descr=" ">
          <a:extLst>
            <a:ext uri="{FF2B5EF4-FFF2-40B4-BE49-F238E27FC236}">
              <a16:creationId xmlns:a16="http://schemas.microsoft.com/office/drawing/2014/main" id="{2ACC784B-F51E-44F5-A780-8BE985E6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44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38100</xdr:rowOff>
    </xdr:to>
    <xdr:pic>
      <xdr:nvPicPr>
        <xdr:cNvPr id="5507" name="Picture 10" descr=" ">
          <a:extLst>
            <a:ext uri="{FF2B5EF4-FFF2-40B4-BE49-F238E27FC236}">
              <a16:creationId xmlns:a16="http://schemas.microsoft.com/office/drawing/2014/main" id="{554FF34D-8C1C-4D01-9874-81B694B67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44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38100</xdr:rowOff>
    </xdr:to>
    <xdr:pic>
      <xdr:nvPicPr>
        <xdr:cNvPr id="5508" name="Picture 11" descr=" ">
          <a:extLst>
            <a:ext uri="{FF2B5EF4-FFF2-40B4-BE49-F238E27FC236}">
              <a16:creationId xmlns:a16="http://schemas.microsoft.com/office/drawing/2014/main" id="{18E6E44C-D6EC-4F8E-85F4-DDDE383C6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44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38100</xdr:rowOff>
    </xdr:to>
    <xdr:pic>
      <xdr:nvPicPr>
        <xdr:cNvPr id="5509" name="Picture 12" descr=" ">
          <a:extLst>
            <a:ext uri="{FF2B5EF4-FFF2-40B4-BE49-F238E27FC236}">
              <a16:creationId xmlns:a16="http://schemas.microsoft.com/office/drawing/2014/main" id="{FB413346-28DF-4443-B7DF-911F4CE08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44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38100</xdr:rowOff>
    </xdr:to>
    <xdr:pic>
      <xdr:nvPicPr>
        <xdr:cNvPr id="5510" name="Picture 7" descr=" ">
          <a:extLst>
            <a:ext uri="{FF2B5EF4-FFF2-40B4-BE49-F238E27FC236}">
              <a16:creationId xmlns:a16="http://schemas.microsoft.com/office/drawing/2014/main" id="{85754761-766F-4EAD-A6A2-0113F7927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44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38100</xdr:rowOff>
    </xdr:to>
    <xdr:pic>
      <xdr:nvPicPr>
        <xdr:cNvPr id="5511" name="Picture 8" descr=" ">
          <a:extLst>
            <a:ext uri="{FF2B5EF4-FFF2-40B4-BE49-F238E27FC236}">
              <a16:creationId xmlns:a16="http://schemas.microsoft.com/office/drawing/2014/main" id="{EC72916E-2932-44AF-A70A-4326EEF82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44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38100</xdr:rowOff>
    </xdr:to>
    <xdr:pic>
      <xdr:nvPicPr>
        <xdr:cNvPr id="5512" name="Picture 9" descr=" ">
          <a:extLst>
            <a:ext uri="{FF2B5EF4-FFF2-40B4-BE49-F238E27FC236}">
              <a16:creationId xmlns:a16="http://schemas.microsoft.com/office/drawing/2014/main" id="{5A6A6029-43FB-4202-9AAF-A339D1D1D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44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38100</xdr:rowOff>
    </xdr:to>
    <xdr:pic>
      <xdr:nvPicPr>
        <xdr:cNvPr id="5513" name="Picture 10" descr=" ">
          <a:extLst>
            <a:ext uri="{FF2B5EF4-FFF2-40B4-BE49-F238E27FC236}">
              <a16:creationId xmlns:a16="http://schemas.microsoft.com/office/drawing/2014/main" id="{AD76F51E-D5B4-4339-84E8-B99E90395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44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38100</xdr:rowOff>
    </xdr:to>
    <xdr:pic>
      <xdr:nvPicPr>
        <xdr:cNvPr id="5514" name="Picture 11" descr=" ">
          <a:extLst>
            <a:ext uri="{FF2B5EF4-FFF2-40B4-BE49-F238E27FC236}">
              <a16:creationId xmlns:a16="http://schemas.microsoft.com/office/drawing/2014/main" id="{41C9CAE8-D004-4692-9C46-E09CFBB5F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44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9525</xdr:colOff>
      <xdr:row>175</xdr:row>
      <xdr:rowOff>38100</xdr:rowOff>
    </xdr:to>
    <xdr:pic>
      <xdr:nvPicPr>
        <xdr:cNvPr id="5515" name="Picture 12" descr=" ">
          <a:extLst>
            <a:ext uri="{FF2B5EF4-FFF2-40B4-BE49-F238E27FC236}">
              <a16:creationId xmlns:a16="http://schemas.microsoft.com/office/drawing/2014/main" id="{4E9C72AF-B60E-4235-82A5-8CDD2E222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44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38100</xdr:rowOff>
    </xdr:to>
    <xdr:pic>
      <xdr:nvPicPr>
        <xdr:cNvPr id="5516" name="Picture 7" descr=" ">
          <a:extLst>
            <a:ext uri="{FF2B5EF4-FFF2-40B4-BE49-F238E27FC236}">
              <a16:creationId xmlns:a16="http://schemas.microsoft.com/office/drawing/2014/main" id="{0CE6E3D4-67DD-44C3-8F03-ADBEAD5CE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27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38100</xdr:rowOff>
    </xdr:to>
    <xdr:pic>
      <xdr:nvPicPr>
        <xdr:cNvPr id="5517" name="Picture 8" descr=" ">
          <a:extLst>
            <a:ext uri="{FF2B5EF4-FFF2-40B4-BE49-F238E27FC236}">
              <a16:creationId xmlns:a16="http://schemas.microsoft.com/office/drawing/2014/main" id="{BEC43E70-03B8-44AF-8A49-A28E56332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27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38100</xdr:rowOff>
    </xdr:to>
    <xdr:pic>
      <xdr:nvPicPr>
        <xdr:cNvPr id="5518" name="Picture 9" descr=" ">
          <a:extLst>
            <a:ext uri="{FF2B5EF4-FFF2-40B4-BE49-F238E27FC236}">
              <a16:creationId xmlns:a16="http://schemas.microsoft.com/office/drawing/2014/main" id="{F69C8A9E-5432-4BE0-9D28-DDC40FF2A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27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38100</xdr:rowOff>
    </xdr:to>
    <xdr:pic>
      <xdr:nvPicPr>
        <xdr:cNvPr id="5519" name="Picture 10" descr=" ">
          <a:extLst>
            <a:ext uri="{FF2B5EF4-FFF2-40B4-BE49-F238E27FC236}">
              <a16:creationId xmlns:a16="http://schemas.microsoft.com/office/drawing/2014/main" id="{3F24BAB1-DA23-457F-AA61-DE0DC3118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27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38100</xdr:rowOff>
    </xdr:to>
    <xdr:pic>
      <xdr:nvPicPr>
        <xdr:cNvPr id="5520" name="Picture 11" descr=" ">
          <a:extLst>
            <a:ext uri="{FF2B5EF4-FFF2-40B4-BE49-F238E27FC236}">
              <a16:creationId xmlns:a16="http://schemas.microsoft.com/office/drawing/2014/main" id="{590CD9AE-8853-4DA7-B91C-428F7569C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27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38100</xdr:rowOff>
    </xdr:to>
    <xdr:pic>
      <xdr:nvPicPr>
        <xdr:cNvPr id="5521" name="Picture 12" descr=" ">
          <a:extLst>
            <a:ext uri="{FF2B5EF4-FFF2-40B4-BE49-F238E27FC236}">
              <a16:creationId xmlns:a16="http://schemas.microsoft.com/office/drawing/2014/main" id="{1E169BE6-F66C-48D6-A9E0-900744E7C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27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38100</xdr:rowOff>
    </xdr:to>
    <xdr:pic>
      <xdr:nvPicPr>
        <xdr:cNvPr id="5522" name="Picture 7" descr=" ">
          <a:extLst>
            <a:ext uri="{FF2B5EF4-FFF2-40B4-BE49-F238E27FC236}">
              <a16:creationId xmlns:a16="http://schemas.microsoft.com/office/drawing/2014/main" id="{AEC46F1B-41EE-4DA7-80C5-FEB778D59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27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38100</xdr:rowOff>
    </xdr:to>
    <xdr:pic>
      <xdr:nvPicPr>
        <xdr:cNvPr id="5523" name="Picture 8" descr=" ">
          <a:extLst>
            <a:ext uri="{FF2B5EF4-FFF2-40B4-BE49-F238E27FC236}">
              <a16:creationId xmlns:a16="http://schemas.microsoft.com/office/drawing/2014/main" id="{400C5902-9782-4B76-8BC9-434C8B8538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27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38100</xdr:rowOff>
    </xdr:to>
    <xdr:pic>
      <xdr:nvPicPr>
        <xdr:cNvPr id="5524" name="Picture 9" descr=" ">
          <a:extLst>
            <a:ext uri="{FF2B5EF4-FFF2-40B4-BE49-F238E27FC236}">
              <a16:creationId xmlns:a16="http://schemas.microsoft.com/office/drawing/2014/main" id="{9A2BC213-43B7-47D1-9BC4-46CBB324A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27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38100</xdr:rowOff>
    </xdr:to>
    <xdr:pic>
      <xdr:nvPicPr>
        <xdr:cNvPr id="5525" name="Picture 10" descr=" ">
          <a:extLst>
            <a:ext uri="{FF2B5EF4-FFF2-40B4-BE49-F238E27FC236}">
              <a16:creationId xmlns:a16="http://schemas.microsoft.com/office/drawing/2014/main" id="{AA7C6436-1B6E-47FF-8A8C-C4D23DC77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27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38100</xdr:rowOff>
    </xdr:to>
    <xdr:pic>
      <xdr:nvPicPr>
        <xdr:cNvPr id="5526" name="Picture 11" descr=" ">
          <a:extLst>
            <a:ext uri="{FF2B5EF4-FFF2-40B4-BE49-F238E27FC236}">
              <a16:creationId xmlns:a16="http://schemas.microsoft.com/office/drawing/2014/main" id="{BE062F39-2208-48DA-8707-ADF4BBA3A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27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</xdr:colOff>
      <xdr:row>176</xdr:row>
      <xdr:rowOff>38100</xdr:rowOff>
    </xdr:to>
    <xdr:pic>
      <xdr:nvPicPr>
        <xdr:cNvPr id="5527" name="Picture 12" descr=" ">
          <a:extLst>
            <a:ext uri="{FF2B5EF4-FFF2-40B4-BE49-F238E27FC236}">
              <a16:creationId xmlns:a16="http://schemas.microsoft.com/office/drawing/2014/main" id="{FD8AE8B3-1CB2-4745-B8BA-72F5E0DC4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27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38100</xdr:rowOff>
    </xdr:to>
    <xdr:pic>
      <xdr:nvPicPr>
        <xdr:cNvPr id="5528" name="Picture 7" descr=" ">
          <a:extLst>
            <a:ext uri="{FF2B5EF4-FFF2-40B4-BE49-F238E27FC236}">
              <a16:creationId xmlns:a16="http://schemas.microsoft.com/office/drawing/2014/main" id="{B6B8A4F4-6673-41CC-B89D-A168E24DB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10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38100</xdr:rowOff>
    </xdr:to>
    <xdr:pic>
      <xdr:nvPicPr>
        <xdr:cNvPr id="5529" name="Picture 8" descr=" ">
          <a:extLst>
            <a:ext uri="{FF2B5EF4-FFF2-40B4-BE49-F238E27FC236}">
              <a16:creationId xmlns:a16="http://schemas.microsoft.com/office/drawing/2014/main" id="{D08D38D0-A83F-423A-B858-7A79907EE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10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38100</xdr:rowOff>
    </xdr:to>
    <xdr:pic>
      <xdr:nvPicPr>
        <xdr:cNvPr id="5530" name="Picture 9" descr=" ">
          <a:extLst>
            <a:ext uri="{FF2B5EF4-FFF2-40B4-BE49-F238E27FC236}">
              <a16:creationId xmlns:a16="http://schemas.microsoft.com/office/drawing/2014/main" id="{EC87B992-CC10-4C13-965B-58628E996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10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38100</xdr:rowOff>
    </xdr:to>
    <xdr:pic>
      <xdr:nvPicPr>
        <xdr:cNvPr id="5531" name="Picture 10" descr=" ">
          <a:extLst>
            <a:ext uri="{FF2B5EF4-FFF2-40B4-BE49-F238E27FC236}">
              <a16:creationId xmlns:a16="http://schemas.microsoft.com/office/drawing/2014/main" id="{FC9F3159-E558-4467-B5DF-71EFC802A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10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38100</xdr:rowOff>
    </xdr:to>
    <xdr:pic>
      <xdr:nvPicPr>
        <xdr:cNvPr id="5532" name="Picture 11" descr=" ">
          <a:extLst>
            <a:ext uri="{FF2B5EF4-FFF2-40B4-BE49-F238E27FC236}">
              <a16:creationId xmlns:a16="http://schemas.microsoft.com/office/drawing/2014/main" id="{37BB2674-A86B-4C7F-8022-D4E2D6EB9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10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38100</xdr:rowOff>
    </xdr:to>
    <xdr:pic>
      <xdr:nvPicPr>
        <xdr:cNvPr id="5533" name="Picture 12" descr=" ">
          <a:extLst>
            <a:ext uri="{FF2B5EF4-FFF2-40B4-BE49-F238E27FC236}">
              <a16:creationId xmlns:a16="http://schemas.microsoft.com/office/drawing/2014/main" id="{A88A398C-D18A-4089-B8A9-BA3D64C79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10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38100</xdr:rowOff>
    </xdr:to>
    <xdr:pic>
      <xdr:nvPicPr>
        <xdr:cNvPr id="5534" name="Picture 7" descr=" ">
          <a:extLst>
            <a:ext uri="{FF2B5EF4-FFF2-40B4-BE49-F238E27FC236}">
              <a16:creationId xmlns:a16="http://schemas.microsoft.com/office/drawing/2014/main" id="{3F6B3DD8-998C-4AF8-A396-1ACD5957B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10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38100</xdr:rowOff>
    </xdr:to>
    <xdr:pic>
      <xdr:nvPicPr>
        <xdr:cNvPr id="5535" name="Picture 8" descr=" ">
          <a:extLst>
            <a:ext uri="{FF2B5EF4-FFF2-40B4-BE49-F238E27FC236}">
              <a16:creationId xmlns:a16="http://schemas.microsoft.com/office/drawing/2014/main" id="{95EB8E58-6FC4-4A6A-89ED-B26986636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10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38100</xdr:rowOff>
    </xdr:to>
    <xdr:pic>
      <xdr:nvPicPr>
        <xdr:cNvPr id="5536" name="Picture 9" descr=" ">
          <a:extLst>
            <a:ext uri="{FF2B5EF4-FFF2-40B4-BE49-F238E27FC236}">
              <a16:creationId xmlns:a16="http://schemas.microsoft.com/office/drawing/2014/main" id="{1A9AF9CA-1BE7-4E60-81CB-02E55A992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10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38100</xdr:rowOff>
    </xdr:to>
    <xdr:pic>
      <xdr:nvPicPr>
        <xdr:cNvPr id="5537" name="Picture 10" descr=" ">
          <a:extLst>
            <a:ext uri="{FF2B5EF4-FFF2-40B4-BE49-F238E27FC236}">
              <a16:creationId xmlns:a16="http://schemas.microsoft.com/office/drawing/2014/main" id="{E824B1A5-BCE5-4B06-93C1-EBAD5DDF9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10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38100</xdr:rowOff>
    </xdr:to>
    <xdr:pic>
      <xdr:nvPicPr>
        <xdr:cNvPr id="5538" name="Picture 11" descr=" ">
          <a:extLst>
            <a:ext uri="{FF2B5EF4-FFF2-40B4-BE49-F238E27FC236}">
              <a16:creationId xmlns:a16="http://schemas.microsoft.com/office/drawing/2014/main" id="{E1FBC573-8D7E-40E0-9A81-9D99B0E51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10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</xdr:colOff>
      <xdr:row>177</xdr:row>
      <xdr:rowOff>38100</xdr:rowOff>
    </xdr:to>
    <xdr:pic>
      <xdr:nvPicPr>
        <xdr:cNvPr id="5539" name="Picture 12" descr=" ">
          <a:extLst>
            <a:ext uri="{FF2B5EF4-FFF2-40B4-BE49-F238E27FC236}">
              <a16:creationId xmlns:a16="http://schemas.microsoft.com/office/drawing/2014/main" id="{5224C708-71F1-42D2-BD31-85CAC4621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105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38100</xdr:rowOff>
    </xdr:to>
    <xdr:pic>
      <xdr:nvPicPr>
        <xdr:cNvPr id="5540" name="Picture 7" descr=" ">
          <a:extLst>
            <a:ext uri="{FF2B5EF4-FFF2-40B4-BE49-F238E27FC236}">
              <a16:creationId xmlns:a16="http://schemas.microsoft.com/office/drawing/2014/main" id="{07769B51-3562-4F02-82DA-87B1DB92A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93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38100</xdr:rowOff>
    </xdr:to>
    <xdr:pic>
      <xdr:nvPicPr>
        <xdr:cNvPr id="5541" name="Picture 8" descr=" ">
          <a:extLst>
            <a:ext uri="{FF2B5EF4-FFF2-40B4-BE49-F238E27FC236}">
              <a16:creationId xmlns:a16="http://schemas.microsoft.com/office/drawing/2014/main" id="{C4B21A89-CAF3-4556-A575-CD0990371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93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38100</xdr:rowOff>
    </xdr:to>
    <xdr:pic>
      <xdr:nvPicPr>
        <xdr:cNvPr id="5542" name="Picture 9" descr=" ">
          <a:extLst>
            <a:ext uri="{FF2B5EF4-FFF2-40B4-BE49-F238E27FC236}">
              <a16:creationId xmlns:a16="http://schemas.microsoft.com/office/drawing/2014/main" id="{0F80EA4B-CA2B-47CB-AC3A-B7910D776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93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38100</xdr:rowOff>
    </xdr:to>
    <xdr:pic>
      <xdr:nvPicPr>
        <xdr:cNvPr id="5543" name="Picture 10" descr=" ">
          <a:extLst>
            <a:ext uri="{FF2B5EF4-FFF2-40B4-BE49-F238E27FC236}">
              <a16:creationId xmlns:a16="http://schemas.microsoft.com/office/drawing/2014/main" id="{0D642DE2-0960-4FA2-883E-4F3442B28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93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38100</xdr:rowOff>
    </xdr:to>
    <xdr:pic>
      <xdr:nvPicPr>
        <xdr:cNvPr id="5544" name="Picture 11" descr=" ">
          <a:extLst>
            <a:ext uri="{FF2B5EF4-FFF2-40B4-BE49-F238E27FC236}">
              <a16:creationId xmlns:a16="http://schemas.microsoft.com/office/drawing/2014/main" id="{CDFCE6F5-D793-45E7-89F7-264734F32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93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38100</xdr:rowOff>
    </xdr:to>
    <xdr:pic>
      <xdr:nvPicPr>
        <xdr:cNvPr id="5545" name="Picture 12" descr=" ">
          <a:extLst>
            <a:ext uri="{FF2B5EF4-FFF2-40B4-BE49-F238E27FC236}">
              <a16:creationId xmlns:a16="http://schemas.microsoft.com/office/drawing/2014/main" id="{E83A31A4-2D59-400C-8187-8F4A47F10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93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38100</xdr:rowOff>
    </xdr:to>
    <xdr:pic>
      <xdr:nvPicPr>
        <xdr:cNvPr id="5546" name="Picture 7" descr=" ">
          <a:extLst>
            <a:ext uri="{FF2B5EF4-FFF2-40B4-BE49-F238E27FC236}">
              <a16:creationId xmlns:a16="http://schemas.microsoft.com/office/drawing/2014/main" id="{8C7A7406-B198-4532-89EA-C1524F1BD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93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38100</xdr:rowOff>
    </xdr:to>
    <xdr:pic>
      <xdr:nvPicPr>
        <xdr:cNvPr id="5547" name="Picture 8" descr=" ">
          <a:extLst>
            <a:ext uri="{FF2B5EF4-FFF2-40B4-BE49-F238E27FC236}">
              <a16:creationId xmlns:a16="http://schemas.microsoft.com/office/drawing/2014/main" id="{E7226666-FE26-421B-BE99-16CF4508EA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93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38100</xdr:rowOff>
    </xdr:to>
    <xdr:pic>
      <xdr:nvPicPr>
        <xdr:cNvPr id="5548" name="Picture 9" descr=" ">
          <a:extLst>
            <a:ext uri="{FF2B5EF4-FFF2-40B4-BE49-F238E27FC236}">
              <a16:creationId xmlns:a16="http://schemas.microsoft.com/office/drawing/2014/main" id="{F645FBA4-192A-4D91-9FE9-4D87C3D6E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93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38100</xdr:rowOff>
    </xdr:to>
    <xdr:pic>
      <xdr:nvPicPr>
        <xdr:cNvPr id="5549" name="Picture 10" descr=" ">
          <a:extLst>
            <a:ext uri="{FF2B5EF4-FFF2-40B4-BE49-F238E27FC236}">
              <a16:creationId xmlns:a16="http://schemas.microsoft.com/office/drawing/2014/main" id="{89A9A485-42BD-4F4B-BEF5-E8A5658FB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93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38100</xdr:rowOff>
    </xdr:to>
    <xdr:pic>
      <xdr:nvPicPr>
        <xdr:cNvPr id="5550" name="Picture 11" descr=" ">
          <a:extLst>
            <a:ext uri="{FF2B5EF4-FFF2-40B4-BE49-F238E27FC236}">
              <a16:creationId xmlns:a16="http://schemas.microsoft.com/office/drawing/2014/main" id="{46B436F5-A9E9-4A4F-B51B-AF23C3BAB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93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</xdr:colOff>
      <xdr:row>178</xdr:row>
      <xdr:rowOff>38100</xdr:rowOff>
    </xdr:to>
    <xdr:pic>
      <xdr:nvPicPr>
        <xdr:cNvPr id="5551" name="Picture 12" descr=" ">
          <a:extLst>
            <a:ext uri="{FF2B5EF4-FFF2-40B4-BE49-F238E27FC236}">
              <a16:creationId xmlns:a16="http://schemas.microsoft.com/office/drawing/2014/main" id="{3CD8EFC9-0294-4D33-9416-FFA02DE09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4934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38100</xdr:rowOff>
    </xdr:to>
    <xdr:pic>
      <xdr:nvPicPr>
        <xdr:cNvPr id="5552" name="Picture 7" descr=" ">
          <a:extLst>
            <a:ext uri="{FF2B5EF4-FFF2-40B4-BE49-F238E27FC236}">
              <a16:creationId xmlns:a16="http://schemas.microsoft.com/office/drawing/2014/main" id="{EC17B274-CEAA-4DD9-A073-5D2E0C1AF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76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38100</xdr:rowOff>
    </xdr:to>
    <xdr:pic>
      <xdr:nvPicPr>
        <xdr:cNvPr id="5553" name="Picture 8" descr=" ">
          <a:extLst>
            <a:ext uri="{FF2B5EF4-FFF2-40B4-BE49-F238E27FC236}">
              <a16:creationId xmlns:a16="http://schemas.microsoft.com/office/drawing/2014/main" id="{5AA043C4-91F2-4740-A9D2-9736866F6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76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38100</xdr:rowOff>
    </xdr:to>
    <xdr:pic>
      <xdr:nvPicPr>
        <xdr:cNvPr id="5554" name="Picture 9" descr=" ">
          <a:extLst>
            <a:ext uri="{FF2B5EF4-FFF2-40B4-BE49-F238E27FC236}">
              <a16:creationId xmlns:a16="http://schemas.microsoft.com/office/drawing/2014/main" id="{3CE46818-5AE0-4263-9681-A3D680AE0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76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38100</xdr:rowOff>
    </xdr:to>
    <xdr:pic>
      <xdr:nvPicPr>
        <xdr:cNvPr id="5555" name="Picture 10" descr=" ">
          <a:extLst>
            <a:ext uri="{FF2B5EF4-FFF2-40B4-BE49-F238E27FC236}">
              <a16:creationId xmlns:a16="http://schemas.microsoft.com/office/drawing/2014/main" id="{ED88E492-3B8D-4123-AD37-1350F3F20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76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38100</xdr:rowOff>
    </xdr:to>
    <xdr:pic>
      <xdr:nvPicPr>
        <xdr:cNvPr id="5556" name="Picture 11" descr=" ">
          <a:extLst>
            <a:ext uri="{FF2B5EF4-FFF2-40B4-BE49-F238E27FC236}">
              <a16:creationId xmlns:a16="http://schemas.microsoft.com/office/drawing/2014/main" id="{1D4B17E1-89E3-42EE-AE47-73EE7CC54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76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38100</xdr:rowOff>
    </xdr:to>
    <xdr:pic>
      <xdr:nvPicPr>
        <xdr:cNvPr id="5557" name="Picture 12" descr=" ">
          <a:extLst>
            <a:ext uri="{FF2B5EF4-FFF2-40B4-BE49-F238E27FC236}">
              <a16:creationId xmlns:a16="http://schemas.microsoft.com/office/drawing/2014/main" id="{0001ADC9-FAA5-4981-99E6-1FDCD2337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76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38100</xdr:rowOff>
    </xdr:to>
    <xdr:pic>
      <xdr:nvPicPr>
        <xdr:cNvPr id="5558" name="Picture 7" descr=" ">
          <a:extLst>
            <a:ext uri="{FF2B5EF4-FFF2-40B4-BE49-F238E27FC236}">
              <a16:creationId xmlns:a16="http://schemas.microsoft.com/office/drawing/2014/main" id="{0EB08F91-EFA0-4CF3-857D-50291800E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76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38100</xdr:rowOff>
    </xdr:to>
    <xdr:pic>
      <xdr:nvPicPr>
        <xdr:cNvPr id="5559" name="Picture 8" descr=" ">
          <a:extLst>
            <a:ext uri="{FF2B5EF4-FFF2-40B4-BE49-F238E27FC236}">
              <a16:creationId xmlns:a16="http://schemas.microsoft.com/office/drawing/2014/main" id="{B9A879DC-20F6-4C3D-84F2-14A764FC9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76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38100</xdr:rowOff>
    </xdr:to>
    <xdr:pic>
      <xdr:nvPicPr>
        <xdr:cNvPr id="5560" name="Picture 9" descr=" ">
          <a:extLst>
            <a:ext uri="{FF2B5EF4-FFF2-40B4-BE49-F238E27FC236}">
              <a16:creationId xmlns:a16="http://schemas.microsoft.com/office/drawing/2014/main" id="{14B9C7B0-E949-4F3F-9658-CE137B72E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76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38100</xdr:rowOff>
    </xdr:to>
    <xdr:pic>
      <xdr:nvPicPr>
        <xdr:cNvPr id="5561" name="Picture 10" descr=" ">
          <a:extLst>
            <a:ext uri="{FF2B5EF4-FFF2-40B4-BE49-F238E27FC236}">
              <a16:creationId xmlns:a16="http://schemas.microsoft.com/office/drawing/2014/main" id="{BBCE1ECB-01DA-4205-BDD6-39A3CCFE4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76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38100</xdr:rowOff>
    </xdr:to>
    <xdr:pic>
      <xdr:nvPicPr>
        <xdr:cNvPr id="5562" name="Picture 11" descr=" ">
          <a:extLst>
            <a:ext uri="{FF2B5EF4-FFF2-40B4-BE49-F238E27FC236}">
              <a16:creationId xmlns:a16="http://schemas.microsoft.com/office/drawing/2014/main" id="{2A9B36EF-2B91-467C-B062-B1C298D2B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76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9525</xdr:colOff>
      <xdr:row>179</xdr:row>
      <xdr:rowOff>38100</xdr:rowOff>
    </xdr:to>
    <xdr:pic>
      <xdr:nvPicPr>
        <xdr:cNvPr id="5563" name="Picture 12" descr=" ">
          <a:extLst>
            <a:ext uri="{FF2B5EF4-FFF2-40B4-BE49-F238E27FC236}">
              <a16:creationId xmlns:a16="http://schemas.microsoft.com/office/drawing/2014/main" id="{AFAD2C9B-4D51-4B7D-AA70-AD97D4248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763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38100</xdr:rowOff>
    </xdr:to>
    <xdr:pic>
      <xdr:nvPicPr>
        <xdr:cNvPr id="5564" name="Picture 7" descr=" ">
          <a:extLst>
            <a:ext uri="{FF2B5EF4-FFF2-40B4-BE49-F238E27FC236}">
              <a16:creationId xmlns:a16="http://schemas.microsoft.com/office/drawing/2014/main" id="{9FDB625E-1DB8-421B-9DA7-7DB8FE51F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59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38100</xdr:rowOff>
    </xdr:to>
    <xdr:pic>
      <xdr:nvPicPr>
        <xdr:cNvPr id="5565" name="Picture 8" descr=" ">
          <a:extLst>
            <a:ext uri="{FF2B5EF4-FFF2-40B4-BE49-F238E27FC236}">
              <a16:creationId xmlns:a16="http://schemas.microsoft.com/office/drawing/2014/main" id="{DF3B0D49-AD67-4A0A-BE1A-79C871396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59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38100</xdr:rowOff>
    </xdr:to>
    <xdr:pic>
      <xdr:nvPicPr>
        <xdr:cNvPr id="5566" name="Picture 9" descr=" ">
          <a:extLst>
            <a:ext uri="{FF2B5EF4-FFF2-40B4-BE49-F238E27FC236}">
              <a16:creationId xmlns:a16="http://schemas.microsoft.com/office/drawing/2014/main" id="{6876D641-5972-402A-B7B1-70CA4CEAE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59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38100</xdr:rowOff>
    </xdr:to>
    <xdr:pic>
      <xdr:nvPicPr>
        <xdr:cNvPr id="5567" name="Picture 10" descr=" ">
          <a:extLst>
            <a:ext uri="{FF2B5EF4-FFF2-40B4-BE49-F238E27FC236}">
              <a16:creationId xmlns:a16="http://schemas.microsoft.com/office/drawing/2014/main" id="{A8A85D3B-1D3A-402B-BE57-A47B63CF1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59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38100</xdr:rowOff>
    </xdr:to>
    <xdr:pic>
      <xdr:nvPicPr>
        <xdr:cNvPr id="5568" name="Picture 11" descr=" ">
          <a:extLst>
            <a:ext uri="{FF2B5EF4-FFF2-40B4-BE49-F238E27FC236}">
              <a16:creationId xmlns:a16="http://schemas.microsoft.com/office/drawing/2014/main" id="{EEA60981-A06F-4B34-BC38-D92F52606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59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38100</xdr:rowOff>
    </xdr:to>
    <xdr:pic>
      <xdr:nvPicPr>
        <xdr:cNvPr id="5569" name="Picture 12" descr=" ">
          <a:extLst>
            <a:ext uri="{FF2B5EF4-FFF2-40B4-BE49-F238E27FC236}">
              <a16:creationId xmlns:a16="http://schemas.microsoft.com/office/drawing/2014/main" id="{82E3D721-04BB-42B9-8ECB-AD8FDE666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59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38100</xdr:rowOff>
    </xdr:to>
    <xdr:pic>
      <xdr:nvPicPr>
        <xdr:cNvPr id="5570" name="Picture 7" descr=" ">
          <a:extLst>
            <a:ext uri="{FF2B5EF4-FFF2-40B4-BE49-F238E27FC236}">
              <a16:creationId xmlns:a16="http://schemas.microsoft.com/office/drawing/2014/main" id="{EE7895D7-983E-419A-9EE0-F1A216DC3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59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38100</xdr:rowOff>
    </xdr:to>
    <xdr:pic>
      <xdr:nvPicPr>
        <xdr:cNvPr id="5571" name="Picture 8" descr=" ">
          <a:extLst>
            <a:ext uri="{FF2B5EF4-FFF2-40B4-BE49-F238E27FC236}">
              <a16:creationId xmlns:a16="http://schemas.microsoft.com/office/drawing/2014/main" id="{36ED6DA5-C863-4222-8711-90BC174A0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59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38100</xdr:rowOff>
    </xdr:to>
    <xdr:pic>
      <xdr:nvPicPr>
        <xdr:cNvPr id="5572" name="Picture 9" descr=" ">
          <a:extLst>
            <a:ext uri="{FF2B5EF4-FFF2-40B4-BE49-F238E27FC236}">
              <a16:creationId xmlns:a16="http://schemas.microsoft.com/office/drawing/2014/main" id="{07C5B163-87C5-47BD-BFCF-00B866F15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59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38100</xdr:rowOff>
    </xdr:to>
    <xdr:pic>
      <xdr:nvPicPr>
        <xdr:cNvPr id="5573" name="Picture 10" descr=" ">
          <a:extLst>
            <a:ext uri="{FF2B5EF4-FFF2-40B4-BE49-F238E27FC236}">
              <a16:creationId xmlns:a16="http://schemas.microsoft.com/office/drawing/2014/main" id="{D62D23F3-1B95-4058-9081-5811DC603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59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38100</xdr:rowOff>
    </xdr:to>
    <xdr:pic>
      <xdr:nvPicPr>
        <xdr:cNvPr id="5574" name="Picture 11" descr=" ">
          <a:extLst>
            <a:ext uri="{FF2B5EF4-FFF2-40B4-BE49-F238E27FC236}">
              <a16:creationId xmlns:a16="http://schemas.microsoft.com/office/drawing/2014/main" id="{E31C4EB5-D040-476B-97E5-A7AB247D6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59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0</xdr:col>
      <xdr:colOff>9525</xdr:colOff>
      <xdr:row>180</xdr:row>
      <xdr:rowOff>38100</xdr:rowOff>
    </xdr:to>
    <xdr:pic>
      <xdr:nvPicPr>
        <xdr:cNvPr id="5575" name="Picture 12" descr=" ">
          <a:extLst>
            <a:ext uri="{FF2B5EF4-FFF2-40B4-BE49-F238E27FC236}">
              <a16:creationId xmlns:a16="http://schemas.microsoft.com/office/drawing/2014/main" id="{DCBE69EF-C91A-41D4-87F6-B13229318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592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38100</xdr:rowOff>
    </xdr:to>
    <xdr:pic>
      <xdr:nvPicPr>
        <xdr:cNvPr id="5576" name="Picture 7" descr=" ">
          <a:extLst>
            <a:ext uri="{FF2B5EF4-FFF2-40B4-BE49-F238E27FC236}">
              <a16:creationId xmlns:a16="http://schemas.microsoft.com/office/drawing/2014/main" id="{3CD9D469-77A2-4503-B493-522ED3C2B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42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38100</xdr:rowOff>
    </xdr:to>
    <xdr:pic>
      <xdr:nvPicPr>
        <xdr:cNvPr id="5577" name="Picture 8" descr=" ">
          <a:extLst>
            <a:ext uri="{FF2B5EF4-FFF2-40B4-BE49-F238E27FC236}">
              <a16:creationId xmlns:a16="http://schemas.microsoft.com/office/drawing/2014/main" id="{AB3585F7-3B4B-4464-A3F1-62417C411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42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38100</xdr:rowOff>
    </xdr:to>
    <xdr:pic>
      <xdr:nvPicPr>
        <xdr:cNvPr id="5578" name="Picture 9" descr=" ">
          <a:extLst>
            <a:ext uri="{FF2B5EF4-FFF2-40B4-BE49-F238E27FC236}">
              <a16:creationId xmlns:a16="http://schemas.microsoft.com/office/drawing/2014/main" id="{5E321451-5B05-4EE7-94A9-3AC16B4EF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42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38100</xdr:rowOff>
    </xdr:to>
    <xdr:pic>
      <xdr:nvPicPr>
        <xdr:cNvPr id="5579" name="Picture 10" descr=" ">
          <a:extLst>
            <a:ext uri="{FF2B5EF4-FFF2-40B4-BE49-F238E27FC236}">
              <a16:creationId xmlns:a16="http://schemas.microsoft.com/office/drawing/2014/main" id="{5EB370C2-2E32-40FE-B913-A8C625F75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42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38100</xdr:rowOff>
    </xdr:to>
    <xdr:pic>
      <xdr:nvPicPr>
        <xdr:cNvPr id="5580" name="Picture 11" descr=" ">
          <a:extLst>
            <a:ext uri="{FF2B5EF4-FFF2-40B4-BE49-F238E27FC236}">
              <a16:creationId xmlns:a16="http://schemas.microsoft.com/office/drawing/2014/main" id="{AEE77CB3-E658-4CBC-A940-3C6F273F7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42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38100</xdr:rowOff>
    </xdr:to>
    <xdr:pic>
      <xdr:nvPicPr>
        <xdr:cNvPr id="5581" name="Picture 12" descr=" ">
          <a:extLst>
            <a:ext uri="{FF2B5EF4-FFF2-40B4-BE49-F238E27FC236}">
              <a16:creationId xmlns:a16="http://schemas.microsoft.com/office/drawing/2014/main" id="{8735DE68-8629-4C80-BB27-4465F43DC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42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38100</xdr:rowOff>
    </xdr:to>
    <xdr:pic>
      <xdr:nvPicPr>
        <xdr:cNvPr id="5582" name="Picture 7" descr=" ">
          <a:extLst>
            <a:ext uri="{FF2B5EF4-FFF2-40B4-BE49-F238E27FC236}">
              <a16:creationId xmlns:a16="http://schemas.microsoft.com/office/drawing/2014/main" id="{4B6B0CF7-7CF6-4223-9E9F-D90A71DF3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42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38100</xdr:rowOff>
    </xdr:to>
    <xdr:pic>
      <xdr:nvPicPr>
        <xdr:cNvPr id="5583" name="Picture 8" descr=" ">
          <a:extLst>
            <a:ext uri="{FF2B5EF4-FFF2-40B4-BE49-F238E27FC236}">
              <a16:creationId xmlns:a16="http://schemas.microsoft.com/office/drawing/2014/main" id="{8C4E3C9D-4358-474A-B1B7-6F36E1F87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42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38100</xdr:rowOff>
    </xdr:to>
    <xdr:pic>
      <xdr:nvPicPr>
        <xdr:cNvPr id="5584" name="Picture 9" descr=" ">
          <a:extLst>
            <a:ext uri="{FF2B5EF4-FFF2-40B4-BE49-F238E27FC236}">
              <a16:creationId xmlns:a16="http://schemas.microsoft.com/office/drawing/2014/main" id="{3885F97E-838C-454D-A92D-36B2E6FD5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42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38100</xdr:rowOff>
    </xdr:to>
    <xdr:pic>
      <xdr:nvPicPr>
        <xdr:cNvPr id="5585" name="Picture 10" descr=" ">
          <a:extLst>
            <a:ext uri="{FF2B5EF4-FFF2-40B4-BE49-F238E27FC236}">
              <a16:creationId xmlns:a16="http://schemas.microsoft.com/office/drawing/2014/main" id="{411A22D9-1C74-444D-A4D8-48BAF317C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42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38100</xdr:rowOff>
    </xdr:to>
    <xdr:pic>
      <xdr:nvPicPr>
        <xdr:cNvPr id="5586" name="Picture 11" descr=" ">
          <a:extLst>
            <a:ext uri="{FF2B5EF4-FFF2-40B4-BE49-F238E27FC236}">
              <a16:creationId xmlns:a16="http://schemas.microsoft.com/office/drawing/2014/main" id="{18B68E79-2D48-480D-9DC2-3F624FE8E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42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</xdr:colOff>
      <xdr:row>181</xdr:row>
      <xdr:rowOff>38100</xdr:rowOff>
    </xdr:to>
    <xdr:pic>
      <xdr:nvPicPr>
        <xdr:cNvPr id="5587" name="Picture 12" descr=" ">
          <a:extLst>
            <a:ext uri="{FF2B5EF4-FFF2-40B4-BE49-F238E27FC236}">
              <a16:creationId xmlns:a16="http://schemas.microsoft.com/office/drawing/2014/main" id="{EBC5CC68-846C-4446-9B58-0CC4CD562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421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38100</xdr:rowOff>
    </xdr:to>
    <xdr:pic>
      <xdr:nvPicPr>
        <xdr:cNvPr id="5588" name="Picture 7" descr=" ">
          <a:extLst>
            <a:ext uri="{FF2B5EF4-FFF2-40B4-BE49-F238E27FC236}">
              <a16:creationId xmlns:a16="http://schemas.microsoft.com/office/drawing/2014/main" id="{4223A617-1DE9-4807-869E-D489345F2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24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38100</xdr:rowOff>
    </xdr:to>
    <xdr:pic>
      <xdr:nvPicPr>
        <xdr:cNvPr id="5589" name="Picture 8" descr=" ">
          <a:extLst>
            <a:ext uri="{FF2B5EF4-FFF2-40B4-BE49-F238E27FC236}">
              <a16:creationId xmlns:a16="http://schemas.microsoft.com/office/drawing/2014/main" id="{6D89119D-71A1-4356-84D3-9708FED82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24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38100</xdr:rowOff>
    </xdr:to>
    <xdr:pic>
      <xdr:nvPicPr>
        <xdr:cNvPr id="5590" name="Picture 9" descr=" ">
          <a:extLst>
            <a:ext uri="{FF2B5EF4-FFF2-40B4-BE49-F238E27FC236}">
              <a16:creationId xmlns:a16="http://schemas.microsoft.com/office/drawing/2014/main" id="{54A2B382-8134-44E1-B73F-1268CBC62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24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38100</xdr:rowOff>
    </xdr:to>
    <xdr:pic>
      <xdr:nvPicPr>
        <xdr:cNvPr id="5591" name="Picture 10" descr=" ">
          <a:extLst>
            <a:ext uri="{FF2B5EF4-FFF2-40B4-BE49-F238E27FC236}">
              <a16:creationId xmlns:a16="http://schemas.microsoft.com/office/drawing/2014/main" id="{F6513759-AD4E-4272-8D28-F6834F19B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24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38100</xdr:rowOff>
    </xdr:to>
    <xdr:pic>
      <xdr:nvPicPr>
        <xdr:cNvPr id="5592" name="Picture 11" descr=" ">
          <a:extLst>
            <a:ext uri="{FF2B5EF4-FFF2-40B4-BE49-F238E27FC236}">
              <a16:creationId xmlns:a16="http://schemas.microsoft.com/office/drawing/2014/main" id="{81F7CF9F-1938-4A89-9C15-B4DB3AB5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24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38100</xdr:rowOff>
    </xdr:to>
    <xdr:pic>
      <xdr:nvPicPr>
        <xdr:cNvPr id="5593" name="Picture 12" descr=" ">
          <a:extLst>
            <a:ext uri="{FF2B5EF4-FFF2-40B4-BE49-F238E27FC236}">
              <a16:creationId xmlns:a16="http://schemas.microsoft.com/office/drawing/2014/main" id="{C2B19C8B-D9B0-4532-A028-7F292AC14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24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38100</xdr:rowOff>
    </xdr:to>
    <xdr:pic>
      <xdr:nvPicPr>
        <xdr:cNvPr id="5594" name="Picture 7" descr=" ">
          <a:extLst>
            <a:ext uri="{FF2B5EF4-FFF2-40B4-BE49-F238E27FC236}">
              <a16:creationId xmlns:a16="http://schemas.microsoft.com/office/drawing/2014/main" id="{FA428A80-88EB-4A90-A453-CA016F5D1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24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38100</xdr:rowOff>
    </xdr:to>
    <xdr:pic>
      <xdr:nvPicPr>
        <xdr:cNvPr id="5595" name="Picture 8" descr=" ">
          <a:extLst>
            <a:ext uri="{FF2B5EF4-FFF2-40B4-BE49-F238E27FC236}">
              <a16:creationId xmlns:a16="http://schemas.microsoft.com/office/drawing/2014/main" id="{D2BDC41B-D247-4143-A727-79BBFDE66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24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38100</xdr:rowOff>
    </xdr:to>
    <xdr:pic>
      <xdr:nvPicPr>
        <xdr:cNvPr id="5596" name="Picture 9" descr=" ">
          <a:extLst>
            <a:ext uri="{FF2B5EF4-FFF2-40B4-BE49-F238E27FC236}">
              <a16:creationId xmlns:a16="http://schemas.microsoft.com/office/drawing/2014/main" id="{DEC09694-6F92-4E2E-8427-CA9B92841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24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38100</xdr:rowOff>
    </xdr:to>
    <xdr:pic>
      <xdr:nvPicPr>
        <xdr:cNvPr id="5597" name="Picture 10" descr=" ">
          <a:extLst>
            <a:ext uri="{FF2B5EF4-FFF2-40B4-BE49-F238E27FC236}">
              <a16:creationId xmlns:a16="http://schemas.microsoft.com/office/drawing/2014/main" id="{E86F90C7-0DDD-4C0B-B6CE-0CFA12C3E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24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38100</xdr:rowOff>
    </xdr:to>
    <xdr:pic>
      <xdr:nvPicPr>
        <xdr:cNvPr id="5598" name="Picture 11" descr=" ">
          <a:extLst>
            <a:ext uri="{FF2B5EF4-FFF2-40B4-BE49-F238E27FC236}">
              <a16:creationId xmlns:a16="http://schemas.microsoft.com/office/drawing/2014/main" id="{C2952E39-4C3A-469E-955D-6D7CB21F5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24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</xdr:colOff>
      <xdr:row>182</xdr:row>
      <xdr:rowOff>38100</xdr:rowOff>
    </xdr:to>
    <xdr:pic>
      <xdr:nvPicPr>
        <xdr:cNvPr id="5599" name="Picture 12" descr=" ">
          <a:extLst>
            <a:ext uri="{FF2B5EF4-FFF2-40B4-BE49-F238E27FC236}">
              <a16:creationId xmlns:a16="http://schemas.microsoft.com/office/drawing/2014/main" id="{5CC6370F-D616-4D6C-8103-3B39D9FAD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249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38100</xdr:rowOff>
    </xdr:to>
    <xdr:pic>
      <xdr:nvPicPr>
        <xdr:cNvPr id="5600" name="Picture 7" descr=" ">
          <a:extLst>
            <a:ext uri="{FF2B5EF4-FFF2-40B4-BE49-F238E27FC236}">
              <a16:creationId xmlns:a16="http://schemas.microsoft.com/office/drawing/2014/main" id="{4DB38FE2-40F5-41E5-B35D-44309DD8D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07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38100</xdr:rowOff>
    </xdr:to>
    <xdr:pic>
      <xdr:nvPicPr>
        <xdr:cNvPr id="5601" name="Picture 8" descr=" ">
          <a:extLst>
            <a:ext uri="{FF2B5EF4-FFF2-40B4-BE49-F238E27FC236}">
              <a16:creationId xmlns:a16="http://schemas.microsoft.com/office/drawing/2014/main" id="{9BCD3EA2-46AD-452C-9B52-5C992EA8D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07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38100</xdr:rowOff>
    </xdr:to>
    <xdr:pic>
      <xdr:nvPicPr>
        <xdr:cNvPr id="5602" name="Picture 9" descr=" ">
          <a:extLst>
            <a:ext uri="{FF2B5EF4-FFF2-40B4-BE49-F238E27FC236}">
              <a16:creationId xmlns:a16="http://schemas.microsoft.com/office/drawing/2014/main" id="{8A70DDB2-7725-4B73-9D0F-B86A92BAB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07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38100</xdr:rowOff>
    </xdr:to>
    <xdr:pic>
      <xdr:nvPicPr>
        <xdr:cNvPr id="5603" name="Picture 10" descr=" ">
          <a:extLst>
            <a:ext uri="{FF2B5EF4-FFF2-40B4-BE49-F238E27FC236}">
              <a16:creationId xmlns:a16="http://schemas.microsoft.com/office/drawing/2014/main" id="{A59B767E-E0B0-43F7-8C1A-62BF05DFD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07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38100</xdr:rowOff>
    </xdr:to>
    <xdr:pic>
      <xdr:nvPicPr>
        <xdr:cNvPr id="5604" name="Picture 11" descr=" ">
          <a:extLst>
            <a:ext uri="{FF2B5EF4-FFF2-40B4-BE49-F238E27FC236}">
              <a16:creationId xmlns:a16="http://schemas.microsoft.com/office/drawing/2014/main" id="{7164F992-F07B-45C5-9B98-3EFA1FA96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07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38100</xdr:rowOff>
    </xdr:to>
    <xdr:pic>
      <xdr:nvPicPr>
        <xdr:cNvPr id="5605" name="Picture 12" descr=" ">
          <a:extLst>
            <a:ext uri="{FF2B5EF4-FFF2-40B4-BE49-F238E27FC236}">
              <a16:creationId xmlns:a16="http://schemas.microsoft.com/office/drawing/2014/main" id="{3751C41E-3718-4102-992F-B3C7316CF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07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38100</xdr:rowOff>
    </xdr:to>
    <xdr:pic>
      <xdr:nvPicPr>
        <xdr:cNvPr id="5606" name="Picture 7" descr=" ">
          <a:extLst>
            <a:ext uri="{FF2B5EF4-FFF2-40B4-BE49-F238E27FC236}">
              <a16:creationId xmlns:a16="http://schemas.microsoft.com/office/drawing/2014/main" id="{B7A62930-2F2C-4554-967A-FAEB4CA94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07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38100</xdr:rowOff>
    </xdr:to>
    <xdr:pic>
      <xdr:nvPicPr>
        <xdr:cNvPr id="5607" name="Picture 8" descr=" ">
          <a:extLst>
            <a:ext uri="{FF2B5EF4-FFF2-40B4-BE49-F238E27FC236}">
              <a16:creationId xmlns:a16="http://schemas.microsoft.com/office/drawing/2014/main" id="{4B6585EA-0B2B-4945-8A29-712061D61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07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38100</xdr:rowOff>
    </xdr:to>
    <xdr:pic>
      <xdr:nvPicPr>
        <xdr:cNvPr id="5608" name="Picture 9" descr=" ">
          <a:extLst>
            <a:ext uri="{FF2B5EF4-FFF2-40B4-BE49-F238E27FC236}">
              <a16:creationId xmlns:a16="http://schemas.microsoft.com/office/drawing/2014/main" id="{9DB2FDD8-A0F0-4A0D-8382-14BF792E3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07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38100</xdr:rowOff>
    </xdr:to>
    <xdr:pic>
      <xdr:nvPicPr>
        <xdr:cNvPr id="5609" name="Picture 10" descr=" ">
          <a:extLst>
            <a:ext uri="{FF2B5EF4-FFF2-40B4-BE49-F238E27FC236}">
              <a16:creationId xmlns:a16="http://schemas.microsoft.com/office/drawing/2014/main" id="{0C4931EB-784B-4891-AF75-41767902D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07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38100</xdr:rowOff>
    </xdr:to>
    <xdr:pic>
      <xdr:nvPicPr>
        <xdr:cNvPr id="5610" name="Picture 11" descr=" ">
          <a:extLst>
            <a:ext uri="{FF2B5EF4-FFF2-40B4-BE49-F238E27FC236}">
              <a16:creationId xmlns:a16="http://schemas.microsoft.com/office/drawing/2014/main" id="{EF08F2CC-459D-4A35-B7B9-C81DD963C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07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</xdr:colOff>
      <xdr:row>183</xdr:row>
      <xdr:rowOff>38100</xdr:rowOff>
    </xdr:to>
    <xdr:pic>
      <xdr:nvPicPr>
        <xdr:cNvPr id="5611" name="Picture 12" descr=" ">
          <a:extLst>
            <a:ext uri="{FF2B5EF4-FFF2-40B4-BE49-F238E27FC236}">
              <a16:creationId xmlns:a16="http://schemas.microsoft.com/office/drawing/2014/main" id="{22984104-83BE-4DA9-8528-96F9D5028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078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38100</xdr:rowOff>
    </xdr:to>
    <xdr:pic>
      <xdr:nvPicPr>
        <xdr:cNvPr id="5612" name="Picture 7" descr=" ">
          <a:extLst>
            <a:ext uri="{FF2B5EF4-FFF2-40B4-BE49-F238E27FC236}">
              <a16:creationId xmlns:a16="http://schemas.microsoft.com/office/drawing/2014/main" id="{8D1BA5D9-E532-43A8-8DD4-9BACB6D67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90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38100</xdr:rowOff>
    </xdr:to>
    <xdr:pic>
      <xdr:nvPicPr>
        <xdr:cNvPr id="5613" name="Picture 8" descr=" ">
          <a:extLst>
            <a:ext uri="{FF2B5EF4-FFF2-40B4-BE49-F238E27FC236}">
              <a16:creationId xmlns:a16="http://schemas.microsoft.com/office/drawing/2014/main" id="{EBBEC4D3-F1BB-4549-A3BE-345091422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90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38100</xdr:rowOff>
    </xdr:to>
    <xdr:pic>
      <xdr:nvPicPr>
        <xdr:cNvPr id="5614" name="Picture 9" descr=" ">
          <a:extLst>
            <a:ext uri="{FF2B5EF4-FFF2-40B4-BE49-F238E27FC236}">
              <a16:creationId xmlns:a16="http://schemas.microsoft.com/office/drawing/2014/main" id="{A51C0A20-88B2-4DF9-81DC-D66B4FE72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90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38100</xdr:rowOff>
    </xdr:to>
    <xdr:pic>
      <xdr:nvPicPr>
        <xdr:cNvPr id="5615" name="Picture 10" descr=" ">
          <a:extLst>
            <a:ext uri="{FF2B5EF4-FFF2-40B4-BE49-F238E27FC236}">
              <a16:creationId xmlns:a16="http://schemas.microsoft.com/office/drawing/2014/main" id="{263F693A-F8D7-408B-BF31-A72EBB315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90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38100</xdr:rowOff>
    </xdr:to>
    <xdr:pic>
      <xdr:nvPicPr>
        <xdr:cNvPr id="5616" name="Picture 11" descr=" ">
          <a:extLst>
            <a:ext uri="{FF2B5EF4-FFF2-40B4-BE49-F238E27FC236}">
              <a16:creationId xmlns:a16="http://schemas.microsoft.com/office/drawing/2014/main" id="{19E40D66-9665-449C-A832-711703F7C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90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38100</xdr:rowOff>
    </xdr:to>
    <xdr:pic>
      <xdr:nvPicPr>
        <xdr:cNvPr id="5617" name="Picture 12" descr=" ">
          <a:extLst>
            <a:ext uri="{FF2B5EF4-FFF2-40B4-BE49-F238E27FC236}">
              <a16:creationId xmlns:a16="http://schemas.microsoft.com/office/drawing/2014/main" id="{C734FC22-71C7-4205-A6F4-7612032DB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90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38100</xdr:rowOff>
    </xdr:to>
    <xdr:pic>
      <xdr:nvPicPr>
        <xdr:cNvPr id="5618" name="Picture 7" descr=" ">
          <a:extLst>
            <a:ext uri="{FF2B5EF4-FFF2-40B4-BE49-F238E27FC236}">
              <a16:creationId xmlns:a16="http://schemas.microsoft.com/office/drawing/2014/main" id="{021B2B60-1D20-4675-BC5D-25A979C82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90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38100</xdr:rowOff>
    </xdr:to>
    <xdr:pic>
      <xdr:nvPicPr>
        <xdr:cNvPr id="5619" name="Picture 8" descr=" ">
          <a:extLst>
            <a:ext uri="{FF2B5EF4-FFF2-40B4-BE49-F238E27FC236}">
              <a16:creationId xmlns:a16="http://schemas.microsoft.com/office/drawing/2014/main" id="{3050B9E9-3F9D-494C-8266-C3747351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90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38100</xdr:rowOff>
    </xdr:to>
    <xdr:pic>
      <xdr:nvPicPr>
        <xdr:cNvPr id="5620" name="Picture 9" descr=" ">
          <a:extLst>
            <a:ext uri="{FF2B5EF4-FFF2-40B4-BE49-F238E27FC236}">
              <a16:creationId xmlns:a16="http://schemas.microsoft.com/office/drawing/2014/main" id="{A93FCB3A-1733-4382-9F5B-D84E8B075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90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38100</xdr:rowOff>
    </xdr:to>
    <xdr:pic>
      <xdr:nvPicPr>
        <xdr:cNvPr id="5621" name="Picture 10" descr=" ">
          <a:extLst>
            <a:ext uri="{FF2B5EF4-FFF2-40B4-BE49-F238E27FC236}">
              <a16:creationId xmlns:a16="http://schemas.microsoft.com/office/drawing/2014/main" id="{46CA9126-3592-417D-854A-692A7931B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90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38100</xdr:rowOff>
    </xdr:to>
    <xdr:pic>
      <xdr:nvPicPr>
        <xdr:cNvPr id="5622" name="Picture 11" descr=" ">
          <a:extLst>
            <a:ext uri="{FF2B5EF4-FFF2-40B4-BE49-F238E27FC236}">
              <a16:creationId xmlns:a16="http://schemas.microsoft.com/office/drawing/2014/main" id="{0C9E7C95-D0C7-4DAB-BEF5-0CC9D19A1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90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9525</xdr:colOff>
      <xdr:row>184</xdr:row>
      <xdr:rowOff>38100</xdr:rowOff>
    </xdr:to>
    <xdr:pic>
      <xdr:nvPicPr>
        <xdr:cNvPr id="5623" name="Picture 12" descr=" ">
          <a:extLst>
            <a:ext uri="{FF2B5EF4-FFF2-40B4-BE49-F238E27FC236}">
              <a16:creationId xmlns:a16="http://schemas.microsoft.com/office/drawing/2014/main" id="{AFAF5E48-EFA8-40B5-AB24-560F042B7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907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38100</xdr:rowOff>
    </xdr:to>
    <xdr:pic>
      <xdr:nvPicPr>
        <xdr:cNvPr id="5624" name="Picture 7" descr=" ">
          <a:extLst>
            <a:ext uri="{FF2B5EF4-FFF2-40B4-BE49-F238E27FC236}">
              <a16:creationId xmlns:a16="http://schemas.microsoft.com/office/drawing/2014/main" id="{B348AEA5-2E70-40FF-AB3E-3A6A92D8A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73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38100</xdr:rowOff>
    </xdr:to>
    <xdr:pic>
      <xdr:nvPicPr>
        <xdr:cNvPr id="5625" name="Picture 8" descr=" ">
          <a:extLst>
            <a:ext uri="{FF2B5EF4-FFF2-40B4-BE49-F238E27FC236}">
              <a16:creationId xmlns:a16="http://schemas.microsoft.com/office/drawing/2014/main" id="{6523BD99-B09F-4C9C-9D2E-C2FABDA58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73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38100</xdr:rowOff>
    </xdr:to>
    <xdr:pic>
      <xdr:nvPicPr>
        <xdr:cNvPr id="5626" name="Picture 9" descr=" ">
          <a:extLst>
            <a:ext uri="{FF2B5EF4-FFF2-40B4-BE49-F238E27FC236}">
              <a16:creationId xmlns:a16="http://schemas.microsoft.com/office/drawing/2014/main" id="{F3A61391-9465-4B76-89CB-4B0A9F36E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73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38100</xdr:rowOff>
    </xdr:to>
    <xdr:pic>
      <xdr:nvPicPr>
        <xdr:cNvPr id="5627" name="Picture 10" descr=" ">
          <a:extLst>
            <a:ext uri="{FF2B5EF4-FFF2-40B4-BE49-F238E27FC236}">
              <a16:creationId xmlns:a16="http://schemas.microsoft.com/office/drawing/2014/main" id="{4A9C10F0-C5B8-4F98-B00E-61DA044E8F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73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38100</xdr:rowOff>
    </xdr:to>
    <xdr:pic>
      <xdr:nvPicPr>
        <xdr:cNvPr id="5628" name="Picture 11" descr=" ">
          <a:extLst>
            <a:ext uri="{FF2B5EF4-FFF2-40B4-BE49-F238E27FC236}">
              <a16:creationId xmlns:a16="http://schemas.microsoft.com/office/drawing/2014/main" id="{1B42BF9A-2105-40FE-A913-6422B4062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73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38100</xdr:rowOff>
    </xdr:to>
    <xdr:pic>
      <xdr:nvPicPr>
        <xdr:cNvPr id="5629" name="Picture 12" descr=" ">
          <a:extLst>
            <a:ext uri="{FF2B5EF4-FFF2-40B4-BE49-F238E27FC236}">
              <a16:creationId xmlns:a16="http://schemas.microsoft.com/office/drawing/2014/main" id="{F541035E-24D2-49DF-864B-4B40D36FF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73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38100</xdr:rowOff>
    </xdr:to>
    <xdr:pic>
      <xdr:nvPicPr>
        <xdr:cNvPr id="5630" name="Picture 7" descr=" ">
          <a:extLst>
            <a:ext uri="{FF2B5EF4-FFF2-40B4-BE49-F238E27FC236}">
              <a16:creationId xmlns:a16="http://schemas.microsoft.com/office/drawing/2014/main" id="{774559F8-0190-4CE5-8D18-0012CA7F9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73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38100</xdr:rowOff>
    </xdr:to>
    <xdr:pic>
      <xdr:nvPicPr>
        <xdr:cNvPr id="5631" name="Picture 8" descr=" ">
          <a:extLst>
            <a:ext uri="{FF2B5EF4-FFF2-40B4-BE49-F238E27FC236}">
              <a16:creationId xmlns:a16="http://schemas.microsoft.com/office/drawing/2014/main" id="{236189E9-2ADD-41D4-8E5C-E46182DC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73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38100</xdr:rowOff>
    </xdr:to>
    <xdr:pic>
      <xdr:nvPicPr>
        <xdr:cNvPr id="5632" name="Picture 9" descr=" ">
          <a:extLst>
            <a:ext uri="{FF2B5EF4-FFF2-40B4-BE49-F238E27FC236}">
              <a16:creationId xmlns:a16="http://schemas.microsoft.com/office/drawing/2014/main" id="{ECF5D69A-20EE-45E2-9123-C64D7180B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73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38100</xdr:rowOff>
    </xdr:to>
    <xdr:pic>
      <xdr:nvPicPr>
        <xdr:cNvPr id="5633" name="Picture 10" descr=" ">
          <a:extLst>
            <a:ext uri="{FF2B5EF4-FFF2-40B4-BE49-F238E27FC236}">
              <a16:creationId xmlns:a16="http://schemas.microsoft.com/office/drawing/2014/main" id="{0DA143C0-05C8-476D-9F5D-859901BB4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73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38100</xdr:rowOff>
    </xdr:to>
    <xdr:pic>
      <xdr:nvPicPr>
        <xdr:cNvPr id="5634" name="Picture 11" descr=" ">
          <a:extLst>
            <a:ext uri="{FF2B5EF4-FFF2-40B4-BE49-F238E27FC236}">
              <a16:creationId xmlns:a16="http://schemas.microsoft.com/office/drawing/2014/main" id="{AE58A025-601E-476E-89B1-E122F7F67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73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</xdr:colOff>
      <xdr:row>185</xdr:row>
      <xdr:rowOff>38100</xdr:rowOff>
    </xdr:to>
    <xdr:pic>
      <xdr:nvPicPr>
        <xdr:cNvPr id="5635" name="Picture 12" descr=" ">
          <a:extLst>
            <a:ext uri="{FF2B5EF4-FFF2-40B4-BE49-F238E27FC236}">
              <a16:creationId xmlns:a16="http://schemas.microsoft.com/office/drawing/2014/main" id="{964C7D06-CB21-415D-A681-89711FEA3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736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38100</xdr:rowOff>
    </xdr:to>
    <xdr:pic>
      <xdr:nvPicPr>
        <xdr:cNvPr id="5636" name="Picture 7" descr=" ">
          <a:extLst>
            <a:ext uri="{FF2B5EF4-FFF2-40B4-BE49-F238E27FC236}">
              <a16:creationId xmlns:a16="http://schemas.microsoft.com/office/drawing/2014/main" id="{94D43391-C735-4A35-83E7-2CDE158F9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38100</xdr:rowOff>
    </xdr:to>
    <xdr:pic>
      <xdr:nvPicPr>
        <xdr:cNvPr id="5637" name="Picture 8" descr=" ">
          <a:extLst>
            <a:ext uri="{FF2B5EF4-FFF2-40B4-BE49-F238E27FC236}">
              <a16:creationId xmlns:a16="http://schemas.microsoft.com/office/drawing/2014/main" id="{5D6D5455-D68F-4EA0-827C-CE16E8883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38100</xdr:rowOff>
    </xdr:to>
    <xdr:pic>
      <xdr:nvPicPr>
        <xdr:cNvPr id="5638" name="Picture 9" descr=" ">
          <a:extLst>
            <a:ext uri="{FF2B5EF4-FFF2-40B4-BE49-F238E27FC236}">
              <a16:creationId xmlns:a16="http://schemas.microsoft.com/office/drawing/2014/main" id="{88035BC6-BDED-4043-9482-F2041489F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38100</xdr:rowOff>
    </xdr:to>
    <xdr:pic>
      <xdr:nvPicPr>
        <xdr:cNvPr id="5639" name="Picture 10" descr=" ">
          <a:extLst>
            <a:ext uri="{FF2B5EF4-FFF2-40B4-BE49-F238E27FC236}">
              <a16:creationId xmlns:a16="http://schemas.microsoft.com/office/drawing/2014/main" id="{63EE469F-41E1-41C9-AFB1-D98F01B66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38100</xdr:rowOff>
    </xdr:to>
    <xdr:pic>
      <xdr:nvPicPr>
        <xdr:cNvPr id="5640" name="Picture 11" descr=" ">
          <a:extLst>
            <a:ext uri="{FF2B5EF4-FFF2-40B4-BE49-F238E27FC236}">
              <a16:creationId xmlns:a16="http://schemas.microsoft.com/office/drawing/2014/main" id="{F2D098CF-AFD2-4FBD-8BA2-829137FC1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38100</xdr:rowOff>
    </xdr:to>
    <xdr:pic>
      <xdr:nvPicPr>
        <xdr:cNvPr id="5641" name="Picture 12" descr=" ">
          <a:extLst>
            <a:ext uri="{FF2B5EF4-FFF2-40B4-BE49-F238E27FC236}">
              <a16:creationId xmlns:a16="http://schemas.microsoft.com/office/drawing/2014/main" id="{98F2F8A3-1D78-439A-BD6F-3971D10C1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38100</xdr:rowOff>
    </xdr:to>
    <xdr:pic>
      <xdr:nvPicPr>
        <xdr:cNvPr id="5642" name="Picture 7" descr=" ">
          <a:extLst>
            <a:ext uri="{FF2B5EF4-FFF2-40B4-BE49-F238E27FC236}">
              <a16:creationId xmlns:a16="http://schemas.microsoft.com/office/drawing/2014/main" id="{18411688-A057-48B6-BE21-E2F09432D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38100</xdr:rowOff>
    </xdr:to>
    <xdr:pic>
      <xdr:nvPicPr>
        <xdr:cNvPr id="5643" name="Picture 8" descr=" ">
          <a:extLst>
            <a:ext uri="{FF2B5EF4-FFF2-40B4-BE49-F238E27FC236}">
              <a16:creationId xmlns:a16="http://schemas.microsoft.com/office/drawing/2014/main" id="{3A025BD8-55B0-4657-8272-7815A407A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38100</xdr:rowOff>
    </xdr:to>
    <xdr:pic>
      <xdr:nvPicPr>
        <xdr:cNvPr id="5644" name="Picture 9" descr=" ">
          <a:extLst>
            <a:ext uri="{FF2B5EF4-FFF2-40B4-BE49-F238E27FC236}">
              <a16:creationId xmlns:a16="http://schemas.microsoft.com/office/drawing/2014/main" id="{C3CBFC7F-DDF6-459E-A805-D8F4E6BE6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38100</xdr:rowOff>
    </xdr:to>
    <xdr:pic>
      <xdr:nvPicPr>
        <xdr:cNvPr id="5645" name="Picture 10" descr=" ">
          <a:extLst>
            <a:ext uri="{FF2B5EF4-FFF2-40B4-BE49-F238E27FC236}">
              <a16:creationId xmlns:a16="http://schemas.microsoft.com/office/drawing/2014/main" id="{0E7044B7-51FF-4465-AACF-E1A6F7660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38100</xdr:rowOff>
    </xdr:to>
    <xdr:pic>
      <xdr:nvPicPr>
        <xdr:cNvPr id="5646" name="Picture 11" descr=" ">
          <a:extLst>
            <a:ext uri="{FF2B5EF4-FFF2-40B4-BE49-F238E27FC236}">
              <a16:creationId xmlns:a16="http://schemas.microsoft.com/office/drawing/2014/main" id="{C78B944A-AC05-4C0D-B81F-CE8F89EA8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</xdr:colOff>
      <xdr:row>186</xdr:row>
      <xdr:rowOff>38100</xdr:rowOff>
    </xdr:to>
    <xdr:pic>
      <xdr:nvPicPr>
        <xdr:cNvPr id="5647" name="Picture 12" descr=" ">
          <a:extLst>
            <a:ext uri="{FF2B5EF4-FFF2-40B4-BE49-F238E27FC236}">
              <a16:creationId xmlns:a16="http://schemas.microsoft.com/office/drawing/2014/main" id="{562D8DB9-6C6D-41AF-9BB3-EE6384EB6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38100</xdr:rowOff>
    </xdr:to>
    <xdr:pic>
      <xdr:nvPicPr>
        <xdr:cNvPr id="5648" name="Picture 7" descr=" ">
          <a:extLst>
            <a:ext uri="{FF2B5EF4-FFF2-40B4-BE49-F238E27FC236}">
              <a16:creationId xmlns:a16="http://schemas.microsoft.com/office/drawing/2014/main" id="{FA0C1067-8499-44CD-AEC1-CBB763DCE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39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38100</xdr:rowOff>
    </xdr:to>
    <xdr:pic>
      <xdr:nvPicPr>
        <xdr:cNvPr id="5649" name="Picture 8" descr=" ">
          <a:extLst>
            <a:ext uri="{FF2B5EF4-FFF2-40B4-BE49-F238E27FC236}">
              <a16:creationId xmlns:a16="http://schemas.microsoft.com/office/drawing/2014/main" id="{843E3061-4B4E-4BFB-B777-A064929FD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39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38100</xdr:rowOff>
    </xdr:to>
    <xdr:pic>
      <xdr:nvPicPr>
        <xdr:cNvPr id="5650" name="Picture 9" descr=" ">
          <a:extLst>
            <a:ext uri="{FF2B5EF4-FFF2-40B4-BE49-F238E27FC236}">
              <a16:creationId xmlns:a16="http://schemas.microsoft.com/office/drawing/2014/main" id="{968B49D9-36D1-4D3D-860C-D00F9A7FA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39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38100</xdr:rowOff>
    </xdr:to>
    <xdr:pic>
      <xdr:nvPicPr>
        <xdr:cNvPr id="5651" name="Picture 10" descr=" ">
          <a:extLst>
            <a:ext uri="{FF2B5EF4-FFF2-40B4-BE49-F238E27FC236}">
              <a16:creationId xmlns:a16="http://schemas.microsoft.com/office/drawing/2014/main" id="{D459A522-E0AC-4DB2-9899-B55CD13F4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39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38100</xdr:rowOff>
    </xdr:to>
    <xdr:pic>
      <xdr:nvPicPr>
        <xdr:cNvPr id="5652" name="Picture 11" descr=" ">
          <a:extLst>
            <a:ext uri="{FF2B5EF4-FFF2-40B4-BE49-F238E27FC236}">
              <a16:creationId xmlns:a16="http://schemas.microsoft.com/office/drawing/2014/main" id="{F727DC33-0DEB-408C-A676-95B60C0C0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39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38100</xdr:rowOff>
    </xdr:to>
    <xdr:pic>
      <xdr:nvPicPr>
        <xdr:cNvPr id="5653" name="Picture 12" descr=" ">
          <a:extLst>
            <a:ext uri="{FF2B5EF4-FFF2-40B4-BE49-F238E27FC236}">
              <a16:creationId xmlns:a16="http://schemas.microsoft.com/office/drawing/2014/main" id="{C701D8DE-04BD-4A0C-9B90-8840C9505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39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38100</xdr:rowOff>
    </xdr:to>
    <xdr:pic>
      <xdr:nvPicPr>
        <xdr:cNvPr id="5654" name="Picture 7" descr=" ">
          <a:extLst>
            <a:ext uri="{FF2B5EF4-FFF2-40B4-BE49-F238E27FC236}">
              <a16:creationId xmlns:a16="http://schemas.microsoft.com/office/drawing/2014/main" id="{B1ADCC17-744C-49DF-B413-AD5E0F3E9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39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38100</xdr:rowOff>
    </xdr:to>
    <xdr:pic>
      <xdr:nvPicPr>
        <xdr:cNvPr id="5655" name="Picture 8" descr=" ">
          <a:extLst>
            <a:ext uri="{FF2B5EF4-FFF2-40B4-BE49-F238E27FC236}">
              <a16:creationId xmlns:a16="http://schemas.microsoft.com/office/drawing/2014/main" id="{CCF5D4A1-FE1E-47C7-A10B-3A887A0EB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39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38100</xdr:rowOff>
    </xdr:to>
    <xdr:pic>
      <xdr:nvPicPr>
        <xdr:cNvPr id="5656" name="Picture 9" descr=" ">
          <a:extLst>
            <a:ext uri="{FF2B5EF4-FFF2-40B4-BE49-F238E27FC236}">
              <a16:creationId xmlns:a16="http://schemas.microsoft.com/office/drawing/2014/main" id="{FAD44FF8-7520-4718-9485-4CE78C8E1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39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38100</xdr:rowOff>
    </xdr:to>
    <xdr:pic>
      <xdr:nvPicPr>
        <xdr:cNvPr id="5657" name="Picture 10" descr=" ">
          <a:extLst>
            <a:ext uri="{FF2B5EF4-FFF2-40B4-BE49-F238E27FC236}">
              <a16:creationId xmlns:a16="http://schemas.microsoft.com/office/drawing/2014/main" id="{E33C7624-BA5F-468E-AA17-ED35A394A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39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38100</xdr:rowOff>
    </xdr:to>
    <xdr:pic>
      <xdr:nvPicPr>
        <xdr:cNvPr id="5658" name="Picture 11" descr=" ">
          <a:extLst>
            <a:ext uri="{FF2B5EF4-FFF2-40B4-BE49-F238E27FC236}">
              <a16:creationId xmlns:a16="http://schemas.microsoft.com/office/drawing/2014/main" id="{A3935C31-8A4B-47D5-B864-8DED6EBC2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39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</xdr:colOff>
      <xdr:row>187</xdr:row>
      <xdr:rowOff>38100</xdr:rowOff>
    </xdr:to>
    <xdr:pic>
      <xdr:nvPicPr>
        <xdr:cNvPr id="5659" name="Picture 12" descr=" ">
          <a:extLst>
            <a:ext uri="{FF2B5EF4-FFF2-40B4-BE49-F238E27FC236}">
              <a16:creationId xmlns:a16="http://schemas.microsoft.com/office/drawing/2014/main" id="{300099E8-3557-4C74-9DDD-372A100FB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393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5660" name="Picture 7" descr=" ">
          <a:extLst>
            <a:ext uri="{FF2B5EF4-FFF2-40B4-BE49-F238E27FC236}">
              <a16:creationId xmlns:a16="http://schemas.microsoft.com/office/drawing/2014/main" id="{E02BBA1C-C326-4342-95A8-03ECF55CF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5661" name="Picture 8" descr=" ">
          <a:extLst>
            <a:ext uri="{FF2B5EF4-FFF2-40B4-BE49-F238E27FC236}">
              <a16:creationId xmlns:a16="http://schemas.microsoft.com/office/drawing/2014/main" id="{9DADC6A2-29E5-40B3-A4CC-15C3FC7A6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5662" name="Picture 9" descr=" ">
          <a:extLst>
            <a:ext uri="{FF2B5EF4-FFF2-40B4-BE49-F238E27FC236}">
              <a16:creationId xmlns:a16="http://schemas.microsoft.com/office/drawing/2014/main" id="{1CB5BEE8-7221-4145-9656-B027CFB44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5663" name="Picture 10" descr=" ">
          <a:extLst>
            <a:ext uri="{FF2B5EF4-FFF2-40B4-BE49-F238E27FC236}">
              <a16:creationId xmlns:a16="http://schemas.microsoft.com/office/drawing/2014/main" id="{C1D259F4-1D26-41F2-B425-52F8C75FF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5664" name="Picture 11" descr=" ">
          <a:extLst>
            <a:ext uri="{FF2B5EF4-FFF2-40B4-BE49-F238E27FC236}">
              <a16:creationId xmlns:a16="http://schemas.microsoft.com/office/drawing/2014/main" id="{36EC1720-D6D8-40EB-9DDB-145757A09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5665" name="Picture 12" descr=" ">
          <a:extLst>
            <a:ext uri="{FF2B5EF4-FFF2-40B4-BE49-F238E27FC236}">
              <a16:creationId xmlns:a16="http://schemas.microsoft.com/office/drawing/2014/main" id="{6BE4D5E0-9ABC-4B0E-80D0-CB65B33D5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5666" name="Picture 7" descr=" ">
          <a:extLst>
            <a:ext uri="{FF2B5EF4-FFF2-40B4-BE49-F238E27FC236}">
              <a16:creationId xmlns:a16="http://schemas.microsoft.com/office/drawing/2014/main" id="{4C9C0764-A1A2-438E-80E5-CBD6D80FB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5667" name="Picture 8" descr=" ">
          <a:extLst>
            <a:ext uri="{FF2B5EF4-FFF2-40B4-BE49-F238E27FC236}">
              <a16:creationId xmlns:a16="http://schemas.microsoft.com/office/drawing/2014/main" id="{F37EA827-F242-413F-B1AB-DBECC68D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5668" name="Picture 9" descr=" ">
          <a:extLst>
            <a:ext uri="{FF2B5EF4-FFF2-40B4-BE49-F238E27FC236}">
              <a16:creationId xmlns:a16="http://schemas.microsoft.com/office/drawing/2014/main" id="{CF1ACDBA-BEA5-4285-AD8E-BDFC27280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5669" name="Picture 10" descr=" ">
          <a:extLst>
            <a:ext uri="{FF2B5EF4-FFF2-40B4-BE49-F238E27FC236}">
              <a16:creationId xmlns:a16="http://schemas.microsoft.com/office/drawing/2014/main" id="{47D04D6E-847D-4C0A-874C-382E75607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5670" name="Picture 11" descr=" ">
          <a:extLst>
            <a:ext uri="{FF2B5EF4-FFF2-40B4-BE49-F238E27FC236}">
              <a16:creationId xmlns:a16="http://schemas.microsoft.com/office/drawing/2014/main" id="{5574743A-7B58-4AD8-B12D-B0D03B148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5671" name="Picture 12" descr=" ">
          <a:extLst>
            <a:ext uri="{FF2B5EF4-FFF2-40B4-BE49-F238E27FC236}">
              <a16:creationId xmlns:a16="http://schemas.microsoft.com/office/drawing/2014/main" id="{2EB632CD-282B-4EC5-8077-543371E7C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672" name="Picture 7" descr=" ">
          <a:extLst>
            <a:ext uri="{FF2B5EF4-FFF2-40B4-BE49-F238E27FC236}">
              <a16:creationId xmlns:a16="http://schemas.microsoft.com/office/drawing/2014/main" id="{4E8A4959-A95C-4E54-B303-52B90D627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673" name="Picture 8" descr=" ">
          <a:extLst>
            <a:ext uri="{FF2B5EF4-FFF2-40B4-BE49-F238E27FC236}">
              <a16:creationId xmlns:a16="http://schemas.microsoft.com/office/drawing/2014/main" id="{FB537846-9A69-442D-8D71-01D980DAE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674" name="Picture 9" descr=" ">
          <a:extLst>
            <a:ext uri="{FF2B5EF4-FFF2-40B4-BE49-F238E27FC236}">
              <a16:creationId xmlns:a16="http://schemas.microsoft.com/office/drawing/2014/main" id="{D6C5A4E4-8252-4E0C-B950-FCBF5D83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675" name="Picture 10" descr=" ">
          <a:extLst>
            <a:ext uri="{FF2B5EF4-FFF2-40B4-BE49-F238E27FC236}">
              <a16:creationId xmlns:a16="http://schemas.microsoft.com/office/drawing/2014/main" id="{8C7C0432-8F52-475F-AFE5-0D6143D80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676" name="Picture 11" descr=" ">
          <a:extLst>
            <a:ext uri="{FF2B5EF4-FFF2-40B4-BE49-F238E27FC236}">
              <a16:creationId xmlns:a16="http://schemas.microsoft.com/office/drawing/2014/main" id="{D79EAFAD-3B18-4C7B-8AED-A8EB4821A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677" name="Picture 12" descr=" ">
          <a:extLst>
            <a:ext uri="{FF2B5EF4-FFF2-40B4-BE49-F238E27FC236}">
              <a16:creationId xmlns:a16="http://schemas.microsoft.com/office/drawing/2014/main" id="{A50BA1F6-A4B0-4DCB-8C79-B9F51CB7E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678" name="Picture 7" descr=" ">
          <a:extLst>
            <a:ext uri="{FF2B5EF4-FFF2-40B4-BE49-F238E27FC236}">
              <a16:creationId xmlns:a16="http://schemas.microsoft.com/office/drawing/2014/main" id="{72DBCDFD-5595-4A0B-950F-26EC17B40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679" name="Picture 8" descr=" ">
          <a:extLst>
            <a:ext uri="{FF2B5EF4-FFF2-40B4-BE49-F238E27FC236}">
              <a16:creationId xmlns:a16="http://schemas.microsoft.com/office/drawing/2014/main" id="{FF17604C-BE02-461D-A192-FEC1B1676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680" name="Picture 9" descr=" ">
          <a:extLst>
            <a:ext uri="{FF2B5EF4-FFF2-40B4-BE49-F238E27FC236}">
              <a16:creationId xmlns:a16="http://schemas.microsoft.com/office/drawing/2014/main" id="{92EAF40F-CCEB-4DFB-BD88-7A8685A0C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681" name="Picture 10" descr=" ">
          <a:extLst>
            <a:ext uri="{FF2B5EF4-FFF2-40B4-BE49-F238E27FC236}">
              <a16:creationId xmlns:a16="http://schemas.microsoft.com/office/drawing/2014/main" id="{0A3AF381-B88D-4933-9985-C08FE4B51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682" name="Picture 11" descr=" ">
          <a:extLst>
            <a:ext uri="{FF2B5EF4-FFF2-40B4-BE49-F238E27FC236}">
              <a16:creationId xmlns:a16="http://schemas.microsoft.com/office/drawing/2014/main" id="{04EFC26E-DD84-463C-92E3-6C0CD5F54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683" name="Picture 12" descr=" ">
          <a:extLst>
            <a:ext uri="{FF2B5EF4-FFF2-40B4-BE49-F238E27FC236}">
              <a16:creationId xmlns:a16="http://schemas.microsoft.com/office/drawing/2014/main" id="{FDF4D1A0-F5B9-4267-9BE0-FE8DE3B6F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38100</xdr:rowOff>
    </xdr:to>
    <xdr:pic>
      <xdr:nvPicPr>
        <xdr:cNvPr id="5684" name="Picture 7" descr=" ">
          <a:extLst>
            <a:ext uri="{FF2B5EF4-FFF2-40B4-BE49-F238E27FC236}">
              <a16:creationId xmlns:a16="http://schemas.microsoft.com/office/drawing/2014/main" id="{E8C1CB65-5F81-4C26-BA99-58C76276F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88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38100</xdr:rowOff>
    </xdr:to>
    <xdr:pic>
      <xdr:nvPicPr>
        <xdr:cNvPr id="5685" name="Picture 8" descr=" ">
          <a:extLst>
            <a:ext uri="{FF2B5EF4-FFF2-40B4-BE49-F238E27FC236}">
              <a16:creationId xmlns:a16="http://schemas.microsoft.com/office/drawing/2014/main" id="{D87827EB-31CD-45E8-BF5E-E4560AD06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88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38100</xdr:rowOff>
    </xdr:to>
    <xdr:pic>
      <xdr:nvPicPr>
        <xdr:cNvPr id="5686" name="Picture 9" descr=" ">
          <a:extLst>
            <a:ext uri="{FF2B5EF4-FFF2-40B4-BE49-F238E27FC236}">
              <a16:creationId xmlns:a16="http://schemas.microsoft.com/office/drawing/2014/main" id="{DFF3FDEC-D630-48BB-B8D8-9285E645E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88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38100</xdr:rowOff>
    </xdr:to>
    <xdr:pic>
      <xdr:nvPicPr>
        <xdr:cNvPr id="5687" name="Picture 10" descr=" ">
          <a:extLst>
            <a:ext uri="{FF2B5EF4-FFF2-40B4-BE49-F238E27FC236}">
              <a16:creationId xmlns:a16="http://schemas.microsoft.com/office/drawing/2014/main" id="{C7642139-4C89-413B-B374-8529642A9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88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38100</xdr:rowOff>
    </xdr:to>
    <xdr:pic>
      <xdr:nvPicPr>
        <xdr:cNvPr id="5688" name="Picture 11" descr=" ">
          <a:extLst>
            <a:ext uri="{FF2B5EF4-FFF2-40B4-BE49-F238E27FC236}">
              <a16:creationId xmlns:a16="http://schemas.microsoft.com/office/drawing/2014/main" id="{7E28F8FA-F41C-4564-BC3E-7E7FBF87F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88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38100</xdr:rowOff>
    </xdr:to>
    <xdr:pic>
      <xdr:nvPicPr>
        <xdr:cNvPr id="5689" name="Picture 12" descr=" ">
          <a:extLst>
            <a:ext uri="{FF2B5EF4-FFF2-40B4-BE49-F238E27FC236}">
              <a16:creationId xmlns:a16="http://schemas.microsoft.com/office/drawing/2014/main" id="{946F5398-30BD-4F8B-A00D-CC51A9BDE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88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38100</xdr:rowOff>
    </xdr:to>
    <xdr:pic>
      <xdr:nvPicPr>
        <xdr:cNvPr id="5690" name="Picture 7" descr=" ">
          <a:extLst>
            <a:ext uri="{FF2B5EF4-FFF2-40B4-BE49-F238E27FC236}">
              <a16:creationId xmlns:a16="http://schemas.microsoft.com/office/drawing/2014/main" id="{3D4E4265-CA23-4290-82D4-E8742FF7D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88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38100</xdr:rowOff>
    </xdr:to>
    <xdr:pic>
      <xdr:nvPicPr>
        <xdr:cNvPr id="5691" name="Picture 8" descr=" ">
          <a:extLst>
            <a:ext uri="{FF2B5EF4-FFF2-40B4-BE49-F238E27FC236}">
              <a16:creationId xmlns:a16="http://schemas.microsoft.com/office/drawing/2014/main" id="{04225BD7-C591-4C8A-9463-9C4476633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88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38100</xdr:rowOff>
    </xdr:to>
    <xdr:pic>
      <xdr:nvPicPr>
        <xdr:cNvPr id="5692" name="Picture 9" descr=" ">
          <a:extLst>
            <a:ext uri="{FF2B5EF4-FFF2-40B4-BE49-F238E27FC236}">
              <a16:creationId xmlns:a16="http://schemas.microsoft.com/office/drawing/2014/main" id="{76F2D3B1-610D-49B1-993C-4BEF0DC9E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88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38100</xdr:rowOff>
    </xdr:to>
    <xdr:pic>
      <xdr:nvPicPr>
        <xdr:cNvPr id="5693" name="Picture 10" descr=" ">
          <a:extLst>
            <a:ext uri="{FF2B5EF4-FFF2-40B4-BE49-F238E27FC236}">
              <a16:creationId xmlns:a16="http://schemas.microsoft.com/office/drawing/2014/main" id="{A2C9E80B-A250-4085-9062-19FDC5B75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88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38100</xdr:rowOff>
    </xdr:to>
    <xdr:pic>
      <xdr:nvPicPr>
        <xdr:cNvPr id="5694" name="Picture 11" descr=" ">
          <a:extLst>
            <a:ext uri="{FF2B5EF4-FFF2-40B4-BE49-F238E27FC236}">
              <a16:creationId xmlns:a16="http://schemas.microsoft.com/office/drawing/2014/main" id="{92D547B9-28BF-4E80-BCE6-DF2DFE22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88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38100</xdr:rowOff>
    </xdr:to>
    <xdr:pic>
      <xdr:nvPicPr>
        <xdr:cNvPr id="5695" name="Picture 12" descr=" ">
          <a:extLst>
            <a:ext uri="{FF2B5EF4-FFF2-40B4-BE49-F238E27FC236}">
              <a16:creationId xmlns:a16="http://schemas.microsoft.com/office/drawing/2014/main" id="{AB12B1C5-8816-4BEE-85E2-D0245D7FC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88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38100</xdr:rowOff>
    </xdr:to>
    <xdr:pic>
      <xdr:nvPicPr>
        <xdr:cNvPr id="5696" name="Picture 7" descr=" ">
          <a:extLst>
            <a:ext uri="{FF2B5EF4-FFF2-40B4-BE49-F238E27FC236}">
              <a16:creationId xmlns:a16="http://schemas.microsoft.com/office/drawing/2014/main" id="{F5389008-DB7F-4E59-9EB4-4B9C039B7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70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38100</xdr:rowOff>
    </xdr:to>
    <xdr:pic>
      <xdr:nvPicPr>
        <xdr:cNvPr id="5697" name="Picture 8" descr=" ">
          <a:extLst>
            <a:ext uri="{FF2B5EF4-FFF2-40B4-BE49-F238E27FC236}">
              <a16:creationId xmlns:a16="http://schemas.microsoft.com/office/drawing/2014/main" id="{60E46DDE-5B72-46AC-8354-E53D23D9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70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38100</xdr:rowOff>
    </xdr:to>
    <xdr:pic>
      <xdr:nvPicPr>
        <xdr:cNvPr id="5698" name="Picture 9" descr=" ">
          <a:extLst>
            <a:ext uri="{FF2B5EF4-FFF2-40B4-BE49-F238E27FC236}">
              <a16:creationId xmlns:a16="http://schemas.microsoft.com/office/drawing/2014/main" id="{459A0BEE-8AFB-4235-920A-9BE3AFD61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70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38100</xdr:rowOff>
    </xdr:to>
    <xdr:pic>
      <xdr:nvPicPr>
        <xdr:cNvPr id="5699" name="Picture 10" descr=" ">
          <a:extLst>
            <a:ext uri="{FF2B5EF4-FFF2-40B4-BE49-F238E27FC236}">
              <a16:creationId xmlns:a16="http://schemas.microsoft.com/office/drawing/2014/main" id="{AA94782A-AD10-4DE5-BD09-77CC2D86D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70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38100</xdr:rowOff>
    </xdr:to>
    <xdr:pic>
      <xdr:nvPicPr>
        <xdr:cNvPr id="5700" name="Picture 11" descr=" ">
          <a:extLst>
            <a:ext uri="{FF2B5EF4-FFF2-40B4-BE49-F238E27FC236}">
              <a16:creationId xmlns:a16="http://schemas.microsoft.com/office/drawing/2014/main" id="{76BEC1FA-6B8A-42A9-8A0B-E79C4322F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70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38100</xdr:rowOff>
    </xdr:to>
    <xdr:pic>
      <xdr:nvPicPr>
        <xdr:cNvPr id="5701" name="Picture 12" descr=" ">
          <a:extLst>
            <a:ext uri="{FF2B5EF4-FFF2-40B4-BE49-F238E27FC236}">
              <a16:creationId xmlns:a16="http://schemas.microsoft.com/office/drawing/2014/main" id="{0EE53395-B944-4F9B-A213-4C229B4EA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70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38100</xdr:rowOff>
    </xdr:to>
    <xdr:pic>
      <xdr:nvPicPr>
        <xdr:cNvPr id="5702" name="Picture 7" descr=" ">
          <a:extLst>
            <a:ext uri="{FF2B5EF4-FFF2-40B4-BE49-F238E27FC236}">
              <a16:creationId xmlns:a16="http://schemas.microsoft.com/office/drawing/2014/main" id="{1F12C98B-8798-46D5-A64D-C875978C0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70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38100</xdr:rowOff>
    </xdr:to>
    <xdr:pic>
      <xdr:nvPicPr>
        <xdr:cNvPr id="5703" name="Picture 8" descr=" ">
          <a:extLst>
            <a:ext uri="{FF2B5EF4-FFF2-40B4-BE49-F238E27FC236}">
              <a16:creationId xmlns:a16="http://schemas.microsoft.com/office/drawing/2014/main" id="{CD6C72E8-B1CF-4D3C-8D09-82628D2D3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70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38100</xdr:rowOff>
    </xdr:to>
    <xdr:pic>
      <xdr:nvPicPr>
        <xdr:cNvPr id="5704" name="Picture 9" descr=" ">
          <a:extLst>
            <a:ext uri="{FF2B5EF4-FFF2-40B4-BE49-F238E27FC236}">
              <a16:creationId xmlns:a16="http://schemas.microsoft.com/office/drawing/2014/main" id="{9F6909F9-65FD-46E3-8239-7646EE424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70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38100</xdr:rowOff>
    </xdr:to>
    <xdr:pic>
      <xdr:nvPicPr>
        <xdr:cNvPr id="5705" name="Picture 10" descr=" ">
          <a:extLst>
            <a:ext uri="{FF2B5EF4-FFF2-40B4-BE49-F238E27FC236}">
              <a16:creationId xmlns:a16="http://schemas.microsoft.com/office/drawing/2014/main" id="{FA16D694-B902-4CF3-85C3-CAAB32243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70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38100</xdr:rowOff>
    </xdr:to>
    <xdr:pic>
      <xdr:nvPicPr>
        <xdr:cNvPr id="5706" name="Picture 11" descr=" ">
          <a:extLst>
            <a:ext uri="{FF2B5EF4-FFF2-40B4-BE49-F238E27FC236}">
              <a16:creationId xmlns:a16="http://schemas.microsoft.com/office/drawing/2014/main" id="{80FB333E-B030-475B-97BF-742FF1F48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70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</xdr:colOff>
      <xdr:row>191</xdr:row>
      <xdr:rowOff>38100</xdr:rowOff>
    </xdr:to>
    <xdr:pic>
      <xdr:nvPicPr>
        <xdr:cNvPr id="5707" name="Picture 12" descr=" ">
          <a:extLst>
            <a:ext uri="{FF2B5EF4-FFF2-40B4-BE49-F238E27FC236}">
              <a16:creationId xmlns:a16="http://schemas.microsoft.com/office/drawing/2014/main" id="{960160E1-F7CE-477B-B96A-85A3C6B0F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709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9525</xdr:colOff>
      <xdr:row>192</xdr:row>
      <xdr:rowOff>38100</xdr:rowOff>
    </xdr:to>
    <xdr:pic>
      <xdr:nvPicPr>
        <xdr:cNvPr id="5708" name="Picture 7" descr=" ">
          <a:extLst>
            <a:ext uri="{FF2B5EF4-FFF2-40B4-BE49-F238E27FC236}">
              <a16:creationId xmlns:a16="http://schemas.microsoft.com/office/drawing/2014/main" id="{EB2E9BEB-2384-43D6-8953-1AD1C0911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53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9525</xdr:colOff>
      <xdr:row>192</xdr:row>
      <xdr:rowOff>38100</xdr:rowOff>
    </xdr:to>
    <xdr:pic>
      <xdr:nvPicPr>
        <xdr:cNvPr id="5709" name="Picture 8" descr=" ">
          <a:extLst>
            <a:ext uri="{FF2B5EF4-FFF2-40B4-BE49-F238E27FC236}">
              <a16:creationId xmlns:a16="http://schemas.microsoft.com/office/drawing/2014/main" id="{D97CA79B-A686-41E7-B0E4-19997A7AD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53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9525</xdr:colOff>
      <xdr:row>192</xdr:row>
      <xdr:rowOff>38100</xdr:rowOff>
    </xdr:to>
    <xdr:pic>
      <xdr:nvPicPr>
        <xdr:cNvPr id="5710" name="Picture 9" descr=" ">
          <a:extLst>
            <a:ext uri="{FF2B5EF4-FFF2-40B4-BE49-F238E27FC236}">
              <a16:creationId xmlns:a16="http://schemas.microsoft.com/office/drawing/2014/main" id="{2D099D9A-CB16-4B76-8581-C21A430B4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53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9525</xdr:colOff>
      <xdr:row>192</xdr:row>
      <xdr:rowOff>38100</xdr:rowOff>
    </xdr:to>
    <xdr:pic>
      <xdr:nvPicPr>
        <xdr:cNvPr id="5711" name="Picture 10" descr=" ">
          <a:extLst>
            <a:ext uri="{FF2B5EF4-FFF2-40B4-BE49-F238E27FC236}">
              <a16:creationId xmlns:a16="http://schemas.microsoft.com/office/drawing/2014/main" id="{235979B1-4553-408E-BBAA-7EEB18CA8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53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9525</xdr:colOff>
      <xdr:row>192</xdr:row>
      <xdr:rowOff>38100</xdr:rowOff>
    </xdr:to>
    <xdr:pic>
      <xdr:nvPicPr>
        <xdr:cNvPr id="5712" name="Picture 11" descr=" ">
          <a:extLst>
            <a:ext uri="{FF2B5EF4-FFF2-40B4-BE49-F238E27FC236}">
              <a16:creationId xmlns:a16="http://schemas.microsoft.com/office/drawing/2014/main" id="{DD3E2192-63BE-45BE-8B65-1DEF8828C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53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9525</xdr:colOff>
      <xdr:row>192</xdr:row>
      <xdr:rowOff>38100</xdr:rowOff>
    </xdr:to>
    <xdr:pic>
      <xdr:nvPicPr>
        <xdr:cNvPr id="5713" name="Picture 12" descr=" ">
          <a:extLst>
            <a:ext uri="{FF2B5EF4-FFF2-40B4-BE49-F238E27FC236}">
              <a16:creationId xmlns:a16="http://schemas.microsoft.com/office/drawing/2014/main" id="{D5B2F743-9624-4753-A30D-33129CF80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53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9525</xdr:colOff>
      <xdr:row>192</xdr:row>
      <xdr:rowOff>38100</xdr:rowOff>
    </xdr:to>
    <xdr:pic>
      <xdr:nvPicPr>
        <xdr:cNvPr id="5714" name="Picture 7" descr=" ">
          <a:extLst>
            <a:ext uri="{FF2B5EF4-FFF2-40B4-BE49-F238E27FC236}">
              <a16:creationId xmlns:a16="http://schemas.microsoft.com/office/drawing/2014/main" id="{2A40D08B-DB3B-419A-830C-B2AC0B4AE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53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9525</xdr:colOff>
      <xdr:row>192</xdr:row>
      <xdr:rowOff>38100</xdr:rowOff>
    </xdr:to>
    <xdr:pic>
      <xdr:nvPicPr>
        <xdr:cNvPr id="5715" name="Picture 8" descr=" ">
          <a:extLst>
            <a:ext uri="{FF2B5EF4-FFF2-40B4-BE49-F238E27FC236}">
              <a16:creationId xmlns:a16="http://schemas.microsoft.com/office/drawing/2014/main" id="{04D3E026-56CF-4560-9AAE-7D37826CC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53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9525</xdr:colOff>
      <xdr:row>192</xdr:row>
      <xdr:rowOff>38100</xdr:rowOff>
    </xdr:to>
    <xdr:pic>
      <xdr:nvPicPr>
        <xdr:cNvPr id="5716" name="Picture 9" descr=" ">
          <a:extLst>
            <a:ext uri="{FF2B5EF4-FFF2-40B4-BE49-F238E27FC236}">
              <a16:creationId xmlns:a16="http://schemas.microsoft.com/office/drawing/2014/main" id="{D6A069E4-BB3D-47E0-BB4B-958E3E683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53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9525</xdr:colOff>
      <xdr:row>192</xdr:row>
      <xdr:rowOff>38100</xdr:rowOff>
    </xdr:to>
    <xdr:pic>
      <xdr:nvPicPr>
        <xdr:cNvPr id="5717" name="Picture 10" descr=" ">
          <a:extLst>
            <a:ext uri="{FF2B5EF4-FFF2-40B4-BE49-F238E27FC236}">
              <a16:creationId xmlns:a16="http://schemas.microsoft.com/office/drawing/2014/main" id="{F4A258D2-0F6E-4FD0-80B1-CF036773F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53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9525</xdr:colOff>
      <xdr:row>192</xdr:row>
      <xdr:rowOff>38100</xdr:rowOff>
    </xdr:to>
    <xdr:pic>
      <xdr:nvPicPr>
        <xdr:cNvPr id="5718" name="Picture 11" descr=" ">
          <a:extLst>
            <a:ext uri="{FF2B5EF4-FFF2-40B4-BE49-F238E27FC236}">
              <a16:creationId xmlns:a16="http://schemas.microsoft.com/office/drawing/2014/main" id="{B437D486-7CD8-4B52-94DA-A18BFDA8E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53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9525</xdr:colOff>
      <xdr:row>192</xdr:row>
      <xdr:rowOff>38100</xdr:rowOff>
    </xdr:to>
    <xdr:pic>
      <xdr:nvPicPr>
        <xdr:cNvPr id="5719" name="Picture 12" descr=" ">
          <a:extLst>
            <a:ext uri="{FF2B5EF4-FFF2-40B4-BE49-F238E27FC236}">
              <a16:creationId xmlns:a16="http://schemas.microsoft.com/office/drawing/2014/main" id="{B471EED9-F8D3-4425-BD26-6AB8200A5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537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</xdr:colOff>
      <xdr:row>193</xdr:row>
      <xdr:rowOff>53340</xdr:rowOff>
    </xdr:to>
    <xdr:pic>
      <xdr:nvPicPr>
        <xdr:cNvPr id="5720" name="Picture 7" descr=" ">
          <a:extLst>
            <a:ext uri="{FF2B5EF4-FFF2-40B4-BE49-F238E27FC236}">
              <a16:creationId xmlns:a16="http://schemas.microsoft.com/office/drawing/2014/main" id="{64D59DC7-2CE8-42BD-824F-EB3A3465E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36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</xdr:colOff>
      <xdr:row>193</xdr:row>
      <xdr:rowOff>53340</xdr:rowOff>
    </xdr:to>
    <xdr:pic>
      <xdr:nvPicPr>
        <xdr:cNvPr id="5721" name="Picture 8" descr=" ">
          <a:extLst>
            <a:ext uri="{FF2B5EF4-FFF2-40B4-BE49-F238E27FC236}">
              <a16:creationId xmlns:a16="http://schemas.microsoft.com/office/drawing/2014/main" id="{BEDF3F59-8EB7-4A48-A2A9-F8DDEA946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36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</xdr:colOff>
      <xdr:row>193</xdr:row>
      <xdr:rowOff>53340</xdr:rowOff>
    </xdr:to>
    <xdr:pic>
      <xdr:nvPicPr>
        <xdr:cNvPr id="5722" name="Picture 9" descr=" ">
          <a:extLst>
            <a:ext uri="{FF2B5EF4-FFF2-40B4-BE49-F238E27FC236}">
              <a16:creationId xmlns:a16="http://schemas.microsoft.com/office/drawing/2014/main" id="{A179BA7A-68DD-4201-9C0C-B0C809483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36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</xdr:colOff>
      <xdr:row>193</xdr:row>
      <xdr:rowOff>53340</xdr:rowOff>
    </xdr:to>
    <xdr:pic>
      <xdr:nvPicPr>
        <xdr:cNvPr id="5723" name="Picture 10" descr=" ">
          <a:extLst>
            <a:ext uri="{FF2B5EF4-FFF2-40B4-BE49-F238E27FC236}">
              <a16:creationId xmlns:a16="http://schemas.microsoft.com/office/drawing/2014/main" id="{910D922E-30F9-4E58-B812-1118BFA79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36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</xdr:colOff>
      <xdr:row>193</xdr:row>
      <xdr:rowOff>53340</xdr:rowOff>
    </xdr:to>
    <xdr:pic>
      <xdr:nvPicPr>
        <xdr:cNvPr id="5724" name="Picture 11" descr=" ">
          <a:extLst>
            <a:ext uri="{FF2B5EF4-FFF2-40B4-BE49-F238E27FC236}">
              <a16:creationId xmlns:a16="http://schemas.microsoft.com/office/drawing/2014/main" id="{0946DE2F-3649-45AE-BF54-1E9DFA285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36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</xdr:colOff>
      <xdr:row>193</xdr:row>
      <xdr:rowOff>53340</xdr:rowOff>
    </xdr:to>
    <xdr:pic>
      <xdr:nvPicPr>
        <xdr:cNvPr id="5725" name="Picture 12" descr=" ">
          <a:extLst>
            <a:ext uri="{FF2B5EF4-FFF2-40B4-BE49-F238E27FC236}">
              <a16:creationId xmlns:a16="http://schemas.microsoft.com/office/drawing/2014/main" id="{3B344BE8-B218-45FF-B125-2CD5D626F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36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</xdr:colOff>
      <xdr:row>193</xdr:row>
      <xdr:rowOff>53340</xdr:rowOff>
    </xdr:to>
    <xdr:pic>
      <xdr:nvPicPr>
        <xdr:cNvPr id="5726" name="Picture 7" descr=" ">
          <a:extLst>
            <a:ext uri="{FF2B5EF4-FFF2-40B4-BE49-F238E27FC236}">
              <a16:creationId xmlns:a16="http://schemas.microsoft.com/office/drawing/2014/main" id="{A82B52D9-C7C1-452A-871C-0E7A89A04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36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</xdr:colOff>
      <xdr:row>193</xdr:row>
      <xdr:rowOff>53340</xdr:rowOff>
    </xdr:to>
    <xdr:pic>
      <xdr:nvPicPr>
        <xdr:cNvPr id="5727" name="Picture 8" descr=" ">
          <a:extLst>
            <a:ext uri="{FF2B5EF4-FFF2-40B4-BE49-F238E27FC236}">
              <a16:creationId xmlns:a16="http://schemas.microsoft.com/office/drawing/2014/main" id="{F7EA6688-B7C7-49D9-BE03-BFA8CB900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36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</xdr:colOff>
      <xdr:row>193</xdr:row>
      <xdr:rowOff>53340</xdr:rowOff>
    </xdr:to>
    <xdr:pic>
      <xdr:nvPicPr>
        <xdr:cNvPr id="5728" name="Picture 9" descr=" ">
          <a:extLst>
            <a:ext uri="{FF2B5EF4-FFF2-40B4-BE49-F238E27FC236}">
              <a16:creationId xmlns:a16="http://schemas.microsoft.com/office/drawing/2014/main" id="{BE28648F-9BED-4D3D-9231-9CBD8855A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36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</xdr:colOff>
      <xdr:row>193</xdr:row>
      <xdr:rowOff>53340</xdr:rowOff>
    </xdr:to>
    <xdr:pic>
      <xdr:nvPicPr>
        <xdr:cNvPr id="5729" name="Picture 10" descr=" ">
          <a:extLst>
            <a:ext uri="{FF2B5EF4-FFF2-40B4-BE49-F238E27FC236}">
              <a16:creationId xmlns:a16="http://schemas.microsoft.com/office/drawing/2014/main" id="{6FA1B2E4-2548-4B22-A0C9-F0B5F6781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36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</xdr:colOff>
      <xdr:row>193</xdr:row>
      <xdr:rowOff>53340</xdr:rowOff>
    </xdr:to>
    <xdr:pic>
      <xdr:nvPicPr>
        <xdr:cNvPr id="5730" name="Picture 11" descr=" ">
          <a:extLst>
            <a:ext uri="{FF2B5EF4-FFF2-40B4-BE49-F238E27FC236}">
              <a16:creationId xmlns:a16="http://schemas.microsoft.com/office/drawing/2014/main" id="{F16DD91F-F75D-4A3D-A3E2-2D470C1AB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36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</xdr:colOff>
      <xdr:row>193</xdr:row>
      <xdr:rowOff>53340</xdr:rowOff>
    </xdr:to>
    <xdr:pic>
      <xdr:nvPicPr>
        <xdr:cNvPr id="5731" name="Picture 12" descr=" ">
          <a:extLst>
            <a:ext uri="{FF2B5EF4-FFF2-40B4-BE49-F238E27FC236}">
              <a16:creationId xmlns:a16="http://schemas.microsoft.com/office/drawing/2014/main" id="{59D69965-7E0A-4F3F-B0C3-CD20E49A7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366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</xdr:colOff>
      <xdr:row>194</xdr:row>
      <xdr:rowOff>53340</xdr:rowOff>
    </xdr:to>
    <xdr:pic>
      <xdr:nvPicPr>
        <xdr:cNvPr id="5732" name="Picture 7" descr=" ">
          <a:extLst>
            <a:ext uri="{FF2B5EF4-FFF2-40B4-BE49-F238E27FC236}">
              <a16:creationId xmlns:a16="http://schemas.microsoft.com/office/drawing/2014/main" id="{B19087D5-C5C1-4052-8914-DD5F9A2C6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19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</xdr:colOff>
      <xdr:row>194</xdr:row>
      <xdr:rowOff>53340</xdr:rowOff>
    </xdr:to>
    <xdr:pic>
      <xdr:nvPicPr>
        <xdr:cNvPr id="5733" name="Picture 8" descr=" ">
          <a:extLst>
            <a:ext uri="{FF2B5EF4-FFF2-40B4-BE49-F238E27FC236}">
              <a16:creationId xmlns:a16="http://schemas.microsoft.com/office/drawing/2014/main" id="{A356AB76-ED5E-4FB4-914C-190A82B08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19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</xdr:colOff>
      <xdr:row>194</xdr:row>
      <xdr:rowOff>53340</xdr:rowOff>
    </xdr:to>
    <xdr:pic>
      <xdr:nvPicPr>
        <xdr:cNvPr id="5734" name="Picture 9" descr=" ">
          <a:extLst>
            <a:ext uri="{FF2B5EF4-FFF2-40B4-BE49-F238E27FC236}">
              <a16:creationId xmlns:a16="http://schemas.microsoft.com/office/drawing/2014/main" id="{57CDD192-31E6-4DE9-B464-669C5D980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19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</xdr:colOff>
      <xdr:row>194</xdr:row>
      <xdr:rowOff>53340</xdr:rowOff>
    </xdr:to>
    <xdr:pic>
      <xdr:nvPicPr>
        <xdr:cNvPr id="5735" name="Picture 10" descr=" ">
          <a:extLst>
            <a:ext uri="{FF2B5EF4-FFF2-40B4-BE49-F238E27FC236}">
              <a16:creationId xmlns:a16="http://schemas.microsoft.com/office/drawing/2014/main" id="{4171F4EF-B397-44C8-A119-A2FFEF180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19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</xdr:colOff>
      <xdr:row>194</xdr:row>
      <xdr:rowOff>53340</xdr:rowOff>
    </xdr:to>
    <xdr:pic>
      <xdr:nvPicPr>
        <xdr:cNvPr id="5736" name="Picture 11" descr=" ">
          <a:extLst>
            <a:ext uri="{FF2B5EF4-FFF2-40B4-BE49-F238E27FC236}">
              <a16:creationId xmlns:a16="http://schemas.microsoft.com/office/drawing/2014/main" id="{93DF25CE-51B5-4C4F-981F-23B566029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19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</xdr:colOff>
      <xdr:row>194</xdr:row>
      <xdr:rowOff>53340</xdr:rowOff>
    </xdr:to>
    <xdr:pic>
      <xdr:nvPicPr>
        <xdr:cNvPr id="5737" name="Picture 12" descr=" ">
          <a:extLst>
            <a:ext uri="{FF2B5EF4-FFF2-40B4-BE49-F238E27FC236}">
              <a16:creationId xmlns:a16="http://schemas.microsoft.com/office/drawing/2014/main" id="{AA0FB881-8908-446D-8D65-BE90D4076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19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</xdr:colOff>
      <xdr:row>194</xdr:row>
      <xdr:rowOff>53340</xdr:rowOff>
    </xdr:to>
    <xdr:pic>
      <xdr:nvPicPr>
        <xdr:cNvPr id="5738" name="Picture 7" descr=" ">
          <a:extLst>
            <a:ext uri="{FF2B5EF4-FFF2-40B4-BE49-F238E27FC236}">
              <a16:creationId xmlns:a16="http://schemas.microsoft.com/office/drawing/2014/main" id="{0D111624-020D-497C-8145-A62E5CB55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19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</xdr:colOff>
      <xdr:row>194</xdr:row>
      <xdr:rowOff>53340</xdr:rowOff>
    </xdr:to>
    <xdr:pic>
      <xdr:nvPicPr>
        <xdr:cNvPr id="5739" name="Picture 8" descr=" ">
          <a:extLst>
            <a:ext uri="{FF2B5EF4-FFF2-40B4-BE49-F238E27FC236}">
              <a16:creationId xmlns:a16="http://schemas.microsoft.com/office/drawing/2014/main" id="{9A6D2670-9A37-4B3B-9386-068D7DB28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19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</xdr:colOff>
      <xdr:row>194</xdr:row>
      <xdr:rowOff>53340</xdr:rowOff>
    </xdr:to>
    <xdr:pic>
      <xdr:nvPicPr>
        <xdr:cNvPr id="5740" name="Picture 9" descr=" ">
          <a:extLst>
            <a:ext uri="{FF2B5EF4-FFF2-40B4-BE49-F238E27FC236}">
              <a16:creationId xmlns:a16="http://schemas.microsoft.com/office/drawing/2014/main" id="{1F1F33CF-E31E-4965-A34D-F158C90AA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19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</xdr:colOff>
      <xdr:row>194</xdr:row>
      <xdr:rowOff>53340</xdr:rowOff>
    </xdr:to>
    <xdr:pic>
      <xdr:nvPicPr>
        <xdr:cNvPr id="5741" name="Picture 10" descr=" ">
          <a:extLst>
            <a:ext uri="{FF2B5EF4-FFF2-40B4-BE49-F238E27FC236}">
              <a16:creationId xmlns:a16="http://schemas.microsoft.com/office/drawing/2014/main" id="{381469EA-F4FD-4C43-AA80-D251F201A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19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</xdr:colOff>
      <xdr:row>194</xdr:row>
      <xdr:rowOff>53340</xdr:rowOff>
    </xdr:to>
    <xdr:pic>
      <xdr:nvPicPr>
        <xdr:cNvPr id="5742" name="Picture 11" descr=" ">
          <a:extLst>
            <a:ext uri="{FF2B5EF4-FFF2-40B4-BE49-F238E27FC236}">
              <a16:creationId xmlns:a16="http://schemas.microsoft.com/office/drawing/2014/main" id="{CDF5506F-80A4-49C0-B254-6E71A6931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19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</xdr:colOff>
      <xdr:row>194</xdr:row>
      <xdr:rowOff>53340</xdr:rowOff>
    </xdr:to>
    <xdr:pic>
      <xdr:nvPicPr>
        <xdr:cNvPr id="5743" name="Picture 12" descr=" ">
          <a:extLst>
            <a:ext uri="{FF2B5EF4-FFF2-40B4-BE49-F238E27FC236}">
              <a16:creationId xmlns:a16="http://schemas.microsoft.com/office/drawing/2014/main" id="{18E0BE07-5200-474B-A3AC-508DEE5A1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195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9525</xdr:colOff>
      <xdr:row>195</xdr:row>
      <xdr:rowOff>53340</xdr:rowOff>
    </xdr:to>
    <xdr:pic>
      <xdr:nvPicPr>
        <xdr:cNvPr id="5744" name="Picture 7" descr=" ">
          <a:extLst>
            <a:ext uri="{FF2B5EF4-FFF2-40B4-BE49-F238E27FC236}">
              <a16:creationId xmlns:a16="http://schemas.microsoft.com/office/drawing/2014/main" id="{5915A605-18C1-4C7E-8390-2538F6C95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02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9525</xdr:colOff>
      <xdr:row>195</xdr:row>
      <xdr:rowOff>53340</xdr:rowOff>
    </xdr:to>
    <xdr:pic>
      <xdr:nvPicPr>
        <xdr:cNvPr id="5745" name="Picture 8" descr=" ">
          <a:extLst>
            <a:ext uri="{FF2B5EF4-FFF2-40B4-BE49-F238E27FC236}">
              <a16:creationId xmlns:a16="http://schemas.microsoft.com/office/drawing/2014/main" id="{81990088-1BDC-4AD8-A6C9-047670BC4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02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9525</xdr:colOff>
      <xdr:row>195</xdr:row>
      <xdr:rowOff>53340</xdr:rowOff>
    </xdr:to>
    <xdr:pic>
      <xdr:nvPicPr>
        <xdr:cNvPr id="5746" name="Picture 9" descr=" ">
          <a:extLst>
            <a:ext uri="{FF2B5EF4-FFF2-40B4-BE49-F238E27FC236}">
              <a16:creationId xmlns:a16="http://schemas.microsoft.com/office/drawing/2014/main" id="{80FB118D-5B83-49BD-BF5A-678F70A1D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02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9525</xdr:colOff>
      <xdr:row>195</xdr:row>
      <xdr:rowOff>53340</xdr:rowOff>
    </xdr:to>
    <xdr:pic>
      <xdr:nvPicPr>
        <xdr:cNvPr id="5747" name="Picture 10" descr=" ">
          <a:extLst>
            <a:ext uri="{FF2B5EF4-FFF2-40B4-BE49-F238E27FC236}">
              <a16:creationId xmlns:a16="http://schemas.microsoft.com/office/drawing/2014/main" id="{F0340C30-40BF-497B-9F4E-FAD3DEC4F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02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9525</xdr:colOff>
      <xdr:row>195</xdr:row>
      <xdr:rowOff>53340</xdr:rowOff>
    </xdr:to>
    <xdr:pic>
      <xdr:nvPicPr>
        <xdr:cNvPr id="5748" name="Picture 11" descr=" ">
          <a:extLst>
            <a:ext uri="{FF2B5EF4-FFF2-40B4-BE49-F238E27FC236}">
              <a16:creationId xmlns:a16="http://schemas.microsoft.com/office/drawing/2014/main" id="{10AD26C0-2CA5-4899-938B-8D3894FA8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02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9525</xdr:colOff>
      <xdr:row>195</xdr:row>
      <xdr:rowOff>53340</xdr:rowOff>
    </xdr:to>
    <xdr:pic>
      <xdr:nvPicPr>
        <xdr:cNvPr id="5749" name="Picture 12" descr=" ">
          <a:extLst>
            <a:ext uri="{FF2B5EF4-FFF2-40B4-BE49-F238E27FC236}">
              <a16:creationId xmlns:a16="http://schemas.microsoft.com/office/drawing/2014/main" id="{899D42AC-57B2-4225-8214-B6107DF55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02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9525</xdr:colOff>
      <xdr:row>195</xdr:row>
      <xdr:rowOff>53340</xdr:rowOff>
    </xdr:to>
    <xdr:pic>
      <xdr:nvPicPr>
        <xdr:cNvPr id="5750" name="Picture 7" descr=" ">
          <a:extLst>
            <a:ext uri="{FF2B5EF4-FFF2-40B4-BE49-F238E27FC236}">
              <a16:creationId xmlns:a16="http://schemas.microsoft.com/office/drawing/2014/main" id="{62CD787C-04FF-4A9A-8356-998EA3055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02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9525</xdr:colOff>
      <xdr:row>195</xdr:row>
      <xdr:rowOff>53340</xdr:rowOff>
    </xdr:to>
    <xdr:pic>
      <xdr:nvPicPr>
        <xdr:cNvPr id="5751" name="Picture 8" descr=" ">
          <a:extLst>
            <a:ext uri="{FF2B5EF4-FFF2-40B4-BE49-F238E27FC236}">
              <a16:creationId xmlns:a16="http://schemas.microsoft.com/office/drawing/2014/main" id="{FB799DA4-B558-4B8D-B4D4-F1870B2A0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02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9525</xdr:colOff>
      <xdr:row>195</xdr:row>
      <xdr:rowOff>53340</xdr:rowOff>
    </xdr:to>
    <xdr:pic>
      <xdr:nvPicPr>
        <xdr:cNvPr id="5752" name="Picture 9" descr=" ">
          <a:extLst>
            <a:ext uri="{FF2B5EF4-FFF2-40B4-BE49-F238E27FC236}">
              <a16:creationId xmlns:a16="http://schemas.microsoft.com/office/drawing/2014/main" id="{D94E6BC0-4E57-461A-9E36-D8B945448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02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9525</xdr:colOff>
      <xdr:row>195</xdr:row>
      <xdr:rowOff>53340</xdr:rowOff>
    </xdr:to>
    <xdr:pic>
      <xdr:nvPicPr>
        <xdr:cNvPr id="5753" name="Picture 10" descr=" ">
          <a:extLst>
            <a:ext uri="{FF2B5EF4-FFF2-40B4-BE49-F238E27FC236}">
              <a16:creationId xmlns:a16="http://schemas.microsoft.com/office/drawing/2014/main" id="{52E4597E-93C9-4740-B577-1ECA94DEA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02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9525</xdr:colOff>
      <xdr:row>195</xdr:row>
      <xdr:rowOff>53340</xdr:rowOff>
    </xdr:to>
    <xdr:pic>
      <xdr:nvPicPr>
        <xdr:cNvPr id="5754" name="Picture 11" descr=" ">
          <a:extLst>
            <a:ext uri="{FF2B5EF4-FFF2-40B4-BE49-F238E27FC236}">
              <a16:creationId xmlns:a16="http://schemas.microsoft.com/office/drawing/2014/main" id="{2ED40050-78EF-4B02-8A77-2F222EA48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02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9525</xdr:colOff>
      <xdr:row>195</xdr:row>
      <xdr:rowOff>53340</xdr:rowOff>
    </xdr:to>
    <xdr:pic>
      <xdr:nvPicPr>
        <xdr:cNvPr id="5755" name="Picture 12" descr=" ">
          <a:extLst>
            <a:ext uri="{FF2B5EF4-FFF2-40B4-BE49-F238E27FC236}">
              <a16:creationId xmlns:a16="http://schemas.microsoft.com/office/drawing/2014/main" id="{CFA00869-1169-47E4-A5E7-75B70EC34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024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</xdr:colOff>
      <xdr:row>196</xdr:row>
      <xdr:rowOff>53340</xdr:rowOff>
    </xdr:to>
    <xdr:pic>
      <xdr:nvPicPr>
        <xdr:cNvPr id="5756" name="Picture 7" descr=" ">
          <a:extLst>
            <a:ext uri="{FF2B5EF4-FFF2-40B4-BE49-F238E27FC236}">
              <a16:creationId xmlns:a16="http://schemas.microsoft.com/office/drawing/2014/main" id="{426AADD9-2673-4998-AF09-974465228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85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</xdr:colOff>
      <xdr:row>196</xdr:row>
      <xdr:rowOff>53340</xdr:rowOff>
    </xdr:to>
    <xdr:pic>
      <xdr:nvPicPr>
        <xdr:cNvPr id="5757" name="Picture 8" descr=" ">
          <a:extLst>
            <a:ext uri="{FF2B5EF4-FFF2-40B4-BE49-F238E27FC236}">
              <a16:creationId xmlns:a16="http://schemas.microsoft.com/office/drawing/2014/main" id="{2B0E6BE9-01AC-4147-8D87-F82F5E2DE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85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</xdr:colOff>
      <xdr:row>196</xdr:row>
      <xdr:rowOff>53340</xdr:rowOff>
    </xdr:to>
    <xdr:pic>
      <xdr:nvPicPr>
        <xdr:cNvPr id="5758" name="Picture 9" descr=" ">
          <a:extLst>
            <a:ext uri="{FF2B5EF4-FFF2-40B4-BE49-F238E27FC236}">
              <a16:creationId xmlns:a16="http://schemas.microsoft.com/office/drawing/2014/main" id="{054DB0F2-EF24-4595-89A0-43D303C84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85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</xdr:colOff>
      <xdr:row>196</xdr:row>
      <xdr:rowOff>53340</xdr:rowOff>
    </xdr:to>
    <xdr:pic>
      <xdr:nvPicPr>
        <xdr:cNvPr id="5759" name="Picture 10" descr=" ">
          <a:extLst>
            <a:ext uri="{FF2B5EF4-FFF2-40B4-BE49-F238E27FC236}">
              <a16:creationId xmlns:a16="http://schemas.microsoft.com/office/drawing/2014/main" id="{8EA7DA6F-C900-4C15-A598-0CAF6AEEE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85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</xdr:colOff>
      <xdr:row>196</xdr:row>
      <xdr:rowOff>53340</xdr:rowOff>
    </xdr:to>
    <xdr:pic>
      <xdr:nvPicPr>
        <xdr:cNvPr id="5760" name="Picture 11" descr=" ">
          <a:extLst>
            <a:ext uri="{FF2B5EF4-FFF2-40B4-BE49-F238E27FC236}">
              <a16:creationId xmlns:a16="http://schemas.microsoft.com/office/drawing/2014/main" id="{93D4F82D-AE9A-45E3-8EB3-9AABAC1F3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85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</xdr:colOff>
      <xdr:row>196</xdr:row>
      <xdr:rowOff>53340</xdr:rowOff>
    </xdr:to>
    <xdr:pic>
      <xdr:nvPicPr>
        <xdr:cNvPr id="5761" name="Picture 12" descr=" ">
          <a:extLst>
            <a:ext uri="{FF2B5EF4-FFF2-40B4-BE49-F238E27FC236}">
              <a16:creationId xmlns:a16="http://schemas.microsoft.com/office/drawing/2014/main" id="{DF001126-1011-4184-B3C7-36C05790E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85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</xdr:colOff>
      <xdr:row>196</xdr:row>
      <xdr:rowOff>53340</xdr:rowOff>
    </xdr:to>
    <xdr:pic>
      <xdr:nvPicPr>
        <xdr:cNvPr id="5762" name="Picture 7" descr=" ">
          <a:extLst>
            <a:ext uri="{FF2B5EF4-FFF2-40B4-BE49-F238E27FC236}">
              <a16:creationId xmlns:a16="http://schemas.microsoft.com/office/drawing/2014/main" id="{172421EE-59CB-416F-91A6-FE5EE80A9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85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</xdr:colOff>
      <xdr:row>196</xdr:row>
      <xdr:rowOff>53340</xdr:rowOff>
    </xdr:to>
    <xdr:pic>
      <xdr:nvPicPr>
        <xdr:cNvPr id="5763" name="Picture 8" descr=" ">
          <a:extLst>
            <a:ext uri="{FF2B5EF4-FFF2-40B4-BE49-F238E27FC236}">
              <a16:creationId xmlns:a16="http://schemas.microsoft.com/office/drawing/2014/main" id="{72F152C8-02D7-4F43-A920-BE3893EFC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85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</xdr:colOff>
      <xdr:row>196</xdr:row>
      <xdr:rowOff>53340</xdr:rowOff>
    </xdr:to>
    <xdr:pic>
      <xdr:nvPicPr>
        <xdr:cNvPr id="5764" name="Picture 9" descr=" ">
          <a:extLst>
            <a:ext uri="{FF2B5EF4-FFF2-40B4-BE49-F238E27FC236}">
              <a16:creationId xmlns:a16="http://schemas.microsoft.com/office/drawing/2014/main" id="{2A89D66F-6004-4FB0-B072-8016A70E5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85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</xdr:colOff>
      <xdr:row>196</xdr:row>
      <xdr:rowOff>53340</xdr:rowOff>
    </xdr:to>
    <xdr:pic>
      <xdr:nvPicPr>
        <xdr:cNvPr id="5765" name="Picture 10" descr=" ">
          <a:extLst>
            <a:ext uri="{FF2B5EF4-FFF2-40B4-BE49-F238E27FC236}">
              <a16:creationId xmlns:a16="http://schemas.microsoft.com/office/drawing/2014/main" id="{929F6B18-96C1-4B16-B8A6-DB356A9AE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85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</xdr:colOff>
      <xdr:row>196</xdr:row>
      <xdr:rowOff>53340</xdr:rowOff>
    </xdr:to>
    <xdr:pic>
      <xdr:nvPicPr>
        <xdr:cNvPr id="5766" name="Picture 11" descr=" ">
          <a:extLst>
            <a:ext uri="{FF2B5EF4-FFF2-40B4-BE49-F238E27FC236}">
              <a16:creationId xmlns:a16="http://schemas.microsoft.com/office/drawing/2014/main" id="{AA158851-9E6C-46E9-9C88-BDEEAD2C4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85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</xdr:colOff>
      <xdr:row>196</xdr:row>
      <xdr:rowOff>53340</xdr:rowOff>
    </xdr:to>
    <xdr:pic>
      <xdr:nvPicPr>
        <xdr:cNvPr id="5767" name="Picture 12" descr=" ">
          <a:extLst>
            <a:ext uri="{FF2B5EF4-FFF2-40B4-BE49-F238E27FC236}">
              <a16:creationId xmlns:a16="http://schemas.microsoft.com/office/drawing/2014/main" id="{5D005FA6-A190-4915-A973-196D4716F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853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9525</xdr:colOff>
      <xdr:row>197</xdr:row>
      <xdr:rowOff>53340</xdr:rowOff>
    </xdr:to>
    <xdr:pic>
      <xdr:nvPicPr>
        <xdr:cNvPr id="5768" name="Picture 7" descr=" ">
          <a:extLst>
            <a:ext uri="{FF2B5EF4-FFF2-40B4-BE49-F238E27FC236}">
              <a16:creationId xmlns:a16="http://schemas.microsoft.com/office/drawing/2014/main" id="{EB53D86F-6662-4238-9E76-C2A19B911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68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9525</xdr:colOff>
      <xdr:row>197</xdr:row>
      <xdr:rowOff>53340</xdr:rowOff>
    </xdr:to>
    <xdr:pic>
      <xdr:nvPicPr>
        <xdr:cNvPr id="5769" name="Picture 8" descr=" ">
          <a:extLst>
            <a:ext uri="{FF2B5EF4-FFF2-40B4-BE49-F238E27FC236}">
              <a16:creationId xmlns:a16="http://schemas.microsoft.com/office/drawing/2014/main" id="{CDDF2EB1-E71D-4A80-B984-3CE7D53C2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68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9525</xdr:colOff>
      <xdr:row>197</xdr:row>
      <xdr:rowOff>53340</xdr:rowOff>
    </xdr:to>
    <xdr:pic>
      <xdr:nvPicPr>
        <xdr:cNvPr id="5770" name="Picture 9" descr=" ">
          <a:extLst>
            <a:ext uri="{FF2B5EF4-FFF2-40B4-BE49-F238E27FC236}">
              <a16:creationId xmlns:a16="http://schemas.microsoft.com/office/drawing/2014/main" id="{7A8928E6-EDA4-4743-AC1E-3F84DDB56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68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9525</xdr:colOff>
      <xdr:row>197</xdr:row>
      <xdr:rowOff>53340</xdr:rowOff>
    </xdr:to>
    <xdr:pic>
      <xdr:nvPicPr>
        <xdr:cNvPr id="5771" name="Picture 10" descr=" ">
          <a:extLst>
            <a:ext uri="{FF2B5EF4-FFF2-40B4-BE49-F238E27FC236}">
              <a16:creationId xmlns:a16="http://schemas.microsoft.com/office/drawing/2014/main" id="{3ECCC043-194A-4B92-8A98-FBC46B496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68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9525</xdr:colOff>
      <xdr:row>197</xdr:row>
      <xdr:rowOff>53340</xdr:rowOff>
    </xdr:to>
    <xdr:pic>
      <xdr:nvPicPr>
        <xdr:cNvPr id="5772" name="Picture 11" descr=" ">
          <a:extLst>
            <a:ext uri="{FF2B5EF4-FFF2-40B4-BE49-F238E27FC236}">
              <a16:creationId xmlns:a16="http://schemas.microsoft.com/office/drawing/2014/main" id="{65864E52-E359-44A6-B65B-996498883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68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9525</xdr:colOff>
      <xdr:row>197</xdr:row>
      <xdr:rowOff>53340</xdr:rowOff>
    </xdr:to>
    <xdr:pic>
      <xdr:nvPicPr>
        <xdr:cNvPr id="5773" name="Picture 12" descr=" ">
          <a:extLst>
            <a:ext uri="{FF2B5EF4-FFF2-40B4-BE49-F238E27FC236}">
              <a16:creationId xmlns:a16="http://schemas.microsoft.com/office/drawing/2014/main" id="{68E024E7-3A60-42B2-983C-8FF00CC2D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68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9525</xdr:colOff>
      <xdr:row>197</xdr:row>
      <xdr:rowOff>53340</xdr:rowOff>
    </xdr:to>
    <xdr:pic>
      <xdr:nvPicPr>
        <xdr:cNvPr id="5774" name="Picture 7" descr=" ">
          <a:extLst>
            <a:ext uri="{FF2B5EF4-FFF2-40B4-BE49-F238E27FC236}">
              <a16:creationId xmlns:a16="http://schemas.microsoft.com/office/drawing/2014/main" id="{C5BDB2D7-6CD2-422D-930B-D6380726C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68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9525</xdr:colOff>
      <xdr:row>197</xdr:row>
      <xdr:rowOff>53340</xdr:rowOff>
    </xdr:to>
    <xdr:pic>
      <xdr:nvPicPr>
        <xdr:cNvPr id="5775" name="Picture 8" descr=" ">
          <a:extLst>
            <a:ext uri="{FF2B5EF4-FFF2-40B4-BE49-F238E27FC236}">
              <a16:creationId xmlns:a16="http://schemas.microsoft.com/office/drawing/2014/main" id="{23131791-9463-4EF8-ACD4-2000F74FE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68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9525</xdr:colOff>
      <xdr:row>197</xdr:row>
      <xdr:rowOff>53340</xdr:rowOff>
    </xdr:to>
    <xdr:pic>
      <xdr:nvPicPr>
        <xdr:cNvPr id="5776" name="Picture 9" descr=" ">
          <a:extLst>
            <a:ext uri="{FF2B5EF4-FFF2-40B4-BE49-F238E27FC236}">
              <a16:creationId xmlns:a16="http://schemas.microsoft.com/office/drawing/2014/main" id="{F6F566D5-F367-4BFE-B4EB-BCF3B24C1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68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9525</xdr:colOff>
      <xdr:row>197</xdr:row>
      <xdr:rowOff>53340</xdr:rowOff>
    </xdr:to>
    <xdr:pic>
      <xdr:nvPicPr>
        <xdr:cNvPr id="5777" name="Picture 10" descr=" ">
          <a:extLst>
            <a:ext uri="{FF2B5EF4-FFF2-40B4-BE49-F238E27FC236}">
              <a16:creationId xmlns:a16="http://schemas.microsoft.com/office/drawing/2014/main" id="{CCA983D3-EF12-43F6-AEF5-1FA313A0E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68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9525</xdr:colOff>
      <xdr:row>197</xdr:row>
      <xdr:rowOff>53340</xdr:rowOff>
    </xdr:to>
    <xdr:pic>
      <xdr:nvPicPr>
        <xdr:cNvPr id="5778" name="Picture 11" descr=" ">
          <a:extLst>
            <a:ext uri="{FF2B5EF4-FFF2-40B4-BE49-F238E27FC236}">
              <a16:creationId xmlns:a16="http://schemas.microsoft.com/office/drawing/2014/main" id="{D8AD5389-B69B-4DF8-8D28-66745D6B2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68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9525</xdr:colOff>
      <xdr:row>197</xdr:row>
      <xdr:rowOff>53340</xdr:rowOff>
    </xdr:to>
    <xdr:pic>
      <xdr:nvPicPr>
        <xdr:cNvPr id="5779" name="Picture 12" descr=" ">
          <a:extLst>
            <a:ext uri="{FF2B5EF4-FFF2-40B4-BE49-F238E27FC236}">
              <a16:creationId xmlns:a16="http://schemas.microsoft.com/office/drawing/2014/main" id="{849B298A-70E0-4BD7-9E7D-B01970B55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6818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</xdr:colOff>
      <xdr:row>198</xdr:row>
      <xdr:rowOff>53340</xdr:rowOff>
    </xdr:to>
    <xdr:pic>
      <xdr:nvPicPr>
        <xdr:cNvPr id="5780" name="Picture 7" descr=" ">
          <a:extLst>
            <a:ext uri="{FF2B5EF4-FFF2-40B4-BE49-F238E27FC236}">
              <a16:creationId xmlns:a16="http://schemas.microsoft.com/office/drawing/2014/main" id="{FD670F36-4660-4814-904E-B12C53B1D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51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</xdr:colOff>
      <xdr:row>198</xdr:row>
      <xdr:rowOff>53340</xdr:rowOff>
    </xdr:to>
    <xdr:pic>
      <xdr:nvPicPr>
        <xdr:cNvPr id="5781" name="Picture 8" descr=" ">
          <a:extLst>
            <a:ext uri="{FF2B5EF4-FFF2-40B4-BE49-F238E27FC236}">
              <a16:creationId xmlns:a16="http://schemas.microsoft.com/office/drawing/2014/main" id="{16341DD3-F09C-4F19-90EE-96CD30C5E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51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</xdr:colOff>
      <xdr:row>198</xdr:row>
      <xdr:rowOff>53340</xdr:rowOff>
    </xdr:to>
    <xdr:pic>
      <xdr:nvPicPr>
        <xdr:cNvPr id="5782" name="Picture 9" descr=" ">
          <a:extLst>
            <a:ext uri="{FF2B5EF4-FFF2-40B4-BE49-F238E27FC236}">
              <a16:creationId xmlns:a16="http://schemas.microsoft.com/office/drawing/2014/main" id="{6C94ED1B-0FA7-4FF5-8E1D-CEF590D32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51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</xdr:colOff>
      <xdr:row>198</xdr:row>
      <xdr:rowOff>53340</xdr:rowOff>
    </xdr:to>
    <xdr:pic>
      <xdr:nvPicPr>
        <xdr:cNvPr id="5783" name="Picture 10" descr=" ">
          <a:extLst>
            <a:ext uri="{FF2B5EF4-FFF2-40B4-BE49-F238E27FC236}">
              <a16:creationId xmlns:a16="http://schemas.microsoft.com/office/drawing/2014/main" id="{E76E1A4F-61B6-4C4F-869F-B0CB7A600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51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</xdr:colOff>
      <xdr:row>198</xdr:row>
      <xdr:rowOff>53340</xdr:rowOff>
    </xdr:to>
    <xdr:pic>
      <xdr:nvPicPr>
        <xdr:cNvPr id="5784" name="Picture 11" descr=" ">
          <a:extLst>
            <a:ext uri="{FF2B5EF4-FFF2-40B4-BE49-F238E27FC236}">
              <a16:creationId xmlns:a16="http://schemas.microsoft.com/office/drawing/2014/main" id="{B52C8D29-96B8-48CB-AB84-661F8D4FE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51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</xdr:colOff>
      <xdr:row>198</xdr:row>
      <xdr:rowOff>53340</xdr:rowOff>
    </xdr:to>
    <xdr:pic>
      <xdr:nvPicPr>
        <xdr:cNvPr id="5785" name="Picture 12" descr=" ">
          <a:extLst>
            <a:ext uri="{FF2B5EF4-FFF2-40B4-BE49-F238E27FC236}">
              <a16:creationId xmlns:a16="http://schemas.microsoft.com/office/drawing/2014/main" id="{658016C1-3F7D-4FD4-BB12-4BF67381F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51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</xdr:colOff>
      <xdr:row>198</xdr:row>
      <xdr:rowOff>53340</xdr:rowOff>
    </xdr:to>
    <xdr:pic>
      <xdr:nvPicPr>
        <xdr:cNvPr id="5786" name="Picture 7" descr=" ">
          <a:extLst>
            <a:ext uri="{FF2B5EF4-FFF2-40B4-BE49-F238E27FC236}">
              <a16:creationId xmlns:a16="http://schemas.microsoft.com/office/drawing/2014/main" id="{792BD676-61E8-4F53-8A1D-E380C0825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51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</xdr:colOff>
      <xdr:row>198</xdr:row>
      <xdr:rowOff>53340</xdr:rowOff>
    </xdr:to>
    <xdr:pic>
      <xdr:nvPicPr>
        <xdr:cNvPr id="5787" name="Picture 8" descr=" ">
          <a:extLst>
            <a:ext uri="{FF2B5EF4-FFF2-40B4-BE49-F238E27FC236}">
              <a16:creationId xmlns:a16="http://schemas.microsoft.com/office/drawing/2014/main" id="{3B83A8DF-5170-49AA-BD6F-24BDB5D57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51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</xdr:colOff>
      <xdr:row>198</xdr:row>
      <xdr:rowOff>53340</xdr:rowOff>
    </xdr:to>
    <xdr:pic>
      <xdr:nvPicPr>
        <xdr:cNvPr id="5788" name="Picture 9" descr=" ">
          <a:extLst>
            <a:ext uri="{FF2B5EF4-FFF2-40B4-BE49-F238E27FC236}">
              <a16:creationId xmlns:a16="http://schemas.microsoft.com/office/drawing/2014/main" id="{ECBC2B0C-1F07-4E92-B517-951009686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51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</xdr:colOff>
      <xdr:row>198</xdr:row>
      <xdr:rowOff>53340</xdr:rowOff>
    </xdr:to>
    <xdr:pic>
      <xdr:nvPicPr>
        <xdr:cNvPr id="5789" name="Picture 10" descr=" ">
          <a:extLst>
            <a:ext uri="{FF2B5EF4-FFF2-40B4-BE49-F238E27FC236}">
              <a16:creationId xmlns:a16="http://schemas.microsoft.com/office/drawing/2014/main" id="{51E49AB7-C1F2-4250-98A0-BD3AD18B7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51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</xdr:colOff>
      <xdr:row>198</xdr:row>
      <xdr:rowOff>53340</xdr:rowOff>
    </xdr:to>
    <xdr:pic>
      <xdr:nvPicPr>
        <xdr:cNvPr id="5790" name="Picture 11" descr=" ">
          <a:extLst>
            <a:ext uri="{FF2B5EF4-FFF2-40B4-BE49-F238E27FC236}">
              <a16:creationId xmlns:a16="http://schemas.microsoft.com/office/drawing/2014/main" id="{025BDD75-FE07-497F-AEB1-F7D088058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51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</xdr:colOff>
      <xdr:row>198</xdr:row>
      <xdr:rowOff>53340</xdr:rowOff>
    </xdr:to>
    <xdr:pic>
      <xdr:nvPicPr>
        <xdr:cNvPr id="5791" name="Picture 12" descr=" ">
          <a:extLst>
            <a:ext uri="{FF2B5EF4-FFF2-40B4-BE49-F238E27FC236}">
              <a16:creationId xmlns:a16="http://schemas.microsoft.com/office/drawing/2014/main" id="{6E3FA851-8EA1-4729-9649-F916B13F7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510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</xdr:colOff>
      <xdr:row>199</xdr:row>
      <xdr:rowOff>53340</xdr:rowOff>
    </xdr:to>
    <xdr:pic>
      <xdr:nvPicPr>
        <xdr:cNvPr id="5792" name="Picture 7" descr=" ">
          <a:extLst>
            <a:ext uri="{FF2B5EF4-FFF2-40B4-BE49-F238E27FC236}">
              <a16:creationId xmlns:a16="http://schemas.microsoft.com/office/drawing/2014/main" id="{3D02B662-0C71-4FA4-8089-2E1107455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33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</xdr:colOff>
      <xdr:row>199</xdr:row>
      <xdr:rowOff>53340</xdr:rowOff>
    </xdr:to>
    <xdr:pic>
      <xdr:nvPicPr>
        <xdr:cNvPr id="5793" name="Picture 8" descr=" ">
          <a:extLst>
            <a:ext uri="{FF2B5EF4-FFF2-40B4-BE49-F238E27FC236}">
              <a16:creationId xmlns:a16="http://schemas.microsoft.com/office/drawing/2014/main" id="{0A5FEB7D-EFBD-45A4-914C-A97EF2EB5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33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</xdr:colOff>
      <xdr:row>199</xdr:row>
      <xdr:rowOff>53340</xdr:rowOff>
    </xdr:to>
    <xdr:pic>
      <xdr:nvPicPr>
        <xdr:cNvPr id="5794" name="Picture 9" descr=" ">
          <a:extLst>
            <a:ext uri="{FF2B5EF4-FFF2-40B4-BE49-F238E27FC236}">
              <a16:creationId xmlns:a16="http://schemas.microsoft.com/office/drawing/2014/main" id="{435D6FC5-05F9-4EC6-AC81-61468FC69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33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</xdr:colOff>
      <xdr:row>199</xdr:row>
      <xdr:rowOff>53340</xdr:rowOff>
    </xdr:to>
    <xdr:pic>
      <xdr:nvPicPr>
        <xdr:cNvPr id="5795" name="Picture 10" descr=" ">
          <a:extLst>
            <a:ext uri="{FF2B5EF4-FFF2-40B4-BE49-F238E27FC236}">
              <a16:creationId xmlns:a16="http://schemas.microsoft.com/office/drawing/2014/main" id="{F76028B8-E606-4518-89AD-51F542878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33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</xdr:colOff>
      <xdr:row>199</xdr:row>
      <xdr:rowOff>53340</xdr:rowOff>
    </xdr:to>
    <xdr:pic>
      <xdr:nvPicPr>
        <xdr:cNvPr id="5796" name="Picture 11" descr=" ">
          <a:extLst>
            <a:ext uri="{FF2B5EF4-FFF2-40B4-BE49-F238E27FC236}">
              <a16:creationId xmlns:a16="http://schemas.microsoft.com/office/drawing/2014/main" id="{1A04A965-6562-4350-9C71-D17579AAB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33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</xdr:colOff>
      <xdr:row>199</xdr:row>
      <xdr:rowOff>53340</xdr:rowOff>
    </xdr:to>
    <xdr:pic>
      <xdr:nvPicPr>
        <xdr:cNvPr id="5797" name="Picture 12" descr=" ">
          <a:extLst>
            <a:ext uri="{FF2B5EF4-FFF2-40B4-BE49-F238E27FC236}">
              <a16:creationId xmlns:a16="http://schemas.microsoft.com/office/drawing/2014/main" id="{620FC8B4-F64F-4236-AEC5-478255A7B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33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</xdr:colOff>
      <xdr:row>199</xdr:row>
      <xdr:rowOff>53340</xdr:rowOff>
    </xdr:to>
    <xdr:pic>
      <xdr:nvPicPr>
        <xdr:cNvPr id="5798" name="Picture 7" descr=" ">
          <a:extLst>
            <a:ext uri="{FF2B5EF4-FFF2-40B4-BE49-F238E27FC236}">
              <a16:creationId xmlns:a16="http://schemas.microsoft.com/office/drawing/2014/main" id="{48EF1E37-0D1B-49FA-9C40-D9595B7BA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33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</xdr:colOff>
      <xdr:row>199</xdr:row>
      <xdr:rowOff>53340</xdr:rowOff>
    </xdr:to>
    <xdr:pic>
      <xdr:nvPicPr>
        <xdr:cNvPr id="5799" name="Picture 8" descr=" ">
          <a:extLst>
            <a:ext uri="{FF2B5EF4-FFF2-40B4-BE49-F238E27FC236}">
              <a16:creationId xmlns:a16="http://schemas.microsoft.com/office/drawing/2014/main" id="{BC21EA02-8196-43BD-97A0-C847F9944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33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</xdr:colOff>
      <xdr:row>199</xdr:row>
      <xdr:rowOff>53340</xdr:rowOff>
    </xdr:to>
    <xdr:pic>
      <xdr:nvPicPr>
        <xdr:cNvPr id="5800" name="Picture 9" descr=" ">
          <a:extLst>
            <a:ext uri="{FF2B5EF4-FFF2-40B4-BE49-F238E27FC236}">
              <a16:creationId xmlns:a16="http://schemas.microsoft.com/office/drawing/2014/main" id="{403E1F33-76BA-4198-B65A-98DBAF431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33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</xdr:colOff>
      <xdr:row>199</xdr:row>
      <xdr:rowOff>53340</xdr:rowOff>
    </xdr:to>
    <xdr:pic>
      <xdr:nvPicPr>
        <xdr:cNvPr id="5801" name="Picture 10" descr=" ">
          <a:extLst>
            <a:ext uri="{FF2B5EF4-FFF2-40B4-BE49-F238E27FC236}">
              <a16:creationId xmlns:a16="http://schemas.microsoft.com/office/drawing/2014/main" id="{A54F5ED1-24C4-45EA-A147-54411C5BA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33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</xdr:colOff>
      <xdr:row>199</xdr:row>
      <xdr:rowOff>53340</xdr:rowOff>
    </xdr:to>
    <xdr:pic>
      <xdr:nvPicPr>
        <xdr:cNvPr id="5802" name="Picture 11" descr=" ">
          <a:extLst>
            <a:ext uri="{FF2B5EF4-FFF2-40B4-BE49-F238E27FC236}">
              <a16:creationId xmlns:a16="http://schemas.microsoft.com/office/drawing/2014/main" id="{EB12BFF0-D2E6-447F-A4FF-231518D65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33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</xdr:colOff>
      <xdr:row>199</xdr:row>
      <xdr:rowOff>53340</xdr:rowOff>
    </xdr:to>
    <xdr:pic>
      <xdr:nvPicPr>
        <xdr:cNvPr id="5803" name="Picture 12" descr=" ">
          <a:extLst>
            <a:ext uri="{FF2B5EF4-FFF2-40B4-BE49-F238E27FC236}">
              <a16:creationId xmlns:a16="http://schemas.microsoft.com/office/drawing/2014/main" id="{30E508D9-8D42-4D80-B28F-E1C99886E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3339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</xdr:colOff>
      <xdr:row>200</xdr:row>
      <xdr:rowOff>53340</xdr:rowOff>
    </xdr:to>
    <xdr:pic>
      <xdr:nvPicPr>
        <xdr:cNvPr id="5804" name="Picture 7" descr=" ">
          <a:extLst>
            <a:ext uri="{FF2B5EF4-FFF2-40B4-BE49-F238E27FC236}">
              <a16:creationId xmlns:a16="http://schemas.microsoft.com/office/drawing/2014/main" id="{1ECE23F7-DFEC-4616-9AB9-C0D7118F5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16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</xdr:colOff>
      <xdr:row>200</xdr:row>
      <xdr:rowOff>53340</xdr:rowOff>
    </xdr:to>
    <xdr:pic>
      <xdr:nvPicPr>
        <xdr:cNvPr id="5805" name="Picture 8" descr=" ">
          <a:extLst>
            <a:ext uri="{FF2B5EF4-FFF2-40B4-BE49-F238E27FC236}">
              <a16:creationId xmlns:a16="http://schemas.microsoft.com/office/drawing/2014/main" id="{3F6D3748-95E3-416F-BAF8-33D7274C7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16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</xdr:colOff>
      <xdr:row>200</xdr:row>
      <xdr:rowOff>53340</xdr:rowOff>
    </xdr:to>
    <xdr:pic>
      <xdr:nvPicPr>
        <xdr:cNvPr id="5806" name="Picture 9" descr=" ">
          <a:extLst>
            <a:ext uri="{FF2B5EF4-FFF2-40B4-BE49-F238E27FC236}">
              <a16:creationId xmlns:a16="http://schemas.microsoft.com/office/drawing/2014/main" id="{F8942F1A-1AC7-44EA-B996-F992CA899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16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</xdr:colOff>
      <xdr:row>200</xdr:row>
      <xdr:rowOff>53340</xdr:rowOff>
    </xdr:to>
    <xdr:pic>
      <xdr:nvPicPr>
        <xdr:cNvPr id="5807" name="Picture 10" descr=" ">
          <a:extLst>
            <a:ext uri="{FF2B5EF4-FFF2-40B4-BE49-F238E27FC236}">
              <a16:creationId xmlns:a16="http://schemas.microsoft.com/office/drawing/2014/main" id="{5F448073-A802-4A97-B583-4CF2E3371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16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</xdr:colOff>
      <xdr:row>200</xdr:row>
      <xdr:rowOff>53340</xdr:rowOff>
    </xdr:to>
    <xdr:pic>
      <xdr:nvPicPr>
        <xdr:cNvPr id="5808" name="Picture 11" descr=" ">
          <a:extLst>
            <a:ext uri="{FF2B5EF4-FFF2-40B4-BE49-F238E27FC236}">
              <a16:creationId xmlns:a16="http://schemas.microsoft.com/office/drawing/2014/main" id="{6BF38DF6-24E5-49BD-BD39-22DD43A2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16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</xdr:colOff>
      <xdr:row>200</xdr:row>
      <xdr:rowOff>53340</xdr:rowOff>
    </xdr:to>
    <xdr:pic>
      <xdr:nvPicPr>
        <xdr:cNvPr id="5809" name="Picture 12" descr=" ">
          <a:extLst>
            <a:ext uri="{FF2B5EF4-FFF2-40B4-BE49-F238E27FC236}">
              <a16:creationId xmlns:a16="http://schemas.microsoft.com/office/drawing/2014/main" id="{B8979AF0-FCE5-4359-A1F1-F818CBC5E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16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</xdr:colOff>
      <xdr:row>200</xdr:row>
      <xdr:rowOff>53340</xdr:rowOff>
    </xdr:to>
    <xdr:pic>
      <xdr:nvPicPr>
        <xdr:cNvPr id="5810" name="Picture 7" descr=" ">
          <a:extLst>
            <a:ext uri="{FF2B5EF4-FFF2-40B4-BE49-F238E27FC236}">
              <a16:creationId xmlns:a16="http://schemas.microsoft.com/office/drawing/2014/main" id="{6876ECFB-3FE0-4A0A-B1B5-B9203C416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16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</xdr:colOff>
      <xdr:row>200</xdr:row>
      <xdr:rowOff>53340</xdr:rowOff>
    </xdr:to>
    <xdr:pic>
      <xdr:nvPicPr>
        <xdr:cNvPr id="5811" name="Picture 8" descr=" ">
          <a:extLst>
            <a:ext uri="{FF2B5EF4-FFF2-40B4-BE49-F238E27FC236}">
              <a16:creationId xmlns:a16="http://schemas.microsoft.com/office/drawing/2014/main" id="{AEFDADD2-127A-4E90-ACB7-AC92B2AA7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16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</xdr:colOff>
      <xdr:row>200</xdr:row>
      <xdr:rowOff>53340</xdr:rowOff>
    </xdr:to>
    <xdr:pic>
      <xdr:nvPicPr>
        <xdr:cNvPr id="5812" name="Picture 9" descr=" ">
          <a:extLst>
            <a:ext uri="{FF2B5EF4-FFF2-40B4-BE49-F238E27FC236}">
              <a16:creationId xmlns:a16="http://schemas.microsoft.com/office/drawing/2014/main" id="{646C78A5-7DD2-4328-9517-8B857281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16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</xdr:colOff>
      <xdr:row>200</xdr:row>
      <xdr:rowOff>53340</xdr:rowOff>
    </xdr:to>
    <xdr:pic>
      <xdr:nvPicPr>
        <xdr:cNvPr id="5813" name="Picture 10" descr=" ">
          <a:extLst>
            <a:ext uri="{FF2B5EF4-FFF2-40B4-BE49-F238E27FC236}">
              <a16:creationId xmlns:a16="http://schemas.microsoft.com/office/drawing/2014/main" id="{166CB292-C5E0-4211-A68C-B803E09D9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16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</xdr:colOff>
      <xdr:row>200</xdr:row>
      <xdr:rowOff>53340</xdr:rowOff>
    </xdr:to>
    <xdr:pic>
      <xdr:nvPicPr>
        <xdr:cNvPr id="5814" name="Picture 11" descr=" ">
          <a:extLst>
            <a:ext uri="{FF2B5EF4-FFF2-40B4-BE49-F238E27FC236}">
              <a16:creationId xmlns:a16="http://schemas.microsoft.com/office/drawing/2014/main" id="{FB715716-4674-43CD-AF2A-91AB18EFD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16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</xdr:colOff>
      <xdr:row>200</xdr:row>
      <xdr:rowOff>53340</xdr:rowOff>
    </xdr:to>
    <xdr:pic>
      <xdr:nvPicPr>
        <xdr:cNvPr id="5815" name="Picture 12" descr=" ">
          <a:extLst>
            <a:ext uri="{FF2B5EF4-FFF2-40B4-BE49-F238E27FC236}">
              <a16:creationId xmlns:a16="http://schemas.microsoft.com/office/drawing/2014/main" id="{568C8FB2-0F6C-45DE-9777-B592B37F5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5168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9525</xdr:colOff>
      <xdr:row>201</xdr:row>
      <xdr:rowOff>53340</xdr:rowOff>
    </xdr:to>
    <xdr:pic>
      <xdr:nvPicPr>
        <xdr:cNvPr id="5816" name="Picture 7" descr=" ">
          <a:extLst>
            <a:ext uri="{FF2B5EF4-FFF2-40B4-BE49-F238E27FC236}">
              <a16:creationId xmlns:a16="http://schemas.microsoft.com/office/drawing/2014/main" id="{B1AA6FEF-A00E-473D-93CB-5551BC496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99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9525</xdr:colOff>
      <xdr:row>201</xdr:row>
      <xdr:rowOff>53340</xdr:rowOff>
    </xdr:to>
    <xdr:pic>
      <xdr:nvPicPr>
        <xdr:cNvPr id="5817" name="Picture 8" descr=" ">
          <a:extLst>
            <a:ext uri="{FF2B5EF4-FFF2-40B4-BE49-F238E27FC236}">
              <a16:creationId xmlns:a16="http://schemas.microsoft.com/office/drawing/2014/main" id="{EECA7518-9536-413A-AD44-74830968B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99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9525</xdr:colOff>
      <xdr:row>201</xdr:row>
      <xdr:rowOff>53340</xdr:rowOff>
    </xdr:to>
    <xdr:pic>
      <xdr:nvPicPr>
        <xdr:cNvPr id="5818" name="Picture 9" descr=" ">
          <a:extLst>
            <a:ext uri="{FF2B5EF4-FFF2-40B4-BE49-F238E27FC236}">
              <a16:creationId xmlns:a16="http://schemas.microsoft.com/office/drawing/2014/main" id="{D4059614-5AB4-4AD9-A660-8B556FD45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99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9525</xdr:colOff>
      <xdr:row>201</xdr:row>
      <xdr:rowOff>53340</xdr:rowOff>
    </xdr:to>
    <xdr:pic>
      <xdr:nvPicPr>
        <xdr:cNvPr id="5819" name="Picture 10" descr=" ">
          <a:extLst>
            <a:ext uri="{FF2B5EF4-FFF2-40B4-BE49-F238E27FC236}">
              <a16:creationId xmlns:a16="http://schemas.microsoft.com/office/drawing/2014/main" id="{71ECFB05-4DF6-47DD-B8C1-59DB82D62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99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9525</xdr:colOff>
      <xdr:row>201</xdr:row>
      <xdr:rowOff>53340</xdr:rowOff>
    </xdr:to>
    <xdr:pic>
      <xdr:nvPicPr>
        <xdr:cNvPr id="5820" name="Picture 11" descr=" ">
          <a:extLst>
            <a:ext uri="{FF2B5EF4-FFF2-40B4-BE49-F238E27FC236}">
              <a16:creationId xmlns:a16="http://schemas.microsoft.com/office/drawing/2014/main" id="{FC3AF94F-7DF0-4745-BBA7-F403F6A0C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99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0</xdr:col>
      <xdr:colOff>9525</xdr:colOff>
      <xdr:row>201</xdr:row>
      <xdr:rowOff>53340</xdr:rowOff>
    </xdr:to>
    <xdr:pic>
      <xdr:nvPicPr>
        <xdr:cNvPr id="5821" name="Picture 12" descr=" ">
          <a:extLst>
            <a:ext uri="{FF2B5EF4-FFF2-40B4-BE49-F238E27FC236}">
              <a16:creationId xmlns:a16="http://schemas.microsoft.com/office/drawing/2014/main" id="{EE14C0BD-FA23-4A78-9172-68E4EF6C9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9970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5822" name="Picture 7" descr=" ">
          <a:extLst>
            <a:ext uri="{FF2B5EF4-FFF2-40B4-BE49-F238E27FC236}">
              <a16:creationId xmlns:a16="http://schemas.microsoft.com/office/drawing/2014/main" id="{1B8F0247-330F-4906-92CB-BEDCB68B5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5823" name="Picture 8" descr=" ">
          <a:extLst>
            <a:ext uri="{FF2B5EF4-FFF2-40B4-BE49-F238E27FC236}">
              <a16:creationId xmlns:a16="http://schemas.microsoft.com/office/drawing/2014/main" id="{4114D3B1-61B0-4DD9-97BE-FCB797EF8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5824" name="Picture 9" descr=" ">
          <a:extLst>
            <a:ext uri="{FF2B5EF4-FFF2-40B4-BE49-F238E27FC236}">
              <a16:creationId xmlns:a16="http://schemas.microsoft.com/office/drawing/2014/main" id="{F1D0BA1C-40F6-4D8A-9466-C6BE4DD22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5825" name="Picture 10" descr=" ">
          <a:extLst>
            <a:ext uri="{FF2B5EF4-FFF2-40B4-BE49-F238E27FC236}">
              <a16:creationId xmlns:a16="http://schemas.microsoft.com/office/drawing/2014/main" id="{8B2D5D32-67DC-4F53-9F63-CC0C0FD16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5826" name="Picture 11" descr=" ">
          <a:extLst>
            <a:ext uri="{FF2B5EF4-FFF2-40B4-BE49-F238E27FC236}">
              <a16:creationId xmlns:a16="http://schemas.microsoft.com/office/drawing/2014/main" id="{03CB5D6B-A886-43FF-9A07-E5BA55CC3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5827" name="Picture 12" descr=" ">
          <a:extLst>
            <a:ext uri="{FF2B5EF4-FFF2-40B4-BE49-F238E27FC236}">
              <a16:creationId xmlns:a16="http://schemas.microsoft.com/office/drawing/2014/main" id="{36952FE5-113E-45FE-8598-99E9D3A4E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28" name="Picture 7" descr=" ">
          <a:extLst>
            <a:ext uri="{FF2B5EF4-FFF2-40B4-BE49-F238E27FC236}">
              <a16:creationId xmlns:a16="http://schemas.microsoft.com/office/drawing/2014/main" id="{849ECB64-9C0C-410E-AA60-4EA734128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29" name="Picture 8" descr=" ">
          <a:extLst>
            <a:ext uri="{FF2B5EF4-FFF2-40B4-BE49-F238E27FC236}">
              <a16:creationId xmlns:a16="http://schemas.microsoft.com/office/drawing/2014/main" id="{974ECD2E-F8D8-45D9-9C90-CB4D908BF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30" name="Picture 9" descr=" ">
          <a:extLst>
            <a:ext uri="{FF2B5EF4-FFF2-40B4-BE49-F238E27FC236}">
              <a16:creationId xmlns:a16="http://schemas.microsoft.com/office/drawing/2014/main" id="{EAF7116C-8937-4788-9807-21222A744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31" name="Picture 10" descr=" ">
          <a:extLst>
            <a:ext uri="{FF2B5EF4-FFF2-40B4-BE49-F238E27FC236}">
              <a16:creationId xmlns:a16="http://schemas.microsoft.com/office/drawing/2014/main" id="{0F1929AB-6D41-4102-A111-835F4347D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32" name="Picture 11" descr=" ">
          <a:extLst>
            <a:ext uri="{FF2B5EF4-FFF2-40B4-BE49-F238E27FC236}">
              <a16:creationId xmlns:a16="http://schemas.microsoft.com/office/drawing/2014/main" id="{FD4E9A46-FDB2-4030-82B6-FD532B4F6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33" name="Picture 12" descr=" ">
          <a:extLst>
            <a:ext uri="{FF2B5EF4-FFF2-40B4-BE49-F238E27FC236}">
              <a16:creationId xmlns:a16="http://schemas.microsoft.com/office/drawing/2014/main" id="{09353FB3-17F0-4BC8-8399-ABD9722E8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34" name="Picture 7" descr=" ">
          <a:extLst>
            <a:ext uri="{FF2B5EF4-FFF2-40B4-BE49-F238E27FC236}">
              <a16:creationId xmlns:a16="http://schemas.microsoft.com/office/drawing/2014/main" id="{224DBC85-A79E-46E7-B414-FC7CACE3B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35" name="Picture 8" descr=" ">
          <a:extLst>
            <a:ext uri="{FF2B5EF4-FFF2-40B4-BE49-F238E27FC236}">
              <a16:creationId xmlns:a16="http://schemas.microsoft.com/office/drawing/2014/main" id="{C6565EBF-81E6-4538-90F9-5BED91C21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36" name="Picture 9" descr=" ">
          <a:extLst>
            <a:ext uri="{FF2B5EF4-FFF2-40B4-BE49-F238E27FC236}">
              <a16:creationId xmlns:a16="http://schemas.microsoft.com/office/drawing/2014/main" id="{CAC80629-AB94-4864-A6CD-87998249E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37" name="Picture 10" descr=" ">
          <a:extLst>
            <a:ext uri="{FF2B5EF4-FFF2-40B4-BE49-F238E27FC236}">
              <a16:creationId xmlns:a16="http://schemas.microsoft.com/office/drawing/2014/main" id="{8D1C4834-BCA5-492B-88C1-D0FFD12B7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38" name="Picture 11" descr=" ">
          <a:extLst>
            <a:ext uri="{FF2B5EF4-FFF2-40B4-BE49-F238E27FC236}">
              <a16:creationId xmlns:a16="http://schemas.microsoft.com/office/drawing/2014/main" id="{74E17C2A-D615-419A-B192-1600B4951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39" name="Picture 12" descr=" ">
          <a:extLst>
            <a:ext uri="{FF2B5EF4-FFF2-40B4-BE49-F238E27FC236}">
              <a16:creationId xmlns:a16="http://schemas.microsoft.com/office/drawing/2014/main" id="{AA928F0A-F22C-448D-8231-F25980952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40" name="Picture 7" descr=" ">
          <a:extLst>
            <a:ext uri="{FF2B5EF4-FFF2-40B4-BE49-F238E27FC236}">
              <a16:creationId xmlns:a16="http://schemas.microsoft.com/office/drawing/2014/main" id="{B559544C-B1D8-495C-8C5F-0384E913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41" name="Picture 8" descr=" ">
          <a:extLst>
            <a:ext uri="{FF2B5EF4-FFF2-40B4-BE49-F238E27FC236}">
              <a16:creationId xmlns:a16="http://schemas.microsoft.com/office/drawing/2014/main" id="{BB2AACED-FFEE-46EC-9C4C-A2955FF7A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42" name="Picture 9" descr=" ">
          <a:extLst>
            <a:ext uri="{FF2B5EF4-FFF2-40B4-BE49-F238E27FC236}">
              <a16:creationId xmlns:a16="http://schemas.microsoft.com/office/drawing/2014/main" id="{1122090A-B8DE-4FF7-BC04-E74E82ABF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43" name="Picture 10" descr=" ">
          <a:extLst>
            <a:ext uri="{FF2B5EF4-FFF2-40B4-BE49-F238E27FC236}">
              <a16:creationId xmlns:a16="http://schemas.microsoft.com/office/drawing/2014/main" id="{0F887A9D-2033-4793-A728-3DB590C6E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44" name="Picture 11" descr=" ">
          <a:extLst>
            <a:ext uri="{FF2B5EF4-FFF2-40B4-BE49-F238E27FC236}">
              <a16:creationId xmlns:a16="http://schemas.microsoft.com/office/drawing/2014/main" id="{1DB59F97-3EB2-4BDD-B8FD-448780D48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45" name="Picture 12" descr=" ">
          <a:extLst>
            <a:ext uri="{FF2B5EF4-FFF2-40B4-BE49-F238E27FC236}">
              <a16:creationId xmlns:a16="http://schemas.microsoft.com/office/drawing/2014/main" id="{D3A5BC25-5C9A-430D-92A2-C8B2D9C0A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46" name="Picture 7" descr=" ">
          <a:extLst>
            <a:ext uri="{FF2B5EF4-FFF2-40B4-BE49-F238E27FC236}">
              <a16:creationId xmlns:a16="http://schemas.microsoft.com/office/drawing/2014/main" id="{60C54483-2F63-49B5-AB8C-DE3FBF952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47" name="Picture 8" descr=" ">
          <a:extLst>
            <a:ext uri="{FF2B5EF4-FFF2-40B4-BE49-F238E27FC236}">
              <a16:creationId xmlns:a16="http://schemas.microsoft.com/office/drawing/2014/main" id="{BFA12E7E-5A58-4412-9BCD-6A1254F2F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48" name="Picture 9" descr=" ">
          <a:extLst>
            <a:ext uri="{FF2B5EF4-FFF2-40B4-BE49-F238E27FC236}">
              <a16:creationId xmlns:a16="http://schemas.microsoft.com/office/drawing/2014/main" id="{00E5A438-DB93-4AAD-8C9F-EE09F9E5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49" name="Picture 10" descr=" ">
          <a:extLst>
            <a:ext uri="{FF2B5EF4-FFF2-40B4-BE49-F238E27FC236}">
              <a16:creationId xmlns:a16="http://schemas.microsoft.com/office/drawing/2014/main" id="{504B93FC-98B1-492D-BA7E-E802009AE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50" name="Picture 11" descr=" ">
          <a:extLst>
            <a:ext uri="{FF2B5EF4-FFF2-40B4-BE49-F238E27FC236}">
              <a16:creationId xmlns:a16="http://schemas.microsoft.com/office/drawing/2014/main" id="{233F15B3-2BE3-4CDD-819D-EFE609D0A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51" name="Picture 12" descr=" ">
          <a:extLst>
            <a:ext uri="{FF2B5EF4-FFF2-40B4-BE49-F238E27FC236}">
              <a16:creationId xmlns:a16="http://schemas.microsoft.com/office/drawing/2014/main" id="{CD2AA129-DDDA-4074-9DA6-07C6B35CA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52" name="Picture 7" descr=" ">
          <a:extLst>
            <a:ext uri="{FF2B5EF4-FFF2-40B4-BE49-F238E27FC236}">
              <a16:creationId xmlns:a16="http://schemas.microsoft.com/office/drawing/2014/main" id="{A29ED9D7-4840-4FEC-B8B1-6834CD35B7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53" name="Picture 8" descr=" ">
          <a:extLst>
            <a:ext uri="{FF2B5EF4-FFF2-40B4-BE49-F238E27FC236}">
              <a16:creationId xmlns:a16="http://schemas.microsoft.com/office/drawing/2014/main" id="{323364C5-3684-4152-9BCD-1148E0CEF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54" name="Picture 9" descr=" ">
          <a:extLst>
            <a:ext uri="{FF2B5EF4-FFF2-40B4-BE49-F238E27FC236}">
              <a16:creationId xmlns:a16="http://schemas.microsoft.com/office/drawing/2014/main" id="{914B94A6-6C35-4C25-81FD-D8223A258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55" name="Picture 10" descr=" ">
          <a:extLst>
            <a:ext uri="{FF2B5EF4-FFF2-40B4-BE49-F238E27FC236}">
              <a16:creationId xmlns:a16="http://schemas.microsoft.com/office/drawing/2014/main" id="{122C5DDC-CB5E-49E1-B135-34D0A5A04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56" name="Picture 11" descr=" ">
          <a:extLst>
            <a:ext uri="{FF2B5EF4-FFF2-40B4-BE49-F238E27FC236}">
              <a16:creationId xmlns:a16="http://schemas.microsoft.com/office/drawing/2014/main" id="{5A58EC17-ABC2-4396-B88B-9910E42D3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57" name="Picture 12" descr=" ">
          <a:extLst>
            <a:ext uri="{FF2B5EF4-FFF2-40B4-BE49-F238E27FC236}">
              <a16:creationId xmlns:a16="http://schemas.microsoft.com/office/drawing/2014/main" id="{1FB517D2-3816-4EB0-97B2-1EF39D6B1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58" name="Picture 7" descr=" ">
          <a:extLst>
            <a:ext uri="{FF2B5EF4-FFF2-40B4-BE49-F238E27FC236}">
              <a16:creationId xmlns:a16="http://schemas.microsoft.com/office/drawing/2014/main" id="{D610EBF5-2B92-4682-8BED-D67DA88D6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59" name="Picture 8" descr=" ">
          <a:extLst>
            <a:ext uri="{FF2B5EF4-FFF2-40B4-BE49-F238E27FC236}">
              <a16:creationId xmlns:a16="http://schemas.microsoft.com/office/drawing/2014/main" id="{70EE8995-E399-447A-A069-7386B6261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60" name="Picture 9" descr=" ">
          <a:extLst>
            <a:ext uri="{FF2B5EF4-FFF2-40B4-BE49-F238E27FC236}">
              <a16:creationId xmlns:a16="http://schemas.microsoft.com/office/drawing/2014/main" id="{68D9926B-1C2A-41F3-BFD6-7D2A82080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61" name="Picture 10" descr=" ">
          <a:extLst>
            <a:ext uri="{FF2B5EF4-FFF2-40B4-BE49-F238E27FC236}">
              <a16:creationId xmlns:a16="http://schemas.microsoft.com/office/drawing/2014/main" id="{9025D52F-1960-4652-830E-503A71C2E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62" name="Picture 11" descr=" ">
          <a:extLst>
            <a:ext uri="{FF2B5EF4-FFF2-40B4-BE49-F238E27FC236}">
              <a16:creationId xmlns:a16="http://schemas.microsoft.com/office/drawing/2014/main" id="{1F891EE0-70B0-4308-9AA7-C82FCAD37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63" name="Picture 12" descr=" ">
          <a:extLst>
            <a:ext uri="{FF2B5EF4-FFF2-40B4-BE49-F238E27FC236}">
              <a16:creationId xmlns:a16="http://schemas.microsoft.com/office/drawing/2014/main" id="{EF48DA25-7D65-4EF5-A9F6-E49AB65D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64" name="Picture 7" descr=" ">
          <a:extLst>
            <a:ext uri="{FF2B5EF4-FFF2-40B4-BE49-F238E27FC236}">
              <a16:creationId xmlns:a16="http://schemas.microsoft.com/office/drawing/2014/main" id="{2F90AA37-E78D-4BE0-9582-3FCAEEFDD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65" name="Picture 8" descr=" ">
          <a:extLst>
            <a:ext uri="{FF2B5EF4-FFF2-40B4-BE49-F238E27FC236}">
              <a16:creationId xmlns:a16="http://schemas.microsoft.com/office/drawing/2014/main" id="{FE7315D2-7584-4808-9A89-A9ADCA6E7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66" name="Picture 9" descr=" ">
          <a:extLst>
            <a:ext uri="{FF2B5EF4-FFF2-40B4-BE49-F238E27FC236}">
              <a16:creationId xmlns:a16="http://schemas.microsoft.com/office/drawing/2014/main" id="{4FC2063B-8157-435E-9A5E-07413D39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67" name="Picture 10" descr=" ">
          <a:extLst>
            <a:ext uri="{FF2B5EF4-FFF2-40B4-BE49-F238E27FC236}">
              <a16:creationId xmlns:a16="http://schemas.microsoft.com/office/drawing/2014/main" id="{CF781F31-EDA7-46E7-94F8-157C09820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68" name="Picture 11" descr=" ">
          <a:extLst>
            <a:ext uri="{FF2B5EF4-FFF2-40B4-BE49-F238E27FC236}">
              <a16:creationId xmlns:a16="http://schemas.microsoft.com/office/drawing/2014/main" id="{EADF645E-9CD0-4155-8F13-D27519BC6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69" name="Picture 12" descr=" ">
          <a:extLst>
            <a:ext uri="{FF2B5EF4-FFF2-40B4-BE49-F238E27FC236}">
              <a16:creationId xmlns:a16="http://schemas.microsoft.com/office/drawing/2014/main" id="{829589D7-FB41-4893-80B5-2C43C040D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70" name="Picture 7" descr=" ">
          <a:extLst>
            <a:ext uri="{FF2B5EF4-FFF2-40B4-BE49-F238E27FC236}">
              <a16:creationId xmlns:a16="http://schemas.microsoft.com/office/drawing/2014/main" id="{22625DCE-190F-4DCE-B583-EBA469C65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71" name="Picture 8" descr=" ">
          <a:extLst>
            <a:ext uri="{FF2B5EF4-FFF2-40B4-BE49-F238E27FC236}">
              <a16:creationId xmlns:a16="http://schemas.microsoft.com/office/drawing/2014/main" id="{52D5EAFC-2772-433E-A4EE-BC8FE85BF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72" name="Picture 9" descr=" ">
          <a:extLst>
            <a:ext uri="{FF2B5EF4-FFF2-40B4-BE49-F238E27FC236}">
              <a16:creationId xmlns:a16="http://schemas.microsoft.com/office/drawing/2014/main" id="{5C7F25C4-EBD9-461C-A11E-32C66E1E3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73" name="Picture 10" descr=" ">
          <a:extLst>
            <a:ext uri="{FF2B5EF4-FFF2-40B4-BE49-F238E27FC236}">
              <a16:creationId xmlns:a16="http://schemas.microsoft.com/office/drawing/2014/main" id="{77C1D6E1-7F3E-4913-8F6F-AB3BC639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74" name="Picture 11" descr=" ">
          <a:extLst>
            <a:ext uri="{FF2B5EF4-FFF2-40B4-BE49-F238E27FC236}">
              <a16:creationId xmlns:a16="http://schemas.microsoft.com/office/drawing/2014/main" id="{A60BA935-0BDE-4F35-86DD-B55776C6F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75" name="Picture 12" descr=" ">
          <a:extLst>
            <a:ext uri="{FF2B5EF4-FFF2-40B4-BE49-F238E27FC236}">
              <a16:creationId xmlns:a16="http://schemas.microsoft.com/office/drawing/2014/main" id="{874B1187-F91B-4299-A13C-279CE31BB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76" name="Picture 7" descr=" ">
          <a:extLst>
            <a:ext uri="{FF2B5EF4-FFF2-40B4-BE49-F238E27FC236}">
              <a16:creationId xmlns:a16="http://schemas.microsoft.com/office/drawing/2014/main" id="{4FF6DFCC-BFE4-49A6-90B1-63CC78A2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77" name="Picture 8" descr=" ">
          <a:extLst>
            <a:ext uri="{FF2B5EF4-FFF2-40B4-BE49-F238E27FC236}">
              <a16:creationId xmlns:a16="http://schemas.microsoft.com/office/drawing/2014/main" id="{994B5CC8-8D5C-44B9-B3CD-A2FECA29B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78" name="Picture 9" descr=" ">
          <a:extLst>
            <a:ext uri="{FF2B5EF4-FFF2-40B4-BE49-F238E27FC236}">
              <a16:creationId xmlns:a16="http://schemas.microsoft.com/office/drawing/2014/main" id="{686BF058-ED00-425A-A3A5-BF284B392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79" name="Picture 10" descr=" ">
          <a:extLst>
            <a:ext uri="{FF2B5EF4-FFF2-40B4-BE49-F238E27FC236}">
              <a16:creationId xmlns:a16="http://schemas.microsoft.com/office/drawing/2014/main" id="{4A329709-148C-4721-88B9-56BD2697C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80" name="Picture 11" descr=" ">
          <a:extLst>
            <a:ext uri="{FF2B5EF4-FFF2-40B4-BE49-F238E27FC236}">
              <a16:creationId xmlns:a16="http://schemas.microsoft.com/office/drawing/2014/main" id="{5265E779-1FC6-4857-A945-F850956CF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81" name="Picture 12" descr=" ">
          <a:extLst>
            <a:ext uri="{FF2B5EF4-FFF2-40B4-BE49-F238E27FC236}">
              <a16:creationId xmlns:a16="http://schemas.microsoft.com/office/drawing/2014/main" id="{5267F41C-E953-4BF2-A550-1682D1DCC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82" name="Picture 7" descr=" ">
          <a:extLst>
            <a:ext uri="{FF2B5EF4-FFF2-40B4-BE49-F238E27FC236}">
              <a16:creationId xmlns:a16="http://schemas.microsoft.com/office/drawing/2014/main" id="{F5093067-D407-4692-B0CA-9CC3BB673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83" name="Picture 8" descr=" ">
          <a:extLst>
            <a:ext uri="{FF2B5EF4-FFF2-40B4-BE49-F238E27FC236}">
              <a16:creationId xmlns:a16="http://schemas.microsoft.com/office/drawing/2014/main" id="{970A9363-D275-47EF-90DA-059EE1ED9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84" name="Picture 9" descr=" ">
          <a:extLst>
            <a:ext uri="{FF2B5EF4-FFF2-40B4-BE49-F238E27FC236}">
              <a16:creationId xmlns:a16="http://schemas.microsoft.com/office/drawing/2014/main" id="{F266B746-E34E-4DB6-906B-56EDFD295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85" name="Picture 10" descr=" ">
          <a:extLst>
            <a:ext uri="{FF2B5EF4-FFF2-40B4-BE49-F238E27FC236}">
              <a16:creationId xmlns:a16="http://schemas.microsoft.com/office/drawing/2014/main" id="{FECC3CD8-2E2D-4000-8162-4C6563B1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86" name="Picture 11" descr=" ">
          <a:extLst>
            <a:ext uri="{FF2B5EF4-FFF2-40B4-BE49-F238E27FC236}">
              <a16:creationId xmlns:a16="http://schemas.microsoft.com/office/drawing/2014/main" id="{70F52E23-7243-446D-9D9B-DA70EFEB8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87" name="Picture 12" descr=" ">
          <a:extLst>
            <a:ext uri="{FF2B5EF4-FFF2-40B4-BE49-F238E27FC236}">
              <a16:creationId xmlns:a16="http://schemas.microsoft.com/office/drawing/2014/main" id="{EC6A56C6-B81E-4142-96B7-619EBCF4C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88" name="Picture 7" descr=" ">
          <a:extLst>
            <a:ext uri="{FF2B5EF4-FFF2-40B4-BE49-F238E27FC236}">
              <a16:creationId xmlns:a16="http://schemas.microsoft.com/office/drawing/2014/main" id="{787AEBD7-41EF-4915-BF44-62DED733D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89" name="Picture 8" descr=" ">
          <a:extLst>
            <a:ext uri="{FF2B5EF4-FFF2-40B4-BE49-F238E27FC236}">
              <a16:creationId xmlns:a16="http://schemas.microsoft.com/office/drawing/2014/main" id="{EC3D77B7-E120-4F6D-8363-E51D87912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90" name="Picture 9" descr=" ">
          <a:extLst>
            <a:ext uri="{FF2B5EF4-FFF2-40B4-BE49-F238E27FC236}">
              <a16:creationId xmlns:a16="http://schemas.microsoft.com/office/drawing/2014/main" id="{9F9CB981-4E06-4CAA-BADF-2334E4847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91" name="Picture 10" descr=" ">
          <a:extLst>
            <a:ext uri="{FF2B5EF4-FFF2-40B4-BE49-F238E27FC236}">
              <a16:creationId xmlns:a16="http://schemas.microsoft.com/office/drawing/2014/main" id="{A1F68DCF-2DB0-49A5-AC3C-77CB3BF5D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92" name="Picture 11" descr=" ">
          <a:extLst>
            <a:ext uri="{FF2B5EF4-FFF2-40B4-BE49-F238E27FC236}">
              <a16:creationId xmlns:a16="http://schemas.microsoft.com/office/drawing/2014/main" id="{1ECC6E7B-E452-488D-AE7C-3638E1A6B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93" name="Picture 12" descr=" ">
          <a:extLst>
            <a:ext uri="{FF2B5EF4-FFF2-40B4-BE49-F238E27FC236}">
              <a16:creationId xmlns:a16="http://schemas.microsoft.com/office/drawing/2014/main" id="{77C80C42-4744-4693-AF00-0691F6ADA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94" name="Picture 7" descr=" ">
          <a:extLst>
            <a:ext uri="{FF2B5EF4-FFF2-40B4-BE49-F238E27FC236}">
              <a16:creationId xmlns:a16="http://schemas.microsoft.com/office/drawing/2014/main" id="{C9877C6E-CFC6-422C-84BC-8F3021632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95" name="Picture 8" descr=" ">
          <a:extLst>
            <a:ext uri="{FF2B5EF4-FFF2-40B4-BE49-F238E27FC236}">
              <a16:creationId xmlns:a16="http://schemas.microsoft.com/office/drawing/2014/main" id="{CF9D9043-FDB1-47C6-9DAF-0FE6A0776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96" name="Picture 9" descr=" ">
          <a:extLst>
            <a:ext uri="{FF2B5EF4-FFF2-40B4-BE49-F238E27FC236}">
              <a16:creationId xmlns:a16="http://schemas.microsoft.com/office/drawing/2014/main" id="{033992AB-068D-480F-8593-2D7835762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97" name="Picture 10" descr=" ">
          <a:extLst>
            <a:ext uri="{FF2B5EF4-FFF2-40B4-BE49-F238E27FC236}">
              <a16:creationId xmlns:a16="http://schemas.microsoft.com/office/drawing/2014/main" id="{9ED6E6A9-3D7A-471C-9643-7CDF49D38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98" name="Picture 11" descr=" ">
          <a:extLst>
            <a:ext uri="{FF2B5EF4-FFF2-40B4-BE49-F238E27FC236}">
              <a16:creationId xmlns:a16="http://schemas.microsoft.com/office/drawing/2014/main" id="{D77A1268-A079-44AB-A3BA-556F006F0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899" name="Picture 12" descr=" ">
          <a:extLst>
            <a:ext uri="{FF2B5EF4-FFF2-40B4-BE49-F238E27FC236}">
              <a16:creationId xmlns:a16="http://schemas.microsoft.com/office/drawing/2014/main" id="{BE6B5D73-9312-4B98-B625-D2C971A54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00" name="Picture 7" descr=" ">
          <a:extLst>
            <a:ext uri="{FF2B5EF4-FFF2-40B4-BE49-F238E27FC236}">
              <a16:creationId xmlns:a16="http://schemas.microsoft.com/office/drawing/2014/main" id="{60BD718B-5D38-4D37-A613-E6070B10A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01" name="Picture 8" descr=" ">
          <a:extLst>
            <a:ext uri="{FF2B5EF4-FFF2-40B4-BE49-F238E27FC236}">
              <a16:creationId xmlns:a16="http://schemas.microsoft.com/office/drawing/2014/main" id="{6C635F52-3D3E-4E19-9A60-2FA61934E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02" name="Picture 9" descr=" ">
          <a:extLst>
            <a:ext uri="{FF2B5EF4-FFF2-40B4-BE49-F238E27FC236}">
              <a16:creationId xmlns:a16="http://schemas.microsoft.com/office/drawing/2014/main" id="{728FA316-975E-4D74-B507-00327C0AA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03" name="Picture 10" descr=" ">
          <a:extLst>
            <a:ext uri="{FF2B5EF4-FFF2-40B4-BE49-F238E27FC236}">
              <a16:creationId xmlns:a16="http://schemas.microsoft.com/office/drawing/2014/main" id="{18978541-18D5-4876-B27A-FCC207E86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04" name="Picture 11" descr=" ">
          <a:extLst>
            <a:ext uri="{FF2B5EF4-FFF2-40B4-BE49-F238E27FC236}">
              <a16:creationId xmlns:a16="http://schemas.microsoft.com/office/drawing/2014/main" id="{B098C55E-3A2C-4A33-B4DA-7815C7217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05" name="Picture 12" descr=" ">
          <a:extLst>
            <a:ext uri="{FF2B5EF4-FFF2-40B4-BE49-F238E27FC236}">
              <a16:creationId xmlns:a16="http://schemas.microsoft.com/office/drawing/2014/main" id="{9B76D833-E898-470F-9E66-C285C0842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06" name="Picture 7" descr=" ">
          <a:extLst>
            <a:ext uri="{FF2B5EF4-FFF2-40B4-BE49-F238E27FC236}">
              <a16:creationId xmlns:a16="http://schemas.microsoft.com/office/drawing/2014/main" id="{C135F6B2-58F8-433E-8BA8-CB8CC2D02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07" name="Picture 8" descr=" ">
          <a:extLst>
            <a:ext uri="{FF2B5EF4-FFF2-40B4-BE49-F238E27FC236}">
              <a16:creationId xmlns:a16="http://schemas.microsoft.com/office/drawing/2014/main" id="{CE810A08-6516-4CCE-ACDF-C24550DC2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08" name="Picture 9" descr=" ">
          <a:extLst>
            <a:ext uri="{FF2B5EF4-FFF2-40B4-BE49-F238E27FC236}">
              <a16:creationId xmlns:a16="http://schemas.microsoft.com/office/drawing/2014/main" id="{40E81B54-F8DD-45B8-9078-224D5DC43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09" name="Picture 10" descr=" ">
          <a:extLst>
            <a:ext uri="{FF2B5EF4-FFF2-40B4-BE49-F238E27FC236}">
              <a16:creationId xmlns:a16="http://schemas.microsoft.com/office/drawing/2014/main" id="{A8D5CB8D-2639-4B59-87F8-3D2A967F5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10" name="Picture 11" descr=" ">
          <a:extLst>
            <a:ext uri="{FF2B5EF4-FFF2-40B4-BE49-F238E27FC236}">
              <a16:creationId xmlns:a16="http://schemas.microsoft.com/office/drawing/2014/main" id="{4C6078CC-9422-4F2C-853B-931873B6B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11" name="Picture 12" descr=" ">
          <a:extLst>
            <a:ext uri="{FF2B5EF4-FFF2-40B4-BE49-F238E27FC236}">
              <a16:creationId xmlns:a16="http://schemas.microsoft.com/office/drawing/2014/main" id="{ABE60A90-B869-4700-86D8-9A26287E0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12" name="Picture 7" descr=" ">
          <a:extLst>
            <a:ext uri="{FF2B5EF4-FFF2-40B4-BE49-F238E27FC236}">
              <a16:creationId xmlns:a16="http://schemas.microsoft.com/office/drawing/2014/main" id="{44C76A4F-2FA1-404E-B5F7-56320F0CD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13" name="Picture 8" descr=" ">
          <a:extLst>
            <a:ext uri="{FF2B5EF4-FFF2-40B4-BE49-F238E27FC236}">
              <a16:creationId xmlns:a16="http://schemas.microsoft.com/office/drawing/2014/main" id="{9C1B524D-7312-41D3-B98E-7D94A2077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14" name="Picture 9" descr=" ">
          <a:extLst>
            <a:ext uri="{FF2B5EF4-FFF2-40B4-BE49-F238E27FC236}">
              <a16:creationId xmlns:a16="http://schemas.microsoft.com/office/drawing/2014/main" id="{47739DD6-17E8-48F2-8246-399D0179B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15" name="Picture 10" descr=" ">
          <a:extLst>
            <a:ext uri="{FF2B5EF4-FFF2-40B4-BE49-F238E27FC236}">
              <a16:creationId xmlns:a16="http://schemas.microsoft.com/office/drawing/2014/main" id="{17FC69D7-27FA-4E6F-9656-C7B079931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16" name="Picture 11" descr=" ">
          <a:extLst>
            <a:ext uri="{FF2B5EF4-FFF2-40B4-BE49-F238E27FC236}">
              <a16:creationId xmlns:a16="http://schemas.microsoft.com/office/drawing/2014/main" id="{724923E9-445D-43E6-AC9F-FD1A7E01C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17" name="Picture 12" descr=" ">
          <a:extLst>
            <a:ext uri="{FF2B5EF4-FFF2-40B4-BE49-F238E27FC236}">
              <a16:creationId xmlns:a16="http://schemas.microsoft.com/office/drawing/2014/main" id="{E69203E6-AAFC-49AD-8397-3986DEBCF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18" name="Picture 7" descr=" ">
          <a:extLst>
            <a:ext uri="{FF2B5EF4-FFF2-40B4-BE49-F238E27FC236}">
              <a16:creationId xmlns:a16="http://schemas.microsoft.com/office/drawing/2014/main" id="{5156358E-2D75-48AB-ADE0-53525C319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19" name="Picture 8" descr=" ">
          <a:extLst>
            <a:ext uri="{FF2B5EF4-FFF2-40B4-BE49-F238E27FC236}">
              <a16:creationId xmlns:a16="http://schemas.microsoft.com/office/drawing/2014/main" id="{3400B2AC-307D-4108-A8FB-9F5BD9808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20" name="Picture 9" descr=" ">
          <a:extLst>
            <a:ext uri="{FF2B5EF4-FFF2-40B4-BE49-F238E27FC236}">
              <a16:creationId xmlns:a16="http://schemas.microsoft.com/office/drawing/2014/main" id="{6C37E6F6-6223-4611-89F4-C1305E3FC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21" name="Picture 10" descr=" ">
          <a:extLst>
            <a:ext uri="{FF2B5EF4-FFF2-40B4-BE49-F238E27FC236}">
              <a16:creationId xmlns:a16="http://schemas.microsoft.com/office/drawing/2014/main" id="{5DF8449A-F2BE-461E-AF56-725E387F3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22" name="Picture 11" descr=" ">
          <a:extLst>
            <a:ext uri="{FF2B5EF4-FFF2-40B4-BE49-F238E27FC236}">
              <a16:creationId xmlns:a16="http://schemas.microsoft.com/office/drawing/2014/main" id="{AF9E6786-DBB3-4387-B331-B858F3BCD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23" name="Picture 12" descr=" ">
          <a:extLst>
            <a:ext uri="{FF2B5EF4-FFF2-40B4-BE49-F238E27FC236}">
              <a16:creationId xmlns:a16="http://schemas.microsoft.com/office/drawing/2014/main" id="{A4835E3A-CD75-4157-A8F2-350352A43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24" name="Picture 7" descr=" ">
          <a:extLst>
            <a:ext uri="{FF2B5EF4-FFF2-40B4-BE49-F238E27FC236}">
              <a16:creationId xmlns:a16="http://schemas.microsoft.com/office/drawing/2014/main" id="{330B9F13-82EF-4B77-BC3D-28B4C6849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25" name="Picture 8" descr=" ">
          <a:extLst>
            <a:ext uri="{FF2B5EF4-FFF2-40B4-BE49-F238E27FC236}">
              <a16:creationId xmlns:a16="http://schemas.microsoft.com/office/drawing/2014/main" id="{FF749A24-D397-453B-96FD-8F1F71752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26" name="Picture 9" descr=" ">
          <a:extLst>
            <a:ext uri="{FF2B5EF4-FFF2-40B4-BE49-F238E27FC236}">
              <a16:creationId xmlns:a16="http://schemas.microsoft.com/office/drawing/2014/main" id="{EEFC2811-14CC-4D0A-89C7-729782833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27" name="Picture 10" descr=" ">
          <a:extLst>
            <a:ext uri="{FF2B5EF4-FFF2-40B4-BE49-F238E27FC236}">
              <a16:creationId xmlns:a16="http://schemas.microsoft.com/office/drawing/2014/main" id="{FF70D7EA-E6ED-4936-88C6-92322A04A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28" name="Picture 11" descr=" ">
          <a:extLst>
            <a:ext uri="{FF2B5EF4-FFF2-40B4-BE49-F238E27FC236}">
              <a16:creationId xmlns:a16="http://schemas.microsoft.com/office/drawing/2014/main" id="{EB1938BE-729A-47AB-B3EA-A82AC992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29" name="Picture 12" descr=" ">
          <a:extLst>
            <a:ext uri="{FF2B5EF4-FFF2-40B4-BE49-F238E27FC236}">
              <a16:creationId xmlns:a16="http://schemas.microsoft.com/office/drawing/2014/main" id="{3C322DAA-C2C9-4F8F-BB4C-CD096943D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30" name="Picture 7" descr=" ">
          <a:extLst>
            <a:ext uri="{FF2B5EF4-FFF2-40B4-BE49-F238E27FC236}">
              <a16:creationId xmlns:a16="http://schemas.microsoft.com/office/drawing/2014/main" id="{E43D3AAB-FD2B-477F-A9ED-00E924645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31" name="Picture 8" descr=" ">
          <a:extLst>
            <a:ext uri="{FF2B5EF4-FFF2-40B4-BE49-F238E27FC236}">
              <a16:creationId xmlns:a16="http://schemas.microsoft.com/office/drawing/2014/main" id="{5601C907-CC83-4DDB-86B7-912245753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32" name="Picture 9" descr=" ">
          <a:extLst>
            <a:ext uri="{FF2B5EF4-FFF2-40B4-BE49-F238E27FC236}">
              <a16:creationId xmlns:a16="http://schemas.microsoft.com/office/drawing/2014/main" id="{DB363E06-582E-4399-88C6-4F1C88DB7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33" name="Picture 10" descr=" ">
          <a:extLst>
            <a:ext uri="{FF2B5EF4-FFF2-40B4-BE49-F238E27FC236}">
              <a16:creationId xmlns:a16="http://schemas.microsoft.com/office/drawing/2014/main" id="{220B582D-7244-4A5C-8492-A96223ABA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34" name="Picture 11" descr=" ">
          <a:extLst>
            <a:ext uri="{FF2B5EF4-FFF2-40B4-BE49-F238E27FC236}">
              <a16:creationId xmlns:a16="http://schemas.microsoft.com/office/drawing/2014/main" id="{F7CA6285-65C7-41AE-8AD2-2BD24CA4C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35" name="Picture 12" descr=" ">
          <a:extLst>
            <a:ext uri="{FF2B5EF4-FFF2-40B4-BE49-F238E27FC236}">
              <a16:creationId xmlns:a16="http://schemas.microsoft.com/office/drawing/2014/main" id="{F6BFD4C1-D291-4DA9-89EE-B844189CF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36" name="Picture 7" descr=" ">
          <a:extLst>
            <a:ext uri="{FF2B5EF4-FFF2-40B4-BE49-F238E27FC236}">
              <a16:creationId xmlns:a16="http://schemas.microsoft.com/office/drawing/2014/main" id="{2809E970-453B-47C6-8ADD-F0D15CE99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37" name="Picture 8" descr=" ">
          <a:extLst>
            <a:ext uri="{FF2B5EF4-FFF2-40B4-BE49-F238E27FC236}">
              <a16:creationId xmlns:a16="http://schemas.microsoft.com/office/drawing/2014/main" id="{A46B2F23-721D-404B-8E43-EAD8BAB1A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38" name="Picture 9" descr=" ">
          <a:extLst>
            <a:ext uri="{FF2B5EF4-FFF2-40B4-BE49-F238E27FC236}">
              <a16:creationId xmlns:a16="http://schemas.microsoft.com/office/drawing/2014/main" id="{0E599180-178D-465D-BEAE-A929E7035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39" name="Picture 10" descr=" ">
          <a:extLst>
            <a:ext uri="{FF2B5EF4-FFF2-40B4-BE49-F238E27FC236}">
              <a16:creationId xmlns:a16="http://schemas.microsoft.com/office/drawing/2014/main" id="{44C3C27C-856D-4CE5-ADCA-D0A2202FC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40" name="Picture 11" descr=" ">
          <a:extLst>
            <a:ext uri="{FF2B5EF4-FFF2-40B4-BE49-F238E27FC236}">
              <a16:creationId xmlns:a16="http://schemas.microsoft.com/office/drawing/2014/main" id="{7316F264-D2A4-4527-9FC6-F930BA4A9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41" name="Picture 12" descr=" ">
          <a:extLst>
            <a:ext uri="{FF2B5EF4-FFF2-40B4-BE49-F238E27FC236}">
              <a16:creationId xmlns:a16="http://schemas.microsoft.com/office/drawing/2014/main" id="{AE672888-7EAE-47B2-B659-3D8398AA8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42" name="Picture 7" descr=" ">
          <a:extLst>
            <a:ext uri="{FF2B5EF4-FFF2-40B4-BE49-F238E27FC236}">
              <a16:creationId xmlns:a16="http://schemas.microsoft.com/office/drawing/2014/main" id="{BE6A50A1-972B-4B65-92AE-748061B76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43" name="Picture 8" descr=" ">
          <a:extLst>
            <a:ext uri="{FF2B5EF4-FFF2-40B4-BE49-F238E27FC236}">
              <a16:creationId xmlns:a16="http://schemas.microsoft.com/office/drawing/2014/main" id="{8D148A52-1283-4B89-8342-E2D6E8E64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44" name="Picture 9" descr=" ">
          <a:extLst>
            <a:ext uri="{FF2B5EF4-FFF2-40B4-BE49-F238E27FC236}">
              <a16:creationId xmlns:a16="http://schemas.microsoft.com/office/drawing/2014/main" id="{2EF002D5-F680-4B90-93DE-0F3C00016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45" name="Picture 10" descr=" ">
          <a:extLst>
            <a:ext uri="{FF2B5EF4-FFF2-40B4-BE49-F238E27FC236}">
              <a16:creationId xmlns:a16="http://schemas.microsoft.com/office/drawing/2014/main" id="{5D238921-FB2B-431A-B827-CAF2EB961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46" name="Picture 11" descr=" ">
          <a:extLst>
            <a:ext uri="{FF2B5EF4-FFF2-40B4-BE49-F238E27FC236}">
              <a16:creationId xmlns:a16="http://schemas.microsoft.com/office/drawing/2014/main" id="{F1B76D4D-4785-491C-99EE-9CE5CFB24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47" name="Picture 12" descr=" ">
          <a:extLst>
            <a:ext uri="{FF2B5EF4-FFF2-40B4-BE49-F238E27FC236}">
              <a16:creationId xmlns:a16="http://schemas.microsoft.com/office/drawing/2014/main" id="{EC8EEB07-9550-4D5F-A69F-5F23A68AC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48" name="Picture 7" descr=" ">
          <a:extLst>
            <a:ext uri="{FF2B5EF4-FFF2-40B4-BE49-F238E27FC236}">
              <a16:creationId xmlns:a16="http://schemas.microsoft.com/office/drawing/2014/main" id="{0C53C195-C358-4145-A449-EAFA930B0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49" name="Picture 8" descr=" ">
          <a:extLst>
            <a:ext uri="{FF2B5EF4-FFF2-40B4-BE49-F238E27FC236}">
              <a16:creationId xmlns:a16="http://schemas.microsoft.com/office/drawing/2014/main" id="{C01B4C38-873E-407F-90A4-EC66571EF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50" name="Picture 9" descr=" ">
          <a:extLst>
            <a:ext uri="{FF2B5EF4-FFF2-40B4-BE49-F238E27FC236}">
              <a16:creationId xmlns:a16="http://schemas.microsoft.com/office/drawing/2014/main" id="{9191CF58-AB36-446E-8742-086DF947D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51" name="Picture 10" descr=" ">
          <a:extLst>
            <a:ext uri="{FF2B5EF4-FFF2-40B4-BE49-F238E27FC236}">
              <a16:creationId xmlns:a16="http://schemas.microsoft.com/office/drawing/2014/main" id="{BDDD7342-DDA5-47C4-8177-07BBBD727B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52" name="Picture 11" descr=" ">
          <a:extLst>
            <a:ext uri="{FF2B5EF4-FFF2-40B4-BE49-F238E27FC236}">
              <a16:creationId xmlns:a16="http://schemas.microsoft.com/office/drawing/2014/main" id="{6A5A6C64-A736-40B2-9BEB-E4A55A40B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53" name="Picture 12" descr=" ">
          <a:extLst>
            <a:ext uri="{FF2B5EF4-FFF2-40B4-BE49-F238E27FC236}">
              <a16:creationId xmlns:a16="http://schemas.microsoft.com/office/drawing/2014/main" id="{40AAAEF2-B9BB-4E8D-967E-4A2BC910E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54" name="Picture 7" descr=" ">
          <a:extLst>
            <a:ext uri="{FF2B5EF4-FFF2-40B4-BE49-F238E27FC236}">
              <a16:creationId xmlns:a16="http://schemas.microsoft.com/office/drawing/2014/main" id="{B4552482-1C76-4429-BB67-E3B1F94E9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55" name="Picture 8" descr=" ">
          <a:extLst>
            <a:ext uri="{FF2B5EF4-FFF2-40B4-BE49-F238E27FC236}">
              <a16:creationId xmlns:a16="http://schemas.microsoft.com/office/drawing/2014/main" id="{33D39E39-59FE-47A8-A26D-DD06C755B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56" name="Picture 9" descr=" ">
          <a:extLst>
            <a:ext uri="{FF2B5EF4-FFF2-40B4-BE49-F238E27FC236}">
              <a16:creationId xmlns:a16="http://schemas.microsoft.com/office/drawing/2014/main" id="{93215209-329C-4D07-8721-C9A2D70C2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57" name="Picture 10" descr=" ">
          <a:extLst>
            <a:ext uri="{FF2B5EF4-FFF2-40B4-BE49-F238E27FC236}">
              <a16:creationId xmlns:a16="http://schemas.microsoft.com/office/drawing/2014/main" id="{0C503655-1516-444C-9F0B-5A94FD5E2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58" name="Picture 11" descr=" ">
          <a:extLst>
            <a:ext uri="{FF2B5EF4-FFF2-40B4-BE49-F238E27FC236}">
              <a16:creationId xmlns:a16="http://schemas.microsoft.com/office/drawing/2014/main" id="{80AECA69-4D88-4F5D-AEBA-F4EF198CD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59" name="Picture 12" descr=" ">
          <a:extLst>
            <a:ext uri="{FF2B5EF4-FFF2-40B4-BE49-F238E27FC236}">
              <a16:creationId xmlns:a16="http://schemas.microsoft.com/office/drawing/2014/main" id="{CB866E98-BC07-450C-8851-49CDDD8BA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60" name="Picture 7" descr=" ">
          <a:extLst>
            <a:ext uri="{FF2B5EF4-FFF2-40B4-BE49-F238E27FC236}">
              <a16:creationId xmlns:a16="http://schemas.microsoft.com/office/drawing/2014/main" id="{4D86AC98-8C67-4F2F-A150-FF081A6AD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61" name="Picture 8" descr=" ">
          <a:extLst>
            <a:ext uri="{FF2B5EF4-FFF2-40B4-BE49-F238E27FC236}">
              <a16:creationId xmlns:a16="http://schemas.microsoft.com/office/drawing/2014/main" id="{CD9F42F7-F62D-4A3D-8DD2-D574CF6BA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62" name="Picture 9" descr=" ">
          <a:extLst>
            <a:ext uri="{FF2B5EF4-FFF2-40B4-BE49-F238E27FC236}">
              <a16:creationId xmlns:a16="http://schemas.microsoft.com/office/drawing/2014/main" id="{99F4A108-9844-4E89-AC84-5BE637FAF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63" name="Picture 10" descr=" ">
          <a:extLst>
            <a:ext uri="{FF2B5EF4-FFF2-40B4-BE49-F238E27FC236}">
              <a16:creationId xmlns:a16="http://schemas.microsoft.com/office/drawing/2014/main" id="{2D90D4FE-0D7D-4B64-BBEE-3F1822969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64" name="Picture 11" descr=" ">
          <a:extLst>
            <a:ext uri="{FF2B5EF4-FFF2-40B4-BE49-F238E27FC236}">
              <a16:creationId xmlns:a16="http://schemas.microsoft.com/office/drawing/2014/main" id="{0BBCFAED-FE42-4AF9-8305-7BD77E4AC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65" name="Picture 12" descr=" ">
          <a:extLst>
            <a:ext uri="{FF2B5EF4-FFF2-40B4-BE49-F238E27FC236}">
              <a16:creationId xmlns:a16="http://schemas.microsoft.com/office/drawing/2014/main" id="{701AABD3-BF66-439E-911A-56659ADB3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66" name="Picture 7" descr=" ">
          <a:extLst>
            <a:ext uri="{FF2B5EF4-FFF2-40B4-BE49-F238E27FC236}">
              <a16:creationId xmlns:a16="http://schemas.microsoft.com/office/drawing/2014/main" id="{66454224-1A24-45D1-9FF9-340B3F912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67" name="Picture 8" descr=" ">
          <a:extLst>
            <a:ext uri="{FF2B5EF4-FFF2-40B4-BE49-F238E27FC236}">
              <a16:creationId xmlns:a16="http://schemas.microsoft.com/office/drawing/2014/main" id="{3DFE0535-1BF5-4BCC-80FE-4ED985FC1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68" name="Picture 9" descr=" ">
          <a:extLst>
            <a:ext uri="{FF2B5EF4-FFF2-40B4-BE49-F238E27FC236}">
              <a16:creationId xmlns:a16="http://schemas.microsoft.com/office/drawing/2014/main" id="{1ECD7498-1C9E-4E84-BB42-A127D1B27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69" name="Picture 10" descr=" ">
          <a:extLst>
            <a:ext uri="{FF2B5EF4-FFF2-40B4-BE49-F238E27FC236}">
              <a16:creationId xmlns:a16="http://schemas.microsoft.com/office/drawing/2014/main" id="{047D47D9-887E-4228-9DD7-4756D0C71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70" name="Picture 11" descr=" ">
          <a:extLst>
            <a:ext uri="{FF2B5EF4-FFF2-40B4-BE49-F238E27FC236}">
              <a16:creationId xmlns:a16="http://schemas.microsoft.com/office/drawing/2014/main" id="{C7E73FEB-8613-4423-BE6A-C8DA77D63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71" name="Picture 12" descr=" ">
          <a:extLst>
            <a:ext uri="{FF2B5EF4-FFF2-40B4-BE49-F238E27FC236}">
              <a16:creationId xmlns:a16="http://schemas.microsoft.com/office/drawing/2014/main" id="{7B3D6BC6-99A6-4568-894A-D41597AFC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72" name="Picture 7" descr=" ">
          <a:extLst>
            <a:ext uri="{FF2B5EF4-FFF2-40B4-BE49-F238E27FC236}">
              <a16:creationId xmlns:a16="http://schemas.microsoft.com/office/drawing/2014/main" id="{0CC61172-6C34-40CA-8EB9-8287E36F8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73" name="Picture 8" descr=" ">
          <a:extLst>
            <a:ext uri="{FF2B5EF4-FFF2-40B4-BE49-F238E27FC236}">
              <a16:creationId xmlns:a16="http://schemas.microsoft.com/office/drawing/2014/main" id="{B4A683FC-5D91-4280-96F9-75285EF44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74" name="Picture 9" descr=" ">
          <a:extLst>
            <a:ext uri="{FF2B5EF4-FFF2-40B4-BE49-F238E27FC236}">
              <a16:creationId xmlns:a16="http://schemas.microsoft.com/office/drawing/2014/main" id="{84D3108F-5C19-44F1-B73D-D21949B00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75" name="Picture 10" descr=" ">
          <a:extLst>
            <a:ext uri="{FF2B5EF4-FFF2-40B4-BE49-F238E27FC236}">
              <a16:creationId xmlns:a16="http://schemas.microsoft.com/office/drawing/2014/main" id="{4DB184AB-D640-43E4-B184-AB9889BCD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76" name="Picture 11" descr=" ">
          <a:extLst>
            <a:ext uri="{FF2B5EF4-FFF2-40B4-BE49-F238E27FC236}">
              <a16:creationId xmlns:a16="http://schemas.microsoft.com/office/drawing/2014/main" id="{2D283D5A-5FB0-493B-865B-C8E6CB336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77" name="Picture 12" descr=" ">
          <a:extLst>
            <a:ext uri="{FF2B5EF4-FFF2-40B4-BE49-F238E27FC236}">
              <a16:creationId xmlns:a16="http://schemas.microsoft.com/office/drawing/2014/main" id="{6EBC5933-A290-441C-97B7-CDBADBF15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78" name="Picture 7" descr=" ">
          <a:extLst>
            <a:ext uri="{FF2B5EF4-FFF2-40B4-BE49-F238E27FC236}">
              <a16:creationId xmlns:a16="http://schemas.microsoft.com/office/drawing/2014/main" id="{C21D49CD-C35F-432B-B350-AE17A959E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79" name="Picture 8" descr=" ">
          <a:extLst>
            <a:ext uri="{FF2B5EF4-FFF2-40B4-BE49-F238E27FC236}">
              <a16:creationId xmlns:a16="http://schemas.microsoft.com/office/drawing/2014/main" id="{439E0243-0F50-49C2-ADED-9412763FD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80" name="Picture 9" descr=" ">
          <a:extLst>
            <a:ext uri="{FF2B5EF4-FFF2-40B4-BE49-F238E27FC236}">
              <a16:creationId xmlns:a16="http://schemas.microsoft.com/office/drawing/2014/main" id="{02D27218-EDC0-425E-BBD1-1B2238686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81" name="Picture 10" descr=" ">
          <a:extLst>
            <a:ext uri="{FF2B5EF4-FFF2-40B4-BE49-F238E27FC236}">
              <a16:creationId xmlns:a16="http://schemas.microsoft.com/office/drawing/2014/main" id="{0CD978EB-891A-4DBB-A622-882CFBBC6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82" name="Picture 11" descr=" ">
          <a:extLst>
            <a:ext uri="{FF2B5EF4-FFF2-40B4-BE49-F238E27FC236}">
              <a16:creationId xmlns:a16="http://schemas.microsoft.com/office/drawing/2014/main" id="{96F9C20E-D88B-4030-BF22-35E84A180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83" name="Picture 12" descr=" ">
          <a:extLst>
            <a:ext uri="{FF2B5EF4-FFF2-40B4-BE49-F238E27FC236}">
              <a16:creationId xmlns:a16="http://schemas.microsoft.com/office/drawing/2014/main" id="{F55C61D8-C8FD-4FA9-957D-A5830D730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84" name="Picture 7" descr=" ">
          <a:extLst>
            <a:ext uri="{FF2B5EF4-FFF2-40B4-BE49-F238E27FC236}">
              <a16:creationId xmlns:a16="http://schemas.microsoft.com/office/drawing/2014/main" id="{43D1F11A-73F9-4362-866F-F4638351F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85" name="Picture 8" descr=" ">
          <a:extLst>
            <a:ext uri="{FF2B5EF4-FFF2-40B4-BE49-F238E27FC236}">
              <a16:creationId xmlns:a16="http://schemas.microsoft.com/office/drawing/2014/main" id="{DDAB4C31-3203-4B31-AA28-833DFD87D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86" name="Picture 9" descr=" ">
          <a:extLst>
            <a:ext uri="{FF2B5EF4-FFF2-40B4-BE49-F238E27FC236}">
              <a16:creationId xmlns:a16="http://schemas.microsoft.com/office/drawing/2014/main" id="{057447A6-04D0-4324-B893-BBC4754CA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87" name="Picture 10" descr=" ">
          <a:extLst>
            <a:ext uri="{FF2B5EF4-FFF2-40B4-BE49-F238E27FC236}">
              <a16:creationId xmlns:a16="http://schemas.microsoft.com/office/drawing/2014/main" id="{D43EA586-8629-4AFD-8786-806F6EEFB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88" name="Picture 11" descr=" ">
          <a:extLst>
            <a:ext uri="{FF2B5EF4-FFF2-40B4-BE49-F238E27FC236}">
              <a16:creationId xmlns:a16="http://schemas.microsoft.com/office/drawing/2014/main" id="{2BBA24EC-7596-42E5-82AB-C26981DF3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89" name="Picture 12" descr=" ">
          <a:extLst>
            <a:ext uri="{FF2B5EF4-FFF2-40B4-BE49-F238E27FC236}">
              <a16:creationId xmlns:a16="http://schemas.microsoft.com/office/drawing/2014/main" id="{0F2903C2-92EA-4A29-BD72-666835EC7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90" name="Picture 7" descr=" ">
          <a:extLst>
            <a:ext uri="{FF2B5EF4-FFF2-40B4-BE49-F238E27FC236}">
              <a16:creationId xmlns:a16="http://schemas.microsoft.com/office/drawing/2014/main" id="{766871E9-DE0A-4E46-8CA4-9A47594C0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91" name="Picture 8" descr=" ">
          <a:extLst>
            <a:ext uri="{FF2B5EF4-FFF2-40B4-BE49-F238E27FC236}">
              <a16:creationId xmlns:a16="http://schemas.microsoft.com/office/drawing/2014/main" id="{AD892DD1-7B7E-45ED-8828-A57C989B5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92" name="Picture 9" descr=" ">
          <a:extLst>
            <a:ext uri="{FF2B5EF4-FFF2-40B4-BE49-F238E27FC236}">
              <a16:creationId xmlns:a16="http://schemas.microsoft.com/office/drawing/2014/main" id="{5A2F63CB-0963-4886-AE16-ADB5C578E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93" name="Picture 10" descr=" ">
          <a:extLst>
            <a:ext uri="{FF2B5EF4-FFF2-40B4-BE49-F238E27FC236}">
              <a16:creationId xmlns:a16="http://schemas.microsoft.com/office/drawing/2014/main" id="{24EF0DF7-F8C8-4BBC-9B62-EDAC44022E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94" name="Picture 11" descr=" ">
          <a:extLst>
            <a:ext uri="{FF2B5EF4-FFF2-40B4-BE49-F238E27FC236}">
              <a16:creationId xmlns:a16="http://schemas.microsoft.com/office/drawing/2014/main" id="{6B52DD54-BD12-432B-9E22-00C0B31A6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95" name="Picture 12" descr=" ">
          <a:extLst>
            <a:ext uri="{FF2B5EF4-FFF2-40B4-BE49-F238E27FC236}">
              <a16:creationId xmlns:a16="http://schemas.microsoft.com/office/drawing/2014/main" id="{A957AE61-13DF-4788-95DB-6BCE825EE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96" name="Picture 7" descr=" ">
          <a:extLst>
            <a:ext uri="{FF2B5EF4-FFF2-40B4-BE49-F238E27FC236}">
              <a16:creationId xmlns:a16="http://schemas.microsoft.com/office/drawing/2014/main" id="{12E05B48-F5BA-41B5-9A0C-EA36A9034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97" name="Picture 8" descr=" ">
          <a:extLst>
            <a:ext uri="{FF2B5EF4-FFF2-40B4-BE49-F238E27FC236}">
              <a16:creationId xmlns:a16="http://schemas.microsoft.com/office/drawing/2014/main" id="{9D6D0349-2DC7-45AD-8CD4-845D1B4CF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98" name="Picture 9" descr=" ">
          <a:extLst>
            <a:ext uri="{FF2B5EF4-FFF2-40B4-BE49-F238E27FC236}">
              <a16:creationId xmlns:a16="http://schemas.microsoft.com/office/drawing/2014/main" id="{E72B0A0A-9A90-4189-B233-B596E2A8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5999" name="Picture 10" descr=" ">
          <a:extLst>
            <a:ext uri="{FF2B5EF4-FFF2-40B4-BE49-F238E27FC236}">
              <a16:creationId xmlns:a16="http://schemas.microsoft.com/office/drawing/2014/main" id="{699C4976-BAED-4751-81A5-D0B134C47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00" name="Picture 11" descr=" ">
          <a:extLst>
            <a:ext uri="{FF2B5EF4-FFF2-40B4-BE49-F238E27FC236}">
              <a16:creationId xmlns:a16="http://schemas.microsoft.com/office/drawing/2014/main" id="{436AFC04-97F0-439B-95C5-6B1643A64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01" name="Picture 12" descr=" ">
          <a:extLst>
            <a:ext uri="{FF2B5EF4-FFF2-40B4-BE49-F238E27FC236}">
              <a16:creationId xmlns:a16="http://schemas.microsoft.com/office/drawing/2014/main" id="{E6029857-D19C-42F1-8920-336FA9E6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02" name="Picture 7" descr=" ">
          <a:extLst>
            <a:ext uri="{FF2B5EF4-FFF2-40B4-BE49-F238E27FC236}">
              <a16:creationId xmlns:a16="http://schemas.microsoft.com/office/drawing/2014/main" id="{7CA2A224-2D46-459F-823E-D217F4C95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03" name="Picture 8" descr=" ">
          <a:extLst>
            <a:ext uri="{FF2B5EF4-FFF2-40B4-BE49-F238E27FC236}">
              <a16:creationId xmlns:a16="http://schemas.microsoft.com/office/drawing/2014/main" id="{E9B8BEE4-D108-474D-9867-FAACDBE51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04" name="Picture 9" descr=" ">
          <a:extLst>
            <a:ext uri="{FF2B5EF4-FFF2-40B4-BE49-F238E27FC236}">
              <a16:creationId xmlns:a16="http://schemas.microsoft.com/office/drawing/2014/main" id="{A6C048AD-B015-4426-9E59-93D12F2F5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05" name="Picture 10" descr=" ">
          <a:extLst>
            <a:ext uri="{FF2B5EF4-FFF2-40B4-BE49-F238E27FC236}">
              <a16:creationId xmlns:a16="http://schemas.microsoft.com/office/drawing/2014/main" id="{BFCD5345-B6DF-4D2F-8E22-9978857B8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06" name="Picture 11" descr=" ">
          <a:extLst>
            <a:ext uri="{FF2B5EF4-FFF2-40B4-BE49-F238E27FC236}">
              <a16:creationId xmlns:a16="http://schemas.microsoft.com/office/drawing/2014/main" id="{AD9A5FB5-6944-4CF6-AA09-17A5CE590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07" name="Picture 12" descr=" ">
          <a:extLst>
            <a:ext uri="{FF2B5EF4-FFF2-40B4-BE49-F238E27FC236}">
              <a16:creationId xmlns:a16="http://schemas.microsoft.com/office/drawing/2014/main" id="{DAB6C69E-0983-409D-9AD2-27FD35374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08" name="Picture 7" descr=" ">
          <a:extLst>
            <a:ext uri="{FF2B5EF4-FFF2-40B4-BE49-F238E27FC236}">
              <a16:creationId xmlns:a16="http://schemas.microsoft.com/office/drawing/2014/main" id="{BB5B28F0-8311-41F2-9050-B98ACC2FF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09" name="Picture 8" descr=" ">
          <a:extLst>
            <a:ext uri="{FF2B5EF4-FFF2-40B4-BE49-F238E27FC236}">
              <a16:creationId xmlns:a16="http://schemas.microsoft.com/office/drawing/2014/main" id="{95114076-E028-49B3-A266-B1174562F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10" name="Picture 9" descr=" ">
          <a:extLst>
            <a:ext uri="{FF2B5EF4-FFF2-40B4-BE49-F238E27FC236}">
              <a16:creationId xmlns:a16="http://schemas.microsoft.com/office/drawing/2014/main" id="{C692E569-27EA-41B6-BEA1-613900FE4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11" name="Picture 10" descr=" ">
          <a:extLst>
            <a:ext uri="{FF2B5EF4-FFF2-40B4-BE49-F238E27FC236}">
              <a16:creationId xmlns:a16="http://schemas.microsoft.com/office/drawing/2014/main" id="{63212377-851E-40F1-86FE-B8C5B165A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12" name="Picture 11" descr=" ">
          <a:extLst>
            <a:ext uri="{FF2B5EF4-FFF2-40B4-BE49-F238E27FC236}">
              <a16:creationId xmlns:a16="http://schemas.microsoft.com/office/drawing/2014/main" id="{379AB470-F37B-4F19-B8AD-0633B7F87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13" name="Picture 12" descr=" ">
          <a:extLst>
            <a:ext uri="{FF2B5EF4-FFF2-40B4-BE49-F238E27FC236}">
              <a16:creationId xmlns:a16="http://schemas.microsoft.com/office/drawing/2014/main" id="{8DA7D4B8-F902-4977-876B-59263079C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14" name="Picture 7" descr=" ">
          <a:extLst>
            <a:ext uri="{FF2B5EF4-FFF2-40B4-BE49-F238E27FC236}">
              <a16:creationId xmlns:a16="http://schemas.microsoft.com/office/drawing/2014/main" id="{52051703-CD8E-45BE-8D7D-FDC40649A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15" name="Picture 8" descr=" ">
          <a:extLst>
            <a:ext uri="{FF2B5EF4-FFF2-40B4-BE49-F238E27FC236}">
              <a16:creationId xmlns:a16="http://schemas.microsoft.com/office/drawing/2014/main" id="{0C366022-0E29-4C6F-8F2B-1B565D16F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16" name="Picture 9" descr=" ">
          <a:extLst>
            <a:ext uri="{FF2B5EF4-FFF2-40B4-BE49-F238E27FC236}">
              <a16:creationId xmlns:a16="http://schemas.microsoft.com/office/drawing/2014/main" id="{AF1D1D6C-288B-4C2F-9D3F-7028E71E2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17" name="Picture 10" descr=" ">
          <a:extLst>
            <a:ext uri="{FF2B5EF4-FFF2-40B4-BE49-F238E27FC236}">
              <a16:creationId xmlns:a16="http://schemas.microsoft.com/office/drawing/2014/main" id="{10330FE7-2746-4658-B480-7E8E8D045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18" name="Picture 11" descr=" ">
          <a:extLst>
            <a:ext uri="{FF2B5EF4-FFF2-40B4-BE49-F238E27FC236}">
              <a16:creationId xmlns:a16="http://schemas.microsoft.com/office/drawing/2014/main" id="{C90C02BB-175F-43AF-B171-323D610CC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19" name="Picture 12" descr=" ">
          <a:extLst>
            <a:ext uri="{FF2B5EF4-FFF2-40B4-BE49-F238E27FC236}">
              <a16:creationId xmlns:a16="http://schemas.microsoft.com/office/drawing/2014/main" id="{EC0A9A4C-BCCA-4458-9215-E65C9D8A5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20" name="Picture 7" descr=" ">
          <a:extLst>
            <a:ext uri="{FF2B5EF4-FFF2-40B4-BE49-F238E27FC236}">
              <a16:creationId xmlns:a16="http://schemas.microsoft.com/office/drawing/2014/main" id="{D4FC1FC4-1063-4CFE-B44C-377348E7E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21" name="Picture 8" descr=" ">
          <a:extLst>
            <a:ext uri="{FF2B5EF4-FFF2-40B4-BE49-F238E27FC236}">
              <a16:creationId xmlns:a16="http://schemas.microsoft.com/office/drawing/2014/main" id="{08D6BA79-BD53-44AA-951A-EE7C8DDDF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22" name="Picture 9" descr=" ">
          <a:extLst>
            <a:ext uri="{FF2B5EF4-FFF2-40B4-BE49-F238E27FC236}">
              <a16:creationId xmlns:a16="http://schemas.microsoft.com/office/drawing/2014/main" id="{4B3A27F5-4D5E-4719-8903-871E7E5AF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23" name="Picture 10" descr=" ">
          <a:extLst>
            <a:ext uri="{FF2B5EF4-FFF2-40B4-BE49-F238E27FC236}">
              <a16:creationId xmlns:a16="http://schemas.microsoft.com/office/drawing/2014/main" id="{70BE1248-2871-4EE8-828A-64D379D0E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24" name="Picture 11" descr=" ">
          <a:extLst>
            <a:ext uri="{FF2B5EF4-FFF2-40B4-BE49-F238E27FC236}">
              <a16:creationId xmlns:a16="http://schemas.microsoft.com/office/drawing/2014/main" id="{4F8DC3DE-0C33-4628-8F58-11D2C96E6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25" name="Picture 12" descr=" ">
          <a:extLst>
            <a:ext uri="{FF2B5EF4-FFF2-40B4-BE49-F238E27FC236}">
              <a16:creationId xmlns:a16="http://schemas.microsoft.com/office/drawing/2014/main" id="{596F53D3-8905-40D7-9AAE-B75A1FAF6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26" name="Picture 7" descr=" ">
          <a:extLst>
            <a:ext uri="{FF2B5EF4-FFF2-40B4-BE49-F238E27FC236}">
              <a16:creationId xmlns:a16="http://schemas.microsoft.com/office/drawing/2014/main" id="{095F50BA-6FE2-41FF-8AC4-128DA41C9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27" name="Picture 8" descr=" ">
          <a:extLst>
            <a:ext uri="{FF2B5EF4-FFF2-40B4-BE49-F238E27FC236}">
              <a16:creationId xmlns:a16="http://schemas.microsoft.com/office/drawing/2014/main" id="{14A930E2-E77E-4AC7-88DD-65A510B4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28" name="Picture 9" descr=" ">
          <a:extLst>
            <a:ext uri="{FF2B5EF4-FFF2-40B4-BE49-F238E27FC236}">
              <a16:creationId xmlns:a16="http://schemas.microsoft.com/office/drawing/2014/main" id="{1C982B75-F852-4732-9AD7-56B4A3E7A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29" name="Picture 10" descr=" ">
          <a:extLst>
            <a:ext uri="{FF2B5EF4-FFF2-40B4-BE49-F238E27FC236}">
              <a16:creationId xmlns:a16="http://schemas.microsoft.com/office/drawing/2014/main" id="{11B219E3-C43B-4354-888F-B6429265C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30" name="Picture 11" descr=" ">
          <a:extLst>
            <a:ext uri="{FF2B5EF4-FFF2-40B4-BE49-F238E27FC236}">
              <a16:creationId xmlns:a16="http://schemas.microsoft.com/office/drawing/2014/main" id="{0E8E2F51-1161-40F7-8C0A-0EA0A16D8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31" name="Picture 12" descr=" ">
          <a:extLst>
            <a:ext uri="{FF2B5EF4-FFF2-40B4-BE49-F238E27FC236}">
              <a16:creationId xmlns:a16="http://schemas.microsoft.com/office/drawing/2014/main" id="{D43A7007-7DAA-4D3D-9B76-69B92684C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32" name="Picture 7" descr=" ">
          <a:extLst>
            <a:ext uri="{FF2B5EF4-FFF2-40B4-BE49-F238E27FC236}">
              <a16:creationId xmlns:a16="http://schemas.microsoft.com/office/drawing/2014/main" id="{6B759FD4-3881-4423-AE77-3F75F0EF3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33" name="Picture 8" descr=" ">
          <a:extLst>
            <a:ext uri="{FF2B5EF4-FFF2-40B4-BE49-F238E27FC236}">
              <a16:creationId xmlns:a16="http://schemas.microsoft.com/office/drawing/2014/main" id="{960720B5-8F7E-4295-A982-DF3DED49A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34" name="Picture 9" descr=" ">
          <a:extLst>
            <a:ext uri="{FF2B5EF4-FFF2-40B4-BE49-F238E27FC236}">
              <a16:creationId xmlns:a16="http://schemas.microsoft.com/office/drawing/2014/main" id="{F005E4E7-FEB9-4B33-9003-3ED33AE30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35" name="Picture 10" descr=" ">
          <a:extLst>
            <a:ext uri="{FF2B5EF4-FFF2-40B4-BE49-F238E27FC236}">
              <a16:creationId xmlns:a16="http://schemas.microsoft.com/office/drawing/2014/main" id="{0CD95712-96A7-46AE-8A83-2D96EFEF8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36" name="Picture 11" descr=" ">
          <a:extLst>
            <a:ext uri="{FF2B5EF4-FFF2-40B4-BE49-F238E27FC236}">
              <a16:creationId xmlns:a16="http://schemas.microsoft.com/office/drawing/2014/main" id="{64299C1D-7EC9-4563-AC6D-5EF06B8B4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37" name="Picture 12" descr=" ">
          <a:extLst>
            <a:ext uri="{FF2B5EF4-FFF2-40B4-BE49-F238E27FC236}">
              <a16:creationId xmlns:a16="http://schemas.microsoft.com/office/drawing/2014/main" id="{E4E27B9C-FEF4-42E3-B412-6663FFA56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38" name="Picture 7" descr=" ">
          <a:extLst>
            <a:ext uri="{FF2B5EF4-FFF2-40B4-BE49-F238E27FC236}">
              <a16:creationId xmlns:a16="http://schemas.microsoft.com/office/drawing/2014/main" id="{AE5ADFE2-0452-4CE5-B993-C65C78614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39" name="Picture 8" descr=" ">
          <a:extLst>
            <a:ext uri="{FF2B5EF4-FFF2-40B4-BE49-F238E27FC236}">
              <a16:creationId xmlns:a16="http://schemas.microsoft.com/office/drawing/2014/main" id="{D1FCDD1A-3020-4F2F-BEA0-D54411819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40" name="Picture 9" descr=" ">
          <a:extLst>
            <a:ext uri="{FF2B5EF4-FFF2-40B4-BE49-F238E27FC236}">
              <a16:creationId xmlns:a16="http://schemas.microsoft.com/office/drawing/2014/main" id="{D836BC9C-A3C8-48B9-94B0-D749643AF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41" name="Picture 10" descr=" ">
          <a:extLst>
            <a:ext uri="{FF2B5EF4-FFF2-40B4-BE49-F238E27FC236}">
              <a16:creationId xmlns:a16="http://schemas.microsoft.com/office/drawing/2014/main" id="{DDF0801E-F687-447E-84B5-829DB0FED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42" name="Picture 11" descr=" ">
          <a:extLst>
            <a:ext uri="{FF2B5EF4-FFF2-40B4-BE49-F238E27FC236}">
              <a16:creationId xmlns:a16="http://schemas.microsoft.com/office/drawing/2014/main" id="{CA47EEA6-9D29-4238-9C35-D77997CC2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43" name="Picture 12" descr=" ">
          <a:extLst>
            <a:ext uri="{FF2B5EF4-FFF2-40B4-BE49-F238E27FC236}">
              <a16:creationId xmlns:a16="http://schemas.microsoft.com/office/drawing/2014/main" id="{10F2D521-D808-401C-B54F-C0B4B4A17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44" name="Picture 7" descr=" ">
          <a:extLst>
            <a:ext uri="{FF2B5EF4-FFF2-40B4-BE49-F238E27FC236}">
              <a16:creationId xmlns:a16="http://schemas.microsoft.com/office/drawing/2014/main" id="{0F8DFEE2-DC1A-4D11-949A-98CBF00BE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45" name="Picture 8" descr=" ">
          <a:extLst>
            <a:ext uri="{FF2B5EF4-FFF2-40B4-BE49-F238E27FC236}">
              <a16:creationId xmlns:a16="http://schemas.microsoft.com/office/drawing/2014/main" id="{96D1CED9-69ED-4B61-8B6A-EEE08E43A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46" name="Picture 9" descr=" ">
          <a:extLst>
            <a:ext uri="{FF2B5EF4-FFF2-40B4-BE49-F238E27FC236}">
              <a16:creationId xmlns:a16="http://schemas.microsoft.com/office/drawing/2014/main" id="{F10FF02E-F76A-409F-AB05-E59B371DD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47" name="Picture 10" descr=" ">
          <a:extLst>
            <a:ext uri="{FF2B5EF4-FFF2-40B4-BE49-F238E27FC236}">
              <a16:creationId xmlns:a16="http://schemas.microsoft.com/office/drawing/2014/main" id="{A1636707-15EA-4A2F-8381-D9127CE16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48" name="Picture 11" descr=" ">
          <a:extLst>
            <a:ext uri="{FF2B5EF4-FFF2-40B4-BE49-F238E27FC236}">
              <a16:creationId xmlns:a16="http://schemas.microsoft.com/office/drawing/2014/main" id="{9C4ACE16-E815-4A7B-AB83-AF1E3BA20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49" name="Picture 12" descr=" ">
          <a:extLst>
            <a:ext uri="{FF2B5EF4-FFF2-40B4-BE49-F238E27FC236}">
              <a16:creationId xmlns:a16="http://schemas.microsoft.com/office/drawing/2014/main" id="{10AB5459-DD3F-44B7-8A3A-CB1F7FB3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50" name="Picture 7" descr=" ">
          <a:extLst>
            <a:ext uri="{FF2B5EF4-FFF2-40B4-BE49-F238E27FC236}">
              <a16:creationId xmlns:a16="http://schemas.microsoft.com/office/drawing/2014/main" id="{BC4F2C9B-CA10-4F38-B9C8-BD3B1B577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51" name="Picture 8" descr=" ">
          <a:extLst>
            <a:ext uri="{FF2B5EF4-FFF2-40B4-BE49-F238E27FC236}">
              <a16:creationId xmlns:a16="http://schemas.microsoft.com/office/drawing/2014/main" id="{904CE309-E92D-4BD8-9C7C-D11A488D2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52" name="Picture 9" descr=" ">
          <a:extLst>
            <a:ext uri="{FF2B5EF4-FFF2-40B4-BE49-F238E27FC236}">
              <a16:creationId xmlns:a16="http://schemas.microsoft.com/office/drawing/2014/main" id="{2CB53A80-EE45-4328-9FC6-D9E381BAD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53" name="Picture 10" descr=" ">
          <a:extLst>
            <a:ext uri="{FF2B5EF4-FFF2-40B4-BE49-F238E27FC236}">
              <a16:creationId xmlns:a16="http://schemas.microsoft.com/office/drawing/2014/main" id="{C4226692-A521-4C1E-9146-1CFA8ED93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54" name="Picture 11" descr=" ">
          <a:extLst>
            <a:ext uri="{FF2B5EF4-FFF2-40B4-BE49-F238E27FC236}">
              <a16:creationId xmlns:a16="http://schemas.microsoft.com/office/drawing/2014/main" id="{191D6ECF-E1DC-43D8-9F84-DAC11EA16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55" name="Picture 12" descr=" ">
          <a:extLst>
            <a:ext uri="{FF2B5EF4-FFF2-40B4-BE49-F238E27FC236}">
              <a16:creationId xmlns:a16="http://schemas.microsoft.com/office/drawing/2014/main" id="{E23EC39A-3740-47BB-9C88-C9C3BF0FC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56" name="Picture 7" descr=" ">
          <a:extLst>
            <a:ext uri="{FF2B5EF4-FFF2-40B4-BE49-F238E27FC236}">
              <a16:creationId xmlns:a16="http://schemas.microsoft.com/office/drawing/2014/main" id="{66C7EA50-4848-4C26-A1C2-37228B221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57" name="Picture 8" descr=" ">
          <a:extLst>
            <a:ext uri="{FF2B5EF4-FFF2-40B4-BE49-F238E27FC236}">
              <a16:creationId xmlns:a16="http://schemas.microsoft.com/office/drawing/2014/main" id="{99076D87-759C-4E3D-A54A-D3D0E8D92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58" name="Picture 9" descr=" ">
          <a:extLst>
            <a:ext uri="{FF2B5EF4-FFF2-40B4-BE49-F238E27FC236}">
              <a16:creationId xmlns:a16="http://schemas.microsoft.com/office/drawing/2014/main" id="{1B85C895-7DA4-40A0-90C8-6ABD9868E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59" name="Picture 10" descr=" ">
          <a:extLst>
            <a:ext uri="{FF2B5EF4-FFF2-40B4-BE49-F238E27FC236}">
              <a16:creationId xmlns:a16="http://schemas.microsoft.com/office/drawing/2014/main" id="{A7401176-67D1-4526-9D0A-2523E93AC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60" name="Picture 11" descr=" ">
          <a:extLst>
            <a:ext uri="{FF2B5EF4-FFF2-40B4-BE49-F238E27FC236}">
              <a16:creationId xmlns:a16="http://schemas.microsoft.com/office/drawing/2014/main" id="{C2C712DC-0506-47C8-96E6-CD705DB23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61" name="Picture 12" descr=" ">
          <a:extLst>
            <a:ext uri="{FF2B5EF4-FFF2-40B4-BE49-F238E27FC236}">
              <a16:creationId xmlns:a16="http://schemas.microsoft.com/office/drawing/2014/main" id="{81855E66-761D-40D6-84AF-E17CA64D2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62" name="Picture 7" descr=" ">
          <a:extLst>
            <a:ext uri="{FF2B5EF4-FFF2-40B4-BE49-F238E27FC236}">
              <a16:creationId xmlns:a16="http://schemas.microsoft.com/office/drawing/2014/main" id="{BE2E5013-42D9-4F72-A0E2-70A5511BD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63" name="Picture 8" descr=" ">
          <a:extLst>
            <a:ext uri="{FF2B5EF4-FFF2-40B4-BE49-F238E27FC236}">
              <a16:creationId xmlns:a16="http://schemas.microsoft.com/office/drawing/2014/main" id="{8B64EA39-933E-45FE-BFEB-41397A6F4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64" name="Picture 9" descr=" ">
          <a:extLst>
            <a:ext uri="{FF2B5EF4-FFF2-40B4-BE49-F238E27FC236}">
              <a16:creationId xmlns:a16="http://schemas.microsoft.com/office/drawing/2014/main" id="{AED33564-94B4-46BA-9A2B-8FC38E38B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65" name="Picture 10" descr=" ">
          <a:extLst>
            <a:ext uri="{FF2B5EF4-FFF2-40B4-BE49-F238E27FC236}">
              <a16:creationId xmlns:a16="http://schemas.microsoft.com/office/drawing/2014/main" id="{9786A480-4F95-4F1E-AA8A-E263D794D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66" name="Picture 11" descr=" ">
          <a:extLst>
            <a:ext uri="{FF2B5EF4-FFF2-40B4-BE49-F238E27FC236}">
              <a16:creationId xmlns:a16="http://schemas.microsoft.com/office/drawing/2014/main" id="{8D769B64-274B-4603-8A29-BBF827E20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67" name="Picture 12" descr=" ">
          <a:extLst>
            <a:ext uri="{FF2B5EF4-FFF2-40B4-BE49-F238E27FC236}">
              <a16:creationId xmlns:a16="http://schemas.microsoft.com/office/drawing/2014/main" id="{F8FD3B28-94F3-4F96-91F0-3B16C479B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68" name="Picture 7" descr=" ">
          <a:extLst>
            <a:ext uri="{FF2B5EF4-FFF2-40B4-BE49-F238E27FC236}">
              <a16:creationId xmlns:a16="http://schemas.microsoft.com/office/drawing/2014/main" id="{4B1F68F8-D312-452A-959F-E08D452EB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69" name="Picture 8" descr=" ">
          <a:extLst>
            <a:ext uri="{FF2B5EF4-FFF2-40B4-BE49-F238E27FC236}">
              <a16:creationId xmlns:a16="http://schemas.microsoft.com/office/drawing/2014/main" id="{6EC3B573-7B76-42B0-8CCF-1A45A475B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70" name="Picture 9" descr=" ">
          <a:extLst>
            <a:ext uri="{FF2B5EF4-FFF2-40B4-BE49-F238E27FC236}">
              <a16:creationId xmlns:a16="http://schemas.microsoft.com/office/drawing/2014/main" id="{515630EC-8AF9-478D-908E-30405C6EB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71" name="Picture 10" descr=" ">
          <a:extLst>
            <a:ext uri="{FF2B5EF4-FFF2-40B4-BE49-F238E27FC236}">
              <a16:creationId xmlns:a16="http://schemas.microsoft.com/office/drawing/2014/main" id="{43D0F334-2759-43C0-8626-001221AA2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72" name="Picture 11" descr=" ">
          <a:extLst>
            <a:ext uri="{FF2B5EF4-FFF2-40B4-BE49-F238E27FC236}">
              <a16:creationId xmlns:a16="http://schemas.microsoft.com/office/drawing/2014/main" id="{55117B16-06A9-4EEB-8847-A73A4C443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73" name="Picture 12" descr=" ">
          <a:extLst>
            <a:ext uri="{FF2B5EF4-FFF2-40B4-BE49-F238E27FC236}">
              <a16:creationId xmlns:a16="http://schemas.microsoft.com/office/drawing/2014/main" id="{5A3F6ACD-619A-4F47-AA89-0CC43764E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74" name="Picture 7" descr=" ">
          <a:extLst>
            <a:ext uri="{FF2B5EF4-FFF2-40B4-BE49-F238E27FC236}">
              <a16:creationId xmlns:a16="http://schemas.microsoft.com/office/drawing/2014/main" id="{7E5E8B41-70E5-4670-AE86-DFDF5F203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75" name="Picture 8" descr=" ">
          <a:extLst>
            <a:ext uri="{FF2B5EF4-FFF2-40B4-BE49-F238E27FC236}">
              <a16:creationId xmlns:a16="http://schemas.microsoft.com/office/drawing/2014/main" id="{564E3E0C-3349-4860-B7EF-B53190BAB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76" name="Picture 9" descr=" ">
          <a:extLst>
            <a:ext uri="{FF2B5EF4-FFF2-40B4-BE49-F238E27FC236}">
              <a16:creationId xmlns:a16="http://schemas.microsoft.com/office/drawing/2014/main" id="{4ED77543-9650-4B40-9C1F-A8847AD64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77" name="Picture 10" descr=" ">
          <a:extLst>
            <a:ext uri="{FF2B5EF4-FFF2-40B4-BE49-F238E27FC236}">
              <a16:creationId xmlns:a16="http://schemas.microsoft.com/office/drawing/2014/main" id="{F08EB113-D857-4C79-BF04-C98DA115B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78" name="Picture 11" descr=" ">
          <a:extLst>
            <a:ext uri="{FF2B5EF4-FFF2-40B4-BE49-F238E27FC236}">
              <a16:creationId xmlns:a16="http://schemas.microsoft.com/office/drawing/2014/main" id="{11AB9068-20B6-4253-BF47-DA192AF11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79" name="Picture 12" descr=" ">
          <a:extLst>
            <a:ext uri="{FF2B5EF4-FFF2-40B4-BE49-F238E27FC236}">
              <a16:creationId xmlns:a16="http://schemas.microsoft.com/office/drawing/2014/main" id="{E9124C73-848A-403A-A7D3-BEFE07B0D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80" name="Picture 7" descr=" ">
          <a:extLst>
            <a:ext uri="{FF2B5EF4-FFF2-40B4-BE49-F238E27FC236}">
              <a16:creationId xmlns:a16="http://schemas.microsoft.com/office/drawing/2014/main" id="{595470A0-13A7-4B10-851E-A879B8302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81" name="Picture 8" descr=" ">
          <a:extLst>
            <a:ext uri="{FF2B5EF4-FFF2-40B4-BE49-F238E27FC236}">
              <a16:creationId xmlns:a16="http://schemas.microsoft.com/office/drawing/2014/main" id="{02AFFC94-32B1-4E57-A591-0C7A40341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82" name="Picture 9" descr=" ">
          <a:extLst>
            <a:ext uri="{FF2B5EF4-FFF2-40B4-BE49-F238E27FC236}">
              <a16:creationId xmlns:a16="http://schemas.microsoft.com/office/drawing/2014/main" id="{E4397336-0F5C-43F2-87B1-F2F009609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83" name="Picture 10" descr=" ">
          <a:extLst>
            <a:ext uri="{FF2B5EF4-FFF2-40B4-BE49-F238E27FC236}">
              <a16:creationId xmlns:a16="http://schemas.microsoft.com/office/drawing/2014/main" id="{1C66923A-0EF6-4B0E-9B2A-18E99D393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84" name="Picture 11" descr=" ">
          <a:extLst>
            <a:ext uri="{FF2B5EF4-FFF2-40B4-BE49-F238E27FC236}">
              <a16:creationId xmlns:a16="http://schemas.microsoft.com/office/drawing/2014/main" id="{7E6EFADB-7351-4841-B5A3-57D40EF18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85" name="Picture 12" descr=" ">
          <a:extLst>
            <a:ext uri="{FF2B5EF4-FFF2-40B4-BE49-F238E27FC236}">
              <a16:creationId xmlns:a16="http://schemas.microsoft.com/office/drawing/2014/main" id="{FC5E55D1-C116-4EEA-91DB-22AA78318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86" name="Picture 7" descr=" ">
          <a:extLst>
            <a:ext uri="{FF2B5EF4-FFF2-40B4-BE49-F238E27FC236}">
              <a16:creationId xmlns:a16="http://schemas.microsoft.com/office/drawing/2014/main" id="{35D91768-0631-468D-B688-B91D802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87" name="Picture 8" descr=" ">
          <a:extLst>
            <a:ext uri="{FF2B5EF4-FFF2-40B4-BE49-F238E27FC236}">
              <a16:creationId xmlns:a16="http://schemas.microsoft.com/office/drawing/2014/main" id="{10632D19-13C1-4B3C-A7AD-EEE7EA765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88" name="Picture 9" descr=" ">
          <a:extLst>
            <a:ext uri="{FF2B5EF4-FFF2-40B4-BE49-F238E27FC236}">
              <a16:creationId xmlns:a16="http://schemas.microsoft.com/office/drawing/2014/main" id="{F3556AD2-5AD0-44C7-9BF8-5F3D223AE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89" name="Picture 10" descr=" ">
          <a:extLst>
            <a:ext uri="{FF2B5EF4-FFF2-40B4-BE49-F238E27FC236}">
              <a16:creationId xmlns:a16="http://schemas.microsoft.com/office/drawing/2014/main" id="{B3895E81-ED78-4999-831B-C44F9FBAC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90" name="Picture 11" descr=" ">
          <a:extLst>
            <a:ext uri="{FF2B5EF4-FFF2-40B4-BE49-F238E27FC236}">
              <a16:creationId xmlns:a16="http://schemas.microsoft.com/office/drawing/2014/main" id="{A493D949-9939-4AD2-AF29-FAD29800D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91" name="Picture 12" descr=" ">
          <a:extLst>
            <a:ext uri="{FF2B5EF4-FFF2-40B4-BE49-F238E27FC236}">
              <a16:creationId xmlns:a16="http://schemas.microsoft.com/office/drawing/2014/main" id="{922656FE-C10A-4FAF-83D4-95EEF3B3E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92" name="Picture 7" descr=" ">
          <a:extLst>
            <a:ext uri="{FF2B5EF4-FFF2-40B4-BE49-F238E27FC236}">
              <a16:creationId xmlns:a16="http://schemas.microsoft.com/office/drawing/2014/main" id="{393F70EA-A60F-43CB-8807-D3E47F2D9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93" name="Picture 8" descr=" ">
          <a:extLst>
            <a:ext uri="{FF2B5EF4-FFF2-40B4-BE49-F238E27FC236}">
              <a16:creationId xmlns:a16="http://schemas.microsoft.com/office/drawing/2014/main" id="{75870564-F851-4768-8965-90BF8C0E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94" name="Picture 9" descr=" ">
          <a:extLst>
            <a:ext uri="{FF2B5EF4-FFF2-40B4-BE49-F238E27FC236}">
              <a16:creationId xmlns:a16="http://schemas.microsoft.com/office/drawing/2014/main" id="{BE4E8B6A-0A4F-478A-9380-69CF915BB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95" name="Picture 10" descr=" ">
          <a:extLst>
            <a:ext uri="{FF2B5EF4-FFF2-40B4-BE49-F238E27FC236}">
              <a16:creationId xmlns:a16="http://schemas.microsoft.com/office/drawing/2014/main" id="{FE912F5F-036F-46E5-8EF1-F9700E224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96" name="Picture 11" descr=" ">
          <a:extLst>
            <a:ext uri="{FF2B5EF4-FFF2-40B4-BE49-F238E27FC236}">
              <a16:creationId xmlns:a16="http://schemas.microsoft.com/office/drawing/2014/main" id="{ECEC5B60-BA55-4052-B846-AF53632F4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97" name="Picture 12" descr=" ">
          <a:extLst>
            <a:ext uri="{FF2B5EF4-FFF2-40B4-BE49-F238E27FC236}">
              <a16:creationId xmlns:a16="http://schemas.microsoft.com/office/drawing/2014/main" id="{25B3EEE4-FA4E-4041-A995-5FD4DB5F1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98" name="Picture 7" descr=" ">
          <a:extLst>
            <a:ext uri="{FF2B5EF4-FFF2-40B4-BE49-F238E27FC236}">
              <a16:creationId xmlns:a16="http://schemas.microsoft.com/office/drawing/2014/main" id="{39E345F6-7EE1-49A8-8B41-216BB9D1C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099" name="Picture 8" descr=" ">
          <a:extLst>
            <a:ext uri="{FF2B5EF4-FFF2-40B4-BE49-F238E27FC236}">
              <a16:creationId xmlns:a16="http://schemas.microsoft.com/office/drawing/2014/main" id="{0DE98564-A79D-4226-B491-F5E9BB244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00" name="Picture 9" descr=" ">
          <a:extLst>
            <a:ext uri="{FF2B5EF4-FFF2-40B4-BE49-F238E27FC236}">
              <a16:creationId xmlns:a16="http://schemas.microsoft.com/office/drawing/2014/main" id="{1B6BEB9F-DC8A-4A44-AB4C-EB2D44EFE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01" name="Picture 10" descr=" ">
          <a:extLst>
            <a:ext uri="{FF2B5EF4-FFF2-40B4-BE49-F238E27FC236}">
              <a16:creationId xmlns:a16="http://schemas.microsoft.com/office/drawing/2014/main" id="{D3C4B68B-0624-4B24-9B6F-7549CF08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02" name="Picture 11" descr=" ">
          <a:extLst>
            <a:ext uri="{FF2B5EF4-FFF2-40B4-BE49-F238E27FC236}">
              <a16:creationId xmlns:a16="http://schemas.microsoft.com/office/drawing/2014/main" id="{4D90E4E6-3088-4445-A19B-8BD770E22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03" name="Picture 12" descr=" ">
          <a:extLst>
            <a:ext uri="{FF2B5EF4-FFF2-40B4-BE49-F238E27FC236}">
              <a16:creationId xmlns:a16="http://schemas.microsoft.com/office/drawing/2014/main" id="{FA6C02AF-D277-4FC9-89FB-3E3A1A004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04" name="Picture 7" descr=" ">
          <a:extLst>
            <a:ext uri="{FF2B5EF4-FFF2-40B4-BE49-F238E27FC236}">
              <a16:creationId xmlns:a16="http://schemas.microsoft.com/office/drawing/2014/main" id="{38A5091C-9A6A-4A6E-ADB3-F549E9A8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05" name="Picture 8" descr=" ">
          <a:extLst>
            <a:ext uri="{FF2B5EF4-FFF2-40B4-BE49-F238E27FC236}">
              <a16:creationId xmlns:a16="http://schemas.microsoft.com/office/drawing/2014/main" id="{5D33BAD9-1A36-4CAD-818D-3E04E9B20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06" name="Picture 9" descr=" ">
          <a:extLst>
            <a:ext uri="{FF2B5EF4-FFF2-40B4-BE49-F238E27FC236}">
              <a16:creationId xmlns:a16="http://schemas.microsoft.com/office/drawing/2014/main" id="{96330CC3-877B-4A2B-A8DF-A19190999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07" name="Picture 10" descr=" ">
          <a:extLst>
            <a:ext uri="{FF2B5EF4-FFF2-40B4-BE49-F238E27FC236}">
              <a16:creationId xmlns:a16="http://schemas.microsoft.com/office/drawing/2014/main" id="{B22B92A3-7593-428F-A374-EADA48FD1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08" name="Picture 11" descr=" ">
          <a:extLst>
            <a:ext uri="{FF2B5EF4-FFF2-40B4-BE49-F238E27FC236}">
              <a16:creationId xmlns:a16="http://schemas.microsoft.com/office/drawing/2014/main" id="{78E83279-A310-45E8-89C1-114091C48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09" name="Picture 12" descr=" ">
          <a:extLst>
            <a:ext uri="{FF2B5EF4-FFF2-40B4-BE49-F238E27FC236}">
              <a16:creationId xmlns:a16="http://schemas.microsoft.com/office/drawing/2014/main" id="{A9FF309D-9AB7-4516-B1ED-34C0FFD74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10" name="Picture 7" descr=" ">
          <a:extLst>
            <a:ext uri="{FF2B5EF4-FFF2-40B4-BE49-F238E27FC236}">
              <a16:creationId xmlns:a16="http://schemas.microsoft.com/office/drawing/2014/main" id="{2FED2129-FB9E-41D8-977C-B07E4155A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11" name="Picture 8" descr=" ">
          <a:extLst>
            <a:ext uri="{FF2B5EF4-FFF2-40B4-BE49-F238E27FC236}">
              <a16:creationId xmlns:a16="http://schemas.microsoft.com/office/drawing/2014/main" id="{BC726DCF-3414-44ED-90C7-49BEA6AB7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12" name="Picture 9" descr=" ">
          <a:extLst>
            <a:ext uri="{FF2B5EF4-FFF2-40B4-BE49-F238E27FC236}">
              <a16:creationId xmlns:a16="http://schemas.microsoft.com/office/drawing/2014/main" id="{76602469-5B58-405F-A02F-F69C3F0EE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13" name="Picture 10" descr=" ">
          <a:extLst>
            <a:ext uri="{FF2B5EF4-FFF2-40B4-BE49-F238E27FC236}">
              <a16:creationId xmlns:a16="http://schemas.microsoft.com/office/drawing/2014/main" id="{67E0F750-E87A-427B-B558-BF5A17A96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14" name="Picture 11" descr=" ">
          <a:extLst>
            <a:ext uri="{FF2B5EF4-FFF2-40B4-BE49-F238E27FC236}">
              <a16:creationId xmlns:a16="http://schemas.microsoft.com/office/drawing/2014/main" id="{635741B0-72E4-4491-86FD-74D28D0DD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15" name="Picture 12" descr=" ">
          <a:extLst>
            <a:ext uri="{FF2B5EF4-FFF2-40B4-BE49-F238E27FC236}">
              <a16:creationId xmlns:a16="http://schemas.microsoft.com/office/drawing/2014/main" id="{F759D439-4A63-425C-BC61-D76621AA0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16" name="Picture 7" descr=" ">
          <a:extLst>
            <a:ext uri="{FF2B5EF4-FFF2-40B4-BE49-F238E27FC236}">
              <a16:creationId xmlns:a16="http://schemas.microsoft.com/office/drawing/2014/main" id="{F411A8A6-885A-4D0B-A42B-788A1FE4D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17" name="Picture 8" descr=" ">
          <a:extLst>
            <a:ext uri="{FF2B5EF4-FFF2-40B4-BE49-F238E27FC236}">
              <a16:creationId xmlns:a16="http://schemas.microsoft.com/office/drawing/2014/main" id="{C1C1F984-029E-4B48-AED0-C8C438E80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18" name="Picture 9" descr=" ">
          <a:extLst>
            <a:ext uri="{FF2B5EF4-FFF2-40B4-BE49-F238E27FC236}">
              <a16:creationId xmlns:a16="http://schemas.microsoft.com/office/drawing/2014/main" id="{6E5B9917-4539-4DBA-AA9E-83606F962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19" name="Picture 10" descr=" ">
          <a:extLst>
            <a:ext uri="{FF2B5EF4-FFF2-40B4-BE49-F238E27FC236}">
              <a16:creationId xmlns:a16="http://schemas.microsoft.com/office/drawing/2014/main" id="{8ACAB8E2-F04B-4B81-B735-6ABBDDD7F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20" name="Picture 11" descr=" ">
          <a:extLst>
            <a:ext uri="{FF2B5EF4-FFF2-40B4-BE49-F238E27FC236}">
              <a16:creationId xmlns:a16="http://schemas.microsoft.com/office/drawing/2014/main" id="{33C288A3-CF48-4361-952D-2A93FEAA6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21" name="Picture 12" descr=" ">
          <a:extLst>
            <a:ext uri="{FF2B5EF4-FFF2-40B4-BE49-F238E27FC236}">
              <a16:creationId xmlns:a16="http://schemas.microsoft.com/office/drawing/2014/main" id="{6945B59F-C249-4219-8D36-8A43836C0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22" name="Picture 7" descr=" ">
          <a:extLst>
            <a:ext uri="{FF2B5EF4-FFF2-40B4-BE49-F238E27FC236}">
              <a16:creationId xmlns:a16="http://schemas.microsoft.com/office/drawing/2014/main" id="{36BBD925-B328-4F7C-84A2-53DE3620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23" name="Picture 8" descr=" ">
          <a:extLst>
            <a:ext uri="{FF2B5EF4-FFF2-40B4-BE49-F238E27FC236}">
              <a16:creationId xmlns:a16="http://schemas.microsoft.com/office/drawing/2014/main" id="{D6D9C4D6-8670-425B-BD62-7157940EC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24" name="Picture 9" descr=" ">
          <a:extLst>
            <a:ext uri="{FF2B5EF4-FFF2-40B4-BE49-F238E27FC236}">
              <a16:creationId xmlns:a16="http://schemas.microsoft.com/office/drawing/2014/main" id="{470D0062-F101-4AB6-B5C5-3EC901096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25" name="Picture 10" descr=" ">
          <a:extLst>
            <a:ext uri="{FF2B5EF4-FFF2-40B4-BE49-F238E27FC236}">
              <a16:creationId xmlns:a16="http://schemas.microsoft.com/office/drawing/2014/main" id="{E1F34325-C228-42FE-92F3-7134CD09D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26" name="Picture 11" descr=" ">
          <a:extLst>
            <a:ext uri="{FF2B5EF4-FFF2-40B4-BE49-F238E27FC236}">
              <a16:creationId xmlns:a16="http://schemas.microsoft.com/office/drawing/2014/main" id="{CCFF332A-FD70-4778-B19C-4EDEF743F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27" name="Picture 12" descr=" ">
          <a:extLst>
            <a:ext uri="{FF2B5EF4-FFF2-40B4-BE49-F238E27FC236}">
              <a16:creationId xmlns:a16="http://schemas.microsoft.com/office/drawing/2014/main" id="{90162DC8-0131-4593-B675-90EF4A4C5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28" name="Picture 7" descr=" ">
          <a:extLst>
            <a:ext uri="{FF2B5EF4-FFF2-40B4-BE49-F238E27FC236}">
              <a16:creationId xmlns:a16="http://schemas.microsoft.com/office/drawing/2014/main" id="{00DD1282-C06B-4290-8097-BE027E05D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29" name="Picture 8" descr=" ">
          <a:extLst>
            <a:ext uri="{FF2B5EF4-FFF2-40B4-BE49-F238E27FC236}">
              <a16:creationId xmlns:a16="http://schemas.microsoft.com/office/drawing/2014/main" id="{31910A30-1C04-44D6-974D-FD8A2A6CB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30" name="Picture 9" descr=" ">
          <a:extLst>
            <a:ext uri="{FF2B5EF4-FFF2-40B4-BE49-F238E27FC236}">
              <a16:creationId xmlns:a16="http://schemas.microsoft.com/office/drawing/2014/main" id="{85E62045-C173-46DD-9185-E1E15E212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31" name="Picture 10" descr=" ">
          <a:extLst>
            <a:ext uri="{FF2B5EF4-FFF2-40B4-BE49-F238E27FC236}">
              <a16:creationId xmlns:a16="http://schemas.microsoft.com/office/drawing/2014/main" id="{D146D2FC-5048-4932-A1E8-A0A6EA719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32" name="Picture 11" descr=" ">
          <a:extLst>
            <a:ext uri="{FF2B5EF4-FFF2-40B4-BE49-F238E27FC236}">
              <a16:creationId xmlns:a16="http://schemas.microsoft.com/office/drawing/2014/main" id="{B650BD45-70E5-424F-8707-B628A87B4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33" name="Picture 12" descr=" ">
          <a:extLst>
            <a:ext uri="{FF2B5EF4-FFF2-40B4-BE49-F238E27FC236}">
              <a16:creationId xmlns:a16="http://schemas.microsoft.com/office/drawing/2014/main" id="{60ED0479-45B3-455D-B9A3-C609041E0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34" name="Picture 7" descr=" ">
          <a:extLst>
            <a:ext uri="{FF2B5EF4-FFF2-40B4-BE49-F238E27FC236}">
              <a16:creationId xmlns:a16="http://schemas.microsoft.com/office/drawing/2014/main" id="{902EAACB-CBBB-4991-8F93-F21CEA244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35" name="Picture 8" descr=" ">
          <a:extLst>
            <a:ext uri="{FF2B5EF4-FFF2-40B4-BE49-F238E27FC236}">
              <a16:creationId xmlns:a16="http://schemas.microsoft.com/office/drawing/2014/main" id="{47E382BC-0C74-472E-8EB1-E3979EAC5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36" name="Picture 9" descr=" ">
          <a:extLst>
            <a:ext uri="{FF2B5EF4-FFF2-40B4-BE49-F238E27FC236}">
              <a16:creationId xmlns:a16="http://schemas.microsoft.com/office/drawing/2014/main" id="{5EEFE089-75CB-431B-BC4C-AB5EBAA70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37" name="Picture 10" descr=" ">
          <a:extLst>
            <a:ext uri="{FF2B5EF4-FFF2-40B4-BE49-F238E27FC236}">
              <a16:creationId xmlns:a16="http://schemas.microsoft.com/office/drawing/2014/main" id="{9E5E3255-3F8D-498E-9023-544D79F73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38" name="Picture 11" descr=" ">
          <a:extLst>
            <a:ext uri="{FF2B5EF4-FFF2-40B4-BE49-F238E27FC236}">
              <a16:creationId xmlns:a16="http://schemas.microsoft.com/office/drawing/2014/main" id="{C9890117-E91C-4727-9DF6-6E94D598C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39" name="Picture 12" descr=" ">
          <a:extLst>
            <a:ext uri="{FF2B5EF4-FFF2-40B4-BE49-F238E27FC236}">
              <a16:creationId xmlns:a16="http://schemas.microsoft.com/office/drawing/2014/main" id="{17F8F2EA-5B00-4FDB-AE18-D49804E0E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40" name="Picture 7" descr=" ">
          <a:extLst>
            <a:ext uri="{FF2B5EF4-FFF2-40B4-BE49-F238E27FC236}">
              <a16:creationId xmlns:a16="http://schemas.microsoft.com/office/drawing/2014/main" id="{77B6E261-7E6D-4908-A826-4417F910A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41" name="Picture 8" descr=" ">
          <a:extLst>
            <a:ext uri="{FF2B5EF4-FFF2-40B4-BE49-F238E27FC236}">
              <a16:creationId xmlns:a16="http://schemas.microsoft.com/office/drawing/2014/main" id="{E8248CAD-1B57-4128-98D6-266E00113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42" name="Picture 9" descr=" ">
          <a:extLst>
            <a:ext uri="{FF2B5EF4-FFF2-40B4-BE49-F238E27FC236}">
              <a16:creationId xmlns:a16="http://schemas.microsoft.com/office/drawing/2014/main" id="{5DAE093D-C664-4C92-917E-76F447568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43" name="Picture 10" descr=" ">
          <a:extLst>
            <a:ext uri="{FF2B5EF4-FFF2-40B4-BE49-F238E27FC236}">
              <a16:creationId xmlns:a16="http://schemas.microsoft.com/office/drawing/2014/main" id="{5EC48FED-79BB-401C-A033-B4DF6391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44" name="Picture 11" descr=" ">
          <a:extLst>
            <a:ext uri="{FF2B5EF4-FFF2-40B4-BE49-F238E27FC236}">
              <a16:creationId xmlns:a16="http://schemas.microsoft.com/office/drawing/2014/main" id="{999CED4E-2EA2-4ADA-B40A-0AEF4AECD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45" name="Picture 12" descr=" ">
          <a:extLst>
            <a:ext uri="{FF2B5EF4-FFF2-40B4-BE49-F238E27FC236}">
              <a16:creationId xmlns:a16="http://schemas.microsoft.com/office/drawing/2014/main" id="{25C7BDC5-5851-455E-8FBB-714FA5F2D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46" name="Picture 7" descr=" ">
          <a:extLst>
            <a:ext uri="{FF2B5EF4-FFF2-40B4-BE49-F238E27FC236}">
              <a16:creationId xmlns:a16="http://schemas.microsoft.com/office/drawing/2014/main" id="{46724B75-117F-4022-A508-C5050E5E5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47" name="Picture 8" descr=" ">
          <a:extLst>
            <a:ext uri="{FF2B5EF4-FFF2-40B4-BE49-F238E27FC236}">
              <a16:creationId xmlns:a16="http://schemas.microsoft.com/office/drawing/2014/main" id="{D031A6AD-D809-453A-850D-B1B200F94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48" name="Picture 9" descr=" ">
          <a:extLst>
            <a:ext uri="{FF2B5EF4-FFF2-40B4-BE49-F238E27FC236}">
              <a16:creationId xmlns:a16="http://schemas.microsoft.com/office/drawing/2014/main" id="{EF046415-3514-4527-9DF7-5532201F4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49" name="Picture 10" descr=" ">
          <a:extLst>
            <a:ext uri="{FF2B5EF4-FFF2-40B4-BE49-F238E27FC236}">
              <a16:creationId xmlns:a16="http://schemas.microsoft.com/office/drawing/2014/main" id="{91C514B8-6A26-4B22-9299-2DEB67657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50" name="Picture 11" descr=" ">
          <a:extLst>
            <a:ext uri="{FF2B5EF4-FFF2-40B4-BE49-F238E27FC236}">
              <a16:creationId xmlns:a16="http://schemas.microsoft.com/office/drawing/2014/main" id="{610E3C8B-4194-494E-9FD9-C4095604F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51" name="Picture 12" descr=" ">
          <a:extLst>
            <a:ext uri="{FF2B5EF4-FFF2-40B4-BE49-F238E27FC236}">
              <a16:creationId xmlns:a16="http://schemas.microsoft.com/office/drawing/2014/main" id="{431A4545-1D69-4BE0-8601-5946F0E0A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52" name="Picture 7" descr=" ">
          <a:extLst>
            <a:ext uri="{FF2B5EF4-FFF2-40B4-BE49-F238E27FC236}">
              <a16:creationId xmlns:a16="http://schemas.microsoft.com/office/drawing/2014/main" id="{63FA94E0-B818-4FB0-A481-376ED9CCD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53" name="Picture 8" descr=" ">
          <a:extLst>
            <a:ext uri="{FF2B5EF4-FFF2-40B4-BE49-F238E27FC236}">
              <a16:creationId xmlns:a16="http://schemas.microsoft.com/office/drawing/2014/main" id="{3377C153-ABFC-4441-B8FD-C85B7A32A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54" name="Picture 9" descr=" ">
          <a:extLst>
            <a:ext uri="{FF2B5EF4-FFF2-40B4-BE49-F238E27FC236}">
              <a16:creationId xmlns:a16="http://schemas.microsoft.com/office/drawing/2014/main" id="{60604989-D96F-4A64-B1F1-E07881B5B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55" name="Picture 10" descr=" ">
          <a:extLst>
            <a:ext uri="{FF2B5EF4-FFF2-40B4-BE49-F238E27FC236}">
              <a16:creationId xmlns:a16="http://schemas.microsoft.com/office/drawing/2014/main" id="{221FEB33-5E05-4863-813A-6CA6C9CFC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56" name="Picture 11" descr=" ">
          <a:extLst>
            <a:ext uri="{FF2B5EF4-FFF2-40B4-BE49-F238E27FC236}">
              <a16:creationId xmlns:a16="http://schemas.microsoft.com/office/drawing/2014/main" id="{31414D91-0FCD-48DE-AC0D-86964EDD1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57" name="Picture 12" descr=" ">
          <a:extLst>
            <a:ext uri="{FF2B5EF4-FFF2-40B4-BE49-F238E27FC236}">
              <a16:creationId xmlns:a16="http://schemas.microsoft.com/office/drawing/2014/main" id="{EA78867B-D72B-47C8-B112-557429D24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58" name="Picture 7" descr=" ">
          <a:extLst>
            <a:ext uri="{FF2B5EF4-FFF2-40B4-BE49-F238E27FC236}">
              <a16:creationId xmlns:a16="http://schemas.microsoft.com/office/drawing/2014/main" id="{EC5F10C6-6CE8-4F67-87EC-FC2462F98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59" name="Picture 8" descr=" ">
          <a:extLst>
            <a:ext uri="{FF2B5EF4-FFF2-40B4-BE49-F238E27FC236}">
              <a16:creationId xmlns:a16="http://schemas.microsoft.com/office/drawing/2014/main" id="{86F6BF55-4D61-47C9-B1AB-1639AF2AC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60" name="Picture 9" descr=" ">
          <a:extLst>
            <a:ext uri="{FF2B5EF4-FFF2-40B4-BE49-F238E27FC236}">
              <a16:creationId xmlns:a16="http://schemas.microsoft.com/office/drawing/2014/main" id="{4A8AE631-F6B8-4CC8-8591-B7F017B7D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61" name="Picture 10" descr=" ">
          <a:extLst>
            <a:ext uri="{FF2B5EF4-FFF2-40B4-BE49-F238E27FC236}">
              <a16:creationId xmlns:a16="http://schemas.microsoft.com/office/drawing/2014/main" id="{6F8A62ED-28C9-48B7-8FC0-0403E69D6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62" name="Picture 11" descr=" ">
          <a:extLst>
            <a:ext uri="{FF2B5EF4-FFF2-40B4-BE49-F238E27FC236}">
              <a16:creationId xmlns:a16="http://schemas.microsoft.com/office/drawing/2014/main" id="{9950FA41-AA75-4110-A672-4D665FBF0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63" name="Picture 12" descr=" ">
          <a:extLst>
            <a:ext uri="{FF2B5EF4-FFF2-40B4-BE49-F238E27FC236}">
              <a16:creationId xmlns:a16="http://schemas.microsoft.com/office/drawing/2014/main" id="{C1CE1053-E35E-4956-8B6C-35BA3402C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64" name="Picture 7" descr=" ">
          <a:extLst>
            <a:ext uri="{FF2B5EF4-FFF2-40B4-BE49-F238E27FC236}">
              <a16:creationId xmlns:a16="http://schemas.microsoft.com/office/drawing/2014/main" id="{B7547D68-4726-4F78-B5FE-938A07216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65" name="Picture 8" descr=" ">
          <a:extLst>
            <a:ext uri="{FF2B5EF4-FFF2-40B4-BE49-F238E27FC236}">
              <a16:creationId xmlns:a16="http://schemas.microsoft.com/office/drawing/2014/main" id="{F9CB9D2C-D0F6-47B4-AF19-27D3C9B13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66" name="Picture 9" descr=" ">
          <a:extLst>
            <a:ext uri="{FF2B5EF4-FFF2-40B4-BE49-F238E27FC236}">
              <a16:creationId xmlns:a16="http://schemas.microsoft.com/office/drawing/2014/main" id="{FED0ECE9-A3BE-49CF-B216-A6D6F411B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67" name="Picture 10" descr=" ">
          <a:extLst>
            <a:ext uri="{FF2B5EF4-FFF2-40B4-BE49-F238E27FC236}">
              <a16:creationId xmlns:a16="http://schemas.microsoft.com/office/drawing/2014/main" id="{0A6FCCFC-6E5C-44C3-BF3E-57E0CCA6E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68" name="Picture 11" descr=" ">
          <a:extLst>
            <a:ext uri="{FF2B5EF4-FFF2-40B4-BE49-F238E27FC236}">
              <a16:creationId xmlns:a16="http://schemas.microsoft.com/office/drawing/2014/main" id="{108C10C8-012C-46D6-9D63-B1A876959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69" name="Picture 12" descr=" ">
          <a:extLst>
            <a:ext uri="{FF2B5EF4-FFF2-40B4-BE49-F238E27FC236}">
              <a16:creationId xmlns:a16="http://schemas.microsoft.com/office/drawing/2014/main" id="{CED895A1-B803-41DC-8AF8-F2BD4488F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70" name="Picture 7" descr=" ">
          <a:extLst>
            <a:ext uri="{FF2B5EF4-FFF2-40B4-BE49-F238E27FC236}">
              <a16:creationId xmlns:a16="http://schemas.microsoft.com/office/drawing/2014/main" id="{5767439B-7FBA-4AF4-9692-0B6D7B95A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71" name="Picture 8" descr=" ">
          <a:extLst>
            <a:ext uri="{FF2B5EF4-FFF2-40B4-BE49-F238E27FC236}">
              <a16:creationId xmlns:a16="http://schemas.microsoft.com/office/drawing/2014/main" id="{6A32A17A-0DC4-438F-A863-CE6CA68DA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72" name="Picture 9" descr=" ">
          <a:extLst>
            <a:ext uri="{FF2B5EF4-FFF2-40B4-BE49-F238E27FC236}">
              <a16:creationId xmlns:a16="http://schemas.microsoft.com/office/drawing/2014/main" id="{90421F71-627A-443A-AA3B-8839B3233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73" name="Picture 10" descr=" ">
          <a:extLst>
            <a:ext uri="{FF2B5EF4-FFF2-40B4-BE49-F238E27FC236}">
              <a16:creationId xmlns:a16="http://schemas.microsoft.com/office/drawing/2014/main" id="{DBA96D9D-AB8B-4C4C-8238-DBD8474DB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74" name="Picture 11" descr=" ">
          <a:extLst>
            <a:ext uri="{FF2B5EF4-FFF2-40B4-BE49-F238E27FC236}">
              <a16:creationId xmlns:a16="http://schemas.microsoft.com/office/drawing/2014/main" id="{1001B163-82D3-4F4E-855B-038C69091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75" name="Picture 12" descr=" ">
          <a:extLst>
            <a:ext uri="{FF2B5EF4-FFF2-40B4-BE49-F238E27FC236}">
              <a16:creationId xmlns:a16="http://schemas.microsoft.com/office/drawing/2014/main" id="{028551BA-7764-4DBE-9A0E-C017B72ED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76" name="Picture 7" descr=" ">
          <a:extLst>
            <a:ext uri="{FF2B5EF4-FFF2-40B4-BE49-F238E27FC236}">
              <a16:creationId xmlns:a16="http://schemas.microsoft.com/office/drawing/2014/main" id="{FE44CFC9-DE18-4474-8395-BFE2CD436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77" name="Picture 8" descr=" ">
          <a:extLst>
            <a:ext uri="{FF2B5EF4-FFF2-40B4-BE49-F238E27FC236}">
              <a16:creationId xmlns:a16="http://schemas.microsoft.com/office/drawing/2014/main" id="{BCD4F6E3-AABE-4F4C-9BDF-D26F8912A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78" name="Picture 9" descr=" ">
          <a:extLst>
            <a:ext uri="{FF2B5EF4-FFF2-40B4-BE49-F238E27FC236}">
              <a16:creationId xmlns:a16="http://schemas.microsoft.com/office/drawing/2014/main" id="{84E9C8F5-FA57-49ED-A46E-2D92B8EF5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79" name="Picture 10" descr=" ">
          <a:extLst>
            <a:ext uri="{FF2B5EF4-FFF2-40B4-BE49-F238E27FC236}">
              <a16:creationId xmlns:a16="http://schemas.microsoft.com/office/drawing/2014/main" id="{D01C20AA-671F-43AC-A46F-1192BC7D4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80" name="Picture 11" descr=" ">
          <a:extLst>
            <a:ext uri="{FF2B5EF4-FFF2-40B4-BE49-F238E27FC236}">
              <a16:creationId xmlns:a16="http://schemas.microsoft.com/office/drawing/2014/main" id="{50E1C041-7BF0-4EB2-BFAC-DF866A2E5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81" name="Picture 12" descr=" ">
          <a:extLst>
            <a:ext uri="{FF2B5EF4-FFF2-40B4-BE49-F238E27FC236}">
              <a16:creationId xmlns:a16="http://schemas.microsoft.com/office/drawing/2014/main" id="{0F9632BB-14BE-4C5E-B68D-8B13365DD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82" name="Picture 7" descr=" ">
          <a:extLst>
            <a:ext uri="{FF2B5EF4-FFF2-40B4-BE49-F238E27FC236}">
              <a16:creationId xmlns:a16="http://schemas.microsoft.com/office/drawing/2014/main" id="{921AC303-D853-42AA-8ECE-FF5D2E935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83" name="Picture 8" descr=" ">
          <a:extLst>
            <a:ext uri="{FF2B5EF4-FFF2-40B4-BE49-F238E27FC236}">
              <a16:creationId xmlns:a16="http://schemas.microsoft.com/office/drawing/2014/main" id="{5E3EAE39-7B83-4243-901B-3F07027FD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84" name="Picture 9" descr=" ">
          <a:extLst>
            <a:ext uri="{FF2B5EF4-FFF2-40B4-BE49-F238E27FC236}">
              <a16:creationId xmlns:a16="http://schemas.microsoft.com/office/drawing/2014/main" id="{2935625F-07D6-40F5-965D-D8951CA32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85" name="Picture 10" descr=" ">
          <a:extLst>
            <a:ext uri="{FF2B5EF4-FFF2-40B4-BE49-F238E27FC236}">
              <a16:creationId xmlns:a16="http://schemas.microsoft.com/office/drawing/2014/main" id="{8679BBF8-DA86-4559-84FD-01BB06CAE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86" name="Picture 11" descr=" ">
          <a:extLst>
            <a:ext uri="{FF2B5EF4-FFF2-40B4-BE49-F238E27FC236}">
              <a16:creationId xmlns:a16="http://schemas.microsoft.com/office/drawing/2014/main" id="{741898CF-B1F3-42FF-8AAA-186285D08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87" name="Picture 12" descr=" ">
          <a:extLst>
            <a:ext uri="{FF2B5EF4-FFF2-40B4-BE49-F238E27FC236}">
              <a16:creationId xmlns:a16="http://schemas.microsoft.com/office/drawing/2014/main" id="{D9185C67-BCE7-4590-BCC4-8A83DA7A7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88" name="Picture 7" descr=" ">
          <a:extLst>
            <a:ext uri="{FF2B5EF4-FFF2-40B4-BE49-F238E27FC236}">
              <a16:creationId xmlns:a16="http://schemas.microsoft.com/office/drawing/2014/main" id="{165BB68B-E1F3-46B0-BF44-FB1D6DB7B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89" name="Picture 8" descr=" ">
          <a:extLst>
            <a:ext uri="{FF2B5EF4-FFF2-40B4-BE49-F238E27FC236}">
              <a16:creationId xmlns:a16="http://schemas.microsoft.com/office/drawing/2014/main" id="{0FAFC802-C349-4116-BEE2-32107D050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90" name="Picture 9" descr=" ">
          <a:extLst>
            <a:ext uri="{FF2B5EF4-FFF2-40B4-BE49-F238E27FC236}">
              <a16:creationId xmlns:a16="http://schemas.microsoft.com/office/drawing/2014/main" id="{130C31FD-3EDC-4D68-9B49-D9F20AE28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91" name="Picture 10" descr=" ">
          <a:extLst>
            <a:ext uri="{FF2B5EF4-FFF2-40B4-BE49-F238E27FC236}">
              <a16:creationId xmlns:a16="http://schemas.microsoft.com/office/drawing/2014/main" id="{C47C2137-4E8A-48C7-8D24-434792A26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92" name="Picture 11" descr=" ">
          <a:extLst>
            <a:ext uri="{FF2B5EF4-FFF2-40B4-BE49-F238E27FC236}">
              <a16:creationId xmlns:a16="http://schemas.microsoft.com/office/drawing/2014/main" id="{AC1D9056-3C40-4B88-B53C-83542FB37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93" name="Picture 12" descr=" ">
          <a:extLst>
            <a:ext uri="{FF2B5EF4-FFF2-40B4-BE49-F238E27FC236}">
              <a16:creationId xmlns:a16="http://schemas.microsoft.com/office/drawing/2014/main" id="{8103F319-83B8-443D-B560-3167A07F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94" name="Picture 7" descr=" ">
          <a:extLst>
            <a:ext uri="{FF2B5EF4-FFF2-40B4-BE49-F238E27FC236}">
              <a16:creationId xmlns:a16="http://schemas.microsoft.com/office/drawing/2014/main" id="{615AD8A7-050A-4C3A-BCDD-26AC0DFA9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95" name="Picture 8" descr=" ">
          <a:extLst>
            <a:ext uri="{FF2B5EF4-FFF2-40B4-BE49-F238E27FC236}">
              <a16:creationId xmlns:a16="http://schemas.microsoft.com/office/drawing/2014/main" id="{7229D8A2-415F-4915-A4B6-61F6815C3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96" name="Picture 9" descr=" ">
          <a:extLst>
            <a:ext uri="{FF2B5EF4-FFF2-40B4-BE49-F238E27FC236}">
              <a16:creationId xmlns:a16="http://schemas.microsoft.com/office/drawing/2014/main" id="{B97F5FCD-59A3-472D-B50A-936D61B5C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97" name="Picture 10" descr=" ">
          <a:extLst>
            <a:ext uri="{FF2B5EF4-FFF2-40B4-BE49-F238E27FC236}">
              <a16:creationId xmlns:a16="http://schemas.microsoft.com/office/drawing/2014/main" id="{965C3C79-0BC0-4F46-8824-4DD347B4A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98" name="Picture 11" descr=" ">
          <a:extLst>
            <a:ext uri="{FF2B5EF4-FFF2-40B4-BE49-F238E27FC236}">
              <a16:creationId xmlns:a16="http://schemas.microsoft.com/office/drawing/2014/main" id="{C10F1F8B-6AD7-4864-BF9D-91281B8F0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199" name="Picture 12" descr=" ">
          <a:extLst>
            <a:ext uri="{FF2B5EF4-FFF2-40B4-BE49-F238E27FC236}">
              <a16:creationId xmlns:a16="http://schemas.microsoft.com/office/drawing/2014/main" id="{6EA804BC-B557-4F2F-AF9F-B343E3564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00" name="Picture 7" descr=" ">
          <a:extLst>
            <a:ext uri="{FF2B5EF4-FFF2-40B4-BE49-F238E27FC236}">
              <a16:creationId xmlns:a16="http://schemas.microsoft.com/office/drawing/2014/main" id="{4EA63595-E749-4AEE-AD17-64051EDB6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01" name="Picture 8" descr=" ">
          <a:extLst>
            <a:ext uri="{FF2B5EF4-FFF2-40B4-BE49-F238E27FC236}">
              <a16:creationId xmlns:a16="http://schemas.microsoft.com/office/drawing/2014/main" id="{6F9CD9E6-01BE-446E-822A-785039DD0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02" name="Picture 9" descr=" ">
          <a:extLst>
            <a:ext uri="{FF2B5EF4-FFF2-40B4-BE49-F238E27FC236}">
              <a16:creationId xmlns:a16="http://schemas.microsoft.com/office/drawing/2014/main" id="{570B91C9-5E2D-419C-82BA-1C1E4CC10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03" name="Picture 10" descr=" ">
          <a:extLst>
            <a:ext uri="{FF2B5EF4-FFF2-40B4-BE49-F238E27FC236}">
              <a16:creationId xmlns:a16="http://schemas.microsoft.com/office/drawing/2014/main" id="{FCE1E634-F120-4A19-BF0F-41FCEACA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04" name="Picture 11" descr=" ">
          <a:extLst>
            <a:ext uri="{FF2B5EF4-FFF2-40B4-BE49-F238E27FC236}">
              <a16:creationId xmlns:a16="http://schemas.microsoft.com/office/drawing/2014/main" id="{3ECF8463-56CF-4FA2-8359-E7BBC6395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05" name="Picture 12" descr=" ">
          <a:extLst>
            <a:ext uri="{FF2B5EF4-FFF2-40B4-BE49-F238E27FC236}">
              <a16:creationId xmlns:a16="http://schemas.microsoft.com/office/drawing/2014/main" id="{AF07A72F-1F2C-472A-919A-5EB6942DE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06" name="Picture 7" descr=" ">
          <a:extLst>
            <a:ext uri="{FF2B5EF4-FFF2-40B4-BE49-F238E27FC236}">
              <a16:creationId xmlns:a16="http://schemas.microsoft.com/office/drawing/2014/main" id="{9F0AC2EF-D0C4-4279-844E-002CA604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07" name="Picture 8" descr=" ">
          <a:extLst>
            <a:ext uri="{FF2B5EF4-FFF2-40B4-BE49-F238E27FC236}">
              <a16:creationId xmlns:a16="http://schemas.microsoft.com/office/drawing/2014/main" id="{4902BA40-E1E4-41C1-9166-97E5E4F9E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08" name="Picture 9" descr=" ">
          <a:extLst>
            <a:ext uri="{FF2B5EF4-FFF2-40B4-BE49-F238E27FC236}">
              <a16:creationId xmlns:a16="http://schemas.microsoft.com/office/drawing/2014/main" id="{912E5B71-E359-4340-84CC-0B5A97248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09" name="Picture 10" descr=" ">
          <a:extLst>
            <a:ext uri="{FF2B5EF4-FFF2-40B4-BE49-F238E27FC236}">
              <a16:creationId xmlns:a16="http://schemas.microsoft.com/office/drawing/2014/main" id="{B3F9DA6D-2226-4007-A930-C04415C6A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10" name="Picture 11" descr=" ">
          <a:extLst>
            <a:ext uri="{FF2B5EF4-FFF2-40B4-BE49-F238E27FC236}">
              <a16:creationId xmlns:a16="http://schemas.microsoft.com/office/drawing/2014/main" id="{C3158FAB-5646-40F0-A154-D62136D8A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11" name="Picture 12" descr=" ">
          <a:extLst>
            <a:ext uri="{FF2B5EF4-FFF2-40B4-BE49-F238E27FC236}">
              <a16:creationId xmlns:a16="http://schemas.microsoft.com/office/drawing/2014/main" id="{B9508F7C-0EE2-471E-8C32-F3C05F23A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12" name="Picture 7" descr=" ">
          <a:extLst>
            <a:ext uri="{FF2B5EF4-FFF2-40B4-BE49-F238E27FC236}">
              <a16:creationId xmlns:a16="http://schemas.microsoft.com/office/drawing/2014/main" id="{4CBE3F8B-139D-4540-813D-46BBC6DAD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13" name="Picture 8" descr=" ">
          <a:extLst>
            <a:ext uri="{FF2B5EF4-FFF2-40B4-BE49-F238E27FC236}">
              <a16:creationId xmlns:a16="http://schemas.microsoft.com/office/drawing/2014/main" id="{AA1B3960-1F1B-4705-8A8B-D16D70FF3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14" name="Picture 9" descr=" ">
          <a:extLst>
            <a:ext uri="{FF2B5EF4-FFF2-40B4-BE49-F238E27FC236}">
              <a16:creationId xmlns:a16="http://schemas.microsoft.com/office/drawing/2014/main" id="{0AD31F1A-1388-4665-9078-2A2ABDFEE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15" name="Picture 10" descr=" ">
          <a:extLst>
            <a:ext uri="{FF2B5EF4-FFF2-40B4-BE49-F238E27FC236}">
              <a16:creationId xmlns:a16="http://schemas.microsoft.com/office/drawing/2014/main" id="{13DFA517-57B3-456B-BD42-81C061BEF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16" name="Picture 11" descr=" ">
          <a:extLst>
            <a:ext uri="{FF2B5EF4-FFF2-40B4-BE49-F238E27FC236}">
              <a16:creationId xmlns:a16="http://schemas.microsoft.com/office/drawing/2014/main" id="{606F3590-EDA9-4696-A7E5-A9E29E9FA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17" name="Picture 12" descr=" ">
          <a:extLst>
            <a:ext uri="{FF2B5EF4-FFF2-40B4-BE49-F238E27FC236}">
              <a16:creationId xmlns:a16="http://schemas.microsoft.com/office/drawing/2014/main" id="{7C008A9D-FCA0-4154-97F5-81CF42FB2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18" name="Picture 7" descr=" ">
          <a:extLst>
            <a:ext uri="{FF2B5EF4-FFF2-40B4-BE49-F238E27FC236}">
              <a16:creationId xmlns:a16="http://schemas.microsoft.com/office/drawing/2014/main" id="{7A673C93-7F25-4110-9997-A0E66ED75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19" name="Picture 8" descr=" ">
          <a:extLst>
            <a:ext uri="{FF2B5EF4-FFF2-40B4-BE49-F238E27FC236}">
              <a16:creationId xmlns:a16="http://schemas.microsoft.com/office/drawing/2014/main" id="{774FFF8C-C70D-4DDF-8498-D2390A74B7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20" name="Picture 9" descr=" ">
          <a:extLst>
            <a:ext uri="{FF2B5EF4-FFF2-40B4-BE49-F238E27FC236}">
              <a16:creationId xmlns:a16="http://schemas.microsoft.com/office/drawing/2014/main" id="{0112D449-C712-4BD5-AA0A-03543DCF4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21" name="Picture 10" descr=" ">
          <a:extLst>
            <a:ext uri="{FF2B5EF4-FFF2-40B4-BE49-F238E27FC236}">
              <a16:creationId xmlns:a16="http://schemas.microsoft.com/office/drawing/2014/main" id="{39CA551E-B93E-4528-9634-C22C287AD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22" name="Picture 11" descr=" ">
          <a:extLst>
            <a:ext uri="{FF2B5EF4-FFF2-40B4-BE49-F238E27FC236}">
              <a16:creationId xmlns:a16="http://schemas.microsoft.com/office/drawing/2014/main" id="{72C10B9B-3448-4AEB-8223-A9A2639AD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23" name="Picture 12" descr=" ">
          <a:extLst>
            <a:ext uri="{FF2B5EF4-FFF2-40B4-BE49-F238E27FC236}">
              <a16:creationId xmlns:a16="http://schemas.microsoft.com/office/drawing/2014/main" id="{65CBC187-FC7E-4F89-A562-A5759353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24" name="Picture 7" descr=" ">
          <a:extLst>
            <a:ext uri="{FF2B5EF4-FFF2-40B4-BE49-F238E27FC236}">
              <a16:creationId xmlns:a16="http://schemas.microsoft.com/office/drawing/2014/main" id="{95549ACD-78F2-4A53-9AE8-EF88C22C5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25" name="Picture 8" descr=" ">
          <a:extLst>
            <a:ext uri="{FF2B5EF4-FFF2-40B4-BE49-F238E27FC236}">
              <a16:creationId xmlns:a16="http://schemas.microsoft.com/office/drawing/2014/main" id="{DBA480E4-1318-48CB-AC09-D7A59E308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26" name="Picture 9" descr=" ">
          <a:extLst>
            <a:ext uri="{FF2B5EF4-FFF2-40B4-BE49-F238E27FC236}">
              <a16:creationId xmlns:a16="http://schemas.microsoft.com/office/drawing/2014/main" id="{490A39A5-BDD0-4446-A777-77D43DA0A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27" name="Picture 10" descr=" ">
          <a:extLst>
            <a:ext uri="{FF2B5EF4-FFF2-40B4-BE49-F238E27FC236}">
              <a16:creationId xmlns:a16="http://schemas.microsoft.com/office/drawing/2014/main" id="{881CDC4E-988D-42E6-9BFE-C66E09456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28" name="Picture 11" descr=" ">
          <a:extLst>
            <a:ext uri="{FF2B5EF4-FFF2-40B4-BE49-F238E27FC236}">
              <a16:creationId xmlns:a16="http://schemas.microsoft.com/office/drawing/2014/main" id="{626F4CF5-452A-4358-94FF-74EFA7F15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29" name="Picture 12" descr=" ">
          <a:extLst>
            <a:ext uri="{FF2B5EF4-FFF2-40B4-BE49-F238E27FC236}">
              <a16:creationId xmlns:a16="http://schemas.microsoft.com/office/drawing/2014/main" id="{5DE9D34F-A4FB-4547-BADA-AF935339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30" name="Picture 7" descr=" ">
          <a:extLst>
            <a:ext uri="{FF2B5EF4-FFF2-40B4-BE49-F238E27FC236}">
              <a16:creationId xmlns:a16="http://schemas.microsoft.com/office/drawing/2014/main" id="{62167BD9-ABB2-46DE-9EBD-ADDB05030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31" name="Picture 8" descr=" ">
          <a:extLst>
            <a:ext uri="{FF2B5EF4-FFF2-40B4-BE49-F238E27FC236}">
              <a16:creationId xmlns:a16="http://schemas.microsoft.com/office/drawing/2014/main" id="{BC7690D4-242B-4D29-B395-B7C620C19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32" name="Picture 9" descr=" ">
          <a:extLst>
            <a:ext uri="{FF2B5EF4-FFF2-40B4-BE49-F238E27FC236}">
              <a16:creationId xmlns:a16="http://schemas.microsoft.com/office/drawing/2014/main" id="{713E9444-7895-47F2-9B00-BA6B2A9CF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33" name="Picture 10" descr=" ">
          <a:extLst>
            <a:ext uri="{FF2B5EF4-FFF2-40B4-BE49-F238E27FC236}">
              <a16:creationId xmlns:a16="http://schemas.microsoft.com/office/drawing/2014/main" id="{157E5415-E8F2-4C56-8D4D-6BE9B9B93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34" name="Picture 11" descr=" ">
          <a:extLst>
            <a:ext uri="{FF2B5EF4-FFF2-40B4-BE49-F238E27FC236}">
              <a16:creationId xmlns:a16="http://schemas.microsoft.com/office/drawing/2014/main" id="{A84224CE-1CA4-4F91-A971-039ECF295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35" name="Picture 12" descr=" ">
          <a:extLst>
            <a:ext uri="{FF2B5EF4-FFF2-40B4-BE49-F238E27FC236}">
              <a16:creationId xmlns:a16="http://schemas.microsoft.com/office/drawing/2014/main" id="{093B24E7-27F6-40DA-8B6C-E476E30E2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36" name="Picture 7" descr=" ">
          <a:extLst>
            <a:ext uri="{FF2B5EF4-FFF2-40B4-BE49-F238E27FC236}">
              <a16:creationId xmlns:a16="http://schemas.microsoft.com/office/drawing/2014/main" id="{BF509D6F-51F2-4429-85F7-AFB639C82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37" name="Picture 8" descr=" ">
          <a:extLst>
            <a:ext uri="{FF2B5EF4-FFF2-40B4-BE49-F238E27FC236}">
              <a16:creationId xmlns:a16="http://schemas.microsoft.com/office/drawing/2014/main" id="{2E8BD7E1-40FB-43CF-9E36-60777E20C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38" name="Picture 9" descr=" ">
          <a:extLst>
            <a:ext uri="{FF2B5EF4-FFF2-40B4-BE49-F238E27FC236}">
              <a16:creationId xmlns:a16="http://schemas.microsoft.com/office/drawing/2014/main" id="{2B65EFFE-C846-4AB8-B0F9-1442293D0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39" name="Picture 10" descr=" ">
          <a:extLst>
            <a:ext uri="{FF2B5EF4-FFF2-40B4-BE49-F238E27FC236}">
              <a16:creationId xmlns:a16="http://schemas.microsoft.com/office/drawing/2014/main" id="{F517F950-BAF6-4682-93C4-F5F3F3B04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40" name="Picture 11" descr=" ">
          <a:extLst>
            <a:ext uri="{FF2B5EF4-FFF2-40B4-BE49-F238E27FC236}">
              <a16:creationId xmlns:a16="http://schemas.microsoft.com/office/drawing/2014/main" id="{CC9B85BC-9A6E-416B-8CF1-CE2EF8937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41" name="Picture 12" descr=" ">
          <a:extLst>
            <a:ext uri="{FF2B5EF4-FFF2-40B4-BE49-F238E27FC236}">
              <a16:creationId xmlns:a16="http://schemas.microsoft.com/office/drawing/2014/main" id="{8903B4B6-12D8-4DEB-8D0B-AAC60C0E3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42" name="Picture 7" descr=" ">
          <a:extLst>
            <a:ext uri="{FF2B5EF4-FFF2-40B4-BE49-F238E27FC236}">
              <a16:creationId xmlns:a16="http://schemas.microsoft.com/office/drawing/2014/main" id="{47C4F41E-62D7-4A72-A261-72BFC2E44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43" name="Picture 8" descr=" ">
          <a:extLst>
            <a:ext uri="{FF2B5EF4-FFF2-40B4-BE49-F238E27FC236}">
              <a16:creationId xmlns:a16="http://schemas.microsoft.com/office/drawing/2014/main" id="{3B33398B-5700-4CBA-A742-BAE777808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44" name="Picture 9" descr=" ">
          <a:extLst>
            <a:ext uri="{FF2B5EF4-FFF2-40B4-BE49-F238E27FC236}">
              <a16:creationId xmlns:a16="http://schemas.microsoft.com/office/drawing/2014/main" id="{4D41400A-F845-4E10-BB8E-0D95B043E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45" name="Picture 10" descr=" ">
          <a:extLst>
            <a:ext uri="{FF2B5EF4-FFF2-40B4-BE49-F238E27FC236}">
              <a16:creationId xmlns:a16="http://schemas.microsoft.com/office/drawing/2014/main" id="{20741CE8-320B-4969-AB94-E11D68E55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46" name="Picture 11" descr=" ">
          <a:extLst>
            <a:ext uri="{FF2B5EF4-FFF2-40B4-BE49-F238E27FC236}">
              <a16:creationId xmlns:a16="http://schemas.microsoft.com/office/drawing/2014/main" id="{0E6D4FEA-B289-459F-9589-8A76A868D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47" name="Picture 12" descr=" ">
          <a:extLst>
            <a:ext uri="{FF2B5EF4-FFF2-40B4-BE49-F238E27FC236}">
              <a16:creationId xmlns:a16="http://schemas.microsoft.com/office/drawing/2014/main" id="{7AAA8E10-7919-4FBB-A612-3807CB62C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48" name="Picture 7" descr=" ">
          <a:extLst>
            <a:ext uri="{FF2B5EF4-FFF2-40B4-BE49-F238E27FC236}">
              <a16:creationId xmlns:a16="http://schemas.microsoft.com/office/drawing/2014/main" id="{B09C6B77-6528-4BA3-BA22-E3B31EF6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49" name="Picture 8" descr=" ">
          <a:extLst>
            <a:ext uri="{FF2B5EF4-FFF2-40B4-BE49-F238E27FC236}">
              <a16:creationId xmlns:a16="http://schemas.microsoft.com/office/drawing/2014/main" id="{03AAE630-67A0-437E-AAD6-8C7C027EE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50" name="Picture 9" descr=" ">
          <a:extLst>
            <a:ext uri="{FF2B5EF4-FFF2-40B4-BE49-F238E27FC236}">
              <a16:creationId xmlns:a16="http://schemas.microsoft.com/office/drawing/2014/main" id="{A11CE908-B0A7-433E-B0CD-19CC7CD1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51" name="Picture 10" descr=" ">
          <a:extLst>
            <a:ext uri="{FF2B5EF4-FFF2-40B4-BE49-F238E27FC236}">
              <a16:creationId xmlns:a16="http://schemas.microsoft.com/office/drawing/2014/main" id="{B774CC1E-FED5-4563-8900-C8107D0D9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52" name="Picture 11" descr=" ">
          <a:extLst>
            <a:ext uri="{FF2B5EF4-FFF2-40B4-BE49-F238E27FC236}">
              <a16:creationId xmlns:a16="http://schemas.microsoft.com/office/drawing/2014/main" id="{7D0D20B6-BC22-430A-9FF3-D98FD3796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53" name="Picture 12" descr=" ">
          <a:extLst>
            <a:ext uri="{FF2B5EF4-FFF2-40B4-BE49-F238E27FC236}">
              <a16:creationId xmlns:a16="http://schemas.microsoft.com/office/drawing/2014/main" id="{83A8A61D-A4D8-4327-A1E3-645BF03E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54" name="Picture 7" descr=" ">
          <a:extLst>
            <a:ext uri="{FF2B5EF4-FFF2-40B4-BE49-F238E27FC236}">
              <a16:creationId xmlns:a16="http://schemas.microsoft.com/office/drawing/2014/main" id="{E0D0EE41-A360-402C-990A-D7C737399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55" name="Picture 8" descr=" ">
          <a:extLst>
            <a:ext uri="{FF2B5EF4-FFF2-40B4-BE49-F238E27FC236}">
              <a16:creationId xmlns:a16="http://schemas.microsoft.com/office/drawing/2014/main" id="{7DD2FFB1-3326-4A94-882F-3DDC4215C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56" name="Picture 9" descr=" ">
          <a:extLst>
            <a:ext uri="{FF2B5EF4-FFF2-40B4-BE49-F238E27FC236}">
              <a16:creationId xmlns:a16="http://schemas.microsoft.com/office/drawing/2014/main" id="{6E1DE32B-788E-488E-A76E-E492C55857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57" name="Picture 10" descr=" ">
          <a:extLst>
            <a:ext uri="{FF2B5EF4-FFF2-40B4-BE49-F238E27FC236}">
              <a16:creationId xmlns:a16="http://schemas.microsoft.com/office/drawing/2014/main" id="{2E8B560F-1134-4CCB-964F-3E6F6D1EA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58" name="Picture 11" descr=" ">
          <a:extLst>
            <a:ext uri="{FF2B5EF4-FFF2-40B4-BE49-F238E27FC236}">
              <a16:creationId xmlns:a16="http://schemas.microsoft.com/office/drawing/2014/main" id="{E9E38F79-5C71-4F5C-B6C6-0525DB400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59" name="Picture 12" descr=" ">
          <a:extLst>
            <a:ext uri="{FF2B5EF4-FFF2-40B4-BE49-F238E27FC236}">
              <a16:creationId xmlns:a16="http://schemas.microsoft.com/office/drawing/2014/main" id="{E601C22E-CF0B-4144-A65E-1C77DC4B1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60" name="Picture 7" descr=" ">
          <a:extLst>
            <a:ext uri="{FF2B5EF4-FFF2-40B4-BE49-F238E27FC236}">
              <a16:creationId xmlns:a16="http://schemas.microsoft.com/office/drawing/2014/main" id="{F3ED53F1-490C-417B-86F9-E34F5F46C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61" name="Picture 8" descr=" ">
          <a:extLst>
            <a:ext uri="{FF2B5EF4-FFF2-40B4-BE49-F238E27FC236}">
              <a16:creationId xmlns:a16="http://schemas.microsoft.com/office/drawing/2014/main" id="{C3F847E6-4DBF-44CF-908B-E9B9C168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62" name="Picture 9" descr=" ">
          <a:extLst>
            <a:ext uri="{FF2B5EF4-FFF2-40B4-BE49-F238E27FC236}">
              <a16:creationId xmlns:a16="http://schemas.microsoft.com/office/drawing/2014/main" id="{1FCFACB4-23F4-4EFA-BD60-299A3E57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63" name="Picture 10" descr=" ">
          <a:extLst>
            <a:ext uri="{FF2B5EF4-FFF2-40B4-BE49-F238E27FC236}">
              <a16:creationId xmlns:a16="http://schemas.microsoft.com/office/drawing/2014/main" id="{02FDF2FA-A1EA-4D6B-A345-2133DA5E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64" name="Picture 11" descr=" ">
          <a:extLst>
            <a:ext uri="{FF2B5EF4-FFF2-40B4-BE49-F238E27FC236}">
              <a16:creationId xmlns:a16="http://schemas.microsoft.com/office/drawing/2014/main" id="{5C88A662-118F-4EBF-9E84-AF3A94948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65" name="Picture 12" descr=" ">
          <a:extLst>
            <a:ext uri="{FF2B5EF4-FFF2-40B4-BE49-F238E27FC236}">
              <a16:creationId xmlns:a16="http://schemas.microsoft.com/office/drawing/2014/main" id="{2BDF9A9E-2D3C-485D-9ECE-6EEA17DD8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66" name="Picture 7" descr=" ">
          <a:extLst>
            <a:ext uri="{FF2B5EF4-FFF2-40B4-BE49-F238E27FC236}">
              <a16:creationId xmlns:a16="http://schemas.microsoft.com/office/drawing/2014/main" id="{4FC2EA3D-AF15-4AD9-9FF9-4C982B064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67" name="Picture 8" descr=" ">
          <a:extLst>
            <a:ext uri="{FF2B5EF4-FFF2-40B4-BE49-F238E27FC236}">
              <a16:creationId xmlns:a16="http://schemas.microsoft.com/office/drawing/2014/main" id="{B058D999-D1F6-4FF6-A8C6-364F8470A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68" name="Picture 9" descr=" ">
          <a:extLst>
            <a:ext uri="{FF2B5EF4-FFF2-40B4-BE49-F238E27FC236}">
              <a16:creationId xmlns:a16="http://schemas.microsoft.com/office/drawing/2014/main" id="{94BEB752-5856-480E-A061-F94F9A18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69" name="Picture 10" descr=" ">
          <a:extLst>
            <a:ext uri="{FF2B5EF4-FFF2-40B4-BE49-F238E27FC236}">
              <a16:creationId xmlns:a16="http://schemas.microsoft.com/office/drawing/2014/main" id="{0E3B21DC-154A-4368-949F-A7B90F242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70" name="Picture 11" descr=" ">
          <a:extLst>
            <a:ext uri="{FF2B5EF4-FFF2-40B4-BE49-F238E27FC236}">
              <a16:creationId xmlns:a16="http://schemas.microsoft.com/office/drawing/2014/main" id="{98682BEF-8A1A-44FE-B49E-B57B139D8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71" name="Picture 12" descr=" ">
          <a:extLst>
            <a:ext uri="{FF2B5EF4-FFF2-40B4-BE49-F238E27FC236}">
              <a16:creationId xmlns:a16="http://schemas.microsoft.com/office/drawing/2014/main" id="{2CA19729-140F-4A72-93E9-9984AECBB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72" name="Picture 7" descr=" ">
          <a:extLst>
            <a:ext uri="{FF2B5EF4-FFF2-40B4-BE49-F238E27FC236}">
              <a16:creationId xmlns:a16="http://schemas.microsoft.com/office/drawing/2014/main" id="{803D6D2C-64A0-4BD1-89DF-81AE65604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73" name="Picture 8" descr=" ">
          <a:extLst>
            <a:ext uri="{FF2B5EF4-FFF2-40B4-BE49-F238E27FC236}">
              <a16:creationId xmlns:a16="http://schemas.microsoft.com/office/drawing/2014/main" id="{DE659C56-4E7E-49EB-A335-1807C9F78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74" name="Picture 9" descr=" ">
          <a:extLst>
            <a:ext uri="{FF2B5EF4-FFF2-40B4-BE49-F238E27FC236}">
              <a16:creationId xmlns:a16="http://schemas.microsoft.com/office/drawing/2014/main" id="{94D25889-86A2-4451-9B1F-E2C834E73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75" name="Picture 10" descr=" ">
          <a:extLst>
            <a:ext uri="{FF2B5EF4-FFF2-40B4-BE49-F238E27FC236}">
              <a16:creationId xmlns:a16="http://schemas.microsoft.com/office/drawing/2014/main" id="{DB005914-39C8-472B-9E49-5AD0178F2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76" name="Picture 11" descr=" ">
          <a:extLst>
            <a:ext uri="{FF2B5EF4-FFF2-40B4-BE49-F238E27FC236}">
              <a16:creationId xmlns:a16="http://schemas.microsoft.com/office/drawing/2014/main" id="{5B722805-D6F7-4E1C-892F-85E6F613D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77" name="Picture 12" descr=" ">
          <a:extLst>
            <a:ext uri="{FF2B5EF4-FFF2-40B4-BE49-F238E27FC236}">
              <a16:creationId xmlns:a16="http://schemas.microsoft.com/office/drawing/2014/main" id="{117766DB-B0DE-4B0D-86A3-6F09C3F5C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78" name="Picture 7" descr=" ">
          <a:extLst>
            <a:ext uri="{FF2B5EF4-FFF2-40B4-BE49-F238E27FC236}">
              <a16:creationId xmlns:a16="http://schemas.microsoft.com/office/drawing/2014/main" id="{90834350-532D-49EE-9B5C-6471A850C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79" name="Picture 8" descr=" ">
          <a:extLst>
            <a:ext uri="{FF2B5EF4-FFF2-40B4-BE49-F238E27FC236}">
              <a16:creationId xmlns:a16="http://schemas.microsoft.com/office/drawing/2014/main" id="{764DDF4C-B86A-4899-9F3E-0B05921BD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80" name="Picture 9" descr=" ">
          <a:extLst>
            <a:ext uri="{FF2B5EF4-FFF2-40B4-BE49-F238E27FC236}">
              <a16:creationId xmlns:a16="http://schemas.microsoft.com/office/drawing/2014/main" id="{BED1A58F-5A0A-4484-B747-CA8978A09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81" name="Picture 10" descr=" ">
          <a:extLst>
            <a:ext uri="{FF2B5EF4-FFF2-40B4-BE49-F238E27FC236}">
              <a16:creationId xmlns:a16="http://schemas.microsoft.com/office/drawing/2014/main" id="{A200DD33-DB42-4037-9091-353FFD927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82" name="Picture 11" descr=" ">
          <a:extLst>
            <a:ext uri="{FF2B5EF4-FFF2-40B4-BE49-F238E27FC236}">
              <a16:creationId xmlns:a16="http://schemas.microsoft.com/office/drawing/2014/main" id="{AAE6DB5B-FAFF-4E2D-9735-029197A65D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83" name="Picture 12" descr=" ">
          <a:extLst>
            <a:ext uri="{FF2B5EF4-FFF2-40B4-BE49-F238E27FC236}">
              <a16:creationId xmlns:a16="http://schemas.microsoft.com/office/drawing/2014/main" id="{471A3597-5CE1-48ED-8DD2-5596C28B1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84" name="Picture 7" descr=" ">
          <a:extLst>
            <a:ext uri="{FF2B5EF4-FFF2-40B4-BE49-F238E27FC236}">
              <a16:creationId xmlns:a16="http://schemas.microsoft.com/office/drawing/2014/main" id="{3CA6979A-9A33-45A5-A850-A13546C55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85" name="Picture 8" descr=" ">
          <a:extLst>
            <a:ext uri="{FF2B5EF4-FFF2-40B4-BE49-F238E27FC236}">
              <a16:creationId xmlns:a16="http://schemas.microsoft.com/office/drawing/2014/main" id="{4119D019-60A1-4276-8AFB-E0D4CC380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86" name="Picture 9" descr=" ">
          <a:extLst>
            <a:ext uri="{FF2B5EF4-FFF2-40B4-BE49-F238E27FC236}">
              <a16:creationId xmlns:a16="http://schemas.microsoft.com/office/drawing/2014/main" id="{EA70D789-9CBA-49DA-92F4-036EC222A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87" name="Picture 10" descr=" ">
          <a:extLst>
            <a:ext uri="{FF2B5EF4-FFF2-40B4-BE49-F238E27FC236}">
              <a16:creationId xmlns:a16="http://schemas.microsoft.com/office/drawing/2014/main" id="{D16AA07D-4771-4282-8840-BE4DC721A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88" name="Picture 11" descr=" ">
          <a:extLst>
            <a:ext uri="{FF2B5EF4-FFF2-40B4-BE49-F238E27FC236}">
              <a16:creationId xmlns:a16="http://schemas.microsoft.com/office/drawing/2014/main" id="{B2875A80-4C1E-4A16-9126-7CDDA55EE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89" name="Picture 12" descr=" ">
          <a:extLst>
            <a:ext uri="{FF2B5EF4-FFF2-40B4-BE49-F238E27FC236}">
              <a16:creationId xmlns:a16="http://schemas.microsoft.com/office/drawing/2014/main" id="{27E86D35-186E-4DA1-9BB3-972539906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90" name="Picture 7" descr=" ">
          <a:extLst>
            <a:ext uri="{FF2B5EF4-FFF2-40B4-BE49-F238E27FC236}">
              <a16:creationId xmlns:a16="http://schemas.microsoft.com/office/drawing/2014/main" id="{ACBAD873-6697-4156-A4E7-B828F7B36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91" name="Picture 8" descr=" ">
          <a:extLst>
            <a:ext uri="{FF2B5EF4-FFF2-40B4-BE49-F238E27FC236}">
              <a16:creationId xmlns:a16="http://schemas.microsoft.com/office/drawing/2014/main" id="{0B337FF5-D33D-48BD-8888-B8D0566AE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92" name="Picture 9" descr=" ">
          <a:extLst>
            <a:ext uri="{FF2B5EF4-FFF2-40B4-BE49-F238E27FC236}">
              <a16:creationId xmlns:a16="http://schemas.microsoft.com/office/drawing/2014/main" id="{2A447916-3A23-4942-A4C5-40E3A9DFC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93" name="Picture 10" descr=" ">
          <a:extLst>
            <a:ext uri="{FF2B5EF4-FFF2-40B4-BE49-F238E27FC236}">
              <a16:creationId xmlns:a16="http://schemas.microsoft.com/office/drawing/2014/main" id="{FF57D573-A8A6-4923-9F6C-076048645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94" name="Picture 11" descr=" ">
          <a:extLst>
            <a:ext uri="{FF2B5EF4-FFF2-40B4-BE49-F238E27FC236}">
              <a16:creationId xmlns:a16="http://schemas.microsoft.com/office/drawing/2014/main" id="{C89EC283-E1D0-4BE0-89FE-C4AE95942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95" name="Picture 12" descr=" ">
          <a:extLst>
            <a:ext uri="{FF2B5EF4-FFF2-40B4-BE49-F238E27FC236}">
              <a16:creationId xmlns:a16="http://schemas.microsoft.com/office/drawing/2014/main" id="{8B71889E-AD01-4299-B6E8-FC0289B02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96" name="Picture 7" descr=" ">
          <a:extLst>
            <a:ext uri="{FF2B5EF4-FFF2-40B4-BE49-F238E27FC236}">
              <a16:creationId xmlns:a16="http://schemas.microsoft.com/office/drawing/2014/main" id="{746C89F8-2947-4128-94EB-DF422E746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97" name="Picture 8" descr=" ">
          <a:extLst>
            <a:ext uri="{FF2B5EF4-FFF2-40B4-BE49-F238E27FC236}">
              <a16:creationId xmlns:a16="http://schemas.microsoft.com/office/drawing/2014/main" id="{D0989F30-134B-4846-9080-6753161FD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98" name="Picture 9" descr=" ">
          <a:extLst>
            <a:ext uri="{FF2B5EF4-FFF2-40B4-BE49-F238E27FC236}">
              <a16:creationId xmlns:a16="http://schemas.microsoft.com/office/drawing/2014/main" id="{AFD8B66A-175F-4BC7-843F-3826329AB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299" name="Picture 10" descr=" ">
          <a:extLst>
            <a:ext uri="{FF2B5EF4-FFF2-40B4-BE49-F238E27FC236}">
              <a16:creationId xmlns:a16="http://schemas.microsoft.com/office/drawing/2014/main" id="{923F89B3-0D7C-4682-8CA1-427631B1E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00" name="Picture 11" descr=" ">
          <a:extLst>
            <a:ext uri="{FF2B5EF4-FFF2-40B4-BE49-F238E27FC236}">
              <a16:creationId xmlns:a16="http://schemas.microsoft.com/office/drawing/2014/main" id="{3D587F35-071C-4792-81EB-D52FF0C38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01" name="Picture 12" descr=" ">
          <a:extLst>
            <a:ext uri="{FF2B5EF4-FFF2-40B4-BE49-F238E27FC236}">
              <a16:creationId xmlns:a16="http://schemas.microsoft.com/office/drawing/2014/main" id="{D0A53FE8-1B27-4FC9-843F-1DC8BCE43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02" name="Picture 7" descr=" ">
          <a:extLst>
            <a:ext uri="{FF2B5EF4-FFF2-40B4-BE49-F238E27FC236}">
              <a16:creationId xmlns:a16="http://schemas.microsoft.com/office/drawing/2014/main" id="{8BE69BC0-B93A-4EB2-B93A-404AF2AF6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03" name="Picture 8" descr=" ">
          <a:extLst>
            <a:ext uri="{FF2B5EF4-FFF2-40B4-BE49-F238E27FC236}">
              <a16:creationId xmlns:a16="http://schemas.microsoft.com/office/drawing/2014/main" id="{E4F55789-9D19-4558-A81A-5F412E73C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04" name="Picture 9" descr=" ">
          <a:extLst>
            <a:ext uri="{FF2B5EF4-FFF2-40B4-BE49-F238E27FC236}">
              <a16:creationId xmlns:a16="http://schemas.microsoft.com/office/drawing/2014/main" id="{A4C57DC3-B427-43B2-B57A-A154E7EB3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05" name="Picture 10" descr=" ">
          <a:extLst>
            <a:ext uri="{FF2B5EF4-FFF2-40B4-BE49-F238E27FC236}">
              <a16:creationId xmlns:a16="http://schemas.microsoft.com/office/drawing/2014/main" id="{63FA7426-D8A4-464B-A9B9-1A9B39160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06" name="Picture 11" descr=" ">
          <a:extLst>
            <a:ext uri="{FF2B5EF4-FFF2-40B4-BE49-F238E27FC236}">
              <a16:creationId xmlns:a16="http://schemas.microsoft.com/office/drawing/2014/main" id="{94FDBC9A-0C10-4226-96A3-855CC873E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07" name="Picture 12" descr=" ">
          <a:extLst>
            <a:ext uri="{FF2B5EF4-FFF2-40B4-BE49-F238E27FC236}">
              <a16:creationId xmlns:a16="http://schemas.microsoft.com/office/drawing/2014/main" id="{AA4036D3-A2AB-444B-B4CE-2FBD690C2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08" name="Picture 7" descr=" ">
          <a:extLst>
            <a:ext uri="{FF2B5EF4-FFF2-40B4-BE49-F238E27FC236}">
              <a16:creationId xmlns:a16="http://schemas.microsoft.com/office/drawing/2014/main" id="{DFC4B1B1-A9E5-4547-B47D-18F6295B1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09" name="Picture 8" descr=" ">
          <a:extLst>
            <a:ext uri="{FF2B5EF4-FFF2-40B4-BE49-F238E27FC236}">
              <a16:creationId xmlns:a16="http://schemas.microsoft.com/office/drawing/2014/main" id="{0948355D-6D28-4791-8294-8FABF6336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10" name="Picture 9" descr=" ">
          <a:extLst>
            <a:ext uri="{FF2B5EF4-FFF2-40B4-BE49-F238E27FC236}">
              <a16:creationId xmlns:a16="http://schemas.microsoft.com/office/drawing/2014/main" id="{20D332FF-9C71-4D8B-B287-491F14382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11" name="Picture 10" descr=" ">
          <a:extLst>
            <a:ext uri="{FF2B5EF4-FFF2-40B4-BE49-F238E27FC236}">
              <a16:creationId xmlns:a16="http://schemas.microsoft.com/office/drawing/2014/main" id="{BFCC8764-AAC2-42F8-B9F5-9641E5DCE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12" name="Picture 11" descr=" ">
          <a:extLst>
            <a:ext uri="{FF2B5EF4-FFF2-40B4-BE49-F238E27FC236}">
              <a16:creationId xmlns:a16="http://schemas.microsoft.com/office/drawing/2014/main" id="{98035994-9AA6-4287-910B-880C35D70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13" name="Picture 12" descr=" ">
          <a:extLst>
            <a:ext uri="{FF2B5EF4-FFF2-40B4-BE49-F238E27FC236}">
              <a16:creationId xmlns:a16="http://schemas.microsoft.com/office/drawing/2014/main" id="{7ADB35E5-D451-48EF-8C19-1D23D439D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14" name="Picture 7" descr=" ">
          <a:extLst>
            <a:ext uri="{FF2B5EF4-FFF2-40B4-BE49-F238E27FC236}">
              <a16:creationId xmlns:a16="http://schemas.microsoft.com/office/drawing/2014/main" id="{07CFD0FB-9DD2-4306-B414-B023A79E2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15" name="Picture 8" descr=" ">
          <a:extLst>
            <a:ext uri="{FF2B5EF4-FFF2-40B4-BE49-F238E27FC236}">
              <a16:creationId xmlns:a16="http://schemas.microsoft.com/office/drawing/2014/main" id="{9F235B48-C372-433E-B1F3-69A649390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16" name="Picture 9" descr=" ">
          <a:extLst>
            <a:ext uri="{FF2B5EF4-FFF2-40B4-BE49-F238E27FC236}">
              <a16:creationId xmlns:a16="http://schemas.microsoft.com/office/drawing/2014/main" id="{EB51942F-9728-4080-9F5F-93A5E945A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17" name="Picture 10" descr=" ">
          <a:extLst>
            <a:ext uri="{FF2B5EF4-FFF2-40B4-BE49-F238E27FC236}">
              <a16:creationId xmlns:a16="http://schemas.microsoft.com/office/drawing/2014/main" id="{D443A85F-727D-4DDF-8881-8F0C0D952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18" name="Picture 11" descr=" ">
          <a:extLst>
            <a:ext uri="{FF2B5EF4-FFF2-40B4-BE49-F238E27FC236}">
              <a16:creationId xmlns:a16="http://schemas.microsoft.com/office/drawing/2014/main" id="{CC0E5925-243A-4F62-8249-26BCA3DD9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19" name="Picture 12" descr=" ">
          <a:extLst>
            <a:ext uri="{FF2B5EF4-FFF2-40B4-BE49-F238E27FC236}">
              <a16:creationId xmlns:a16="http://schemas.microsoft.com/office/drawing/2014/main" id="{28C03366-3F12-4CFA-A9C6-4A046F416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20" name="Picture 7" descr=" ">
          <a:extLst>
            <a:ext uri="{FF2B5EF4-FFF2-40B4-BE49-F238E27FC236}">
              <a16:creationId xmlns:a16="http://schemas.microsoft.com/office/drawing/2014/main" id="{336F9B61-C4FA-48F4-8E90-8BACE0A06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21" name="Picture 8" descr=" ">
          <a:extLst>
            <a:ext uri="{FF2B5EF4-FFF2-40B4-BE49-F238E27FC236}">
              <a16:creationId xmlns:a16="http://schemas.microsoft.com/office/drawing/2014/main" id="{5B890913-48BE-49CB-B3E1-81CA73E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22" name="Picture 9" descr=" ">
          <a:extLst>
            <a:ext uri="{FF2B5EF4-FFF2-40B4-BE49-F238E27FC236}">
              <a16:creationId xmlns:a16="http://schemas.microsoft.com/office/drawing/2014/main" id="{DB49F719-844F-429F-9B05-73047AAA2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23" name="Picture 10" descr=" ">
          <a:extLst>
            <a:ext uri="{FF2B5EF4-FFF2-40B4-BE49-F238E27FC236}">
              <a16:creationId xmlns:a16="http://schemas.microsoft.com/office/drawing/2014/main" id="{015C84DE-834C-4866-8585-59A93BF91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24" name="Picture 11" descr=" ">
          <a:extLst>
            <a:ext uri="{FF2B5EF4-FFF2-40B4-BE49-F238E27FC236}">
              <a16:creationId xmlns:a16="http://schemas.microsoft.com/office/drawing/2014/main" id="{9D4EA4BE-8E3D-498D-85D8-FB9B50B6D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25" name="Picture 12" descr=" ">
          <a:extLst>
            <a:ext uri="{FF2B5EF4-FFF2-40B4-BE49-F238E27FC236}">
              <a16:creationId xmlns:a16="http://schemas.microsoft.com/office/drawing/2014/main" id="{F5D4B9E7-1765-4E5A-BB23-10C5A0815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26" name="Picture 7" descr=" ">
          <a:extLst>
            <a:ext uri="{FF2B5EF4-FFF2-40B4-BE49-F238E27FC236}">
              <a16:creationId xmlns:a16="http://schemas.microsoft.com/office/drawing/2014/main" id="{36DA05F0-9637-4058-9A4D-F949526B6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27" name="Picture 8" descr=" ">
          <a:extLst>
            <a:ext uri="{FF2B5EF4-FFF2-40B4-BE49-F238E27FC236}">
              <a16:creationId xmlns:a16="http://schemas.microsoft.com/office/drawing/2014/main" id="{6D599EEE-046E-4C08-986C-C3468EBD4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28" name="Picture 9" descr=" ">
          <a:extLst>
            <a:ext uri="{FF2B5EF4-FFF2-40B4-BE49-F238E27FC236}">
              <a16:creationId xmlns:a16="http://schemas.microsoft.com/office/drawing/2014/main" id="{3616D100-95B4-45AD-9196-DA07587B1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29" name="Picture 10" descr=" ">
          <a:extLst>
            <a:ext uri="{FF2B5EF4-FFF2-40B4-BE49-F238E27FC236}">
              <a16:creationId xmlns:a16="http://schemas.microsoft.com/office/drawing/2014/main" id="{E1D1074F-0D15-4AFE-9A4A-67C72335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30" name="Picture 11" descr=" ">
          <a:extLst>
            <a:ext uri="{FF2B5EF4-FFF2-40B4-BE49-F238E27FC236}">
              <a16:creationId xmlns:a16="http://schemas.microsoft.com/office/drawing/2014/main" id="{C2AF2DE1-7E70-4183-B458-9E204F63A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31" name="Picture 12" descr=" ">
          <a:extLst>
            <a:ext uri="{FF2B5EF4-FFF2-40B4-BE49-F238E27FC236}">
              <a16:creationId xmlns:a16="http://schemas.microsoft.com/office/drawing/2014/main" id="{5779F17C-89E5-4260-869C-1A93DDEE0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32" name="Picture 7" descr=" ">
          <a:extLst>
            <a:ext uri="{FF2B5EF4-FFF2-40B4-BE49-F238E27FC236}">
              <a16:creationId xmlns:a16="http://schemas.microsoft.com/office/drawing/2014/main" id="{7F1F1FD4-E859-4FD4-A7B7-17B8DEC0A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33" name="Picture 8" descr=" ">
          <a:extLst>
            <a:ext uri="{FF2B5EF4-FFF2-40B4-BE49-F238E27FC236}">
              <a16:creationId xmlns:a16="http://schemas.microsoft.com/office/drawing/2014/main" id="{245970BF-43CA-438E-9402-5C628074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34" name="Picture 9" descr=" ">
          <a:extLst>
            <a:ext uri="{FF2B5EF4-FFF2-40B4-BE49-F238E27FC236}">
              <a16:creationId xmlns:a16="http://schemas.microsoft.com/office/drawing/2014/main" id="{F4AF26A8-B1DC-45A3-8C13-87BD36EA8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35" name="Picture 10" descr=" ">
          <a:extLst>
            <a:ext uri="{FF2B5EF4-FFF2-40B4-BE49-F238E27FC236}">
              <a16:creationId xmlns:a16="http://schemas.microsoft.com/office/drawing/2014/main" id="{6591DB47-677E-4D84-897A-E086D6C4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36" name="Picture 11" descr=" ">
          <a:extLst>
            <a:ext uri="{FF2B5EF4-FFF2-40B4-BE49-F238E27FC236}">
              <a16:creationId xmlns:a16="http://schemas.microsoft.com/office/drawing/2014/main" id="{9AF2A3D4-AB9C-4DF2-B93D-7F8F3CF74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37" name="Picture 12" descr=" ">
          <a:extLst>
            <a:ext uri="{FF2B5EF4-FFF2-40B4-BE49-F238E27FC236}">
              <a16:creationId xmlns:a16="http://schemas.microsoft.com/office/drawing/2014/main" id="{44D6AF93-37C5-40C1-A7CC-F7BFA33A2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38" name="Picture 7" descr=" ">
          <a:extLst>
            <a:ext uri="{FF2B5EF4-FFF2-40B4-BE49-F238E27FC236}">
              <a16:creationId xmlns:a16="http://schemas.microsoft.com/office/drawing/2014/main" id="{F83BE0D0-331C-4FFB-BA8E-1467B8F34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39" name="Picture 8" descr=" ">
          <a:extLst>
            <a:ext uri="{FF2B5EF4-FFF2-40B4-BE49-F238E27FC236}">
              <a16:creationId xmlns:a16="http://schemas.microsoft.com/office/drawing/2014/main" id="{22592411-C1A9-45EB-87AA-EAC91254C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40" name="Picture 9" descr=" ">
          <a:extLst>
            <a:ext uri="{FF2B5EF4-FFF2-40B4-BE49-F238E27FC236}">
              <a16:creationId xmlns:a16="http://schemas.microsoft.com/office/drawing/2014/main" id="{7C57EC05-DD66-4AFC-89BF-9EEFCFAB2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41" name="Picture 10" descr=" ">
          <a:extLst>
            <a:ext uri="{FF2B5EF4-FFF2-40B4-BE49-F238E27FC236}">
              <a16:creationId xmlns:a16="http://schemas.microsoft.com/office/drawing/2014/main" id="{9F5919EA-B4F7-498F-80FC-6CDCBA96E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42" name="Picture 11" descr=" ">
          <a:extLst>
            <a:ext uri="{FF2B5EF4-FFF2-40B4-BE49-F238E27FC236}">
              <a16:creationId xmlns:a16="http://schemas.microsoft.com/office/drawing/2014/main" id="{FCC45090-12A3-4641-8DA8-0F246BFE4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43" name="Picture 12" descr=" ">
          <a:extLst>
            <a:ext uri="{FF2B5EF4-FFF2-40B4-BE49-F238E27FC236}">
              <a16:creationId xmlns:a16="http://schemas.microsoft.com/office/drawing/2014/main" id="{2229C006-94E5-4390-8492-928001DEF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44" name="Picture 7" descr=" ">
          <a:extLst>
            <a:ext uri="{FF2B5EF4-FFF2-40B4-BE49-F238E27FC236}">
              <a16:creationId xmlns:a16="http://schemas.microsoft.com/office/drawing/2014/main" id="{C74911F8-CA3D-4F15-9679-52A99CED3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45" name="Picture 8" descr=" ">
          <a:extLst>
            <a:ext uri="{FF2B5EF4-FFF2-40B4-BE49-F238E27FC236}">
              <a16:creationId xmlns:a16="http://schemas.microsoft.com/office/drawing/2014/main" id="{AED1E8FE-35DF-44E8-9C30-D973379EB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46" name="Picture 9" descr=" ">
          <a:extLst>
            <a:ext uri="{FF2B5EF4-FFF2-40B4-BE49-F238E27FC236}">
              <a16:creationId xmlns:a16="http://schemas.microsoft.com/office/drawing/2014/main" id="{09BDF6EC-A8EB-442A-8C91-47980BF1F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47" name="Picture 10" descr=" ">
          <a:extLst>
            <a:ext uri="{FF2B5EF4-FFF2-40B4-BE49-F238E27FC236}">
              <a16:creationId xmlns:a16="http://schemas.microsoft.com/office/drawing/2014/main" id="{D3CE0A53-707A-4424-9246-B851DFB27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48" name="Picture 11" descr=" ">
          <a:extLst>
            <a:ext uri="{FF2B5EF4-FFF2-40B4-BE49-F238E27FC236}">
              <a16:creationId xmlns:a16="http://schemas.microsoft.com/office/drawing/2014/main" id="{AD107C2B-D2C7-48CF-A35D-4C72D0D27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49" name="Picture 12" descr=" ">
          <a:extLst>
            <a:ext uri="{FF2B5EF4-FFF2-40B4-BE49-F238E27FC236}">
              <a16:creationId xmlns:a16="http://schemas.microsoft.com/office/drawing/2014/main" id="{BEF7518A-3836-4096-9CF4-934FF6A39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50" name="Picture 7" descr=" ">
          <a:extLst>
            <a:ext uri="{FF2B5EF4-FFF2-40B4-BE49-F238E27FC236}">
              <a16:creationId xmlns:a16="http://schemas.microsoft.com/office/drawing/2014/main" id="{5B447807-15C4-4358-95F4-AFB3D1556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51" name="Picture 8" descr=" ">
          <a:extLst>
            <a:ext uri="{FF2B5EF4-FFF2-40B4-BE49-F238E27FC236}">
              <a16:creationId xmlns:a16="http://schemas.microsoft.com/office/drawing/2014/main" id="{94C7F4FE-2259-4C09-B9B0-45675208E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52" name="Picture 9" descr=" ">
          <a:extLst>
            <a:ext uri="{FF2B5EF4-FFF2-40B4-BE49-F238E27FC236}">
              <a16:creationId xmlns:a16="http://schemas.microsoft.com/office/drawing/2014/main" id="{117053C7-236A-41CF-BFCD-CF7F04948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53" name="Picture 10" descr=" ">
          <a:extLst>
            <a:ext uri="{FF2B5EF4-FFF2-40B4-BE49-F238E27FC236}">
              <a16:creationId xmlns:a16="http://schemas.microsoft.com/office/drawing/2014/main" id="{C301ADEE-32B3-4BD1-8710-ACC9C4999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54" name="Picture 11" descr=" ">
          <a:extLst>
            <a:ext uri="{FF2B5EF4-FFF2-40B4-BE49-F238E27FC236}">
              <a16:creationId xmlns:a16="http://schemas.microsoft.com/office/drawing/2014/main" id="{7D63B739-94CD-46FC-AF43-9C354F506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55" name="Picture 12" descr=" ">
          <a:extLst>
            <a:ext uri="{FF2B5EF4-FFF2-40B4-BE49-F238E27FC236}">
              <a16:creationId xmlns:a16="http://schemas.microsoft.com/office/drawing/2014/main" id="{082672C8-75D0-4109-9C02-C2477DD8A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56" name="Picture 7" descr=" ">
          <a:extLst>
            <a:ext uri="{FF2B5EF4-FFF2-40B4-BE49-F238E27FC236}">
              <a16:creationId xmlns:a16="http://schemas.microsoft.com/office/drawing/2014/main" id="{1ED6F13F-EA67-4E89-BE2E-EFAF65980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57" name="Picture 8" descr=" ">
          <a:extLst>
            <a:ext uri="{FF2B5EF4-FFF2-40B4-BE49-F238E27FC236}">
              <a16:creationId xmlns:a16="http://schemas.microsoft.com/office/drawing/2014/main" id="{7DF306D3-490C-4E7F-8554-1969DAC1F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58" name="Picture 9" descr=" ">
          <a:extLst>
            <a:ext uri="{FF2B5EF4-FFF2-40B4-BE49-F238E27FC236}">
              <a16:creationId xmlns:a16="http://schemas.microsoft.com/office/drawing/2014/main" id="{3EC1F5A9-D9B0-42BD-B1DC-1897879F6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59" name="Picture 10" descr=" ">
          <a:extLst>
            <a:ext uri="{FF2B5EF4-FFF2-40B4-BE49-F238E27FC236}">
              <a16:creationId xmlns:a16="http://schemas.microsoft.com/office/drawing/2014/main" id="{145CBB99-515F-496F-80C1-C84E035D5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60" name="Picture 11" descr=" ">
          <a:extLst>
            <a:ext uri="{FF2B5EF4-FFF2-40B4-BE49-F238E27FC236}">
              <a16:creationId xmlns:a16="http://schemas.microsoft.com/office/drawing/2014/main" id="{6EB051E0-26AD-4034-B2FA-EC6C5D9BF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61" name="Picture 12" descr=" ">
          <a:extLst>
            <a:ext uri="{FF2B5EF4-FFF2-40B4-BE49-F238E27FC236}">
              <a16:creationId xmlns:a16="http://schemas.microsoft.com/office/drawing/2014/main" id="{7E9D4BFC-8901-4F6A-A819-0D845C1DF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62" name="Picture 7" descr=" ">
          <a:extLst>
            <a:ext uri="{FF2B5EF4-FFF2-40B4-BE49-F238E27FC236}">
              <a16:creationId xmlns:a16="http://schemas.microsoft.com/office/drawing/2014/main" id="{DAE92B6C-38DA-4BA1-A7CB-E07589F9C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63" name="Picture 8" descr=" ">
          <a:extLst>
            <a:ext uri="{FF2B5EF4-FFF2-40B4-BE49-F238E27FC236}">
              <a16:creationId xmlns:a16="http://schemas.microsoft.com/office/drawing/2014/main" id="{8C94F322-4D8F-4772-950A-834AE4EF6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64" name="Picture 9" descr=" ">
          <a:extLst>
            <a:ext uri="{FF2B5EF4-FFF2-40B4-BE49-F238E27FC236}">
              <a16:creationId xmlns:a16="http://schemas.microsoft.com/office/drawing/2014/main" id="{7B71435C-B49D-4F80-9B0D-E968A2A20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65" name="Picture 10" descr=" ">
          <a:extLst>
            <a:ext uri="{FF2B5EF4-FFF2-40B4-BE49-F238E27FC236}">
              <a16:creationId xmlns:a16="http://schemas.microsoft.com/office/drawing/2014/main" id="{795FFB4C-5E30-44F9-AE03-35D523068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66" name="Picture 11" descr=" ">
          <a:extLst>
            <a:ext uri="{FF2B5EF4-FFF2-40B4-BE49-F238E27FC236}">
              <a16:creationId xmlns:a16="http://schemas.microsoft.com/office/drawing/2014/main" id="{23EDF19E-CA59-44D2-B85B-CB032287A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67" name="Picture 12" descr=" ">
          <a:extLst>
            <a:ext uri="{FF2B5EF4-FFF2-40B4-BE49-F238E27FC236}">
              <a16:creationId xmlns:a16="http://schemas.microsoft.com/office/drawing/2014/main" id="{ACB0FDB8-2CE5-4DE3-A723-B5376066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68" name="Picture 7" descr=" ">
          <a:extLst>
            <a:ext uri="{FF2B5EF4-FFF2-40B4-BE49-F238E27FC236}">
              <a16:creationId xmlns:a16="http://schemas.microsoft.com/office/drawing/2014/main" id="{86B9DFDD-2E4A-46DC-B888-43685E57E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69" name="Picture 8" descr=" ">
          <a:extLst>
            <a:ext uri="{FF2B5EF4-FFF2-40B4-BE49-F238E27FC236}">
              <a16:creationId xmlns:a16="http://schemas.microsoft.com/office/drawing/2014/main" id="{C038AFEC-E7F6-4C20-8962-97AD84C60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70" name="Picture 9" descr=" ">
          <a:extLst>
            <a:ext uri="{FF2B5EF4-FFF2-40B4-BE49-F238E27FC236}">
              <a16:creationId xmlns:a16="http://schemas.microsoft.com/office/drawing/2014/main" id="{65C873E3-56B3-4D22-8DC6-7D4639FDD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71" name="Picture 10" descr=" ">
          <a:extLst>
            <a:ext uri="{FF2B5EF4-FFF2-40B4-BE49-F238E27FC236}">
              <a16:creationId xmlns:a16="http://schemas.microsoft.com/office/drawing/2014/main" id="{C9D8FE9F-5435-443A-BF1D-B43C984D5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72" name="Picture 11" descr=" ">
          <a:extLst>
            <a:ext uri="{FF2B5EF4-FFF2-40B4-BE49-F238E27FC236}">
              <a16:creationId xmlns:a16="http://schemas.microsoft.com/office/drawing/2014/main" id="{3B47EE55-E0EB-4020-B684-B56614B07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73" name="Picture 12" descr=" ">
          <a:extLst>
            <a:ext uri="{FF2B5EF4-FFF2-40B4-BE49-F238E27FC236}">
              <a16:creationId xmlns:a16="http://schemas.microsoft.com/office/drawing/2014/main" id="{8115623D-08A9-4270-ABE3-6700C01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74" name="Picture 7" descr=" ">
          <a:extLst>
            <a:ext uri="{FF2B5EF4-FFF2-40B4-BE49-F238E27FC236}">
              <a16:creationId xmlns:a16="http://schemas.microsoft.com/office/drawing/2014/main" id="{1D305A8E-7DAE-4DBC-85B8-14938F30E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75" name="Picture 8" descr=" ">
          <a:extLst>
            <a:ext uri="{FF2B5EF4-FFF2-40B4-BE49-F238E27FC236}">
              <a16:creationId xmlns:a16="http://schemas.microsoft.com/office/drawing/2014/main" id="{8A65FB8E-3D7C-4284-A581-D2F47D67A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76" name="Picture 9" descr=" ">
          <a:extLst>
            <a:ext uri="{FF2B5EF4-FFF2-40B4-BE49-F238E27FC236}">
              <a16:creationId xmlns:a16="http://schemas.microsoft.com/office/drawing/2014/main" id="{2EECA2F4-1259-4DCF-89A9-352214FC8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77" name="Picture 10" descr=" ">
          <a:extLst>
            <a:ext uri="{FF2B5EF4-FFF2-40B4-BE49-F238E27FC236}">
              <a16:creationId xmlns:a16="http://schemas.microsoft.com/office/drawing/2014/main" id="{E6A06306-F3ED-438B-A1D6-344C167B9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78" name="Picture 11" descr=" ">
          <a:extLst>
            <a:ext uri="{FF2B5EF4-FFF2-40B4-BE49-F238E27FC236}">
              <a16:creationId xmlns:a16="http://schemas.microsoft.com/office/drawing/2014/main" id="{009A034F-22EA-406E-B9B5-B288ED5D0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79" name="Picture 12" descr=" ">
          <a:extLst>
            <a:ext uri="{FF2B5EF4-FFF2-40B4-BE49-F238E27FC236}">
              <a16:creationId xmlns:a16="http://schemas.microsoft.com/office/drawing/2014/main" id="{6F4D5C87-AA24-4B53-AD45-B4B532AE6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80" name="Picture 7" descr=" ">
          <a:extLst>
            <a:ext uri="{FF2B5EF4-FFF2-40B4-BE49-F238E27FC236}">
              <a16:creationId xmlns:a16="http://schemas.microsoft.com/office/drawing/2014/main" id="{0DD9D867-84B8-4CC4-9D12-2318687EB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81" name="Picture 8" descr=" ">
          <a:extLst>
            <a:ext uri="{FF2B5EF4-FFF2-40B4-BE49-F238E27FC236}">
              <a16:creationId xmlns:a16="http://schemas.microsoft.com/office/drawing/2014/main" id="{E4D52C69-AB9F-42D0-A362-A8A777B4C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82" name="Picture 9" descr=" ">
          <a:extLst>
            <a:ext uri="{FF2B5EF4-FFF2-40B4-BE49-F238E27FC236}">
              <a16:creationId xmlns:a16="http://schemas.microsoft.com/office/drawing/2014/main" id="{4A0E6CDA-64C2-403F-B1B0-A68D99A213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83" name="Picture 10" descr=" ">
          <a:extLst>
            <a:ext uri="{FF2B5EF4-FFF2-40B4-BE49-F238E27FC236}">
              <a16:creationId xmlns:a16="http://schemas.microsoft.com/office/drawing/2014/main" id="{C67217F4-BA76-4FE5-A1AC-3CED44F15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84" name="Picture 11" descr=" ">
          <a:extLst>
            <a:ext uri="{FF2B5EF4-FFF2-40B4-BE49-F238E27FC236}">
              <a16:creationId xmlns:a16="http://schemas.microsoft.com/office/drawing/2014/main" id="{F4342DAE-78DF-4A5E-8E72-32F6DEBC9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85" name="Picture 12" descr=" ">
          <a:extLst>
            <a:ext uri="{FF2B5EF4-FFF2-40B4-BE49-F238E27FC236}">
              <a16:creationId xmlns:a16="http://schemas.microsoft.com/office/drawing/2014/main" id="{7C5B60FF-EA83-401E-BDE5-C603472FF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86" name="Picture 7" descr=" ">
          <a:extLst>
            <a:ext uri="{FF2B5EF4-FFF2-40B4-BE49-F238E27FC236}">
              <a16:creationId xmlns:a16="http://schemas.microsoft.com/office/drawing/2014/main" id="{DA67B3FE-BF6C-4CC7-B323-3EC0523B1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87" name="Picture 8" descr=" ">
          <a:extLst>
            <a:ext uri="{FF2B5EF4-FFF2-40B4-BE49-F238E27FC236}">
              <a16:creationId xmlns:a16="http://schemas.microsoft.com/office/drawing/2014/main" id="{720E18F5-6901-4731-87EA-0161821B7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88" name="Picture 9" descr=" ">
          <a:extLst>
            <a:ext uri="{FF2B5EF4-FFF2-40B4-BE49-F238E27FC236}">
              <a16:creationId xmlns:a16="http://schemas.microsoft.com/office/drawing/2014/main" id="{5B61099A-37E6-41CA-BABE-0DDDFC663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89" name="Picture 10" descr=" ">
          <a:extLst>
            <a:ext uri="{FF2B5EF4-FFF2-40B4-BE49-F238E27FC236}">
              <a16:creationId xmlns:a16="http://schemas.microsoft.com/office/drawing/2014/main" id="{92787832-9BE2-4DD3-9B56-F3FA7D6E9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90" name="Picture 11" descr=" ">
          <a:extLst>
            <a:ext uri="{FF2B5EF4-FFF2-40B4-BE49-F238E27FC236}">
              <a16:creationId xmlns:a16="http://schemas.microsoft.com/office/drawing/2014/main" id="{80F79132-1BE8-4C1E-A8D6-C1440E510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91" name="Picture 12" descr=" ">
          <a:extLst>
            <a:ext uri="{FF2B5EF4-FFF2-40B4-BE49-F238E27FC236}">
              <a16:creationId xmlns:a16="http://schemas.microsoft.com/office/drawing/2014/main" id="{1E703139-6471-4555-9767-503048320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92" name="Picture 7" descr=" ">
          <a:extLst>
            <a:ext uri="{FF2B5EF4-FFF2-40B4-BE49-F238E27FC236}">
              <a16:creationId xmlns:a16="http://schemas.microsoft.com/office/drawing/2014/main" id="{C02ACCED-4842-41B6-9DB9-758E94D16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93" name="Picture 8" descr=" ">
          <a:extLst>
            <a:ext uri="{FF2B5EF4-FFF2-40B4-BE49-F238E27FC236}">
              <a16:creationId xmlns:a16="http://schemas.microsoft.com/office/drawing/2014/main" id="{2B2025D2-88B2-4642-A65A-A1E9D981EA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94" name="Picture 9" descr=" ">
          <a:extLst>
            <a:ext uri="{FF2B5EF4-FFF2-40B4-BE49-F238E27FC236}">
              <a16:creationId xmlns:a16="http://schemas.microsoft.com/office/drawing/2014/main" id="{8A416A22-FB4F-4F1C-AE8F-15279E686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95" name="Picture 10" descr=" ">
          <a:extLst>
            <a:ext uri="{FF2B5EF4-FFF2-40B4-BE49-F238E27FC236}">
              <a16:creationId xmlns:a16="http://schemas.microsoft.com/office/drawing/2014/main" id="{5E47CBB6-F0F1-4E41-AFFA-0ED6B1D7F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96" name="Picture 11" descr=" ">
          <a:extLst>
            <a:ext uri="{FF2B5EF4-FFF2-40B4-BE49-F238E27FC236}">
              <a16:creationId xmlns:a16="http://schemas.microsoft.com/office/drawing/2014/main" id="{BCD1625A-945A-493B-B39C-B1C06D876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97" name="Picture 12" descr=" ">
          <a:extLst>
            <a:ext uri="{FF2B5EF4-FFF2-40B4-BE49-F238E27FC236}">
              <a16:creationId xmlns:a16="http://schemas.microsoft.com/office/drawing/2014/main" id="{CA77D329-7608-4C77-AEFA-176372349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98" name="Picture 7" descr=" ">
          <a:extLst>
            <a:ext uri="{FF2B5EF4-FFF2-40B4-BE49-F238E27FC236}">
              <a16:creationId xmlns:a16="http://schemas.microsoft.com/office/drawing/2014/main" id="{BE863C9E-FD32-4746-BDEA-4575F3BED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399" name="Picture 8" descr=" ">
          <a:extLst>
            <a:ext uri="{FF2B5EF4-FFF2-40B4-BE49-F238E27FC236}">
              <a16:creationId xmlns:a16="http://schemas.microsoft.com/office/drawing/2014/main" id="{CB7BDC83-4CB3-48B1-A211-FB3D0EDD3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00" name="Picture 9" descr=" ">
          <a:extLst>
            <a:ext uri="{FF2B5EF4-FFF2-40B4-BE49-F238E27FC236}">
              <a16:creationId xmlns:a16="http://schemas.microsoft.com/office/drawing/2014/main" id="{B9DE6DC8-C590-4104-9579-573A3F102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01" name="Picture 10" descr=" ">
          <a:extLst>
            <a:ext uri="{FF2B5EF4-FFF2-40B4-BE49-F238E27FC236}">
              <a16:creationId xmlns:a16="http://schemas.microsoft.com/office/drawing/2014/main" id="{FAE89F3F-3B19-42A9-BCB7-43C98F016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02" name="Picture 11" descr=" ">
          <a:extLst>
            <a:ext uri="{FF2B5EF4-FFF2-40B4-BE49-F238E27FC236}">
              <a16:creationId xmlns:a16="http://schemas.microsoft.com/office/drawing/2014/main" id="{414579F3-3ABF-4CBD-9AE5-784CE247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03" name="Picture 12" descr=" ">
          <a:extLst>
            <a:ext uri="{FF2B5EF4-FFF2-40B4-BE49-F238E27FC236}">
              <a16:creationId xmlns:a16="http://schemas.microsoft.com/office/drawing/2014/main" id="{D4E639D6-328D-40EA-A9A1-28CF00CB9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04" name="Picture 7" descr=" ">
          <a:extLst>
            <a:ext uri="{FF2B5EF4-FFF2-40B4-BE49-F238E27FC236}">
              <a16:creationId xmlns:a16="http://schemas.microsoft.com/office/drawing/2014/main" id="{23BCF211-91CA-4397-9385-6669BE399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05" name="Picture 8" descr=" ">
          <a:extLst>
            <a:ext uri="{FF2B5EF4-FFF2-40B4-BE49-F238E27FC236}">
              <a16:creationId xmlns:a16="http://schemas.microsoft.com/office/drawing/2014/main" id="{31DF507B-AE87-4691-AB79-83665D7FA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06" name="Picture 9" descr=" ">
          <a:extLst>
            <a:ext uri="{FF2B5EF4-FFF2-40B4-BE49-F238E27FC236}">
              <a16:creationId xmlns:a16="http://schemas.microsoft.com/office/drawing/2014/main" id="{16E028FC-EC98-4845-891C-157890E99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07" name="Picture 10" descr=" ">
          <a:extLst>
            <a:ext uri="{FF2B5EF4-FFF2-40B4-BE49-F238E27FC236}">
              <a16:creationId xmlns:a16="http://schemas.microsoft.com/office/drawing/2014/main" id="{DE5793F0-654F-46F2-BC74-3A0841307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08" name="Picture 11" descr=" ">
          <a:extLst>
            <a:ext uri="{FF2B5EF4-FFF2-40B4-BE49-F238E27FC236}">
              <a16:creationId xmlns:a16="http://schemas.microsoft.com/office/drawing/2014/main" id="{9B318945-B41E-402F-B79E-6762D94B5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09" name="Picture 12" descr=" ">
          <a:extLst>
            <a:ext uri="{FF2B5EF4-FFF2-40B4-BE49-F238E27FC236}">
              <a16:creationId xmlns:a16="http://schemas.microsoft.com/office/drawing/2014/main" id="{73F92905-32B3-4857-8E2D-2B4FD6B9F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10" name="Picture 7" descr=" ">
          <a:extLst>
            <a:ext uri="{FF2B5EF4-FFF2-40B4-BE49-F238E27FC236}">
              <a16:creationId xmlns:a16="http://schemas.microsoft.com/office/drawing/2014/main" id="{180C6E23-D3E2-42EC-9CBA-34316EDAA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11" name="Picture 8" descr=" ">
          <a:extLst>
            <a:ext uri="{FF2B5EF4-FFF2-40B4-BE49-F238E27FC236}">
              <a16:creationId xmlns:a16="http://schemas.microsoft.com/office/drawing/2014/main" id="{51226993-C2FC-460B-873E-EAC7A364C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12" name="Picture 9" descr=" ">
          <a:extLst>
            <a:ext uri="{FF2B5EF4-FFF2-40B4-BE49-F238E27FC236}">
              <a16:creationId xmlns:a16="http://schemas.microsoft.com/office/drawing/2014/main" id="{6E6DAC6D-38AE-4422-BFD3-FF969E6BA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13" name="Picture 10" descr=" ">
          <a:extLst>
            <a:ext uri="{FF2B5EF4-FFF2-40B4-BE49-F238E27FC236}">
              <a16:creationId xmlns:a16="http://schemas.microsoft.com/office/drawing/2014/main" id="{968B1B3D-F70C-448D-B587-5B5F38E9E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14" name="Picture 11" descr=" ">
          <a:extLst>
            <a:ext uri="{FF2B5EF4-FFF2-40B4-BE49-F238E27FC236}">
              <a16:creationId xmlns:a16="http://schemas.microsoft.com/office/drawing/2014/main" id="{7663D596-0081-4EA5-BE15-94730CC1B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15" name="Picture 12" descr=" ">
          <a:extLst>
            <a:ext uri="{FF2B5EF4-FFF2-40B4-BE49-F238E27FC236}">
              <a16:creationId xmlns:a16="http://schemas.microsoft.com/office/drawing/2014/main" id="{3BAB0517-21CE-4FC3-BF09-F3D50FF45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16" name="Picture 7" descr=" ">
          <a:extLst>
            <a:ext uri="{FF2B5EF4-FFF2-40B4-BE49-F238E27FC236}">
              <a16:creationId xmlns:a16="http://schemas.microsoft.com/office/drawing/2014/main" id="{C5E71F22-8694-4615-BCF8-19603B52A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17" name="Picture 8" descr=" ">
          <a:extLst>
            <a:ext uri="{FF2B5EF4-FFF2-40B4-BE49-F238E27FC236}">
              <a16:creationId xmlns:a16="http://schemas.microsoft.com/office/drawing/2014/main" id="{7A8B33FE-CB61-4EFF-BB0B-1A10433B2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18" name="Picture 9" descr=" ">
          <a:extLst>
            <a:ext uri="{FF2B5EF4-FFF2-40B4-BE49-F238E27FC236}">
              <a16:creationId xmlns:a16="http://schemas.microsoft.com/office/drawing/2014/main" id="{23E34717-BB64-4F2F-B30D-02D51E6DB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19" name="Picture 10" descr=" ">
          <a:extLst>
            <a:ext uri="{FF2B5EF4-FFF2-40B4-BE49-F238E27FC236}">
              <a16:creationId xmlns:a16="http://schemas.microsoft.com/office/drawing/2014/main" id="{03038633-9347-4B3A-B8A4-86BC441FB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20" name="Picture 11" descr=" ">
          <a:extLst>
            <a:ext uri="{FF2B5EF4-FFF2-40B4-BE49-F238E27FC236}">
              <a16:creationId xmlns:a16="http://schemas.microsoft.com/office/drawing/2014/main" id="{074BBDCA-92F5-417A-830C-919588E12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21" name="Picture 12" descr=" ">
          <a:extLst>
            <a:ext uri="{FF2B5EF4-FFF2-40B4-BE49-F238E27FC236}">
              <a16:creationId xmlns:a16="http://schemas.microsoft.com/office/drawing/2014/main" id="{CB51A497-1EB0-428F-9156-28A30FC2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22" name="Picture 7" descr=" ">
          <a:extLst>
            <a:ext uri="{FF2B5EF4-FFF2-40B4-BE49-F238E27FC236}">
              <a16:creationId xmlns:a16="http://schemas.microsoft.com/office/drawing/2014/main" id="{24915C81-A6C3-45AC-A793-7CE85FC50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23" name="Picture 8" descr=" ">
          <a:extLst>
            <a:ext uri="{FF2B5EF4-FFF2-40B4-BE49-F238E27FC236}">
              <a16:creationId xmlns:a16="http://schemas.microsoft.com/office/drawing/2014/main" id="{A685FC6D-C5F0-434F-A951-BB6381BC4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24" name="Picture 9" descr=" ">
          <a:extLst>
            <a:ext uri="{FF2B5EF4-FFF2-40B4-BE49-F238E27FC236}">
              <a16:creationId xmlns:a16="http://schemas.microsoft.com/office/drawing/2014/main" id="{392FA148-1015-4CE3-A526-0023B23CD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25" name="Picture 10" descr=" ">
          <a:extLst>
            <a:ext uri="{FF2B5EF4-FFF2-40B4-BE49-F238E27FC236}">
              <a16:creationId xmlns:a16="http://schemas.microsoft.com/office/drawing/2014/main" id="{56AA7EFE-5FAD-4AC3-BF76-384ACE421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26" name="Picture 11" descr=" ">
          <a:extLst>
            <a:ext uri="{FF2B5EF4-FFF2-40B4-BE49-F238E27FC236}">
              <a16:creationId xmlns:a16="http://schemas.microsoft.com/office/drawing/2014/main" id="{37EC8B6F-14A8-4E19-B5F0-070AE5DCB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27" name="Picture 12" descr=" ">
          <a:extLst>
            <a:ext uri="{FF2B5EF4-FFF2-40B4-BE49-F238E27FC236}">
              <a16:creationId xmlns:a16="http://schemas.microsoft.com/office/drawing/2014/main" id="{0A08F679-8B61-408F-9D6B-3749BFE91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28" name="Picture 7" descr=" ">
          <a:extLst>
            <a:ext uri="{FF2B5EF4-FFF2-40B4-BE49-F238E27FC236}">
              <a16:creationId xmlns:a16="http://schemas.microsoft.com/office/drawing/2014/main" id="{AB914A69-92D0-463A-8953-7437AD30F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29" name="Picture 8" descr=" ">
          <a:extLst>
            <a:ext uri="{FF2B5EF4-FFF2-40B4-BE49-F238E27FC236}">
              <a16:creationId xmlns:a16="http://schemas.microsoft.com/office/drawing/2014/main" id="{F415A6C4-6985-4ACF-B80E-647F00BD9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30" name="Picture 9" descr=" ">
          <a:extLst>
            <a:ext uri="{FF2B5EF4-FFF2-40B4-BE49-F238E27FC236}">
              <a16:creationId xmlns:a16="http://schemas.microsoft.com/office/drawing/2014/main" id="{DEE0A3F5-2E69-4132-826B-37C4F3261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31" name="Picture 10" descr=" ">
          <a:extLst>
            <a:ext uri="{FF2B5EF4-FFF2-40B4-BE49-F238E27FC236}">
              <a16:creationId xmlns:a16="http://schemas.microsoft.com/office/drawing/2014/main" id="{028B19D3-798B-4907-8C73-DCB6190BA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32" name="Picture 11" descr=" ">
          <a:extLst>
            <a:ext uri="{FF2B5EF4-FFF2-40B4-BE49-F238E27FC236}">
              <a16:creationId xmlns:a16="http://schemas.microsoft.com/office/drawing/2014/main" id="{5E3C6DDB-E689-47FA-B0FD-0DC86B6B9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33" name="Picture 12" descr=" ">
          <a:extLst>
            <a:ext uri="{FF2B5EF4-FFF2-40B4-BE49-F238E27FC236}">
              <a16:creationId xmlns:a16="http://schemas.microsoft.com/office/drawing/2014/main" id="{55378261-EC06-4726-AC13-59D9C2B79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34" name="Picture 7" descr=" ">
          <a:extLst>
            <a:ext uri="{FF2B5EF4-FFF2-40B4-BE49-F238E27FC236}">
              <a16:creationId xmlns:a16="http://schemas.microsoft.com/office/drawing/2014/main" id="{22886BAF-9DB6-4BF6-BA86-F0517AF66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35" name="Picture 8" descr=" ">
          <a:extLst>
            <a:ext uri="{FF2B5EF4-FFF2-40B4-BE49-F238E27FC236}">
              <a16:creationId xmlns:a16="http://schemas.microsoft.com/office/drawing/2014/main" id="{A0535950-FA4E-4F9F-8174-AE22AFD6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36" name="Picture 9" descr=" ">
          <a:extLst>
            <a:ext uri="{FF2B5EF4-FFF2-40B4-BE49-F238E27FC236}">
              <a16:creationId xmlns:a16="http://schemas.microsoft.com/office/drawing/2014/main" id="{A4BA451A-C541-4FA1-BAD7-7D71AB24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37" name="Picture 10" descr=" ">
          <a:extLst>
            <a:ext uri="{FF2B5EF4-FFF2-40B4-BE49-F238E27FC236}">
              <a16:creationId xmlns:a16="http://schemas.microsoft.com/office/drawing/2014/main" id="{F4B15C57-A1EE-455C-933F-2999D90FF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38" name="Picture 11" descr=" ">
          <a:extLst>
            <a:ext uri="{FF2B5EF4-FFF2-40B4-BE49-F238E27FC236}">
              <a16:creationId xmlns:a16="http://schemas.microsoft.com/office/drawing/2014/main" id="{D46F8585-AF09-46E3-B038-9DB0C449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39" name="Picture 12" descr=" ">
          <a:extLst>
            <a:ext uri="{FF2B5EF4-FFF2-40B4-BE49-F238E27FC236}">
              <a16:creationId xmlns:a16="http://schemas.microsoft.com/office/drawing/2014/main" id="{41606CA9-0074-4E27-BB37-1BD608853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40" name="Picture 7" descr=" ">
          <a:extLst>
            <a:ext uri="{FF2B5EF4-FFF2-40B4-BE49-F238E27FC236}">
              <a16:creationId xmlns:a16="http://schemas.microsoft.com/office/drawing/2014/main" id="{85285DE4-4376-4E91-9FD0-0764060EE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41" name="Picture 8" descr=" ">
          <a:extLst>
            <a:ext uri="{FF2B5EF4-FFF2-40B4-BE49-F238E27FC236}">
              <a16:creationId xmlns:a16="http://schemas.microsoft.com/office/drawing/2014/main" id="{3711A39A-FDD1-4B34-A510-9EB437110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42" name="Picture 9" descr=" ">
          <a:extLst>
            <a:ext uri="{FF2B5EF4-FFF2-40B4-BE49-F238E27FC236}">
              <a16:creationId xmlns:a16="http://schemas.microsoft.com/office/drawing/2014/main" id="{8A63A039-5CA8-407B-8DA7-0B47C5D08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43" name="Picture 10" descr=" ">
          <a:extLst>
            <a:ext uri="{FF2B5EF4-FFF2-40B4-BE49-F238E27FC236}">
              <a16:creationId xmlns:a16="http://schemas.microsoft.com/office/drawing/2014/main" id="{FC8BBC4A-F329-436E-8F8F-067E6A4D6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44" name="Picture 11" descr=" ">
          <a:extLst>
            <a:ext uri="{FF2B5EF4-FFF2-40B4-BE49-F238E27FC236}">
              <a16:creationId xmlns:a16="http://schemas.microsoft.com/office/drawing/2014/main" id="{3B8094D0-C550-4309-A4E5-65684AED41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45" name="Picture 12" descr=" ">
          <a:extLst>
            <a:ext uri="{FF2B5EF4-FFF2-40B4-BE49-F238E27FC236}">
              <a16:creationId xmlns:a16="http://schemas.microsoft.com/office/drawing/2014/main" id="{F2728DD0-7960-43DE-BC8F-4BFD4BCB0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46" name="Picture 7" descr=" ">
          <a:extLst>
            <a:ext uri="{FF2B5EF4-FFF2-40B4-BE49-F238E27FC236}">
              <a16:creationId xmlns:a16="http://schemas.microsoft.com/office/drawing/2014/main" id="{6FF747E3-A3D9-447E-846C-2033462E4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47" name="Picture 8" descr=" ">
          <a:extLst>
            <a:ext uri="{FF2B5EF4-FFF2-40B4-BE49-F238E27FC236}">
              <a16:creationId xmlns:a16="http://schemas.microsoft.com/office/drawing/2014/main" id="{0E0D4503-1DC2-4B85-A5C4-AE98F2BC8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48" name="Picture 9" descr=" ">
          <a:extLst>
            <a:ext uri="{FF2B5EF4-FFF2-40B4-BE49-F238E27FC236}">
              <a16:creationId xmlns:a16="http://schemas.microsoft.com/office/drawing/2014/main" id="{71C32618-81D3-4D6C-8311-DE2CC412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49" name="Picture 10" descr=" ">
          <a:extLst>
            <a:ext uri="{FF2B5EF4-FFF2-40B4-BE49-F238E27FC236}">
              <a16:creationId xmlns:a16="http://schemas.microsoft.com/office/drawing/2014/main" id="{B363541F-9311-40C8-85BA-4BC33693A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50" name="Picture 11" descr=" ">
          <a:extLst>
            <a:ext uri="{FF2B5EF4-FFF2-40B4-BE49-F238E27FC236}">
              <a16:creationId xmlns:a16="http://schemas.microsoft.com/office/drawing/2014/main" id="{59D03AA5-FA9B-4FFE-BBB2-4D9A21C6F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51" name="Picture 12" descr=" ">
          <a:extLst>
            <a:ext uri="{FF2B5EF4-FFF2-40B4-BE49-F238E27FC236}">
              <a16:creationId xmlns:a16="http://schemas.microsoft.com/office/drawing/2014/main" id="{4D4CDEF2-73B7-4756-9E53-E65210F5E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52" name="Picture 7" descr=" ">
          <a:extLst>
            <a:ext uri="{FF2B5EF4-FFF2-40B4-BE49-F238E27FC236}">
              <a16:creationId xmlns:a16="http://schemas.microsoft.com/office/drawing/2014/main" id="{E77075E1-3D78-4FE1-99E6-7EA8B2ECC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53" name="Picture 8" descr=" ">
          <a:extLst>
            <a:ext uri="{FF2B5EF4-FFF2-40B4-BE49-F238E27FC236}">
              <a16:creationId xmlns:a16="http://schemas.microsoft.com/office/drawing/2014/main" id="{6CFF968C-53BC-43B5-81DE-CAE64E869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54" name="Picture 9" descr=" ">
          <a:extLst>
            <a:ext uri="{FF2B5EF4-FFF2-40B4-BE49-F238E27FC236}">
              <a16:creationId xmlns:a16="http://schemas.microsoft.com/office/drawing/2014/main" id="{97A31476-9FA9-45CB-A3B0-D0D4EBDE8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55" name="Picture 10" descr=" ">
          <a:extLst>
            <a:ext uri="{FF2B5EF4-FFF2-40B4-BE49-F238E27FC236}">
              <a16:creationId xmlns:a16="http://schemas.microsoft.com/office/drawing/2014/main" id="{967E6B1E-54A9-4B24-97E8-E54BFB6A5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56" name="Picture 11" descr=" ">
          <a:extLst>
            <a:ext uri="{FF2B5EF4-FFF2-40B4-BE49-F238E27FC236}">
              <a16:creationId xmlns:a16="http://schemas.microsoft.com/office/drawing/2014/main" id="{96E3F3E8-9246-4DAA-9AD3-1C598BFA1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57" name="Picture 12" descr=" ">
          <a:extLst>
            <a:ext uri="{FF2B5EF4-FFF2-40B4-BE49-F238E27FC236}">
              <a16:creationId xmlns:a16="http://schemas.microsoft.com/office/drawing/2014/main" id="{C4CB970E-E8B1-4B2C-9355-08CCFE1CB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58" name="Picture 7" descr=" ">
          <a:extLst>
            <a:ext uri="{FF2B5EF4-FFF2-40B4-BE49-F238E27FC236}">
              <a16:creationId xmlns:a16="http://schemas.microsoft.com/office/drawing/2014/main" id="{B434709D-1FBD-426D-AB26-9EC6AC764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59" name="Picture 8" descr=" ">
          <a:extLst>
            <a:ext uri="{FF2B5EF4-FFF2-40B4-BE49-F238E27FC236}">
              <a16:creationId xmlns:a16="http://schemas.microsoft.com/office/drawing/2014/main" id="{000C82BD-1DF8-4E51-A334-FC9D01119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60" name="Picture 9" descr=" ">
          <a:extLst>
            <a:ext uri="{FF2B5EF4-FFF2-40B4-BE49-F238E27FC236}">
              <a16:creationId xmlns:a16="http://schemas.microsoft.com/office/drawing/2014/main" id="{356456D8-2882-42A6-8F38-0A15663E1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61" name="Picture 10" descr=" ">
          <a:extLst>
            <a:ext uri="{FF2B5EF4-FFF2-40B4-BE49-F238E27FC236}">
              <a16:creationId xmlns:a16="http://schemas.microsoft.com/office/drawing/2014/main" id="{EFBAC1E7-56A8-42A3-A7F9-1502AB029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62" name="Picture 11" descr=" ">
          <a:extLst>
            <a:ext uri="{FF2B5EF4-FFF2-40B4-BE49-F238E27FC236}">
              <a16:creationId xmlns:a16="http://schemas.microsoft.com/office/drawing/2014/main" id="{5A8843CF-7C4E-4FCE-A833-9840BD9EC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63" name="Picture 12" descr=" ">
          <a:extLst>
            <a:ext uri="{FF2B5EF4-FFF2-40B4-BE49-F238E27FC236}">
              <a16:creationId xmlns:a16="http://schemas.microsoft.com/office/drawing/2014/main" id="{B96CA088-007A-4EA3-B06A-7C999809A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64" name="Picture 7" descr=" ">
          <a:extLst>
            <a:ext uri="{FF2B5EF4-FFF2-40B4-BE49-F238E27FC236}">
              <a16:creationId xmlns:a16="http://schemas.microsoft.com/office/drawing/2014/main" id="{E678F425-648E-4E69-84F8-AA005D49D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65" name="Picture 8" descr=" ">
          <a:extLst>
            <a:ext uri="{FF2B5EF4-FFF2-40B4-BE49-F238E27FC236}">
              <a16:creationId xmlns:a16="http://schemas.microsoft.com/office/drawing/2014/main" id="{9B325895-B763-4F83-9BD3-A270A17C1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66" name="Picture 9" descr=" ">
          <a:extLst>
            <a:ext uri="{FF2B5EF4-FFF2-40B4-BE49-F238E27FC236}">
              <a16:creationId xmlns:a16="http://schemas.microsoft.com/office/drawing/2014/main" id="{552AE4BD-E8E7-4128-B01C-FB38F7EB3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67" name="Picture 10" descr=" ">
          <a:extLst>
            <a:ext uri="{FF2B5EF4-FFF2-40B4-BE49-F238E27FC236}">
              <a16:creationId xmlns:a16="http://schemas.microsoft.com/office/drawing/2014/main" id="{9606C076-15EE-4506-8354-777AEDA4F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68" name="Picture 11" descr=" ">
          <a:extLst>
            <a:ext uri="{FF2B5EF4-FFF2-40B4-BE49-F238E27FC236}">
              <a16:creationId xmlns:a16="http://schemas.microsoft.com/office/drawing/2014/main" id="{76D4F9D1-98D4-473B-8A9C-C3A27D45F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69" name="Picture 12" descr=" ">
          <a:extLst>
            <a:ext uri="{FF2B5EF4-FFF2-40B4-BE49-F238E27FC236}">
              <a16:creationId xmlns:a16="http://schemas.microsoft.com/office/drawing/2014/main" id="{7D5D03F5-CA55-44DA-84F5-3F41EAF8C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70" name="Picture 7" descr=" ">
          <a:extLst>
            <a:ext uri="{FF2B5EF4-FFF2-40B4-BE49-F238E27FC236}">
              <a16:creationId xmlns:a16="http://schemas.microsoft.com/office/drawing/2014/main" id="{EA7164DC-5C9B-4C10-A53D-75E4CFC11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71" name="Picture 8" descr=" ">
          <a:extLst>
            <a:ext uri="{FF2B5EF4-FFF2-40B4-BE49-F238E27FC236}">
              <a16:creationId xmlns:a16="http://schemas.microsoft.com/office/drawing/2014/main" id="{D7AAE265-358F-4ADE-B247-9DCD7ED0A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72" name="Picture 9" descr=" ">
          <a:extLst>
            <a:ext uri="{FF2B5EF4-FFF2-40B4-BE49-F238E27FC236}">
              <a16:creationId xmlns:a16="http://schemas.microsoft.com/office/drawing/2014/main" id="{DAB7A1BD-A786-4195-94DB-004563D0A1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73" name="Picture 10" descr=" ">
          <a:extLst>
            <a:ext uri="{FF2B5EF4-FFF2-40B4-BE49-F238E27FC236}">
              <a16:creationId xmlns:a16="http://schemas.microsoft.com/office/drawing/2014/main" id="{2553F302-98CC-4944-9678-C89D61141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74" name="Picture 11" descr=" ">
          <a:extLst>
            <a:ext uri="{FF2B5EF4-FFF2-40B4-BE49-F238E27FC236}">
              <a16:creationId xmlns:a16="http://schemas.microsoft.com/office/drawing/2014/main" id="{3FB7F74B-DDBB-432D-905F-073E45316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75" name="Picture 12" descr=" ">
          <a:extLst>
            <a:ext uri="{FF2B5EF4-FFF2-40B4-BE49-F238E27FC236}">
              <a16:creationId xmlns:a16="http://schemas.microsoft.com/office/drawing/2014/main" id="{119B311F-6F5C-48DE-BB0D-4B9C650B0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76" name="Picture 7" descr=" ">
          <a:extLst>
            <a:ext uri="{FF2B5EF4-FFF2-40B4-BE49-F238E27FC236}">
              <a16:creationId xmlns:a16="http://schemas.microsoft.com/office/drawing/2014/main" id="{D5880596-2CDA-4ABB-A972-F0B69AD00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77" name="Picture 8" descr=" ">
          <a:extLst>
            <a:ext uri="{FF2B5EF4-FFF2-40B4-BE49-F238E27FC236}">
              <a16:creationId xmlns:a16="http://schemas.microsoft.com/office/drawing/2014/main" id="{E6791A4B-69FD-405F-B255-7028A5F85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78" name="Picture 9" descr=" ">
          <a:extLst>
            <a:ext uri="{FF2B5EF4-FFF2-40B4-BE49-F238E27FC236}">
              <a16:creationId xmlns:a16="http://schemas.microsoft.com/office/drawing/2014/main" id="{65C71976-5C40-4707-B694-380C280DB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79" name="Picture 10" descr=" ">
          <a:extLst>
            <a:ext uri="{FF2B5EF4-FFF2-40B4-BE49-F238E27FC236}">
              <a16:creationId xmlns:a16="http://schemas.microsoft.com/office/drawing/2014/main" id="{8656239C-5FBC-4DCF-A312-FCE797A0D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80" name="Picture 11" descr=" ">
          <a:extLst>
            <a:ext uri="{FF2B5EF4-FFF2-40B4-BE49-F238E27FC236}">
              <a16:creationId xmlns:a16="http://schemas.microsoft.com/office/drawing/2014/main" id="{18433290-EA4A-41B2-845C-1D81E7020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81" name="Picture 12" descr=" ">
          <a:extLst>
            <a:ext uri="{FF2B5EF4-FFF2-40B4-BE49-F238E27FC236}">
              <a16:creationId xmlns:a16="http://schemas.microsoft.com/office/drawing/2014/main" id="{64254875-5A9A-40E0-9434-AFFADDD0E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82" name="Picture 7" descr=" ">
          <a:extLst>
            <a:ext uri="{FF2B5EF4-FFF2-40B4-BE49-F238E27FC236}">
              <a16:creationId xmlns:a16="http://schemas.microsoft.com/office/drawing/2014/main" id="{35D729DC-A75D-4529-BE1B-38613CB44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83" name="Picture 8" descr=" ">
          <a:extLst>
            <a:ext uri="{FF2B5EF4-FFF2-40B4-BE49-F238E27FC236}">
              <a16:creationId xmlns:a16="http://schemas.microsoft.com/office/drawing/2014/main" id="{4F2EE3E5-8648-494F-9A64-CF66BBB1F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84" name="Picture 9" descr=" ">
          <a:extLst>
            <a:ext uri="{FF2B5EF4-FFF2-40B4-BE49-F238E27FC236}">
              <a16:creationId xmlns:a16="http://schemas.microsoft.com/office/drawing/2014/main" id="{DEF3A56D-694F-4574-89BD-EE2B8A89A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85" name="Picture 10" descr=" ">
          <a:extLst>
            <a:ext uri="{FF2B5EF4-FFF2-40B4-BE49-F238E27FC236}">
              <a16:creationId xmlns:a16="http://schemas.microsoft.com/office/drawing/2014/main" id="{3F3B80C6-57C5-4AE3-ACE4-1D036FD63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86" name="Picture 11" descr=" ">
          <a:extLst>
            <a:ext uri="{FF2B5EF4-FFF2-40B4-BE49-F238E27FC236}">
              <a16:creationId xmlns:a16="http://schemas.microsoft.com/office/drawing/2014/main" id="{E6DC2881-BA34-4BAB-AE91-D27CD30C9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87" name="Picture 12" descr=" ">
          <a:extLst>
            <a:ext uri="{FF2B5EF4-FFF2-40B4-BE49-F238E27FC236}">
              <a16:creationId xmlns:a16="http://schemas.microsoft.com/office/drawing/2014/main" id="{B39AD907-0BD5-469E-A636-7AB277A56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88" name="Picture 7" descr=" ">
          <a:extLst>
            <a:ext uri="{FF2B5EF4-FFF2-40B4-BE49-F238E27FC236}">
              <a16:creationId xmlns:a16="http://schemas.microsoft.com/office/drawing/2014/main" id="{4DBF2498-8B1A-471D-820E-8852DE258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89" name="Picture 8" descr=" ">
          <a:extLst>
            <a:ext uri="{FF2B5EF4-FFF2-40B4-BE49-F238E27FC236}">
              <a16:creationId xmlns:a16="http://schemas.microsoft.com/office/drawing/2014/main" id="{13B1B08A-2873-4D25-9214-53F8DEBAA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90" name="Picture 9" descr=" ">
          <a:extLst>
            <a:ext uri="{FF2B5EF4-FFF2-40B4-BE49-F238E27FC236}">
              <a16:creationId xmlns:a16="http://schemas.microsoft.com/office/drawing/2014/main" id="{20E35CED-B41E-48AE-A243-AE2CF193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91" name="Picture 10" descr=" ">
          <a:extLst>
            <a:ext uri="{FF2B5EF4-FFF2-40B4-BE49-F238E27FC236}">
              <a16:creationId xmlns:a16="http://schemas.microsoft.com/office/drawing/2014/main" id="{0DC65177-69DB-4B1D-880D-65FBF4818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92" name="Picture 11" descr=" ">
          <a:extLst>
            <a:ext uri="{FF2B5EF4-FFF2-40B4-BE49-F238E27FC236}">
              <a16:creationId xmlns:a16="http://schemas.microsoft.com/office/drawing/2014/main" id="{0558372B-1D93-4E4D-AAA8-ACA42D3C5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93" name="Picture 12" descr=" ">
          <a:extLst>
            <a:ext uri="{FF2B5EF4-FFF2-40B4-BE49-F238E27FC236}">
              <a16:creationId xmlns:a16="http://schemas.microsoft.com/office/drawing/2014/main" id="{49F8AE80-466A-48C0-A5C5-BDAF55D2D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94" name="Picture 7" descr=" ">
          <a:extLst>
            <a:ext uri="{FF2B5EF4-FFF2-40B4-BE49-F238E27FC236}">
              <a16:creationId xmlns:a16="http://schemas.microsoft.com/office/drawing/2014/main" id="{C3A5A1BC-7E19-4019-A6B4-DA04E07FF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95" name="Picture 8" descr=" ">
          <a:extLst>
            <a:ext uri="{FF2B5EF4-FFF2-40B4-BE49-F238E27FC236}">
              <a16:creationId xmlns:a16="http://schemas.microsoft.com/office/drawing/2014/main" id="{68DDC28D-4A66-4295-9CD2-0D3682075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96" name="Picture 9" descr=" ">
          <a:extLst>
            <a:ext uri="{FF2B5EF4-FFF2-40B4-BE49-F238E27FC236}">
              <a16:creationId xmlns:a16="http://schemas.microsoft.com/office/drawing/2014/main" id="{DE6976AE-7DCA-4944-A6F2-0FACFDF5F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97" name="Picture 10" descr=" ">
          <a:extLst>
            <a:ext uri="{FF2B5EF4-FFF2-40B4-BE49-F238E27FC236}">
              <a16:creationId xmlns:a16="http://schemas.microsoft.com/office/drawing/2014/main" id="{D03EF609-DA2D-44A1-8B00-0047C2E66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98" name="Picture 11" descr=" ">
          <a:extLst>
            <a:ext uri="{FF2B5EF4-FFF2-40B4-BE49-F238E27FC236}">
              <a16:creationId xmlns:a16="http://schemas.microsoft.com/office/drawing/2014/main" id="{709E763C-DFC1-457D-9C27-569950090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499" name="Picture 12" descr=" ">
          <a:extLst>
            <a:ext uri="{FF2B5EF4-FFF2-40B4-BE49-F238E27FC236}">
              <a16:creationId xmlns:a16="http://schemas.microsoft.com/office/drawing/2014/main" id="{486DC9D5-DB35-4ABB-A4D1-B15162228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00" name="Picture 7" descr=" ">
          <a:extLst>
            <a:ext uri="{FF2B5EF4-FFF2-40B4-BE49-F238E27FC236}">
              <a16:creationId xmlns:a16="http://schemas.microsoft.com/office/drawing/2014/main" id="{FEDC7AA2-767A-44EC-8F3A-8E4148AD3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01" name="Picture 8" descr=" ">
          <a:extLst>
            <a:ext uri="{FF2B5EF4-FFF2-40B4-BE49-F238E27FC236}">
              <a16:creationId xmlns:a16="http://schemas.microsoft.com/office/drawing/2014/main" id="{6FDC6FCD-0279-41FF-A8E7-1BE2FBBAF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02" name="Picture 9" descr=" ">
          <a:extLst>
            <a:ext uri="{FF2B5EF4-FFF2-40B4-BE49-F238E27FC236}">
              <a16:creationId xmlns:a16="http://schemas.microsoft.com/office/drawing/2014/main" id="{7510D725-35A5-4F21-B609-4CDFA2B93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03" name="Picture 10" descr=" ">
          <a:extLst>
            <a:ext uri="{FF2B5EF4-FFF2-40B4-BE49-F238E27FC236}">
              <a16:creationId xmlns:a16="http://schemas.microsoft.com/office/drawing/2014/main" id="{3FBD3160-C0A1-47FF-A807-360F33BC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04" name="Picture 11" descr=" ">
          <a:extLst>
            <a:ext uri="{FF2B5EF4-FFF2-40B4-BE49-F238E27FC236}">
              <a16:creationId xmlns:a16="http://schemas.microsoft.com/office/drawing/2014/main" id="{4C042A8B-E219-4B74-A065-A50F9E9D5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05" name="Picture 12" descr=" ">
          <a:extLst>
            <a:ext uri="{FF2B5EF4-FFF2-40B4-BE49-F238E27FC236}">
              <a16:creationId xmlns:a16="http://schemas.microsoft.com/office/drawing/2014/main" id="{749A6755-93BD-4750-8547-FE2AA7793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06" name="Picture 7" descr=" ">
          <a:extLst>
            <a:ext uri="{FF2B5EF4-FFF2-40B4-BE49-F238E27FC236}">
              <a16:creationId xmlns:a16="http://schemas.microsoft.com/office/drawing/2014/main" id="{CF09B058-8B62-456A-B1C8-FA320CE94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07" name="Picture 8" descr=" ">
          <a:extLst>
            <a:ext uri="{FF2B5EF4-FFF2-40B4-BE49-F238E27FC236}">
              <a16:creationId xmlns:a16="http://schemas.microsoft.com/office/drawing/2014/main" id="{4B28B5A3-D971-48F0-9A93-84ABCEA12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08" name="Picture 9" descr=" ">
          <a:extLst>
            <a:ext uri="{FF2B5EF4-FFF2-40B4-BE49-F238E27FC236}">
              <a16:creationId xmlns:a16="http://schemas.microsoft.com/office/drawing/2014/main" id="{0B9A6C35-462E-4499-8C5F-4B2A2B72E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09" name="Picture 10" descr=" ">
          <a:extLst>
            <a:ext uri="{FF2B5EF4-FFF2-40B4-BE49-F238E27FC236}">
              <a16:creationId xmlns:a16="http://schemas.microsoft.com/office/drawing/2014/main" id="{AE572D2B-DF4A-4F0A-A124-5C426A588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10" name="Picture 11" descr=" ">
          <a:extLst>
            <a:ext uri="{FF2B5EF4-FFF2-40B4-BE49-F238E27FC236}">
              <a16:creationId xmlns:a16="http://schemas.microsoft.com/office/drawing/2014/main" id="{21DD4A24-7B0A-4DB2-A2CA-090B9B45B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11" name="Picture 12" descr=" ">
          <a:extLst>
            <a:ext uri="{FF2B5EF4-FFF2-40B4-BE49-F238E27FC236}">
              <a16:creationId xmlns:a16="http://schemas.microsoft.com/office/drawing/2014/main" id="{88703749-F335-4BDD-B4FD-370C19FB6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12" name="Picture 7" descr=" ">
          <a:extLst>
            <a:ext uri="{FF2B5EF4-FFF2-40B4-BE49-F238E27FC236}">
              <a16:creationId xmlns:a16="http://schemas.microsoft.com/office/drawing/2014/main" id="{1FF4D09C-2F39-445C-83C0-48CE95090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13" name="Picture 8" descr=" ">
          <a:extLst>
            <a:ext uri="{FF2B5EF4-FFF2-40B4-BE49-F238E27FC236}">
              <a16:creationId xmlns:a16="http://schemas.microsoft.com/office/drawing/2014/main" id="{4E03B0DB-D71D-47E6-8134-C0DF213C9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14" name="Picture 9" descr=" ">
          <a:extLst>
            <a:ext uri="{FF2B5EF4-FFF2-40B4-BE49-F238E27FC236}">
              <a16:creationId xmlns:a16="http://schemas.microsoft.com/office/drawing/2014/main" id="{A63043B9-411F-46A8-8B40-33E62C1F9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15" name="Picture 10" descr=" ">
          <a:extLst>
            <a:ext uri="{FF2B5EF4-FFF2-40B4-BE49-F238E27FC236}">
              <a16:creationId xmlns:a16="http://schemas.microsoft.com/office/drawing/2014/main" id="{E894CD6A-002C-4A27-A2BE-079B58048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16" name="Picture 11" descr=" ">
          <a:extLst>
            <a:ext uri="{FF2B5EF4-FFF2-40B4-BE49-F238E27FC236}">
              <a16:creationId xmlns:a16="http://schemas.microsoft.com/office/drawing/2014/main" id="{22D2C48E-E73F-4067-8C19-034A49A5B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17" name="Picture 12" descr=" ">
          <a:extLst>
            <a:ext uri="{FF2B5EF4-FFF2-40B4-BE49-F238E27FC236}">
              <a16:creationId xmlns:a16="http://schemas.microsoft.com/office/drawing/2014/main" id="{CCEC7399-06C4-45E1-AA60-6A4B7FB4C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18" name="Picture 7" descr=" ">
          <a:extLst>
            <a:ext uri="{FF2B5EF4-FFF2-40B4-BE49-F238E27FC236}">
              <a16:creationId xmlns:a16="http://schemas.microsoft.com/office/drawing/2014/main" id="{02AC7DA0-178B-46C8-A16D-8C5D1FDFD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19" name="Picture 8" descr=" ">
          <a:extLst>
            <a:ext uri="{FF2B5EF4-FFF2-40B4-BE49-F238E27FC236}">
              <a16:creationId xmlns:a16="http://schemas.microsoft.com/office/drawing/2014/main" id="{A8A83B9D-75B5-4997-B1CA-6EDCA7CA1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20" name="Picture 9" descr=" ">
          <a:extLst>
            <a:ext uri="{FF2B5EF4-FFF2-40B4-BE49-F238E27FC236}">
              <a16:creationId xmlns:a16="http://schemas.microsoft.com/office/drawing/2014/main" id="{C6A0351C-F797-4E85-A394-23A675CE2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21" name="Picture 10" descr=" ">
          <a:extLst>
            <a:ext uri="{FF2B5EF4-FFF2-40B4-BE49-F238E27FC236}">
              <a16:creationId xmlns:a16="http://schemas.microsoft.com/office/drawing/2014/main" id="{FF125535-3E17-443E-B9FA-02C74E977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22" name="Picture 11" descr=" ">
          <a:extLst>
            <a:ext uri="{FF2B5EF4-FFF2-40B4-BE49-F238E27FC236}">
              <a16:creationId xmlns:a16="http://schemas.microsoft.com/office/drawing/2014/main" id="{1471E29C-8167-48CC-9E05-39DEB6F9A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23" name="Picture 12" descr=" ">
          <a:extLst>
            <a:ext uri="{FF2B5EF4-FFF2-40B4-BE49-F238E27FC236}">
              <a16:creationId xmlns:a16="http://schemas.microsoft.com/office/drawing/2014/main" id="{B7B3DCDB-EA29-4B0B-BCDA-E2EFE5F20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24" name="Picture 7" descr=" ">
          <a:extLst>
            <a:ext uri="{FF2B5EF4-FFF2-40B4-BE49-F238E27FC236}">
              <a16:creationId xmlns:a16="http://schemas.microsoft.com/office/drawing/2014/main" id="{76550576-FB18-4122-802E-C2ACE2539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25" name="Picture 8" descr=" ">
          <a:extLst>
            <a:ext uri="{FF2B5EF4-FFF2-40B4-BE49-F238E27FC236}">
              <a16:creationId xmlns:a16="http://schemas.microsoft.com/office/drawing/2014/main" id="{5AE647D4-0E7C-413F-81FB-108550136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26" name="Picture 9" descr=" ">
          <a:extLst>
            <a:ext uri="{FF2B5EF4-FFF2-40B4-BE49-F238E27FC236}">
              <a16:creationId xmlns:a16="http://schemas.microsoft.com/office/drawing/2014/main" id="{4ACF0A36-D058-423E-A705-CC65EADC5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27" name="Picture 10" descr=" ">
          <a:extLst>
            <a:ext uri="{FF2B5EF4-FFF2-40B4-BE49-F238E27FC236}">
              <a16:creationId xmlns:a16="http://schemas.microsoft.com/office/drawing/2014/main" id="{0913B662-F16C-4A36-A762-9E35E9B32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28" name="Picture 11" descr=" ">
          <a:extLst>
            <a:ext uri="{FF2B5EF4-FFF2-40B4-BE49-F238E27FC236}">
              <a16:creationId xmlns:a16="http://schemas.microsoft.com/office/drawing/2014/main" id="{C4AA96C4-AC49-4A2A-B0EB-97CB63AC9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29" name="Picture 12" descr=" ">
          <a:extLst>
            <a:ext uri="{FF2B5EF4-FFF2-40B4-BE49-F238E27FC236}">
              <a16:creationId xmlns:a16="http://schemas.microsoft.com/office/drawing/2014/main" id="{1095856A-B377-468B-A78B-01D65666C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30" name="Picture 7" descr=" ">
          <a:extLst>
            <a:ext uri="{FF2B5EF4-FFF2-40B4-BE49-F238E27FC236}">
              <a16:creationId xmlns:a16="http://schemas.microsoft.com/office/drawing/2014/main" id="{BF64ABEB-EB9A-42CA-9A25-3332C1D83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31" name="Picture 8" descr=" ">
          <a:extLst>
            <a:ext uri="{FF2B5EF4-FFF2-40B4-BE49-F238E27FC236}">
              <a16:creationId xmlns:a16="http://schemas.microsoft.com/office/drawing/2014/main" id="{AE64FA5E-FE59-4950-83E0-80451B433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32" name="Picture 9" descr=" ">
          <a:extLst>
            <a:ext uri="{FF2B5EF4-FFF2-40B4-BE49-F238E27FC236}">
              <a16:creationId xmlns:a16="http://schemas.microsoft.com/office/drawing/2014/main" id="{7636D6C2-6106-4FB8-A574-99A6FCA60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33" name="Picture 10" descr=" ">
          <a:extLst>
            <a:ext uri="{FF2B5EF4-FFF2-40B4-BE49-F238E27FC236}">
              <a16:creationId xmlns:a16="http://schemas.microsoft.com/office/drawing/2014/main" id="{64585518-6E8E-400D-AA58-2F909856F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34" name="Picture 11" descr=" ">
          <a:extLst>
            <a:ext uri="{FF2B5EF4-FFF2-40B4-BE49-F238E27FC236}">
              <a16:creationId xmlns:a16="http://schemas.microsoft.com/office/drawing/2014/main" id="{5F0CC2DF-42CC-459A-83E2-E16550FCF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35" name="Picture 12" descr=" ">
          <a:extLst>
            <a:ext uri="{FF2B5EF4-FFF2-40B4-BE49-F238E27FC236}">
              <a16:creationId xmlns:a16="http://schemas.microsoft.com/office/drawing/2014/main" id="{33924C1F-9029-4E4C-BCAA-2FA192F0F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36" name="Picture 7" descr=" ">
          <a:extLst>
            <a:ext uri="{FF2B5EF4-FFF2-40B4-BE49-F238E27FC236}">
              <a16:creationId xmlns:a16="http://schemas.microsoft.com/office/drawing/2014/main" id="{408B9D43-91E7-4ACC-9F90-46D5F33DF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37" name="Picture 8" descr=" ">
          <a:extLst>
            <a:ext uri="{FF2B5EF4-FFF2-40B4-BE49-F238E27FC236}">
              <a16:creationId xmlns:a16="http://schemas.microsoft.com/office/drawing/2014/main" id="{4654E2C6-BD3A-4ED5-99BE-BF3C5F7CA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38" name="Picture 9" descr=" ">
          <a:extLst>
            <a:ext uri="{FF2B5EF4-FFF2-40B4-BE49-F238E27FC236}">
              <a16:creationId xmlns:a16="http://schemas.microsoft.com/office/drawing/2014/main" id="{D0B0D78C-9ABF-48B3-BB2A-C3349B798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39" name="Picture 10" descr=" ">
          <a:extLst>
            <a:ext uri="{FF2B5EF4-FFF2-40B4-BE49-F238E27FC236}">
              <a16:creationId xmlns:a16="http://schemas.microsoft.com/office/drawing/2014/main" id="{796216D1-C96E-4D7A-BB80-1A8C64778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40" name="Picture 11" descr=" ">
          <a:extLst>
            <a:ext uri="{FF2B5EF4-FFF2-40B4-BE49-F238E27FC236}">
              <a16:creationId xmlns:a16="http://schemas.microsoft.com/office/drawing/2014/main" id="{56FA115A-55FE-4592-A744-A5E80CF10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41" name="Picture 12" descr=" ">
          <a:extLst>
            <a:ext uri="{FF2B5EF4-FFF2-40B4-BE49-F238E27FC236}">
              <a16:creationId xmlns:a16="http://schemas.microsoft.com/office/drawing/2014/main" id="{402D9319-F925-43E5-A658-293AAC415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42" name="Picture 7" descr=" ">
          <a:extLst>
            <a:ext uri="{FF2B5EF4-FFF2-40B4-BE49-F238E27FC236}">
              <a16:creationId xmlns:a16="http://schemas.microsoft.com/office/drawing/2014/main" id="{37353784-D808-4F2D-9419-662C5CA31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43" name="Picture 8" descr=" ">
          <a:extLst>
            <a:ext uri="{FF2B5EF4-FFF2-40B4-BE49-F238E27FC236}">
              <a16:creationId xmlns:a16="http://schemas.microsoft.com/office/drawing/2014/main" id="{0BBDEB6C-0F75-47AB-8BF8-754CF6A4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44" name="Picture 9" descr=" ">
          <a:extLst>
            <a:ext uri="{FF2B5EF4-FFF2-40B4-BE49-F238E27FC236}">
              <a16:creationId xmlns:a16="http://schemas.microsoft.com/office/drawing/2014/main" id="{9DC2A5CF-B644-40A6-AF33-233A2C8A7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45" name="Picture 10" descr=" ">
          <a:extLst>
            <a:ext uri="{FF2B5EF4-FFF2-40B4-BE49-F238E27FC236}">
              <a16:creationId xmlns:a16="http://schemas.microsoft.com/office/drawing/2014/main" id="{F912477F-3778-4722-8AF6-8A435E5C8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46" name="Picture 11" descr=" ">
          <a:extLst>
            <a:ext uri="{FF2B5EF4-FFF2-40B4-BE49-F238E27FC236}">
              <a16:creationId xmlns:a16="http://schemas.microsoft.com/office/drawing/2014/main" id="{1DC23457-B2FE-4717-9F7F-93D21E909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47" name="Picture 12" descr=" ">
          <a:extLst>
            <a:ext uri="{FF2B5EF4-FFF2-40B4-BE49-F238E27FC236}">
              <a16:creationId xmlns:a16="http://schemas.microsoft.com/office/drawing/2014/main" id="{F232253F-69F0-42C9-B774-AF10D91A0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48" name="Picture 7" descr=" ">
          <a:extLst>
            <a:ext uri="{FF2B5EF4-FFF2-40B4-BE49-F238E27FC236}">
              <a16:creationId xmlns:a16="http://schemas.microsoft.com/office/drawing/2014/main" id="{BC787B28-917B-4742-9E0B-CFD51563A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49" name="Picture 8" descr=" ">
          <a:extLst>
            <a:ext uri="{FF2B5EF4-FFF2-40B4-BE49-F238E27FC236}">
              <a16:creationId xmlns:a16="http://schemas.microsoft.com/office/drawing/2014/main" id="{A45FBC27-9917-4A2F-882C-DE5DD36A4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50" name="Picture 9" descr=" ">
          <a:extLst>
            <a:ext uri="{FF2B5EF4-FFF2-40B4-BE49-F238E27FC236}">
              <a16:creationId xmlns:a16="http://schemas.microsoft.com/office/drawing/2014/main" id="{230CFA89-A3C8-4BB5-B89F-ADB5C7BC2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51" name="Picture 10" descr=" ">
          <a:extLst>
            <a:ext uri="{FF2B5EF4-FFF2-40B4-BE49-F238E27FC236}">
              <a16:creationId xmlns:a16="http://schemas.microsoft.com/office/drawing/2014/main" id="{4EB18877-A767-4520-A2F9-5FB660671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52" name="Picture 11" descr=" ">
          <a:extLst>
            <a:ext uri="{FF2B5EF4-FFF2-40B4-BE49-F238E27FC236}">
              <a16:creationId xmlns:a16="http://schemas.microsoft.com/office/drawing/2014/main" id="{C80BB2BF-9DB4-48C5-8B9A-214022C0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53" name="Picture 12" descr=" ">
          <a:extLst>
            <a:ext uri="{FF2B5EF4-FFF2-40B4-BE49-F238E27FC236}">
              <a16:creationId xmlns:a16="http://schemas.microsoft.com/office/drawing/2014/main" id="{B0B2EDE1-1244-4202-BB9A-443764C18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54" name="Picture 7" descr=" ">
          <a:extLst>
            <a:ext uri="{FF2B5EF4-FFF2-40B4-BE49-F238E27FC236}">
              <a16:creationId xmlns:a16="http://schemas.microsoft.com/office/drawing/2014/main" id="{7E34DA08-3CF2-4843-8BED-548E3EA95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55" name="Picture 8" descr=" ">
          <a:extLst>
            <a:ext uri="{FF2B5EF4-FFF2-40B4-BE49-F238E27FC236}">
              <a16:creationId xmlns:a16="http://schemas.microsoft.com/office/drawing/2014/main" id="{74D4A7BE-2C5D-4F24-9AD1-B0B50FEC5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56" name="Picture 9" descr=" ">
          <a:extLst>
            <a:ext uri="{FF2B5EF4-FFF2-40B4-BE49-F238E27FC236}">
              <a16:creationId xmlns:a16="http://schemas.microsoft.com/office/drawing/2014/main" id="{1411D216-AD7B-4AC2-AED5-D2CCA499D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57" name="Picture 10" descr=" ">
          <a:extLst>
            <a:ext uri="{FF2B5EF4-FFF2-40B4-BE49-F238E27FC236}">
              <a16:creationId xmlns:a16="http://schemas.microsoft.com/office/drawing/2014/main" id="{71C62758-83B5-46C9-A496-F532BF4F7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58" name="Picture 11" descr=" ">
          <a:extLst>
            <a:ext uri="{FF2B5EF4-FFF2-40B4-BE49-F238E27FC236}">
              <a16:creationId xmlns:a16="http://schemas.microsoft.com/office/drawing/2014/main" id="{5FA23E89-2757-4C2C-9140-EC4710A58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59" name="Picture 12" descr=" ">
          <a:extLst>
            <a:ext uri="{FF2B5EF4-FFF2-40B4-BE49-F238E27FC236}">
              <a16:creationId xmlns:a16="http://schemas.microsoft.com/office/drawing/2014/main" id="{DBE14BD8-2DFB-48D0-96D1-81E710C91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60" name="Picture 7" descr=" ">
          <a:extLst>
            <a:ext uri="{FF2B5EF4-FFF2-40B4-BE49-F238E27FC236}">
              <a16:creationId xmlns:a16="http://schemas.microsoft.com/office/drawing/2014/main" id="{9DE517A5-B4CE-4B33-8635-7A2DF03ED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61" name="Picture 8" descr=" ">
          <a:extLst>
            <a:ext uri="{FF2B5EF4-FFF2-40B4-BE49-F238E27FC236}">
              <a16:creationId xmlns:a16="http://schemas.microsoft.com/office/drawing/2014/main" id="{2B055254-638E-46EB-9448-BB2F134F9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62" name="Picture 9" descr=" ">
          <a:extLst>
            <a:ext uri="{FF2B5EF4-FFF2-40B4-BE49-F238E27FC236}">
              <a16:creationId xmlns:a16="http://schemas.microsoft.com/office/drawing/2014/main" id="{228BC228-157B-44F2-B6FA-EEC3FFB4E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63" name="Picture 10" descr=" ">
          <a:extLst>
            <a:ext uri="{FF2B5EF4-FFF2-40B4-BE49-F238E27FC236}">
              <a16:creationId xmlns:a16="http://schemas.microsoft.com/office/drawing/2014/main" id="{1D46DDF0-0A94-41D4-A429-E7E23B954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64" name="Picture 11" descr=" ">
          <a:extLst>
            <a:ext uri="{FF2B5EF4-FFF2-40B4-BE49-F238E27FC236}">
              <a16:creationId xmlns:a16="http://schemas.microsoft.com/office/drawing/2014/main" id="{C4D97E49-BA7E-4B2D-8CDB-FBC973854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65" name="Picture 12" descr=" ">
          <a:extLst>
            <a:ext uri="{FF2B5EF4-FFF2-40B4-BE49-F238E27FC236}">
              <a16:creationId xmlns:a16="http://schemas.microsoft.com/office/drawing/2014/main" id="{8E544D91-D495-4BE7-B520-E5252A9D6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66" name="Picture 7" descr=" ">
          <a:extLst>
            <a:ext uri="{FF2B5EF4-FFF2-40B4-BE49-F238E27FC236}">
              <a16:creationId xmlns:a16="http://schemas.microsoft.com/office/drawing/2014/main" id="{6924BC58-C75C-4168-8060-0C1B6700C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67" name="Picture 8" descr=" ">
          <a:extLst>
            <a:ext uri="{FF2B5EF4-FFF2-40B4-BE49-F238E27FC236}">
              <a16:creationId xmlns:a16="http://schemas.microsoft.com/office/drawing/2014/main" id="{34734A2C-EF4B-4BDD-876A-C90CCECBE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68" name="Picture 9" descr=" ">
          <a:extLst>
            <a:ext uri="{FF2B5EF4-FFF2-40B4-BE49-F238E27FC236}">
              <a16:creationId xmlns:a16="http://schemas.microsoft.com/office/drawing/2014/main" id="{A296FCCD-FEE0-42FE-BFD1-9F0F56E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69" name="Picture 10" descr=" ">
          <a:extLst>
            <a:ext uri="{FF2B5EF4-FFF2-40B4-BE49-F238E27FC236}">
              <a16:creationId xmlns:a16="http://schemas.microsoft.com/office/drawing/2014/main" id="{1FE0EE4E-3252-40C9-BC86-419FF76CC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70" name="Picture 11" descr=" ">
          <a:extLst>
            <a:ext uri="{FF2B5EF4-FFF2-40B4-BE49-F238E27FC236}">
              <a16:creationId xmlns:a16="http://schemas.microsoft.com/office/drawing/2014/main" id="{759A390C-D3AD-43C3-AB48-A6353174E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71" name="Picture 12" descr=" ">
          <a:extLst>
            <a:ext uri="{FF2B5EF4-FFF2-40B4-BE49-F238E27FC236}">
              <a16:creationId xmlns:a16="http://schemas.microsoft.com/office/drawing/2014/main" id="{D1E7F824-AC8F-490C-B01F-4DEAD948C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72" name="Picture 7" descr=" ">
          <a:extLst>
            <a:ext uri="{FF2B5EF4-FFF2-40B4-BE49-F238E27FC236}">
              <a16:creationId xmlns:a16="http://schemas.microsoft.com/office/drawing/2014/main" id="{F11F0387-B2AE-48DB-ACD8-285ECE7C5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73" name="Picture 8" descr=" ">
          <a:extLst>
            <a:ext uri="{FF2B5EF4-FFF2-40B4-BE49-F238E27FC236}">
              <a16:creationId xmlns:a16="http://schemas.microsoft.com/office/drawing/2014/main" id="{8DE30869-FDF2-4800-AD32-F6A6A538F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74" name="Picture 9" descr=" ">
          <a:extLst>
            <a:ext uri="{FF2B5EF4-FFF2-40B4-BE49-F238E27FC236}">
              <a16:creationId xmlns:a16="http://schemas.microsoft.com/office/drawing/2014/main" id="{E716FBA4-BD35-4E68-B684-A5B26A14B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75" name="Picture 10" descr=" ">
          <a:extLst>
            <a:ext uri="{FF2B5EF4-FFF2-40B4-BE49-F238E27FC236}">
              <a16:creationId xmlns:a16="http://schemas.microsoft.com/office/drawing/2014/main" id="{AAE3E528-387A-4385-A5E8-37B7F480F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76" name="Picture 11" descr=" ">
          <a:extLst>
            <a:ext uri="{FF2B5EF4-FFF2-40B4-BE49-F238E27FC236}">
              <a16:creationId xmlns:a16="http://schemas.microsoft.com/office/drawing/2014/main" id="{DD89E9F9-8005-4671-9E8D-912FA9B97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77" name="Picture 12" descr=" ">
          <a:extLst>
            <a:ext uri="{FF2B5EF4-FFF2-40B4-BE49-F238E27FC236}">
              <a16:creationId xmlns:a16="http://schemas.microsoft.com/office/drawing/2014/main" id="{AE79B767-2F6F-415C-9082-CF7CAEE00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78" name="Picture 7" descr=" ">
          <a:extLst>
            <a:ext uri="{FF2B5EF4-FFF2-40B4-BE49-F238E27FC236}">
              <a16:creationId xmlns:a16="http://schemas.microsoft.com/office/drawing/2014/main" id="{2D20C94D-E664-4A8B-B27B-068E8A9F5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79" name="Picture 8" descr=" ">
          <a:extLst>
            <a:ext uri="{FF2B5EF4-FFF2-40B4-BE49-F238E27FC236}">
              <a16:creationId xmlns:a16="http://schemas.microsoft.com/office/drawing/2014/main" id="{850FB8EF-BF2C-456E-81F7-EB87BE056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80" name="Picture 9" descr=" ">
          <a:extLst>
            <a:ext uri="{FF2B5EF4-FFF2-40B4-BE49-F238E27FC236}">
              <a16:creationId xmlns:a16="http://schemas.microsoft.com/office/drawing/2014/main" id="{B06E6E95-E618-471A-BF4E-E4DD4BBA2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81" name="Picture 10" descr=" ">
          <a:extLst>
            <a:ext uri="{FF2B5EF4-FFF2-40B4-BE49-F238E27FC236}">
              <a16:creationId xmlns:a16="http://schemas.microsoft.com/office/drawing/2014/main" id="{E734F4D4-912D-4FFA-A0FD-22C35B4B9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82" name="Picture 11" descr=" ">
          <a:extLst>
            <a:ext uri="{FF2B5EF4-FFF2-40B4-BE49-F238E27FC236}">
              <a16:creationId xmlns:a16="http://schemas.microsoft.com/office/drawing/2014/main" id="{B8DF1F1E-194C-41FF-8B90-EACF71FCE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83" name="Picture 12" descr=" ">
          <a:extLst>
            <a:ext uri="{FF2B5EF4-FFF2-40B4-BE49-F238E27FC236}">
              <a16:creationId xmlns:a16="http://schemas.microsoft.com/office/drawing/2014/main" id="{68094414-AAC3-4065-9AF6-94FB147BA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84" name="Picture 7" descr=" ">
          <a:extLst>
            <a:ext uri="{FF2B5EF4-FFF2-40B4-BE49-F238E27FC236}">
              <a16:creationId xmlns:a16="http://schemas.microsoft.com/office/drawing/2014/main" id="{D983BD0C-84FD-4DE9-A1A1-2D6AFB79D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85" name="Picture 8" descr=" ">
          <a:extLst>
            <a:ext uri="{FF2B5EF4-FFF2-40B4-BE49-F238E27FC236}">
              <a16:creationId xmlns:a16="http://schemas.microsoft.com/office/drawing/2014/main" id="{F6466CC7-81F1-4F7D-B7A9-F61ED2EA9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86" name="Picture 9" descr=" ">
          <a:extLst>
            <a:ext uri="{FF2B5EF4-FFF2-40B4-BE49-F238E27FC236}">
              <a16:creationId xmlns:a16="http://schemas.microsoft.com/office/drawing/2014/main" id="{DA43A7F6-C2B2-4EF1-970E-D4347E4F7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87" name="Picture 10" descr=" ">
          <a:extLst>
            <a:ext uri="{FF2B5EF4-FFF2-40B4-BE49-F238E27FC236}">
              <a16:creationId xmlns:a16="http://schemas.microsoft.com/office/drawing/2014/main" id="{8822A683-77CF-478F-80D4-D66250040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88" name="Picture 11" descr=" ">
          <a:extLst>
            <a:ext uri="{FF2B5EF4-FFF2-40B4-BE49-F238E27FC236}">
              <a16:creationId xmlns:a16="http://schemas.microsoft.com/office/drawing/2014/main" id="{C2C3B7C2-1B8F-4362-A7D8-C6D1BD5D8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89" name="Picture 12" descr=" ">
          <a:extLst>
            <a:ext uri="{FF2B5EF4-FFF2-40B4-BE49-F238E27FC236}">
              <a16:creationId xmlns:a16="http://schemas.microsoft.com/office/drawing/2014/main" id="{F6E0F66D-BEE5-4C99-8667-DA0DA4061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90" name="Picture 7" descr=" ">
          <a:extLst>
            <a:ext uri="{FF2B5EF4-FFF2-40B4-BE49-F238E27FC236}">
              <a16:creationId xmlns:a16="http://schemas.microsoft.com/office/drawing/2014/main" id="{3786605A-91B2-4970-B0AA-CDEEFE22B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91" name="Picture 8" descr=" ">
          <a:extLst>
            <a:ext uri="{FF2B5EF4-FFF2-40B4-BE49-F238E27FC236}">
              <a16:creationId xmlns:a16="http://schemas.microsoft.com/office/drawing/2014/main" id="{C01F0FB8-A46B-48EB-8E5E-235796FA5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92" name="Picture 9" descr=" ">
          <a:extLst>
            <a:ext uri="{FF2B5EF4-FFF2-40B4-BE49-F238E27FC236}">
              <a16:creationId xmlns:a16="http://schemas.microsoft.com/office/drawing/2014/main" id="{D494B3AC-4EFA-4D9D-9CD5-DC3F55702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93" name="Picture 10" descr=" ">
          <a:extLst>
            <a:ext uri="{FF2B5EF4-FFF2-40B4-BE49-F238E27FC236}">
              <a16:creationId xmlns:a16="http://schemas.microsoft.com/office/drawing/2014/main" id="{0F1487F6-1A49-4461-9FB0-661625FCF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94" name="Picture 11" descr=" ">
          <a:extLst>
            <a:ext uri="{FF2B5EF4-FFF2-40B4-BE49-F238E27FC236}">
              <a16:creationId xmlns:a16="http://schemas.microsoft.com/office/drawing/2014/main" id="{4608411E-780A-44EB-96B3-F637E5439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95" name="Picture 12" descr=" ">
          <a:extLst>
            <a:ext uri="{FF2B5EF4-FFF2-40B4-BE49-F238E27FC236}">
              <a16:creationId xmlns:a16="http://schemas.microsoft.com/office/drawing/2014/main" id="{B2ABCD20-1896-4822-9C51-C3BC77006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96" name="Picture 7" descr=" ">
          <a:extLst>
            <a:ext uri="{FF2B5EF4-FFF2-40B4-BE49-F238E27FC236}">
              <a16:creationId xmlns:a16="http://schemas.microsoft.com/office/drawing/2014/main" id="{0C97A081-5563-4D63-9DBA-5A58238E2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97" name="Picture 8" descr=" ">
          <a:extLst>
            <a:ext uri="{FF2B5EF4-FFF2-40B4-BE49-F238E27FC236}">
              <a16:creationId xmlns:a16="http://schemas.microsoft.com/office/drawing/2014/main" id="{23045A14-9598-47ED-AE6B-F7FE141F8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98" name="Picture 9" descr=" ">
          <a:extLst>
            <a:ext uri="{FF2B5EF4-FFF2-40B4-BE49-F238E27FC236}">
              <a16:creationId xmlns:a16="http://schemas.microsoft.com/office/drawing/2014/main" id="{269FDB1F-8AD4-4FD0-BF9A-529F21539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599" name="Picture 10" descr=" ">
          <a:extLst>
            <a:ext uri="{FF2B5EF4-FFF2-40B4-BE49-F238E27FC236}">
              <a16:creationId xmlns:a16="http://schemas.microsoft.com/office/drawing/2014/main" id="{64E0D756-603B-46F2-98B1-D7FD88B51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00" name="Picture 11" descr=" ">
          <a:extLst>
            <a:ext uri="{FF2B5EF4-FFF2-40B4-BE49-F238E27FC236}">
              <a16:creationId xmlns:a16="http://schemas.microsoft.com/office/drawing/2014/main" id="{494C95DD-DF88-46B2-9E0B-FDEEADAD6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01" name="Picture 12" descr=" ">
          <a:extLst>
            <a:ext uri="{FF2B5EF4-FFF2-40B4-BE49-F238E27FC236}">
              <a16:creationId xmlns:a16="http://schemas.microsoft.com/office/drawing/2014/main" id="{E56E5E22-BF40-4AE9-87E4-294794356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02" name="Picture 7" descr=" ">
          <a:extLst>
            <a:ext uri="{FF2B5EF4-FFF2-40B4-BE49-F238E27FC236}">
              <a16:creationId xmlns:a16="http://schemas.microsoft.com/office/drawing/2014/main" id="{A1E743EC-2A1E-44F2-ACB4-09616EEA0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03" name="Picture 8" descr=" ">
          <a:extLst>
            <a:ext uri="{FF2B5EF4-FFF2-40B4-BE49-F238E27FC236}">
              <a16:creationId xmlns:a16="http://schemas.microsoft.com/office/drawing/2014/main" id="{F78A0860-5610-4E6B-96DD-53A38653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04" name="Picture 9" descr=" ">
          <a:extLst>
            <a:ext uri="{FF2B5EF4-FFF2-40B4-BE49-F238E27FC236}">
              <a16:creationId xmlns:a16="http://schemas.microsoft.com/office/drawing/2014/main" id="{5926024F-138B-41FD-8DF0-52A38D255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05" name="Picture 10" descr=" ">
          <a:extLst>
            <a:ext uri="{FF2B5EF4-FFF2-40B4-BE49-F238E27FC236}">
              <a16:creationId xmlns:a16="http://schemas.microsoft.com/office/drawing/2014/main" id="{463B1304-EC1A-47F7-8D50-B937B0898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06" name="Picture 11" descr=" ">
          <a:extLst>
            <a:ext uri="{FF2B5EF4-FFF2-40B4-BE49-F238E27FC236}">
              <a16:creationId xmlns:a16="http://schemas.microsoft.com/office/drawing/2014/main" id="{7FEC2C82-E7D7-408C-AFDA-EF4CE4BE4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07" name="Picture 12" descr=" ">
          <a:extLst>
            <a:ext uri="{FF2B5EF4-FFF2-40B4-BE49-F238E27FC236}">
              <a16:creationId xmlns:a16="http://schemas.microsoft.com/office/drawing/2014/main" id="{BE4F76D7-7444-4156-B457-195856E39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08" name="Picture 7" descr=" ">
          <a:extLst>
            <a:ext uri="{FF2B5EF4-FFF2-40B4-BE49-F238E27FC236}">
              <a16:creationId xmlns:a16="http://schemas.microsoft.com/office/drawing/2014/main" id="{90C7F874-3BE9-4EAE-8273-02BEE5BCF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09" name="Picture 8" descr=" ">
          <a:extLst>
            <a:ext uri="{FF2B5EF4-FFF2-40B4-BE49-F238E27FC236}">
              <a16:creationId xmlns:a16="http://schemas.microsoft.com/office/drawing/2014/main" id="{CE38F2FF-ED77-4064-95BA-F97ACC3F7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10" name="Picture 9" descr=" ">
          <a:extLst>
            <a:ext uri="{FF2B5EF4-FFF2-40B4-BE49-F238E27FC236}">
              <a16:creationId xmlns:a16="http://schemas.microsoft.com/office/drawing/2014/main" id="{11103376-F4AA-4223-B2FA-DCF3FA2B0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11" name="Picture 10" descr=" ">
          <a:extLst>
            <a:ext uri="{FF2B5EF4-FFF2-40B4-BE49-F238E27FC236}">
              <a16:creationId xmlns:a16="http://schemas.microsoft.com/office/drawing/2014/main" id="{EE586065-2EC5-4800-9871-43CD183A8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12" name="Picture 11" descr=" ">
          <a:extLst>
            <a:ext uri="{FF2B5EF4-FFF2-40B4-BE49-F238E27FC236}">
              <a16:creationId xmlns:a16="http://schemas.microsoft.com/office/drawing/2014/main" id="{C4485679-D0DA-4819-9FE4-441E8D13A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13" name="Picture 12" descr=" ">
          <a:extLst>
            <a:ext uri="{FF2B5EF4-FFF2-40B4-BE49-F238E27FC236}">
              <a16:creationId xmlns:a16="http://schemas.microsoft.com/office/drawing/2014/main" id="{B908B3AD-E1F7-44C0-8F1E-4CF12C55A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14" name="Picture 7" descr=" ">
          <a:extLst>
            <a:ext uri="{FF2B5EF4-FFF2-40B4-BE49-F238E27FC236}">
              <a16:creationId xmlns:a16="http://schemas.microsoft.com/office/drawing/2014/main" id="{D874E56D-BE49-408E-A7F5-0CB45CEB2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15" name="Picture 8" descr=" ">
          <a:extLst>
            <a:ext uri="{FF2B5EF4-FFF2-40B4-BE49-F238E27FC236}">
              <a16:creationId xmlns:a16="http://schemas.microsoft.com/office/drawing/2014/main" id="{9BF5C69F-B4CB-4C2F-A62D-585FFE93F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16" name="Picture 9" descr=" ">
          <a:extLst>
            <a:ext uri="{FF2B5EF4-FFF2-40B4-BE49-F238E27FC236}">
              <a16:creationId xmlns:a16="http://schemas.microsoft.com/office/drawing/2014/main" id="{97D3AB6F-188B-4EBC-8755-4FE580EF7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17" name="Picture 10" descr=" ">
          <a:extLst>
            <a:ext uri="{FF2B5EF4-FFF2-40B4-BE49-F238E27FC236}">
              <a16:creationId xmlns:a16="http://schemas.microsoft.com/office/drawing/2014/main" id="{314FC1B3-A0A1-48D2-9C25-E0C4CA07C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18" name="Picture 11" descr=" ">
          <a:extLst>
            <a:ext uri="{FF2B5EF4-FFF2-40B4-BE49-F238E27FC236}">
              <a16:creationId xmlns:a16="http://schemas.microsoft.com/office/drawing/2014/main" id="{E2BFAF3D-EF07-4F08-BDB2-C3518DBA9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19" name="Picture 12" descr=" ">
          <a:extLst>
            <a:ext uri="{FF2B5EF4-FFF2-40B4-BE49-F238E27FC236}">
              <a16:creationId xmlns:a16="http://schemas.microsoft.com/office/drawing/2014/main" id="{30F0DE14-44B3-4172-9244-10C17AC0B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20" name="Picture 7" descr=" ">
          <a:extLst>
            <a:ext uri="{FF2B5EF4-FFF2-40B4-BE49-F238E27FC236}">
              <a16:creationId xmlns:a16="http://schemas.microsoft.com/office/drawing/2014/main" id="{21C8B82D-AF4A-4D60-9743-2C09CC171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21" name="Picture 8" descr=" ">
          <a:extLst>
            <a:ext uri="{FF2B5EF4-FFF2-40B4-BE49-F238E27FC236}">
              <a16:creationId xmlns:a16="http://schemas.microsoft.com/office/drawing/2014/main" id="{567DC55F-F638-4D25-8C88-A96FA6455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22" name="Picture 9" descr=" ">
          <a:extLst>
            <a:ext uri="{FF2B5EF4-FFF2-40B4-BE49-F238E27FC236}">
              <a16:creationId xmlns:a16="http://schemas.microsoft.com/office/drawing/2014/main" id="{CA51827E-DA13-4A0E-91EE-53DFB41B24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23" name="Picture 10" descr=" ">
          <a:extLst>
            <a:ext uri="{FF2B5EF4-FFF2-40B4-BE49-F238E27FC236}">
              <a16:creationId xmlns:a16="http://schemas.microsoft.com/office/drawing/2014/main" id="{6D44B062-58F6-4B18-85FC-BF438E0D2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24" name="Picture 11" descr=" ">
          <a:extLst>
            <a:ext uri="{FF2B5EF4-FFF2-40B4-BE49-F238E27FC236}">
              <a16:creationId xmlns:a16="http://schemas.microsoft.com/office/drawing/2014/main" id="{E0D4AE83-907D-4843-9071-9CDB0E923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25" name="Picture 12" descr=" ">
          <a:extLst>
            <a:ext uri="{FF2B5EF4-FFF2-40B4-BE49-F238E27FC236}">
              <a16:creationId xmlns:a16="http://schemas.microsoft.com/office/drawing/2014/main" id="{0C51BF8E-F841-4C28-9C51-C9BA22A3F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26" name="Picture 7" descr=" ">
          <a:extLst>
            <a:ext uri="{FF2B5EF4-FFF2-40B4-BE49-F238E27FC236}">
              <a16:creationId xmlns:a16="http://schemas.microsoft.com/office/drawing/2014/main" id="{26495C76-3EB8-4E19-B0AD-0A09C87F9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27" name="Picture 8" descr=" ">
          <a:extLst>
            <a:ext uri="{FF2B5EF4-FFF2-40B4-BE49-F238E27FC236}">
              <a16:creationId xmlns:a16="http://schemas.microsoft.com/office/drawing/2014/main" id="{D2809A54-85B7-42F9-ADDE-AB576FFE1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28" name="Picture 9" descr=" ">
          <a:extLst>
            <a:ext uri="{FF2B5EF4-FFF2-40B4-BE49-F238E27FC236}">
              <a16:creationId xmlns:a16="http://schemas.microsoft.com/office/drawing/2014/main" id="{6E5D2B4E-CFA5-4F74-BEE4-0D1CA6109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29" name="Picture 10" descr=" ">
          <a:extLst>
            <a:ext uri="{FF2B5EF4-FFF2-40B4-BE49-F238E27FC236}">
              <a16:creationId xmlns:a16="http://schemas.microsoft.com/office/drawing/2014/main" id="{CBE0721E-1C1B-40F7-8BDD-B1F52F13B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30" name="Picture 11" descr=" ">
          <a:extLst>
            <a:ext uri="{FF2B5EF4-FFF2-40B4-BE49-F238E27FC236}">
              <a16:creationId xmlns:a16="http://schemas.microsoft.com/office/drawing/2014/main" id="{2DDF94B7-23D2-41A1-9CD5-47050C908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31" name="Picture 12" descr=" ">
          <a:extLst>
            <a:ext uri="{FF2B5EF4-FFF2-40B4-BE49-F238E27FC236}">
              <a16:creationId xmlns:a16="http://schemas.microsoft.com/office/drawing/2014/main" id="{75BF9923-570D-40BA-899D-734C04553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32" name="Picture 7" descr=" ">
          <a:extLst>
            <a:ext uri="{FF2B5EF4-FFF2-40B4-BE49-F238E27FC236}">
              <a16:creationId xmlns:a16="http://schemas.microsoft.com/office/drawing/2014/main" id="{B34DA1A9-AC41-417D-A6D0-39FE55538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33" name="Picture 8" descr=" ">
          <a:extLst>
            <a:ext uri="{FF2B5EF4-FFF2-40B4-BE49-F238E27FC236}">
              <a16:creationId xmlns:a16="http://schemas.microsoft.com/office/drawing/2014/main" id="{5597C354-9556-4641-8054-FD69ABCF7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34" name="Picture 9" descr=" ">
          <a:extLst>
            <a:ext uri="{FF2B5EF4-FFF2-40B4-BE49-F238E27FC236}">
              <a16:creationId xmlns:a16="http://schemas.microsoft.com/office/drawing/2014/main" id="{CF726113-24A5-4306-B5E3-B8E0669A3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35" name="Picture 10" descr=" ">
          <a:extLst>
            <a:ext uri="{FF2B5EF4-FFF2-40B4-BE49-F238E27FC236}">
              <a16:creationId xmlns:a16="http://schemas.microsoft.com/office/drawing/2014/main" id="{90CE0E32-055E-4270-9B55-DD9DAAE1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36" name="Picture 11" descr=" ">
          <a:extLst>
            <a:ext uri="{FF2B5EF4-FFF2-40B4-BE49-F238E27FC236}">
              <a16:creationId xmlns:a16="http://schemas.microsoft.com/office/drawing/2014/main" id="{CC0C89B5-A923-4869-82A9-31F6DAD8F3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9525</xdr:colOff>
      <xdr:row>189</xdr:row>
      <xdr:rowOff>38100</xdr:rowOff>
    </xdr:to>
    <xdr:pic>
      <xdr:nvPicPr>
        <xdr:cNvPr id="6637" name="Picture 12" descr=" ">
          <a:extLst>
            <a:ext uri="{FF2B5EF4-FFF2-40B4-BE49-F238E27FC236}">
              <a16:creationId xmlns:a16="http://schemas.microsoft.com/office/drawing/2014/main" id="{7093D211-D1E3-49A8-AD58-50364C629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50514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38100</xdr:rowOff>
    </xdr:to>
    <xdr:pic>
      <xdr:nvPicPr>
        <xdr:cNvPr id="6638" name="Picture 7" descr=" ">
          <a:extLst>
            <a:ext uri="{FF2B5EF4-FFF2-40B4-BE49-F238E27FC236}">
              <a16:creationId xmlns:a16="http://schemas.microsoft.com/office/drawing/2014/main" id="{034B51C4-5759-4DBE-84F6-BE26C98D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88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38100</xdr:rowOff>
    </xdr:to>
    <xdr:pic>
      <xdr:nvPicPr>
        <xdr:cNvPr id="6639" name="Picture 8" descr=" ">
          <a:extLst>
            <a:ext uri="{FF2B5EF4-FFF2-40B4-BE49-F238E27FC236}">
              <a16:creationId xmlns:a16="http://schemas.microsoft.com/office/drawing/2014/main" id="{EA99FBD1-84A9-405C-A597-66406722E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88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38100</xdr:rowOff>
    </xdr:to>
    <xdr:pic>
      <xdr:nvPicPr>
        <xdr:cNvPr id="6640" name="Picture 9" descr=" ">
          <a:extLst>
            <a:ext uri="{FF2B5EF4-FFF2-40B4-BE49-F238E27FC236}">
              <a16:creationId xmlns:a16="http://schemas.microsoft.com/office/drawing/2014/main" id="{5C0A29E0-9A18-4B9D-8401-F9E64B5CA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88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38100</xdr:rowOff>
    </xdr:to>
    <xdr:pic>
      <xdr:nvPicPr>
        <xdr:cNvPr id="6641" name="Picture 10" descr=" ">
          <a:extLst>
            <a:ext uri="{FF2B5EF4-FFF2-40B4-BE49-F238E27FC236}">
              <a16:creationId xmlns:a16="http://schemas.microsoft.com/office/drawing/2014/main" id="{3F98779C-2F06-44B5-B7DF-BF8251F02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88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38100</xdr:rowOff>
    </xdr:to>
    <xdr:pic>
      <xdr:nvPicPr>
        <xdr:cNvPr id="6642" name="Picture 11" descr=" ">
          <a:extLst>
            <a:ext uri="{FF2B5EF4-FFF2-40B4-BE49-F238E27FC236}">
              <a16:creationId xmlns:a16="http://schemas.microsoft.com/office/drawing/2014/main" id="{9A91D9D0-AB06-49E6-A791-7A24AA092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88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</xdr:colOff>
      <xdr:row>190</xdr:row>
      <xdr:rowOff>38100</xdr:rowOff>
    </xdr:to>
    <xdr:pic>
      <xdr:nvPicPr>
        <xdr:cNvPr id="6643" name="Picture 12" descr=" ">
          <a:extLst>
            <a:ext uri="{FF2B5EF4-FFF2-40B4-BE49-F238E27FC236}">
              <a16:creationId xmlns:a16="http://schemas.microsoft.com/office/drawing/2014/main" id="{639CD428-E13F-4F26-81F1-316633BF8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8802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44" name="Picture 7" descr=" ">
          <a:extLst>
            <a:ext uri="{FF2B5EF4-FFF2-40B4-BE49-F238E27FC236}">
              <a16:creationId xmlns:a16="http://schemas.microsoft.com/office/drawing/2014/main" id="{D373715F-2194-48B9-8793-B693A44F9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45" name="Picture 8" descr=" ">
          <a:extLst>
            <a:ext uri="{FF2B5EF4-FFF2-40B4-BE49-F238E27FC236}">
              <a16:creationId xmlns:a16="http://schemas.microsoft.com/office/drawing/2014/main" id="{38CEF0C1-EF1C-46B8-AA35-9C656B164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46" name="Picture 9" descr=" ">
          <a:extLst>
            <a:ext uri="{FF2B5EF4-FFF2-40B4-BE49-F238E27FC236}">
              <a16:creationId xmlns:a16="http://schemas.microsoft.com/office/drawing/2014/main" id="{3061FD3F-9397-4E40-97EC-B456FA940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47" name="Picture 10" descr=" ">
          <a:extLst>
            <a:ext uri="{FF2B5EF4-FFF2-40B4-BE49-F238E27FC236}">
              <a16:creationId xmlns:a16="http://schemas.microsoft.com/office/drawing/2014/main" id="{9266B8C3-FB8A-43E2-83E9-655DA60D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48" name="Picture 11" descr=" ">
          <a:extLst>
            <a:ext uri="{FF2B5EF4-FFF2-40B4-BE49-F238E27FC236}">
              <a16:creationId xmlns:a16="http://schemas.microsoft.com/office/drawing/2014/main" id="{FA33DE50-F7C6-4DD0-8B5E-9C33393C4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49" name="Picture 12" descr=" ">
          <a:extLst>
            <a:ext uri="{FF2B5EF4-FFF2-40B4-BE49-F238E27FC236}">
              <a16:creationId xmlns:a16="http://schemas.microsoft.com/office/drawing/2014/main" id="{F0370B4B-5A02-48D1-8C3B-DB72BDA50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50" name="Picture 7" descr=" ">
          <a:extLst>
            <a:ext uri="{FF2B5EF4-FFF2-40B4-BE49-F238E27FC236}">
              <a16:creationId xmlns:a16="http://schemas.microsoft.com/office/drawing/2014/main" id="{31624CDC-0E8B-43C0-8D05-B8467C23A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51" name="Picture 8" descr=" ">
          <a:extLst>
            <a:ext uri="{FF2B5EF4-FFF2-40B4-BE49-F238E27FC236}">
              <a16:creationId xmlns:a16="http://schemas.microsoft.com/office/drawing/2014/main" id="{71A4AEAC-E907-4654-A954-9AA68F2B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52" name="Picture 9" descr=" ">
          <a:extLst>
            <a:ext uri="{FF2B5EF4-FFF2-40B4-BE49-F238E27FC236}">
              <a16:creationId xmlns:a16="http://schemas.microsoft.com/office/drawing/2014/main" id="{F8FA8900-E2DD-4C73-9D37-346FC47BE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53" name="Picture 10" descr=" ">
          <a:extLst>
            <a:ext uri="{FF2B5EF4-FFF2-40B4-BE49-F238E27FC236}">
              <a16:creationId xmlns:a16="http://schemas.microsoft.com/office/drawing/2014/main" id="{929DE6AC-4E75-4FC9-A9C6-A7195556B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54" name="Picture 11" descr=" ">
          <a:extLst>
            <a:ext uri="{FF2B5EF4-FFF2-40B4-BE49-F238E27FC236}">
              <a16:creationId xmlns:a16="http://schemas.microsoft.com/office/drawing/2014/main" id="{8BEE422A-656D-4C9C-B315-EDE4D4DBF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55" name="Picture 12" descr=" ">
          <a:extLst>
            <a:ext uri="{FF2B5EF4-FFF2-40B4-BE49-F238E27FC236}">
              <a16:creationId xmlns:a16="http://schemas.microsoft.com/office/drawing/2014/main" id="{53FF9271-7D46-482C-BD6B-43F4DEEE9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56" name="Picture 7" descr=" ">
          <a:extLst>
            <a:ext uri="{FF2B5EF4-FFF2-40B4-BE49-F238E27FC236}">
              <a16:creationId xmlns:a16="http://schemas.microsoft.com/office/drawing/2014/main" id="{E89CA928-9EF6-4E71-A412-3CD3B9EA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57" name="Picture 8" descr=" ">
          <a:extLst>
            <a:ext uri="{FF2B5EF4-FFF2-40B4-BE49-F238E27FC236}">
              <a16:creationId xmlns:a16="http://schemas.microsoft.com/office/drawing/2014/main" id="{DA77A91A-F548-4B12-8196-4E321A6A4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58" name="Picture 9" descr=" ">
          <a:extLst>
            <a:ext uri="{FF2B5EF4-FFF2-40B4-BE49-F238E27FC236}">
              <a16:creationId xmlns:a16="http://schemas.microsoft.com/office/drawing/2014/main" id="{1F67BB22-4FF8-432F-90FF-88153B420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59" name="Picture 10" descr=" ">
          <a:extLst>
            <a:ext uri="{FF2B5EF4-FFF2-40B4-BE49-F238E27FC236}">
              <a16:creationId xmlns:a16="http://schemas.microsoft.com/office/drawing/2014/main" id="{E0863F2D-5620-4F19-B06B-22E87309A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60" name="Picture 11" descr=" ">
          <a:extLst>
            <a:ext uri="{FF2B5EF4-FFF2-40B4-BE49-F238E27FC236}">
              <a16:creationId xmlns:a16="http://schemas.microsoft.com/office/drawing/2014/main" id="{77BE5845-E0C5-459C-BA9C-40DFE49A8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61" name="Picture 12" descr=" ">
          <a:extLst>
            <a:ext uri="{FF2B5EF4-FFF2-40B4-BE49-F238E27FC236}">
              <a16:creationId xmlns:a16="http://schemas.microsoft.com/office/drawing/2014/main" id="{4E46E22D-C8F5-4495-BD2D-89E83666A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62" name="Picture 7" descr=" ">
          <a:extLst>
            <a:ext uri="{FF2B5EF4-FFF2-40B4-BE49-F238E27FC236}">
              <a16:creationId xmlns:a16="http://schemas.microsoft.com/office/drawing/2014/main" id="{72E5BC95-57E3-486F-8AA6-42DFF1ED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63" name="Picture 8" descr=" ">
          <a:extLst>
            <a:ext uri="{FF2B5EF4-FFF2-40B4-BE49-F238E27FC236}">
              <a16:creationId xmlns:a16="http://schemas.microsoft.com/office/drawing/2014/main" id="{557B5D7F-1C6B-44FE-8824-3E16BE36A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64" name="Picture 9" descr=" ">
          <a:extLst>
            <a:ext uri="{FF2B5EF4-FFF2-40B4-BE49-F238E27FC236}">
              <a16:creationId xmlns:a16="http://schemas.microsoft.com/office/drawing/2014/main" id="{B5D640F3-F625-4A21-BABE-AB5F69D3F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65" name="Picture 10" descr=" ">
          <a:extLst>
            <a:ext uri="{FF2B5EF4-FFF2-40B4-BE49-F238E27FC236}">
              <a16:creationId xmlns:a16="http://schemas.microsoft.com/office/drawing/2014/main" id="{D49F095F-8BF9-4CBD-B2CC-B0C839827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66" name="Picture 11" descr=" ">
          <a:extLst>
            <a:ext uri="{FF2B5EF4-FFF2-40B4-BE49-F238E27FC236}">
              <a16:creationId xmlns:a16="http://schemas.microsoft.com/office/drawing/2014/main" id="{CAF01436-22E2-4C83-89E9-49E473D0F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67" name="Picture 12" descr=" ">
          <a:extLst>
            <a:ext uri="{FF2B5EF4-FFF2-40B4-BE49-F238E27FC236}">
              <a16:creationId xmlns:a16="http://schemas.microsoft.com/office/drawing/2014/main" id="{25E8CF64-AEEB-4FB3-974B-09DC6B98B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68" name="Picture 7" descr=" ">
          <a:extLst>
            <a:ext uri="{FF2B5EF4-FFF2-40B4-BE49-F238E27FC236}">
              <a16:creationId xmlns:a16="http://schemas.microsoft.com/office/drawing/2014/main" id="{638EED1A-6C01-4100-BFFA-5D80FFB28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69" name="Picture 8" descr=" ">
          <a:extLst>
            <a:ext uri="{FF2B5EF4-FFF2-40B4-BE49-F238E27FC236}">
              <a16:creationId xmlns:a16="http://schemas.microsoft.com/office/drawing/2014/main" id="{51E8D442-51FE-433F-A7FF-16217B55B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70" name="Picture 9" descr=" ">
          <a:extLst>
            <a:ext uri="{FF2B5EF4-FFF2-40B4-BE49-F238E27FC236}">
              <a16:creationId xmlns:a16="http://schemas.microsoft.com/office/drawing/2014/main" id="{1876A433-F684-432B-BEB8-53B087290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71" name="Picture 10" descr=" ">
          <a:extLst>
            <a:ext uri="{FF2B5EF4-FFF2-40B4-BE49-F238E27FC236}">
              <a16:creationId xmlns:a16="http://schemas.microsoft.com/office/drawing/2014/main" id="{3A7E5DA5-E7C2-4E91-A07C-AD7F57CF7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72" name="Picture 11" descr=" ">
          <a:extLst>
            <a:ext uri="{FF2B5EF4-FFF2-40B4-BE49-F238E27FC236}">
              <a16:creationId xmlns:a16="http://schemas.microsoft.com/office/drawing/2014/main" id="{AE09EC8C-3BE8-41E3-80AC-FC4D83D24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73" name="Picture 12" descr=" ">
          <a:extLst>
            <a:ext uri="{FF2B5EF4-FFF2-40B4-BE49-F238E27FC236}">
              <a16:creationId xmlns:a16="http://schemas.microsoft.com/office/drawing/2014/main" id="{AB8509E2-7AE1-4687-8BB1-045554844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74" name="Picture 7" descr=" ">
          <a:extLst>
            <a:ext uri="{FF2B5EF4-FFF2-40B4-BE49-F238E27FC236}">
              <a16:creationId xmlns:a16="http://schemas.microsoft.com/office/drawing/2014/main" id="{84EE8DE0-22A1-4B2D-95D6-5C922A92C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75" name="Picture 8" descr=" ">
          <a:extLst>
            <a:ext uri="{FF2B5EF4-FFF2-40B4-BE49-F238E27FC236}">
              <a16:creationId xmlns:a16="http://schemas.microsoft.com/office/drawing/2014/main" id="{3AA140CF-54AA-4EAF-9002-835B57DE6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76" name="Picture 9" descr=" ">
          <a:extLst>
            <a:ext uri="{FF2B5EF4-FFF2-40B4-BE49-F238E27FC236}">
              <a16:creationId xmlns:a16="http://schemas.microsoft.com/office/drawing/2014/main" id="{2EEA2B15-AC87-4E4C-8A0F-ADA9ED047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77" name="Picture 10" descr=" ">
          <a:extLst>
            <a:ext uri="{FF2B5EF4-FFF2-40B4-BE49-F238E27FC236}">
              <a16:creationId xmlns:a16="http://schemas.microsoft.com/office/drawing/2014/main" id="{AC851C6E-C387-4D60-B1AB-6CABA02A0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78" name="Picture 11" descr=" ">
          <a:extLst>
            <a:ext uri="{FF2B5EF4-FFF2-40B4-BE49-F238E27FC236}">
              <a16:creationId xmlns:a16="http://schemas.microsoft.com/office/drawing/2014/main" id="{A4460A63-DA23-49A5-826F-5F9EB1C7C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79" name="Picture 12" descr=" ">
          <a:extLst>
            <a:ext uri="{FF2B5EF4-FFF2-40B4-BE49-F238E27FC236}">
              <a16:creationId xmlns:a16="http://schemas.microsoft.com/office/drawing/2014/main" id="{CF80168C-986E-4644-A85B-A8A6A132A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80" name="Picture 7" descr=" ">
          <a:extLst>
            <a:ext uri="{FF2B5EF4-FFF2-40B4-BE49-F238E27FC236}">
              <a16:creationId xmlns:a16="http://schemas.microsoft.com/office/drawing/2014/main" id="{85C65FED-3FDB-47EC-BD0D-E741A8590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81" name="Picture 8" descr=" ">
          <a:extLst>
            <a:ext uri="{FF2B5EF4-FFF2-40B4-BE49-F238E27FC236}">
              <a16:creationId xmlns:a16="http://schemas.microsoft.com/office/drawing/2014/main" id="{1635EA76-92E7-43A7-A743-C78697A00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82" name="Picture 9" descr=" ">
          <a:extLst>
            <a:ext uri="{FF2B5EF4-FFF2-40B4-BE49-F238E27FC236}">
              <a16:creationId xmlns:a16="http://schemas.microsoft.com/office/drawing/2014/main" id="{8181A3A6-8DFF-47D2-B4C8-955254427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83" name="Picture 10" descr=" ">
          <a:extLst>
            <a:ext uri="{FF2B5EF4-FFF2-40B4-BE49-F238E27FC236}">
              <a16:creationId xmlns:a16="http://schemas.microsoft.com/office/drawing/2014/main" id="{AF4FA192-B4D8-49F2-9599-DDBDA9C39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84" name="Picture 11" descr=" ">
          <a:extLst>
            <a:ext uri="{FF2B5EF4-FFF2-40B4-BE49-F238E27FC236}">
              <a16:creationId xmlns:a16="http://schemas.microsoft.com/office/drawing/2014/main" id="{434F5F4F-311E-40B7-BFFF-49ABCCE17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85" name="Picture 12" descr=" ">
          <a:extLst>
            <a:ext uri="{FF2B5EF4-FFF2-40B4-BE49-F238E27FC236}">
              <a16:creationId xmlns:a16="http://schemas.microsoft.com/office/drawing/2014/main" id="{5D634CE9-E2C8-4F27-899C-2CEC0A6F2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86" name="Picture 7" descr=" ">
          <a:extLst>
            <a:ext uri="{FF2B5EF4-FFF2-40B4-BE49-F238E27FC236}">
              <a16:creationId xmlns:a16="http://schemas.microsoft.com/office/drawing/2014/main" id="{A838E078-5689-4BCA-8B5D-CD49CB161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87" name="Picture 8" descr=" ">
          <a:extLst>
            <a:ext uri="{FF2B5EF4-FFF2-40B4-BE49-F238E27FC236}">
              <a16:creationId xmlns:a16="http://schemas.microsoft.com/office/drawing/2014/main" id="{7A028150-EF68-426E-9F4B-55B52A49D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88" name="Picture 9" descr=" ">
          <a:extLst>
            <a:ext uri="{FF2B5EF4-FFF2-40B4-BE49-F238E27FC236}">
              <a16:creationId xmlns:a16="http://schemas.microsoft.com/office/drawing/2014/main" id="{3EA85068-8CA8-4033-A5A9-D74156B34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89" name="Picture 10" descr=" ">
          <a:extLst>
            <a:ext uri="{FF2B5EF4-FFF2-40B4-BE49-F238E27FC236}">
              <a16:creationId xmlns:a16="http://schemas.microsoft.com/office/drawing/2014/main" id="{4E8B849A-46BE-4EFE-9122-1C9C88997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90" name="Picture 11" descr=" ">
          <a:extLst>
            <a:ext uri="{FF2B5EF4-FFF2-40B4-BE49-F238E27FC236}">
              <a16:creationId xmlns:a16="http://schemas.microsoft.com/office/drawing/2014/main" id="{9F39C805-6BD5-4821-B3CE-E3C81900A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91" name="Picture 12" descr=" ">
          <a:extLst>
            <a:ext uri="{FF2B5EF4-FFF2-40B4-BE49-F238E27FC236}">
              <a16:creationId xmlns:a16="http://schemas.microsoft.com/office/drawing/2014/main" id="{4687C927-6548-44DC-9E59-FCFDCE892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92" name="Picture 7" descr=" ">
          <a:extLst>
            <a:ext uri="{FF2B5EF4-FFF2-40B4-BE49-F238E27FC236}">
              <a16:creationId xmlns:a16="http://schemas.microsoft.com/office/drawing/2014/main" id="{0CCA0199-B869-4127-9D4B-E6EE97CCB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93" name="Picture 8" descr=" ">
          <a:extLst>
            <a:ext uri="{FF2B5EF4-FFF2-40B4-BE49-F238E27FC236}">
              <a16:creationId xmlns:a16="http://schemas.microsoft.com/office/drawing/2014/main" id="{83168B7D-8F12-4750-816B-B17B477EF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94" name="Picture 9" descr=" ">
          <a:extLst>
            <a:ext uri="{FF2B5EF4-FFF2-40B4-BE49-F238E27FC236}">
              <a16:creationId xmlns:a16="http://schemas.microsoft.com/office/drawing/2014/main" id="{4A0B1DD5-8541-4D8C-8DC5-B6219B629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95" name="Picture 10" descr=" ">
          <a:extLst>
            <a:ext uri="{FF2B5EF4-FFF2-40B4-BE49-F238E27FC236}">
              <a16:creationId xmlns:a16="http://schemas.microsoft.com/office/drawing/2014/main" id="{692C5F3D-9640-4D97-BA70-61E05BE6E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96" name="Picture 11" descr=" ">
          <a:extLst>
            <a:ext uri="{FF2B5EF4-FFF2-40B4-BE49-F238E27FC236}">
              <a16:creationId xmlns:a16="http://schemas.microsoft.com/office/drawing/2014/main" id="{5A23E0A1-17A6-4DB2-88A3-D2E8DB6A8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</xdr:colOff>
      <xdr:row>188</xdr:row>
      <xdr:rowOff>38100</xdr:rowOff>
    </xdr:to>
    <xdr:pic>
      <xdr:nvPicPr>
        <xdr:cNvPr id="6697" name="Picture 12" descr=" ">
          <a:extLst>
            <a:ext uri="{FF2B5EF4-FFF2-40B4-BE49-F238E27FC236}">
              <a16:creationId xmlns:a16="http://schemas.microsoft.com/office/drawing/2014/main" id="{1FBE5A74-4721-484E-BAB3-A075F6085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322260"/>
          <a:ext cx="9525" cy="220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AM2019TargetPlan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ra"/>
      <sheetName val="DataDescriptions"/>
      <sheetName val="Orchard-M"/>
    </sheetNames>
    <sheetDataSet>
      <sheetData sheetId="0">
        <row r="2">
          <cell r="E2" t="str">
            <v>B</v>
          </cell>
        </row>
        <row r="3">
          <cell r="E3" t="str">
            <v>W</v>
          </cell>
        </row>
        <row r="4">
          <cell r="E4" t="str">
            <v>W</v>
          </cell>
        </row>
        <row r="5">
          <cell r="E5" t="str">
            <v>W</v>
          </cell>
        </row>
        <row r="6">
          <cell r="E6" t="str">
            <v>W</v>
          </cell>
        </row>
        <row r="7">
          <cell r="E7" t="str">
            <v>W</v>
          </cell>
        </row>
        <row r="8">
          <cell r="E8" t="str">
            <v>W</v>
          </cell>
        </row>
        <row r="9">
          <cell r="E9" t="str">
            <v>W</v>
          </cell>
        </row>
        <row r="10">
          <cell r="E10" t="str">
            <v>W</v>
          </cell>
        </row>
        <row r="11">
          <cell r="E11" t="str">
            <v>W</v>
          </cell>
        </row>
        <row r="12">
          <cell r="E12" t="str">
            <v>W</v>
          </cell>
        </row>
        <row r="13">
          <cell r="E13" t="str">
            <v>W</v>
          </cell>
        </row>
        <row r="14">
          <cell r="E14" t="str">
            <v>W</v>
          </cell>
        </row>
        <row r="15">
          <cell r="E15" t="str">
            <v>W</v>
          </cell>
        </row>
        <row r="16">
          <cell r="E16" t="str">
            <v>W</v>
          </cell>
        </row>
        <row r="17">
          <cell r="E17" t="str">
            <v>W</v>
          </cell>
        </row>
        <row r="18">
          <cell r="E18" t="str">
            <v>W</v>
          </cell>
        </row>
        <row r="19">
          <cell r="E19" t="str">
            <v>W</v>
          </cell>
        </row>
        <row r="20">
          <cell r="E20" t="str">
            <v>W</v>
          </cell>
        </row>
        <row r="21">
          <cell r="E21" t="str">
            <v>W</v>
          </cell>
        </row>
        <row r="22">
          <cell r="E22" t="str">
            <v>W</v>
          </cell>
        </row>
        <row r="23">
          <cell r="E23" t="str">
            <v>W</v>
          </cell>
        </row>
        <row r="24">
          <cell r="E24" t="str">
            <v>W</v>
          </cell>
        </row>
        <row r="25">
          <cell r="E25" t="str">
            <v>W</v>
          </cell>
        </row>
        <row r="26">
          <cell r="E26" t="str">
            <v>W</v>
          </cell>
        </row>
        <row r="27">
          <cell r="E27" t="str">
            <v>W</v>
          </cell>
        </row>
        <row r="28">
          <cell r="E28" t="str">
            <v>W</v>
          </cell>
        </row>
        <row r="29">
          <cell r="E29" t="str">
            <v>W</v>
          </cell>
        </row>
        <row r="30">
          <cell r="E30" t="str">
            <v>W</v>
          </cell>
        </row>
        <row r="31">
          <cell r="E31" t="str">
            <v>W</v>
          </cell>
        </row>
        <row r="32">
          <cell r="E32" t="str">
            <v>W</v>
          </cell>
        </row>
        <row r="33">
          <cell r="E33" t="str">
            <v>W</v>
          </cell>
        </row>
        <row r="34">
          <cell r="E34" t="str">
            <v>W</v>
          </cell>
        </row>
        <row r="35">
          <cell r="E35" t="str">
            <v>W</v>
          </cell>
        </row>
        <row r="36">
          <cell r="E36" t="str">
            <v>W</v>
          </cell>
        </row>
        <row r="37">
          <cell r="E37" t="str">
            <v>W</v>
          </cell>
        </row>
        <row r="38">
          <cell r="E38" t="str">
            <v>W</v>
          </cell>
        </row>
        <row r="39">
          <cell r="E39" t="str">
            <v>W</v>
          </cell>
        </row>
        <row r="40">
          <cell r="E40" t="str">
            <v>W</v>
          </cell>
        </row>
        <row r="41">
          <cell r="E41" t="str">
            <v>W</v>
          </cell>
        </row>
        <row r="42">
          <cell r="E42" t="str">
            <v>W</v>
          </cell>
        </row>
        <row r="43">
          <cell r="E43" t="str">
            <v>W</v>
          </cell>
        </row>
        <row r="44">
          <cell r="E44" t="str">
            <v>W</v>
          </cell>
        </row>
        <row r="45">
          <cell r="E45" t="str">
            <v>W</v>
          </cell>
        </row>
        <row r="46">
          <cell r="E46" t="str">
            <v>W</v>
          </cell>
        </row>
        <row r="47">
          <cell r="E47" t="str">
            <v>W</v>
          </cell>
        </row>
        <row r="48">
          <cell r="E48" t="str">
            <v>W</v>
          </cell>
        </row>
        <row r="49">
          <cell r="E49" t="str">
            <v>W</v>
          </cell>
        </row>
        <row r="50">
          <cell r="E50" t="str">
            <v>W</v>
          </cell>
        </row>
        <row r="51">
          <cell r="E51" t="str">
            <v>W</v>
          </cell>
        </row>
        <row r="52">
          <cell r="E52" t="str">
            <v>W</v>
          </cell>
        </row>
        <row r="53">
          <cell r="E53" t="str">
            <v>W</v>
          </cell>
        </row>
        <row r="54">
          <cell r="E54" t="str">
            <v>W</v>
          </cell>
        </row>
        <row r="55">
          <cell r="E55" t="str">
            <v>W</v>
          </cell>
        </row>
        <row r="56">
          <cell r="E56" t="str">
            <v>W</v>
          </cell>
        </row>
        <row r="57">
          <cell r="E57" t="str">
            <v>W</v>
          </cell>
        </row>
        <row r="58">
          <cell r="E58" t="str">
            <v>W</v>
          </cell>
        </row>
        <row r="59">
          <cell r="E59" t="str">
            <v>W</v>
          </cell>
        </row>
        <row r="60">
          <cell r="E60" t="str">
            <v>W</v>
          </cell>
        </row>
        <row r="61">
          <cell r="E61" t="str">
            <v>W</v>
          </cell>
        </row>
        <row r="62">
          <cell r="E62" t="str">
            <v>W</v>
          </cell>
        </row>
        <row r="63">
          <cell r="E63" t="str">
            <v>W</v>
          </cell>
        </row>
        <row r="64">
          <cell r="E64" t="str">
            <v>W</v>
          </cell>
        </row>
        <row r="65">
          <cell r="E65" t="str">
            <v>W</v>
          </cell>
        </row>
        <row r="66">
          <cell r="E66" t="str">
            <v>W</v>
          </cell>
        </row>
        <row r="67">
          <cell r="E67" t="str">
            <v>W</v>
          </cell>
        </row>
        <row r="68">
          <cell r="E68" t="str">
            <v>W</v>
          </cell>
        </row>
        <row r="69">
          <cell r="E69" t="str">
            <v>W</v>
          </cell>
        </row>
        <row r="70">
          <cell r="E70" t="str">
            <v>W</v>
          </cell>
        </row>
        <row r="71">
          <cell r="E71" t="str">
            <v>W</v>
          </cell>
        </row>
        <row r="72">
          <cell r="E72" t="str">
            <v>W</v>
          </cell>
        </row>
        <row r="73">
          <cell r="E73" t="str">
            <v>W</v>
          </cell>
        </row>
        <row r="74">
          <cell r="E74" t="str">
            <v>W</v>
          </cell>
        </row>
        <row r="75">
          <cell r="E75" t="str">
            <v>W</v>
          </cell>
        </row>
        <row r="76">
          <cell r="E76" t="str">
            <v>W</v>
          </cell>
        </row>
        <row r="77">
          <cell r="E77" t="str">
            <v>W</v>
          </cell>
        </row>
        <row r="78">
          <cell r="E78" t="str">
            <v>W</v>
          </cell>
        </row>
        <row r="79">
          <cell r="E79" t="str">
            <v>W</v>
          </cell>
        </row>
        <row r="80">
          <cell r="E80" t="str">
            <v>W</v>
          </cell>
        </row>
        <row r="81">
          <cell r="E81" t="str">
            <v>W</v>
          </cell>
        </row>
        <row r="82">
          <cell r="E82" t="str">
            <v>W</v>
          </cell>
        </row>
        <row r="83">
          <cell r="E83" t="str">
            <v>W</v>
          </cell>
        </row>
        <row r="84">
          <cell r="E84" t="str">
            <v>W</v>
          </cell>
        </row>
        <row r="85">
          <cell r="E85" t="str">
            <v>W</v>
          </cell>
        </row>
        <row r="86">
          <cell r="E86" t="str">
            <v>W</v>
          </cell>
        </row>
        <row r="87">
          <cell r="E87" t="str">
            <v>W</v>
          </cell>
        </row>
        <row r="88">
          <cell r="E88" t="str">
            <v>W</v>
          </cell>
        </row>
        <row r="89">
          <cell r="E89" t="str">
            <v>W</v>
          </cell>
        </row>
        <row r="90">
          <cell r="E90" t="str">
            <v>W</v>
          </cell>
        </row>
        <row r="91">
          <cell r="E91" t="str">
            <v>W</v>
          </cell>
        </row>
        <row r="92">
          <cell r="E92" t="str">
            <v>W</v>
          </cell>
        </row>
        <row r="93">
          <cell r="E93" t="str">
            <v>W</v>
          </cell>
        </row>
        <row r="94">
          <cell r="E94" t="str">
            <v>W</v>
          </cell>
        </row>
        <row r="95">
          <cell r="E95" t="str">
            <v>W</v>
          </cell>
        </row>
        <row r="96">
          <cell r="E96" t="str">
            <v>W</v>
          </cell>
        </row>
        <row r="97">
          <cell r="E97" t="str">
            <v>W</v>
          </cell>
        </row>
        <row r="98">
          <cell r="E98" t="str">
            <v>W</v>
          </cell>
        </row>
        <row r="99">
          <cell r="E99" t="str">
            <v>W</v>
          </cell>
        </row>
        <row r="100">
          <cell r="E100" t="str">
            <v>W</v>
          </cell>
        </row>
        <row r="101">
          <cell r="E101" t="str">
            <v>W</v>
          </cell>
        </row>
        <row r="102">
          <cell r="E102" t="str">
            <v>W</v>
          </cell>
        </row>
        <row r="103">
          <cell r="E103" t="str">
            <v>W</v>
          </cell>
        </row>
        <row r="104">
          <cell r="E104" t="str">
            <v>W</v>
          </cell>
        </row>
        <row r="105">
          <cell r="E105" t="str">
            <v>W</v>
          </cell>
        </row>
        <row r="106">
          <cell r="E106" t="str">
            <v>W</v>
          </cell>
        </row>
        <row r="107">
          <cell r="E107" t="str">
            <v>W</v>
          </cell>
        </row>
        <row r="108">
          <cell r="E108" t="str">
            <v>W</v>
          </cell>
        </row>
        <row r="109">
          <cell r="E109" t="str">
            <v>W</v>
          </cell>
        </row>
        <row r="110">
          <cell r="E110" t="str">
            <v>W</v>
          </cell>
        </row>
        <row r="111">
          <cell r="E111" t="str">
            <v>W</v>
          </cell>
        </row>
        <row r="112">
          <cell r="E112" t="str">
            <v>W</v>
          </cell>
        </row>
        <row r="113">
          <cell r="E113" t="str">
            <v>W</v>
          </cell>
        </row>
        <row r="114">
          <cell r="E114" t="str">
            <v>W</v>
          </cell>
        </row>
        <row r="115">
          <cell r="E115" t="str">
            <v>W</v>
          </cell>
        </row>
        <row r="116">
          <cell r="E116" t="str">
            <v>W</v>
          </cell>
        </row>
        <row r="117">
          <cell r="E117" t="str">
            <v>W</v>
          </cell>
        </row>
        <row r="118">
          <cell r="E118" t="str">
            <v>W</v>
          </cell>
        </row>
        <row r="119">
          <cell r="E119" t="str">
            <v>W</v>
          </cell>
        </row>
        <row r="120">
          <cell r="E120" t="str">
            <v>W</v>
          </cell>
        </row>
        <row r="121">
          <cell r="E121" t="str">
            <v>W</v>
          </cell>
        </row>
        <row r="122">
          <cell r="E122" t="str">
            <v>W</v>
          </cell>
        </row>
        <row r="123">
          <cell r="E123" t="str">
            <v>W</v>
          </cell>
        </row>
        <row r="124">
          <cell r="E124" t="str">
            <v>W</v>
          </cell>
        </row>
        <row r="125">
          <cell r="E125" t="str">
            <v>W</v>
          </cell>
        </row>
        <row r="126">
          <cell r="E126" t="str">
            <v>W</v>
          </cell>
        </row>
        <row r="127">
          <cell r="E127" t="str">
            <v>W</v>
          </cell>
        </row>
        <row r="128">
          <cell r="E128" t="str">
            <v>W</v>
          </cell>
        </row>
        <row r="129">
          <cell r="E129" t="str">
            <v>W</v>
          </cell>
        </row>
        <row r="130">
          <cell r="E130" t="str">
            <v>W</v>
          </cell>
        </row>
        <row r="131">
          <cell r="E131" t="str">
            <v>W</v>
          </cell>
        </row>
        <row r="132">
          <cell r="E132" t="str">
            <v>W</v>
          </cell>
        </row>
        <row r="133">
          <cell r="E133" t="str">
            <v>W</v>
          </cell>
        </row>
        <row r="134">
          <cell r="E134" t="str">
            <v>W</v>
          </cell>
        </row>
        <row r="135">
          <cell r="E135" t="str">
            <v>W</v>
          </cell>
        </row>
        <row r="136">
          <cell r="E136" t="str">
            <v>W</v>
          </cell>
        </row>
        <row r="137">
          <cell r="E137" t="str">
            <v>W</v>
          </cell>
        </row>
        <row r="138">
          <cell r="E138" t="str">
            <v>W</v>
          </cell>
        </row>
        <row r="139">
          <cell r="E139" t="str">
            <v>W</v>
          </cell>
        </row>
        <row r="140">
          <cell r="E140" t="str">
            <v>W</v>
          </cell>
        </row>
        <row r="141">
          <cell r="E141" t="str">
            <v>W</v>
          </cell>
        </row>
        <row r="142">
          <cell r="E142" t="str">
            <v>W</v>
          </cell>
        </row>
        <row r="143">
          <cell r="E143" t="str">
            <v>W</v>
          </cell>
        </row>
        <row r="144">
          <cell r="E144" t="str">
            <v>W</v>
          </cell>
        </row>
        <row r="145">
          <cell r="E145" t="str">
            <v>W</v>
          </cell>
        </row>
        <row r="146">
          <cell r="E146" t="str">
            <v>W</v>
          </cell>
        </row>
        <row r="147">
          <cell r="E147" t="str">
            <v>W</v>
          </cell>
        </row>
        <row r="148">
          <cell r="E148" t="str">
            <v>W</v>
          </cell>
        </row>
        <row r="149">
          <cell r="E149" t="str">
            <v>W</v>
          </cell>
        </row>
        <row r="150">
          <cell r="E150" t="str">
            <v>W</v>
          </cell>
        </row>
        <row r="151">
          <cell r="E151" t="str">
            <v>W</v>
          </cell>
        </row>
        <row r="152">
          <cell r="E152" t="str">
            <v>W</v>
          </cell>
        </row>
        <row r="153">
          <cell r="E153" t="str">
            <v>W</v>
          </cell>
        </row>
        <row r="154">
          <cell r="E154" t="str">
            <v>W</v>
          </cell>
        </row>
        <row r="155">
          <cell r="E155" t="str">
            <v>W</v>
          </cell>
        </row>
        <row r="156">
          <cell r="E156" t="str">
            <v>W</v>
          </cell>
        </row>
        <row r="157">
          <cell r="E157" t="str">
            <v>W</v>
          </cell>
        </row>
        <row r="158">
          <cell r="E158" t="str">
            <v>W</v>
          </cell>
        </row>
        <row r="159">
          <cell r="E159" t="str">
            <v>W</v>
          </cell>
        </row>
        <row r="160">
          <cell r="E160" t="str">
            <v>W</v>
          </cell>
        </row>
        <row r="161">
          <cell r="E161" t="str">
            <v>W</v>
          </cell>
        </row>
        <row r="162">
          <cell r="E162" t="str">
            <v>W</v>
          </cell>
        </row>
        <row r="163">
          <cell r="E163" t="str">
            <v>W</v>
          </cell>
        </row>
        <row r="164">
          <cell r="E164" t="str">
            <v>W</v>
          </cell>
        </row>
        <row r="165">
          <cell r="E165" t="str">
            <v>W</v>
          </cell>
        </row>
        <row r="166">
          <cell r="E166" t="str">
            <v>W</v>
          </cell>
        </row>
        <row r="167">
          <cell r="E167" t="str">
            <v>W</v>
          </cell>
        </row>
        <row r="168">
          <cell r="E168" t="str">
            <v>W</v>
          </cell>
        </row>
        <row r="169">
          <cell r="E169" t="str">
            <v>W</v>
          </cell>
        </row>
        <row r="170">
          <cell r="E170" t="str">
            <v>W</v>
          </cell>
        </row>
        <row r="171">
          <cell r="E171" t="str">
            <v>W</v>
          </cell>
        </row>
        <row r="172">
          <cell r="E172" t="str">
            <v>W</v>
          </cell>
        </row>
        <row r="173">
          <cell r="E173" t="str">
            <v>W</v>
          </cell>
        </row>
        <row r="174">
          <cell r="E174" t="str">
            <v>W</v>
          </cell>
        </row>
        <row r="175">
          <cell r="E175" t="str">
            <v>W</v>
          </cell>
        </row>
        <row r="176">
          <cell r="E176" t="str">
            <v>W</v>
          </cell>
        </row>
        <row r="177">
          <cell r="E177" t="str">
            <v>W</v>
          </cell>
        </row>
        <row r="178">
          <cell r="E178" t="str">
            <v>W</v>
          </cell>
        </row>
        <row r="179">
          <cell r="E179" t="str">
            <v>W</v>
          </cell>
        </row>
        <row r="180">
          <cell r="E180" t="str">
            <v>W</v>
          </cell>
        </row>
        <row r="181">
          <cell r="E181" t="str">
            <v>W</v>
          </cell>
        </row>
        <row r="182">
          <cell r="E182" t="str">
            <v>W</v>
          </cell>
        </row>
        <row r="183">
          <cell r="E183" t="str">
            <v>W</v>
          </cell>
        </row>
        <row r="184">
          <cell r="E184" t="str">
            <v>W</v>
          </cell>
        </row>
        <row r="185">
          <cell r="E185" t="str">
            <v>W</v>
          </cell>
        </row>
        <row r="186">
          <cell r="E186" t="str">
            <v>W</v>
          </cell>
        </row>
        <row r="187">
          <cell r="E187" t="str">
            <v>W</v>
          </cell>
        </row>
        <row r="188">
          <cell r="E188" t="str">
            <v>W</v>
          </cell>
        </row>
        <row r="189">
          <cell r="E189" t="str">
            <v>W</v>
          </cell>
        </row>
        <row r="190">
          <cell r="E190" t="str">
            <v>W</v>
          </cell>
        </row>
        <row r="191">
          <cell r="E191" t="str">
            <v>W</v>
          </cell>
        </row>
        <row r="192">
          <cell r="E192" t="str">
            <v>W</v>
          </cell>
        </row>
        <row r="193">
          <cell r="E193" t="str">
            <v>W</v>
          </cell>
        </row>
        <row r="194">
          <cell r="E194" t="str">
            <v>W</v>
          </cell>
        </row>
        <row r="195">
          <cell r="E195" t="str">
            <v>W</v>
          </cell>
        </row>
        <row r="196">
          <cell r="E196" t="str">
            <v>W</v>
          </cell>
        </row>
        <row r="197">
          <cell r="E197" t="str">
            <v>W</v>
          </cell>
        </row>
        <row r="198">
          <cell r="E198" t="str">
            <v>W</v>
          </cell>
        </row>
        <row r="199">
          <cell r="E199" t="str">
            <v>W</v>
          </cell>
        </row>
        <row r="200">
          <cell r="E200" t="str">
            <v>W</v>
          </cell>
        </row>
        <row r="201">
          <cell r="E201" t="str">
            <v>W</v>
          </cell>
        </row>
        <row r="202">
          <cell r="E202" t="str">
            <v>W</v>
          </cell>
        </row>
        <row r="203">
          <cell r="E203" t="str">
            <v>W</v>
          </cell>
        </row>
        <row r="204">
          <cell r="E204" t="str">
            <v>W</v>
          </cell>
        </row>
        <row r="205">
          <cell r="E205" t="str">
            <v>W</v>
          </cell>
        </row>
        <row r="206">
          <cell r="E206" t="str">
            <v>W</v>
          </cell>
        </row>
        <row r="207">
          <cell r="E207" t="str">
            <v>W</v>
          </cell>
        </row>
        <row r="208">
          <cell r="E208" t="str">
            <v>W</v>
          </cell>
        </row>
        <row r="209">
          <cell r="E209" t="str">
            <v>W</v>
          </cell>
        </row>
        <row r="210">
          <cell r="E210" t="str">
            <v>W</v>
          </cell>
        </row>
        <row r="211">
          <cell r="E211" t="str">
            <v>W</v>
          </cell>
        </row>
        <row r="212">
          <cell r="E212" t="str">
            <v>W</v>
          </cell>
        </row>
        <row r="213">
          <cell r="E213" t="str">
            <v>W</v>
          </cell>
        </row>
        <row r="214">
          <cell r="E214" t="str">
            <v>W</v>
          </cell>
        </row>
        <row r="215">
          <cell r="E215" t="str">
            <v>W</v>
          </cell>
        </row>
        <row r="216">
          <cell r="E216" t="str">
            <v>W</v>
          </cell>
        </row>
        <row r="217">
          <cell r="E217" t="str">
            <v>W</v>
          </cell>
        </row>
        <row r="218">
          <cell r="E218" t="str">
            <v>W</v>
          </cell>
        </row>
        <row r="219">
          <cell r="E219" t="str">
            <v>W</v>
          </cell>
        </row>
        <row r="220">
          <cell r="E220" t="str">
            <v>W</v>
          </cell>
        </row>
        <row r="221">
          <cell r="E221" t="str">
            <v>W</v>
          </cell>
        </row>
        <row r="222">
          <cell r="E222" t="str">
            <v>W</v>
          </cell>
        </row>
        <row r="223">
          <cell r="E223" t="str">
            <v>W</v>
          </cell>
        </row>
        <row r="224">
          <cell r="E224" t="str">
            <v>W</v>
          </cell>
        </row>
        <row r="225">
          <cell r="E225" t="str">
            <v>W</v>
          </cell>
        </row>
        <row r="226">
          <cell r="E226" t="str">
            <v>W</v>
          </cell>
        </row>
        <row r="227">
          <cell r="E227" t="str">
            <v>W</v>
          </cell>
        </row>
        <row r="228">
          <cell r="E228" t="str">
            <v>W</v>
          </cell>
        </row>
        <row r="229">
          <cell r="E229" t="str">
            <v>W</v>
          </cell>
        </row>
        <row r="230">
          <cell r="E230" t="str">
            <v>W</v>
          </cell>
        </row>
        <row r="231">
          <cell r="E231" t="str">
            <v>W</v>
          </cell>
        </row>
        <row r="232">
          <cell r="E232" t="str">
            <v>W</v>
          </cell>
        </row>
        <row r="233">
          <cell r="E233" t="str">
            <v>W</v>
          </cell>
        </row>
        <row r="234">
          <cell r="E234" t="str">
            <v>W</v>
          </cell>
        </row>
        <row r="235">
          <cell r="E235" t="str">
            <v>W</v>
          </cell>
        </row>
        <row r="236">
          <cell r="E236" t="str">
            <v>W</v>
          </cell>
        </row>
        <row r="237">
          <cell r="E237" t="str">
            <v>W</v>
          </cell>
        </row>
        <row r="238">
          <cell r="E238" t="str">
            <v>W</v>
          </cell>
        </row>
        <row r="239">
          <cell r="E239" t="str">
            <v>W</v>
          </cell>
        </row>
        <row r="240">
          <cell r="E240" t="str">
            <v>W</v>
          </cell>
        </row>
        <row r="241">
          <cell r="E241" t="str">
            <v>W</v>
          </cell>
        </row>
        <row r="242">
          <cell r="E242" t="str">
            <v>W</v>
          </cell>
        </row>
        <row r="243">
          <cell r="E243" t="str">
            <v>W</v>
          </cell>
        </row>
        <row r="244">
          <cell r="E244" t="str">
            <v>W</v>
          </cell>
        </row>
        <row r="245">
          <cell r="E245" t="str">
            <v>W</v>
          </cell>
        </row>
        <row r="246">
          <cell r="E246" t="str">
            <v>W</v>
          </cell>
        </row>
        <row r="247">
          <cell r="E247" t="str">
            <v>W</v>
          </cell>
        </row>
        <row r="248">
          <cell r="E248" t="str">
            <v>W</v>
          </cell>
        </row>
        <row r="249">
          <cell r="E249" t="str">
            <v>W</v>
          </cell>
        </row>
        <row r="250">
          <cell r="E250" t="str">
            <v>W</v>
          </cell>
        </row>
        <row r="251">
          <cell r="E251" t="str">
            <v>W</v>
          </cell>
        </row>
        <row r="252">
          <cell r="E252" t="str">
            <v>W</v>
          </cell>
        </row>
        <row r="253">
          <cell r="E253" t="str">
            <v>W</v>
          </cell>
        </row>
        <row r="254">
          <cell r="E254" t="str">
            <v>W</v>
          </cell>
        </row>
        <row r="255">
          <cell r="E255" t="str">
            <v>W</v>
          </cell>
        </row>
        <row r="256">
          <cell r="E256" t="str">
            <v>W</v>
          </cell>
        </row>
        <row r="257">
          <cell r="E257" t="str">
            <v>W</v>
          </cell>
        </row>
        <row r="258">
          <cell r="E258" t="str">
            <v>W</v>
          </cell>
        </row>
        <row r="259">
          <cell r="E259" t="str">
            <v>W</v>
          </cell>
        </row>
        <row r="260">
          <cell r="E260" t="str">
            <v>W</v>
          </cell>
        </row>
        <row r="261">
          <cell r="E261" t="str">
            <v>W</v>
          </cell>
        </row>
        <row r="262">
          <cell r="E262" t="str">
            <v>W</v>
          </cell>
        </row>
        <row r="263">
          <cell r="E263" t="str">
            <v>W</v>
          </cell>
        </row>
        <row r="264">
          <cell r="E264" t="str">
            <v>W</v>
          </cell>
        </row>
        <row r="265">
          <cell r="E265" t="str">
            <v>W</v>
          </cell>
        </row>
        <row r="266">
          <cell r="E266" t="str">
            <v>W</v>
          </cell>
        </row>
        <row r="267">
          <cell r="E267" t="str">
            <v>W</v>
          </cell>
        </row>
        <row r="268">
          <cell r="E268" t="str">
            <v>W</v>
          </cell>
        </row>
        <row r="269">
          <cell r="E269" t="str">
            <v>W</v>
          </cell>
        </row>
        <row r="270">
          <cell r="E270" t="str">
            <v>W</v>
          </cell>
        </row>
        <row r="271">
          <cell r="E271" t="str">
            <v>W</v>
          </cell>
        </row>
        <row r="272">
          <cell r="E272" t="str">
            <v>W</v>
          </cell>
        </row>
        <row r="273">
          <cell r="E273" t="str">
            <v>W</v>
          </cell>
        </row>
        <row r="274">
          <cell r="E274" t="str">
            <v>W</v>
          </cell>
        </row>
        <row r="275">
          <cell r="E275" t="str">
            <v>W</v>
          </cell>
        </row>
        <row r="276">
          <cell r="E276" t="str">
            <v>W</v>
          </cell>
        </row>
        <row r="277">
          <cell r="E277" t="str">
            <v>W</v>
          </cell>
        </row>
        <row r="278">
          <cell r="E278" t="str">
            <v>W</v>
          </cell>
        </row>
        <row r="279">
          <cell r="E279" t="str">
            <v>W</v>
          </cell>
        </row>
        <row r="280">
          <cell r="E280" t="str">
            <v>W</v>
          </cell>
        </row>
        <row r="281">
          <cell r="E281" t="str">
            <v>W</v>
          </cell>
        </row>
        <row r="282">
          <cell r="E282" t="str">
            <v>W</v>
          </cell>
        </row>
        <row r="283">
          <cell r="E283" t="str">
            <v>W</v>
          </cell>
        </row>
        <row r="284">
          <cell r="E284" t="str">
            <v>W</v>
          </cell>
        </row>
        <row r="285">
          <cell r="E285" t="str">
            <v>W</v>
          </cell>
        </row>
        <row r="286">
          <cell r="E286" t="str">
            <v>W</v>
          </cell>
        </row>
        <row r="287">
          <cell r="E287" t="str">
            <v>W</v>
          </cell>
        </row>
        <row r="288">
          <cell r="E288" t="str">
            <v>W</v>
          </cell>
        </row>
        <row r="289">
          <cell r="E289" t="str">
            <v>W</v>
          </cell>
        </row>
        <row r="290">
          <cell r="E290" t="str">
            <v>W</v>
          </cell>
        </row>
        <row r="291">
          <cell r="E291" t="str">
            <v>W</v>
          </cell>
        </row>
        <row r="292">
          <cell r="E292" t="str">
            <v>W</v>
          </cell>
        </row>
        <row r="293">
          <cell r="E293" t="str">
            <v>W</v>
          </cell>
        </row>
        <row r="294">
          <cell r="E294" t="str">
            <v>W</v>
          </cell>
        </row>
        <row r="295">
          <cell r="E295" t="str">
            <v>W</v>
          </cell>
        </row>
        <row r="296">
          <cell r="E296" t="str">
            <v>W</v>
          </cell>
        </row>
        <row r="297">
          <cell r="E297" t="str">
            <v>W</v>
          </cell>
        </row>
        <row r="298">
          <cell r="E298" t="str">
            <v>W</v>
          </cell>
        </row>
        <row r="299">
          <cell r="E299" t="str">
            <v>W</v>
          </cell>
        </row>
        <row r="300">
          <cell r="E300" t="str">
            <v>W</v>
          </cell>
        </row>
        <row r="301">
          <cell r="E301" t="str">
            <v>W</v>
          </cell>
        </row>
        <row r="302">
          <cell r="E302" t="str">
            <v>W</v>
          </cell>
        </row>
        <row r="303">
          <cell r="E303" t="str">
            <v>W</v>
          </cell>
        </row>
        <row r="304">
          <cell r="E304" t="str">
            <v>W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plants.usda.gov/core/profile?symbol=SCPA2" TargetMode="External"/><Relationship Id="rId3182" Type="http://schemas.openxmlformats.org/officeDocument/2006/relationships/hyperlink" Target="http://www.burkemuseum.org/research-and-collections/botany-and-herbarium/collections/database/results.php?Genus=Oxytropis&amp;Species=borealis&amp;SourcePage=search.php&amp;IncludeSynonyms=Y&amp;SortBy=DESC&amp;SortOrder=Year" TargetMode="External"/><Relationship Id="rId4233" Type="http://schemas.openxmlformats.org/officeDocument/2006/relationships/hyperlink" Target="https://plants.usda.gov/core/profile?symbol=PLOR4" TargetMode="External"/><Relationship Id="rId3999" Type="http://schemas.openxmlformats.org/officeDocument/2006/relationships/hyperlink" Target="https://plants.usda.gov/core/profile?symbol=HERAC" TargetMode="External"/><Relationship Id="rId4300" Type="http://schemas.openxmlformats.org/officeDocument/2006/relationships/hyperlink" Target="https://plants.usda.gov/core/profile?symbol=RAORO" TargetMode="External"/><Relationship Id="rId170" Type="http://schemas.openxmlformats.org/officeDocument/2006/relationships/hyperlink" Target="http://biology.burke.washington.edu/herbarium/imagecollection/taxon.php?Taxon=Elymus%20glaucus" TargetMode="External"/><Relationship Id="rId6058" Type="http://schemas.openxmlformats.org/officeDocument/2006/relationships/hyperlink" Target="http://www.burkemuseum.org/research-and-collections/botany-and-herbarium/collections/database/results.php?Genus=Polystichum&amp;Species=imbricans&amp;SourcePage=search.php&amp;IncludeSynonyms=Y&amp;SortBy=DESC&amp;SortOrder=Year" TargetMode="External"/><Relationship Id="rId6472" Type="http://schemas.openxmlformats.org/officeDocument/2006/relationships/hyperlink" Target="http://biology.burke.washington.edu/herbarium/imagecollectionnew/taxon.php?Taxon=Dryopteris%20filix-mas" TargetMode="External"/><Relationship Id="rId7109" Type="http://schemas.openxmlformats.org/officeDocument/2006/relationships/hyperlink" Target="http://biology.burke.washington.edu/herbarium/imagecollectionnew/taxon.php?Taxon=Taxus%20brevifolia" TargetMode="External"/><Relationship Id="rId5074" Type="http://schemas.openxmlformats.org/officeDocument/2006/relationships/hyperlink" Target="https://en.wikipedia.org/wiki/Leptosiphon_bicolor" TargetMode="External"/><Relationship Id="rId6125" Type="http://schemas.openxmlformats.org/officeDocument/2006/relationships/hyperlink" Target="http://www.burkemuseum.org/research-and-collections/botany-and-herbarium/collections/database/results.php?Genus=Rorippa&amp;Species=curvisiliqua&amp;SourcePage=search.php&amp;IncludeSynonyms=Y&amp;SortBy=DESC&amp;SortOrder=Year" TargetMode="External"/><Relationship Id="rId987" Type="http://schemas.openxmlformats.org/officeDocument/2006/relationships/hyperlink" Target="http://en.wikipedia.org/wiki/Azolla_filiculoides" TargetMode="External"/><Relationship Id="rId2668" Type="http://schemas.openxmlformats.org/officeDocument/2006/relationships/hyperlink" Target="http://biology.burke.washington.edu/herbarium/imagecollectionnew/taxon.php?Taxon=Micranthes%20occidentalis" TargetMode="External"/><Relationship Id="rId3719" Type="http://schemas.openxmlformats.org/officeDocument/2006/relationships/hyperlink" Target="https://plants.usda.gov/core/profile?symbol=BEGL" TargetMode="External"/><Relationship Id="rId4090" Type="http://schemas.openxmlformats.org/officeDocument/2006/relationships/hyperlink" Target="https://plants.usda.gov/core/profile?symbol=lout2" TargetMode="External"/><Relationship Id="rId1684" Type="http://schemas.openxmlformats.org/officeDocument/2006/relationships/hyperlink" Target="http://biology.burke.washington.edu/herbarium/imagecollectionnew/taxon.php?Taxon=Antennaria%20racemosa" TargetMode="External"/><Relationship Id="rId2735" Type="http://schemas.openxmlformats.org/officeDocument/2006/relationships/hyperlink" Target="http://www.burkemuseum.org/research-and-collections/botany-and-herbarium/collections/database/results.php?Genus=Alisma&amp;Species=triviale&amp;SourcePage=search.php&amp;IncludeSynonyms=Y&amp;SortBy=DESC&amp;SortOrder=Year" TargetMode="External"/><Relationship Id="rId5141" Type="http://schemas.openxmlformats.org/officeDocument/2006/relationships/hyperlink" Target="https://en.wikipedia.org/wiki/Microseris_borealis" TargetMode="External"/><Relationship Id="rId707" Type="http://schemas.openxmlformats.org/officeDocument/2006/relationships/hyperlink" Target="https://en.wikipedia.org/wiki/Erigeron_philadelphicus" TargetMode="External"/><Relationship Id="rId1337" Type="http://schemas.openxmlformats.org/officeDocument/2006/relationships/hyperlink" Target="http://biology.burke.washington.edu/herbarium/imagecollectionnew/taxon.php?Taxon=Asplenium%20trichomanes" TargetMode="External"/><Relationship Id="rId1751" Type="http://schemas.openxmlformats.org/officeDocument/2006/relationships/hyperlink" Target="http://plants.usda.gov/java/profile?symbol=TRMA20" TargetMode="External"/><Relationship Id="rId2802" Type="http://schemas.openxmlformats.org/officeDocument/2006/relationships/hyperlink" Target="http://www.burkemuseum.org/research-and-collections/botany-and-herbarium/collections/database/results.php?Genus=Botrychium&amp;Species=minganense&amp;SourcePage=search.php&amp;IncludeSynonyms=Y&amp;SortBy=DESC&amp;SortOrder=Year" TargetMode="External"/><Relationship Id="rId5958" Type="http://schemas.openxmlformats.org/officeDocument/2006/relationships/hyperlink" Target="http://www.burkemuseum.org/research-and-collections/botany-and-herbarium/collections/database/results.php?Genus=Myriophyllum&amp;Species=hippuroides&amp;SourcePage=search.php&amp;IncludeSynonyms=Y&amp;SortBy=DESC&amp;SortOrder=Year" TargetMode="External"/><Relationship Id="rId43" Type="http://schemas.openxmlformats.org/officeDocument/2006/relationships/hyperlink" Target="http://biology.burke.washington.edu/herbarium/imagecollection/taxon.php?Taxon=Plagiobothrys%20scouleri" TargetMode="External"/><Relationship Id="rId1404" Type="http://schemas.openxmlformats.org/officeDocument/2006/relationships/hyperlink" Target="http://biology.burke.washington.edu/herbarium/imagecollection/taxon.php?Taxon=Oxalis%20oregana" TargetMode="External"/><Relationship Id="rId3576" Type="http://schemas.openxmlformats.org/officeDocument/2006/relationships/hyperlink" Target="http://www.burkemuseum.org/research-and-collections/botany-and-herbarium/collections/database/results.php?Genus=Rubus&amp;Species=lasiococcus&amp;SourcePage=search.php&amp;IncludeSynonyms=Y&amp;SortBy=DESC&amp;SortOrder=Year" TargetMode="External"/><Relationship Id="rId4627" Type="http://schemas.openxmlformats.org/officeDocument/2006/relationships/hyperlink" Target="http://www.burkemuseum.org/research-and-collections/botany-and-herbarium/collections/database/results.php?Genus=Antennaria&amp;Species=racemosa&amp;SourcePage=search.php&amp;IncludeSynonyms=Y&amp;SortBy=DESC&amp;SortOrder=Year" TargetMode="External"/><Relationship Id="rId4974" Type="http://schemas.openxmlformats.org/officeDocument/2006/relationships/hyperlink" Target="https://en.wikipedia.org/wiki/Fritillaria_affinis" TargetMode="External"/><Relationship Id="rId7033" Type="http://schemas.openxmlformats.org/officeDocument/2006/relationships/hyperlink" Target="http://biology.burke.washington.edu/herbarium/imagecollectionnew/taxon.php?Taxon=Callitriche%20palustris" TargetMode="External"/><Relationship Id="rId497" Type="http://schemas.openxmlformats.org/officeDocument/2006/relationships/hyperlink" Target="http://www.pnwherbaria.org/index.php" TargetMode="External"/><Relationship Id="rId2178" Type="http://schemas.openxmlformats.org/officeDocument/2006/relationships/hyperlink" Target="http://plants.usda.gov/java/profile?symbol=ERCH7" TargetMode="External"/><Relationship Id="rId3229" Type="http://schemas.openxmlformats.org/officeDocument/2006/relationships/hyperlink" Target="http://www.burkemuseum.org/research-and-collections/botany-and-herbarium/collections/database/results.php?Genus=Polystichum&amp;Species=andersonii&amp;SourcePage=search.php&amp;IncludeSynonyms=Y&amp;SortBy=DESC&amp;SortOrder=Year" TargetMode="External"/><Relationship Id="rId3990" Type="http://schemas.openxmlformats.org/officeDocument/2006/relationships/hyperlink" Target="https://plants.usda.gov/core/profile?symbol=GRNE" TargetMode="External"/><Relationship Id="rId7100" Type="http://schemas.openxmlformats.org/officeDocument/2006/relationships/hyperlink" Target="http://biology.burke.washington.edu/herbarium/imagecollectionnew/taxon.php?Taxon=Toxicodendron%20diversilobum" TargetMode="External"/><Relationship Id="rId1194" Type="http://schemas.openxmlformats.org/officeDocument/2006/relationships/hyperlink" Target="http://biology.burke.washington.edu/herbarium/imagecollectionnew/taxon.php?Taxon=Trichophorum%20cespitosum" TargetMode="External"/><Relationship Id="rId2592" Type="http://schemas.openxmlformats.org/officeDocument/2006/relationships/hyperlink" Target="https://plants.usda.gov/core/profile?symbol=ASCO" TargetMode="External"/><Relationship Id="rId3643" Type="http://schemas.openxmlformats.org/officeDocument/2006/relationships/hyperlink" Target="https://plants.usda.gov/core/profile?symbol=AGGR" TargetMode="External"/><Relationship Id="rId6799" Type="http://schemas.openxmlformats.org/officeDocument/2006/relationships/hyperlink" Target="http://biology.burke.washington.edu/herbarium/imagecollectionnew/taxon.php?Taxon=Cyperus%20squarrosus" TargetMode="External"/><Relationship Id="rId217" Type="http://schemas.openxmlformats.org/officeDocument/2006/relationships/hyperlink" Target="http://biology.burke.washington.edu/herbarium/imagecollection/taxon.php?Taxon=Gratiola%20ebracteata" TargetMode="External"/><Relationship Id="rId564" Type="http://schemas.openxmlformats.org/officeDocument/2006/relationships/hyperlink" Target="https://en.wikipedia.org/wiki/Stuckenia" TargetMode="External"/><Relationship Id="rId2245" Type="http://schemas.openxmlformats.org/officeDocument/2006/relationships/hyperlink" Target="http://plants.usda.gov/java/profile?symbol=COSES" TargetMode="External"/><Relationship Id="rId3710" Type="http://schemas.openxmlformats.org/officeDocument/2006/relationships/hyperlink" Target="https://plants.usda.gov/core/profile?symbol=ATPU" TargetMode="External"/><Relationship Id="rId6866" Type="http://schemas.openxmlformats.org/officeDocument/2006/relationships/hyperlink" Target="http://biology.burke.washington.edu/herbarium/imagecollection/taxon.php?Taxon=Abronia%20umbellata" TargetMode="External"/><Relationship Id="rId631" Type="http://schemas.openxmlformats.org/officeDocument/2006/relationships/hyperlink" Target="https://en.wikipedia.org/wiki/Salix_bebbiana" TargetMode="External"/><Relationship Id="rId1261" Type="http://schemas.openxmlformats.org/officeDocument/2006/relationships/hyperlink" Target="https://en.wikipedia.org/wiki/Micranthes" TargetMode="External"/><Relationship Id="rId2312" Type="http://schemas.openxmlformats.org/officeDocument/2006/relationships/hyperlink" Target="https://plants.usda.gov/core/profile?symbol=CALA11" TargetMode="External"/><Relationship Id="rId5468" Type="http://schemas.openxmlformats.org/officeDocument/2006/relationships/hyperlink" Target="https://en.wikipedia.org/wiki/Trifolium_oliganthum" TargetMode="External"/><Relationship Id="rId5882" Type="http://schemas.openxmlformats.org/officeDocument/2006/relationships/hyperlink" Target="http://www.burkemuseum.org/research-and-collections/botany-and-herbarium/collections/database/results.php?Genus=Lobelia&amp;Species=dortmanna&amp;SourcePage=search.php&amp;IncludeSynonyms=Y&amp;SortBy=DESC&amp;SortOrder=Year" TargetMode="External"/><Relationship Id="rId6519" Type="http://schemas.openxmlformats.org/officeDocument/2006/relationships/hyperlink" Target="http://biology.burke.washington.edu/herbarium/imagecollection/taxon.php?Taxon=Glyceria%20elata" TargetMode="External"/><Relationship Id="rId6933" Type="http://schemas.openxmlformats.org/officeDocument/2006/relationships/hyperlink" Target="http://biology.burke.washington.edu/herbarium/imagecollectionnew/taxon.php?Taxon=Micranthes%20ferruginea" TargetMode="External"/><Relationship Id="rId4484" Type="http://schemas.openxmlformats.org/officeDocument/2006/relationships/hyperlink" Target="https://plants.usda.gov/core/profile?symbol=TYLA" TargetMode="External"/><Relationship Id="rId5535" Type="http://schemas.openxmlformats.org/officeDocument/2006/relationships/hyperlink" Target="https://en.wikipedia.org/wiki/Linnaea_borealis" TargetMode="External"/><Relationship Id="rId3086" Type="http://schemas.openxmlformats.org/officeDocument/2006/relationships/hyperlink" Target="http://www.burkemuseum.org/research-and-collections/botany-and-herbarium/collections/database/results.php?Genus=Leptarrhena&amp;Species=pyrolifolia&amp;SourcePage=search.php&amp;IncludeSynonyms=Y&amp;SortBy=DESC&amp;SortOrder=Year" TargetMode="External"/><Relationship Id="rId4137" Type="http://schemas.openxmlformats.org/officeDocument/2006/relationships/hyperlink" Target="https://plants.usda.gov/core/profile?symbol=SATO2" TargetMode="External"/><Relationship Id="rId4551" Type="http://schemas.openxmlformats.org/officeDocument/2006/relationships/hyperlink" Target="https://en.wikipedia.org/wiki/Agoseris_heterophylla" TargetMode="External"/><Relationship Id="rId3153" Type="http://schemas.openxmlformats.org/officeDocument/2006/relationships/hyperlink" Target="http://www.burkemuseum.org/research-and-collections/botany-and-herbarium/collections/database/results.php?Genus=Montia&amp;Species=howellii&amp;SourcePage=search.php&amp;IncludeSynonyms=Y&amp;SortBy=DESC&amp;SortOrder=Year" TargetMode="External"/><Relationship Id="rId4204" Type="http://schemas.openxmlformats.org/officeDocument/2006/relationships/hyperlink" Target="https://plants.usda.gov/core/profile?symbol=PERI" TargetMode="External"/><Relationship Id="rId5602" Type="http://schemas.openxmlformats.org/officeDocument/2006/relationships/hyperlink" Target="http://www.burkemuseum.org/research-and-collections/botany-and-herbarium/collections/database/results.php?Genus=Carex&amp;Species=stylosa&amp;SourcePage=search.php&amp;IncludeSynonyms=Y&amp;SortBy=DESC&amp;SortOrder=Year" TargetMode="External"/><Relationship Id="rId141" Type="http://schemas.openxmlformats.org/officeDocument/2006/relationships/hyperlink" Target="http://biology.burke.washington.edu/herbarium/imagecollection/taxon.php?Taxon=Juncus%20supiniformis" TargetMode="External"/><Relationship Id="rId3220" Type="http://schemas.openxmlformats.org/officeDocument/2006/relationships/hyperlink" Target="http://www.burkemuseum.org/research-and-collections/botany-and-herbarium/collections/database/results.php?Genus=Poa&amp;Species=laxiflora&amp;SourcePage=search.php&amp;IncludeSynonyms=Y&amp;SortBy=DESC&amp;SortOrder=Year" TargetMode="External"/><Relationship Id="rId6029" Type="http://schemas.openxmlformats.org/officeDocument/2006/relationships/hyperlink" Target="http://www.burkemuseum.org/research-and-collections/botany-and-herbarium/collections/database/results.php?Genus=Plantago&amp;Species=elongata&amp;SourcePage=search.php&amp;IncludeSynonyms=Y&amp;SortBy=DESC&amp;SortOrder=Year" TargetMode="External"/><Relationship Id="rId6376" Type="http://schemas.openxmlformats.org/officeDocument/2006/relationships/hyperlink" Target="http://biology.burke.washington.edu/herbarium/imagecollectionnew/taxon.php?Taxon=Arctostaphylos%20uva-ursi" TargetMode="External"/><Relationship Id="rId6790" Type="http://schemas.openxmlformats.org/officeDocument/2006/relationships/hyperlink" Target="http://biology.burke.washington.edu/herbarium/imagecollection/taxon.php?Taxon=Epilobium%20densiflorum" TargetMode="External"/><Relationship Id="rId7" Type="http://schemas.openxmlformats.org/officeDocument/2006/relationships/hyperlink" Target="http://biology.burke.washington.edu/herbarium/imagecollection/taxon.php?Taxon=Maianthemum%20stellatum" TargetMode="External"/><Relationship Id="rId2986" Type="http://schemas.openxmlformats.org/officeDocument/2006/relationships/hyperlink" Target="http://www.burkemuseum.org/research-and-collections/botany-and-herbarium/collections/database/results.php?Genus=Erythranthe&amp;Species=lewisii&amp;SourcePage=search.php&amp;IncludeSynonyms=Y&amp;SortBy=DESC&amp;SortOrder=Year" TargetMode="External"/><Relationship Id="rId5392" Type="http://schemas.openxmlformats.org/officeDocument/2006/relationships/hyperlink" Target="https://en.wikipedia.org/wiki/Sedum_oreganum" TargetMode="External"/><Relationship Id="rId6443" Type="http://schemas.openxmlformats.org/officeDocument/2006/relationships/hyperlink" Target="http://biology.burke.washington.edu/herbarium/imagecollectionnew/taxon.php?Taxon=Cornus%20unalaschkensis" TargetMode="External"/><Relationship Id="rId958" Type="http://schemas.openxmlformats.org/officeDocument/2006/relationships/hyperlink" Target="http://en.wikipedia.org/wiki/Calypso_bulbosa" TargetMode="External"/><Relationship Id="rId1588" Type="http://schemas.openxmlformats.org/officeDocument/2006/relationships/hyperlink" Target="http://en.wikipedia.org/wiki/Ambrosia_chamissonis" TargetMode="External"/><Relationship Id="rId2639" Type="http://schemas.openxmlformats.org/officeDocument/2006/relationships/hyperlink" Target="http://biology.burke.washington.edu/herbarium/imagecollectionnew/taxon.php?Taxon=Moehringia%20macrophylla" TargetMode="External"/><Relationship Id="rId5045" Type="http://schemas.openxmlformats.org/officeDocument/2006/relationships/hyperlink" Target="https://en.wikipedia.org/wiki/Juncus_acuminatus" TargetMode="External"/><Relationship Id="rId6510" Type="http://schemas.openxmlformats.org/officeDocument/2006/relationships/hyperlink" Target="http://biology.burke.washington.edu/herbarium/imagecollection/taxon.php?Taxon=Fragaria%20vesca" TargetMode="External"/><Relationship Id="rId1655" Type="http://schemas.openxmlformats.org/officeDocument/2006/relationships/hyperlink" Target="https://en.wikipedia.org/wiki/Juniperus_maritima" TargetMode="External"/><Relationship Id="rId2706" Type="http://schemas.openxmlformats.org/officeDocument/2006/relationships/hyperlink" Target="http://biology.burke.washington.edu/herbarium/imagecollectionnew/taxon.php?Taxon=Schoenoplectus%20tabernaemontani" TargetMode="External"/><Relationship Id="rId4061" Type="http://schemas.openxmlformats.org/officeDocument/2006/relationships/hyperlink" Target="https://plants.usda.gov/core/profile?symbol=LATO" TargetMode="External"/><Relationship Id="rId5112" Type="http://schemas.openxmlformats.org/officeDocument/2006/relationships/hyperlink" Target="https://en.wikipedia.org/wiki/Lycopus_uniflorus" TargetMode="External"/><Relationship Id="rId1308" Type="http://schemas.openxmlformats.org/officeDocument/2006/relationships/hyperlink" Target="http://biology.burke.washington.edu/herbarium/imagecollectionnew/taxon.php?Taxon=Sidalcea%20nelsoniana" TargetMode="External"/><Relationship Id="rId1722" Type="http://schemas.openxmlformats.org/officeDocument/2006/relationships/hyperlink" Target="https://plants.usda.gov/core/profile?symbol=VIEL" TargetMode="External"/><Relationship Id="rId4878" Type="http://schemas.openxmlformats.org/officeDocument/2006/relationships/hyperlink" Target="https://en.wikipedia.org/wiki/Cryptantha_intermedia" TargetMode="External"/><Relationship Id="rId5929" Type="http://schemas.openxmlformats.org/officeDocument/2006/relationships/hyperlink" Target="http://www.burkemuseum.org/research-and-collections/botany-and-herbarium/collections/database/results.php?Genus=Melica&amp;Species=subulata&amp;SourcePage=search.php&amp;IncludeSynonyms=Y&amp;SortBy=DESC&amp;SortOrder=Year" TargetMode="External"/><Relationship Id="rId14" Type="http://schemas.openxmlformats.org/officeDocument/2006/relationships/hyperlink" Target="http://biology.burke.washington.edu/herbarium/imagecollection/taxon.php?Taxon=Polystichum%20andersonii" TargetMode="External"/><Relationship Id="rId3894" Type="http://schemas.openxmlformats.org/officeDocument/2006/relationships/hyperlink" Target="https://plants.usda.gov/core/profile?symbol=DOAU" TargetMode="External"/><Relationship Id="rId4945" Type="http://schemas.openxmlformats.org/officeDocument/2006/relationships/hyperlink" Target="https://en.wikipedia.org/wiki/Eriophorum_chamissonis" TargetMode="External"/><Relationship Id="rId7004" Type="http://schemas.openxmlformats.org/officeDocument/2006/relationships/hyperlink" Target="http://biology.burke.washington.edu/herbarium/imagecollectionnew/taxon.php?Taxon=Claytonia%20rubra" TargetMode="External"/><Relationship Id="rId2496" Type="http://schemas.openxmlformats.org/officeDocument/2006/relationships/hyperlink" Target="http://plants.usda.gov/java/profile?symbol=POIM" TargetMode="External"/><Relationship Id="rId3547" Type="http://schemas.openxmlformats.org/officeDocument/2006/relationships/hyperlink" Target="http://www.burkemuseum.org/research-and-collections/botany-and-herbarium/collections/database/results.php?Genus=Penstemon&amp;Species=serrulatus&amp;SourcePage=search.php&amp;IncludeSynonyms=Y&amp;SortBy=DESC&amp;SortOrder=Year" TargetMode="External"/><Relationship Id="rId3961" Type="http://schemas.openxmlformats.org/officeDocument/2006/relationships/hyperlink" Target="https://plants.usda.gov/core/profile?symbol=FRLA" TargetMode="External"/><Relationship Id="rId468" Type="http://schemas.openxmlformats.org/officeDocument/2006/relationships/hyperlink" Target="http://biology.burke.washington.edu/herbarium/imagecollectionnew/taxon.php?Taxon=Veratrum%20californicum" TargetMode="External"/><Relationship Id="rId882" Type="http://schemas.openxmlformats.org/officeDocument/2006/relationships/hyperlink" Target="http://en.wikipedia.org/wiki/Conyza_canadensis" TargetMode="External"/><Relationship Id="rId1098" Type="http://schemas.openxmlformats.org/officeDocument/2006/relationships/hyperlink" Target="https://en.wikipedia.org/wiki/Lemna_trisulca" TargetMode="External"/><Relationship Id="rId2149" Type="http://schemas.openxmlformats.org/officeDocument/2006/relationships/hyperlink" Target="https://plants.usda.gov/core/profile?symbol=gapa3" TargetMode="External"/><Relationship Id="rId2563" Type="http://schemas.openxmlformats.org/officeDocument/2006/relationships/hyperlink" Target="http://plants.usda.gov/java/profile?symbol=DRAR3" TargetMode="External"/><Relationship Id="rId3614" Type="http://schemas.openxmlformats.org/officeDocument/2006/relationships/hyperlink" Target="http://www.burkemuseum.org/research-and-collections/botany-and-herbarium/collections/database/results.php?Genus=Viola&amp;Species=sempervirens&amp;SourcePage=search.php&amp;IncludeSynonyms=Y&amp;SortBy=DESC&amp;SortOrder=Year" TargetMode="External"/><Relationship Id="rId6020" Type="http://schemas.openxmlformats.org/officeDocument/2006/relationships/hyperlink" Target="http://www.burkemuseum.org/research-and-collections/botany-and-herbarium/collections/database/results.php?Genus=Picea&amp;Species=engelmannii&amp;SourcePage=search.php&amp;IncludeSynonyms=Y&amp;SortBy=DESC&amp;SortOrder=Year" TargetMode="External"/><Relationship Id="rId535" Type="http://schemas.openxmlformats.org/officeDocument/2006/relationships/hyperlink" Target="https://en.wikipedia.org/wiki/Triphysaria_pusilla" TargetMode="External"/><Relationship Id="rId1165" Type="http://schemas.openxmlformats.org/officeDocument/2006/relationships/hyperlink" Target="https://en.wikipedia.org/wiki/Gymnocarpium_dryopteris" TargetMode="External"/><Relationship Id="rId2216" Type="http://schemas.openxmlformats.org/officeDocument/2006/relationships/hyperlink" Target="https://plants.usda.gov/core/profile?symbol=DISP" TargetMode="External"/><Relationship Id="rId2630" Type="http://schemas.openxmlformats.org/officeDocument/2006/relationships/hyperlink" Target="http://biology.burke.washington.edu/herbarium/imagecollectionnew/taxon.php?Taxon=Pseudognaphalium%20thermale" TargetMode="External"/><Relationship Id="rId5786" Type="http://schemas.openxmlformats.org/officeDocument/2006/relationships/hyperlink" Target="http://www.burkemuseum.org/research-and-collections/botany-and-herbarium/collections/database/results.php?Genus=Glyceria&amp;Species=elata&amp;SourcePage=search.php&amp;IncludeSynonyms=Y&amp;SortBy=DESC&amp;SortOrder=Year" TargetMode="External"/><Relationship Id="rId6837" Type="http://schemas.openxmlformats.org/officeDocument/2006/relationships/hyperlink" Target="http://biology.burke.washington.edu/herbarium/imagecollectionnew/taxon.php?Taxon=Cardamine%20breweri" TargetMode="External"/><Relationship Id="rId602" Type="http://schemas.openxmlformats.org/officeDocument/2006/relationships/hyperlink" Target="https://en.wikipedia.org/wiki/Scrophularia_lanceolata" TargetMode="External"/><Relationship Id="rId1232" Type="http://schemas.openxmlformats.org/officeDocument/2006/relationships/hyperlink" Target="http://biology.burke.washington.edu/herbarium/imagecollectionnew/taxon.php?Taxon=Carex%20circinata" TargetMode="External"/><Relationship Id="rId4388" Type="http://schemas.openxmlformats.org/officeDocument/2006/relationships/hyperlink" Target="https://plants.usda.gov/core/profile?symbol=SCGA" TargetMode="External"/><Relationship Id="rId5439" Type="http://schemas.openxmlformats.org/officeDocument/2006/relationships/hyperlink" Target="https://en.wikipedia.org/wiki/Stuckenia_filiformis" TargetMode="External"/><Relationship Id="rId5853" Type="http://schemas.openxmlformats.org/officeDocument/2006/relationships/hyperlink" Target="http://www.burkemuseum.org/research-and-collections/botany-and-herbarium/collections/database/results.php?Genus=Larix&amp;Species=occidentalis&amp;SourcePage=search.php&amp;IncludeSynonyms=Y&amp;SortBy=DESC&amp;SortOrder=Year" TargetMode="External"/><Relationship Id="rId6904" Type="http://schemas.openxmlformats.org/officeDocument/2006/relationships/hyperlink" Target="http://biology.burke.washington.edu/herbarium/imagecollection/taxon.php?Taxon=Polystichum%20imbricans" TargetMode="External"/><Relationship Id="rId3057" Type="http://schemas.openxmlformats.org/officeDocument/2006/relationships/hyperlink" Target="http://www.burkemuseum.org/research-and-collections/botany-and-herbarium/collections/database/results.php?Genus=Jaumea&amp;Species=carnosa&amp;SourcePage=search.php&amp;IncludeSynonyms=Y&amp;SortBy=DESC&amp;SortOrder=Year" TargetMode="External"/><Relationship Id="rId4108" Type="http://schemas.openxmlformats.org/officeDocument/2006/relationships/hyperlink" Target="https://plants.usda.gov/core/profile?symbol=LYAM" TargetMode="External"/><Relationship Id="rId4455" Type="http://schemas.openxmlformats.org/officeDocument/2006/relationships/hyperlink" Target="https://plants.usda.gov/core/profile?symbol=THOC" TargetMode="External"/><Relationship Id="rId5506" Type="http://schemas.openxmlformats.org/officeDocument/2006/relationships/hyperlink" Target="https://en.wikipedia.org/wiki/Viburnum_edule" TargetMode="External"/><Relationship Id="rId5920" Type="http://schemas.openxmlformats.org/officeDocument/2006/relationships/hyperlink" Target="http://www.burkemuseum.org/research-and-collections/botany-and-herbarium/collections/database/results.php?Genus=Maianthemum&amp;Species=dilatatum&amp;SourcePage=search.php&amp;IncludeSynonyms=Y&amp;SortBy=DESC&amp;SortOrder=Year" TargetMode="External"/><Relationship Id="rId3471" Type="http://schemas.openxmlformats.org/officeDocument/2006/relationships/hyperlink" Target="http://www.burkemuseum.org/research-and-collections/botany-and-herbarium/collections/database/results.php?Genus=Calamagrostis&amp;Species=nutkaensis&amp;SourcePage=search.php&amp;IncludeSynonyms=Y&amp;SortBy=DESC&amp;SortOrder=Year" TargetMode="External"/><Relationship Id="rId4522" Type="http://schemas.openxmlformats.org/officeDocument/2006/relationships/hyperlink" Target="https://plants.usda.gov/core/profile?symbol=WOFI" TargetMode="External"/><Relationship Id="rId392" Type="http://schemas.openxmlformats.org/officeDocument/2006/relationships/hyperlink" Target="http://biology.burke.washington.edu/herbarium/imagecollectionnew/taxon.php?Taxon=Coptis%20laciniata" TargetMode="External"/><Relationship Id="rId2073" Type="http://schemas.openxmlformats.org/officeDocument/2006/relationships/hyperlink" Target="http://plants.usda.gov/java/profile?symbol=LETR" TargetMode="External"/><Relationship Id="rId3124" Type="http://schemas.openxmlformats.org/officeDocument/2006/relationships/hyperlink" Target="http://www.burkemuseum.org/research-and-collections/botany-and-herbarium/collections/database/results.php?Genus=Madia&amp;Species=glomerata&amp;SourcePage=search.php&amp;IncludeSynonyms=Y&amp;SortBy=DESC&amp;SortOrder=Year" TargetMode="External"/><Relationship Id="rId6694" Type="http://schemas.openxmlformats.org/officeDocument/2006/relationships/hyperlink" Target="http://biology.burke.washington.edu/herbarium/imagecollection/taxon.php?Taxon=Platanthera%20elongata" TargetMode="External"/><Relationship Id="rId2140" Type="http://schemas.openxmlformats.org/officeDocument/2006/relationships/hyperlink" Target="http://plants.usda.gov/java/profile?symbol=GEMA4" TargetMode="External"/><Relationship Id="rId5296" Type="http://schemas.openxmlformats.org/officeDocument/2006/relationships/hyperlink" Target="https://en.wikipedia.org/wiki/Ranunculus_alismifolius" TargetMode="External"/><Relationship Id="rId6347" Type="http://schemas.openxmlformats.org/officeDocument/2006/relationships/hyperlink" Target="http://biology.burke.washington.edu/herbarium/imagecollection/taxon.php?Taxon=Aconitum%20columbianum" TargetMode="External"/><Relationship Id="rId6761" Type="http://schemas.openxmlformats.org/officeDocument/2006/relationships/hyperlink" Target="http://biology.burke.washington.edu/herbarium/imagecollection/taxon.php?Taxon=Impatiens%20ecornuta" TargetMode="External"/><Relationship Id="rId112" Type="http://schemas.openxmlformats.org/officeDocument/2006/relationships/hyperlink" Target="http://biology.burke.washington.edu/herbarium/imagecollection/taxon.php?Taxon=Salix%20bebbiana" TargetMode="External"/><Relationship Id="rId5363" Type="http://schemas.openxmlformats.org/officeDocument/2006/relationships/hyperlink" Target="https://en.wikipedia.org/wiki/Salix_prolixa" TargetMode="External"/><Relationship Id="rId6414" Type="http://schemas.openxmlformats.org/officeDocument/2006/relationships/hyperlink" Target="http://biology.burke.washington.edu/herbarium/imagecollectionnew/taxon.php?Taxon=Carex%20obnupta" TargetMode="External"/><Relationship Id="rId2957" Type="http://schemas.openxmlformats.org/officeDocument/2006/relationships/hyperlink" Target="http://www.burkemuseum.org/research-and-collections/botany-and-herbarium/collections/database/results.php?Genus=Elodea&amp;Species=nuttalli&amp;SourcePage=search.php&amp;IncludeSynonyms=Y&amp;SortBy=DESC&amp;SortOrder=Year" TargetMode="External"/><Relationship Id="rId5016" Type="http://schemas.openxmlformats.org/officeDocument/2006/relationships/hyperlink" Target="https://en.wikipedia.org/wiki/Heuchera_glabra" TargetMode="External"/><Relationship Id="rId929" Type="http://schemas.openxmlformats.org/officeDocument/2006/relationships/hyperlink" Target="http://en.wikipedia.org/wiki/Carex_praticola" TargetMode="External"/><Relationship Id="rId1559" Type="http://schemas.openxmlformats.org/officeDocument/2006/relationships/hyperlink" Target="https://en.wikipedia.org/wiki/Myrica_californica" TargetMode="External"/><Relationship Id="rId1973" Type="http://schemas.openxmlformats.org/officeDocument/2006/relationships/hyperlink" Target="https://plants.usda.gov/core/profile?symbol=OXBO" TargetMode="External"/><Relationship Id="rId4032" Type="http://schemas.openxmlformats.org/officeDocument/2006/relationships/hyperlink" Target="https://plants.usda.gov/core/profile?symbol=ISBR4" TargetMode="External"/><Relationship Id="rId5430" Type="http://schemas.openxmlformats.org/officeDocument/2006/relationships/hyperlink" Target="https://en.wikipedia.org/wiki/Stachys_mexicana" TargetMode="External"/><Relationship Id="rId7188" Type="http://schemas.openxmlformats.org/officeDocument/2006/relationships/hyperlink" Target="http://biology.burke.washington.edu/herbarium/imagecollection/taxon.php?Taxon=Ribes%20triste" TargetMode="External"/><Relationship Id="rId1626" Type="http://schemas.openxmlformats.org/officeDocument/2006/relationships/hyperlink" Target="https://en.wikipedia.org/wiki/Heuchera_micrantha" TargetMode="External"/><Relationship Id="rId3798" Type="http://schemas.openxmlformats.org/officeDocument/2006/relationships/hyperlink" Target="https://plants.usda.gov/core/profile?symbol=CAUT" TargetMode="External"/><Relationship Id="rId4849" Type="http://schemas.openxmlformats.org/officeDocument/2006/relationships/hyperlink" Target="https://en.wikipedia.org/wiki/Claytonia_perfoliata" TargetMode="External"/><Relationship Id="rId3865" Type="http://schemas.openxmlformats.org/officeDocument/2006/relationships/hyperlink" Target="https://plants.usda.gov/core/profile?symbol=CRMU" TargetMode="External"/><Relationship Id="rId4916" Type="http://schemas.openxmlformats.org/officeDocument/2006/relationships/hyperlink" Target="https://en.wikipedia.org/wiki/Dulichium_arundinaceum" TargetMode="External"/><Relationship Id="rId6271" Type="http://schemas.openxmlformats.org/officeDocument/2006/relationships/hyperlink" Target="http://www.burkemuseum.org/research-and-collections/botany-and-herbarium/collections/database/results.php?Genus=Trillium&amp;Species=ovatum&amp;SourcePage=search.php&amp;IncludeSynonyms=Y&amp;SortBy=DESC&amp;SortOrder=Year" TargetMode="External"/><Relationship Id="rId786" Type="http://schemas.openxmlformats.org/officeDocument/2006/relationships/hyperlink" Target="https://en.wikipedia.org/wiki/Persicaria_amphibia" TargetMode="External"/><Relationship Id="rId2467" Type="http://schemas.openxmlformats.org/officeDocument/2006/relationships/hyperlink" Target="https://plants.usda.gov/core/profile?symbol=SIOR" TargetMode="External"/><Relationship Id="rId3518" Type="http://schemas.openxmlformats.org/officeDocument/2006/relationships/hyperlink" Target="http://www.burkemuseum.org/research-and-collections/botany-and-herbarium/collections/database/results.php?Genus=Lathyrus&amp;Species=polyphyllus&amp;SourcePage=search.php&amp;IncludeSynonyms=Y&amp;SortBy=DESC&amp;SortOrder=Year" TargetMode="External"/><Relationship Id="rId439" Type="http://schemas.openxmlformats.org/officeDocument/2006/relationships/hyperlink" Target="http://biology.burke.washington.edu/herbarium/imagecollectionnew/taxon.php?Taxon=Dryopteris%20filix-mas" TargetMode="External"/><Relationship Id="rId1069" Type="http://schemas.openxmlformats.org/officeDocument/2006/relationships/hyperlink" Target="https://en.wikipedia.org/wiki/Luzula_comosa" TargetMode="External"/><Relationship Id="rId1483" Type="http://schemas.openxmlformats.org/officeDocument/2006/relationships/hyperlink" Target="https://en.wikipedia.org/wiki/Tolmiea_menziesii" TargetMode="External"/><Relationship Id="rId2881" Type="http://schemas.openxmlformats.org/officeDocument/2006/relationships/hyperlink" Target="http://www.burkemuseum.org/research-and-collections/botany-and-herbarium/collections/database/results.php?Genus=Cicuta&amp;Species=douglasii&amp;SourcePage=search.php&amp;IncludeSynonyms=Y&amp;SortBy=DESC&amp;SortOrder=Year" TargetMode="External"/><Relationship Id="rId3932" Type="http://schemas.openxmlformats.org/officeDocument/2006/relationships/hyperlink" Target="https://plants.usda.gov/core/profile?symbol=ERST3" TargetMode="External"/><Relationship Id="rId506" Type="http://schemas.openxmlformats.org/officeDocument/2006/relationships/hyperlink" Target="https://species.wikimedia.org/wiki/Viola_orbiculata" TargetMode="External"/><Relationship Id="rId853" Type="http://schemas.openxmlformats.org/officeDocument/2006/relationships/hyperlink" Target="https://en.wikipedia.org/wiki/Moehringia_lateriflora" TargetMode="External"/><Relationship Id="rId1136" Type="http://schemas.openxmlformats.org/officeDocument/2006/relationships/hyperlink" Target="https://en.wikipedia.org/wiki/Hordeum_depressum" TargetMode="External"/><Relationship Id="rId2534" Type="http://schemas.openxmlformats.org/officeDocument/2006/relationships/hyperlink" Target="http://plants.usda.gov/java/profile?symbol=LOUT" TargetMode="External"/><Relationship Id="rId920" Type="http://schemas.openxmlformats.org/officeDocument/2006/relationships/hyperlink" Target="https://en.wikipedia.org/wiki/Castilleja_ambigua" TargetMode="External"/><Relationship Id="rId1550" Type="http://schemas.openxmlformats.org/officeDocument/2006/relationships/hyperlink" Target="https://en.wikipedia.org/wiki/Penstemon" TargetMode="External"/><Relationship Id="rId2601" Type="http://schemas.openxmlformats.org/officeDocument/2006/relationships/hyperlink" Target="http://plants.usda.gov/java/profile?symbol=ACCI" TargetMode="External"/><Relationship Id="rId5757" Type="http://schemas.openxmlformats.org/officeDocument/2006/relationships/hyperlink" Target="http://www.burkemuseum.org/research-and-collections/botany-and-herbarium/collections/database/results.php?Genus=Festuca&amp;Species=rubra&amp;SourcePage=search.php&amp;IncludeSynonyms=Y&amp;SortBy=DESC&amp;SortOrder=Year" TargetMode="External"/><Relationship Id="rId6808" Type="http://schemas.openxmlformats.org/officeDocument/2006/relationships/hyperlink" Target="http://biology.burke.washington.edu/herbarium/imagecollectionnew/taxon.php?Taxon=Conyza%20canadensis" TargetMode="External"/><Relationship Id="rId1203" Type="http://schemas.openxmlformats.org/officeDocument/2006/relationships/hyperlink" Target="http://biology.burke.washington.edu/herbarium/imagecollectionnew/taxon.php?Taxon=Stellaria%20borealis" TargetMode="External"/><Relationship Id="rId4359" Type="http://schemas.openxmlformats.org/officeDocument/2006/relationships/hyperlink" Target="https://plants.usda.gov/core/profile?symbol=SALE" TargetMode="External"/><Relationship Id="rId4773" Type="http://schemas.openxmlformats.org/officeDocument/2006/relationships/hyperlink" Target="https://en.wikipedia.org/wiki/Cardamine_oligosperma" TargetMode="External"/><Relationship Id="rId5824" Type="http://schemas.openxmlformats.org/officeDocument/2006/relationships/hyperlink" Target="http://www.burkemuseum.org/research-and-collections/botany-and-herbarium/collections/database/results.php?Genus=Hypericum&amp;Species=anagalloides&amp;SourcePage=search.php&amp;IncludeSynonyms=Y&amp;SortBy=DESC&amp;SortOrder=Year" TargetMode="External"/><Relationship Id="rId3375" Type="http://schemas.openxmlformats.org/officeDocument/2006/relationships/hyperlink" Target="http://www.burkemuseum.org/research-and-collections/botany-and-herbarium/collections/database/results.php?Genus=Stellaria&amp;Species=nitens&amp;SourcePage=search.php&amp;IncludeSynonyms=Y&amp;SortBy=DESC&amp;SortOrder=Year" TargetMode="External"/><Relationship Id="rId4426" Type="http://schemas.openxmlformats.org/officeDocument/2006/relationships/hyperlink" Target="https://plants.usda.gov/core/profile?symbol=SPPY" TargetMode="External"/><Relationship Id="rId4840" Type="http://schemas.openxmlformats.org/officeDocument/2006/relationships/hyperlink" Target="https://en.wikipedia.org/wiki/Circaea_alpina" TargetMode="External"/><Relationship Id="rId296" Type="http://schemas.openxmlformats.org/officeDocument/2006/relationships/hyperlink" Target="http://biology.burke.washington.edu/herbarium/imagecollectionnew/taxon.php?Taxon=Anticlea%20occidentalis" TargetMode="External"/><Relationship Id="rId2391" Type="http://schemas.openxmlformats.org/officeDocument/2006/relationships/hyperlink" Target="http://plants.usda.gov/java/profile?symbol=APAN2" TargetMode="External"/><Relationship Id="rId3028" Type="http://schemas.openxmlformats.org/officeDocument/2006/relationships/hyperlink" Target="http://www.burkemuseum.org/research-and-collections/botany-and-herbarium/collections/database/results.php?Genus=Halerpestes&amp;Species=cymbalaria&amp;SourcePage=search.php&amp;IncludeSynonyms=Y&amp;SortBy=DESC&amp;SortOrder=Year" TargetMode="External"/><Relationship Id="rId3442" Type="http://schemas.openxmlformats.org/officeDocument/2006/relationships/hyperlink" Target="http://www.burkemuseum.org/research-and-collections/botany-and-herbarium/collections/database/results.php?Genus=Vulpia&amp;Species=microstachys&amp;SourcePage=search.php&amp;IncludeSynonyms=Y&amp;SortBy=DESC&amp;SortOrder=Year" TargetMode="External"/><Relationship Id="rId6598" Type="http://schemas.openxmlformats.org/officeDocument/2006/relationships/hyperlink" Target="http://biology.burke.washington.edu/herbarium/imagecollection/taxon.php?Taxon=Penstemon%20cardwellii" TargetMode="External"/><Relationship Id="rId363" Type="http://schemas.openxmlformats.org/officeDocument/2006/relationships/hyperlink" Target="http://biology.burke.washington.edu/herbarium/imagecollectionnew/taxon.php?Taxon=Carex%20macrocephala" TargetMode="External"/><Relationship Id="rId2044" Type="http://schemas.openxmlformats.org/officeDocument/2006/relationships/hyperlink" Target="http://plants.usda.gov/java/profile?symbol=LUPO2" TargetMode="External"/><Relationship Id="rId430" Type="http://schemas.openxmlformats.org/officeDocument/2006/relationships/hyperlink" Target="http://biology.burke.washington.edu/herbarium/imagecollectionnew/taxon.php?Taxon=Ceanothus%20velutinus" TargetMode="External"/><Relationship Id="rId1060" Type="http://schemas.openxmlformats.org/officeDocument/2006/relationships/hyperlink" Target="https://en.wikipedia.org/wiki/Montia" TargetMode="External"/><Relationship Id="rId2111" Type="http://schemas.openxmlformats.org/officeDocument/2006/relationships/hyperlink" Target="http://plants.usda.gov/java/profile?symbol=HOJU" TargetMode="External"/><Relationship Id="rId5267" Type="http://schemas.openxmlformats.org/officeDocument/2006/relationships/hyperlink" Target="https://en.wikipedia.org/wiki/Potamogeton_foliosus" TargetMode="External"/><Relationship Id="rId6318" Type="http://schemas.openxmlformats.org/officeDocument/2006/relationships/hyperlink" Target="http://www.burkemuseum.org/research-and-collections/botany-and-herbarium/collections/database/results.php?Genus=Vulpia&amp;Species=microstachys&amp;SourcePage=search.php&amp;IncludeSynonyms=Y&amp;SortBy=DESC&amp;SortOrder=Year" TargetMode="External"/><Relationship Id="rId6665" Type="http://schemas.openxmlformats.org/officeDocument/2006/relationships/hyperlink" Target="http://biology.burke.washington.edu/herbarium/imagecollection/taxon.php?Taxon=Rorippa%20curvisiliqua" TargetMode="External"/><Relationship Id="rId5681" Type="http://schemas.openxmlformats.org/officeDocument/2006/relationships/hyperlink" Target="http://www.burkemuseum.org/research-and-collections/botany-and-herbarium/collections/database/results.php?Genus=Danthonia&amp;Species=spicata&amp;SourcePage=search.php&amp;IncludeSynonyms=Y&amp;SortBy=DESC&amp;SortOrder=Year" TargetMode="External"/><Relationship Id="rId6732" Type="http://schemas.openxmlformats.org/officeDocument/2006/relationships/hyperlink" Target="http://biology.burke.washington.edu/herbarium/imagecollection/taxon.php?Taxon=Melica%20subulata" TargetMode="External"/><Relationship Id="rId1877" Type="http://schemas.openxmlformats.org/officeDocument/2006/relationships/hyperlink" Target="http://plants.usda.gov/java/profile?symbol=RIAC" TargetMode="External"/><Relationship Id="rId2928" Type="http://schemas.openxmlformats.org/officeDocument/2006/relationships/hyperlink" Target="http://www.burkemuseum.org/research-and-collections/botany-and-herbarium/collections/database/results.php?Genus=Danthonia&amp;Species=spicata&amp;SourcePage=search.php&amp;IncludeSynonyms=Y&amp;SortBy=DESC&amp;SortOrder=Year" TargetMode="External"/><Relationship Id="rId4283" Type="http://schemas.openxmlformats.org/officeDocument/2006/relationships/hyperlink" Target="https://plants.usda.gov/core/profile?symbol=PSME" TargetMode="External"/><Relationship Id="rId5334" Type="http://schemas.openxmlformats.org/officeDocument/2006/relationships/hyperlink" Target="https://en.wikipedia.org/wiki/Rubus_nutkanus" TargetMode="External"/><Relationship Id="rId1944" Type="http://schemas.openxmlformats.org/officeDocument/2006/relationships/hyperlink" Target="https://plants.usda.gov/core/profile?symbol=PLMA" TargetMode="External"/><Relationship Id="rId4350" Type="http://schemas.openxmlformats.org/officeDocument/2006/relationships/hyperlink" Target="https://plants.usda.gov/core/profile?symbol=SABE2" TargetMode="External"/><Relationship Id="rId5401" Type="http://schemas.openxmlformats.org/officeDocument/2006/relationships/hyperlink" Target="https://en.wikipedia.org/wiki/Sidalcea_hendersonii" TargetMode="External"/><Relationship Id="rId4003" Type="http://schemas.openxmlformats.org/officeDocument/2006/relationships/hyperlink" Target="https://plants.usda.gov/core/profile?symbol=HECH" TargetMode="External"/><Relationship Id="rId7159" Type="http://schemas.openxmlformats.org/officeDocument/2006/relationships/hyperlink" Target="http://biology.burke.washington.edu/herbarium/imagecollection/taxon.php?Taxon=Salix%20prolixa" TargetMode="External"/><Relationship Id="rId6175" Type="http://schemas.openxmlformats.org/officeDocument/2006/relationships/hyperlink" Target="http://www.burkemuseum.org/research-and-collections/botany-and-herbarium/collections/database/results.php?Genus=Sanicula&amp;Species=graveolens&amp;SourcePage=search.php&amp;IncludeSynonyms=Y&amp;SortBy=DESC&amp;SortOrder=Year" TargetMode="External"/><Relationship Id="rId7226" Type="http://schemas.openxmlformats.org/officeDocument/2006/relationships/hyperlink" Target="http://biology.burke.washington.edu/herbarium/imagecollection/taxon.php?Taxon=Polystichum%20munitum" TargetMode="External"/><Relationship Id="rId3769" Type="http://schemas.openxmlformats.org/officeDocument/2006/relationships/hyperlink" Target="https://plants.usda.gov/core/profile?symbol=CACO8" TargetMode="External"/><Relationship Id="rId5191" Type="http://schemas.openxmlformats.org/officeDocument/2006/relationships/hyperlink" Target="https://en.wikipedia.org/wiki/Oxytropis_borealis" TargetMode="External"/><Relationship Id="rId6242" Type="http://schemas.openxmlformats.org/officeDocument/2006/relationships/hyperlink" Target="http://www.burkemuseum.org/research-and-collections/botany-and-herbarium/collections/database/results.php?Genus=Symphoricarpos&amp;Species=albus&amp;SourcePage=search.php&amp;IncludeSynonyms=Y&amp;SortBy=DESC&amp;SortOrder=Year" TargetMode="External"/><Relationship Id="rId2785" Type="http://schemas.openxmlformats.org/officeDocument/2006/relationships/hyperlink" Target="http://www.burkemuseum.org/research-and-collections/botany-and-herbarium/collections/database/results.php?Genus=Azolla&amp;Species=filiculoides&amp;SourcePage=search.php&amp;IncludeSynonyms=Y&amp;SortBy=DESC&amp;SortOrder=Year" TargetMode="External"/><Relationship Id="rId3836" Type="http://schemas.openxmlformats.org/officeDocument/2006/relationships/hyperlink" Target="https://plants.usda.gov/core/profile?symbol=CLPE" TargetMode="External"/><Relationship Id="rId757" Type="http://schemas.openxmlformats.org/officeDocument/2006/relationships/hyperlink" Target="https://en.wikipedia.org/wiki/Cuscuta" TargetMode="External"/><Relationship Id="rId1387" Type="http://schemas.openxmlformats.org/officeDocument/2006/relationships/hyperlink" Target="http://biology.burke.washington.edu/herbarium/imagecollection/taxon.php?Taxon=Physocarpus%20capitatus" TargetMode="External"/><Relationship Id="rId2438" Type="http://schemas.openxmlformats.org/officeDocument/2006/relationships/hyperlink" Target="http://plants.usda.gov/java/profile?symbol=ABLA2" TargetMode="External"/><Relationship Id="rId2852" Type="http://schemas.openxmlformats.org/officeDocument/2006/relationships/hyperlink" Target="http://www.burkemuseum.org/research-and-collections/botany-and-herbarium/collections/database/results.php?Genus=Carex&amp;Species=rossii&amp;SourcePage=search.php&amp;IncludeSynonyms=Y&amp;SortBy=DESC&amp;SortOrder=Year" TargetMode="External"/><Relationship Id="rId3903" Type="http://schemas.openxmlformats.org/officeDocument/2006/relationships/hyperlink" Target="https://plants.usda.gov/core/profile?symbol=DRFI2" TargetMode="External"/><Relationship Id="rId93" Type="http://schemas.openxmlformats.org/officeDocument/2006/relationships/hyperlink" Target="http://biology.burke.washington.edu/herbarium/imagecollection/taxon.php?Taxon=Gentianella%20amarella" TargetMode="External"/><Relationship Id="rId824" Type="http://schemas.openxmlformats.org/officeDocument/2006/relationships/hyperlink" Target="https://en.wikipedia.org/wiki/Orthilia" TargetMode="External"/><Relationship Id="rId1454" Type="http://schemas.openxmlformats.org/officeDocument/2006/relationships/hyperlink" Target="http://biology.burke.washington.edu/herbarium/imagecollectionnew/taxon.php?Taxon=Dicentra%20formosa" TargetMode="External"/><Relationship Id="rId2505" Type="http://schemas.openxmlformats.org/officeDocument/2006/relationships/hyperlink" Target="http://plants.usda.gov/java/profile?symbol=PHCA11" TargetMode="External"/><Relationship Id="rId1107" Type="http://schemas.openxmlformats.org/officeDocument/2006/relationships/hyperlink" Target="https://en.wikipedia.org/wiki/Lasthenia_maritima" TargetMode="External"/><Relationship Id="rId1521" Type="http://schemas.openxmlformats.org/officeDocument/2006/relationships/hyperlink" Target="https://en.wikipedia.org/wiki/Quercus_garryana" TargetMode="External"/><Relationship Id="rId4677" Type="http://schemas.openxmlformats.org/officeDocument/2006/relationships/hyperlink" Target="http://www.burkemuseum.org/research-and-collections/botany-and-herbarium/collections/database/results.php?Genus=Bolboschoenus&amp;Species=maritimus&amp;SourcePage=search.php&amp;IncludeSynonyms=Y&amp;SortBy=DESC&amp;SortOrder=Year" TargetMode="External"/><Relationship Id="rId5728" Type="http://schemas.openxmlformats.org/officeDocument/2006/relationships/hyperlink" Target="http://www.burkemuseum.org/research-and-collections/botany-and-herbarium/collections/database/results.php?Genus=Equisetum&amp;Species=telmateia&amp;SourcePage=search.php&amp;IncludeSynonyms=Y&amp;SortBy=DESC&amp;SortOrder=Year" TargetMode="External"/><Relationship Id="rId7083" Type="http://schemas.openxmlformats.org/officeDocument/2006/relationships/hyperlink" Target="http://biology.burke.washington.edu/herbarium/imagecollectionnew/taxon.php?Taxon=Veratrum%20californicum" TargetMode="External"/><Relationship Id="rId3279" Type="http://schemas.openxmlformats.org/officeDocument/2006/relationships/hyperlink" Target="http://www.burkemuseum.org/research-and-collections/botany-and-herbarium/collections/database/results.php?Genus=Ribes&amp;Species=acerifolium&amp;SourcePage=search.php&amp;IncludeSynonyms=Y&amp;SortBy=DESC&amp;SortOrder=Year" TargetMode="External"/><Relationship Id="rId3693" Type="http://schemas.openxmlformats.org/officeDocument/2006/relationships/hyperlink" Target="https://plants.usda.gov/core/profile?symbol=ARUV" TargetMode="External"/><Relationship Id="rId7150" Type="http://schemas.openxmlformats.org/officeDocument/2006/relationships/hyperlink" Target="http://biology.burke.washington.edu/herbarium/imagecollectionnew/taxon.php?Taxon=Schoenoplectus%20acutus" TargetMode="External"/><Relationship Id="rId2295" Type="http://schemas.openxmlformats.org/officeDocument/2006/relationships/hyperlink" Target="https://plants.usda.gov/core/profile?symbol=CAAMA3" TargetMode="External"/><Relationship Id="rId3346" Type="http://schemas.openxmlformats.org/officeDocument/2006/relationships/hyperlink" Target="http://www.burkemuseum.org/research-and-collections/botany-and-herbarium/collections/database/results.php?Genus=Sidalcea&amp;Species=hendersonii&amp;SourcePage=search.php&amp;IncludeSynonyms=Y&amp;SortBy=DESC&amp;SortOrder=Year" TargetMode="External"/><Relationship Id="rId4744" Type="http://schemas.openxmlformats.org/officeDocument/2006/relationships/hyperlink" Target="https://en.wikipedia.org/wiki/Botrychium_multifidum" TargetMode="External"/><Relationship Id="rId267" Type="http://schemas.openxmlformats.org/officeDocument/2006/relationships/hyperlink" Target="http://biology.burke.washington.edu/herbarium/imagecollection/taxon.php?Taxon=Polemonium%20carneum" TargetMode="External"/><Relationship Id="rId3760" Type="http://schemas.openxmlformats.org/officeDocument/2006/relationships/hyperlink" Target="https://plants.usda.gov/core/profile?symbol=CAOL" TargetMode="External"/><Relationship Id="rId4811" Type="http://schemas.openxmlformats.org/officeDocument/2006/relationships/hyperlink" Target="https://en.wikipedia.org/wiki/Carex_utriculata" TargetMode="External"/><Relationship Id="rId681" Type="http://schemas.openxmlformats.org/officeDocument/2006/relationships/hyperlink" Target="https://en.wikipedia.org/wiki/Prosartes_hookeri" TargetMode="External"/><Relationship Id="rId2362" Type="http://schemas.openxmlformats.org/officeDocument/2006/relationships/hyperlink" Target="http://plants.usda.gov/java/profile?symbol=BEPA" TargetMode="External"/><Relationship Id="rId3413" Type="http://schemas.openxmlformats.org/officeDocument/2006/relationships/hyperlink" Target="http://www.burkemuseum.org/research-and-collections/botany-and-herbarium/collections/database/results.php?Genus=Turritis&amp;Species=glabra&amp;SourcePage=search.php&amp;IncludeSynonyms=Y&amp;SortBy=DESC&amp;SortOrder=Year" TargetMode="External"/><Relationship Id="rId6569" Type="http://schemas.openxmlformats.org/officeDocument/2006/relationships/hyperlink" Target="http://biology.burke.washington.edu/herbarium/imagecollection/taxon.php?Taxon=Luzula%20multiflora" TargetMode="External"/><Relationship Id="rId6983" Type="http://schemas.openxmlformats.org/officeDocument/2006/relationships/hyperlink" Target="http://biology.burke.washington.edu/herbarium/imagecollection/taxon.php?Taxon=Equisetum%20variegatum" TargetMode="External"/><Relationship Id="rId334" Type="http://schemas.openxmlformats.org/officeDocument/2006/relationships/hyperlink" Target="http://biology.burke.washington.edu/herbarium/imagecollectionnew/taxon.php?Taxon=Canadanthus%20modestus" TargetMode="External"/><Relationship Id="rId2015" Type="http://schemas.openxmlformats.org/officeDocument/2006/relationships/hyperlink" Target="https://plants.usda.gov/core/profile?symbol=SAOR2" TargetMode="External"/><Relationship Id="rId5585" Type="http://schemas.openxmlformats.org/officeDocument/2006/relationships/hyperlink" Target="http://www.burkemuseum.org/research-and-collections/botany-and-herbarium/collections/database/results.php?Genus=Carex&amp;Species=lasiocarpa&amp;SourcePage=search.php&amp;IncludeSynonyms=Y&amp;SortBy=DESC&amp;SortOrder=Year" TargetMode="External"/><Relationship Id="rId6636" Type="http://schemas.openxmlformats.org/officeDocument/2006/relationships/hyperlink" Target="http://biology.burke.washington.edu/herbarium/imagecollection/taxon.php?Taxon=Stuckenia%20pectinata" TargetMode="External"/><Relationship Id="rId401" Type="http://schemas.openxmlformats.org/officeDocument/2006/relationships/hyperlink" Target="http://biology.burke.washington.edu/herbarium/imagecollectionnew/taxon.php?Taxon=Clintonia%20uniflora" TargetMode="External"/><Relationship Id="rId1031" Type="http://schemas.openxmlformats.org/officeDocument/2006/relationships/hyperlink" Target="http://en.wikipedia.org/wiki/Agoseris_heterophylla" TargetMode="External"/><Relationship Id="rId4187" Type="http://schemas.openxmlformats.org/officeDocument/2006/relationships/hyperlink" Target="https://plants.usda.gov/core/profile?symbol=CHRU" TargetMode="External"/><Relationship Id="rId5238" Type="http://schemas.openxmlformats.org/officeDocument/2006/relationships/hyperlink" Target="https://en.wikipedia.org/wiki/Platanthera_stricta" TargetMode="External"/><Relationship Id="rId5652" Type="http://schemas.openxmlformats.org/officeDocument/2006/relationships/hyperlink" Target="http://www.burkemuseum.org/research-and-collections/botany-and-herbarium/collections/database/results.php?Genus=Collomia&amp;Species=grandiflora&amp;SourcePage=search.php&amp;IncludeSynonyms=Y&amp;SortBy=DESC&amp;SortOrder=Year" TargetMode="External"/><Relationship Id="rId6703" Type="http://schemas.openxmlformats.org/officeDocument/2006/relationships/hyperlink" Target="http://biology.burke.washington.edu/herbarium/imagecollection/taxon.php?Taxon=Parnassia%20palustris" TargetMode="External"/><Relationship Id="rId4254" Type="http://schemas.openxmlformats.org/officeDocument/2006/relationships/hyperlink" Target="https://plants.usda.gov/core/profile?symbol=POAN2" TargetMode="External"/><Relationship Id="rId5305" Type="http://schemas.openxmlformats.org/officeDocument/2006/relationships/hyperlink" Target="https://en.wikipedia.org/wiki/Rhamnus_purshiana" TargetMode="External"/><Relationship Id="rId1848" Type="http://schemas.openxmlformats.org/officeDocument/2006/relationships/hyperlink" Target="https://plants.usda.gov/core/profile?symbol=SACO2" TargetMode="External"/><Relationship Id="rId3270" Type="http://schemas.openxmlformats.org/officeDocument/2006/relationships/hyperlink" Target="http://www.burkemuseum.org/research-and-collections/botany-and-herbarium/collections/database/results.php?Genus=Ranunculus&amp;Species=macounii&amp;SourcePage=search.php&amp;IncludeSynonyms=Y&amp;SortBy=DESC&amp;SortOrder=Year" TargetMode="External"/><Relationship Id="rId4321" Type="http://schemas.openxmlformats.org/officeDocument/2006/relationships/hyperlink" Target="https://plants.usda.gov/core/profile?symbol=RILO" TargetMode="External"/><Relationship Id="rId191" Type="http://schemas.openxmlformats.org/officeDocument/2006/relationships/hyperlink" Target="http://biology.burke.washington.edu/herbarium/imagecollection/taxon.php?Taxon=Potamogeton%20epihydrus" TargetMode="External"/><Relationship Id="rId1915" Type="http://schemas.openxmlformats.org/officeDocument/2006/relationships/hyperlink" Target="http://plants.usda.gov/java/profile?symbol=PONO2" TargetMode="External"/><Relationship Id="rId6079" Type="http://schemas.openxmlformats.org/officeDocument/2006/relationships/hyperlink" Target="http://www.burkemuseum.org/research-and-collections/botany-and-herbarium/collections/database/results.php?Genus=Prosartes&amp;Species=smithii&amp;SourcePage=search.php&amp;IncludeSynonyms=Y&amp;SortBy=DESC&amp;SortOrder=Year" TargetMode="External"/><Relationship Id="rId5095" Type="http://schemas.openxmlformats.org/officeDocument/2006/relationships/hyperlink" Target="https://en.wikipedia.org/wiki/Ludwigia_palustris" TargetMode="External"/><Relationship Id="rId6493" Type="http://schemas.openxmlformats.org/officeDocument/2006/relationships/hyperlink" Target="http://biology.burke.washington.edu/herbarium/imagecollection/taxon.php?Taxon=Erythronium%20grandiflorum" TargetMode="External"/><Relationship Id="rId2689" Type="http://schemas.openxmlformats.org/officeDocument/2006/relationships/hyperlink" Target="http://biology.burke.washington.edu/herbarium/imagecollectionnew/taxon.php?Taxon=Sparganium%20emersum" TargetMode="External"/><Relationship Id="rId6146" Type="http://schemas.openxmlformats.org/officeDocument/2006/relationships/hyperlink" Target="http://www.burkemuseum.org/research-and-collections/botany-and-herbarium/collections/database/results.php?Genus=Sagittaria&amp;Species=latifolia&amp;SourcePage=search.php&amp;IncludeSynonyms=Y&amp;SortBy=DESC&amp;SortOrder=Year" TargetMode="External"/><Relationship Id="rId6560" Type="http://schemas.openxmlformats.org/officeDocument/2006/relationships/hyperlink" Target="http://biology.burke.washington.edu/herbarium/imagecollection/taxon.php?Taxon=Lonicera%20utahensis" TargetMode="External"/><Relationship Id="rId2756" Type="http://schemas.openxmlformats.org/officeDocument/2006/relationships/hyperlink" Target="http://www.burkemuseum.org/research-and-collections/botany-and-herbarium/collections/database/results.php?Genus=Antennaria&amp;Species=howellii&amp;SourcePage=search.php&amp;IncludeSynonyms=Y&amp;SortBy=DESC&amp;SortOrder=Year" TargetMode="External"/><Relationship Id="rId3807" Type="http://schemas.openxmlformats.org/officeDocument/2006/relationships/hyperlink" Target="https://plants.usda.gov/core/profile?symbol=cami12" TargetMode="External"/><Relationship Id="rId5162" Type="http://schemas.openxmlformats.org/officeDocument/2006/relationships/hyperlink" Target="https://en.wikipedia.org/wiki/Myriophyllum_sibiricum" TargetMode="External"/><Relationship Id="rId6213" Type="http://schemas.openxmlformats.org/officeDocument/2006/relationships/hyperlink" Target="http://www.burkemuseum.org/research-and-collections/botany-and-herbarium/collections/database/results.php?Genus=Sorbus&amp;Species=scopulina&amp;SourcePage=search.php&amp;IncludeSynonyms=Y&amp;SortBy=DESC&amp;SortOrder=Year" TargetMode="External"/><Relationship Id="rId728" Type="http://schemas.openxmlformats.org/officeDocument/2006/relationships/hyperlink" Target="https://en.wikipedia.org/wiki/Eleocharis_obtusa" TargetMode="External"/><Relationship Id="rId1358" Type="http://schemas.openxmlformats.org/officeDocument/2006/relationships/hyperlink" Target="http://biology.burke.washington.edu/herbarium/imagecollection/taxon.php?Taxon=Grindelia%20hirsutula" TargetMode="External"/><Relationship Id="rId1772" Type="http://schemas.openxmlformats.org/officeDocument/2006/relationships/hyperlink" Target="https://plants.usda.gov/core/profile?symbol=SYEA2" TargetMode="External"/><Relationship Id="rId2409" Type="http://schemas.openxmlformats.org/officeDocument/2006/relationships/hyperlink" Target="http://plants.usda.gov/java/profile?symbol=AMMEM2" TargetMode="External"/><Relationship Id="rId5979" Type="http://schemas.openxmlformats.org/officeDocument/2006/relationships/hyperlink" Target="http://www.burkemuseum.org/research-and-collections/botany-and-herbarium/collections/database/results.php?Genus=Oplopanax&amp;Species=horridus&amp;SourcePage=search.php&amp;IncludeSynonyms=Y&amp;SortBy=DESC&amp;SortOrder=Year" TargetMode="External"/><Relationship Id="rId64" Type="http://schemas.openxmlformats.org/officeDocument/2006/relationships/hyperlink" Target="http://biology.burke.washington.edu/herbarium/imagecollection/taxon.php?Taxon=Eriophorum%20gracile" TargetMode="External"/><Relationship Id="rId1425" Type="http://schemas.openxmlformats.org/officeDocument/2006/relationships/hyperlink" Target="http://biology.burke.washington.edu/herbarium/imagecollection/taxon.php?Taxon=Lupinus%20latifolius" TargetMode="External"/><Relationship Id="rId2823" Type="http://schemas.openxmlformats.org/officeDocument/2006/relationships/hyperlink" Target="http://www.burkemuseum.org/research-and-collections/botany-and-herbarium/collections/database/results.php?Genus=Cardamine&amp;Species=angulata&amp;SourcePage=search.php&amp;IncludeSynonyms=Y&amp;SortBy=DESC&amp;SortOrder=Year" TargetMode="External"/><Relationship Id="rId4995" Type="http://schemas.openxmlformats.org/officeDocument/2006/relationships/hyperlink" Target="https://en.wikipedia.org/wiki/Geranium_bicknellii" TargetMode="External"/><Relationship Id="rId7054" Type="http://schemas.openxmlformats.org/officeDocument/2006/relationships/hyperlink" Target="http://biology.burke.washington.edu/herbarium/imagecollectionnew/taxon.php?Taxon=Anemone%20oregana" TargetMode="External"/><Relationship Id="rId2199" Type="http://schemas.openxmlformats.org/officeDocument/2006/relationships/hyperlink" Target="https://plants.usda.gov/core/profile?symbol=elnu2" TargetMode="External"/><Relationship Id="rId3597" Type="http://schemas.openxmlformats.org/officeDocument/2006/relationships/hyperlink" Target="http://www.burkemuseum.org/research-and-collections/botany-and-herbarium/collections/database/results.php?Genus=Symphyotrichum&amp;Species=chilense&amp;SourcePage=search.php&amp;IncludeSynonyms=Y&amp;SortBy=DESC&amp;SortOrder=Year" TargetMode="External"/><Relationship Id="rId4648" Type="http://schemas.openxmlformats.org/officeDocument/2006/relationships/hyperlink" Target="http://www.burkemuseum.org/research-and-collections/botany-and-herbarium/collections/database/results.php?Genus=Artemisia&amp;Species=ludoviciana&amp;SourcePage=search.php&amp;IncludeSynonyms=Y&amp;SortBy=DESC&amp;SortOrder=Year" TargetMode="External"/><Relationship Id="rId6070" Type="http://schemas.openxmlformats.org/officeDocument/2006/relationships/hyperlink" Target="http://www.burkemuseum.org/research-and-collections/botany-and-herbarium/collections/database/results.php?Genus=Potamogeton&amp;Species=pusillus&amp;SourcePage=search.php&amp;IncludeSynonyms=Y&amp;SortBy=DESC&amp;SortOrder=Year" TargetMode="External"/><Relationship Id="rId3664" Type="http://schemas.openxmlformats.org/officeDocument/2006/relationships/hyperlink" Target="https://plants.usda.gov/core/profile?symbol=ANMA" TargetMode="External"/><Relationship Id="rId4715" Type="http://schemas.openxmlformats.org/officeDocument/2006/relationships/hyperlink" Target="https://en.wikipedia.org/wiki/Artemisia_suksdorfii" TargetMode="External"/><Relationship Id="rId7121" Type="http://schemas.openxmlformats.org/officeDocument/2006/relationships/hyperlink" Target="http://biology.burke.washington.edu/herbarium/imagecollectionnew/taxon.php?Taxon=Spiraea%20lucida" TargetMode="External"/><Relationship Id="rId585" Type="http://schemas.openxmlformats.org/officeDocument/2006/relationships/hyperlink" Target="https://en.wikipedia.org/wiki/Solidago_simplex" TargetMode="External"/><Relationship Id="rId2266" Type="http://schemas.openxmlformats.org/officeDocument/2006/relationships/hyperlink" Target="https://plants.usda.gov/core/profile?symbol=CLPU2" TargetMode="External"/><Relationship Id="rId2680" Type="http://schemas.openxmlformats.org/officeDocument/2006/relationships/hyperlink" Target="http://biology.burke.washington.edu/herbarium/imagecollectionnew/taxon.php?Taxon=Arnica%20longifolia" TargetMode="External"/><Relationship Id="rId3317" Type="http://schemas.openxmlformats.org/officeDocument/2006/relationships/hyperlink" Target="http://www.burkemuseum.org/research-and-collections/botany-and-herbarium/collections/database/results.php?Genus=Salix&amp;Species=prolixa&amp;SourcePage=search.php&amp;IncludeSynonyms=Y&amp;SortBy=DESC&amp;SortOrder=Year" TargetMode="External"/><Relationship Id="rId3731" Type="http://schemas.openxmlformats.org/officeDocument/2006/relationships/hyperlink" Target="https://plants.usda.gov/core/profile?symbol=BOMU" TargetMode="External"/><Relationship Id="rId6887" Type="http://schemas.openxmlformats.org/officeDocument/2006/relationships/hyperlink" Target="http://biology.burke.washington.edu/herbarium/imagecollectionnew/taxon.php?Taxon=Salicornia%20perennis" TargetMode="External"/><Relationship Id="rId238" Type="http://schemas.openxmlformats.org/officeDocument/2006/relationships/hyperlink" Target="http://biology.burke.washington.edu/herbarium/imagecollection/taxon.php?Taxon=Potamogeton%20richardsonii" TargetMode="External"/><Relationship Id="rId652" Type="http://schemas.openxmlformats.org/officeDocument/2006/relationships/hyperlink" Target="https://en.wikipedia.org/wiki/Ribes_cereum" TargetMode="External"/><Relationship Id="rId1282" Type="http://schemas.openxmlformats.org/officeDocument/2006/relationships/hyperlink" Target="http://biology.burke.washington.edu/herbarium/imagecollection/taxon.php?Taxon=Poa%20laxiflora" TargetMode="External"/><Relationship Id="rId2333" Type="http://schemas.openxmlformats.org/officeDocument/2006/relationships/hyperlink" Target="https://plants.usda.gov/core/profile?symbol=CAMO32" TargetMode="External"/><Relationship Id="rId5489" Type="http://schemas.openxmlformats.org/officeDocument/2006/relationships/hyperlink" Target="https://en.wikipedia.org/wiki/Utricularia_vulgaris" TargetMode="External"/><Relationship Id="rId305" Type="http://schemas.openxmlformats.org/officeDocument/2006/relationships/hyperlink" Target="http://biology.burke.washington.edu/herbarium/imagecollectionnew/taxon.php?Taxon=Arnica%20lanceolata" TargetMode="External"/><Relationship Id="rId2400" Type="http://schemas.openxmlformats.org/officeDocument/2006/relationships/hyperlink" Target="http://plants.usda.gov/java/profile?symbol=ANGE2" TargetMode="External"/><Relationship Id="rId5556" Type="http://schemas.openxmlformats.org/officeDocument/2006/relationships/hyperlink" Target="http://www.burkemuseum.org/research-and-collections/botany-and-herbarium/collections/database/results.php?Genus=Calypso&amp;Species=bulbosa&amp;SourcePage=search.php&amp;IncludeSynonyms=Y&amp;SortBy=DESC&amp;SortOrder=Year" TargetMode="External"/><Relationship Id="rId6607" Type="http://schemas.openxmlformats.org/officeDocument/2006/relationships/hyperlink" Target="http://biology.burke.washington.edu/herbarium/imagecollection/taxon.php?Taxon=Petasites%20frigidus" TargetMode="External"/><Relationship Id="rId6954" Type="http://schemas.openxmlformats.org/officeDocument/2006/relationships/hyperlink" Target="http://biology.burke.washington.edu/herbarium/imagecollection/taxon.php?Taxon=Lathyrus%20nevadensis" TargetMode="External"/><Relationship Id="rId1002" Type="http://schemas.openxmlformats.org/officeDocument/2006/relationships/hyperlink" Target="http://en.wikipedia.org/wiki/Arctostaphylos_uva-ursi" TargetMode="External"/><Relationship Id="rId4158" Type="http://schemas.openxmlformats.org/officeDocument/2006/relationships/hyperlink" Target="https://plants.usda.gov/core/profile?symbol=MYQU" TargetMode="External"/><Relationship Id="rId5209" Type="http://schemas.openxmlformats.org/officeDocument/2006/relationships/hyperlink" Target="https://en.wikipedia.org/wiki/Pentagramma_triangularis" TargetMode="External"/><Relationship Id="rId5970" Type="http://schemas.openxmlformats.org/officeDocument/2006/relationships/hyperlink" Target="http://www.burkemuseum.org/research-and-collections/botany-and-herbarium/collections/database/results.php?Genus=Nothochelone&amp;Species=nemorosa&amp;SourcePage=search.php&amp;IncludeSynonyms=Y&amp;SortBy=DESC&amp;SortOrder=Year" TargetMode="External"/><Relationship Id="rId3174" Type="http://schemas.openxmlformats.org/officeDocument/2006/relationships/hyperlink" Target="http://www.burkemuseum.org/research-and-collections/botany-and-herbarium/collections/database/results.php?Genus=Oplopanax&amp;Species=horridus&amp;SourcePage=search.php&amp;IncludeSynonyms=Y&amp;SortBy=DESC&amp;SortOrder=Year" TargetMode="External"/><Relationship Id="rId4572" Type="http://schemas.openxmlformats.org/officeDocument/2006/relationships/hyperlink" Target="https://en.wikipedia.org/wiki/Andromeda_polifolia" TargetMode="External"/><Relationship Id="rId5623" Type="http://schemas.openxmlformats.org/officeDocument/2006/relationships/hyperlink" Target="http://www.burkemuseum.org/research-and-collections/botany-and-herbarium/collections/database/results.php?Genus=Ceratophyllum&amp;Species=demersum&amp;SourcePage=search.php&amp;IncludeSynonyms=Y&amp;SortBy=DESC&amp;SortOrder=Year" TargetMode="External"/><Relationship Id="rId1819" Type="http://schemas.openxmlformats.org/officeDocument/2006/relationships/hyperlink" Target="http://plants.usda.gov/java/profile?symbol=SCGA" TargetMode="External"/><Relationship Id="rId4225" Type="http://schemas.openxmlformats.org/officeDocument/2006/relationships/hyperlink" Target="https://plants.usda.gov/core/profile?symbol=PLFI" TargetMode="External"/><Relationship Id="rId2190" Type="http://schemas.openxmlformats.org/officeDocument/2006/relationships/hyperlink" Target="https://plants.usda.gov/core/profile?symbol=EPTO4" TargetMode="External"/><Relationship Id="rId3241" Type="http://schemas.openxmlformats.org/officeDocument/2006/relationships/hyperlink" Target="http://www.burkemuseum.org/research-and-collections/botany-and-herbarium/collections/database/results.php?Genus=Potamogeton&amp;Species=nodosus&amp;SourcePage=search.php&amp;IncludeSynonyms=Y&amp;SortBy=DESC&amp;SortOrder=Year" TargetMode="External"/><Relationship Id="rId6397" Type="http://schemas.openxmlformats.org/officeDocument/2006/relationships/hyperlink" Target="http://biology.burke.washington.edu/herbarium/imagecollectionnew/taxon.php?Taxon=Sceptridium%20multifidum" TargetMode="External"/><Relationship Id="rId162" Type="http://schemas.openxmlformats.org/officeDocument/2006/relationships/hyperlink" Target="http://biology.burke.washington.edu/herbarium/imagecollection/taxon.php?Taxon=Epilobium%20densiflorum" TargetMode="External"/><Relationship Id="rId6464" Type="http://schemas.openxmlformats.org/officeDocument/2006/relationships/hyperlink" Target="http://biology.burke.washington.edu/herbarium/imagecollectionnew/taxon.php?Taxon=Dichelostemma%20congestum" TargetMode="External"/><Relationship Id="rId979" Type="http://schemas.openxmlformats.org/officeDocument/2006/relationships/hyperlink" Target="http://en.wikipedia.org/wiki/Bidens_beckii" TargetMode="External"/><Relationship Id="rId5066" Type="http://schemas.openxmlformats.org/officeDocument/2006/relationships/hyperlink" Target="https://en.wikipedia.org/wiki/Lathyrus_palustris" TargetMode="External"/><Relationship Id="rId5480" Type="http://schemas.openxmlformats.org/officeDocument/2006/relationships/hyperlink" Target="https://en.wikipedia.org/wiki/Tsuga_heterophylla" TargetMode="External"/><Relationship Id="rId6117" Type="http://schemas.openxmlformats.org/officeDocument/2006/relationships/hyperlink" Target="http://www.burkemuseum.org/research-and-collections/botany-and-herbarium/collections/database/results.php?Genus=Ribes&amp;Species=cereum&amp;SourcePage=search.php&amp;IncludeSynonyms=Y&amp;SortBy=DESC&amp;SortOrder=Year" TargetMode="External"/><Relationship Id="rId6531" Type="http://schemas.openxmlformats.org/officeDocument/2006/relationships/hyperlink" Target="http://biology.burke.washington.edu/herbarium/imagecollectionnew/taxon.php?Taxon=Huperzia%20miyoshiana" TargetMode="External"/><Relationship Id="rId4082" Type="http://schemas.openxmlformats.org/officeDocument/2006/relationships/hyperlink" Target="https://plants.usda.gov/core/profile?symbol=LOKA" TargetMode="External"/><Relationship Id="rId5133" Type="http://schemas.openxmlformats.org/officeDocument/2006/relationships/hyperlink" Target="https://en.wikipedia.org/wiki/Mertensia_platyphylla" TargetMode="External"/><Relationship Id="rId1676" Type="http://schemas.openxmlformats.org/officeDocument/2006/relationships/hyperlink" Target="http://biology.burke.washington.edu/herbarium/imagecollectionnew/taxon.php?Taxon=Allium%20acuminatum" TargetMode="External"/><Relationship Id="rId2727" Type="http://schemas.openxmlformats.org/officeDocument/2006/relationships/hyperlink" Target="http://www.burkemuseum.org/research-and-collections/botany-and-herbarium/collections/database/results.php?Genus=Agoseris&amp;Species=apargioides&amp;SourcePage=search.php&amp;IncludeSynonyms=Y&amp;SortBy=DESC&amp;SortOrder=Year" TargetMode="External"/><Relationship Id="rId1329" Type="http://schemas.openxmlformats.org/officeDocument/2006/relationships/hyperlink" Target="http://biology.burke.washington.edu/herbarium/imagecollection/taxon.php?Taxon=Rubus%20nutkanus" TargetMode="External"/><Relationship Id="rId1743" Type="http://schemas.openxmlformats.org/officeDocument/2006/relationships/hyperlink" Target="https://plants.usda.gov/core/profile?symbol=ARGL" TargetMode="External"/><Relationship Id="rId4899" Type="http://schemas.openxmlformats.org/officeDocument/2006/relationships/hyperlink" Target="https://en.wikipedia.org/wiki/Deschampsia_cespitosa" TargetMode="External"/><Relationship Id="rId5200" Type="http://schemas.openxmlformats.org/officeDocument/2006/relationships/hyperlink" Target="https://en.wikipedia.org/wiki/Pectiantia_ovalis" TargetMode="External"/><Relationship Id="rId35" Type="http://schemas.openxmlformats.org/officeDocument/2006/relationships/hyperlink" Target="http://biology.burke.washington.edu/herbarium/imagecollection/taxon.php?Taxon=Hieracium%20albiflorum" TargetMode="External"/><Relationship Id="rId1810" Type="http://schemas.openxmlformats.org/officeDocument/2006/relationships/hyperlink" Target="http://plants.usda.gov/java/profile?symbol=SIHE4" TargetMode="External"/><Relationship Id="rId4966" Type="http://schemas.openxmlformats.org/officeDocument/2006/relationships/hyperlink" Target="https://en.wikipedia.org/wiki/Festuca_idahoensis" TargetMode="External"/><Relationship Id="rId3568" Type="http://schemas.openxmlformats.org/officeDocument/2006/relationships/hyperlink" Target="http://www.burkemuseum.org/research-and-collections/botany-and-herbarium/collections/database/results.php?Genus=Rhododendron&amp;Species=macrophyllum&amp;SourcePage=search.php&amp;IncludeSynonyms=Y&amp;SortBy=DESC&amp;SortOrder=Year" TargetMode="External"/><Relationship Id="rId3982" Type="http://schemas.openxmlformats.org/officeDocument/2006/relationships/hyperlink" Target="https://plants.usda.gov/core/profile?symbol=GICA5" TargetMode="External"/><Relationship Id="rId4619" Type="http://schemas.openxmlformats.org/officeDocument/2006/relationships/hyperlink" Target="http://www.burkemuseum.org/research-and-collections/botany-and-herbarium/collections/database/results.php?Genus=Anemone&amp;Species=multifida&amp;SourcePage=search.php&amp;IncludeSynonyms=Y&amp;SortBy=DESC&amp;SortOrder=Year" TargetMode="External"/><Relationship Id="rId7025" Type="http://schemas.openxmlformats.org/officeDocument/2006/relationships/hyperlink" Target="http://biology.burke.washington.edu/herbarium/imagecollectionnew/taxon.php?Taxon=Carex%20inops" TargetMode="External"/><Relationship Id="rId489" Type="http://schemas.openxmlformats.org/officeDocument/2006/relationships/hyperlink" Target="http://biology.burke.washington.edu/herbarium/imagecollection/taxon.php?Taxon=Equisetum%20variegatum" TargetMode="External"/><Relationship Id="rId2584" Type="http://schemas.openxmlformats.org/officeDocument/2006/relationships/hyperlink" Target="http://plants.usda.gov/java/profile?symbol=CUNO" TargetMode="External"/><Relationship Id="rId3635" Type="http://schemas.openxmlformats.org/officeDocument/2006/relationships/hyperlink" Target="https://plants.usda.gov/core/profile?symbol=acel4" TargetMode="External"/><Relationship Id="rId6041" Type="http://schemas.openxmlformats.org/officeDocument/2006/relationships/hyperlink" Target="http://www.burkemuseum.org/research-and-collections/botany-and-herbarium/collections/database/results.php?Genus=Pleuropogon&amp;Species=refractus&amp;SourcePage=search.php&amp;IncludeSynonyms=Y&amp;SortBy=DESC&amp;SortOrder=Year" TargetMode="External"/><Relationship Id="rId556" Type="http://schemas.openxmlformats.org/officeDocument/2006/relationships/hyperlink" Target="https://en.wikipedia.org/wiki/Synthyris_reniformis" TargetMode="External"/><Relationship Id="rId1186" Type="http://schemas.openxmlformats.org/officeDocument/2006/relationships/hyperlink" Target="http://biology.burke.washington.edu/herbarium/imagecollectionnew/taxon.php?Taxon=Trillium%20ovatum" TargetMode="External"/><Relationship Id="rId2237" Type="http://schemas.openxmlformats.org/officeDocument/2006/relationships/hyperlink" Target="https://plants.usda.gov/core/profile?symbol=CRAC3" TargetMode="External"/><Relationship Id="rId209" Type="http://schemas.openxmlformats.org/officeDocument/2006/relationships/hyperlink" Target="http://biology.burke.washington.edu/herbarium/imagecollection/taxon.php?Taxon=Galium%20oreganum" TargetMode="External"/><Relationship Id="rId970" Type="http://schemas.openxmlformats.org/officeDocument/2006/relationships/hyperlink" Target="https://en.wikipedia.org/wiki/Boykinia_intermedia" TargetMode="External"/><Relationship Id="rId1253" Type="http://schemas.openxmlformats.org/officeDocument/2006/relationships/hyperlink" Target="https://en.wikipedia.org/wiki/Isoetes_nuttallii" TargetMode="External"/><Relationship Id="rId2651" Type="http://schemas.openxmlformats.org/officeDocument/2006/relationships/hyperlink" Target="http://biology.burke.washington.edu/herbarium/imagecollection/taxon.php?Taxon=Aphyllon%20californicum" TargetMode="External"/><Relationship Id="rId3702" Type="http://schemas.openxmlformats.org/officeDocument/2006/relationships/hyperlink" Target="https://plants.usda.gov/core/profile?symbol=ARMI4" TargetMode="External"/><Relationship Id="rId6858" Type="http://schemas.openxmlformats.org/officeDocument/2006/relationships/hyperlink" Target="http://biology.burke.washington.edu/herbarium/imagecollection/taxon.php?Taxon=Aphyllon%20californicum" TargetMode="External"/><Relationship Id="rId623" Type="http://schemas.openxmlformats.org/officeDocument/2006/relationships/hyperlink" Target="https://en.wikipedia.org/wiki/Salix_melanopsis" TargetMode="External"/><Relationship Id="rId2304" Type="http://schemas.openxmlformats.org/officeDocument/2006/relationships/hyperlink" Target="http://plants.usda.gov/java/profile?symbol=CAPR7" TargetMode="External"/><Relationship Id="rId5874" Type="http://schemas.openxmlformats.org/officeDocument/2006/relationships/hyperlink" Target="http://www.burkemuseum.org/research-and-collections/botany-and-herbarium/collections/database/results.php?Genus=Ligusticum&amp;Species=apiifolium&amp;SourcePage=search.php&amp;IncludeSynonyms=Y&amp;SortBy=DESC&amp;SortOrder=Year" TargetMode="External"/><Relationship Id="rId6925" Type="http://schemas.openxmlformats.org/officeDocument/2006/relationships/hyperlink" Target="http://biology.burke.washington.edu/herbarium/imagecollection/taxon.php?Taxon=Navarretia%20squarrosa" TargetMode="External"/><Relationship Id="rId1320" Type="http://schemas.openxmlformats.org/officeDocument/2006/relationships/hyperlink" Target="https://plants.usda.gov/core/profile?symbol=SALE" TargetMode="External"/><Relationship Id="rId4476" Type="http://schemas.openxmlformats.org/officeDocument/2006/relationships/hyperlink" Target="https://plants.usda.gov/core/profile?symbol=TRPE4" TargetMode="External"/><Relationship Id="rId4890" Type="http://schemas.openxmlformats.org/officeDocument/2006/relationships/hyperlink" Target="https://en.wikipedia.org/wiki/Darmera_peltata" TargetMode="External"/><Relationship Id="rId5527" Type="http://schemas.openxmlformats.org/officeDocument/2006/relationships/hyperlink" Target="https://en.wikipedia.org/wiki/Zannichellia_palustris" TargetMode="External"/><Relationship Id="rId5941" Type="http://schemas.openxmlformats.org/officeDocument/2006/relationships/hyperlink" Target="http://www.burkemuseum.org/research-and-collections/botany-and-herbarium/collections/database/results.php?Genus=Microsteris&amp;Species=gracilis&amp;SourcePage=search.php&amp;IncludeSynonyms=Y&amp;SortBy=DESC&amp;SortOrder=Year" TargetMode="External"/><Relationship Id="rId3078" Type="http://schemas.openxmlformats.org/officeDocument/2006/relationships/hyperlink" Target="http://www.burkemuseum.org/research-and-collections/botany-and-herbarium/collections/database/results.php?Genus=Lathyrus&amp;Species=palustris&amp;SourcePage=search.php&amp;IncludeSynonyms=Y&amp;SortBy=DESC&amp;SortOrder=Year" TargetMode="External"/><Relationship Id="rId3492" Type="http://schemas.openxmlformats.org/officeDocument/2006/relationships/hyperlink" Target="http://www.burkemuseum.org/research-and-collections/botany-and-herbarium/collections/database/results.php?Genus=Dodecatheon&amp;Species=hendersonii&amp;SourcePage=search.php&amp;IncludeSynonyms=Y&amp;SortBy=DESC&amp;SortOrder=Year" TargetMode="External"/><Relationship Id="rId4129" Type="http://schemas.openxmlformats.org/officeDocument/2006/relationships/hyperlink" Target="https://plants.usda.gov/core/profile?symbol=MEAR4" TargetMode="External"/><Relationship Id="rId4543" Type="http://schemas.openxmlformats.org/officeDocument/2006/relationships/hyperlink" Target="https://en.wikipedia.org/wiki/Adiantum_aleuticum" TargetMode="External"/><Relationship Id="rId2094" Type="http://schemas.openxmlformats.org/officeDocument/2006/relationships/hyperlink" Target="http://plants.usda.gov/java/profile?symbol=JUEF" TargetMode="External"/><Relationship Id="rId3145" Type="http://schemas.openxmlformats.org/officeDocument/2006/relationships/hyperlink" Target="http://www.burkemuseum.org/research-and-collections/botany-and-herbarium/collections/database/results.php?Genus=Moehringia&amp;Species=lateriflora&amp;SourcePage=search.php&amp;IncludeSynonyms=Y&amp;SortBy=DESC&amp;SortOrder=Year" TargetMode="External"/><Relationship Id="rId4610" Type="http://schemas.openxmlformats.org/officeDocument/2006/relationships/hyperlink" Target="http://www.burkemuseum.org/research-and-collections/botany-and-herbarium/collections/database/results.php?Genus=Ambrosia&amp;Species=chamissonis&amp;SourcePage=search.php&amp;IncludeSynonyms=Y&amp;SortBy=DESC&amp;SortOrder=Year" TargetMode="External"/><Relationship Id="rId480" Type="http://schemas.openxmlformats.org/officeDocument/2006/relationships/hyperlink" Target="http://biology.burke.washington.edu/herbarium/imagecollectionnew/taxon.php?Taxon=Viola%20langsdorffii" TargetMode="External"/><Relationship Id="rId2161" Type="http://schemas.openxmlformats.org/officeDocument/2006/relationships/hyperlink" Target="http://plants.usda.gov/java/profile?symbol=FEOC" TargetMode="External"/><Relationship Id="rId3212" Type="http://schemas.openxmlformats.org/officeDocument/2006/relationships/hyperlink" Target="http://www.burkemuseum.org/research-and-collections/botany-and-herbarium/collections/database/results.php?Genus=Plantago&amp;Species=maritima&amp;SourcePage=search.php&amp;IncludeSynonyms=Y&amp;SortBy=DESC&amp;SortOrder=Year" TargetMode="External"/><Relationship Id="rId6368" Type="http://schemas.openxmlformats.org/officeDocument/2006/relationships/hyperlink" Target="http://biology.burke.washington.edu/herbarium/imagecollectionnew/taxon.php?Taxon=Andromeda%20polifolia" TargetMode="External"/><Relationship Id="rId133" Type="http://schemas.openxmlformats.org/officeDocument/2006/relationships/hyperlink" Target="http://biology.burke.washington.edu/herbarium/imagecollection/taxon.php?Taxon=Juncus%20ensifolius" TargetMode="External"/><Relationship Id="rId5384" Type="http://schemas.openxmlformats.org/officeDocument/2006/relationships/hyperlink" Target="https://en.wikipedia.org/wiki/Schoenoplectus_tabernaemontani" TargetMode="External"/><Relationship Id="rId6782" Type="http://schemas.openxmlformats.org/officeDocument/2006/relationships/hyperlink" Target="http://biology.burke.washington.edu/herbarium/imagecollectionnew/taxon.php?Taxon=Filipendula%20occidentalis" TargetMode="External"/><Relationship Id="rId200" Type="http://schemas.openxmlformats.org/officeDocument/2006/relationships/hyperlink" Target="http://biology.burke.washington.edu/herbarium/imagecollection/taxon.php?Taxon=Myosurus%20minimus" TargetMode="External"/><Relationship Id="rId2978" Type="http://schemas.openxmlformats.org/officeDocument/2006/relationships/hyperlink" Target="http://www.burkemuseum.org/research-and-collections/botany-and-herbarium/collections/database/results.php?Genus=Eriophorum&amp;Species=chamissonis&amp;SourcePage=search.php&amp;IncludeSynonyms=Y&amp;SortBy=DESC&amp;SortOrder=Year" TargetMode="External"/><Relationship Id="rId5037" Type="http://schemas.openxmlformats.org/officeDocument/2006/relationships/hyperlink" Target="https://en.wikipedia.org/wiki/Hypericum_scouleri" TargetMode="External"/><Relationship Id="rId6435" Type="http://schemas.openxmlformats.org/officeDocument/2006/relationships/hyperlink" Target="http://biology.burke.washington.edu/herbarium/imagecollectionnew/taxon.php?Taxon=Claytonia%20perfoliata" TargetMode="External"/><Relationship Id="rId1994" Type="http://schemas.openxmlformats.org/officeDocument/2006/relationships/hyperlink" Target="http://plants.usda.gov/java/profile?symbol=MYVE3" TargetMode="External"/><Relationship Id="rId5451" Type="http://schemas.openxmlformats.org/officeDocument/2006/relationships/hyperlink" Target="https://en.wikipedia.org/wiki/Synthyris_reniformis" TargetMode="External"/><Relationship Id="rId6502" Type="http://schemas.openxmlformats.org/officeDocument/2006/relationships/hyperlink" Target="http://biology.burke.washington.edu/herbarium/imagecollection/taxon.php?Taxon=Galium%20boreale" TargetMode="External"/><Relationship Id="rId1647" Type="http://schemas.openxmlformats.org/officeDocument/2006/relationships/hyperlink" Target="http://biology.burke.washington.edu/herbarium/imagecollection/taxon.php?Taxon=Salix%20lasiolepis" TargetMode="External"/><Relationship Id="rId4053" Type="http://schemas.openxmlformats.org/officeDocument/2006/relationships/hyperlink" Target="https://plants.usda.gov/core/profile?symbol=LAGL3" TargetMode="External"/><Relationship Id="rId5104" Type="http://schemas.openxmlformats.org/officeDocument/2006/relationships/hyperlink" Target="https://en.wikipedia.org/wiki/Lupinus_polyphyllus" TargetMode="External"/><Relationship Id="rId1714" Type="http://schemas.openxmlformats.org/officeDocument/2006/relationships/hyperlink" Target="http://plants.usda.gov/java/profile?symbol=VUMI" TargetMode="External"/><Relationship Id="rId4120" Type="http://schemas.openxmlformats.org/officeDocument/2006/relationships/hyperlink" Target="https://plants.usda.gov/core/profile?symbol=MARA7" TargetMode="External"/><Relationship Id="rId6292" Type="http://schemas.openxmlformats.org/officeDocument/2006/relationships/hyperlink" Target="http://www.burkemuseum.org/research-and-collections/botany-and-herbarium/collections/database/results.php?Genus=Vaccinium&amp;Species=oxycoccos&amp;SourcePage=search.php&amp;IncludeSynonyms=Y&amp;SortBy=DESC&amp;SortOrder=Year" TargetMode="External"/><Relationship Id="rId2488" Type="http://schemas.openxmlformats.org/officeDocument/2006/relationships/hyperlink" Target="http://plants.usda.gov/java/profile?symbol=RHMA3" TargetMode="External"/><Relationship Id="rId3886" Type="http://schemas.openxmlformats.org/officeDocument/2006/relationships/hyperlink" Target="https://plants.usda.gov/core/profile?symbol=LYDE" TargetMode="External"/><Relationship Id="rId4937" Type="http://schemas.openxmlformats.org/officeDocument/2006/relationships/hyperlink" Target="https://en.wikipedia.org/wiki/Equisetum_palustre" TargetMode="External"/><Relationship Id="rId3539" Type="http://schemas.openxmlformats.org/officeDocument/2006/relationships/hyperlink" Target="http://www.burkemuseum.org/research-and-collections/botany-and-herbarium/collections/database/results.php?Genus=Olsynium&amp;Species=douglasii&amp;SourcePage=search.php&amp;IncludeSynonyms=Y&amp;SortBy=DESC&amp;SortOrder=Year" TargetMode="External"/><Relationship Id="rId3953" Type="http://schemas.openxmlformats.org/officeDocument/2006/relationships/hyperlink" Target="https://plants.usda.gov/core/profile?symbol=FEID" TargetMode="External"/><Relationship Id="rId6012" Type="http://schemas.openxmlformats.org/officeDocument/2006/relationships/hyperlink" Target="http://www.burkemuseum.org/research-and-collections/botany-and-herbarium/collections/database/results.php?Genus=Persicaria&amp;Species=lapathifolia&amp;SourcePage=search.php&amp;IncludeSynonyms=Y&amp;SortBy=DESC&amp;SortOrder=Year" TargetMode="External"/><Relationship Id="rId874" Type="http://schemas.openxmlformats.org/officeDocument/2006/relationships/hyperlink" Target="http://en.wikipedia.org/wiki/Lysimachia_thyrsiflora" TargetMode="External"/><Relationship Id="rId2555" Type="http://schemas.openxmlformats.org/officeDocument/2006/relationships/hyperlink" Target="http://plants.usda.gov/java/profile?symbol=FRAF2" TargetMode="External"/><Relationship Id="rId3606" Type="http://schemas.openxmlformats.org/officeDocument/2006/relationships/hyperlink" Target="http://www.burkemuseum.org/research-and-collections/botany-and-herbarium/collections/database/results.php?Genus=Vaccinium&amp;Species=deliciosum&amp;SourcePage=search.php&amp;IncludeSynonyms=Y&amp;SortBy=DESC&amp;SortOrder=Year" TargetMode="External"/><Relationship Id="rId527" Type="http://schemas.openxmlformats.org/officeDocument/2006/relationships/hyperlink" Target="https://en.wikipedia.org/wiki/Utricularia_minor" TargetMode="External"/><Relationship Id="rId941" Type="http://schemas.openxmlformats.org/officeDocument/2006/relationships/hyperlink" Target="http://en.wikipedia.org/wiki/Carex_echinata" TargetMode="External"/><Relationship Id="rId1157" Type="http://schemas.openxmlformats.org/officeDocument/2006/relationships/hyperlink" Target="https://en.wikipedia.org/wiki/Githopsis_specularioides" TargetMode="External"/><Relationship Id="rId1571" Type="http://schemas.openxmlformats.org/officeDocument/2006/relationships/hyperlink" Target="https://en.wikipedia.org/wiki/Carex_pansa" TargetMode="External"/><Relationship Id="rId2208" Type="http://schemas.openxmlformats.org/officeDocument/2006/relationships/hyperlink" Target="http://plants.usda.gov/java/profile?symbol=DREX2" TargetMode="External"/><Relationship Id="rId2622" Type="http://schemas.openxmlformats.org/officeDocument/2006/relationships/hyperlink" Target="http://biology.burke.washington.edu/herbarium/imagecollectionnew/taxon.php?Taxon=Silene%20antirrhina" TargetMode="External"/><Relationship Id="rId5778" Type="http://schemas.openxmlformats.org/officeDocument/2006/relationships/hyperlink" Target="http://www.burkemuseum.org/research-and-collections/botany-and-herbarium/collections/database/results.php?Genus=Geranium&amp;Species=bicknellii&amp;SourcePage=search.php&amp;IncludeSynonyms=Y&amp;SortBy=DESC&amp;SortOrder=Year" TargetMode="External"/><Relationship Id="rId6829" Type="http://schemas.openxmlformats.org/officeDocument/2006/relationships/hyperlink" Target="http://biology.burke.washington.edu/herbarium/imagecollectionnew/taxon.php?Taxon=Carex%20cusickii" TargetMode="External"/><Relationship Id="rId1224" Type="http://schemas.openxmlformats.org/officeDocument/2006/relationships/hyperlink" Target="https://en.wikipedia.org/wiki/Sequoia_sempervirens" TargetMode="External"/><Relationship Id="rId4794" Type="http://schemas.openxmlformats.org/officeDocument/2006/relationships/hyperlink" Target="https://en.wikipedia.org/wiki/Carex_lyngbyei" TargetMode="External"/><Relationship Id="rId5845" Type="http://schemas.openxmlformats.org/officeDocument/2006/relationships/hyperlink" Target="http://www.burkemuseum.org/research-and-collections/botany-and-herbarium/collections/database/results.php?Genus=Juncus&amp;Species=tenuis&amp;SourcePage=search.php&amp;IncludeSynonyms=Y&amp;SortBy=DESC&amp;SortOrder=Year" TargetMode="External"/><Relationship Id="rId3396" Type="http://schemas.openxmlformats.org/officeDocument/2006/relationships/hyperlink" Target="http://www.burkemuseum.org/research-and-collections/botany-and-herbarium/collections/database/results.php?Genus=Trautvetteria&amp;Species=caroliniensis&amp;SourcePage=search.php&amp;IncludeSynonyms=Y&amp;SortBy=DESC&amp;SortOrder=Year" TargetMode="External"/><Relationship Id="rId4447" Type="http://schemas.openxmlformats.org/officeDocument/2006/relationships/hyperlink" Target="https://plants.usda.gov/core/profile?symbol=SYCH4" TargetMode="External"/><Relationship Id="rId3049" Type="http://schemas.openxmlformats.org/officeDocument/2006/relationships/hyperlink" Target="http://www.burkemuseum.org/research-and-collections/botany-and-herbarium/collections/database/results.php?Genus=Hypericum&amp;Species=majus&amp;SourcePage=search.php&amp;IncludeSynonyms=Y&amp;SortBy=DESC&amp;SortOrder=Year" TargetMode="External"/><Relationship Id="rId3463" Type="http://schemas.openxmlformats.org/officeDocument/2006/relationships/hyperlink" Target="http://www.burkemuseum.org/research-and-collections/botany-and-herbarium/collections/database/results.php?Genus=Arctostaphylos&amp;Species=media&amp;SourcePage=search.php&amp;IncludeSynonyms=Y&amp;SortBy=DESC&amp;SortOrder=Year" TargetMode="External"/><Relationship Id="rId4861" Type="http://schemas.openxmlformats.org/officeDocument/2006/relationships/hyperlink" Target="https://en.wikipedia.org/wiki/Collomia_linearis" TargetMode="External"/><Relationship Id="rId5912" Type="http://schemas.openxmlformats.org/officeDocument/2006/relationships/hyperlink" Target="http://www.burkemuseum.org/research-and-collections/botany-and-herbarium/collections/database/results.php?Genus=Lysimachia&amp;Species=europaea&amp;SourcePage=search.php&amp;IncludeSynonyms=Y&amp;SortBy=DESC&amp;SortOrder=Year" TargetMode="External"/><Relationship Id="rId384" Type="http://schemas.openxmlformats.org/officeDocument/2006/relationships/hyperlink" Target="http://biology.burke.washington.edu/herbarium/imagecollectionnew/taxon.php?Taxon=Crassula%20connata" TargetMode="External"/><Relationship Id="rId2065" Type="http://schemas.openxmlformats.org/officeDocument/2006/relationships/hyperlink" Target="https://plants.usda.gov/core/profile?symbol=LIOC" TargetMode="External"/><Relationship Id="rId3116" Type="http://schemas.openxmlformats.org/officeDocument/2006/relationships/hyperlink" Target="http://www.burkemuseum.org/research-and-collections/botany-and-herbarium/collections/database/results.php?Genus=Lycopodiella&amp;Species=inundata&amp;SourcePage=search.php&amp;IncludeSynonyms=Y&amp;SortBy=DESC&amp;SortOrder=Year" TargetMode="External"/><Relationship Id="rId4514" Type="http://schemas.openxmlformats.org/officeDocument/2006/relationships/hyperlink" Target="https://plants.usda.gov/core/profile?symbol=VIHO" TargetMode="External"/><Relationship Id="rId1081" Type="http://schemas.openxmlformats.org/officeDocument/2006/relationships/hyperlink" Target="https://en.wikipedia.org/wiki/Lomatium_dissectum" TargetMode="External"/><Relationship Id="rId3530" Type="http://schemas.openxmlformats.org/officeDocument/2006/relationships/hyperlink" Target="http://www.burkemuseum.org/research-and-collections/botany-and-herbarium/collections/database/results.php?Genus=Maianthemum&amp;Species=dilatatum&amp;SourcePage=search.php&amp;IncludeSynonyms=Y&amp;SortBy=DESC&amp;SortOrder=Year" TargetMode="External"/><Relationship Id="rId6686" Type="http://schemas.openxmlformats.org/officeDocument/2006/relationships/hyperlink" Target="http://biology.burke.washington.edu/herbarium/imagecollection/taxon.php?Taxon=Polygonum%20douglasii" TargetMode="External"/><Relationship Id="rId451" Type="http://schemas.openxmlformats.org/officeDocument/2006/relationships/hyperlink" Target="http://biology.burke.washington.edu/herbarium/imagecollectionnew/taxon.php?Taxon=Delphinium%20menziesii" TargetMode="External"/><Relationship Id="rId2132" Type="http://schemas.openxmlformats.org/officeDocument/2006/relationships/hyperlink" Target="http://plants.usda.gov/java/profile?symbol=GREB" TargetMode="External"/><Relationship Id="rId5288" Type="http://schemas.openxmlformats.org/officeDocument/2006/relationships/hyperlink" Target="https://en.wikipedia.org/wiki/Pteridium_aquilinum" TargetMode="External"/><Relationship Id="rId6339" Type="http://schemas.openxmlformats.org/officeDocument/2006/relationships/hyperlink" Target="http://biology.burke.washington.edu/herbarium/imagecollection/taxon.php?Taxon=Abies%20grandis" TargetMode="External"/><Relationship Id="rId6753" Type="http://schemas.openxmlformats.org/officeDocument/2006/relationships/hyperlink" Target="http://biology.burke.washington.edu/herbarium/imagecollectionnew/taxon.php?Taxon=Kopsiopsis%20hookeri" TargetMode="External"/><Relationship Id="rId104" Type="http://schemas.openxmlformats.org/officeDocument/2006/relationships/hyperlink" Target="http://biology.burke.washington.edu/herbarium/imagecollection/taxon.php?Taxon=Lycopodiella%20inundata" TargetMode="External"/><Relationship Id="rId1898" Type="http://schemas.openxmlformats.org/officeDocument/2006/relationships/hyperlink" Target="http://plants.usda.gov/java/profile?symbol=PSTE" TargetMode="External"/><Relationship Id="rId2949" Type="http://schemas.openxmlformats.org/officeDocument/2006/relationships/hyperlink" Target="http://www.burkemuseum.org/research-and-collections/botany-and-herbarium/collections/database/results.php?Genus=Dryopteris&amp;Species=filix-mas&amp;SourcePage=search.php&amp;IncludeSynonyms=Y&amp;SortBy=DESC&amp;SortOrder=Year" TargetMode="External"/><Relationship Id="rId5355" Type="http://schemas.openxmlformats.org/officeDocument/2006/relationships/hyperlink" Target="https://en.wikipedia.org/wiki/Salix_gooddingii" TargetMode="External"/><Relationship Id="rId6406" Type="http://schemas.openxmlformats.org/officeDocument/2006/relationships/hyperlink" Target="http://biology.burke.washington.edu/herbarium/imagecollectionnew/taxon.php?Taxon=Campanula%20rotundifolia" TargetMode="External"/><Relationship Id="rId6820" Type="http://schemas.openxmlformats.org/officeDocument/2006/relationships/hyperlink" Target="http://biology.burke.washington.edu/herbarium/imagecollectionnew/taxon.php?Taxon=Castilleja%20attenuata" TargetMode="External"/><Relationship Id="rId4371" Type="http://schemas.openxmlformats.org/officeDocument/2006/relationships/hyperlink" Target="https://plants.usda.gov/core/profile?symbol=SAOF3" TargetMode="External"/><Relationship Id="rId5008" Type="http://schemas.openxmlformats.org/officeDocument/2006/relationships/hyperlink" Target="https://en.wikipedia.org/wiki/Helianthus_annuus" TargetMode="External"/><Relationship Id="rId5422" Type="http://schemas.openxmlformats.org/officeDocument/2006/relationships/hyperlink" Target="https://en.wikipedia.org/wiki/Spergularia_salina" TargetMode="External"/><Relationship Id="rId1965" Type="http://schemas.openxmlformats.org/officeDocument/2006/relationships/hyperlink" Target="https://plants.usda.gov/core/profile?symbol=pegr2" TargetMode="External"/><Relationship Id="rId4024" Type="http://schemas.openxmlformats.org/officeDocument/2006/relationships/hyperlink" Target="https://plants.usda.gov/core/profile?symbol=HYMA2" TargetMode="External"/><Relationship Id="rId1618" Type="http://schemas.openxmlformats.org/officeDocument/2006/relationships/hyperlink" Target="https://en.wikipedia.org/wiki/Huperzia" TargetMode="External"/><Relationship Id="rId3040" Type="http://schemas.openxmlformats.org/officeDocument/2006/relationships/hyperlink" Target="http://www.burkemuseum.org/research-and-collections/botany-and-herbarium/collections/database/results.php?Genus=Hippuris&amp;Species=vulgaris&amp;SourcePage=search.php&amp;IncludeSynonyms=Y&amp;SortBy=DESC&amp;SortOrder=Year" TargetMode="External"/><Relationship Id="rId6196" Type="http://schemas.openxmlformats.org/officeDocument/2006/relationships/hyperlink" Target="http://www.burkemuseum.org/research-and-collections/botany-and-herbarium/collections/database/results.php?Genus=Sequoia&amp;Species=sempervirens&amp;SourcePage=search.php&amp;IncludeSynonyms=Y&amp;SortBy=DESC&amp;SortOrder=Year" TargetMode="External"/><Relationship Id="rId3857" Type="http://schemas.openxmlformats.org/officeDocument/2006/relationships/hyperlink" Target="https://plants.usda.gov/core/profile?symbol=COUN" TargetMode="External"/><Relationship Id="rId4908" Type="http://schemas.openxmlformats.org/officeDocument/2006/relationships/hyperlink" Target="https://en.wikipedia.org/wiki/Dodecatheon_pulchellum" TargetMode="External"/><Relationship Id="rId6263" Type="http://schemas.openxmlformats.org/officeDocument/2006/relationships/hyperlink" Target="http://www.burkemuseum.org/research-and-collections/botany-and-herbarium/collections/database/results.php?Genus=Trichophorum&amp;Species=cespitosum&amp;SourcePage=search.php&amp;IncludeSynonyms=Y&amp;SortBy=DESC&amp;SortOrder=Year" TargetMode="External"/><Relationship Id="rId778" Type="http://schemas.openxmlformats.org/officeDocument/2006/relationships/hyperlink" Target="https://en.wikipedia.org/wiki/Populus_tremuloides" TargetMode="External"/><Relationship Id="rId2459" Type="http://schemas.openxmlformats.org/officeDocument/2006/relationships/hyperlink" Target="https://plants.usda.gov/core/profile?symbol=SYSU4" TargetMode="External"/><Relationship Id="rId2873" Type="http://schemas.openxmlformats.org/officeDocument/2006/relationships/hyperlink" Target="http://www.burkemuseum.org/research-and-collections/botany-and-herbarium/collections/database/results.php?Genus=Chamaecyparis&amp;Species=lawsoniana&amp;SourcePage=search.php&amp;IncludeSynonyms=Y&amp;SortBy=DESC&amp;SortOrder=Year" TargetMode="External"/><Relationship Id="rId3924" Type="http://schemas.openxmlformats.org/officeDocument/2006/relationships/hyperlink" Target="https://plants.usda.gov/core/profile?symbol=EQAR" TargetMode="External"/><Relationship Id="rId6330" Type="http://schemas.openxmlformats.org/officeDocument/2006/relationships/hyperlink" Target="http://www.burkemuseum.org/research-and-collections/botany-and-herbarium/collections/database/results.php?Genus=Elodea&amp;Species=nuttalli&amp;SourcePage=search.php&amp;IncludeSynonyms=Y&amp;SortBy=DESC&amp;SortOrder=Year" TargetMode="External"/><Relationship Id="rId845" Type="http://schemas.openxmlformats.org/officeDocument/2006/relationships/hyperlink" Target="https://en.wikipedia.org/wiki/Myosotis_laxa" TargetMode="External"/><Relationship Id="rId1475" Type="http://schemas.openxmlformats.org/officeDocument/2006/relationships/hyperlink" Target="https://en.wikipedia.org/wiki/Vancouveria_hexandra" TargetMode="External"/><Relationship Id="rId2526" Type="http://schemas.openxmlformats.org/officeDocument/2006/relationships/hyperlink" Target="http://plants.usda.gov/java/profile?symbol=MADI" TargetMode="External"/><Relationship Id="rId1128" Type="http://schemas.openxmlformats.org/officeDocument/2006/relationships/hyperlink" Target="https://en.wikipedia.org/wiki/Impatiens_noli-tangere" TargetMode="External"/><Relationship Id="rId1542" Type="http://schemas.openxmlformats.org/officeDocument/2006/relationships/hyperlink" Target="https://en.wikipedia.org/wiki/Platanthera_obtusata" TargetMode="External"/><Relationship Id="rId2940" Type="http://schemas.openxmlformats.org/officeDocument/2006/relationships/hyperlink" Target="http://www.burkemuseum.org/research-and-collections/botany-and-herbarium/collections/database/results.php?Genus=Distichlis&amp;Species=spicata&amp;SourcePage=search.php&amp;IncludeSynonyms=Y&amp;SortBy=DESC&amp;SortOrder=Year" TargetMode="External"/><Relationship Id="rId4698" Type="http://schemas.openxmlformats.org/officeDocument/2006/relationships/hyperlink" Target="https://en.wikipedia.org/wiki/Apocynum_cannabinum" TargetMode="External"/><Relationship Id="rId5749" Type="http://schemas.openxmlformats.org/officeDocument/2006/relationships/hyperlink" Target="http://www.burkemuseum.org/research-and-collections/botany-and-herbarium/collections/database/results.php?Genus=Erythronium&amp;Species=revolutum&amp;SourcePage=search.php&amp;IncludeSynonyms=Y&amp;SortBy=DESC&amp;SortOrder=Year" TargetMode="External"/><Relationship Id="rId912" Type="http://schemas.openxmlformats.org/officeDocument/2006/relationships/hyperlink" Target="http://en.wikipedia.org/wiki/Cerastium_arvense" TargetMode="External"/><Relationship Id="rId7171" Type="http://schemas.openxmlformats.org/officeDocument/2006/relationships/hyperlink" Target="http://biology.burke.washington.edu/herbarium/imagecollection/taxon.php?Taxon=Salix%20cascadensis" TargetMode="External"/><Relationship Id="rId4765" Type="http://schemas.openxmlformats.org/officeDocument/2006/relationships/hyperlink" Target="https://en.wikipedia.org/wiki/Camassia_quamash" TargetMode="External"/><Relationship Id="rId5816" Type="http://schemas.openxmlformats.org/officeDocument/2006/relationships/hyperlink" Target="http://www.burkemuseum.org/research-and-collections/botany-and-herbarium/collections/database/results.php?Genus=Hosackia&amp;Species=crassifolia&amp;SourcePage=search.php&amp;IncludeSynonyms=Y&amp;SortBy=DESC&amp;SortOrder=Year" TargetMode="External"/><Relationship Id="rId288" Type="http://schemas.openxmlformats.org/officeDocument/2006/relationships/hyperlink" Target="http://en.wikipedia.org/wiki/Agrostis_oregonensis" TargetMode="External"/><Relationship Id="rId3367" Type="http://schemas.openxmlformats.org/officeDocument/2006/relationships/hyperlink" Target="http://www.burkemuseum.org/research-and-collections/botany-and-herbarium/collections/database/results.php?Genus=Spiraea&amp;Species=pyramidata&amp;SourcePage=search.php&amp;IncludeSynonyms=Y&amp;SortBy=DESC&amp;SortOrder=Year" TargetMode="External"/><Relationship Id="rId3781" Type="http://schemas.openxmlformats.org/officeDocument/2006/relationships/hyperlink" Target="https://plants.usda.gov/core/profile?symbol=CALY3" TargetMode="External"/><Relationship Id="rId4418" Type="http://schemas.openxmlformats.org/officeDocument/2006/relationships/hyperlink" Target="https://plants.usda.gov/core/profile?symbol=SPEU" TargetMode="External"/><Relationship Id="rId4832" Type="http://schemas.openxmlformats.org/officeDocument/2006/relationships/hyperlink" Target="https://en.wikipedia.org/wiki/Chenopodium_berlandieri" TargetMode="External"/><Relationship Id="rId2383" Type="http://schemas.openxmlformats.org/officeDocument/2006/relationships/hyperlink" Target="https://plants.usda.gov/core/profile?symbol=ARCO9" TargetMode="External"/><Relationship Id="rId3434" Type="http://schemas.openxmlformats.org/officeDocument/2006/relationships/hyperlink" Target="http://www.burkemuseum.org/research-and-collections/botany-and-herbarium/collections/database/results.php?Genus=Viburnum&amp;Species=ellipticum&amp;SourcePage=search.php&amp;IncludeSynonyms=Y&amp;SortBy=DESC&amp;SortOrder=Year" TargetMode="External"/><Relationship Id="rId355" Type="http://schemas.openxmlformats.org/officeDocument/2006/relationships/hyperlink" Target="http://biology.burke.washington.edu/herbarium/imagecollectionnew/taxon.php?Taxon=Carex%20deweyana" TargetMode="External"/><Relationship Id="rId2036" Type="http://schemas.openxmlformats.org/officeDocument/2006/relationships/hyperlink" Target="http://plants.usda.gov/java/profile?symbol=LYAM3" TargetMode="External"/><Relationship Id="rId2450" Type="http://schemas.openxmlformats.org/officeDocument/2006/relationships/hyperlink" Target="http://plants.usda.gov/java/profile?symbol=VAOV2" TargetMode="External"/><Relationship Id="rId3501" Type="http://schemas.openxmlformats.org/officeDocument/2006/relationships/hyperlink" Target="http://www.burkemuseum.org/research-and-collections/botany-and-herbarium/collections/database/results.php?Genus=Fritillaria&amp;Species=affinis&amp;SourcePage=search.php&amp;IncludeSynonyms=Y&amp;SortBy=DESC&amp;SortOrder=Year" TargetMode="External"/><Relationship Id="rId6657" Type="http://schemas.openxmlformats.org/officeDocument/2006/relationships/hyperlink" Target="http://biology.burke.washington.edu/herbarium/imagecollectionnew/taxon.php?Taxon=Sanicula%20arctopoides" TargetMode="External"/><Relationship Id="rId422" Type="http://schemas.openxmlformats.org/officeDocument/2006/relationships/hyperlink" Target="http://biology.burke.washington.edu/herbarium/imagecollectionnew/taxon.php?Taxon=Oxybasis%20rubra" TargetMode="External"/><Relationship Id="rId1052" Type="http://schemas.openxmlformats.org/officeDocument/2006/relationships/hyperlink" Target="https://en.wikipedia.org/wiki/Castilleja" TargetMode="External"/><Relationship Id="rId2103" Type="http://schemas.openxmlformats.org/officeDocument/2006/relationships/hyperlink" Target="http://plants.usda.gov/java/profile?symbol=IRMI" TargetMode="External"/><Relationship Id="rId5259" Type="http://schemas.openxmlformats.org/officeDocument/2006/relationships/hyperlink" Target="https://en.wikipedia.org/wiki/Polystichum_californicum" TargetMode="External"/><Relationship Id="rId5673" Type="http://schemas.openxmlformats.org/officeDocument/2006/relationships/hyperlink" Target="http://www.burkemuseum.org/research-and-collections/botany-and-herbarium/collections/database/results.php?Genus=Cuscuta&amp;Species=cephalanthi&amp;SourcePage=search.php&amp;IncludeSynonyms=Y&amp;SortBy=DESC&amp;SortOrder=Year" TargetMode="External"/><Relationship Id="rId4275" Type="http://schemas.openxmlformats.org/officeDocument/2006/relationships/hyperlink" Target="https://plants.usda.gov/core/profile?symbol=COPA28" TargetMode="External"/><Relationship Id="rId5326" Type="http://schemas.openxmlformats.org/officeDocument/2006/relationships/hyperlink" Target="https://en.wikipedia.org/wiki/Rorippa_palustris" TargetMode="External"/><Relationship Id="rId6724" Type="http://schemas.openxmlformats.org/officeDocument/2006/relationships/hyperlink" Target="http://biology.burke.washington.edu/herbarium/imagecollection/taxon.php?Taxon=Montia%20diffusa" TargetMode="External"/><Relationship Id="rId1869" Type="http://schemas.openxmlformats.org/officeDocument/2006/relationships/hyperlink" Target="http://plants.usda.gov/java/profile?symbol=ROPA2" TargetMode="External"/><Relationship Id="rId3291" Type="http://schemas.openxmlformats.org/officeDocument/2006/relationships/hyperlink" Target="http://www.burkemuseum.org/research-and-collections/botany-and-herbarium/collections/database/results.php?Genus=Rubus&amp;Species=leucodermis&amp;SourcePage=search.php&amp;IncludeSynonyms=Y&amp;SortBy=DESC&amp;SortOrder=Year" TargetMode="External"/><Relationship Id="rId5740" Type="http://schemas.openxmlformats.org/officeDocument/2006/relationships/hyperlink" Target="http://www.burkemuseum.org/research-and-collections/botany-and-herbarium/collections/database/results.php?Genus=Erythranthe&amp;Species=alsinoides&amp;SourcePage=search.php&amp;IncludeSynonyms=Y&amp;SortBy=DESC&amp;SortOrder=Year" TargetMode="External"/><Relationship Id="rId1936" Type="http://schemas.openxmlformats.org/officeDocument/2006/relationships/hyperlink" Target="http://plants.usda.gov/java/profile?symbol=POCO2" TargetMode="External"/><Relationship Id="rId4342" Type="http://schemas.openxmlformats.org/officeDocument/2006/relationships/hyperlink" Target="https://plants.usda.gov/core/profile?symbol=RUMA5" TargetMode="External"/><Relationship Id="rId3011" Type="http://schemas.openxmlformats.org/officeDocument/2006/relationships/hyperlink" Target="http://www.burkemuseum.org/research-and-collections/botany-and-herbarium/collections/database/results.php?Genus=Gayophytum&amp;Species=diffusum&amp;SourcePage=search.php&amp;IncludeSynonyms=Y&amp;SortBy=DESC&amp;SortOrder=Year" TargetMode="External"/><Relationship Id="rId6167" Type="http://schemas.openxmlformats.org/officeDocument/2006/relationships/hyperlink" Target="http://www.burkemuseum.org/research-and-collections/botany-and-herbarium/collections/database/results.php?Genus=Sambucus&amp;Species=nigra&amp;SourcePage=search.php&amp;IncludeSynonyms=Y&amp;SortBy=DESC&amp;SortOrder=Year" TargetMode="External"/><Relationship Id="rId6581" Type="http://schemas.openxmlformats.org/officeDocument/2006/relationships/hyperlink" Target="http://biology.burke.washington.edu/herbarium/imagecollectionnew/taxon.php?Taxon=Mitellastra%20caulescens" TargetMode="External"/><Relationship Id="rId7218" Type="http://schemas.openxmlformats.org/officeDocument/2006/relationships/hyperlink" Target="http://biology.burke.washington.edu/herbarium/imagecollection/taxon.php?Taxon=Potentilla%20drummondii" TargetMode="External"/><Relationship Id="rId2777" Type="http://schemas.openxmlformats.org/officeDocument/2006/relationships/hyperlink" Target="http://www.burkemuseum.org/research-and-collections/botany-and-herbarium/collections/database/results.php?Genus=Artemisia&amp;Species=michauxiana&amp;SourcePage=search.php&amp;IncludeSynonyms=Y&amp;SortBy=DESC&amp;SortOrder=Year" TargetMode="External"/><Relationship Id="rId5183" Type="http://schemas.openxmlformats.org/officeDocument/2006/relationships/hyperlink" Target="https://en.wikipedia.org/wiki/Orthilia_secunda" TargetMode="External"/><Relationship Id="rId6234" Type="http://schemas.openxmlformats.org/officeDocument/2006/relationships/hyperlink" Target="http://www.burkemuseum.org/research-and-collections/botany-and-herbarium/collections/database/results.php?Genus=Stellaria&amp;Species=longipes&amp;SourcePage=search.php&amp;IncludeSynonyms=Y&amp;SortBy=DESC&amp;SortOrder=Year" TargetMode="External"/><Relationship Id="rId749" Type="http://schemas.openxmlformats.org/officeDocument/2006/relationships/hyperlink" Target="https://en.wikipedia.org/wiki/Darmera" TargetMode="External"/><Relationship Id="rId1379" Type="http://schemas.openxmlformats.org/officeDocument/2006/relationships/hyperlink" Target="http://biology.burke.washington.edu/herbarium/imagecollection/taxon.php?Taxon=Rubus%20lasiococcus" TargetMode="External"/><Relationship Id="rId3828" Type="http://schemas.openxmlformats.org/officeDocument/2006/relationships/hyperlink" Target="https://plants.usda.gov/core/profile?symbol=CIBR2" TargetMode="External"/><Relationship Id="rId5250" Type="http://schemas.openxmlformats.org/officeDocument/2006/relationships/hyperlink" Target="https://en.wikipedia.org/wiki/Polemonium_carneum" TargetMode="External"/><Relationship Id="rId6301" Type="http://schemas.openxmlformats.org/officeDocument/2006/relationships/hyperlink" Target="http://www.burkemuseum.org/research-and-collections/botany-and-herbarium/collections/database/results.php?Genus=Veronica&amp;Species=americana&amp;SourcePage=search.php&amp;IncludeSynonyms=Y&amp;SortBy=DESC&amp;SortOrder=Year" TargetMode="External"/><Relationship Id="rId1793" Type="http://schemas.openxmlformats.org/officeDocument/2006/relationships/hyperlink" Target="http://plants.usda.gov/java/profile?symbol=SPCA3" TargetMode="External"/><Relationship Id="rId2844" Type="http://schemas.openxmlformats.org/officeDocument/2006/relationships/hyperlink" Target="http://www.burkemuseum.org/research-and-collections/botany-and-herbarium/collections/database/results.php?Genus=Carex&amp;Species=leptopoda&amp;SourcePage=search.php&amp;IncludeSynonyms=Y&amp;SortBy=DESC&amp;SortOrder=Year" TargetMode="External"/><Relationship Id="rId85" Type="http://schemas.openxmlformats.org/officeDocument/2006/relationships/hyperlink" Target="http://biology.burke.washington.edu/herbarium/imagecollection/taxon.php?Taxon=Hippuris%20vulgaris" TargetMode="External"/><Relationship Id="rId816" Type="http://schemas.openxmlformats.org/officeDocument/2006/relationships/hyperlink" Target="https://en.wikipedia.org/wiki/Mitella_breweri" TargetMode="External"/><Relationship Id="rId1446" Type="http://schemas.openxmlformats.org/officeDocument/2006/relationships/hyperlink" Target="http://biology.burke.washington.edu/herbarium/imagecollectionnew/taxon.php?Taxon=Cornus%20nuttallii" TargetMode="External"/><Relationship Id="rId1860" Type="http://schemas.openxmlformats.org/officeDocument/2006/relationships/hyperlink" Target="https://plants.usda.gov/core/profile?symbol=RUAQF" TargetMode="External"/><Relationship Id="rId2911" Type="http://schemas.openxmlformats.org/officeDocument/2006/relationships/hyperlink" Target="http://www.burkemuseum.org/research-and-collections/botany-and-herbarium/collections/database/results.php?Genus=Corydalis&amp;Species=aquae-gelidae&amp;SourcePage=search.php&amp;IncludeSynonyms=Y&amp;SortBy=DESC&amp;SortOrder=Year" TargetMode="External"/><Relationship Id="rId7075" Type="http://schemas.openxmlformats.org/officeDocument/2006/relationships/hyperlink" Target="http://biology.burke.washington.edu/herbarium/imagecollectionnew/taxon.php?Taxon=Viola%20adunca" TargetMode="External"/><Relationship Id="rId1513" Type="http://schemas.openxmlformats.org/officeDocument/2006/relationships/hyperlink" Target="https://en.wikipedia.org/wiki/Ribes_divaricatum" TargetMode="External"/><Relationship Id="rId4669" Type="http://schemas.openxmlformats.org/officeDocument/2006/relationships/hyperlink" Target="http://www.burkemuseum.org/research-and-collections/botany-and-herbarium/collections/database/results.php?Genus=Asplenium&amp;Species=trichomanes&amp;SourcePage=search.php&amp;IncludeSynonyms=Y&amp;SortBy=DESC&amp;SortOrder=Year" TargetMode="External"/><Relationship Id="rId3685" Type="http://schemas.openxmlformats.org/officeDocument/2006/relationships/hyperlink" Target="https://plants.usda.gov/core/profile?symbol=ARME" TargetMode="External"/><Relationship Id="rId4736" Type="http://schemas.openxmlformats.org/officeDocument/2006/relationships/hyperlink" Target="https://en.wikipedia.org/wiki/Bidens_beckii" TargetMode="External"/><Relationship Id="rId6091" Type="http://schemas.openxmlformats.org/officeDocument/2006/relationships/hyperlink" Target="http://www.burkemuseum.org/research-and-collections/botany-and-herbarium/collections/database/results.php?Genus=Pyracantha&amp;Species=coccinea&amp;SourcePage=search.php&amp;IncludeSynonyms=Y&amp;SortBy=DESC&amp;SortOrder=Year" TargetMode="External"/><Relationship Id="rId7142" Type="http://schemas.openxmlformats.org/officeDocument/2006/relationships/hyperlink" Target="http://biology.burke.washington.edu/herbarium/imagecollectionnew/taxon.php?Taxon=Sedum%20spathulifolium" TargetMode="External"/><Relationship Id="rId2287" Type="http://schemas.openxmlformats.org/officeDocument/2006/relationships/hyperlink" Target="http://plants.usda.gov/java/profile?symbol=CEVE" TargetMode="External"/><Relationship Id="rId3338" Type="http://schemas.openxmlformats.org/officeDocument/2006/relationships/hyperlink" Target="http://www.burkemuseum.org/research-and-collections/botany-and-herbarium/collections/database/results.php?Genus=Scutellaria&amp;Species=lateriflora&amp;SourcePage=search.php&amp;IncludeSynonyms=Y&amp;SortBy=DESC&amp;SortOrder=Year" TargetMode="External"/><Relationship Id="rId3752" Type="http://schemas.openxmlformats.org/officeDocument/2006/relationships/hyperlink" Target="https://plants.usda.gov/core/profile?symbol=CAQU2" TargetMode="External"/><Relationship Id="rId259" Type="http://schemas.openxmlformats.org/officeDocument/2006/relationships/hyperlink" Target="http://biology.burke.washington.edu/herbarium/imagecollection/taxon.php?Taxon=Pyracantha%20coccinea" TargetMode="External"/><Relationship Id="rId673" Type="http://schemas.openxmlformats.org/officeDocument/2006/relationships/hyperlink" Target="https://en.wikipedia.org/wiki/Pteridium_aquilinum" TargetMode="External"/><Relationship Id="rId2354" Type="http://schemas.openxmlformats.org/officeDocument/2006/relationships/hyperlink" Target="https://plants.usda.gov/core/profile?symbol=BOHO" TargetMode="External"/><Relationship Id="rId3405" Type="http://schemas.openxmlformats.org/officeDocument/2006/relationships/hyperlink" Target="http://www.burkemuseum.org/research-and-collections/botany-and-herbarium/collections/database/results.php?Genus=Triglochin&amp;Species=maritima&amp;SourcePage=search.php&amp;IncludeSynonyms=Y&amp;SortBy=DESC&amp;SortOrder=Year" TargetMode="External"/><Relationship Id="rId4803" Type="http://schemas.openxmlformats.org/officeDocument/2006/relationships/hyperlink" Target="https://en.wikipedia.org/wiki/Carex_pluriflora" TargetMode="External"/><Relationship Id="rId326" Type="http://schemas.openxmlformats.org/officeDocument/2006/relationships/hyperlink" Target="http://biology.burke.washington.edu/herbarium/imagecollectionnew/taxon.php?Taxon=Botrychium%20minganense" TargetMode="External"/><Relationship Id="rId1370" Type="http://schemas.openxmlformats.org/officeDocument/2006/relationships/hyperlink" Target="http://biology.burke.washington.edu/herbarium/imagecollection/taxon.php?Taxon=Lathyrus%20littoralis" TargetMode="External"/><Relationship Id="rId2007" Type="http://schemas.openxmlformats.org/officeDocument/2006/relationships/hyperlink" Target="https://plants.usda.gov/core/profile?symbol=MOHY3" TargetMode="External"/><Relationship Id="rId6975" Type="http://schemas.openxmlformats.org/officeDocument/2006/relationships/hyperlink" Target="http://biology.burke.washington.edu/herbarium/imagecollection/taxon.php?Taxon=Gayophytum%20diffusum" TargetMode="External"/><Relationship Id="rId740" Type="http://schemas.openxmlformats.org/officeDocument/2006/relationships/hyperlink" Target="https://en.wikipedia.org/wiki/Dichanthelium_acuminatum" TargetMode="External"/><Relationship Id="rId1023" Type="http://schemas.openxmlformats.org/officeDocument/2006/relationships/hyperlink" Target="https://en.wikipedia.org/wiki/Amsinckia_lycopsoides" TargetMode="External"/><Relationship Id="rId2421" Type="http://schemas.openxmlformats.org/officeDocument/2006/relationships/hyperlink" Target="http://plants.usda.gov/java/profile?symbol=AGOR" TargetMode="External"/><Relationship Id="rId4179" Type="http://schemas.openxmlformats.org/officeDocument/2006/relationships/hyperlink" Target="https://plants.usda.gov/core/profile?symbol=OPFR" TargetMode="External"/><Relationship Id="rId5577" Type="http://schemas.openxmlformats.org/officeDocument/2006/relationships/hyperlink" Target="http://www.burkemuseum.org/research-and-collections/botany-and-herbarium/collections/database/results.php?Genus=Carex&amp;Species=cusickii&amp;SourcePage=search.php&amp;IncludeSynonyms=Y&amp;SortBy=DESC&amp;SortOrder=Year" TargetMode="External"/><Relationship Id="rId5991" Type="http://schemas.openxmlformats.org/officeDocument/2006/relationships/hyperlink" Target="http://www.burkemuseum.org/research-and-collections/botany-and-herbarium/collections/database/results.php?Genus=Ozomelis&amp;Species=trifida&amp;SourcePage=search.php&amp;IncludeSynonyms=Y&amp;SortBy=DESC&amp;SortOrder=Year" TargetMode="External"/><Relationship Id="rId6628" Type="http://schemas.openxmlformats.org/officeDocument/2006/relationships/hyperlink" Target="http://biology.burke.washington.edu/herbarium/imagecollectionnew/taxon.php?Taxon=Trifolium%20bifidum" TargetMode="External"/><Relationship Id="rId4593" Type="http://schemas.openxmlformats.org/officeDocument/2006/relationships/hyperlink" Target="http://www.burkemuseum.org/research-and-collections/botany-and-herbarium/collections/database/results.php?Genus=Agoseris&amp;Species=grandiflora&amp;SourcePage=search.php&amp;IncludeSynonyms=Y&amp;SortBy=DESC&amp;SortOrder=Year" TargetMode="External"/><Relationship Id="rId5644" Type="http://schemas.openxmlformats.org/officeDocument/2006/relationships/hyperlink" Target="http://www.burkemuseum.org/research-and-collections/botany-and-herbarium/collections/database/results.php?Genus=Claytonia&amp;Species=sibirica&amp;SourcePage=search.php&amp;IncludeSynonyms=Y&amp;SortBy=DESC&amp;SortOrder=Year" TargetMode="External"/><Relationship Id="rId3195" Type="http://schemas.openxmlformats.org/officeDocument/2006/relationships/hyperlink" Target="http://www.burkemuseum.org/research-and-collections/botany-and-herbarium/collections/database/results.php?Genus=Perideridia&amp;Species=oregana&amp;SourcePage=search.php&amp;IncludeSynonyms=Y&amp;SortBy=DESC&amp;SortOrder=Year" TargetMode="External"/><Relationship Id="rId4246" Type="http://schemas.openxmlformats.org/officeDocument/2006/relationships/hyperlink" Target="https://plants.usda.gov/core/profile?symbol=POCA4" TargetMode="External"/><Relationship Id="rId4660" Type="http://schemas.openxmlformats.org/officeDocument/2006/relationships/hyperlink" Target="http://www.burkemuseum.org/research-and-collections/botany-and-herbarium/collections/database/results.php?Genus=Balsamorhiza&amp;Species=deltoidea&amp;SourcePage=search.php&amp;IncludeSynonyms=Y&amp;SortBy=DESC&amp;SortOrder=Year" TargetMode="External"/><Relationship Id="rId5711" Type="http://schemas.openxmlformats.org/officeDocument/2006/relationships/hyperlink" Target="http://www.burkemuseum.org/research-and-collections/botany-and-herbarium/collections/database/results.php?Genus=Eleocharis&amp;Species=engelmannii&amp;SourcePage=search.php&amp;IncludeSynonyms=Y&amp;SortBy=DESC&amp;SortOrder=Year" TargetMode="External"/><Relationship Id="rId3262" Type="http://schemas.openxmlformats.org/officeDocument/2006/relationships/hyperlink" Target="http://www.burkemuseum.org/research-and-collections/botany-and-herbarium/collections/database/results.php?Genus=Pyracantha&amp;Species=coccinea&amp;SourcePage=search.php&amp;IncludeSynonyms=Y&amp;SortBy=DESC&amp;SortOrder=Year" TargetMode="External"/><Relationship Id="rId4313" Type="http://schemas.openxmlformats.org/officeDocument/2006/relationships/hyperlink" Target="https://plants.usda.gov/core/profile?symbol=RHAL3" TargetMode="External"/><Relationship Id="rId183" Type="http://schemas.openxmlformats.org/officeDocument/2006/relationships/hyperlink" Target="http://biology.burke.washington.edu/herbarium/imagecollection/taxon.php?Taxon=Elymus%20elymoides" TargetMode="External"/><Relationship Id="rId1907" Type="http://schemas.openxmlformats.org/officeDocument/2006/relationships/hyperlink" Target="http://plants.usda.gov/java/profile?symbol=POGR9" TargetMode="External"/><Relationship Id="rId6485" Type="http://schemas.openxmlformats.org/officeDocument/2006/relationships/hyperlink" Target="http://biology.burke.washington.edu/herbarium/imagecollection/taxon.php?Taxon=Eriogonum%20umbellatum" TargetMode="External"/><Relationship Id="rId250" Type="http://schemas.openxmlformats.org/officeDocument/2006/relationships/hyperlink" Target="http://biology.burke.washington.edu/herbarium/imagecollection/taxon.php?Taxon=Moneses%20uniflora" TargetMode="External"/><Relationship Id="rId5087" Type="http://schemas.openxmlformats.org/officeDocument/2006/relationships/hyperlink" Target="https://en.wikipedia.org/wiki/Lomatium_nudicaule" TargetMode="External"/><Relationship Id="rId6138" Type="http://schemas.openxmlformats.org/officeDocument/2006/relationships/hyperlink" Target="http://www.burkemuseum.org/research-and-collections/botany-and-herbarium/collections/database/results.php?Genus=Rudbeckia&amp;Species=hirta&amp;SourcePage=search.php&amp;IncludeSynonyms=Y&amp;SortBy=DESC&amp;SortOrder=Year" TargetMode="External"/><Relationship Id="rId5154" Type="http://schemas.openxmlformats.org/officeDocument/2006/relationships/hyperlink" Target="https://en.wikipedia.org/wiki/Montia_linearis" TargetMode="External"/><Relationship Id="rId6552" Type="http://schemas.openxmlformats.org/officeDocument/2006/relationships/hyperlink" Target="http://biology.burke.washington.edu/herbarium/imagecollection/taxon.php?Taxon=Linnaea%20borealis" TargetMode="External"/><Relationship Id="rId1697" Type="http://schemas.openxmlformats.org/officeDocument/2006/relationships/hyperlink" Target="http://biology.burke.washington.edu/herbarium/imagecollection/taxon.php?Taxon=Juncus%20patens" TargetMode="External"/><Relationship Id="rId2748" Type="http://schemas.openxmlformats.org/officeDocument/2006/relationships/hyperlink" Target="http://www.burkemuseum.org/research-and-collections/botany-and-herbarium/collections/database/results.php?Genus=Anemone&amp;Species=deltoidea&amp;SourcePage=search.php&amp;IncludeSynonyms=Y&amp;SortBy=DESC&amp;SortOrder=Year" TargetMode="External"/><Relationship Id="rId6205" Type="http://schemas.openxmlformats.org/officeDocument/2006/relationships/hyperlink" Target="http://www.burkemuseum.org/research-and-collections/botany-and-herbarium/collections/database/results.php?Genus=Silene&amp;Species=antirrhina&amp;SourcePage=search.php&amp;IncludeSynonyms=Y&amp;SortBy=DESC&amp;SortOrder=Year" TargetMode="External"/><Relationship Id="rId1764" Type="http://schemas.openxmlformats.org/officeDocument/2006/relationships/hyperlink" Target="https://plants.usda.gov/core/profile?symbol=THQU2" TargetMode="External"/><Relationship Id="rId2815" Type="http://schemas.openxmlformats.org/officeDocument/2006/relationships/hyperlink" Target="http://www.burkemuseum.org/research-and-collections/botany-and-herbarium/collections/database/results.php?Genus=Caltha&amp;Species=leptosepala&amp;SourcePage=search.php&amp;IncludeSynonyms=Y&amp;SortBy=DESC&amp;SortOrder=Year" TargetMode="External"/><Relationship Id="rId4170" Type="http://schemas.openxmlformats.org/officeDocument/2006/relationships/hyperlink" Target="https://plants.usda.gov/core/profile?symbol=NULUP" TargetMode="External"/><Relationship Id="rId5221" Type="http://schemas.openxmlformats.org/officeDocument/2006/relationships/hyperlink" Target="https://en.wikipedia.org/wiki/Physocarpus_capitatus" TargetMode="External"/><Relationship Id="rId56" Type="http://schemas.openxmlformats.org/officeDocument/2006/relationships/hyperlink" Target="http://biology.burke.washington.edu/herbarium/imagecollection/taxon.php?Taxon=Paxistima%20myrsinites" TargetMode="External"/><Relationship Id="rId1417" Type="http://schemas.openxmlformats.org/officeDocument/2006/relationships/hyperlink" Target="http://biology.burke.washington.edu/herbarium/imagecollection/taxon.php?Taxon=Ranunculus%20occidentalis" TargetMode="External"/><Relationship Id="rId1831" Type="http://schemas.openxmlformats.org/officeDocument/2006/relationships/hyperlink" Target="http://plants.usda.gov/java/profile?symbol=SAGR5" TargetMode="External"/><Relationship Id="rId4987" Type="http://schemas.openxmlformats.org/officeDocument/2006/relationships/hyperlink" Target="https://en.wikipedia.org/wiki/Gentiana_sceptrum" TargetMode="External"/><Relationship Id="rId3589" Type="http://schemas.openxmlformats.org/officeDocument/2006/relationships/hyperlink" Target="http://www.burkemuseum.org/research-and-collections/botany-and-herbarium/collections/database/results.php?Genus=Selaginella&amp;Species=oregana&amp;SourcePage=search.php&amp;IncludeSynonyms=Y&amp;SortBy=DESC&amp;SortOrder=Year" TargetMode="External"/><Relationship Id="rId7046" Type="http://schemas.openxmlformats.org/officeDocument/2006/relationships/hyperlink" Target="http://biology.burke.washington.edu/herbarium/imagecollectionnew/results.php?Terms=asclepias&amp;Type=Names&amp;x=0&amp;y=0" TargetMode="External"/><Relationship Id="rId6062" Type="http://schemas.openxmlformats.org/officeDocument/2006/relationships/hyperlink" Target="http://www.burkemuseum.org/research-and-collections/botany-and-herbarium/collections/database/results.php?Genus=Potamogeton&amp;Species=amplifolius&amp;SourcePage=search.php&amp;IncludeSynonyms=Y&amp;SortBy=DESC&amp;SortOrder=Year" TargetMode="External"/><Relationship Id="rId7113" Type="http://schemas.openxmlformats.org/officeDocument/2006/relationships/hyperlink" Target="http://biology.burke.washington.edu/herbarium/imagecollectionnew/taxon.php?Taxon=Symphyotrichum%20chilense" TargetMode="External"/><Relationship Id="rId577" Type="http://schemas.openxmlformats.org/officeDocument/2006/relationships/hyperlink" Target="https://en.wikipedia.org/wiki/Spiraea_douglasii" TargetMode="External"/><Relationship Id="rId2258" Type="http://schemas.openxmlformats.org/officeDocument/2006/relationships/hyperlink" Target="https://plants.usda.gov/core/profile?symbol=COGR6" TargetMode="External"/><Relationship Id="rId3656" Type="http://schemas.openxmlformats.org/officeDocument/2006/relationships/hyperlink" Target="https://plants.usda.gov/core/profile?symbol=ALRH2" TargetMode="External"/><Relationship Id="rId4707" Type="http://schemas.openxmlformats.org/officeDocument/2006/relationships/hyperlink" Target="https://en.wikipedia.org/wiki/Armeria_maritima" TargetMode="External"/><Relationship Id="rId991" Type="http://schemas.openxmlformats.org/officeDocument/2006/relationships/hyperlink" Target="http://en.wikipedia.org/wiki/Aspidotis_densa" TargetMode="External"/><Relationship Id="rId2672" Type="http://schemas.openxmlformats.org/officeDocument/2006/relationships/hyperlink" Target="http://biology.burke.washington.edu/herbarium/imagecollection/taxon.php?Taxon=Lemna%20trisulca" TargetMode="External"/><Relationship Id="rId3309" Type="http://schemas.openxmlformats.org/officeDocument/2006/relationships/hyperlink" Target="http://www.burkemuseum.org/research-and-collections/botany-and-herbarium/collections/database/results.php?Genus=Salix&amp;Species=exigua&amp;SourcePage=search.php&amp;IncludeSynonyms=Y&amp;SortBy=DESC&amp;SortOrder=Year" TargetMode="External"/><Relationship Id="rId3723" Type="http://schemas.openxmlformats.org/officeDocument/2006/relationships/hyperlink" Target="https://plants.usda.gov/core/profile?symbol=BIBE2" TargetMode="External"/><Relationship Id="rId6879" Type="http://schemas.openxmlformats.org/officeDocument/2006/relationships/hyperlink" Target="http://biology.burke.washington.edu/herbarium/imagecollection/taxon.php?Taxon=Stuckenia%20filiformis" TargetMode="External"/><Relationship Id="rId644" Type="http://schemas.openxmlformats.org/officeDocument/2006/relationships/hyperlink" Target="https://en.wikipedia.org/wiki/Rubus_pedatus" TargetMode="External"/><Relationship Id="rId1274" Type="http://schemas.openxmlformats.org/officeDocument/2006/relationships/hyperlink" Target="https://en.wikipedia.org/wiki/Parnassia_palustris" TargetMode="External"/><Relationship Id="rId2325" Type="http://schemas.openxmlformats.org/officeDocument/2006/relationships/hyperlink" Target="https://plants.usda.gov/core/profile?symbol=CAAN10" TargetMode="External"/><Relationship Id="rId5895" Type="http://schemas.openxmlformats.org/officeDocument/2006/relationships/hyperlink" Target="http://www.burkemuseum.org/research-and-collections/botany-and-herbarium/collections/database/results.php?Genus=Lupinus&amp;Species=albicaulis&amp;SourcePage=search.php&amp;IncludeSynonyms=Y&amp;SortBy=DESC&amp;SortOrder=Year" TargetMode="External"/><Relationship Id="rId6946" Type="http://schemas.openxmlformats.org/officeDocument/2006/relationships/hyperlink" Target="http://biology.burke.washington.edu/herbarium/imagecollection/taxon.php?Taxon=Ligusticum%20apiifolium" TargetMode="External"/><Relationship Id="rId711" Type="http://schemas.openxmlformats.org/officeDocument/2006/relationships/hyperlink" Target="https://en.wikipedia.org/wiki/Equisetum_hyemale" TargetMode="External"/><Relationship Id="rId1341" Type="http://schemas.openxmlformats.org/officeDocument/2006/relationships/hyperlink" Target="https://en.wikipedia.org/wiki/Trifolium_microdon" TargetMode="External"/><Relationship Id="rId4497" Type="http://schemas.openxmlformats.org/officeDocument/2006/relationships/hyperlink" Target="https://plants.usda.gov/core/profile?symbol=VASC2" TargetMode="External"/><Relationship Id="rId5548" Type="http://schemas.openxmlformats.org/officeDocument/2006/relationships/hyperlink" Target="http://www.burkemuseum.org/research-and-collections/botany-and-herbarium/collections/database/results.php?Genus=Calamagrostis&amp;Species=nutkaensis&amp;SourcePage=search.php&amp;IncludeSynonyms=Y&amp;SortBy=DESC&amp;SortOrder=Year" TargetMode="External"/><Relationship Id="rId5962" Type="http://schemas.openxmlformats.org/officeDocument/2006/relationships/hyperlink" Target="http://www.burkemuseum.org/research-and-collections/botany-and-herbarium/collections/database/results.php?Genus=Myriopteris&amp;Species=gracillima&amp;SourcePage=search.php&amp;IncludeSynonyms=Y&amp;SortBy=DESC&amp;SortOrder=Year" TargetMode="External"/><Relationship Id="rId3099" Type="http://schemas.openxmlformats.org/officeDocument/2006/relationships/hyperlink" Target="http://www.burkemuseum.org/research-and-collections/botany-and-herbarium/collections/database/results.php?Genus=Lobelia&amp;Species=kalmii&amp;SourcePage=search.php&amp;IncludeSynonyms=Y&amp;SortBy=DESC&amp;SortOrder=Year" TargetMode="External"/><Relationship Id="rId4564" Type="http://schemas.openxmlformats.org/officeDocument/2006/relationships/hyperlink" Target="https://en.wikipedia.org/wiki/Alnus_rhombifolia" TargetMode="External"/><Relationship Id="rId5615" Type="http://schemas.openxmlformats.org/officeDocument/2006/relationships/hyperlink" Target="http://www.burkemuseum.org/research-and-collections/botany-and-herbarium/collections/database/results.php?Genus=Castilleja&amp;Species=victoriae&amp;SourcePage=search.php&amp;IncludeSynonyms=Y&amp;SortBy=DESC&amp;SortOrder=Year" TargetMode="External"/><Relationship Id="rId3166" Type="http://schemas.openxmlformats.org/officeDocument/2006/relationships/hyperlink" Target="http://www.burkemuseum.org/research-and-collections/botany-and-herbarium/collections/database/results.php?Genus=Navarretia&amp;Species=squarrosa&amp;SourcePage=search.php&amp;IncludeSynonyms=Y&amp;SortBy=DESC&amp;SortOrder=Year" TargetMode="External"/><Relationship Id="rId3580" Type="http://schemas.openxmlformats.org/officeDocument/2006/relationships/hyperlink" Target="http://www.burkemuseum.org/research-and-collections/botany-and-herbarium/collections/database/results.php?Genus=Salix&amp;Species=lasiolepis&amp;SourcePage=search.php&amp;IncludeSynonyms=Y&amp;SortBy=DESC&amp;SortOrder=Year" TargetMode="External"/><Relationship Id="rId4217" Type="http://schemas.openxmlformats.org/officeDocument/2006/relationships/hyperlink" Target="https://plants.usda.gov/core/profile?symbol=PHCA11" TargetMode="External"/><Relationship Id="rId2182" Type="http://schemas.openxmlformats.org/officeDocument/2006/relationships/hyperlink" Target="http://plants.usda.gov/java/profile?symbol=ERPH" TargetMode="External"/><Relationship Id="rId3233" Type="http://schemas.openxmlformats.org/officeDocument/2006/relationships/hyperlink" Target="http://www.burkemuseum.org/research-and-collections/botany-and-herbarium/collections/database/results.php?Genus=Populus&amp;Species=tremuloides&amp;SourcePage=search.php&amp;IncludeSynonyms=Y&amp;SortBy=DESC&amp;SortOrder=Year" TargetMode="External"/><Relationship Id="rId4631" Type="http://schemas.openxmlformats.org/officeDocument/2006/relationships/hyperlink" Target="http://www.burkemuseum.org/research-and-collections/botany-and-herbarium/collections/database/results.php?Genus=Aphyllon&amp;Species=pinorum&amp;SourcePage=search.php&amp;IncludeSynonyms=Y&amp;SortBy=DESC&amp;SortOrder=Year" TargetMode="External"/><Relationship Id="rId6389" Type="http://schemas.openxmlformats.org/officeDocument/2006/relationships/hyperlink" Target="http://biology.burke.washington.edu/herbarium/imagecollectionnew/taxon.php?Taxon=Mahonia%20nervosa" TargetMode="External"/><Relationship Id="rId154" Type="http://schemas.openxmlformats.org/officeDocument/2006/relationships/hyperlink" Target="http://biology.burke.washington.edu/herbarium/imagecollection/taxon.php?Taxon=Nuphar%20polysepala" TargetMode="External"/><Relationship Id="rId2999" Type="http://schemas.openxmlformats.org/officeDocument/2006/relationships/hyperlink" Target="http://www.burkemuseum.org/research-and-collections/botany-and-herbarium/collections/database/results.php?Genus=Fragaria&amp;Species=vesca&amp;SourcePage=search.php&amp;IncludeSynonyms=Y&amp;SortBy=DESC&amp;SortOrder=Year" TargetMode="External"/><Relationship Id="rId3300" Type="http://schemas.openxmlformats.org/officeDocument/2006/relationships/hyperlink" Target="http://www.burkemuseum.org/research-and-collections/botany-and-herbarium/collections/database/results.php?Genus=Sagina&amp;Species=decumbens&amp;SourcePage=search.php&amp;IncludeSynonyms=Y&amp;SortBy=DESC&amp;SortOrder=Year" TargetMode="External"/><Relationship Id="rId6456" Type="http://schemas.openxmlformats.org/officeDocument/2006/relationships/hyperlink" Target="http://biology.burke.washington.edu/herbarium/imagecollectionnew/taxon.php?Taxon=Datura%20wrightii" TargetMode="External"/><Relationship Id="rId6870" Type="http://schemas.openxmlformats.org/officeDocument/2006/relationships/hyperlink" Target="http://biology.burke.washington.edu/herbarium/imagecollectionnew/taxon.php?Taxon=Viola%20canadensis" TargetMode="External"/><Relationship Id="rId221" Type="http://schemas.openxmlformats.org/officeDocument/2006/relationships/hyperlink" Target="http://biology.burke.washington.edu/herbarium/imagecollection/taxon.php?Taxon=Limosella%20aquatica" TargetMode="External"/><Relationship Id="rId5058" Type="http://schemas.openxmlformats.org/officeDocument/2006/relationships/hyperlink" Target="https://en.wikipedia.org/wiki/Lactuca_biennis" TargetMode="External"/><Relationship Id="rId5472" Type="http://schemas.openxmlformats.org/officeDocument/2006/relationships/hyperlink" Target="https://en.wikipedia.org/wiki/Triglochin_maritima" TargetMode="External"/><Relationship Id="rId6109" Type="http://schemas.openxmlformats.org/officeDocument/2006/relationships/hyperlink" Target="http://www.burkemuseum.org/research-and-collections/botany-and-herbarium/collections/database/results.php?Genus=Rhododendron&amp;Species=groenlandicum&amp;SourcePage=search.php&amp;IncludeSynonyms=Y&amp;SortBy=DESC&amp;SortOrder=Year" TargetMode="External"/><Relationship Id="rId6523" Type="http://schemas.openxmlformats.org/officeDocument/2006/relationships/hyperlink" Target="http://biology.burke.washington.edu/herbarium/imagecollection/taxon.php?Taxon=Gymnocarpium%20dryopteris" TargetMode="External"/><Relationship Id="rId1668" Type="http://schemas.openxmlformats.org/officeDocument/2006/relationships/hyperlink" Target="http://biology.burke.washington.edu/herbarium/imagecollection/taxon.php?Taxon=Poa%20leptocoma" TargetMode="External"/><Relationship Id="rId2719" Type="http://schemas.openxmlformats.org/officeDocument/2006/relationships/hyperlink" Target="http://www.burkemuseum.org/research-and-collections/botany-and-herbarium/collections/database/results.php?Genus=Achillea&amp;Species=millefolium&amp;SourcePage=search.php&amp;IncludeSynonyms=Y&amp;SortBy=DESC&amp;SortOrder=Year" TargetMode="External"/><Relationship Id="rId4074" Type="http://schemas.openxmlformats.org/officeDocument/2006/relationships/hyperlink" Target="https://plants.usda.gov/core/profile?symbol=LIOC" TargetMode="External"/><Relationship Id="rId5125" Type="http://schemas.openxmlformats.org/officeDocument/2006/relationships/hyperlink" Target="https://en.wikipedia.org/wiki/Malus_fusca" TargetMode="External"/><Relationship Id="rId3090" Type="http://schemas.openxmlformats.org/officeDocument/2006/relationships/hyperlink" Target="http://www.burkemuseum.org/research-and-collections/botany-and-herbarium/collections/database/results.php?Genus=Leymus&amp;Species=mollis&amp;SourcePage=search.php&amp;IncludeSynonyms=Y&amp;SortBy=DESC&amp;SortOrder=Year" TargetMode="External"/><Relationship Id="rId4141" Type="http://schemas.openxmlformats.org/officeDocument/2006/relationships/hyperlink" Target="https://plants.usda.gov/core/profile?symbol=MICA5" TargetMode="External"/><Relationship Id="rId1735" Type="http://schemas.openxmlformats.org/officeDocument/2006/relationships/hyperlink" Target="http://plants.usda.gov/java/profile?symbol=VAME" TargetMode="External"/><Relationship Id="rId27" Type="http://schemas.openxmlformats.org/officeDocument/2006/relationships/hyperlink" Target="http://biology.burke.washington.edu/herbarium/imagecollection/taxon.php?Taxon=Psilocarphus%20tenellus" TargetMode="External"/><Relationship Id="rId1802" Type="http://schemas.openxmlformats.org/officeDocument/2006/relationships/hyperlink" Target="http://plants.usda.gov/java/profile?symbol=SISU2" TargetMode="External"/><Relationship Id="rId4958" Type="http://schemas.openxmlformats.org/officeDocument/2006/relationships/hyperlink" Target="https://en.wikipedia.org/wiki/Erythronium_quinaultense" TargetMode="External"/><Relationship Id="rId7017" Type="http://schemas.openxmlformats.org/officeDocument/2006/relationships/hyperlink" Target="http://biology.burke.washington.edu/herbarium/imagecollectionnew/taxon.php?Taxon=Carex%20stylosa" TargetMode="External"/><Relationship Id="rId3974" Type="http://schemas.openxmlformats.org/officeDocument/2006/relationships/hyperlink" Target="https://plants.usda.gov/core/profile?symbol=GADI2" TargetMode="External"/><Relationship Id="rId6380" Type="http://schemas.openxmlformats.org/officeDocument/2006/relationships/hyperlink" Target="http://biology.burke.washington.edu/herbarium/imagecollectionnew/taxon.php?Taxon=Aruncus%20dioicus" TargetMode="External"/><Relationship Id="rId895" Type="http://schemas.openxmlformats.org/officeDocument/2006/relationships/hyperlink" Target="https://en.wikipedia.org/wiki/Claytonia_lanceolata" TargetMode="External"/><Relationship Id="rId2576" Type="http://schemas.openxmlformats.org/officeDocument/2006/relationships/hyperlink" Target="http://plants.usda.gov/java/profile?symbol=CATU3" TargetMode="External"/><Relationship Id="rId2990" Type="http://schemas.openxmlformats.org/officeDocument/2006/relationships/hyperlink" Target="http://www.burkemuseum.org/research-and-collections/botany-and-herbarium/collections/database/results.php?Genus=Erythronium&amp;Species=revolutum&amp;SourcePage=search.php&amp;IncludeSynonyms=Y&amp;SortBy=DESC&amp;SortOrder=Year" TargetMode="External"/><Relationship Id="rId3627" Type="http://schemas.openxmlformats.org/officeDocument/2006/relationships/hyperlink" Target="https://plants.usda.gov/core/profile?symbol=ABLA2" TargetMode="External"/><Relationship Id="rId6033" Type="http://schemas.openxmlformats.org/officeDocument/2006/relationships/hyperlink" Target="http://www.burkemuseum.org/research-and-collections/botany-and-herbarium/collections/database/results.php?Genus=Platanthera&amp;Species=dilatata&amp;SourcePage=search.php&amp;IncludeSynonyms=Y&amp;SortBy=DESC&amp;SortOrder=Year" TargetMode="External"/><Relationship Id="rId548" Type="http://schemas.openxmlformats.org/officeDocument/2006/relationships/hyperlink" Target="https://en.wikipedia.org/wiki/Toxicodendron_rydbergii" TargetMode="External"/><Relationship Id="rId962" Type="http://schemas.openxmlformats.org/officeDocument/2006/relationships/hyperlink" Target="http://en.wikipedia.org/wiki/Callitriche_heterophylla" TargetMode="External"/><Relationship Id="rId1178" Type="http://schemas.openxmlformats.org/officeDocument/2006/relationships/hyperlink" Target="http://biology.burke.washington.edu/herbarium/imagecollectionnew/taxon.php?Taxon=Allotropa%20virgata" TargetMode="External"/><Relationship Id="rId1592" Type="http://schemas.openxmlformats.org/officeDocument/2006/relationships/hyperlink" Target="http://en.wikipedia.org/wiki/Achlys_triphylla" TargetMode="External"/><Relationship Id="rId2229" Type="http://schemas.openxmlformats.org/officeDocument/2006/relationships/hyperlink" Target="http://plants.usda.gov/java/profile?symbol=DAIN" TargetMode="External"/><Relationship Id="rId2643" Type="http://schemas.openxmlformats.org/officeDocument/2006/relationships/hyperlink" Target="http://biology.burke.washington.edu/herbarium/imagecollection/taxon.php?Taxon=Impatiens%20ecornuta" TargetMode="External"/><Relationship Id="rId5799" Type="http://schemas.openxmlformats.org/officeDocument/2006/relationships/hyperlink" Target="http://www.burkemuseum.org/research-and-collections/botany-and-herbarium/collections/database/results.php?Genus=Hemizonella&amp;Species=minima&amp;SourcePage=search.php&amp;IncludeSynonyms=Y&amp;SortBy=DESC&amp;SortOrder=Year" TargetMode="External"/><Relationship Id="rId6100" Type="http://schemas.openxmlformats.org/officeDocument/2006/relationships/hyperlink" Target="http://www.burkemuseum.org/research-and-collections/botany-and-herbarium/collections/database/results.php?Genus=Ranunculus&amp;Species=macounii&amp;SourcePage=search.php&amp;IncludeSynonyms=Y&amp;SortBy=DESC&amp;SortOrder=Year" TargetMode="External"/><Relationship Id="rId615" Type="http://schemas.openxmlformats.org/officeDocument/2006/relationships/hyperlink" Target="https://en.wikipedia.org/wiki/Sanguisorba_officinalis" TargetMode="External"/><Relationship Id="rId1245" Type="http://schemas.openxmlformats.org/officeDocument/2006/relationships/hyperlink" Target="https://en.wikipedia.org/wiki/Draba_breweri" TargetMode="External"/><Relationship Id="rId1312" Type="http://schemas.openxmlformats.org/officeDocument/2006/relationships/hyperlink" Target="http://biology.burke.washington.edu/herbarium/imagecollectionnew/taxon.php?Taxon=Andromeda%20polifolia" TargetMode="External"/><Relationship Id="rId2710" Type="http://schemas.openxmlformats.org/officeDocument/2006/relationships/hyperlink" Target="http://biology.burke.washington.edu/herbarium/imagecollectionnew/taxon.php?Taxon=Sanicula%20bipinnatifida" TargetMode="External"/><Relationship Id="rId4468" Type="http://schemas.openxmlformats.org/officeDocument/2006/relationships/hyperlink" Target="https://plants.usda.gov/core/profile?symbol=TRVA" TargetMode="External"/><Relationship Id="rId5866" Type="http://schemas.openxmlformats.org/officeDocument/2006/relationships/hyperlink" Target="http://www.burkemuseum.org/research-and-collections/botany-and-herbarium/collections/database/results.php?Genus=Lemna&amp;Species=trisulca&amp;SourcePage=search.php&amp;IncludeSynonyms=Y&amp;SortBy=DESC&amp;SortOrder=Year" TargetMode="External"/><Relationship Id="rId6917" Type="http://schemas.openxmlformats.org/officeDocument/2006/relationships/hyperlink" Target="http://biology.burke.washington.edu/herbarium/imagecollectionnew/taxon.php?Taxon=Pectiantia%20breweri" TargetMode="External"/><Relationship Id="rId4882" Type="http://schemas.openxmlformats.org/officeDocument/2006/relationships/hyperlink" Target="https://en.wikipedia.org/wiki/Cyperus_erythrorhizos" TargetMode="External"/><Relationship Id="rId5519" Type="http://schemas.openxmlformats.org/officeDocument/2006/relationships/hyperlink" Target="https://en.wikipedia.org/wiki/Viola_sempervirens" TargetMode="External"/><Relationship Id="rId5933" Type="http://schemas.openxmlformats.org/officeDocument/2006/relationships/hyperlink" Target="http://www.burkemuseum.org/research-and-collections/botany-and-herbarium/collections/database/results.php?Genus=Metasequoia&amp;Species=glyptostroboides&amp;SourcePage=search.php&amp;IncludeSynonyms=Y&amp;SortBy=DESC&amp;SortOrder=Year" TargetMode="External"/><Relationship Id="rId2086" Type="http://schemas.openxmlformats.org/officeDocument/2006/relationships/hyperlink" Target="http://plants.usda.gov/java/profile?symbol=KOMA" TargetMode="External"/><Relationship Id="rId3484" Type="http://schemas.openxmlformats.org/officeDocument/2006/relationships/hyperlink" Target="http://www.burkemuseum.org/research-and-collections/botany-and-herbarium/collections/database/results.php?Genus=Claytonia&amp;Species=sibirica&amp;SourcePage=search.php&amp;IncludeSynonyms=Y&amp;SortBy=DESC&amp;SortOrder=Year" TargetMode="External"/><Relationship Id="rId4535" Type="http://schemas.openxmlformats.org/officeDocument/2006/relationships/hyperlink" Target="https://en.wikipedia.org/wiki/Acer_circinatum" TargetMode="External"/><Relationship Id="rId3137" Type="http://schemas.openxmlformats.org/officeDocument/2006/relationships/hyperlink" Target="http://www.burkemuseum.org/research-and-collections/botany-and-herbarium/collections/database/results.php?Genus=Micranthes&amp;Species=ferruginea&amp;SourcePage=search.php&amp;IncludeSynonyms=Y&amp;SortBy=DESC&amp;SortOrder=Year" TargetMode="External"/><Relationship Id="rId3551" Type="http://schemas.openxmlformats.org/officeDocument/2006/relationships/hyperlink" Target="http://www.burkemuseum.org/research-and-collections/botany-and-herbarium/collections/database/results.php?Genus=Physocarpus&amp;Species=capitatus&amp;SourcePage=search.php&amp;IncludeSynonyms=Y&amp;SortBy=DESC&amp;SortOrder=Year" TargetMode="External"/><Relationship Id="rId4602" Type="http://schemas.openxmlformats.org/officeDocument/2006/relationships/hyperlink" Target="http://www.burkemuseum.org/research-and-collections/botany-and-herbarium/collections/database/results.php?Genus=Allium&amp;Species=cernuum&amp;SourcePage=search.php&amp;IncludeSynonyms=Y&amp;SortBy=DESC&amp;SortOrder=Year" TargetMode="External"/><Relationship Id="rId472" Type="http://schemas.openxmlformats.org/officeDocument/2006/relationships/hyperlink" Target="http://biology.burke.washington.edu/herbarium/imagecollectionnew/taxon.php?Taxon=Veronica%20peregrina" TargetMode="External"/><Relationship Id="rId2153" Type="http://schemas.openxmlformats.org/officeDocument/2006/relationships/hyperlink" Target="https://plants.usda.gov/core/profile?symbol=gaar" TargetMode="External"/><Relationship Id="rId3204" Type="http://schemas.openxmlformats.org/officeDocument/2006/relationships/hyperlink" Target="http://www.burkemuseum.org/research-and-collections/botany-and-herbarium/collections/database/results.php?Genus=Pinus&amp;Species=albicaulis&amp;SourcePage=search.php&amp;IncludeSynonyms=Y&amp;SortBy=DESC&amp;SortOrder=Year" TargetMode="External"/><Relationship Id="rId6774" Type="http://schemas.openxmlformats.org/officeDocument/2006/relationships/hyperlink" Target="http://biology.burke.washington.edu/herbarium/imagecollection/taxon.php?Taxon=Gratiola%20neglecta" TargetMode="External"/><Relationship Id="rId125" Type="http://schemas.openxmlformats.org/officeDocument/2006/relationships/hyperlink" Target="http://biology.burke.washington.edu/herbarium/imagecollection/taxon.php?Taxon=Populus%20trichocarpa" TargetMode="External"/><Relationship Id="rId2220" Type="http://schemas.openxmlformats.org/officeDocument/2006/relationships/hyperlink" Target="https://plants.usda.gov/core/profile?symbol=LYDE" TargetMode="External"/><Relationship Id="rId5376" Type="http://schemas.openxmlformats.org/officeDocument/2006/relationships/hyperlink" Target="https://en.wikipedia.org/wiki/Sarcocornia_perennis" TargetMode="External"/><Relationship Id="rId5790" Type="http://schemas.openxmlformats.org/officeDocument/2006/relationships/hyperlink" Target="http://www.burkemuseum.org/research-and-collections/botany-and-herbarium/collections/database/results.php?Genus=Gratiola&amp;Species=ebracteata&amp;SourcePage=search.php&amp;IncludeSynonyms=Y&amp;SortBy=DESC&amp;SortOrder=Year" TargetMode="External"/><Relationship Id="rId6427" Type="http://schemas.openxmlformats.org/officeDocument/2006/relationships/hyperlink" Target="http://biology.burke.washington.edu/herbarium/imagecollectionnew/taxon.php?Taxon=Cerastium%20arvense" TargetMode="External"/><Relationship Id="rId4392" Type="http://schemas.openxmlformats.org/officeDocument/2006/relationships/hyperlink" Target="https://plants.usda.gov/core/profile?symbol=SEOR" TargetMode="External"/><Relationship Id="rId5029" Type="http://schemas.openxmlformats.org/officeDocument/2006/relationships/hyperlink" Target="https://en.wikipedia.org/wiki/Hosackia_rosea" TargetMode="External"/><Relationship Id="rId5443" Type="http://schemas.openxmlformats.org/officeDocument/2006/relationships/hyperlink" Target="https://en.wikipedia.org/wiki/Symphoricarpos_albus" TargetMode="External"/><Relationship Id="rId6841" Type="http://schemas.openxmlformats.org/officeDocument/2006/relationships/hyperlink" Target="http://biology.burke.washington.edu/herbarium/imagecollectionnew/taxon.php?Taxon=Caltha%20palustris" TargetMode="External"/><Relationship Id="rId1986" Type="http://schemas.openxmlformats.org/officeDocument/2006/relationships/hyperlink" Target="http://plants.usda.gov/core/profile?symbol=NULUP" TargetMode="External"/><Relationship Id="rId4045" Type="http://schemas.openxmlformats.org/officeDocument/2006/relationships/hyperlink" Target="https://plants.usda.gov/core/profile?symbol=JUTE" TargetMode="External"/><Relationship Id="rId1639" Type="http://schemas.openxmlformats.org/officeDocument/2006/relationships/hyperlink" Target="http://biology.burke.washington.edu/herbarium/imagecollection/taxon.php?Taxon=Glehnia%20leiocarpa" TargetMode="External"/><Relationship Id="rId3061" Type="http://schemas.openxmlformats.org/officeDocument/2006/relationships/hyperlink" Target="http://www.burkemuseum.org/research-and-collections/botany-and-herbarium/collections/database/results.php?Genus=Juncus&amp;Species=brevicaudatus&amp;SourcePage=search.php&amp;IncludeSynonyms=Y&amp;SortBy=DESC&amp;SortOrder=Year" TargetMode="External"/><Relationship Id="rId5510" Type="http://schemas.openxmlformats.org/officeDocument/2006/relationships/hyperlink" Target="https://en.wikipedia.org/wiki/Vicia_nigricans" TargetMode="External"/><Relationship Id="rId1706" Type="http://schemas.openxmlformats.org/officeDocument/2006/relationships/hyperlink" Target="http://biology.burke.washington.edu/herbarium/imagecollection/taxon.php?Taxon=Phacelia%20nemoralis" TargetMode="External"/><Relationship Id="rId4112" Type="http://schemas.openxmlformats.org/officeDocument/2006/relationships/hyperlink" Target="https://plants.usda.gov/core/profile?symbol=TRBOL" TargetMode="External"/><Relationship Id="rId3878" Type="http://schemas.openxmlformats.org/officeDocument/2006/relationships/hyperlink" Target="https://plants.usda.gov/core/profile?symbol=DAPE" TargetMode="External"/><Relationship Id="rId4929" Type="http://schemas.openxmlformats.org/officeDocument/2006/relationships/hyperlink" Target="https://en.wikipedia.org/wiki/Epilobium_ciliatum" TargetMode="External"/><Relationship Id="rId6284" Type="http://schemas.openxmlformats.org/officeDocument/2006/relationships/hyperlink" Target="http://www.burkemuseum.org/research-and-collections/botany-and-herbarium/collections/database/results.php?Genus=Utricularia&amp;Species=gibba&amp;SourcePage=search.php&amp;IncludeSynonyms=Y&amp;SortBy=DESC&amp;SortOrder=Year" TargetMode="External"/><Relationship Id="rId799" Type="http://schemas.openxmlformats.org/officeDocument/2006/relationships/hyperlink" Target="https://en.wikipedia.org/wiki/Plagiobothrys_figuratus" TargetMode="External"/><Relationship Id="rId2894" Type="http://schemas.openxmlformats.org/officeDocument/2006/relationships/hyperlink" Target="http://www.burkemuseum.org/research-and-collections/botany-and-herbarium/collections/database/results.php?Genus=Clematis&amp;Species=ligusticifolia&amp;SourcePage=search.php&amp;IncludeSynonyms=Y&amp;SortBy=DESC&amp;SortOrder=Year" TargetMode="External"/><Relationship Id="rId6351" Type="http://schemas.openxmlformats.org/officeDocument/2006/relationships/hyperlink" Target="https://plants.usda.gov/core/profile?symbol=adpe" TargetMode="External"/><Relationship Id="rId659" Type="http://schemas.openxmlformats.org/officeDocument/2006/relationships/hyperlink" Target="https://en.wikipedia.org/wiki/Rhinanthus_minor" TargetMode="External"/><Relationship Id="rId866" Type="http://schemas.openxmlformats.org/officeDocument/2006/relationships/hyperlink" Target="https://en.wikipedia.org/wiki/Matteuccia" TargetMode="External"/><Relationship Id="rId1289" Type="http://schemas.openxmlformats.org/officeDocument/2006/relationships/hyperlink" Target="http://biology.burke.washington.edu/herbarium/imagecollection/taxon.php?Taxon=Rotala%20ramosior" TargetMode="External"/><Relationship Id="rId1496" Type="http://schemas.openxmlformats.org/officeDocument/2006/relationships/hyperlink" Target="https://en.wikipedia.org/wiki/Sedum_spathulifolium" TargetMode="External"/><Relationship Id="rId2547" Type="http://schemas.openxmlformats.org/officeDocument/2006/relationships/hyperlink" Target="https://plants.usda.gov/core/profile?symbol=HUMI" TargetMode="External"/><Relationship Id="rId3945" Type="http://schemas.openxmlformats.org/officeDocument/2006/relationships/hyperlink" Target="https://plants.usda.gov/core/profile?symbol=ERGR9" TargetMode="External"/><Relationship Id="rId5160" Type="http://schemas.openxmlformats.org/officeDocument/2006/relationships/hyperlink" Target="https://en.wikipedia.org/wiki/Myriophyllum_hippuroides" TargetMode="External"/><Relationship Id="rId6004" Type="http://schemas.openxmlformats.org/officeDocument/2006/relationships/hyperlink" Target="http://www.burkemuseum.org/research-and-collections/botany-and-herbarium/collections/database/results.php?Genus=Penstemon&amp;Species=ovatus&amp;SourcePage=search.php&amp;IncludeSynonyms=Y&amp;SortBy=DESC&amp;SortOrder=Year" TargetMode="External"/><Relationship Id="rId6211" Type="http://schemas.openxmlformats.org/officeDocument/2006/relationships/hyperlink" Target="http://www.burkemuseum.org/research-and-collections/botany-and-herbarium/collections/database/results.php?Genus=Solidago&amp;Species=canadensis&amp;SourcePage=search.php&amp;IncludeSynonyms=Y&amp;SortBy=DESC&amp;SortOrder=Year" TargetMode="External"/><Relationship Id="rId519" Type="http://schemas.openxmlformats.org/officeDocument/2006/relationships/hyperlink" Target="https://en.wikipedia.org/wiki/Veratrum_californicum" TargetMode="External"/><Relationship Id="rId1149" Type="http://schemas.openxmlformats.org/officeDocument/2006/relationships/hyperlink" Target="https://en.wikipedia.org/wiki/Gayophytum_diffusum" TargetMode="External"/><Relationship Id="rId1356" Type="http://schemas.openxmlformats.org/officeDocument/2006/relationships/hyperlink" Target="http://biology.burke.washington.edu/herbarium/imagecollection/taxon.php?Taxon=Ligusticum%20apiifolium" TargetMode="External"/><Relationship Id="rId2754" Type="http://schemas.openxmlformats.org/officeDocument/2006/relationships/hyperlink" Target="http://www.burkemuseum.org/research-and-collections/botany-and-herbarium/collections/database/results.php?Genus=Angelica&amp;Species=hendersonii&amp;SourcePage=search.php&amp;IncludeSynonyms=Y&amp;SortBy=DESC&amp;SortOrder=Year" TargetMode="External"/><Relationship Id="rId2961" Type="http://schemas.openxmlformats.org/officeDocument/2006/relationships/hyperlink" Target="http://www.burkemuseum.org/research-and-collections/botany-and-herbarium/collections/database/results.php?Genus=Epilobium&amp;Species=brachycarpum&amp;SourcePage=search.php&amp;IncludeSynonyms=Y&amp;SortBy=DESC&amp;SortOrder=Year" TargetMode="External"/><Relationship Id="rId3805" Type="http://schemas.openxmlformats.org/officeDocument/2006/relationships/hyperlink" Target="https://plants.usda.gov/core/profile?symbol=CAVI5" TargetMode="External"/><Relationship Id="rId5020" Type="http://schemas.openxmlformats.org/officeDocument/2006/relationships/hyperlink" Target="https://en.wikipedia.org/wiki/Hierochloe_odorata" TargetMode="External"/><Relationship Id="rId726" Type="http://schemas.openxmlformats.org/officeDocument/2006/relationships/hyperlink" Target="https://en.wikipedia.org/wiki/Eleocharis_parvula" TargetMode="External"/><Relationship Id="rId933" Type="http://schemas.openxmlformats.org/officeDocument/2006/relationships/hyperlink" Target="https://en.wikipedia.org/wiki/Carex" TargetMode="External"/><Relationship Id="rId1009" Type="http://schemas.openxmlformats.org/officeDocument/2006/relationships/hyperlink" Target="https://en.wikipedia.org/wiki/Apocynum_androsaemifolium" TargetMode="External"/><Relationship Id="rId1563" Type="http://schemas.openxmlformats.org/officeDocument/2006/relationships/hyperlink" Target="http://en.wikipedia.org/wiki/Maianthemum_dilatatum" TargetMode="External"/><Relationship Id="rId1770" Type="http://schemas.openxmlformats.org/officeDocument/2006/relationships/hyperlink" Target="https://plants.usda.gov/core/profile?symbol=SYLA4" TargetMode="External"/><Relationship Id="rId2407" Type="http://schemas.openxmlformats.org/officeDocument/2006/relationships/hyperlink" Target="http://plants.usda.gov/java/profile?symbol=ANMA" TargetMode="External"/><Relationship Id="rId2614" Type="http://schemas.openxmlformats.org/officeDocument/2006/relationships/hyperlink" Target="http://biology.burke.washington.edu/herbarium/imagecollectionnew/taxon.php?Taxon=Symphyotrichum%20boreale" TargetMode="External"/><Relationship Id="rId2821" Type="http://schemas.openxmlformats.org/officeDocument/2006/relationships/hyperlink" Target="http://www.burkemuseum.org/research-and-collections/botany-and-herbarium/collections/database/results.php?Genus=Campanula&amp;Species=scouleri&amp;SourcePage=search.php&amp;IncludeSynonyms=Y&amp;SortBy=DESC&amp;SortOrder=Year" TargetMode="External"/><Relationship Id="rId5977" Type="http://schemas.openxmlformats.org/officeDocument/2006/relationships/hyperlink" Target="http://www.burkemuseum.org/research-and-collections/botany-and-herbarium/collections/database/results.php?Genus=Olsynium&amp;Species=douglasii&amp;SourcePage=search.php&amp;IncludeSynonyms=Y&amp;SortBy=DESC&amp;SortOrder=Year" TargetMode="External"/><Relationship Id="rId7192" Type="http://schemas.openxmlformats.org/officeDocument/2006/relationships/hyperlink" Target="http://biology.burke.washington.edu/herbarium/imagecollection/taxon.php?Taxon=Ribes%20divaricatum" TargetMode="External"/><Relationship Id="rId62" Type="http://schemas.openxmlformats.org/officeDocument/2006/relationships/hyperlink" Target="http://biology.burke.washington.edu/herbarium/imagecollection/taxon.php?Taxon=Pteridium%20aquilinum" TargetMode="External"/><Relationship Id="rId1216" Type="http://schemas.openxmlformats.org/officeDocument/2006/relationships/hyperlink" Target="http://biology.burke.washington.edu/herbarium/imagecollection/taxon.php?Taxon=Monotropa%20hypopitys" TargetMode="External"/><Relationship Id="rId1423" Type="http://schemas.openxmlformats.org/officeDocument/2006/relationships/hyperlink" Target="http://biology.burke.washington.edu/herbarium/imagecollection/taxon.php?Taxon=Heuchera%20glabra" TargetMode="External"/><Relationship Id="rId1630" Type="http://schemas.openxmlformats.org/officeDocument/2006/relationships/hyperlink" Target="http://biology.burke.washington.edu/herbarium/imagecollectionnew/taxon.php?Taxon=Lysimachia%20latifolia" TargetMode="External"/><Relationship Id="rId4579" Type="http://schemas.openxmlformats.org/officeDocument/2006/relationships/hyperlink" Target="http://www.burkemuseum.org/research-and-collections/botany-and-herbarium/collections/database/results.php?Genus=Acer&amp;Species=circinatum&amp;SourcePage=search.php&amp;IncludeSynonyms=Y&amp;SortBy=DESC&amp;SortOrder=Year" TargetMode="External"/><Relationship Id="rId4786" Type="http://schemas.openxmlformats.org/officeDocument/2006/relationships/hyperlink" Target="https://en.wikipedia.org/wiki/Carex_echinata" TargetMode="External"/><Relationship Id="rId4993" Type="http://schemas.openxmlformats.org/officeDocument/2006/relationships/hyperlink" Target="https://en.wikipedia.org/wiki/Gilia_capitata" TargetMode="External"/><Relationship Id="rId5837" Type="http://schemas.openxmlformats.org/officeDocument/2006/relationships/hyperlink" Target="http://www.burkemuseum.org/research-and-collections/botany-and-herbarium/collections/database/results.php?Genus=Juncus&amp;Species=bolanderi&amp;SourcePage=search.php&amp;IncludeSynonyms=Y&amp;SortBy=DESC&amp;SortOrder=Year" TargetMode="External"/><Relationship Id="rId3388" Type="http://schemas.openxmlformats.org/officeDocument/2006/relationships/hyperlink" Target="http://www.burkemuseum.org/research-and-collections/botany-and-herbarium/collections/database/results.php?Genus=Tanacetum&amp;Species=bipinnatum&amp;SourcePage=search.php&amp;IncludeSynonyms=Y&amp;SortBy=DESC&amp;SortOrder=Year" TargetMode="External"/><Relationship Id="rId3595" Type="http://schemas.openxmlformats.org/officeDocument/2006/relationships/hyperlink" Target="http://www.burkemuseum.org/research-and-collections/botany-and-herbarium/collections/database/results.php?Genus=Stachys&amp;Species=rigida&amp;SourcePage=search.php&amp;IncludeSynonyms=Y&amp;SortBy=DESC&amp;SortOrder=Year" TargetMode="External"/><Relationship Id="rId4439" Type="http://schemas.openxmlformats.org/officeDocument/2006/relationships/hyperlink" Target="https://plants.usda.gov/core/profile?symbol=STFIF" TargetMode="External"/><Relationship Id="rId4646" Type="http://schemas.openxmlformats.org/officeDocument/2006/relationships/hyperlink" Target="http://www.burkemuseum.org/research-and-collections/botany-and-herbarium/collections/database/results.php?Genus=Artemisia&amp;Species=campestris&amp;SourcePage=search.php&amp;IncludeSynonyms=Y&amp;SortBy=DESC&amp;SortOrder=Year" TargetMode="External"/><Relationship Id="rId4853" Type="http://schemas.openxmlformats.org/officeDocument/2006/relationships/hyperlink" Target="https://en.wikipedia.org/wiki/Clinopodium_douglasii" TargetMode="External"/><Relationship Id="rId5904" Type="http://schemas.openxmlformats.org/officeDocument/2006/relationships/hyperlink" Target="http://www.burkemuseum.org/research-and-collections/botany-and-herbarium/collections/database/results.php?Genus=Luzula&amp;Species=comosa&amp;SourcePage=search.php&amp;IncludeSynonyms=Y&amp;SortBy=DESC&amp;SortOrder=Year" TargetMode="External"/><Relationship Id="rId7052" Type="http://schemas.openxmlformats.org/officeDocument/2006/relationships/hyperlink" Target="http://biology.burke.washington.edu/herbarium/imagecollectionnew/taxon.php?Taxon=Anticlea%20occidentalis" TargetMode="External"/><Relationship Id="rId2197" Type="http://schemas.openxmlformats.org/officeDocument/2006/relationships/hyperlink" Target="http://plants.usda.gov/java/profile?symbol=ELGL" TargetMode="External"/><Relationship Id="rId3248" Type="http://schemas.openxmlformats.org/officeDocument/2006/relationships/hyperlink" Target="http://www.burkemuseum.org/research-and-collections/botany-and-herbarium/collections/database/results.php?Genus=Potentilla&amp;Species=drummondii&amp;SourcePage=search.php&amp;IncludeSynonyms=Y&amp;SortBy=DESC&amp;SortOrder=Year" TargetMode="External"/><Relationship Id="rId3455" Type="http://schemas.openxmlformats.org/officeDocument/2006/relationships/hyperlink" Target="http://www.burkemuseum.org/research-and-collections/botany-and-herbarium/collections/database/results.php?Genus=Achlys&amp;Species=triphylla&amp;SourcePage=search.php&amp;IncludeSynonyms=Y&amp;SortBy=DESC&amp;SortOrder=Year" TargetMode="External"/><Relationship Id="rId3662" Type="http://schemas.openxmlformats.org/officeDocument/2006/relationships/hyperlink" Target="https://plants.usda.gov/core/profile?symbol=AMMEM2" TargetMode="External"/><Relationship Id="rId4506" Type="http://schemas.openxmlformats.org/officeDocument/2006/relationships/hyperlink" Target="https://plants.usda.gov/core/profile?symbol=VIED" TargetMode="External"/><Relationship Id="rId4713" Type="http://schemas.openxmlformats.org/officeDocument/2006/relationships/hyperlink" Target="https://en.wikipedia.org/wiki/Artemisia_ludoviciana" TargetMode="External"/><Relationship Id="rId169" Type="http://schemas.openxmlformats.org/officeDocument/2006/relationships/hyperlink" Target="http://biology.burke.washington.edu/herbarium/imagecollection/taxon.php?Taxon=Festuca%20idahoensis" TargetMode="External"/><Relationship Id="rId376" Type="http://schemas.openxmlformats.org/officeDocument/2006/relationships/hyperlink" Target="http://biology.burke.washington.edu/herbarium/imagecollectionnew/taxon.php?Taxon=Cystopteris%20fragilis" TargetMode="External"/><Relationship Id="rId583" Type="http://schemas.openxmlformats.org/officeDocument/2006/relationships/hyperlink" Target="https://en.wikipedia.org/wiki/Sparganium_angustifolium" TargetMode="External"/><Relationship Id="rId790" Type="http://schemas.openxmlformats.org/officeDocument/2006/relationships/hyperlink" Target="https://en.wikipedia.org/wiki/Poa_macrantha" TargetMode="External"/><Relationship Id="rId2057" Type="http://schemas.openxmlformats.org/officeDocument/2006/relationships/hyperlink" Target="https://plants.usda.gov/core/profile?symbol=LOKA" TargetMode="External"/><Relationship Id="rId2264" Type="http://schemas.openxmlformats.org/officeDocument/2006/relationships/hyperlink" Target="http://plants.usda.gov/java/profile?symbol=CLPA5" TargetMode="External"/><Relationship Id="rId2471" Type="http://schemas.openxmlformats.org/officeDocument/2006/relationships/hyperlink" Target="http://plants.usda.gov/java/profile?symbol=SEDI" TargetMode="External"/><Relationship Id="rId3108" Type="http://schemas.openxmlformats.org/officeDocument/2006/relationships/hyperlink" Target="http://www.burkemuseum.org/research-and-collections/botany-and-herbarium/collections/database/results.php?Genus=Lupinus&amp;Species=bicolor&amp;SourcePage=search.php&amp;IncludeSynonyms=Y&amp;SortBy=DESC&amp;SortOrder=Year" TargetMode="External"/><Relationship Id="rId3315" Type="http://schemas.openxmlformats.org/officeDocument/2006/relationships/hyperlink" Target="http://www.burkemuseum.org/research-and-collections/botany-and-herbarium/collections/database/results.php?Genus=Salix&amp;Species=pedicellaris&amp;SourcePage=search.php&amp;IncludeSynonyms=Y&amp;SortBy=DESC&amp;SortOrder=Year" TargetMode="External"/><Relationship Id="rId3522" Type="http://schemas.openxmlformats.org/officeDocument/2006/relationships/hyperlink" Target="http://www.burkemuseum.org/research-and-collections/botany-and-herbarium/collections/database/results.php?Genus=Lomatium&amp;Species=utriculatum&amp;SourcePage=search.php&amp;IncludeSynonyms=Y&amp;SortBy=DESC&amp;SortOrder=Year" TargetMode="External"/><Relationship Id="rId4920" Type="http://schemas.openxmlformats.org/officeDocument/2006/relationships/hyperlink" Target="https://en.wikipedia.org/wiki/Eleocharis_ovata" TargetMode="External"/><Relationship Id="rId6678" Type="http://schemas.openxmlformats.org/officeDocument/2006/relationships/hyperlink" Target="http://biology.burke.washington.edu/herbarium/imagecollectionnew/taxon.php?Taxon=Pseudognaphalium%20thermale" TargetMode="External"/><Relationship Id="rId236" Type="http://schemas.openxmlformats.org/officeDocument/2006/relationships/hyperlink" Target="http://biology.burke.washington.edu/herbarium/imagecollection/taxon.php?Taxon=Potamogeton%20nodosus" TargetMode="External"/><Relationship Id="rId443" Type="http://schemas.openxmlformats.org/officeDocument/2006/relationships/hyperlink" Target="http://biology.burke.washington.edu/herbarium/imagecollectionnew/taxon.php?Taxon=Dodecatheon%20pulchellum" TargetMode="External"/><Relationship Id="rId650" Type="http://schemas.openxmlformats.org/officeDocument/2006/relationships/hyperlink" Target="https://en.wikipedia.org/wiki/Ribes_laxiflorum" TargetMode="External"/><Relationship Id="rId1073" Type="http://schemas.openxmlformats.org/officeDocument/2006/relationships/hyperlink" Target="https://en.wikipedia.org/wiki/Lupinus_bicolor" TargetMode="External"/><Relationship Id="rId1280" Type="http://schemas.openxmlformats.org/officeDocument/2006/relationships/hyperlink" Target="http://biology.burke.washington.edu/herbarium/imagecollection/taxon.php?Taxon=Pityopus%20californicus" TargetMode="External"/><Relationship Id="rId2124" Type="http://schemas.openxmlformats.org/officeDocument/2006/relationships/hyperlink" Target="http://plants.usda.gov/java/profile?symbol=HEMI20" TargetMode="External"/><Relationship Id="rId2331" Type="http://schemas.openxmlformats.org/officeDocument/2006/relationships/hyperlink" Target="http://plants.usda.gov/java/profile?symbol=CABR6" TargetMode="External"/><Relationship Id="rId5487" Type="http://schemas.openxmlformats.org/officeDocument/2006/relationships/hyperlink" Target="https://en.wikipedia.org/wiki/Utricularia_intermedia" TargetMode="External"/><Relationship Id="rId6885" Type="http://schemas.openxmlformats.org/officeDocument/2006/relationships/hyperlink" Target="http://biology.burke.washington.edu/herbarium/imagecollectionnew/taxon.php?Taxon=Scirpus%20atrocinctus" TargetMode="External"/><Relationship Id="rId303" Type="http://schemas.openxmlformats.org/officeDocument/2006/relationships/hyperlink" Target="http://biology.burke.washington.edu/herbarium/imagecollectionnew/taxon.php?Taxon=Arctostaphylos%20uva-ursi" TargetMode="External"/><Relationship Id="rId1140" Type="http://schemas.openxmlformats.org/officeDocument/2006/relationships/hyperlink" Target="https://en.wikipedia.org/wiki/Hippuris_vulgaris" TargetMode="External"/><Relationship Id="rId4089" Type="http://schemas.openxmlformats.org/officeDocument/2006/relationships/hyperlink" Target="https://plants.usda.gov/core/profile?symbol=LOIN5" TargetMode="External"/><Relationship Id="rId4296" Type="http://schemas.openxmlformats.org/officeDocument/2006/relationships/hyperlink" Target="https://plants.usda.gov/core/profile?symbol=RACA2" TargetMode="External"/><Relationship Id="rId5694" Type="http://schemas.openxmlformats.org/officeDocument/2006/relationships/hyperlink" Target="http://www.burkemuseum.org/research-and-collections/botany-and-herbarium/collections/database/results.php?Genus=Dichanthelium&amp;Species=acuminatum&amp;SourcePage=search.php&amp;IncludeSynonyms=Y&amp;SortBy=DESC&amp;SortOrder=Year" TargetMode="External"/><Relationship Id="rId6538" Type="http://schemas.openxmlformats.org/officeDocument/2006/relationships/hyperlink" Target="http://biology.burke.washington.edu/herbarium/imagecollection/taxon.php?Taxon=Juncus%20ensifolius" TargetMode="External"/><Relationship Id="rId6745" Type="http://schemas.openxmlformats.org/officeDocument/2006/relationships/hyperlink" Target="http://biology.burke.washington.edu/herbarium/imagecollection/taxon.php?Taxon=Lobelia%20kalmii" TargetMode="External"/><Relationship Id="rId6952" Type="http://schemas.openxmlformats.org/officeDocument/2006/relationships/hyperlink" Target="http://biology.burke.washington.edu/herbarium/imagecollection/taxon.php?Taxon=Lathyrus%20vestitus" TargetMode="External"/><Relationship Id="rId510" Type="http://schemas.openxmlformats.org/officeDocument/2006/relationships/hyperlink" Target="https://en.wikipedia.org/wiki/Vicia_americana" TargetMode="External"/><Relationship Id="rId5347" Type="http://schemas.openxmlformats.org/officeDocument/2006/relationships/hyperlink" Target="https://en.wikipedia.org/wiki/Salicornia_depressa" TargetMode="External"/><Relationship Id="rId5554" Type="http://schemas.openxmlformats.org/officeDocument/2006/relationships/hyperlink" Target="http://www.burkemuseum.org/research-and-collections/botany-and-herbarium/collections/database/results.php?Genus=Caltha&amp;Species=leptosepala&amp;SourcePage=search.php&amp;IncludeSynonyms=Y&amp;SortBy=DESC&amp;SortOrder=Year" TargetMode="External"/><Relationship Id="rId5761" Type="http://schemas.openxmlformats.org/officeDocument/2006/relationships/hyperlink" Target="http://www.burkemuseum.org/research-and-collections/botany-and-herbarium/collections/database/results.php?Genus=Fragaria&amp;Species=virginiana&amp;SourcePage=search.php&amp;IncludeSynonyms=Y&amp;SortBy=DESC&amp;SortOrder=Year" TargetMode="External"/><Relationship Id="rId6605" Type="http://schemas.openxmlformats.org/officeDocument/2006/relationships/hyperlink" Target="http://biology.burke.washington.edu/herbarium/imagecollection/taxon.php?Taxon=Perideridia%20montana" TargetMode="External"/><Relationship Id="rId6812" Type="http://schemas.openxmlformats.org/officeDocument/2006/relationships/hyperlink" Target="http://biology.burke.washington.edu/herbarium/imagecollectionnew/taxon.php?Taxon=Clinopodium%20douglasii" TargetMode="External"/><Relationship Id="rId1000" Type="http://schemas.openxmlformats.org/officeDocument/2006/relationships/hyperlink" Target="https://en.wikipedia.org/wiki/Arnica" TargetMode="External"/><Relationship Id="rId1957" Type="http://schemas.openxmlformats.org/officeDocument/2006/relationships/hyperlink" Target="https://plants.usda.gov/core/profile?symbol=pola4" TargetMode="External"/><Relationship Id="rId4156" Type="http://schemas.openxmlformats.org/officeDocument/2006/relationships/hyperlink" Target="https://plants.usda.gov/core/profile?symbol=MYGA" TargetMode="External"/><Relationship Id="rId4363" Type="http://schemas.openxmlformats.org/officeDocument/2006/relationships/hyperlink" Target="https://plants.usda.gov/core/profile?symbol=SAPR3" TargetMode="External"/><Relationship Id="rId4570" Type="http://schemas.openxmlformats.org/officeDocument/2006/relationships/hyperlink" Target="https://en.wikipedia.org/wiki/Amsinckia_spectabilis" TargetMode="External"/><Relationship Id="rId5207" Type="http://schemas.openxmlformats.org/officeDocument/2006/relationships/hyperlink" Target="https://en.wikipedia.org/wiki/Penstemon_richardsonii" TargetMode="External"/><Relationship Id="rId5414" Type="http://schemas.openxmlformats.org/officeDocument/2006/relationships/hyperlink" Target="https://en.wikipedia.org/wiki/Sorbus_scopulina" TargetMode="External"/><Relationship Id="rId5621" Type="http://schemas.openxmlformats.org/officeDocument/2006/relationships/hyperlink" Target="http://www.burkemuseum.org/research-and-collections/botany-and-herbarium/collections/database/results.php?Genus=Cephalanthera&amp;Species=austiniae&amp;SourcePage=search.php&amp;IncludeSynonyms=Y&amp;SortBy=DESC&amp;SortOrder=Year" TargetMode="External"/><Relationship Id="rId1817" Type="http://schemas.openxmlformats.org/officeDocument/2006/relationships/hyperlink" Target="http://plants.usda.gov/java/profile?symbol=SELA" TargetMode="External"/><Relationship Id="rId3172" Type="http://schemas.openxmlformats.org/officeDocument/2006/relationships/hyperlink" Target="http://www.burkemuseum.org/research-and-collections/botany-and-herbarium/collections/database/results.php?Genus=Oenothera&amp;Species=flava&amp;SourcePage=search.php&amp;IncludeSynonyms=Y&amp;SortBy=DESC&amp;SortOrder=Year" TargetMode="External"/><Relationship Id="rId4016" Type="http://schemas.openxmlformats.org/officeDocument/2006/relationships/hyperlink" Target="https://plants.usda.gov/core/profile?symbol=LOPI2" TargetMode="External"/><Relationship Id="rId4223" Type="http://schemas.openxmlformats.org/officeDocument/2006/relationships/hyperlink" Target="https://plants.usda.gov/core/profile?symbol=PIPO" TargetMode="External"/><Relationship Id="rId4430" Type="http://schemas.openxmlformats.org/officeDocument/2006/relationships/hyperlink" Target="https://plants.usda.gov/core/profile?symbol=STME" TargetMode="External"/><Relationship Id="rId3032" Type="http://schemas.openxmlformats.org/officeDocument/2006/relationships/hyperlink" Target="http://www.burkemuseum.org/research-and-collections/botany-and-herbarium/collections/database/results.php?Genus=Hemizonella&amp;Species=minima&amp;SourcePage=search.php&amp;IncludeSynonyms=Y&amp;SortBy=DESC&amp;SortOrder=Year" TargetMode="External"/><Relationship Id="rId6188" Type="http://schemas.openxmlformats.org/officeDocument/2006/relationships/hyperlink" Target="http://www.burkemuseum.org/research-and-collections/botany-and-herbarium/collections/database/results.php?Genus=Scutellaria&amp;Species=galericulata&amp;SourcePage=search.php&amp;IncludeSynonyms=Y&amp;SortBy=DESC&amp;SortOrder=Year" TargetMode="External"/><Relationship Id="rId6395" Type="http://schemas.openxmlformats.org/officeDocument/2006/relationships/hyperlink" Target="http://biology.burke.washington.edu/herbarium/imagecollectionnew/taxon.php?Taxon=Struthiopteris%20spicant" TargetMode="External"/><Relationship Id="rId7239" Type="http://schemas.openxmlformats.org/officeDocument/2006/relationships/hyperlink" Target="http://biology.burke.washington.edu/herbarium/imagecollection/taxon.php?Taxon=Picea%20sitchensis" TargetMode="External"/><Relationship Id="rId160" Type="http://schemas.openxmlformats.org/officeDocument/2006/relationships/hyperlink" Target="http://biology.burke.washington.edu/herbarium/imagecollection/taxon.php?Taxon=Meconella%20oregana" TargetMode="External"/><Relationship Id="rId3989" Type="http://schemas.openxmlformats.org/officeDocument/2006/relationships/hyperlink" Target="https://plants.usda.gov/core/profile?symbol=GREB" TargetMode="External"/><Relationship Id="rId6048" Type="http://schemas.openxmlformats.org/officeDocument/2006/relationships/hyperlink" Target="http://www.burkemuseum.org/research-and-collections/botany-and-herbarium/collections/database/results.php?Genus=Polemonium&amp;Species=carneum&amp;SourcePage=search.php&amp;IncludeSynonyms=Y&amp;SortBy=DESC&amp;SortOrder=Year" TargetMode="External"/><Relationship Id="rId6255" Type="http://schemas.openxmlformats.org/officeDocument/2006/relationships/hyperlink" Target="http://www.burkemuseum.org/research-and-collections/botany-and-herbarium/collections/database/results.php?Genus=Thermopsis&amp;Species=montana&amp;SourcePage=search.php&amp;IncludeSynonyms=Y&amp;SortBy=DESC&amp;SortOrder=Year" TargetMode="External"/><Relationship Id="rId6462" Type="http://schemas.openxmlformats.org/officeDocument/2006/relationships/hyperlink" Target="http://biology.burke.washington.edu/herbarium/imagecollectionnew/taxon.php?Taxon=Drymocallis%20glandulosa" TargetMode="External"/><Relationship Id="rId2798" Type="http://schemas.openxmlformats.org/officeDocument/2006/relationships/hyperlink" Target="http://www.burkemuseum.org/research-and-collections/botany-and-herbarium/collections/database/results.php?Genus=Blechnum&amp;Species=spicant&amp;SourcePage=search.php&amp;IncludeSynonyms=Y&amp;SortBy=DESC&amp;SortOrder=Year" TargetMode="External"/><Relationship Id="rId3849" Type="http://schemas.openxmlformats.org/officeDocument/2006/relationships/hyperlink" Target="https://plants.usda.gov/core/profile?symbol=COCA5" TargetMode="External"/><Relationship Id="rId5064" Type="http://schemas.openxmlformats.org/officeDocument/2006/relationships/hyperlink" Target="https://en.wikipedia.org/wiki/Lathyrus_littoralis" TargetMode="External"/><Relationship Id="rId5271" Type="http://schemas.openxmlformats.org/officeDocument/2006/relationships/hyperlink" Target="https://en.wikipedia.org/wiki/Potamogeton_nodosus" TargetMode="External"/><Relationship Id="rId6115" Type="http://schemas.openxmlformats.org/officeDocument/2006/relationships/hyperlink" Target="http://www.burkemuseum.org/research-and-collections/botany-and-herbarium/collections/database/results.php?Genus=Ribes&amp;Species=aureum&amp;SourcePage=search.php&amp;IncludeSynonyms=Y&amp;SortBy=DESC&amp;SortOrder=Year" TargetMode="External"/><Relationship Id="rId977" Type="http://schemas.openxmlformats.org/officeDocument/2006/relationships/hyperlink" Target="http://en.wikipedia.org/wiki/Bidens_frondosa" TargetMode="External"/><Relationship Id="rId2658" Type="http://schemas.openxmlformats.org/officeDocument/2006/relationships/hyperlink" Target="http://biology.burke.washington.edu/herbarium/imagecollectionnew/taxon.php?Taxon=Scutellaria%20galericulata" TargetMode="External"/><Relationship Id="rId2865" Type="http://schemas.openxmlformats.org/officeDocument/2006/relationships/hyperlink" Target="http://www.burkemuseum.org/research-and-collections/botany-and-herbarium/collections/database/results.php?Genus=Castilleja&amp;Species=miniata&amp;SourcePage=search.php&amp;IncludeSynonyms=Y&amp;SortBy=DESC&amp;SortOrder=Year" TargetMode="External"/><Relationship Id="rId3709" Type="http://schemas.openxmlformats.org/officeDocument/2006/relationships/hyperlink" Target="https://plants.usda.gov/core/profile?symbol=ATFI" TargetMode="External"/><Relationship Id="rId3916" Type="http://schemas.openxmlformats.org/officeDocument/2006/relationships/hyperlink" Target="https://plants.usda.gov/core/profile?symbol=EPBR3" TargetMode="External"/><Relationship Id="rId4080" Type="http://schemas.openxmlformats.org/officeDocument/2006/relationships/hyperlink" Target="https://plants.usda.gov/core/profile?symbol=LIPA5" TargetMode="External"/><Relationship Id="rId6322" Type="http://schemas.openxmlformats.org/officeDocument/2006/relationships/hyperlink" Target="http://www.burkemuseum.org/research-and-collections/botany-and-herbarium/collections/database/results.php?Genus=Xanthium&amp;Species=strumarium&amp;SourcePage=search.php&amp;IncludeSynonyms=Y&amp;SortBy=DESC&amp;SortOrder=Year" TargetMode="External"/><Relationship Id="rId837" Type="http://schemas.openxmlformats.org/officeDocument/2006/relationships/hyperlink" Target="https://en.wikipedia.org/wiki/Najas_flexilis" TargetMode="External"/><Relationship Id="rId1467" Type="http://schemas.openxmlformats.org/officeDocument/2006/relationships/hyperlink" Target="http://biology.burke.washington.edu/herbarium/imagecollectionnew/taxon.php?Taxon=Zeltnera%20muehlenbergii" TargetMode="External"/><Relationship Id="rId1674" Type="http://schemas.openxmlformats.org/officeDocument/2006/relationships/hyperlink" Target="http://biology.burke.washington.edu/herbarium/imagecollectionnew/taxon.php?Taxon=Symphyotrichum%20hallii" TargetMode="External"/><Relationship Id="rId1881" Type="http://schemas.openxmlformats.org/officeDocument/2006/relationships/hyperlink" Target="http://plants.usda.gov/core/profile?symbol=LEGR" TargetMode="External"/><Relationship Id="rId2518" Type="http://schemas.openxmlformats.org/officeDocument/2006/relationships/hyperlink" Target="http://plants.usda.gov/java/profile?symbol=OESA" TargetMode="External"/><Relationship Id="rId2725" Type="http://schemas.openxmlformats.org/officeDocument/2006/relationships/hyperlink" Target="http://www.burkemuseum.org/research-and-collections/botany-and-herbarium/collections/database/results.php?Genus=Adiantum&amp;Species=pedatum&amp;SourcePage=search.php&amp;IncludeSynonyms=Y&amp;SortBy=DESC&amp;SortOrder=Year" TargetMode="External"/><Relationship Id="rId2932" Type="http://schemas.openxmlformats.org/officeDocument/2006/relationships/hyperlink" Target="http://www.burkemuseum.org/research-and-collections/botany-and-herbarium/collections/database/results.php?Genus=Daucus&amp;Species=pusillus&amp;SourcePage=search.php&amp;IncludeSynonyms=Y&amp;SortBy=DESC&amp;SortOrder=Year" TargetMode="External"/><Relationship Id="rId5131" Type="http://schemas.openxmlformats.org/officeDocument/2006/relationships/hyperlink" Target="https://en.wikipedia.org/wiki/Mentha_spicata" TargetMode="External"/><Relationship Id="rId904" Type="http://schemas.openxmlformats.org/officeDocument/2006/relationships/hyperlink" Target="https://en.wikipedia.org/wiki/Cicuta_bulbifera" TargetMode="External"/><Relationship Id="rId1327" Type="http://schemas.openxmlformats.org/officeDocument/2006/relationships/hyperlink" Target="http://biology.burke.washington.edu/herbarium/imagecollectionnew/taxon.php?Taxon=Aspidotis%20densa" TargetMode="External"/><Relationship Id="rId1534" Type="http://schemas.openxmlformats.org/officeDocument/2006/relationships/hyperlink" Target="https://en.wikipedia.org/wiki/Dichelostemma_congestum" TargetMode="External"/><Relationship Id="rId1741" Type="http://schemas.openxmlformats.org/officeDocument/2006/relationships/hyperlink" Target="http://plants.usda.gov/java/profile?symbol=TYLA" TargetMode="External"/><Relationship Id="rId4897" Type="http://schemas.openxmlformats.org/officeDocument/2006/relationships/hyperlink" Target="https://en.wikipedia.org/wiki/Delphinium_trolliifolium" TargetMode="External"/><Relationship Id="rId5948" Type="http://schemas.openxmlformats.org/officeDocument/2006/relationships/hyperlink" Target="http://www.burkemuseum.org/research-and-collections/botany-and-herbarium/collections/database/results.php?Genus=Montia&amp;Species=dichotoma&amp;SourcePage=search.php&amp;IncludeSynonyms=Y&amp;SortBy=DESC&amp;SortOrder=Year" TargetMode="External"/><Relationship Id="rId7096" Type="http://schemas.openxmlformats.org/officeDocument/2006/relationships/hyperlink" Target="http://biology.burke.washington.edu/herbarium/imagecollectionnew/taxon.php?Taxon=Triteleia%20hyacinthina" TargetMode="External"/><Relationship Id="rId33" Type="http://schemas.openxmlformats.org/officeDocument/2006/relationships/hyperlink" Target="http://biology.burke.washington.edu/herbarium/imagecollection/taxon.php?Taxon=Hemizonella%20minima" TargetMode="External"/><Relationship Id="rId1601" Type="http://schemas.openxmlformats.org/officeDocument/2006/relationships/hyperlink" Target="https://en.wikipedia.org/wiki/Lupinus_latifolius" TargetMode="External"/><Relationship Id="rId3499" Type="http://schemas.openxmlformats.org/officeDocument/2006/relationships/hyperlink" Target="http://www.burkemuseum.org/research-and-collections/botany-and-herbarium/collections/database/results.php?Genus=Festuca&amp;Species=roemeri&amp;SourcePage=search.php&amp;IncludeSynonyms=Y&amp;SortBy=DESC&amp;SortOrder=Year" TargetMode="External"/><Relationship Id="rId4757" Type="http://schemas.openxmlformats.org/officeDocument/2006/relationships/hyperlink" Target="https://en.wikipedia.org/wiki/Callitriche_heterophylla" TargetMode="External"/><Relationship Id="rId7163" Type="http://schemas.openxmlformats.org/officeDocument/2006/relationships/hyperlink" Target="https://plants.usda.gov/core/profile?symbol=SALE" TargetMode="External"/><Relationship Id="rId3359" Type="http://schemas.openxmlformats.org/officeDocument/2006/relationships/hyperlink" Target="http://www.burkemuseum.org/research-and-collections/botany-and-herbarium/collections/database/results.php?Genus=Sparganium&amp;Species=emersum&amp;SourcePage=search.php&amp;IncludeSynonyms=Y&amp;SortBy=DESC&amp;SortOrder=Year" TargetMode="External"/><Relationship Id="rId3566" Type="http://schemas.openxmlformats.org/officeDocument/2006/relationships/hyperlink" Target="http://www.burkemuseum.org/research-and-collections/botany-and-herbarium/collections/database/results.php?Genus=Rhododendron&amp;Species=albiflorum&amp;SourcePage=search.php&amp;IncludeSynonyms=Y&amp;SortBy=DESC&amp;SortOrder=Year" TargetMode="External"/><Relationship Id="rId4964" Type="http://schemas.openxmlformats.org/officeDocument/2006/relationships/hyperlink" Target="https://en.wikipedia.org/wiki/Euthamia_occidentalis" TargetMode="External"/><Relationship Id="rId5808" Type="http://schemas.openxmlformats.org/officeDocument/2006/relationships/hyperlink" Target="http://www.burkemuseum.org/research-and-collections/botany-and-herbarium/collections/database/results.php?Genus=Hieracium&amp;Species=scouleri&amp;SourcePage=search.php&amp;IncludeSynonyms=Y&amp;SortBy=DESC&amp;SortOrder=Year" TargetMode="External"/><Relationship Id="rId7023" Type="http://schemas.openxmlformats.org/officeDocument/2006/relationships/hyperlink" Target="http://biology.burke.washington.edu/herbarium/imagecollectionnew/taxon.php?Taxon=Carex%20limosa" TargetMode="External"/><Relationship Id="rId7230" Type="http://schemas.openxmlformats.org/officeDocument/2006/relationships/hyperlink" Target="http://biology.burke.washington.edu/herbarium/imagecollection/taxon.php?Taxon=Polypodium%20glycyrrhiza" TargetMode="External"/><Relationship Id="rId487" Type="http://schemas.openxmlformats.org/officeDocument/2006/relationships/hyperlink" Target="http://biology.burke.washington.edu/herbarium/imagecollectionnew/taxon.php?Taxon=Yabea%20microcarpa" TargetMode="External"/><Relationship Id="rId694" Type="http://schemas.openxmlformats.org/officeDocument/2006/relationships/hyperlink" Target="https://en.wikipedia.org/wiki/Erythronium_grandiflorum" TargetMode="External"/><Relationship Id="rId2168" Type="http://schemas.openxmlformats.org/officeDocument/2006/relationships/hyperlink" Target="http://plants.usda.gov/java/profile?symbol=ERGR9" TargetMode="External"/><Relationship Id="rId2375" Type="http://schemas.openxmlformats.org/officeDocument/2006/relationships/hyperlink" Target="http://plants.usda.gov/java/profile?symbol=ASCA2" TargetMode="External"/><Relationship Id="rId3219" Type="http://schemas.openxmlformats.org/officeDocument/2006/relationships/hyperlink" Target="http://www.burkemuseum.org/research-and-collections/botany-and-herbarium/collections/database/results.php?Genus=Poa&amp;Species=confinis&amp;SourcePage=search.php&amp;IncludeSynonyms=Y&amp;SortBy=DESC&amp;SortOrder=Year" TargetMode="External"/><Relationship Id="rId3773" Type="http://schemas.openxmlformats.org/officeDocument/2006/relationships/hyperlink" Target="https://plants.usda.gov/core/profile?symbol=CAEC" TargetMode="External"/><Relationship Id="rId3980" Type="http://schemas.openxmlformats.org/officeDocument/2006/relationships/hyperlink" Target="https://plants.usda.gov/core/profile?symbol=GEMA4" TargetMode="External"/><Relationship Id="rId4617" Type="http://schemas.openxmlformats.org/officeDocument/2006/relationships/hyperlink" Target="http://www.burkemuseum.org/research-and-collections/botany-and-herbarium/collections/database/results.php?Genus=Anemone&amp;Species=deltoidea&amp;SourcePage=search.php&amp;IncludeSynonyms=Y&amp;SortBy=DESC&amp;SortOrder=Year" TargetMode="External"/><Relationship Id="rId4824" Type="http://schemas.openxmlformats.org/officeDocument/2006/relationships/hyperlink" Target="https://en.wikipedia.org/wiki/Ceanothus_sanguineus" TargetMode="External"/><Relationship Id="rId347" Type="http://schemas.openxmlformats.org/officeDocument/2006/relationships/hyperlink" Target="http://biology.burke.washington.edu/herbarium/imagecollectionnew/taxon.php?Taxon=Caltha%20palustris" TargetMode="External"/><Relationship Id="rId1184" Type="http://schemas.openxmlformats.org/officeDocument/2006/relationships/hyperlink" Target="http://biology.burke.washington.edu/herbarium/imagecollectionnew/taxon.php?Taxon=Trisetum%20canescens" TargetMode="External"/><Relationship Id="rId2028" Type="http://schemas.openxmlformats.org/officeDocument/2006/relationships/hyperlink" Target="http://plants.usda.gov/java/profile?symbol=MAST4" TargetMode="External"/><Relationship Id="rId2582" Type="http://schemas.openxmlformats.org/officeDocument/2006/relationships/hyperlink" Target="http://plants.usda.gov/java/profile?symbol=CAFE4" TargetMode="External"/><Relationship Id="rId3426" Type="http://schemas.openxmlformats.org/officeDocument/2006/relationships/hyperlink" Target="http://www.burkemuseum.org/research-and-collections/botany-and-herbarium/collections/database/results.php?Genus=Valeriana&amp;Species=sitchensis&amp;SourcePage=search.php&amp;IncludeSynonyms=Y&amp;SortBy=DESC&amp;SortOrder=Year" TargetMode="External"/><Relationship Id="rId3633" Type="http://schemas.openxmlformats.org/officeDocument/2006/relationships/hyperlink" Target="https://plants.usda.gov/core/profile?symbol=ACTR" TargetMode="External"/><Relationship Id="rId3840" Type="http://schemas.openxmlformats.org/officeDocument/2006/relationships/hyperlink" Target="https://plants.usda.gov/core/profile?symbol=cldo2" TargetMode="External"/><Relationship Id="rId6789" Type="http://schemas.openxmlformats.org/officeDocument/2006/relationships/hyperlink" Target="http://biology.burke.washington.edu/herbarium/imagecollection/taxon.php?Taxon=Epilobium%20glaberrimum" TargetMode="External"/><Relationship Id="rId6996" Type="http://schemas.openxmlformats.org/officeDocument/2006/relationships/hyperlink" Target="http://biology.burke.washington.edu/herbarium/imagecollectionnew/taxon.php?Taxon=Danthonia%20spicata" TargetMode="External"/><Relationship Id="rId554" Type="http://schemas.openxmlformats.org/officeDocument/2006/relationships/hyperlink" Target="https://en.wikipedia.org/wiki/Taxus_brevifolia" TargetMode="External"/><Relationship Id="rId761" Type="http://schemas.openxmlformats.org/officeDocument/2006/relationships/hyperlink" Target="https://en.wikipedia.org/wiki/Crataegus_douglasii" TargetMode="External"/><Relationship Id="rId1391" Type="http://schemas.openxmlformats.org/officeDocument/2006/relationships/hyperlink" Target="http://biology.burke.washington.edu/herbarium/imagecollection/taxon.php?Taxon=Abies%20amabilis" TargetMode="External"/><Relationship Id="rId2235" Type="http://schemas.openxmlformats.org/officeDocument/2006/relationships/hyperlink" Target="https://plants.usda.gov/core/profile?symbol=cybi6" TargetMode="External"/><Relationship Id="rId2442" Type="http://schemas.openxmlformats.org/officeDocument/2006/relationships/hyperlink" Target="http://plants.usda.gov/java/profile?symbol=WOFI" TargetMode="External"/><Relationship Id="rId3700" Type="http://schemas.openxmlformats.org/officeDocument/2006/relationships/hyperlink" Target="https://plants.usda.gov/core/profile?symbol=ARLU" TargetMode="External"/><Relationship Id="rId5598" Type="http://schemas.openxmlformats.org/officeDocument/2006/relationships/hyperlink" Target="http://www.burkemuseum.org/research-and-collections/botany-and-herbarium/collections/database/results.php?Genus=Carex&amp;Species=praticola&amp;SourcePage=search.php&amp;IncludeSynonyms=Y&amp;SortBy=DESC&amp;SortOrder=Year" TargetMode="External"/><Relationship Id="rId6649" Type="http://schemas.openxmlformats.org/officeDocument/2006/relationships/hyperlink" Target="http://biology.burke.washington.edu/herbarium/imagecollectionnew/taxon.php?Taxon=Sidalcea%20virgata" TargetMode="External"/><Relationship Id="rId6856" Type="http://schemas.openxmlformats.org/officeDocument/2006/relationships/hyperlink" Target="http://biology.burke.washington.edu/herbarium/imagecollection/taxon.php?Taxon=Aphyllon%20pinorum" TargetMode="External"/><Relationship Id="rId207" Type="http://schemas.openxmlformats.org/officeDocument/2006/relationships/hyperlink" Target="http://biology.burke.washington.edu/herbarium/imagecollection/taxon.php?Taxon=Galium%20triflorum" TargetMode="External"/><Relationship Id="rId414" Type="http://schemas.openxmlformats.org/officeDocument/2006/relationships/hyperlink" Target="http://biology.burke.washington.edu/herbarium/imagecollectionnew/taxon.php?Taxon=Circaea%20alpina" TargetMode="External"/><Relationship Id="rId621" Type="http://schemas.openxmlformats.org/officeDocument/2006/relationships/hyperlink" Target="https://en.wikipedia.org/wiki/Salix_planifolia" TargetMode="External"/><Relationship Id="rId1044" Type="http://schemas.openxmlformats.org/officeDocument/2006/relationships/hyperlink" Target="http://en.wikipedia.org/wiki/Acer_macrophyllum" TargetMode="External"/><Relationship Id="rId1251" Type="http://schemas.openxmlformats.org/officeDocument/2006/relationships/hyperlink" Target="https://en.wikipedia.org/wiki/Filipendula" TargetMode="External"/><Relationship Id="rId2302" Type="http://schemas.openxmlformats.org/officeDocument/2006/relationships/hyperlink" Target="https://plants.usda.gov/core/profile?symbol=CARO6" TargetMode="External"/><Relationship Id="rId5458" Type="http://schemas.openxmlformats.org/officeDocument/2006/relationships/hyperlink" Target="https://en.wikipedia.org/wiki/Thuja_plicata" TargetMode="External"/><Relationship Id="rId5665" Type="http://schemas.openxmlformats.org/officeDocument/2006/relationships/hyperlink" Target="http://www.burkemuseum.org/research-and-collections/botany-and-herbarium/collections/database/results.php?Genus=Corydalis&amp;Species=scouleri&amp;SourcePage=search.php&amp;IncludeSynonyms=Y&amp;SortBy=DESC&amp;SortOrder=Year" TargetMode="External"/><Relationship Id="rId5872" Type="http://schemas.openxmlformats.org/officeDocument/2006/relationships/hyperlink" Target="http://www.burkemuseum.org/research-and-collections/botany-and-herbarium/collections/database/results.php?Genus=Lewisia&amp;Species=rediviva&amp;SourcePage=search.php&amp;IncludeSynonyms=Y&amp;SortBy=DESC&amp;SortOrder=Year" TargetMode="External"/><Relationship Id="rId6509" Type="http://schemas.openxmlformats.org/officeDocument/2006/relationships/hyperlink" Target="http://biology.burke.washington.edu/herbarium/imagecollection/taxon.php?Taxon=Fragaria%20chiloensis" TargetMode="External"/><Relationship Id="rId6716" Type="http://schemas.openxmlformats.org/officeDocument/2006/relationships/hyperlink" Target="http://biology.burke.washington.edu/herbarium/imagecollection/taxon.php?Taxon=Nabalus%20alatus" TargetMode="External"/><Relationship Id="rId6923" Type="http://schemas.openxmlformats.org/officeDocument/2006/relationships/hyperlink" Target="http://biology.burke.washington.edu/herbarium/imagecollection/taxon.php?Taxon=Ophioglossum%20pusillum" TargetMode="External"/><Relationship Id="rId1111" Type="http://schemas.openxmlformats.org/officeDocument/2006/relationships/hyperlink" Target="https://en.wikipedia.org/wiki/Koeleria_macrantha" TargetMode="External"/><Relationship Id="rId4267" Type="http://schemas.openxmlformats.org/officeDocument/2006/relationships/hyperlink" Target="https://plants.usda.gov/core/profile?symbol=POOB2" TargetMode="External"/><Relationship Id="rId4474" Type="http://schemas.openxmlformats.org/officeDocument/2006/relationships/hyperlink" Target="https://plants.usda.gov/core/profile?symbol=TRALP" TargetMode="External"/><Relationship Id="rId4681" Type="http://schemas.openxmlformats.org/officeDocument/2006/relationships/hyperlink" Target="http://www.burkemuseum.org/research-and-collections/botany-and-herbarium/collections/database/results.php?Genus=Boykinia&amp;Species=intermedia&amp;SourcePage=search.php&amp;IncludeSynonyms=Y&amp;SortBy=DESC&amp;SortOrder=Year" TargetMode="External"/><Relationship Id="rId5318" Type="http://schemas.openxmlformats.org/officeDocument/2006/relationships/hyperlink" Target="https://en.wikipedia.org/wiki/Ribes_cereum" TargetMode="External"/><Relationship Id="rId5525" Type="http://schemas.openxmlformats.org/officeDocument/2006/relationships/hyperlink" Target="https://en.wikipedia.org/wiki/Xerophyllum_tenax" TargetMode="External"/><Relationship Id="rId5732" Type="http://schemas.openxmlformats.org/officeDocument/2006/relationships/hyperlink" Target="http://www.burkemuseum.org/research-and-collections/botany-and-herbarium/collections/database/results.php?Genus=Erigeron&amp;Species=speciosus&amp;SourcePage=search.php&amp;IncludeSynonyms=Y&amp;SortBy=DESC&amp;SortOrder=Year" TargetMode="External"/><Relationship Id="rId3076" Type="http://schemas.openxmlformats.org/officeDocument/2006/relationships/hyperlink" Target="http://www.burkemuseum.org/research-and-collections/botany-and-herbarium/collections/database/results.php?Genus=Lathyrus&amp;Species=japonicus&amp;SourcePage=search.php&amp;IncludeSynonyms=Y&amp;SortBy=DESC&amp;SortOrder=Year" TargetMode="External"/><Relationship Id="rId3283" Type="http://schemas.openxmlformats.org/officeDocument/2006/relationships/hyperlink" Target="http://www.burkemuseum.org/research-and-collections/botany-and-herbarium/collections/database/results.php?Genus=Ribes&amp;Species=laxiflorum&amp;SourcePage=search.php&amp;IncludeSynonyms=Y&amp;SortBy=DESC&amp;SortOrder=Year" TargetMode="External"/><Relationship Id="rId3490" Type="http://schemas.openxmlformats.org/officeDocument/2006/relationships/hyperlink" Target="http://www.burkemuseum.org/research-and-collections/botany-and-herbarium/collections/database/results.php?Genus=Dicentra&amp;Species=formosa&amp;SourcePage=search.php&amp;IncludeSynonyms=Y&amp;SortBy=DESC&amp;SortOrder=Year" TargetMode="External"/><Relationship Id="rId4127" Type="http://schemas.openxmlformats.org/officeDocument/2006/relationships/hyperlink" Target="https://plants.usda.gov/core/profile?symbol=MESM" TargetMode="External"/><Relationship Id="rId4334" Type="http://schemas.openxmlformats.org/officeDocument/2006/relationships/hyperlink" Target="https://plants.usda.gov/core/profile?symbol=RUPA" TargetMode="External"/><Relationship Id="rId4541" Type="http://schemas.openxmlformats.org/officeDocument/2006/relationships/hyperlink" Target="https://en.wikipedia.org/wiki/Actaea_rubra" TargetMode="External"/><Relationship Id="rId1928" Type="http://schemas.openxmlformats.org/officeDocument/2006/relationships/hyperlink" Target="http://plants.usda.gov/java/profile?symbol=POHE3" TargetMode="External"/><Relationship Id="rId2092" Type="http://schemas.openxmlformats.org/officeDocument/2006/relationships/hyperlink" Target="https://plants.usda.gov/core/profile?symbol=JUME3" TargetMode="External"/><Relationship Id="rId3143" Type="http://schemas.openxmlformats.org/officeDocument/2006/relationships/hyperlink" Target="http://www.burkemuseum.org/research-and-collections/botany-and-herbarium/collections/database/results.php?Genus=Microseris&amp;Species=laciniata&amp;SourcePage=search.php&amp;IncludeSynonyms=Y&amp;SortBy=DESC&amp;SortOrder=Year" TargetMode="External"/><Relationship Id="rId3350" Type="http://schemas.openxmlformats.org/officeDocument/2006/relationships/hyperlink" Target="http://www.burkemuseum.org/research-and-collections/botany-and-herbarium/collections/database/results.php?Genus=Silene&amp;Species=antirrhina&amp;SourcePage=search.php&amp;IncludeSynonyms=Y&amp;SortBy=DESC&amp;SortOrder=Year" TargetMode="External"/><Relationship Id="rId6299" Type="http://schemas.openxmlformats.org/officeDocument/2006/relationships/hyperlink" Target="http://www.burkemuseum.org/research-and-collections/botany-and-herbarium/collections/database/results.php?Genus=Veratrum&amp;Species=viride&amp;SourcePage=search.php&amp;IncludeSynonyms=Y&amp;SortBy=DESC&amp;SortOrder=Year" TargetMode="External"/><Relationship Id="rId271" Type="http://schemas.openxmlformats.org/officeDocument/2006/relationships/hyperlink" Target="http://biology.burke.washington.edu/herbarium/imagecollection/taxon.php?Taxon=Eleocharis%20parvula" TargetMode="External"/><Relationship Id="rId3003" Type="http://schemas.openxmlformats.org/officeDocument/2006/relationships/hyperlink" Target="http://www.burkemuseum.org/research-and-collections/botany-and-herbarium/collections/database/results.php?Genus=Gaillardia&amp;Species=aristata&amp;SourcePage=search.php&amp;IncludeSynonyms=Y&amp;SortBy=DESC&amp;SortOrder=Year" TargetMode="External"/><Relationship Id="rId4401" Type="http://schemas.openxmlformats.org/officeDocument/2006/relationships/hyperlink" Target="https://plants.usda.gov/core/profile?symbol=SIHE4" TargetMode="External"/><Relationship Id="rId6159" Type="http://schemas.openxmlformats.org/officeDocument/2006/relationships/hyperlink" Target="http://www.burkemuseum.org/research-and-collections/botany-and-herbarium/collections/database/results.php?Genus=Salix&amp;Species=lemmonii&amp;SourcePage=search.php&amp;IncludeSynonyms=Y&amp;SortBy=DESC&amp;SortOrder=Year" TargetMode="External"/><Relationship Id="rId131" Type="http://schemas.openxmlformats.org/officeDocument/2006/relationships/hyperlink" Target="http://biology.burke.washington.edu/herbarium/imagecollection/taxon.php?Taxon=Epipactis%20gigantea" TargetMode="External"/><Relationship Id="rId3210" Type="http://schemas.openxmlformats.org/officeDocument/2006/relationships/hyperlink" Target="http://www.burkemuseum.org/research-and-collections/botany-and-herbarium/collections/database/results.php?Genus=Plantago&amp;Species=elongata&amp;SourcePage=search.php&amp;IncludeSynonyms=Y&amp;SortBy=DESC&amp;SortOrder=Year" TargetMode="External"/><Relationship Id="rId6366" Type="http://schemas.openxmlformats.org/officeDocument/2006/relationships/hyperlink" Target="http://biology.burke.washington.edu/herbarium/imagecollectionnew/taxon.php?Taxon=Amsinckia%20menziesii" TargetMode="External"/><Relationship Id="rId6573" Type="http://schemas.openxmlformats.org/officeDocument/2006/relationships/hyperlink" Target="http://biology.burke.washington.edu/herbarium/imagecollection/taxon.php?Taxon=Maianthemum%20dilatatum" TargetMode="External"/><Relationship Id="rId6780" Type="http://schemas.openxmlformats.org/officeDocument/2006/relationships/hyperlink" Target="http://biology.burke.washington.edu/herbarium/imagecollection/taxon.php?Taxon=Galium%20palustre" TargetMode="External"/><Relationship Id="rId2769" Type="http://schemas.openxmlformats.org/officeDocument/2006/relationships/hyperlink" Target="http://www.burkemuseum.org/research-and-collections/botany-and-herbarium/collections/database/results.php?Genus=Arctostaphylos&amp;Species=uva-ursi&amp;SourcePage=search.php&amp;IncludeSynonyms=Y&amp;SortBy=DESC&amp;SortOrder=Year" TargetMode="External"/><Relationship Id="rId2976" Type="http://schemas.openxmlformats.org/officeDocument/2006/relationships/hyperlink" Target="http://www.burkemuseum.org/research-and-collections/botany-and-herbarium/collections/database/results.php?Genus=Erigeron&amp;Species=strigosus&amp;SourcePage=search.php&amp;IncludeSynonyms=Y&amp;SortBy=DESC&amp;SortOrder=Year" TargetMode="External"/><Relationship Id="rId5175" Type="http://schemas.openxmlformats.org/officeDocument/2006/relationships/hyperlink" Target="https://en.wikipedia.org/wiki/Nymphaea_tetragona" TargetMode="External"/><Relationship Id="rId5382" Type="http://schemas.openxmlformats.org/officeDocument/2006/relationships/hyperlink" Target="https://en.wikipedia.org/wiki/Schoenoplectus_pungens" TargetMode="External"/><Relationship Id="rId6019" Type="http://schemas.openxmlformats.org/officeDocument/2006/relationships/hyperlink" Target="http://www.burkemuseum.org/research-and-collections/botany-and-herbarium/collections/database/results.php?Genus=Physocarpus&amp;Species=capitatus&amp;SourcePage=search.php&amp;IncludeSynonyms=Y&amp;SortBy=DESC&amp;SortOrder=Year" TargetMode="External"/><Relationship Id="rId6226" Type="http://schemas.openxmlformats.org/officeDocument/2006/relationships/hyperlink" Target="http://www.burkemuseum.org/research-and-collections/botany-and-herbarium/collections/database/results.php?Genus=Spiranthes&amp;Species=porrifolia&amp;SourcePage=search.php&amp;IncludeSynonyms=Y&amp;SortBy=DESC&amp;SortOrder=Year" TargetMode="External"/><Relationship Id="rId6433" Type="http://schemas.openxmlformats.org/officeDocument/2006/relationships/hyperlink" Target="http://biology.burke.washington.edu/herbarium/imagecollectionnew/taxon.php?Taxon=Cirsium%20brevistylum" TargetMode="External"/><Relationship Id="rId6640" Type="http://schemas.openxmlformats.org/officeDocument/2006/relationships/hyperlink" Target="http://biology.burke.washington.edu/herbarium/imagecollectionnew/taxon.php?Taxon=Stellaria%20borealis" TargetMode="External"/><Relationship Id="rId948" Type="http://schemas.openxmlformats.org/officeDocument/2006/relationships/hyperlink" Target="https://en.wikipedia.org/wiki/Cardamine_pensylvanica" TargetMode="External"/><Relationship Id="rId1578" Type="http://schemas.openxmlformats.org/officeDocument/2006/relationships/hyperlink" Target="https://en.wikipedia.org/wiki/Calamagrostis_nutkaensis" TargetMode="External"/><Relationship Id="rId1785" Type="http://schemas.openxmlformats.org/officeDocument/2006/relationships/hyperlink" Target="http://plants.usda.gov/java/profile?symbol=STBO3" TargetMode="External"/><Relationship Id="rId1992" Type="http://schemas.openxmlformats.org/officeDocument/2006/relationships/hyperlink" Target="http://plants.usda.gov/java/profile?symbol=PRAL" TargetMode="External"/><Relationship Id="rId2629" Type="http://schemas.openxmlformats.org/officeDocument/2006/relationships/hyperlink" Target="http://biology.burke.washington.edu/herbarium/imagecollectionnew/taxon.php?Taxon=Psilocarphus%20elatior" TargetMode="External"/><Relationship Id="rId2836" Type="http://schemas.openxmlformats.org/officeDocument/2006/relationships/hyperlink" Target="http://www.burkemuseum.org/research-and-collections/botany-and-herbarium/collections/database/results.php?Genus=Carex&amp;Species=cusickii&amp;SourcePage=search.php&amp;IncludeSynonyms=Y&amp;SortBy=DESC&amp;SortOrder=Year" TargetMode="External"/><Relationship Id="rId4191" Type="http://schemas.openxmlformats.org/officeDocument/2006/relationships/hyperlink" Target="https://plants.usda.gov/core/profile?symbol=PABO6" TargetMode="External"/><Relationship Id="rId5035" Type="http://schemas.openxmlformats.org/officeDocument/2006/relationships/hyperlink" Target="https://en.wikipedia.org/wiki/Hypericum_anagalloides" TargetMode="External"/><Relationship Id="rId5242" Type="http://schemas.openxmlformats.org/officeDocument/2006/relationships/hyperlink" Target="https://en.wikipedia.org/wiki/Pleuricospora_fimbriolata" TargetMode="External"/><Relationship Id="rId6500" Type="http://schemas.openxmlformats.org/officeDocument/2006/relationships/hyperlink" Target="http://biology.burke.washington.edu/herbarium/imagecollection/taxon.php?Taxon=Fraxinus%20latifolia" TargetMode="External"/><Relationship Id="rId77" Type="http://schemas.openxmlformats.org/officeDocument/2006/relationships/hyperlink" Target="http://biology.burke.washington.edu/herbarium/imagecollection/taxon.php?Taxon=Lathyrus%20palustris" TargetMode="External"/><Relationship Id="rId808" Type="http://schemas.openxmlformats.org/officeDocument/2006/relationships/hyperlink" Target="https://en.wikipedia.org/wiki/Phegopteris_connectilis" TargetMode="External"/><Relationship Id="rId1438" Type="http://schemas.openxmlformats.org/officeDocument/2006/relationships/hyperlink" Target="http://biology.burke.washington.edu/herbarium/imagecollectionnew/taxon.php?Taxon=Carex%20feta" TargetMode="External"/><Relationship Id="rId1645" Type="http://schemas.openxmlformats.org/officeDocument/2006/relationships/hyperlink" Target="http://biology.burke.washington.edu/herbarium/imagecollection/taxon.php?Taxon=Salix%20hookeriana" TargetMode="External"/><Relationship Id="rId4051" Type="http://schemas.openxmlformats.org/officeDocument/2006/relationships/hyperlink" Target="https://plants.usda.gov/core/profile?symbol=LABI" TargetMode="External"/><Relationship Id="rId5102" Type="http://schemas.openxmlformats.org/officeDocument/2006/relationships/hyperlink" Target="https://en.wikipedia.org/wiki/Lupinus_microcarpus" TargetMode="External"/><Relationship Id="rId1852" Type="http://schemas.openxmlformats.org/officeDocument/2006/relationships/hyperlink" Target="http://plants.usda.gov/core/profile?symbol=SAAM2" TargetMode="External"/><Relationship Id="rId2903" Type="http://schemas.openxmlformats.org/officeDocument/2006/relationships/hyperlink" Target="http://www.burkemuseum.org/research-and-collections/botany-and-herbarium/collections/database/results.php?Genus=Convolvulus&amp;Species=soldanella&amp;SourcePage=search.php&amp;IncludeSynonyms=Y&amp;SortBy=DESC&amp;SortOrder=Year" TargetMode="External"/><Relationship Id="rId7067" Type="http://schemas.openxmlformats.org/officeDocument/2006/relationships/hyperlink" Target="http://biology.burke.washington.edu/herbarium/imagecollectionnew/taxon.php?Taxon=Woodwardia%20fimbriata" TargetMode="External"/><Relationship Id="rId1505" Type="http://schemas.openxmlformats.org/officeDocument/2006/relationships/hyperlink" Target="https://en.wikipedia.org/wiki/Salix_hookeriana" TargetMode="External"/><Relationship Id="rId1712" Type="http://schemas.openxmlformats.org/officeDocument/2006/relationships/hyperlink" Target="https://plants.usda.gov/core/profile?symbol=WYAM" TargetMode="External"/><Relationship Id="rId4868" Type="http://schemas.openxmlformats.org/officeDocument/2006/relationships/hyperlink" Target="https://en.wikipedia.org/wiki/Cornus_nuttallii" TargetMode="External"/><Relationship Id="rId5919" Type="http://schemas.openxmlformats.org/officeDocument/2006/relationships/hyperlink" Target="http://www.burkemuseum.org/research-and-collections/botany-and-herbarium/collections/database/results.php?Genus=Madia&amp;Species=sativa&amp;SourcePage=search.php&amp;IncludeSynonyms=Y&amp;SortBy=DESC&amp;SortOrder=Year" TargetMode="External"/><Relationship Id="rId6083" Type="http://schemas.openxmlformats.org/officeDocument/2006/relationships/hyperlink" Target="http://www.burkemuseum.org/research-and-collections/botany-and-herbarium/collections/database/results.php?Genus=Pseudognaphalium&amp;Species=stramineum&amp;SourcePage=search.php&amp;IncludeSynonyms=Y&amp;SortBy=DESC&amp;SortOrder=Year" TargetMode="External"/><Relationship Id="rId6290" Type="http://schemas.openxmlformats.org/officeDocument/2006/relationships/hyperlink" Target="http://www.burkemuseum.org/research-and-collections/botany-and-herbarium/collections/database/results.php?Genus=Vaccinium&amp;Species=ovalifolium&amp;SourcePage=search.php&amp;IncludeSynonyms=Y&amp;SortBy=DESC&amp;SortOrder=Year" TargetMode="External"/><Relationship Id="rId7134" Type="http://schemas.openxmlformats.org/officeDocument/2006/relationships/hyperlink" Target="http://biology.burke.washington.edu/herbarium/imagecollectionnew/taxon.php?Taxon=Sidalcea%20oregana" TargetMode="External"/><Relationship Id="rId3677" Type="http://schemas.openxmlformats.org/officeDocument/2006/relationships/hyperlink" Target="https://plants.usda.gov/core/profile?symbol=STOC" TargetMode="External"/><Relationship Id="rId3884" Type="http://schemas.openxmlformats.org/officeDocument/2006/relationships/hyperlink" Target="https://plants.usda.gov/core/profile?symbol=DENU3" TargetMode="External"/><Relationship Id="rId4728" Type="http://schemas.openxmlformats.org/officeDocument/2006/relationships/hyperlink" Target="https://en.wikipedia.org/wiki/Barbarea_orthoceras" TargetMode="External"/><Relationship Id="rId4935" Type="http://schemas.openxmlformats.org/officeDocument/2006/relationships/hyperlink" Target="https://en.wikipedia.org/wiki/Equisetum_fluviatile" TargetMode="External"/><Relationship Id="rId598" Type="http://schemas.openxmlformats.org/officeDocument/2006/relationships/hyperlink" Target="https://en.wikipedia.org/wiki/Selaginella_wallacei" TargetMode="External"/><Relationship Id="rId2279" Type="http://schemas.openxmlformats.org/officeDocument/2006/relationships/hyperlink" Target="https://plants.usda.gov/core/profile?symbol=CHME" TargetMode="External"/><Relationship Id="rId2486" Type="http://schemas.openxmlformats.org/officeDocument/2006/relationships/hyperlink" Target="http://plants.usda.gov/java/profile?symbol=RIDI" TargetMode="External"/><Relationship Id="rId2693" Type="http://schemas.openxmlformats.org/officeDocument/2006/relationships/hyperlink" Target="http://biology.burke.washington.edu/herbarium/imagecollectionnew/taxon.php?Taxon=Solidago%20elongata" TargetMode="External"/><Relationship Id="rId3537" Type="http://schemas.openxmlformats.org/officeDocument/2006/relationships/hyperlink" Target="http://www.burkemuseum.org/research-and-collections/botany-and-herbarium/collections/database/results.php?Genus=Oemleria&amp;Species=cerasiformis&amp;SourcePage=search.php&amp;IncludeSynonyms=Y&amp;SortBy=DESC&amp;SortOrder=Year" TargetMode="External"/><Relationship Id="rId3744" Type="http://schemas.openxmlformats.org/officeDocument/2006/relationships/hyperlink" Target="https://plants.usda.gov/core/profile?symbol=CAHEH" TargetMode="External"/><Relationship Id="rId3951" Type="http://schemas.openxmlformats.org/officeDocument/2006/relationships/hyperlink" Target="https://plants.usda.gov/core/profile?symbol=EUOC4" TargetMode="External"/><Relationship Id="rId6150" Type="http://schemas.openxmlformats.org/officeDocument/2006/relationships/hyperlink" Target="http://www.burkemuseum.org/research-and-collections/botany-and-herbarium/collections/database/results.php?Genus=Salix&amp;Species=bebbiana&amp;SourcePage=search.php&amp;IncludeSynonyms=Y&amp;SortBy=DESC&amp;SortOrder=Year" TargetMode="External"/><Relationship Id="rId7201" Type="http://schemas.openxmlformats.org/officeDocument/2006/relationships/hyperlink" Target="http://biology.burke.washington.edu/herbarium/imagecollection/taxon.php?Taxon=Rhododendron%20columbianum" TargetMode="External"/><Relationship Id="rId458" Type="http://schemas.openxmlformats.org/officeDocument/2006/relationships/hyperlink" Target="http://biology.burke.washington.edu/herbarium/imagecollectionnew/taxon.php?Taxon=Urtica%20dioica" TargetMode="External"/><Relationship Id="rId665" Type="http://schemas.openxmlformats.org/officeDocument/2006/relationships/hyperlink" Target="https://en.wikipedia.org/wiki/Ranunculus_aquatilis" TargetMode="External"/><Relationship Id="rId872" Type="http://schemas.openxmlformats.org/officeDocument/2006/relationships/hyperlink" Target="http://en.wikipedia.org/wiki/Madia_elegans" TargetMode="External"/><Relationship Id="rId1088" Type="http://schemas.openxmlformats.org/officeDocument/2006/relationships/hyperlink" Target="https://en.wikipedia.org/wiki/Lindernia_dubia" TargetMode="External"/><Relationship Id="rId1295" Type="http://schemas.openxmlformats.org/officeDocument/2006/relationships/hyperlink" Target="https://en.wikipedia.org/wiki/Sidalcea_nelsoniana" TargetMode="External"/><Relationship Id="rId2139" Type="http://schemas.openxmlformats.org/officeDocument/2006/relationships/hyperlink" Target="http://plants.usda.gov/core/profile?symbol=getr" TargetMode="External"/><Relationship Id="rId2346" Type="http://schemas.openxmlformats.org/officeDocument/2006/relationships/hyperlink" Target="https://plants.usda.gov/core/profile?symbol=CAED" TargetMode="External"/><Relationship Id="rId2553" Type="http://schemas.openxmlformats.org/officeDocument/2006/relationships/hyperlink" Target="http://plants.usda.gov/java/profile?symbol=GESC" TargetMode="External"/><Relationship Id="rId2760" Type="http://schemas.openxmlformats.org/officeDocument/2006/relationships/hyperlink" Target="http://www.burkemuseum.org/research-and-collections/botany-and-herbarium/collections/database/results.php?Genus=Aphyllon&amp;Species=fasciculata&amp;SourcePage=search.php&amp;IncludeSynonyms=Y&amp;SortBy=DESC&amp;SortOrder=Year" TargetMode="External"/><Relationship Id="rId3604" Type="http://schemas.openxmlformats.org/officeDocument/2006/relationships/hyperlink" Target="http://www.burkemuseum.org/research-and-collections/botany-and-herbarium/collections/database/results.php?Genus=Triteleia&amp;Species=hyacinthina&amp;SourcePage=search.php&amp;IncludeSynonyms=Y&amp;SortBy=DESC&amp;SortOrder=Year" TargetMode="External"/><Relationship Id="rId3811" Type="http://schemas.openxmlformats.org/officeDocument/2006/relationships/hyperlink" Target="https://plants.usda.gov/core/profile?symbol=CESA" TargetMode="External"/><Relationship Id="rId6010" Type="http://schemas.openxmlformats.org/officeDocument/2006/relationships/hyperlink" Target="http://www.burkemuseum.org/research-and-collections/botany-and-herbarium/collections/database/results.php?Genus=Persicaria&amp;Species=amphibia&amp;SourcePage=search.php&amp;IncludeSynonyms=Y&amp;SortBy=DESC&amp;SortOrder=Year" TargetMode="External"/><Relationship Id="rId6967" Type="http://schemas.openxmlformats.org/officeDocument/2006/relationships/hyperlink" Target="http://biology.burke.washington.edu/herbarium/imagecollection/taxon.php?Taxon=Hemitomes%20congestum" TargetMode="External"/><Relationship Id="rId318" Type="http://schemas.openxmlformats.org/officeDocument/2006/relationships/hyperlink" Target="http://biology.burke.washington.edu/herbarium/imagecollectionnew/taxon.php?Taxon=Bidens%20frondosa" TargetMode="External"/><Relationship Id="rId525" Type="http://schemas.openxmlformats.org/officeDocument/2006/relationships/hyperlink" Target="https://en.wikipedia.org/wiki/Vaccinium_membranaceum" TargetMode="External"/><Relationship Id="rId732" Type="http://schemas.openxmlformats.org/officeDocument/2006/relationships/hyperlink" Target="https://en.wikipedia.org/wiki/Dryopteris_filix-mas" TargetMode="External"/><Relationship Id="rId1155" Type="http://schemas.openxmlformats.org/officeDocument/2006/relationships/hyperlink" Target="https://en.wikipedia.org/wiki/Geum_triflorum" TargetMode="External"/><Relationship Id="rId1362" Type="http://schemas.openxmlformats.org/officeDocument/2006/relationships/hyperlink" Target="http://biology.burke.washington.edu/herbarium/imagecollection/taxon.php?Taxon=Euonymus%20occidentalis" TargetMode="External"/><Relationship Id="rId2206" Type="http://schemas.openxmlformats.org/officeDocument/2006/relationships/hyperlink" Target="http://plants.usda.gov/java/profile?symbol=DUAR3" TargetMode="External"/><Relationship Id="rId2413" Type="http://schemas.openxmlformats.org/officeDocument/2006/relationships/hyperlink" Target="http://plants.usda.gov/java/profile?symbol=ALINT" TargetMode="External"/><Relationship Id="rId2620" Type="http://schemas.openxmlformats.org/officeDocument/2006/relationships/hyperlink" Target="http://biology.burke.washington.edu/herbarium/imagecollectionnew/taxon.php?Taxon=Sparganium%20natans" TargetMode="External"/><Relationship Id="rId5569" Type="http://schemas.openxmlformats.org/officeDocument/2006/relationships/hyperlink" Target="http://www.burkemuseum.org/research-and-collections/botany-and-herbarium/collections/database/results.php?Genus=Cardionema&amp;Species=ramosissima&amp;SourcePage=search.php&amp;IncludeSynonyms=Y&amp;SortBy=DESC&amp;SortOrder=Year" TargetMode="External"/><Relationship Id="rId5776" Type="http://schemas.openxmlformats.org/officeDocument/2006/relationships/hyperlink" Target="http://www.burkemuseum.org/research-and-collections/botany-and-herbarium/collections/database/results.php?Genus=Gentiana&amp;Species=sceptrum&amp;SourcePage=search.php&amp;IncludeSynonyms=Y&amp;SortBy=DESC&amp;SortOrder=Year" TargetMode="External"/><Relationship Id="rId1015" Type="http://schemas.openxmlformats.org/officeDocument/2006/relationships/hyperlink" Target="http://en.wikipedia.org/wiki/Anemone_oregana" TargetMode="External"/><Relationship Id="rId1222" Type="http://schemas.openxmlformats.org/officeDocument/2006/relationships/hyperlink" Target="https://en.wikipedia.org/wiki/Salix_gooddingii" TargetMode="External"/><Relationship Id="rId4378" Type="http://schemas.openxmlformats.org/officeDocument/2006/relationships/hyperlink" Target="https://plants.usda.gov/core/profile?symbol=SACA50" TargetMode="External"/><Relationship Id="rId4585" Type="http://schemas.openxmlformats.org/officeDocument/2006/relationships/hyperlink" Target="http://www.burkemuseum.org/research-and-collections/botany-and-herbarium/collections/database/results.php?Genus=Actaea&amp;Species=elata&amp;SourcePage=search.php&amp;IncludeSynonyms=Y&amp;SortBy=DESC&amp;SortOrder=Year" TargetMode="External"/><Relationship Id="rId5429" Type="http://schemas.openxmlformats.org/officeDocument/2006/relationships/hyperlink" Target="https://en.wikipedia.org/wiki/Stachys_cooleyae" TargetMode="External"/><Relationship Id="rId5983" Type="http://schemas.openxmlformats.org/officeDocument/2006/relationships/hyperlink" Target="http://www.burkemuseum.org/research-and-collections/botany-and-herbarium/collections/database/results.php?Genus=Osmorhiza&amp;Species=berteroi&amp;SourcePage=search.php&amp;IncludeSynonyms=Y&amp;SortBy=DESC&amp;SortOrder=Year" TargetMode="External"/><Relationship Id="rId6827" Type="http://schemas.openxmlformats.org/officeDocument/2006/relationships/hyperlink" Target="http://biology.burke.washington.edu/herbarium/imagecollectionnew/taxon.php?Taxon=Carex%20interrupta" TargetMode="External"/><Relationship Id="rId3187" Type="http://schemas.openxmlformats.org/officeDocument/2006/relationships/hyperlink" Target="http://www.burkemuseum.org/research-and-collections/botany-and-herbarium/collections/database/results.php?Genus=Parnassia&amp;Species=palustris&amp;SourcePage=search.php&amp;IncludeSynonyms=Y&amp;SortBy=DESC&amp;SortOrder=Year" TargetMode="External"/><Relationship Id="rId3394" Type="http://schemas.openxmlformats.org/officeDocument/2006/relationships/hyperlink" Target="http://www.burkemuseum.org/research-and-collections/botany-and-herbarium/collections/database/results.php?Genus=Torreyochloa&amp;Species=pallida&amp;SourcePage=search.php&amp;IncludeSynonyms=Y&amp;SortBy=DESC&amp;SortOrder=Year" TargetMode="External"/><Relationship Id="rId4238" Type="http://schemas.openxmlformats.org/officeDocument/2006/relationships/hyperlink" Target="https://plants.usda.gov/core/profile?symbol=PLFI2" TargetMode="External"/><Relationship Id="rId4792" Type="http://schemas.openxmlformats.org/officeDocument/2006/relationships/hyperlink" Target="https://en.wikipedia.org/wiki/Carex_leptopoda" TargetMode="External"/><Relationship Id="rId5636" Type="http://schemas.openxmlformats.org/officeDocument/2006/relationships/hyperlink" Target="http://www.burkemuseum.org/research-and-collections/botany-and-herbarium/collections/database/results.php?Genus=Cirsium&amp;Species=remotifolium&amp;SourcePage=search.php&amp;IncludeSynonyms=Y&amp;SortBy=DESC&amp;SortOrder=Year" TargetMode="External"/><Relationship Id="rId5843" Type="http://schemas.openxmlformats.org/officeDocument/2006/relationships/hyperlink" Target="http://www.burkemuseum.org/research-and-collections/botany-and-herbarium/collections/database/results.php?Genus=Juncus&amp;Species=patens&amp;SourcePage=search.php&amp;IncludeSynonyms=Y&amp;SortBy=DESC&amp;SortOrder=Year" TargetMode="External"/><Relationship Id="rId3047" Type="http://schemas.openxmlformats.org/officeDocument/2006/relationships/hyperlink" Target="http://www.burkemuseum.org/research-and-collections/botany-and-herbarium/collections/database/results.php?Genus=Hydrocotyle&amp;Species=ranunculoides&amp;SourcePage=search.php&amp;IncludeSynonyms=Y&amp;SortBy=DESC&amp;SortOrder=Year" TargetMode="External"/><Relationship Id="rId4445" Type="http://schemas.openxmlformats.org/officeDocument/2006/relationships/hyperlink" Target="https://plants.usda.gov/core/profile?symbol=SYBO2" TargetMode="External"/><Relationship Id="rId4652" Type="http://schemas.openxmlformats.org/officeDocument/2006/relationships/hyperlink" Target="http://www.burkemuseum.org/research-and-collections/botany-and-herbarium/collections/database/results.php?Genus=Asarum&amp;Species=caudatum&amp;SourcePage=search.php&amp;IncludeSynonyms=Y&amp;SortBy=DESC&amp;SortOrder=Year" TargetMode="External"/><Relationship Id="rId5703" Type="http://schemas.openxmlformats.org/officeDocument/2006/relationships/hyperlink" Target="http://www.burkemuseum.org/research-and-collections/botany-and-herbarium/collections/database/results.php?Genus=Drymocallis&amp;Species=glandulosa&amp;SourcePage=search.php&amp;IncludeSynonyms=Y&amp;SortBy=DESC&amp;SortOrder=Year" TargetMode="External"/><Relationship Id="rId5910" Type="http://schemas.openxmlformats.org/officeDocument/2006/relationships/hyperlink" Target="http://www.burkemuseum.org/research-and-collections/botany-and-herbarium/collections/database/results.php?Genus=Lycopus&amp;Species=uniflorus&amp;SourcePage=search.php&amp;IncludeSynonyms=Y&amp;SortBy=DESC&amp;SortOrder=Year" TargetMode="External"/><Relationship Id="rId175" Type="http://schemas.openxmlformats.org/officeDocument/2006/relationships/hyperlink" Target="http://biology.burke.washington.edu/herbarium/imagecollection/taxon.php?Taxon=Leymus%20mollis" TargetMode="External"/><Relationship Id="rId3254" Type="http://schemas.openxmlformats.org/officeDocument/2006/relationships/hyperlink" Target="http://www.burkemuseum.org/research-and-collections/botany-and-herbarium/collections/database/results.php?Genus=Pseudognaphalium&amp;Species=stramineum&amp;SourcePage=search.php&amp;IncludeSynonyms=Y&amp;SortBy=DESC&amp;SortOrder=Year" TargetMode="External"/><Relationship Id="rId3461" Type="http://schemas.openxmlformats.org/officeDocument/2006/relationships/hyperlink" Target="http://www.burkemuseum.org/research-and-collections/botany-and-herbarium/collections/database/results.php?Genus=Anisocarpus&amp;Species=madioides&amp;SourcePage=search.php&amp;IncludeSynonyms=Y&amp;SortBy=DESC&amp;SortOrder=Year" TargetMode="External"/><Relationship Id="rId4305" Type="http://schemas.openxmlformats.org/officeDocument/2006/relationships/hyperlink" Target="https://plants.usda.gov/core/profile?symbol=RHAL2" TargetMode="External"/><Relationship Id="rId4512" Type="http://schemas.openxmlformats.org/officeDocument/2006/relationships/hyperlink" Target="https://plants.usda.gov/core/profile?symbol=VICAR" TargetMode="External"/><Relationship Id="rId382" Type="http://schemas.openxmlformats.org/officeDocument/2006/relationships/hyperlink" Target="http://biology.burke.washington.edu/herbarium/imagecollectionnew/taxon.php?Taxon=Crocidium%20multicaule" TargetMode="External"/><Relationship Id="rId2063" Type="http://schemas.openxmlformats.org/officeDocument/2006/relationships/hyperlink" Target="http://plants.usda.gov/java/profile?symbol=LIDU" TargetMode="External"/><Relationship Id="rId2270" Type="http://schemas.openxmlformats.org/officeDocument/2006/relationships/hyperlink" Target="https://plants.usda.gov/core/profile?symbol=CIED" TargetMode="External"/><Relationship Id="rId3114" Type="http://schemas.openxmlformats.org/officeDocument/2006/relationships/hyperlink" Target="http://www.burkemuseum.org/research-and-collections/botany-and-herbarium/collections/database/results.php?Genus=Luzula&amp;Species=multiflora&amp;SourcePage=search.php&amp;IncludeSynonyms=Y&amp;SortBy=DESC&amp;SortOrder=Year" TargetMode="External"/><Relationship Id="rId3321" Type="http://schemas.openxmlformats.org/officeDocument/2006/relationships/hyperlink" Target="http://www.burkemuseum.org/research-and-collections/botany-and-herbarium/collections/database/results.php?Genus=Samolus&amp;Species=parviflorus&amp;SourcePage=search.php&amp;IncludeSynonyms=Y&amp;SortBy=DESC&amp;SortOrder=Year" TargetMode="External"/><Relationship Id="rId6477" Type="http://schemas.openxmlformats.org/officeDocument/2006/relationships/hyperlink" Target="http://biology.burke.washington.edu/herbarium/imagecollection/taxon.php?Taxon=Empetrum%20nigrum" TargetMode="External"/><Relationship Id="rId6684" Type="http://schemas.openxmlformats.org/officeDocument/2006/relationships/hyperlink" Target="http://biology.burke.washington.edu/herbarium/imagecollection/taxon.php?Taxon=Potamogeton%20epihydrus" TargetMode="External"/><Relationship Id="rId6891" Type="http://schemas.openxmlformats.org/officeDocument/2006/relationships/hyperlink" Target="http://biology.burke.washington.edu/herbarium/imagecollection/taxon.php?Taxon=Sagina%20maxima" TargetMode="External"/><Relationship Id="rId242" Type="http://schemas.openxmlformats.org/officeDocument/2006/relationships/hyperlink" Target="http://biology.burke.washington.edu/herbarium/imagecollection/taxon.php?Taxon=Pleuricospora%20fimbriolata" TargetMode="External"/><Relationship Id="rId2130" Type="http://schemas.openxmlformats.org/officeDocument/2006/relationships/hyperlink" Target="http://plants.usda.gov/java/profile?symbol=GRIN" TargetMode="External"/><Relationship Id="rId5079" Type="http://schemas.openxmlformats.org/officeDocument/2006/relationships/hyperlink" Target="https://en.wikipedia.org/wiki/Lilaeopsis_occidentalis" TargetMode="External"/><Relationship Id="rId5286" Type="http://schemas.openxmlformats.org/officeDocument/2006/relationships/hyperlink" Target="https://en.wikipedia.org/wiki/Psilocarphus_elatior" TargetMode="External"/><Relationship Id="rId5493" Type="http://schemas.openxmlformats.org/officeDocument/2006/relationships/hyperlink" Target="https://en.wikipedia.org/wiki/Vaccinium_ovatum" TargetMode="External"/><Relationship Id="rId6337" Type="http://schemas.openxmlformats.org/officeDocument/2006/relationships/hyperlink" Target="https://plants.usda.gov/core/profile?symbol=SEGI2" TargetMode="External"/><Relationship Id="rId6544" Type="http://schemas.openxmlformats.org/officeDocument/2006/relationships/hyperlink" Target="http://biology.burke.washington.edu/herbarium/imagecollection/taxon.php?Taxon=Koeleria%20macrantha" TargetMode="External"/><Relationship Id="rId6751" Type="http://schemas.openxmlformats.org/officeDocument/2006/relationships/hyperlink" Target="http://biology.burke.washington.edu/herbarium/imagecollection/taxon.php?Taxon=Lasthenia%20maritima" TargetMode="External"/><Relationship Id="rId102" Type="http://schemas.openxmlformats.org/officeDocument/2006/relationships/hyperlink" Target="http://biology.burke.washington.edu/herbarium/imagecollection/taxon.php?Taxon=Lycopodium%20clavatum" TargetMode="External"/><Relationship Id="rId1689" Type="http://schemas.openxmlformats.org/officeDocument/2006/relationships/hyperlink" Target="http://biology.burke.washington.edu/herbarium/imagecollection/taxon.php?Taxon=Erythranthe%20guttata" TargetMode="External"/><Relationship Id="rId4095" Type="http://schemas.openxmlformats.org/officeDocument/2006/relationships/hyperlink" Target="https://plants.usda.gov/core/profile?symbol=LUBI" TargetMode="External"/><Relationship Id="rId5146" Type="http://schemas.openxmlformats.org/officeDocument/2006/relationships/hyperlink" Target="https://en.wikipedia.org/wiki/Moehringia_macrophylla" TargetMode="External"/><Relationship Id="rId5353" Type="http://schemas.openxmlformats.org/officeDocument/2006/relationships/hyperlink" Target="https://en.wikipedia.org/wiki/Salix_exigua" TargetMode="External"/><Relationship Id="rId5560" Type="http://schemas.openxmlformats.org/officeDocument/2006/relationships/hyperlink" Target="http://www.burkemuseum.org/research-and-collections/botany-and-herbarium/collections/database/results.php?Genus=Camissonia&amp;Species=contorta&amp;SourcePage=search.php&amp;IncludeSynonyms=Y&amp;SortBy=DESC&amp;SortOrder=Year" TargetMode="External"/><Relationship Id="rId6404" Type="http://schemas.openxmlformats.org/officeDocument/2006/relationships/hyperlink" Target="http://biology.burke.washington.edu/herbarium/imagecollectionnew/taxon.php?Taxon=Camassia%20leichtlinii" TargetMode="External"/><Relationship Id="rId1896" Type="http://schemas.openxmlformats.org/officeDocument/2006/relationships/hyperlink" Target="https://plants.usda.gov/core/profile?symbol=PTAN2" TargetMode="External"/><Relationship Id="rId2947" Type="http://schemas.openxmlformats.org/officeDocument/2006/relationships/hyperlink" Target="http://www.burkemuseum.org/research-and-collections/botany-and-herbarium/collections/database/results.php?Genus=Dryopteris&amp;Species=carthusiana&amp;SourcePage=search.php&amp;IncludeSynonyms=Y&amp;SortBy=DESC&amp;SortOrder=Year" TargetMode="External"/><Relationship Id="rId4162" Type="http://schemas.openxmlformats.org/officeDocument/2006/relationships/hyperlink" Target="https://plants.usda.gov/core/profile?symbol=PRAL" TargetMode="External"/><Relationship Id="rId5006" Type="http://schemas.openxmlformats.org/officeDocument/2006/relationships/hyperlink" Target="https://en.wikipedia.org/wiki/Halerpestes_cymbalaria" TargetMode="External"/><Relationship Id="rId5213" Type="http://schemas.openxmlformats.org/officeDocument/2006/relationships/hyperlink" Target="https://en.wikipedia.org/wiki/Persicaria_hydropiperoides" TargetMode="External"/><Relationship Id="rId6611" Type="http://schemas.openxmlformats.org/officeDocument/2006/relationships/hyperlink" Target="http://biology.burke.washington.edu/herbarium/imagecollectionnew/taxon.php?Taxon=Xanthium%20strumarium" TargetMode="External"/><Relationship Id="rId919" Type="http://schemas.openxmlformats.org/officeDocument/2006/relationships/hyperlink" Target="https://en.wikipedia.org/wiki/Castilleja_attenuata" TargetMode="External"/><Relationship Id="rId1549" Type="http://schemas.openxmlformats.org/officeDocument/2006/relationships/hyperlink" Target="https://en.wikipedia.org/wiki/Penstemon" TargetMode="External"/><Relationship Id="rId1756" Type="http://schemas.openxmlformats.org/officeDocument/2006/relationships/hyperlink" Target="http://plants.usda.gov/java/profile?symbol=TRMI5" TargetMode="External"/><Relationship Id="rId1963" Type="http://schemas.openxmlformats.org/officeDocument/2006/relationships/hyperlink" Target="https://plants.usda.gov/core/profile?symbol=PECA16" TargetMode="External"/><Relationship Id="rId2807" Type="http://schemas.openxmlformats.org/officeDocument/2006/relationships/hyperlink" Target="http://www.burkemuseum.org/research-and-collections/botany-and-herbarium/collections/database/results.php?Genus=Brodiaea&amp;Species=coronaria&amp;SourcePage=search.php&amp;IncludeSynonyms=Y&amp;SortBy=DESC&amp;SortOrder=Year" TargetMode="External"/><Relationship Id="rId4022" Type="http://schemas.openxmlformats.org/officeDocument/2006/relationships/hyperlink" Target="https://plants.usda.gov/core/profile?symbol=HYTE" TargetMode="External"/><Relationship Id="rId5420" Type="http://schemas.openxmlformats.org/officeDocument/2006/relationships/hyperlink" Target="https://en.wikipedia.org/wiki/Sparganium_natans" TargetMode="External"/><Relationship Id="rId7178" Type="http://schemas.openxmlformats.org/officeDocument/2006/relationships/hyperlink" Target="http://biology.burke.washington.edu/herbarium/imagecollection/taxon.php?Taxon=Rudbeckia%20hirta" TargetMode="External"/><Relationship Id="rId48" Type="http://schemas.openxmlformats.org/officeDocument/2006/relationships/hyperlink" Target="http://biology.burke.washington.edu/herbarium/imagecollection/taxon.php?Taxon=Rorippa%20palustris" TargetMode="External"/><Relationship Id="rId1409" Type="http://schemas.openxmlformats.org/officeDocument/2006/relationships/hyperlink" Target="http://biology.burke.washington.edu/herbarium/imagecollection/taxon.php?Taxon=Oxalis%20trilliifolia" TargetMode="External"/><Relationship Id="rId1616" Type="http://schemas.openxmlformats.org/officeDocument/2006/relationships/hyperlink" Target="https://en.wikipedia.org/wiki/Iris_tenax" TargetMode="External"/><Relationship Id="rId1823" Type="http://schemas.openxmlformats.org/officeDocument/2006/relationships/hyperlink" Target="https://plants.usda.gov/core/profile?symbol=SCTA2" TargetMode="External"/><Relationship Id="rId4979" Type="http://schemas.openxmlformats.org/officeDocument/2006/relationships/hyperlink" Target="https://en.wikipedia.org/wiki/Galium_boreale" TargetMode="External"/><Relationship Id="rId3788" Type="http://schemas.openxmlformats.org/officeDocument/2006/relationships/hyperlink" Target="https://plants.usda.gov/core/profile?symbol=CAPA19" TargetMode="External"/><Relationship Id="rId3995" Type="http://schemas.openxmlformats.org/officeDocument/2006/relationships/hyperlink" Target="https://plants.usda.gov/core/profile?symbol=HEAU" TargetMode="External"/><Relationship Id="rId4839" Type="http://schemas.openxmlformats.org/officeDocument/2006/relationships/hyperlink" Target="https://en.wikipedia.org/wiki/Cinna_latifolia" TargetMode="External"/><Relationship Id="rId6194" Type="http://schemas.openxmlformats.org/officeDocument/2006/relationships/hyperlink" Target="http://www.burkemuseum.org/research-and-collections/botany-and-herbarium/collections/database/results.php?Genus=Selaginella&amp;Species=oregana&amp;SourcePage=search.php&amp;IncludeSynonyms=Y&amp;SortBy=DESC&amp;SortOrder=Year" TargetMode="External"/><Relationship Id="rId7038" Type="http://schemas.openxmlformats.org/officeDocument/2006/relationships/hyperlink" Target="http://biology.burke.washington.edu/herbarium/imagecollectionnew/taxon.php?Taxon=Brasenia%20schreberi" TargetMode="External"/><Relationship Id="rId7245" Type="http://schemas.openxmlformats.org/officeDocument/2006/relationships/printerSettings" Target="../printerSettings/printerSettings1.bin"/><Relationship Id="rId2597" Type="http://schemas.openxmlformats.org/officeDocument/2006/relationships/hyperlink" Target="http://plants.usda.gov/java/profile?symbol=ALRH2" TargetMode="External"/><Relationship Id="rId3648" Type="http://schemas.openxmlformats.org/officeDocument/2006/relationships/hyperlink" Target="https://plants.usda.gov/core/profile?symbol=ALTR7" TargetMode="External"/><Relationship Id="rId3855" Type="http://schemas.openxmlformats.org/officeDocument/2006/relationships/hyperlink" Target="https://plants.usda.gov/core/profile?symbol=CONU4" TargetMode="External"/><Relationship Id="rId6054" Type="http://schemas.openxmlformats.org/officeDocument/2006/relationships/hyperlink" Target="http://www.burkemuseum.org/research-and-collections/botany-and-herbarium/collections/database/results.php?Genus=Polypodium&amp;Species=hesperium&amp;SourcePage=search.php&amp;IncludeSynonyms=Y&amp;SortBy=DESC&amp;SortOrder=Year" TargetMode="External"/><Relationship Id="rId6261" Type="http://schemas.openxmlformats.org/officeDocument/2006/relationships/hyperlink" Target="http://www.burkemuseum.org/research-and-collections/botany-and-herbarium/collections/database/results.php?Genus=Toxicodendron&amp;Species=radicans&amp;SourcePage=search.php&amp;IncludeSynonyms=Y&amp;SortBy=DESC&amp;SortOrder=Year" TargetMode="External"/><Relationship Id="rId7105" Type="http://schemas.openxmlformats.org/officeDocument/2006/relationships/hyperlink" Target="http://biology.burke.washington.edu/herbarium/imagecollectionnew/taxon.php?Taxon=Thuja%20plicata" TargetMode="External"/><Relationship Id="rId569" Type="http://schemas.openxmlformats.org/officeDocument/2006/relationships/hyperlink" Target="https://en.wikipedia.org/wiki/Stellaria_longipes" TargetMode="External"/><Relationship Id="rId776" Type="http://schemas.openxmlformats.org/officeDocument/2006/relationships/hyperlink" Target="https://en.wikipedia.org/wiki/Potamogeton_epihydrus" TargetMode="External"/><Relationship Id="rId983" Type="http://schemas.openxmlformats.org/officeDocument/2006/relationships/hyperlink" Target="https://en.wikipedia.org/wiki/Mahonia_aquifolium" TargetMode="External"/><Relationship Id="rId1199" Type="http://schemas.openxmlformats.org/officeDocument/2006/relationships/hyperlink" Target="http://biology.burke.washington.edu/herbarium/imagecollectionnew/taxon.php?Taxon=Tellima%20grandiflora" TargetMode="External"/><Relationship Id="rId2457" Type="http://schemas.openxmlformats.org/officeDocument/2006/relationships/hyperlink" Target="http://plants.usda.gov/java/profile?symbol=TITR" TargetMode="External"/><Relationship Id="rId2664" Type="http://schemas.openxmlformats.org/officeDocument/2006/relationships/hyperlink" Target="http://biology.burke.washington.edu/herbarium/imagecollection/taxon.php?Taxon=Poa%20macrantha" TargetMode="External"/><Relationship Id="rId3508" Type="http://schemas.openxmlformats.org/officeDocument/2006/relationships/hyperlink" Target="http://www.burkemuseum.org/research-and-collections/botany-and-herbarium/collections/database/results.php?Genus=Heuchera&amp;Species=micrantha&amp;SourcePage=search.php&amp;IncludeSynonyms=Y&amp;SortBy=DESC&amp;SortOrder=Year" TargetMode="External"/><Relationship Id="rId4906" Type="http://schemas.openxmlformats.org/officeDocument/2006/relationships/hyperlink" Target="https://en.wikipedia.org/wiki/Dodecatheon_hendersonii" TargetMode="External"/><Relationship Id="rId5070" Type="http://schemas.openxmlformats.org/officeDocument/2006/relationships/hyperlink" Target="https://en.wikipedia.org/wiki/Lemna_trisulca" TargetMode="External"/><Relationship Id="rId6121" Type="http://schemas.openxmlformats.org/officeDocument/2006/relationships/hyperlink" Target="http://www.burkemuseum.org/research-and-collections/botany-and-herbarium/collections/database/results.php?Genus=Ribes&amp;Species=lobbii&amp;SourcePage=search.php&amp;IncludeSynonyms=Y&amp;SortBy=DESC&amp;SortOrder=Year" TargetMode="External"/><Relationship Id="rId429" Type="http://schemas.openxmlformats.org/officeDocument/2006/relationships/hyperlink" Target="http://biology.burke.washington.edu/herbarium/imagecollectionnew/taxon.php?Taxon=Celtis%20reticulata" TargetMode="External"/><Relationship Id="rId636" Type="http://schemas.openxmlformats.org/officeDocument/2006/relationships/hyperlink" Target="https://en.wikipedia.org/wiki/Sagina_maxima" TargetMode="External"/><Relationship Id="rId1059" Type="http://schemas.openxmlformats.org/officeDocument/2006/relationships/hyperlink" Target="https://en.wikipedia.org/wiki/Cryptogramma_acrostichoides" TargetMode="External"/><Relationship Id="rId1266" Type="http://schemas.openxmlformats.org/officeDocument/2006/relationships/hyperlink" Target="https://en.wikipedia.org/wiki/Oenothera" TargetMode="External"/><Relationship Id="rId1473" Type="http://schemas.openxmlformats.org/officeDocument/2006/relationships/hyperlink" Target="https://en.wikipedia.org/wiki/Viola_glabella" TargetMode="External"/><Relationship Id="rId2317" Type="http://schemas.openxmlformats.org/officeDocument/2006/relationships/hyperlink" Target="https://plants.usda.gov/core/profile?symbol=CADE9" TargetMode="External"/><Relationship Id="rId2871" Type="http://schemas.openxmlformats.org/officeDocument/2006/relationships/hyperlink" Target="http://www.burkemuseum.org/research-and-collections/botany-and-herbarium/collections/database/results.php?Genus=Cerastium&amp;Species=arvense&amp;SourcePage=search.php&amp;IncludeSynonyms=Y&amp;SortBy=DESC&amp;SortOrder=Year" TargetMode="External"/><Relationship Id="rId3715" Type="http://schemas.openxmlformats.org/officeDocument/2006/relationships/hyperlink" Target="https://plants.usda.gov/core/profile?symbol=BAOR" TargetMode="External"/><Relationship Id="rId3922" Type="http://schemas.openxmlformats.org/officeDocument/2006/relationships/hyperlink" Target="https://plants.usda.gov/core/profile?symbol=EPGI" TargetMode="External"/><Relationship Id="rId843" Type="http://schemas.openxmlformats.org/officeDocument/2006/relationships/hyperlink" Target="https://en.wikipedia.org/wiki/Myrica_gale" TargetMode="External"/><Relationship Id="rId1126" Type="http://schemas.openxmlformats.org/officeDocument/2006/relationships/hyperlink" Target="https://en.wikipedia.org/wiki/Isoetes_occidentalis" TargetMode="External"/><Relationship Id="rId1680" Type="http://schemas.openxmlformats.org/officeDocument/2006/relationships/hyperlink" Target="http://biology.burke.washington.edu/herbarium/imagecollectionnew/taxon.php?Taxon=Ambrosia%20chamissonis" TargetMode="External"/><Relationship Id="rId2524" Type="http://schemas.openxmlformats.org/officeDocument/2006/relationships/hyperlink" Target="http://plants.usda.gov/java/profile?symbol=MAOR3" TargetMode="External"/><Relationship Id="rId2731" Type="http://schemas.openxmlformats.org/officeDocument/2006/relationships/hyperlink" Target="http://www.burkemuseum.org/research-and-collections/botany-and-herbarium/collections/database/results.php?Genus=Agrostis&amp;Species=exarata&amp;SourcePage=search.php&amp;IncludeSynonyms=Y&amp;SortBy=DESC&amp;SortOrder=Year" TargetMode="External"/><Relationship Id="rId5887" Type="http://schemas.openxmlformats.org/officeDocument/2006/relationships/hyperlink" Target="http://www.burkemuseum.org/research-and-collections/botany-and-herbarium/collections/database/results.php?Genus=Lonicera&amp;Species=ciliosa&amp;SourcePage=search.php&amp;IncludeSynonyms=Y&amp;SortBy=DESC&amp;SortOrder=Year" TargetMode="External"/><Relationship Id="rId6938" Type="http://schemas.openxmlformats.org/officeDocument/2006/relationships/hyperlink" Target="http://biology.burke.washington.edu/herbarium/imagecollection/taxon.php?Taxon=Madia%20elegans" TargetMode="External"/><Relationship Id="rId703" Type="http://schemas.openxmlformats.org/officeDocument/2006/relationships/hyperlink" Target="https://en.wikipedia.org/wiki/Eriophorum_gracile" TargetMode="External"/><Relationship Id="rId910" Type="http://schemas.openxmlformats.org/officeDocument/2006/relationships/hyperlink" Target="https://en.wikipedia.org/wiki/Chamaecyparis_lawsoniana" TargetMode="External"/><Relationship Id="rId1333" Type="http://schemas.openxmlformats.org/officeDocument/2006/relationships/hyperlink" Target="http://biology.burke.washington.edu/herbarium/imagecollectionnew/taxon.php?Taxon=Sambucus%20nigra" TargetMode="External"/><Relationship Id="rId1540" Type="http://schemas.openxmlformats.org/officeDocument/2006/relationships/hyperlink" Target="https://en.wikipedia.org/wiki/Polygonum_paronychia" TargetMode="External"/><Relationship Id="rId4489" Type="http://schemas.openxmlformats.org/officeDocument/2006/relationships/hyperlink" Target="https://plants.usda.gov/core/profile?symbol=UTMA" TargetMode="External"/><Relationship Id="rId4696" Type="http://schemas.openxmlformats.org/officeDocument/2006/relationships/hyperlink" Target="https://en.wikipedia.org/wiki/Aphyllon_pinorum" TargetMode="External"/><Relationship Id="rId5747" Type="http://schemas.openxmlformats.org/officeDocument/2006/relationships/hyperlink" Target="http://www.burkemuseum.org/research-and-collections/botany-and-herbarium/collections/database/results.php?Genus=Erythronium&amp;Species=oregonum&amp;SourcePage=search.php&amp;IncludeSynonyms=Y&amp;SortBy=DESC&amp;SortOrder=Year" TargetMode="External"/><Relationship Id="rId5954" Type="http://schemas.openxmlformats.org/officeDocument/2006/relationships/hyperlink" Target="http://www.burkemuseum.org/research-and-collections/botany-and-herbarium/collections/database/results.php?Genus=Myosotis&amp;Species=laxa&amp;SourcePage=search.php&amp;IncludeSynonyms=Y&amp;SortBy=DESC&amp;SortOrder=Year" TargetMode="External"/><Relationship Id="rId1400" Type="http://schemas.openxmlformats.org/officeDocument/2006/relationships/hyperlink" Target="http://biology.burke.washington.edu/herbarium/imagecollection/taxon.php?Taxon=Allium%20amplectens" TargetMode="External"/><Relationship Id="rId3298" Type="http://schemas.openxmlformats.org/officeDocument/2006/relationships/hyperlink" Target="http://www.burkemuseum.org/research-and-collections/botany-and-herbarium/collections/database/results.php?Genus=Ruppia&amp;Species=maritima&amp;SourcePage=search.php&amp;IncludeSynonyms=Y&amp;SortBy=DESC&amp;SortOrder=Year" TargetMode="External"/><Relationship Id="rId4349" Type="http://schemas.openxmlformats.org/officeDocument/2006/relationships/hyperlink" Target="https://plants.usda.gov/core/profile?symbol=saba3" TargetMode="External"/><Relationship Id="rId4556" Type="http://schemas.openxmlformats.org/officeDocument/2006/relationships/hyperlink" Target="https://en.wikipedia.org/wiki/Allium_acuminatum" TargetMode="External"/><Relationship Id="rId4763" Type="http://schemas.openxmlformats.org/officeDocument/2006/relationships/hyperlink" Target="https://en.wikipedia.org/wiki/Calystegia_soldanella" TargetMode="External"/><Relationship Id="rId4970" Type="http://schemas.openxmlformats.org/officeDocument/2006/relationships/hyperlink" Target="https://en.wikipedia.org/wiki/Fragaria_chiloensis" TargetMode="External"/><Relationship Id="rId5607" Type="http://schemas.openxmlformats.org/officeDocument/2006/relationships/hyperlink" Target="http://www.burkemuseum.org/research-and-collections/botany-and-herbarium/collections/database/results.php?Genus=Carex&amp;Species=viridula&amp;SourcePage=search.php&amp;IncludeSynonyms=Y&amp;SortBy=DESC&amp;SortOrder=Year" TargetMode="External"/><Relationship Id="rId5814" Type="http://schemas.openxmlformats.org/officeDocument/2006/relationships/hyperlink" Target="http://www.burkemuseum.org/research-and-collections/botany-and-herbarium/collections/database/results.php?Genus=Hordeum&amp;Species=depressum&amp;SourcePage=search.php&amp;IncludeSynonyms=Y&amp;SortBy=DESC&amp;SortOrder=Year" TargetMode="External"/><Relationship Id="rId3158" Type="http://schemas.openxmlformats.org/officeDocument/2006/relationships/hyperlink" Target="http://www.burkemuseum.org/research-and-collections/botany-and-herbarium/collections/database/results.php?Genus=Myriophyllum&amp;Species=hippuroides&amp;SourcePage=search.php&amp;IncludeSynonyms=Y&amp;SortBy=DESC&amp;SortOrder=Year" TargetMode="External"/><Relationship Id="rId3365" Type="http://schemas.openxmlformats.org/officeDocument/2006/relationships/hyperlink" Target="http://www.burkemuseum.org/research-and-collections/botany-and-herbarium/collections/database/results.php?Genus=Spiraea&amp;Species=densiflora&amp;SourcePage=search.php&amp;IncludeSynonyms=Y&amp;SortBy=DESC&amp;SortOrder=Year" TargetMode="External"/><Relationship Id="rId3572" Type="http://schemas.openxmlformats.org/officeDocument/2006/relationships/hyperlink" Target="http://www.burkemuseum.org/research-and-collections/botany-and-herbarium/collections/database/results.php?Genus=Ribes&amp;Species=lobbii&amp;SourcePage=search.php&amp;IncludeSynonyms=Y&amp;SortBy=DESC&amp;SortOrder=Year" TargetMode="External"/><Relationship Id="rId4209" Type="http://schemas.openxmlformats.org/officeDocument/2006/relationships/hyperlink" Target="https://plants.usda.gov/core/profile?symbol=POHY2" TargetMode="External"/><Relationship Id="rId4416" Type="http://schemas.openxmlformats.org/officeDocument/2006/relationships/hyperlink" Target="https://plants.usda.gov/core/profile?symbol=SPAN2" TargetMode="External"/><Relationship Id="rId4623" Type="http://schemas.openxmlformats.org/officeDocument/2006/relationships/hyperlink" Target="http://www.burkemuseum.org/research-and-collections/botany-and-herbarium/collections/database/results.php?Genus=Angelica&amp;Species=hendersonii&amp;SourcePage=search.php&amp;IncludeSynonyms=Y&amp;SortBy=DESC&amp;SortOrder=Year" TargetMode="External"/><Relationship Id="rId4830" Type="http://schemas.openxmlformats.org/officeDocument/2006/relationships/hyperlink" Target="https://en.wikipedia.org/wiki/Chamaecyparis_lawsoniana" TargetMode="External"/><Relationship Id="rId286" Type="http://schemas.openxmlformats.org/officeDocument/2006/relationships/hyperlink" Target="http://biology.burke.washington.edu/herbarium/imagecollectionnew/taxon.php?Taxon=Agrostis%20exarata" TargetMode="External"/><Relationship Id="rId493" Type="http://schemas.openxmlformats.org/officeDocument/2006/relationships/hyperlink" Target="http://biology.burke.washington.edu/herbarium/imagecollection/taxon.php?Taxon=Cypripedium%20montanum" TargetMode="External"/><Relationship Id="rId2174" Type="http://schemas.openxmlformats.org/officeDocument/2006/relationships/hyperlink" Target="https://plants.usda.gov/core/profile?symbol=ERCA14" TargetMode="External"/><Relationship Id="rId2381" Type="http://schemas.openxmlformats.org/officeDocument/2006/relationships/hyperlink" Target="https://plants.usda.gov/core/profile?symbol=ARCA12" TargetMode="External"/><Relationship Id="rId3018" Type="http://schemas.openxmlformats.org/officeDocument/2006/relationships/hyperlink" Target="http://www.burkemuseum.org/research-and-collections/botany-and-herbarium/collections/database/results.php?Genus=Gilia&amp;Species=capitata&amp;SourcePage=search.php&amp;IncludeSynonyms=Y&amp;SortBy=DESC&amp;SortOrder=Year" TargetMode="External"/><Relationship Id="rId3225" Type="http://schemas.openxmlformats.org/officeDocument/2006/relationships/hyperlink" Target="http://www.burkemuseum.org/research-and-collections/botany-and-herbarium/collections/database/results.php?Genus=Polemonium&amp;Species=pulcherrimum&amp;SourcePage=search.php&amp;IncludeSynonyms=Y&amp;SortBy=DESC&amp;SortOrder=Year" TargetMode="External"/><Relationship Id="rId3432" Type="http://schemas.openxmlformats.org/officeDocument/2006/relationships/hyperlink" Target="http://www.burkemuseum.org/research-and-collections/botany-and-herbarium/collections/database/results.php?Genus=Veronica&amp;Species=scutellata&amp;SourcePage=search.php&amp;IncludeSynonyms=Y&amp;SortBy=DESC&amp;SortOrder=Year" TargetMode="External"/><Relationship Id="rId6588" Type="http://schemas.openxmlformats.org/officeDocument/2006/relationships/hyperlink" Target="http://biology.burke.washington.edu/herbarium/imagecollection/taxon.php?Taxon=Oenanthe%20sarmentosa" TargetMode="External"/><Relationship Id="rId6795" Type="http://schemas.openxmlformats.org/officeDocument/2006/relationships/hyperlink" Target="http://biology.burke.washington.edu/herbarium/imagecollectionnew/taxon.php?Taxon=Draba%20cana" TargetMode="External"/><Relationship Id="rId146" Type="http://schemas.openxmlformats.org/officeDocument/2006/relationships/hyperlink" Target="http://biology.burke.washington.edu/herbarium/imagecollection/taxon.php?Taxon=Erythronium%20revolutum" TargetMode="External"/><Relationship Id="rId353" Type="http://schemas.openxmlformats.org/officeDocument/2006/relationships/hyperlink" Target="http://biology.burke.washington.edu/herbarium/imagecollectionnew/taxon.php?Taxon=Carex%20cusickii" TargetMode="External"/><Relationship Id="rId560" Type="http://schemas.openxmlformats.org/officeDocument/2006/relationships/hyperlink" Target="https://en.wikipedia.org/wiki/Symphyotrichum_campestre" TargetMode="External"/><Relationship Id="rId1190" Type="http://schemas.openxmlformats.org/officeDocument/2006/relationships/hyperlink" Target="http://biology.burke.washington.edu/herbarium/imagecollectionnew/taxon.php?Taxon=Trifolium%20oliganthum" TargetMode="External"/><Relationship Id="rId2034" Type="http://schemas.openxmlformats.org/officeDocument/2006/relationships/hyperlink" Target="http://plants.usda.gov/java/profile?symbol=MAEL" TargetMode="External"/><Relationship Id="rId2241" Type="http://schemas.openxmlformats.org/officeDocument/2006/relationships/hyperlink" Target="http://plants.usda.gov/java/profile?symbol=CRCO34" TargetMode="External"/><Relationship Id="rId5397" Type="http://schemas.openxmlformats.org/officeDocument/2006/relationships/hyperlink" Target="https://en.wikipedia.org/wiki/Sequoiadendron_giganteum" TargetMode="External"/><Relationship Id="rId6448" Type="http://schemas.openxmlformats.org/officeDocument/2006/relationships/hyperlink" Target="http://biology.burke.washington.edu/herbarium/imagecollectionnew/taxon.php?Taxon=Cyperus%20erythrorhizos" TargetMode="External"/><Relationship Id="rId213" Type="http://schemas.openxmlformats.org/officeDocument/2006/relationships/hyperlink" Target="http://biology.burke.washington.edu/herbarium/imagecollection/taxon.php?Taxon=Lithophragma%20parviflorum" TargetMode="External"/><Relationship Id="rId420" Type="http://schemas.openxmlformats.org/officeDocument/2006/relationships/hyperlink" Target="http://biology.burke.washington.edu/herbarium/imagecollectionnew/taxon.php?Taxon=Chimaphila%20umbellata" TargetMode="External"/><Relationship Id="rId1050" Type="http://schemas.openxmlformats.org/officeDocument/2006/relationships/hyperlink" Target="https://species.wikimedia.org/wiki/Carex_athrostachya" TargetMode="External"/><Relationship Id="rId2101" Type="http://schemas.openxmlformats.org/officeDocument/2006/relationships/hyperlink" Target="http://plants.usda.gov/java/profile?symbol=ISOC" TargetMode="External"/><Relationship Id="rId5257" Type="http://schemas.openxmlformats.org/officeDocument/2006/relationships/hyperlink" Target="https://en.wikipedia.org/wiki/Polypodium_scouleri" TargetMode="External"/><Relationship Id="rId6655" Type="http://schemas.openxmlformats.org/officeDocument/2006/relationships/hyperlink" Target="http://biology.burke.washington.edu/herbarium/imagecollectionnew/taxon.php?Taxon=Scheuchzeria%20palustris" TargetMode="External"/><Relationship Id="rId6862" Type="http://schemas.openxmlformats.org/officeDocument/2006/relationships/hyperlink" Target="http://biology.burke.washington.edu/herbarium/imagecollectionnew/taxon.php?Taxon=Anemone%20deltoidea" TargetMode="External"/><Relationship Id="rId4066" Type="http://schemas.openxmlformats.org/officeDocument/2006/relationships/hyperlink" Target="https://plants.usda.gov/core/profile?symbol=LETU2" TargetMode="External"/><Relationship Id="rId5464" Type="http://schemas.openxmlformats.org/officeDocument/2006/relationships/hyperlink" Target="https://en.wikipedia.org/wiki/Trautvetteria_caroliniensis" TargetMode="External"/><Relationship Id="rId5671" Type="http://schemas.openxmlformats.org/officeDocument/2006/relationships/hyperlink" Target="http://www.burkemuseum.org/research-and-collections/botany-and-herbarium/collections/database/results.php?Genus=Cryptantha&amp;Species=intermedia&amp;SourcePage=search.php&amp;IncludeSynonyms=Y&amp;SortBy=DESC&amp;SortOrder=Year" TargetMode="External"/><Relationship Id="rId6308" Type="http://schemas.openxmlformats.org/officeDocument/2006/relationships/hyperlink" Target="http://www.burkemuseum.org/research-and-collections/botany-and-herbarium/collections/database/results.php?Genus=Vicia&amp;Species=nigricans&amp;SourcePage=search.php&amp;IncludeSynonyms=Y&amp;SortBy=DESC&amp;SortOrder=Year" TargetMode="External"/><Relationship Id="rId6515" Type="http://schemas.openxmlformats.org/officeDocument/2006/relationships/hyperlink" Target="http://biology.burke.washington.edu/herbarium/imagecollection/taxon.php?Taxon=Gentiana%20sceptrum" TargetMode="External"/><Relationship Id="rId6722" Type="http://schemas.openxmlformats.org/officeDocument/2006/relationships/hyperlink" Target="http://biology.burke.washington.edu/herbarium/imagecollection/taxon.php?Taxon=Montia%20linearis" TargetMode="External"/><Relationship Id="rId1867" Type="http://schemas.openxmlformats.org/officeDocument/2006/relationships/hyperlink" Target="https://plants.usda.gov/core/profile?symbol=RORA" TargetMode="External"/><Relationship Id="rId2918" Type="http://schemas.openxmlformats.org/officeDocument/2006/relationships/hyperlink" Target="http://www.burkemuseum.org/research-and-collections/botany-and-herbarium/collections/database/results.php?Genus=Cryptantha&amp;Species=intermedia&amp;SourcePage=search.php&amp;IncludeSynonyms=Y&amp;SortBy=DESC&amp;SortOrder=Year" TargetMode="External"/><Relationship Id="rId4273" Type="http://schemas.openxmlformats.org/officeDocument/2006/relationships/hyperlink" Target="https://plants.usda.gov/core/profile?symbol=PODR" TargetMode="External"/><Relationship Id="rId4480" Type="http://schemas.openxmlformats.org/officeDocument/2006/relationships/hyperlink" Target="https://plants.usda.gov/core/profile?symbol=TSHE" TargetMode="External"/><Relationship Id="rId5117" Type="http://schemas.openxmlformats.org/officeDocument/2006/relationships/hyperlink" Target="https://en.wikipedia.org/wiki/Madia_exigua" TargetMode="External"/><Relationship Id="rId5324" Type="http://schemas.openxmlformats.org/officeDocument/2006/relationships/hyperlink" Target="https://en.wikipedia.org/wiki/Ribes_triste" TargetMode="External"/><Relationship Id="rId5531" Type="http://schemas.openxmlformats.org/officeDocument/2006/relationships/hyperlink" Target="https://en.wikipedia.org/wiki/Pseudognaphalium_stramineum" TargetMode="External"/><Relationship Id="rId1727" Type="http://schemas.openxmlformats.org/officeDocument/2006/relationships/hyperlink" Target="http://plants.usda.gov/java/profile?symbol=VEHA2" TargetMode="External"/><Relationship Id="rId1934" Type="http://schemas.openxmlformats.org/officeDocument/2006/relationships/hyperlink" Target="https://plants.usda.gov/core/profile?symbol=POPA26" TargetMode="External"/><Relationship Id="rId3082" Type="http://schemas.openxmlformats.org/officeDocument/2006/relationships/hyperlink" Target="http://www.burkemuseum.org/research-and-collections/botany-and-herbarium/collections/database/results.php?Genus=Lemna&amp;Species=minor&amp;SourcePage=search.php&amp;IncludeSynonyms=Y&amp;SortBy=DESC&amp;SortOrder=Year" TargetMode="External"/><Relationship Id="rId4133" Type="http://schemas.openxmlformats.org/officeDocument/2006/relationships/hyperlink" Target="https://plants.usda.gov/core/profile?symbol=SAFE" TargetMode="External"/><Relationship Id="rId4340" Type="http://schemas.openxmlformats.org/officeDocument/2006/relationships/hyperlink" Target="https://plants.usda.gov/core/profile?symbol=RUAQF" TargetMode="External"/><Relationship Id="rId19" Type="http://schemas.openxmlformats.org/officeDocument/2006/relationships/hyperlink" Target="http://biology.burke.washington.edu/herbarium/imagecollection/taxon.php?Taxon=Grindelia%20integrifolia" TargetMode="External"/><Relationship Id="rId3899" Type="http://schemas.openxmlformats.org/officeDocument/2006/relationships/hyperlink" Target="https://plants.usda.gov/core/profile?symbol=POGL9" TargetMode="External"/><Relationship Id="rId4200" Type="http://schemas.openxmlformats.org/officeDocument/2006/relationships/hyperlink" Target="https://plants.usda.gov/core/profile?symbol=PECA16" TargetMode="External"/><Relationship Id="rId6098" Type="http://schemas.openxmlformats.org/officeDocument/2006/relationships/hyperlink" Target="http://www.burkemuseum.org/research-and-collections/botany-and-herbarium/collections/database/results.php?Genus=Ranunculus&amp;Species=californicus&amp;SourcePage=search.php&amp;IncludeSynonyms=Y&amp;SortBy=DESC&amp;SortOrder=Year" TargetMode="External"/><Relationship Id="rId7149" Type="http://schemas.openxmlformats.org/officeDocument/2006/relationships/hyperlink" Target="http://biology.burke.washington.edu/herbarium/imagecollectionnew/taxon.php?Taxon=Schoenoplectus%20tabernaemontani" TargetMode="External"/><Relationship Id="rId6165" Type="http://schemas.openxmlformats.org/officeDocument/2006/relationships/hyperlink" Target="http://www.burkemuseum.org/research-and-collections/botany-and-herbarium/collections/database/results.php?Genus=Salix&amp;Species=sessilifolia&amp;SourcePage=search.php&amp;IncludeSynonyms=Y&amp;SortBy=DESC&amp;SortOrder=Year" TargetMode="External"/><Relationship Id="rId6372" Type="http://schemas.openxmlformats.org/officeDocument/2006/relationships/hyperlink" Target="http://biology.burke.washington.edu/herbarium/imagecollectionnew/taxon.php?Taxon=Antennaria%20racemosa" TargetMode="External"/><Relationship Id="rId7009" Type="http://schemas.openxmlformats.org/officeDocument/2006/relationships/hyperlink" Target="http://biology.burke.washington.edu/herbarium/imagecollectionnew/taxon.php?Taxon=Cirsium%20remotifolium" TargetMode="External"/><Relationship Id="rId7216" Type="http://schemas.openxmlformats.org/officeDocument/2006/relationships/hyperlink" Target="http://biology.burke.washington.edu/herbarium/imagecollection/taxon.php?Taxon=Comarum%20palustre" TargetMode="External"/><Relationship Id="rId3759" Type="http://schemas.openxmlformats.org/officeDocument/2006/relationships/hyperlink" Target="https://plants.usda.gov/core/profile?symbol=CANU17" TargetMode="External"/><Relationship Id="rId3966" Type="http://schemas.openxmlformats.org/officeDocument/2006/relationships/hyperlink" Target="https://plants.usda.gov/core/profile?symbol=GAAP2" TargetMode="External"/><Relationship Id="rId5181" Type="http://schemas.openxmlformats.org/officeDocument/2006/relationships/hyperlink" Target="https://en.wikipedia.org/wiki/Oplopanax_horridus" TargetMode="External"/><Relationship Id="rId6025" Type="http://schemas.openxmlformats.org/officeDocument/2006/relationships/hyperlink" Target="http://www.burkemuseum.org/research-and-collections/botany-and-herbarium/collections/database/results.php?Genus=Pinus&amp;Species=ponderosa&amp;SourcePage=search.php&amp;IncludeSynonyms=Y&amp;SortBy=DESC&amp;SortOrder=Year" TargetMode="External"/><Relationship Id="rId6232" Type="http://schemas.openxmlformats.org/officeDocument/2006/relationships/hyperlink" Target="http://www.burkemuseum.org/research-and-collections/botany-and-herbarium/collections/database/results.php?Genus=Stellaria&amp;Species=crispa&amp;SourcePage=search.php&amp;IncludeSynonyms=Y&amp;SortBy=DESC&amp;SortOrder=Year" TargetMode="External"/><Relationship Id="rId3" Type="http://schemas.openxmlformats.org/officeDocument/2006/relationships/hyperlink" Target="http://biology.burke.washington.edu/herbarium/imagecollection/taxon.php?Taxon=Oplopanax%20horridus" TargetMode="External"/><Relationship Id="rId887" Type="http://schemas.openxmlformats.org/officeDocument/2006/relationships/hyperlink" Target="http://en.wikipedia.org/wiki/Collinsia_parviflora" TargetMode="External"/><Relationship Id="rId2568" Type="http://schemas.openxmlformats.org/officeDocument/2006/relationships/hyperlink" Target="https://plants.usda.gov/core/profile?symbol=DACA5" TargetMode="External"/><Relationship Id="rId2775" Type="http://schemas.openxmlformats.org/officeDocument/2006/relationships/hyperlink" Target="http://www.burkemuseum.org/research-and-collections/botany-and-herbarium/collections/database/results.php?Genus=Artemisia&amp;Species=douglasiana&amp;SourcePage=search.php&amp;IncludeSynonyms=Y&amp;SortBy=DESC&amp;SortOrder=Year" TargetMode="External"/><Relationship Id="rId2982" Type="http://schemas.openxmlformats.org/officeDocument/2006/relationships/hyperlink" Target="http://www.burkemuseum.org/research-and-collections/botany-and-herbarium/collections/database/results.php?Genus=Erysimum&amp;Species=capitatum&amp;SourcePage=search.php&amp;IncludeSynonyms=Y&amp;SortBy=DESC&amp;SortOrder=Year" TargetMode="External"/><Relationship Id="rId3619" Type="http://schemas.openxmlformats.org/officeDocument/2006/relationships/hyperlink" Target="http://www.burkemuseum.org/research-and-collections/botany-and-herbarium/collections/database/results.php?Genus=Platanthera&amp;Species=stricta&amp;SourcePage=search.php&amp;IncludeSynonyms=Y&amp;SortBy=DESC&amp;SortOrder=Year" TargetMode="External"/><Relationship Id="rId3826" Type="http://schemas.openxmlformats.org/officeDocument/2006/relationships/hyperlink" Target="https://plants.usda.gov/core/profile?symbol=CILA2" TargetMode="External"/><Relationship Id="rId5041" Type="http://schemas.openxmlformats.org/officeDocument/2006/relationships/hyperlink" Target="https://en.wikipedia.org/wiki/Isoetes_nuttallii" TargetMode="External"/><Relationship Id="rId747" Type="http://schemas.openxmlformats.org/officeDocument/2006/relationships/hyperlink" Target="https://en.wikipedia.org/wiki/Datura_wrightii" TargetMode="External"/><Relationship Id="rId954" Type="http://schemas.openxmlformats.org/officeDocument/2006/relationships/hyperlink" Target="https://en.wikipedia.org/wiki/Campanula_scouleri" TargetMode="External"/><Relationship Id="rId1377" Type="http://schemas.openxmlformats.org/officeDocument/2006/relationships/hyperlink" Target="http://biology.burke.washington.edu/herbarium/imagecollection/taxon.php?Taxon=Gentiana%20sceptrum" TargetMode="External"/><Relationship Id="rId1584" Type="http://schemas.openxmlformats.org/officeDocument/2006/relationships/hyperlink" Target="https://en.wikipedia.org/wiki/Asclepias_speciosa" TargetMode="External"/><Relationship Id="rId1791" Type="http://schemas.openxmlformats.org/officeDocument/2006/relationships/hyperlink" Target="http://plants.usda.gov/java/profile?symbol=SPSPS" TargetMode="External"/><Relationship Id="rId2428" Type="http://schemas.openxmlformats.org/officeDocument/2006/relationships/hyperlink" Target="https://plants.usda.gov/core/profile?symbol=adpe" TargetMode="External"/><Relationship Id="rId2635" Type="http://schemas.openxmlformats.org/officeDocument/2006/relationships/hyperlink" Target="http://biology.burke.washington.edu/herbarium/imagecollection/taxon.php?Taxon=Platanthera%20elongata" TargetMode="External"/><Relationship Id="rId2842" Type="http://schemas.openxmlformats.org/officeDocument/2006/relationships/hyperlink" Target="http://www.burkemuseum.org/research-and-collections/botany-and-herbarium/collections/database/results.php?Genus=Carex&amp;Species=interrupta&amp;SourcePage=search.php&amp;IncludeSynonyms=Y&amp;SortBy=DESC&amp;SortOrder=Year" TargetMode="External"/><Relationship Id="rId5998" Type="http://schemas.openxmlformats.org/officeDocument/2006/relationships/hyperlink" Target="http://www.burkemuseum.org/research-and-collections/botany-and-herbarium/collections/database/results.php?Genus=Pectiantia&amp;Species=ovalis&amp;SourcePage=search.php&amp;IncludeSynonyms=Y&amp;SortBy=DESC&amp;SortOrder=Year" TargetMode="External"/><Relationship Id="rId83" Type="http://schemas.openxmlformats.org/officeDocument/2006/relationships/hyperlink" Target="http://biology.burke.washington.edu/herbarium/imagecollection/taxon.php?Taxon=Ribes%20laxiflorum" TargetMode="External"/><Relationship Id="rId607" Type="http://schemas.openxmlformats.org/officeDocument/2006/relationships/hyperlink" Target="https://en.wikipedia.org/wiki/Schoenoplectus_pungens" TargetMode="External"/><Relationship Id="rId814" Type="http://schemas.openxmlformats.org/officeDocument/2006/relationships/hyperlink" Target="https://en.wikipedia.org/wiki/Penstemon" TargetMode="External"/><Relationship Id="rId1237" Type="http://schemas.openxmlformats.org/officeDocument/2006/relationships/hyperlink" Target="https://en.wikipedia.org/wiki/Castilleja" TargetMode="External"/><Relationship Id="rId1444" Type="http://schemas.openxmlformats.org/officeDocument/2006/relationships/hyperlink" Target="http://biology.burke.washington.edu/herbarium/imagecollectionnew/taxon.php?Taxon=Carex%20unilateralis" TargetMode="External"/><Relationship Id="rId1651" Type="http://schemas.openxmlformats.org/officeDocument/2006/relationships/hyperlink" Target="http://biology.burke.washington.edu/herbarium/imagecollectionnew/taxon.php?Taxon=Stachys%20\cooleyae" TargetMode="External"/><Relationship Id="rId2702" Type="http://schemas.openxmlformats.org/officeDocument/2006/relationships/hyperlink" Target="http://biology.burke.washington.edu/herbarium/imagecollectionnew/taxon.php?Taxon=Sedum%20lanceolatum" TargetMode="External"/><Relationship Id="rId5858" Type="http://schemas.openxmlformats.org/officeDocument/2006/relationships/hyperlink" Target="http://www.burkemuseum.org/research-and-collections/botany-and-herbarium/collections/database/results.php?Genus=Lathyrus&amp;Species=littoralis&amp;SourcePage=search.php&amp;IncludeSynonyms=Y&amp;SortBy=DESC&amp;SortOrder=Year" TargetMode="External"/><Relationship Id="rId6909" Type="http://schemas.openxmlformats.org/officeDocument/2006/relationships/hyperlink" Target="http://biology.burke.washington.edu/herbarium/imagecollection/taxon.php?Taxon=Platanthera%20stricta" TargetMode="External"/><Relationship Id="rId1304" Type="http://schemas.openxmlformats.org/officeDocument/2006/relationships/hyperlink" Target="http://biology.burke.washington.edu/herbarium/imagecollection/taxon.php?Taxon=Wyethia%20angustifolia" TargetMode="External"/><Relationship Id="rId1511" Type="http://schemas.openxmlformats.org/officeDocument/2006/relationships/hyperlink" Target="https://en.wikipedia.org/wiki/Ribes_sanguineum" TargetMode="External"/><Relationship Id="rId4667" Type="http://schemas.openxmlformats.org/officeDocument/2006/relationships/hyperlink" Target="http://www.burkemuseum.org/research-and-collections/botany-and-herbarium/collections/database/results.php?Genus=Betula&amp;Species=papyrifera&amp;SourcePage=search.php&amp;IncludeSynonyms=Y&amp;SortBy=DESC&amp;SortOrder=Year" TargetMode="External"/><Relationship Id="rId4874" Type="http://schemas.openxmlformats.org/officeDocument/2006/relationships/hyperlink" Target="https://en.wikipedia.org/wiki/Crassula_aquatica" TargetMode="External"/><Relationship Id="rId5718" Type="http://schemas.openxmlformats.org/officeDocument/2006/relationships/hyperlink" Target="http://www.burkemuseum.org/research-and-collections/botany-and-herbarium/collections/database/results.php?Genus=Epilobium&amp;Species=ciliatum&amp;SourcePage=search.php&amp;IncludeSynonyms=Y&amp;SortBy=DESC&amp;SortOrder=Year" TargetMode="External"/><Relationship Id="rId7073" Type="http://schemas.openxmlformats.org/officeDocument/2006/relationships/hyperlink" Target="http://biology.burke.washington.edu/herbarium/imagecollectionnew/taxon.php?Taxon=Viola%20howellii" TargetMode="External"/><Relationship Id="rId3269" Type="http://schemas.openxmlformats.org/officeDocument/2006/relationships/hyperlink" Target="http://www.burkemuseum.org/research-and-collections/botany-and-herbarium/collections/database/results.php?Genus=Ranunculus&amp;Species=flammula&amp;SourcePage=search.php&amp;IncludeSynonyms=Y&amp;SortBy=DESC&amp;SortOrder=Year" TargetMode="External"/><Relationship Id="rId3476" Type="http://schemas.openxmlformats.org/officeDocument/2006/relationships/hyperlink" Target="http://www.burkemuseum.org/research-and-collections/botany-and-herbarium/collections/database/results.php?Genus=Carex&amp;Species=mertensii&amp;SourcePage=search.php&amp;IncludeSynonyms=Y&amp;SortBy=DESC&amp;SortOrder=Year" TargetMode="External"/><Relationship Id="rId3683" Type="http://schemas.openxmlformats.org/officeDocument/2006/relationships/hyperlink" Target="https://plants.usda.gov/core/profile?symbol=AQFO" TargetMode="External"/><Relationship Id="rId4527" Type="http://schemas.openxmlformats.org/officeDocument/2006/relationships/hyperlink" Target="https://plants.usda.gov/core/profile?symbol=ZAPA" TargetMode="External"/><Relationship Id="rId5925" Type="http://schemas.openxmlformats.org/officeDocument/2006/relationships/hyperlink" Target="http://www.burkemuseum.org/research-and-collections/botany-and-herbarium/collections/database/results.php?Genus=Marah&amp;Species=oreganus&amp;SourcePage=search.php&amp;IncludeSynonyms=Y&amp;SortBy=DESC&amp;SortOrder=Year" TargetMode="External"/><Relationship Id="rId7140" Type="http://schemas.openxmlformats.org/officeDocument/2006/relationships/hyperlink" Target="http://biology.burke.washington.edu/herbarium/imagecollectionnew/taxon.php?Taxon=Selaginella%20wallacei" TargetMode="External"/><Relationship Id="rId10" Type="http://schemas.openxmlformats.org/officeDocument/2006/relationships/hyperlink" Target="http://biology.burke.washington.edu/herbarium/imagecollection/taxon.php?Taxon=Lomatium%20dissectum" TargetMode="External"/><Relationship Id="rId397" Type="http://schemas.openxmlformats.org/officeDocument/2006/relationships/hyperlink" Target="http://biology.burke.washington.edu/herbarium/imagecollectionnew/taxon.php?Taxon=Collomia%20heterophylla" TargetMode="External"/><Relationship Id="rId2078" Type="http://schemas.openxmlformats.org/officeDocument/2006/relationships/hyperlink" Target="http://plants.usda.gov/java/profile?symbol=LAPA4" TargetMode="External"/><Relationship Id="rId2285" Type="http://schemas.openxmlformats.org/officeDocument/2006/relationships/hyperlink" Target="http://plants.usda.gov/java/profile?symbol=CEAU" TargetMode="External"/><Relationship Id="rId2492" Type="http://schemas.openxmlformats.org/officeDocument/2006/relationships/hyperlink" Target="http://plants.usda.gov/java/profile?symbol=RAOC" TargetMode="External"/><Relationship Id="rId3129" Type="http://schemas.openxmlformats.org/officeDocument/2006/relationships/hyperlink" Target="http://www.burkemuseum.org/research-and-collections/botany-and-herbarium/collections/database/results.php?Genus=Malaxis&amp;Species=monophyllos&amp;SourcePage=search.php&amp;IncludeSynonyms=Y&amp;SortBy=DESC&amp;SortOrder=Year" TargetMode="External"/><Relationship Id="rId3336" Type="http://schemas.openxmlformats.org/officeDocument/2006/relationships/hyperlink" Target="http://www.burkemuseum.org/research-and-collections/botany-and-herbarium/collections/database/results.php?Genus=Scrophularia&amp;Species=lanceolata&amp;SourcePage=search.php&amp;IncludeSynonyms=Y&amp;SortBy=DESC&amp;SortOrder=Year" TargetMode="External"/><Relationship Id="rId3890" Type="http://schemas.openxmlformats.org/officeDocument/2006/relationships/hyperlink" Target="https://plants.usda.gov/core/profile?symbol=diac2" TargetMode="External"/><Relationship Id="rId4734" Type="http://schemas.openxmlformats.org/officeDocument/2006/relationships/hyperlink" Target="https://en.wikipedia.org/wiki/Betula_papyrifera" TargetMode="External"/><Relationship Id="rId4941" Type="http://schemas.openxmlformats.org/officeDocument/2006/relationships/hyperlink" Target="https://en.wikipedia.org/wiki/Erigeron_philadelphicus" TargetMode="External"/><Relationship Id="rId7000" Type="http://schemas.openxmlformats.org/officeDocument/2006/relationships/hyperlink" Target="http://biology.burke.washington.edu/herbarium/imagecollectionnew/taxon.php?Taxon=Corallorhiza%20striata" TargetMode="External"/><Relationship Id="rId257" Type="http://schemas.openxmlformats.org/officeDocument/2006/relationships/hyperlink" Target="http://biology.burke.washington.edu/herbarium/imagecollection/taxon.php?Taxon=Erythranthe%20dentata" TargetMode="External"/><Relationship Id="rId464" Type="http://schemas.openxmlformats.org/officeDocument/2006/relationships/hyperlink" Target="http://biology.burke.washington.edu/herbarium/imagecollectionnew/taxon.php?Taxon=Vaccinium%20oxycoccos" TargetMode="External"/><Relationship Id="rId1094" Type="http://schemas.openxmlformats.org/officeDocument/2006/relationships/hyperlink" Target="https://en.wikipedia.org/wiki/Leptosiphon_bicolor" TargetMode="External"/><Relationship Id="rId2145" Type="http://schemas.openxmlformats.org/officeDocument/2006/relationships/hyperlink" Target="https://plants.usda.gov/core/profile?symbol=GADI2" TargetMode="External"/><Relationship Id="rId3543" Type="http://schemas.openxmlformats.org/officeDocument/2006/relationships/hyperlink" Target="http://www.burkemuseum.org/research-and-collections/botany-and-herbarium/collections/database/results.php?Genus=Pectiantia&amp;Species=ovalis&amp;SourcePage=search.php&amp;IncludeSynonyms=Y&amp;SortBy=DESC&amp;SortOrder=Year" TargetMode="External"/><Relationship Id="rId3750" Type="http://schemas.openxmlformats.org/officeDocument/2006/relationships/hyperlink" Target="https://plants.usda.gov/core/profile?symbol=caso2" TargetMode="External"/><Relationship Id="rId4801" Type="http://schemas.openxmlformats.org/officeDocument/2006/relationships/hyperlink" Target="https://en.wikipedia.org/wiki/Carex_pauciflora" TargetMode="External"/><Relationship Id="rId6699" Type="http://schemas.openxmlformats.org/officeDocument/2006/relationships/hyperlink" Target="http://biology.burke.washington.edu/herbarium/imagecollection/taxon.php?Taxon=Pityopus%20californicus" TargetMode="External"/><Relationship Id="rId117" Type="http://schemas.openxmlformats.org/officeDocument/2006/relationships/hyperlink" Target="http://biology.burke.washington.edu/herbarium/imagecollection/taxon.php?Taxon=Pinus%20ponderosa" TargetMode="External"/><Relationship Id="rId671" Type="http://schemas.openxmlformats.org/officeDocument/2006/relationships/hyperlink" Target="https://en.wikipedia.org/wiki/Puccinellia_nuttalliana" TargetMode="External"/><Relationship Id="rId2352" Type="http://schemas.openxmlformats.org/officeDocument/2006/relationships/hyperlink" Target="http://plants.usda.gov/java/profile?symbol=BOMU" TargetMode="External"/><Relationship Id="rId3403" Type="http://schemas.openxmlformats.org/officeDocument/2006/relationships/hyperlink" Target="http://www.burkemuseum.org/research-and-collections/botany-and-herbarium/collections/database/results.php?Genus=Trifolium&amp;Species=willdenovii&amp;SourcePage=search.php&amp;IncludeSynonyms=Y&amp;SortBy=DESC&amp;SortOrder=Year" TargetMode="External"/><Relationship Id="rId3610" Type="http://schemas.openxmlformats.org/officeDocument/2006/relationships/hyperlink" Target="http://www.burkemuseum.org/research-and-collections/botany-and-herbarium/collections/database/results.php?Genus=Vicia&amp;Species=nigricans&amp;SourcePage=search.php&amp;IncludeSynonyms=Y&amp;SortBy=DESC&amp;SortOrder=Year" TargetMode="External"/><Relationship Id="rId6559" Type="http://schemas.openxmlformats.org/officeDocument/2006/relationships/hyperlink" Target="http://biology.burke.washington.edu/herbarium/imagecollection/taxon.php?Taxon=Lonicera%20involucrata" TargetMode="External"/><Relationship Id="rId6766" Type="http://schemas.openxmlformats.org/officeDocument/2006/relationships/hyperlink" Target="http://biology.burke.washington.edu/herbarium/imagecollection/taxon.php?Taxon=Hordeum%20jubatum" TargetMode="External"/><Relationship Id="rId6973" Type="http://schemas.openxmlformats.org/officeDocument/2006/relationships/hyperlink" Target="http://biology.burke.washington.edu/herbarium/imagecollection/taxon.php?Taxon=Geranium%20oreganum" TargetMode="External"/><Relationship Id="rId324" Type="http://schemas.openxmlformats.org/officeDocument/2006/relationships/hyperlink" Target="http://biology.burke.washington.edu/herbarium/imagecollectionnew/taxon.php?Taxon=Botrypus%20virginianus" TargetMode="External"/><Relationship Id="rId531" Type="http://schemas.openxmlformats.org/officeDocument/2006/relationships/hyperlink" Target="https://en.wikipedia.org/wiki/Arabis_glabra" TargetMode="External"/><Relationship Id="rId1161" Type="http://schemas.openxmlformats.org/officeDocument/2006/relationships/hyperlink" Target="https://en.wikipedia.org/wiki/Goodyera_oblongifolia" TargetMode="External"/><Relationship Id="rId2005" Type="http://schemas.openxmlformats.org/officeDocument/2006/relationships/hyperlink" Target="http://plants.usda.gov/java/profile?symbol=MODI2" TargetMode="External"/><Relationship Id="rId2212" Type="http://schemas.openxmlformats.org/officeDocument/2006/relationships/hyperlink" Target="https://plants.usda.gov/core/profile?symbol=DRBRC" TargetMode="External"/><Relationship Id="rId5368" Type="http://schemas.openxmlformats.org/officeDocument/2006/relationships/hyperlink" Target="https://en.wikipedia.org/wiki/Sambucus_racemosa" TargetMode="External"/><Relationship Id="rId5575" Type="http://schemas.openxmlformats.org/officeDocument/2006/relationships/hyperlink" Target="http://www.burkemuseum.org/research-and-collections/botany-and-herbarium/collections/database/results.php?Genus=Carex&amp;Species=circinata&amp;SourcePage=search.php&amp;IncludeSynonyms=Y&amp;SortBy=DESC&amp;SortOrder=Year" TargetMode="External"/><Relationship Id="rId5782" Type="http://schemas.openxmlformats.org/officeDocument/2006/relationships/hyperlink" Target="http://www.burkemuseum.org/research-and-collections/botany-and-herbarium/collections/database/results.php?Genus=Geum&amp;Species=triflorum&amp;SourcePage=search.php&amp;IncludeSynonyms=Y&amp;SortBy=DESC&amp;SortOrder=Year" TargetMode="External"/><Relationship Id="rId6419" Type="http://schemas.openxmlformats.org/officeDocument/2006/relationships/hyperlink" Target="http://biology.burke.washington.edu/herbarium/imagecollectionnew/taxon.php?Taxon=Carex%20vesicaria" TargetMode="External"/><Relationship Id="rId6626" Type="http://schemas.openxmlformats.org/officeDocument/2006/relationships/hyperlink" Target="http://biology.burke.washington.edu/herbarium/imagecollectionnew/taxon.php?Taxon=Trifolium%20oliganthum" TargetMode="External"/><Relationship Id="rId6833" Type="http://schemas.openxmlformats.org/officeDocument/2006/relationships/hyperlink" Target="http://biology.burke.washington.edu/herbarium/imagecollectionnew/taxon.php?Taxon=Cardionema%20ramosissima" TargetMode="External"/><Relationship Id="rId1021" Type="http://schemas.openxmlformats.org/officeDocument/2006/relationships/hyperlink" Target="http://en.wikipedia.org/wiki/Amsinckia_spectabilis" TargetMode="External"/><Relationship Id="rId1978" Type="http://schemas.openxmlformats.org/officeDocument/2006/relationships/hyperlink" Target="http://plants.usda.gov/java/profile?symbol=ORBR" TargetMode="External"/><Relationship Id="rId4177" Type="http://schemas.openxmlformats.org/officeDocument/2006/relationships/hyperlink" Target="https://plants.usda.gov/core/profile?symbol=OPPU3" TargetMode="External"/><Relationship Id="rId4384" Type="http://schemas.openxmlformats.org/officeDocument/2006/relationships/hyperlink" Target="https://plants.usda.gov/core/profile?symbol=SCTA2" TargetMode="External"/><Relationship Id="rId4591" Type="http://schemas.openxmlformats.org/officeDocument/2006/relationships/hyperlink" Target="http://www.burkemuseum.org/research-and-collections/botany-and-herbarium/collections/database/results.php?Genus=Agoseris&amp;Species=apargioides&amp;SourcePage=search.php&amp;IncludeSynonyms=Y&amp;SortBy=DESC&amp;SortOrder=Year" TargetMode="External"/><Relationship Id="rId5228" Type="http://schemas.openxmlformats.org/officeDocument/2006/relationships/hyperlink" Target="https://en.wikipedia.org/wiki/Pityopus_californica" TargetMode="External"/><Relationship Id="rId5435" Type="http://schemas.openxmlformats.org/officeDocument/2006/relationships/hyperlink" Target="https://en.wikipedia.org/wiki/Stellaria_longipes" TargetMode="External"/><Relationship Id="rId5642" Type="http://schemas.openxmlformats.org/officeDocument/2006/relationships/hyperlink" Target="http://www.burkemuseum.org/research-and-collections/botany-and-herbarium/collections/database/results.php?Genus=Claytonia&amp;Species=perfoliata&amp;SourcePage=search.php&amp;IncludeSynonyms=Y&amp;SortBy=DESC&amp;SortOrder=Year" TargetMode="External"/><Relationship Id="rId3193" Type="http://schemas.openxmlformats.org/officeDocument/2006/relationships/hyperlink" Target="http://www.burkemuseum.org/research-and-collections/botany-and-herbarium/collections/database/results.php?Genus=Penstemon&amp;Species=hesperius&amp;SourcePage=search.php&amp;IncludeSynonyms=Y&amp;SortBy=DESC&amp;SortOrder=Year" TargetMode="External"/><Relationship Id="rId4037" Type="http://schemas.openxmlformats.org/officeDocument/2006/relationships/hyperlink" Target="https://plants.usda.gov/core/profile?symbol=JUBO" TargetMode="External"/><Relationship Id="rId4244" Type="http://schemas.openxmlformats.org/officeDocument/2006/relationships/hyperlink" Target="https://plants.usda.gov/core/profile?symbol=POPA26" TargetMode="External"/><Relationship Id="rId4451" Type="http://schemas.openxmlformats.org/officeDocument/2006/relationships/hyperlink" Target="https://plants.usda.gov/core/profile?symbol=SYRE" TargetMode="External"/><Relationship Id="rId5502" Type="http://schemas.openxmlformats.org/officeDocument/2006/relationships/hyperlink" Target="https://en.wikipedia.org/wiki/Verbena_hastata" TargetMode="External"/><Relationship Id="rId6900" Type="http://schemas.openxmlformats.org/officeDocument/2006/relationships/hyperlink" Target="http://biology.burke.washington.edu/herbarium/imagecollection/taxon.php?Taxon=Psilocarphus%20tenellus" TargetMode="External"/><Relationship Id="rId1838" Type="http://schemas.openxmlformats.org/officeDocument/2006/relationships/hyperlink" Target="http://plants.usda.gov/core/profile?symbol=SASC" TargetMode="External"/><Relationship Id="rId3053" Type="http://schemas.openxmlformats.org/officeDocument/2006/relationships/hyperlink" Target="http://www.burkemuseum.org/research-and-collections/botany-and-herbarium/collections/database/results.php?Genus=Iris&amp;Species=missouriensis&amp;SourcePage=search.php&amp;IncludeSynonyms=Y&amp;SortBy=DESC&amp;SortOrder=Year" TargetMode="External"/><Relationship Id="rId3260" Type="http://schemas.openxmlformats.org/officeDocument/2006/relationships/hyperlink" Target="http://www.burkemuseum.org/research-and-collections/botany-and-herbarium/collections/database/results.php?Genus=Pterospora&amp;Species=andromedea&amp;SourcePage=search.php&amp;IncludeSynonyms=Y&amp;SortBy=DESC&amp;SortOrder=Year" TargetMode="External"/><Relationship Id="rId4104" Type="http://schemas.openxmlformats.org/officeDocument/2006/relationships/hyperlink" Target="https://plants.usda.gov/core/profile?symbol=LUMU2" TargetMode="External"/><Relationship Id="rId4311" Type="http://schemas.openxmlformats.org/officeDocument/2006/relationships/hyperlink" Target="https://plants.usda.gov/core/profile?symbol=rhoc" TargetMode="External"/><Relationship Id="rId181" Type="http://schemas.openxmlformats.org/officeDocument/2006/relationships/hyperlink" Target="http://biology.burke.washington.edu/herbarium/imagecollection/taxon.php?Taxon=Hordeum%20jubatum" TargetMode="External"/><Relationship Id="rId1905" Type="http://schemas.openxmlformats.org/officeDocument/2006/relationships/hyperlink" Target="http://plants.usda.gov/java/profile?symbol=PRHO2" TargetMode="External"/><Relationship Id="rId3120" Type="http://schemas.openxmlformats.org/officeDocument/2006/relationships/hyperlink" Target="http://www.burkemuseum.org/research-and-collections/botany-and-herbarium/collections/database/results.php?Genus=Lysichiton&amp;Species=americanus&amp;SourcePage=search.php&amp;IncludeSynonyms=Y&amp;SortBy=DESC&amp;SortOrder=Year" TargetMode="External"/><Relationship Id="rId6069" Type="http://schemas.openxmlformats.org/officeDocument/2006/relationships/hyperlink" Target="http://www.burkemuseum.org/research-and-collections/botany-and-herbarium/collections/database/results.php?Genus=Potamogeton&amp;Species=obtusifolius&amp;SourcePage=search.php&amp;IncludeSynonyms=Y&amp;SortBy=DESC&amp;SortOrder=Year" TargetMode="External"/><Relationship Id="rId6276" Type="http://schemas.openxmlformats.org/officeDocument/2006/relationships/hyperlink" Target="http://www.burkemuseum.org/research-and-collections/botany-and-herbarium/collections/database/results.php?Genus=Trisetum&amp;Species=canescens&amp;SourcePage=search.php&amp;IncludeSynonyms=Y&amp;SortBy=DESC&amp;SortOrder=Year" TargetMode="External"/><Relationship Id="rId5085" Type="http://schemas.openxmlformats.org/officeDocument/2006/relationships/hyperlink" Target="https://en.wikipedia.org/wiki/Lobelia_kalmii" TargetMode="External"/><Relationship Id="rId6483" Type="http://schemas.openxmlformats.org/officeDocument/2006/relationships/hyperlink" Target="http://biology.burke.washington.edu/herbarium/imagecollection/taxon.php?Taxon=Erigeron%20speciosus" TargetMode="External"/><Relationship Id="rId6690" Type="http://schemas.openxmlformats.org/officeDocument/2006/relationships/hyperlink" Target="http://biology.burke.washington.edu/herbarium/imagecollection/taxon.php?Taxon=Poa%20confinis" TargetMode="External"/><Relationship Id="rId998" Type="http://schemas.openxmlformats.org/officeDocument/2006/relationships/hyperlink" Target="https://en.wikipedia.org/wiki/Arnica_longifolia" TargetMode="External"/><Relationship Id="rId2679" Type="http://schemas.openxmlformats.org/officeDocument/2006/relationships/hyperlink" Target="http://biology.burke.washington.edu/herbarium/imagecollectionnew/taxon.php?Taxon=Artemisia%20ludoviciana" TargetMode="External"/><Relationship Id="rId2886" Type="http://schemas.openxmlformats.org/officeDocument/2006/relationships/hyperlink" Target="http://www.burkemuseum.org/research-and-collections/botany-and-herbarium/collections/database/results.php?Genus=Cirsium&amp;Species=remotifolium&amp;SourcePage=search.php&amp;IncludeSynonyms=Y&amp;SortBy=DESC&amp;SortOrder=Year" TargetMode="External"/><Relationship Id="rId3937" Type="http://schemas.openxmlformats.org/officeDocument/2006/relationships/hyperlink" Target="https://plants.usda.gov/core/profile?symbol=ERPE7" TargetMode="External"/><Relationship Id="rId5292" Type="http://schemas.openxmlformats.org/officeDocument/2006/relationships/hyperlink" Target="https://en.wikipedia.org/wiki/Pyrola_asarifolia" TargetMode="External"/><Relationship Id="rId6136" Type="http://schemas.openxmlformats.org/officeDocument/2006/relationships/hyperlink" Target="http://www.burkemuseum.org/research-and-collections/botany-and-herbarium/collections/database/results.php?Genus=Rubus&amp;Species=spectabilis&amp;SourcePage=search.php&amp;IncludeSynonyms=Y&amp;SortBy=DESC&amp;SortOrder=Year" TargetMode="External"/><Relationship Id="rId6343" Type="http://schemas.openxmlformats.org/officeDocument/2006/relationships/hyperlink" Target="http://biology.burke.washington.edu/herbarium/imagecollection/taxon.php?Taxon=Acer%20glabrum" TargetMode="External"/><Relationship Id="rId6550" Type="http://schemas.openxmlformats.org/officeDocument/2006/relationships/hyperlink" Target="http://biology.burke.washington.edu/herbarium/imagecollection/taxon.php?Taxon=Leymus%20mollis" TargetMode="External"/><Relationship Id="rId858" Type="http://schemas.openxmlformats.org/officeDocument/2006/relationships/hyperlink" Target="https://lmo.wikipedia.org/wiki/Saxifraga" TargetMode="External"/><Relationship Id="rId1488" Type="http://schemas.openxmlformats.org/officeDocument/2006/relationships/hyperlink" Target="https://en.wikipedia.org/wiki/Symphoricarpos_mollis" TargetMode="External"/><Relationship Id="rId1695" Type="http://schemas.openxmlformats.org/officeDocument/2006/relationships/hyperlink" Target="http://biology.burke.washington.edu/herbarium/imagecollection/taxon.php?Taxon=Phacelia%20heterophylla" TargetMode="External"/><Relationship Id="rId2539" Type="http://schemas.openxmlformats.org/officeDocument/2006/relationships/hyperlink" Target="https://plants.usda.gov/core/profile?symbol=lali2" TargetMode="External"/><Relationship Id="rId2746" Type="http://schemas.openxmlformats.org/officeDocument/2006/relationships/hyperlink" Target="http://www.burkemuseum.org/research-and-collections/botany-and-herbarium/collections/database/results.php?Genus=Anaphalis&amp;Species=margaritacea&amp;SourcePage=search.php&amp;IncludeSynonyms=Y&amp;SortBy=DESC&amp;SortOrder=Year" TargetMode="External"/><Relationship Id="rId2953" Type="http://schemas.openxmlformats.org/officeDocument/2006/relationships/hyperlink" Target="http://www.burkemuseum.org/research-and-collections/botany-and-herbarium/collections/database/results.php?Genus=Eleocharis&amp;Species=ovata&amp;SourcePage=search.php&amp;IncludeSynonyms=Y&amp;SortBy=DESC&amp;SortOrder=Year" TargetMode="External"/><Relationship Id="rId5152" Type="http://schemas.openxmlformats.org/officeDocument/2006/relationships/hyperlink" Target="https://en.wikipedia.org/wiki/Montia_fontana" TargetMode="External"/><Relationship Id="rId6203" Type="http://schemas.openxmlformats.org/officeDocument/2006/relationships/hyperlink" Target="http://www.burkemuseum.org/research-and-collections/botany-and-herbarium/collections/database/results.php?Genus=Sidalcea&amp;Species=oregana&amp;SourcePage=search.php&amp;IncludeSynonyms=Y&amp;SortBy=DESC&amp;SortOrder=Year" TargetMode="External"/><Relationship Id="rId6410" Type="http://schemas.openxmlformats.org/officeDocument/2006/relationships/hyperlink" Target="http://biology.burke.washington.edu/herbarium/imagecollectionnew/taxon.php?Taxon=Carex%20deweyana" TargetMode="External"/><Relationship Id="rId718" Type="http://schemas.openxmlformats.org/officeDocument/2006/relationships/hyperlink" Target="https://en.wikipedia.org/wiki/Epilobium_ciliatum" TargetMode="External"/><Relationship Id="rId925" Type="http://schemas.openxmlformats.org/officeDocument/2006/relationships/hyperlink" Target="https://en.wikipedia.org/wiki/Carex" TargetMode="External"/><Relationship Id="rId1348" Type="http://schemas.openxmlformats.org/officeDocument/2006/relationships/hyperlink" Target="http://biology.burke.washington.edu/herbarium/imagecollectionnew/taxon.php?Taxon=Schoenoplectus%20pungens" TargetMode="External"/><Relationship Id="rId1555" Type="http://schemas.openxmlformats.org/officeDocument/2006/relationships/hyperlink" Target="https://en.wikipedia.org/wiki/Oxalis" TargetMode="External"/><Relationship Id="rId1762" Type="http://schemas.openxmlformats.org/officeDocument/2006/relationships/hyperlink" Target="https://plants.usda.gov/core/profile?symbol=TOPA6" TargetMode="External"/><Relationship Id="rId2606" Type="http://schemas.openxmlformats.org/officeDocument/2006/relationships/hyperlink" Target="https://plants.usda.gov/core/profile?symbol=POLE2" TargetMode="External"/><Relationship Id="rId5012" Type="http://schemas.openxmlformats.org/officeDocument/2006/relationships/hyperlink" Target="https://en.wikipedia.org/wiki/Heterotheca_oregona" TargetMode="External"/><Relationship Id="rId1208" Type="http://schemas.openxmlformats.org/officeDocument/2006/relationships/hyperlink" Target="http://biology.burke.washington.edu/herbarium/imagecollection/taxon.php?Taxon=Elodea%20nuttallii" TargetMode="External"/><Relationship Id="rId1415" Type="http://schemas.openxmlformats.org/officeDocument/2006/relationships/hyperlink" Target="http://biology.burke.washington.edu/herbarium/imagecollection/taxon.php?Taxon=Heuchera%20chlorantha" TargetMode="External"/><Relationship Id="rId2813" Type="http://schemas.openxmlformats.org/officeDocument/2006/relationships/hyperlink" Target="http://www.burkemuseum.org/research-and-collections/botany-and-herbarium/collections/database/results.php?Genus=Callitriche&amp;Species=heterophylla&amp;SourcePage=search.php&amp;IncludeSynonyms=Y&amp;SortBy=DESC&amp;SortOrder=Year" TargetMode="External"/><Relationship Id="rId5969" Type="http://schemas.openxmlformats.org/officeDocument/2006/relationships/hyperlink" Target="http://www.burkemuseum.org/research-and-collections/botany-and-herbarium/collections/database/results.php?Genus=Neottia&amp;Species=cordata&amp;SourcePage=search.php&amp;IncludeSynonyms=Y&amp;SortBy=DESC&amp;SortOrder=Year" TargetMode="External"/><Relationship Id="rId7184" Type="http://schemas.openxmlformats.org/officeDocument/2006/relationships/hyperlink" Target="http://biology.burke.washington.edu/herbarium/imagecollection/taxon.php?Taxon=Rubus%20lasiococcus" TargetMode="External"/><Relationship Id="rId54" Type="http://schemas.openxmlformats.org/officeDocument/2006/relationships/hyperlink" Target="http://biology.burke.washington.edu/herbarium/imagecollection/taxon.php?Taxon=Lonicera%20utahensis" TargetMode="External"/><Relationship Id="rId1622" Type="http://schemas.openxmlformats.org/officeDocument/2006/relationships/hyperlink" Target="https://en.wikipedia.org/wiki/Glehnia" TargetMode="External"/><Relationship Id="rId4778" Type="http://schemas.openxmlformats.org/officeDocument/2006/relationships/hyperlink" Target="https://en.wikipedia.org/wiki/Carex_aquatilis" TargetMode="External"/><Relationship Id="rId4985" Type="http://schemas.openxmlformats.org/officeDocument/2006/relationships/hyperlink" Target="https://en.wikipedia.org/wiki/Gaultheria_shallon" TargetMode="External"/><Relationship Id="rId5829" Type="http://schemas.openxmlformats.org/officeDocument/2006/relationships/hyperlink" Target="http://www.burkemuseum.org/research-and-collections/botany-and-herbarium/collections/database/results.php?Genus=Iris&amp;Species=tenax&amp;SourcePage=search.php&amp;IncludeSynonyms=Y&amp;SortBy=DESC&amp;SortOrder=Year" TargetMode="External"/><Relationship Id="rId7044" Type="http://schemas.openxmlformats.org/officeDocument/2006/relationships/hyperlink" Target="http://biology.burke.washington.edu/herbarium/imagecollectionnew/taxon.php?Taxon=Azolla%20microphylla" TargetMode="External"/><Relationship Id="rId2189" Type="http://schemas.openxmlformats.org/officeDocument/2006/relationships/hyperlink" Target="http://plants.usda.gov/java/profile?symbol=EPGI" TargetMode="External"/><Relationship Id="rId3587" Type="http://schemas.openxmlformats.org/officeDocument/2006/relationships/hyperlink" Target="http://www.burkemuseum.org/research-and-collections/botany-and-herbarium/collections/database/results.php?Genus=Sedum&amp;Species=oreganum&amp;SourcePage=search.php&amp;IncludeSynonyms=Y&amp;SortBy=DESC&amp;SortOrder=Year" TargetMode="External"/><Relationship Id="rId3794" Type="http://schemas.openxmlformats.org/officeDocument/2006/relationships/hyperlink" Target="https://plants.usda.gov/core/profile?symbol=CAST5" TargetMode="External"/><Relationship Id="rId4638" Type="http://schemas.openxmlformats.org/officeDocument/2006/relationships/hyperlink" Target="http://www.burkemuseum.org/research-and-collections/botany-and-herbarium/collections/database/results.php?Genus=Arceuthobium&amp;Species=tsugense&amp;SourcePage=search.php&amp;IncludeSynonyms=Y&amp;SortBy=DESC&amp;SortOrder=Year" TargetMode="External"/><Relationship Id="rId4845" Type="http://schemas.openxmlformats.org/officeDocument/2006/relationships/hyperlink" Target="https://en.wikipedia.org/wiki/Clarkia_gracilis" TargetMode="External"/><Relationship Id="rId6060" Type="http://schemas.openxmlformats.org/officeDocument/2006/relationships/hyperlink" Target="http://www.burkemuseum.org/research-and-collections/botany-and-herbarium/collections/database/results.php?Genus=Polystichum&amp;Species=setiferum&amp;SourcePage=search.php&amp;IncludeSynonyms=Y&amp;SortBy=DESC&amp;SortOrder=Year" TargetMode="External"/><Relationship Id="rId2396" Type="http://schemas.openxmlformats.org/officeDocument/2006/relationships/hyperlink" Target="https://plants.usda.gov/core/profile?symbol=ANRA" TargetMode="External"/><Relationship Id="rId3447" Type="http://schemas.openxmlformats.org/officeDocument/2006/relationships/hyperlink" Target="http://www.burkemuseum.org/research-and-collections/botany-and-herbarium/collections/database/results.php?Genus=Yabea&amp;Species=microcarpa&amp;SourcePage=search.php&amp;IncludeSynonyms=Y&amp;SortBy=DESC&amp;SortOrder=Year" TargetMode="External"/><Relationship Id="rId3654" Type="http://schemas.openxmlformats.org/officeDocument/2006/relationships/hyperlink" Target="https://plants.usda.gov/core/profile?symbol=ALVI2" TargetMode="External"/><Relationship Id="rId3861" Type="http://schemas.openxmlformats.org/officeDocument/2006/relationships/hyperlink" Target="https://plants.usda.gov/core/profile?symbol=COCOC2" TargetMode="External"/><Relationship Id="rId4705" Type="http://schemas.openxmlformats.org/officeDocument/2006/relationships/hyperlink" Target="https://en.wikipedia.org/wiki/Arctostaphylos_media" TargetMode="External"/><Relationship Id="rId4912" Type="http://schemas.openxmlformats.org/officeDocument/2006/relationships/hyperlink" Target="https://en.wikipedia.org/wiki/Dryopteris_arguta" TargetMode="External"/><Relationship Id="rId7111" Type="http://schemas.openxmlformats.org/officeDocument/2006/relationships/hyperlink" Target="https://plants.usda.gov/core/profile?symbol=Syla4" TargetMode="External"/><Relationship Id="rId368" Type="http://schemas.openxmlformats.org/officeDocument/2006/relationships/hyperlink" Target="http://biology.burke.washington.edu/herbarium/imagecollectionnew/taxon.php?Taxon=Carex%20praticola" TargetMode="External"/><Relationship Id="rId575" Type="http://schemas.openxmlformats.org/officeDocument/2006/relationships/hyperlink" Target="https://en.wikipedia.org/wiki/Spiraea" TargetMode="External"/><Relationship Id="rId782" Type="http://schemas.openxmlformats.org/officeDocument/2006/relationships/hyperlink" Target="https://en.wikipedia.org/wiki/Polystichum_imbricans" TargetMode="External"/><Relationship Id="rId2049" Type="http://schemas.openxmlformats.org/officeDocument/2006/relationships/hyperlink" Target="http://plants.usda.gov/java/profile?symbol=LUPA" TargetMode="External"/><Relationship Id="rId2256" Type="http://schemas.openxmlformats.org/officeDocument/2006/relationships/hyperlink" Target="https://plants.usda.gov/core/profile?symbol=COSP" TargetMode="External"/><Relationship Id="rId2463" Type="http://schemas.openxmlformats.org/officeDocument/2006/relationships/hyperlink" Target="https://plants.usda.gov/core/profile?symbol=STCHC3" TargetMode="External"/><Relationship Id="rId2670" Type="http://schemas.openxmlformats.org/officeDocument/2006/relationships/hyperlink" Target="http://biology.burke.washington.edu/herbarium/imagecollectionnew/taxon.php?Taxon=Micranthes%20ferruginea" TargetMode="External"/><Relationship Id="rId3307" Type="http://schemas.openxmlformats.org/officeDocument/2006/relationships/hyperlink" Target="http://www.burkemuseum.org/research-and-collections/botany-and-herbarium/collections/database/results.php?Genus=Salix&amp;Species=cascadensis&amp;SourcePage=search.php&amp;IncludeSynonyms=Y&amp;SortBy=DESC&amp;SortOrder=Year" TargetMode="External"/><Relationship Id="rId3514" Type="http://schemas.openxmlformats.org/officeDocument/2006/relationships/hyperlink" Target="http://www.burkemuseum.org/research-and-collections/botany-and-herbarium/collections/database/results.php?Genus=Juncus&amp;Species=patens&amp;SourcePage=search.php&amp;IncludeSynonyms=Y&amp;SortBy=DESC&amp;SortOrder=Year" TargetMode="External"/><Relationship Id="rId3721" Type="http://schemas.openxmlformats.org/officeDocument/2006/relationships/hyperlink" Target="https://plants.usda.gov/core/profile?symbol=BEPA" TargetMode="External"/><Relationship Id="rId6877" Type="http://schemas.openxmlformats.org/officeDocument/2006/relationships/hyperlink" Target="http://biology.burke.washington.edu/herbarium/imagecollectionnew/taxon.php?Taxon=Toxicodendron%20radicans" TargetMode="External"/><Relationship Id="rId228" Type="http://schemas.openxmlformats.org/officeDocument/2006/relationships/hyperlink" Target="http://biology.burke.washington.edu/herbarium/imagecollection/taxon.php?Taxon=Ranunculus%20flammula" TargetMode="External"/><Relationship Id="rId435" Type="http://schemas.openxmlformats.org/officeDocument/2006/relationships/hyperlink" Target="http://biology.burke.washington.edu/herbarium/imagecollectionnew/taxon.php?Taxon=Castilleja%20attenuata" TargetMode="External"/><Relationship Id="rId642" Type="http://schemas.openxmlformats.org/officeDocument/2006/relationships/hyperlink" Target="https://en.wikipedia.org/wiki/Rudbeckia_occidentalis" TargetMode="External"/><Relationship Id="rId1065" Type="http://schemas.openxmlformats.org/officeDocument/2006/relationships/hyperlink" Target="https://en.wikipedia.org/wiki/Lycopodium_clavatum" TargetMode="External"/><Relationship Id="rId1272" Type="http://schemas.openxmlformats.org/officeDocument/2006/relationships/hyperlink" Target="http://biology.burke.washington.edu/herbarium/imagecollection/taxon.php?Taxon=Parnassia%20cirrata" TargetMode="External"/><Relationship Id="rId2116" Type="http://schemas.openxmlformats.org/officeDocument/2006/relationships/hyperlink" Target="http://plants.usda.gov/java/profile?symbol=HIVU2" TargetMode="External"/><Relationship Id="rId2323" Type="http://schemas.openxmlformats.org/officeDocument/2006/relationships/hyperlink" Target="http://plants.usda.gov/java/profile?symbol=CAAT3" TargetMode="External"/><Relationship Id="rId2530" Type="http://schemas.openxmlformats.org/officeDocument/2006/relationships/hyperlink" Target="http://plants.usda.gov/java/profile?symbol=LUAL3" TargetMode="External"/><Relationship Id="rId5479" Type="http://schemas.openxmlformats.org/officeDocument/2006/relationships/hyperlink" Target="https://en.wikipedia.org/wiki/Triteleia_hyacinthina" TargetMode="External"/><Relationship Id="rId5686" Type="http://schemas.openxmlformats.org/officeDocument/2006/relationships/hyperlink" Target="http://www.burkemuseum.org/research-and-collections/botany-and-herbarium/collections/database/results.php?Genus=Delphinium&amp;Species=glaucum&amp;SourcePage=search.php&amp;IncludeSynonyms=Y&amp;SortBy=DESC&amp;SortOrder=Year" TargetMode="External"/><Relationship Id="rId5893" Type="http://schemas.openxmlformats.org/officeDocument/2006/relationships/hyperlink" Target="http://www.burkemuseum.org/research-and-collections/botany-and-herbarium/collections/database/results.php?Genus=Ludwigia&amp;Species=palustris&amp;SourcePage=search.php&amp;IncludeSynonyms=Y&amp;SortBy=DESC&amp;SortOrder=Year" TargetMode="External"/><Relationship Id="rId6737" Type="http://schemas.openxmlformats.org/officeDocument/2006/relationships/hyperlink" Target="http://biology.burke.washington.edu/herbarium/imagecollection/taxon.php?Taxon=Lysimachia%20thyrsiflora" TargetMode="External"/><Relationship Id="rId502" Type="http://schemas.openxmlformats.org/officeDocument/2006/relationships/hyperlink" Target="https://en.wikipedia.org/wiki/Yabea" TargetMode="External"/><Relationship Id="rId1132" Type="http://schemas.openxmlformats.org/officeDocument/2006/relationships/hyperlink" Target="https://species.wikimedia.org/wiki/Hypericum" TargetMode="External"/><Relationship Id="rId4288" Type="http://schemas.openxmlformats.org/officeDocument/2006/relationships/hyperlink" Target="https://plants.usda.gov/core/profile?symbol=PUNU2" TargetMode="External"/><Relationship Id="rId4495" Type="http://schemas.openxmlformats.org/officeDocument/2006/relationships/hyperlink" Target="https://plants.usda.gov/core/profile?symbol=VAPA" TargetMode="External"/><Relationship Id="rId5339" Type="http://schemas.openxmlformats.org/officeDocument/2006/relationships/hyperlink" Target="https://en.wikipedia.org/wiki/Rudbeckia_occidentalis" TargetMode="External"/><Relationship Id="rId5546" Type="http://schemas.openxmlformats.org/officeDocument/2006/relationships/hyperlink" Target="http://www.burkemuseum.org/research-and-collections/botany-and-herbarium/collections/database/results.php?Genus=Cakile&amp;Species=edentula&amp;SourcePage=search.php&amp;IncludeSynonyms=Y&amp;SortBy=DESC&amp;SortOrder=Year" TargetMode="External"/><Relationship Id="rId6944" Type="http://schemas.openxmlformats.org/officeDocument/2006/relationships/hyperlink" Target="http://biology.burke.washington.edu/herbarium/imagecollection/taxon.php?Taxon=Lindernia%20dubia" TargetMode="External"/><Relationship Id="rId3097" Type="http://schemas.openxmlformats.org/officeDocument/2006/relationships/hyperlink" Target="http://www.burkemuseum.org/research-and-collections/botany-and-herbarium/collections/database/results.php?Genus=Lithophragma&amp;Species=parviflorum&amp;SourcePage=search.php&amp;IncludeSynonyms=Y&amp;SortBy=DESC&amp;SortOrder=Year" TargetMode="External"/><Relationship Id="rId4148" Type="http://schemas.openxmlformats.org/officeDocument/2006/relationships/hyperlink" Target="https://plants.usda.gov/core/profile?symbol=MODI3" TargetMode="External"/><Relationship Id="rId4355" Type="http://schemas.openxmlformats.org/officeDocument/2006/relationships/hyperlink" Target="https://plants.usda.gov/core/profile?symbol=SAGO" TargetMode="External"/><Relationship Id="rId5753" Type="http://schemas.openxmlformats.org/officeDocument/2006/relationships/hyperlink" Target="http://www.burkemuseum.org/research-and-collections/botany-and-herbarium/collections/database/results.php?Genus=Eutrochium&amp;Species=maculatum&amp;SourcePage=search.php&amp;IncludeSynonyms=Y&amp;SortBy=DESC&amp;SortOrder=Year" TargetMode="External"/><Relationship Id="rId5960" Type="http://schemas.openxmlformats.org/officeDocument/2006/relationships/hyperlink" Target="http://www.burkemuseum.org/research-and-collections/botany-and-herbarium/collections/database/results.php?Genus=Myriophyllum&amp;Species=sibiricum&amp;SourcePage=search.php&amp;IncludeSynonyms=Y&amp;SortBy=DESC&amp;SortOrder=Year" TargetMode="External"/><Relationship Id="rId6804" Type="http://schemas.openxmlformats.org/officeDocument/2006/relationships/hyperlink" Target="http://biology.burke.washington.edu/herbarium/imagecollectionnew/taxon.php?Taxon=Crassula%20aquatica" TargetMode="External"/><Relationship Id="rId1949" Type="http://schemas.openxmlformats.org/officeDocument/2006/relationships/hyperlink" Target="http://plants.usda.gov/java/profile?symbol=PIPO" TargetMode="External"/><Relationship Id="rId3164" Type="http://schemas.openxmlformats.org/officeDocument/2006/relationships/hyperlink" Target="http://www.burkemuseum.org/research-and-collections/botany-and-herbarium/collections/database/results.php?Genus=Najas&amp;Species=flexilis&amp;SourcePage=search.php&amp;IncludeSynonyms=Y&amp;SortBy=DESC&amp;SortOrder=Year" TargetMode="External"/><Relationship Id="rId4008" Type="http://schemas.openxmlformats.org/officeDocument/2006/relationships/hyperlink" Target="https://plants.usda.gov/core/profile?symbol=HIHI" TargetMode="External"/><Relationship Id="rId4562" Type="http://schemas.openxmlformats.org/officeDocument/2006/relationships/hyperlink" Target="https://en.wikipedia.org/wiki/Alnus_incana" TargetMode="External"/><Relationship Id="rId5406" Type="http://schemas.openxmlformats.org/officeDocument/2006/relationships/hyperlink" Target="https://en.wikipedia.org/wiki/Silene_antirrhina" TargetMode="External"/><Relationship Id="rId5613" Type="http://schemas.openxmlformats.org/officeDocument/2006/relationships/hyperlink" Target="http://www.burkemuseum.org/research-and-collections/botany-and-herbarium/collections/database/results.php?Genus=Castilleja&amp;Species=levisecta&amp;SourcePage=search.php&amp;IncludeSynonyms=Y&amp;SortBy=DESC&amp;SortOrder=Year" TargetMode="External"/><Relationship Id="rId5820" Type="http://schemas.openxmlformats.org/officeDocument/2006/relationships/hyperlink" Target="http://www.burkemuseum.org/research-and-collections/botany-and-herbarium/collections/database/results.php?Genus=Huperzia&amp;Species=miyoshiana&amp;SourcePage=search.php&amp;IncludeSynonyms=Y&amp;SortBy=DESC&amp;SortOrder=Year" TargetMode="External"/><Relationship Id="rId292" Type="http://schemas.openxmlformats.org/officeDocument/2006/relationships/hyperlink" Target="http://biology.burke.washington.edu/herbarium/imagecollectionnew/taxon.php?Taxon=Anemone%20oregana" TargetMode="External"/><Relationship Id="rId1809" Type="http://schemas.openxmlformats.org/officeDocument/2006/relationships/hyperlink" Target="https://plants.usda.gov/core/profile?symbol=SIHI3" TargetMode="External"/><Relationship Id="rId3371" Type="http://schemas.openxmlformats.org/officeDocument/2006/relationships/hyperlink" Target="http://www.burkemuseum.org/research-and-collections/botany-and-herbarium/collections/database/results.php?Genus=Stellaria&amp;Species=borealis&amp;SourcePage=search.php&amp;IncludeSynonyms=Y&amp;SortBy=DESC&amp;SortOrder=Year" TargetMode="External"/><Relationship Id="rId4215" Type="http://schemas.openxmlformats.org/officeDocument/2006/relationships/hyperlink" Target="https://plants.usda.gov/core/profile?symbol=PHLE4" TargetMode="External"/><Relationship Id="rId4422" Type="http://schemas.openxmlformats.org/officeDocument/2006/relationships/hyperlink" Target="https://plants.usda.gov/core/profile?symbol=SPSA5" TargetMode="External"/><Relationship Id="rId2180" Type="http://schemas.openxmlformats.org/officeDocument/2006/relationships/hyperlink" Target="https://plants.usda.gov/core/profile?symbol=ERST3" TargetMode="External"/><Relationship Id="rId3024" Type="http://schemas.openxmlformats.org/officeDocument/2006/relationships/hyperlink" Target="http://www.burkemuseum.org/research-and-collections/botany-and-herbarium/collections/database/results.php?Genus=Gratiola&amp;Species=ebracteata&amp;SourcePage=search.php&amp;IncludeSynonyms=Y&amp;SortBy=DESC&amp;SortOrder=Year" TargetMode="External"/><Relationship Id="rId3231" Type="http://schemas.openxmlformats.org/officeDocument/2006/relationships/hyperlink" Target="http://www.burkemuseum.org/research-and-collections/botany-and-herbarium/collections/database/results.php?Genus=Polystichum&amp;Species=munitum&amp;SourcePage=search.php&amp;IncludeSynonyms=Y&amp;SortBy=DESC&amp;SortOrder=Year" TargetMode="External"/><Relationship Id="rId6387" Type="http://schemas.openxmlformats.org/officeDocument/2006/relationships/hyperlink" Target="http://biology.burke.washington.edu/herbarium/imagecollectionnew/taxon.php?Taxon=Balsamorhiza%20deltoidea" TargetMode="External"/><Relationship Id="rId6594" Type="http://schemas.openxmlformats.org/officeDocument/2006/relationships/hyperlink" Target="http://biology.burke.washington.edu/herbarium/imagecollection/taxon.php?Taxon=Oxalis%20trilliifolia" TargetMode="External"/><Relationship Id="rId152" Type="http://schemas.openxmlformats.org/officeDocument/2006/relationships/hyperlink" Target="http://biology.burke.washington.edu/herbarium/imagecollection/taxon.php?Taxon=Lycopus%20uniflorus" TargetMode="External"/><Relationship Id="rId2040" Type="http://schemas.openxmlformats.org/officeDocument/2006/relationships/hyperlink" Target="http://plants.usda.gov/java/profile?symbol=LYIN2" TargetMode="External"/><Relationship Id="rId2997" Type="http://schemas.openxmlformats.org/officeDocument/2006/relationships/hyperlink" Target="http://www.burkemuseum.org/research-and-collections/botany-and-herbarium/collections/database/results.php?Genus=Filipendula&amp;Species=occidentalis&amp;SourcePage=search.php&amp;IncludeSynonyms=Y&amp;SortBy=DESC&amp;SortOrder=Year" TargetMode="External"/><Relationship Id="rId5196" Type="http://schemas.openxmlformats.org/officeDocument/2006/relationships/hyperlink" Target="https://en.wikipedia.org/wiki/Parnassia_fimbriata" TargetMode="External"/><Relationship Id="rId6247" Type="http://schemas.openxmlformats.org/officeDocument/2006/relationships/hyperlink" Target="http://www.burkemuseum.org/research-and-collections/botany-and-herbarium/collections/database/results.php?Genus=Symphyotrichum&amp;Species=hallii&amp;SourcePage=search.php&amp;IncludeSynonyms=Y&amp;SortBy=DESC&amp;SortOrder=Year" TargetMode="External"/><Relationship Id="rId6454" Type="http://schemas.openxmlformats.org/officeDocument/2006/relationships/hyperlink" Target="http://biology.burke.washington.edu/herbarium/imagecollectionnew/taxon.php?Taxon=Deschampsia%20elongata" TargetMode="External"/><Relationship Id="rId6661" Type="http://schemas.openxmlformats.org/officeDocument/2006/relationships/hyperlink" Target="http://biology.burke.washington.edu/herbarium/imagecollectionnew/taxon.php?Taxon=Sabulina%20macra" TargetMode="External"/><Relationship Id="rId969" Type="http://schemas.openxmlformats.org/officeDocument/2006/relationships/hyperlink" Target="http://en.wikipedia.org/wiki/Brasenia_schreberi" TargetMode="External"/><Relationship Id="rId1599" Type="http://schemas.openxmlformats.org/officeDocument/2006/relationships/hyperlink" Target="https://en.wikipedia.org/wiki/Lupinus_rivularis" TargetMode="External"/><Relationship Id="rId5056" Type="http://schemas.openxmlformats.org/officeDocument/2006/relationships/hyperlink" Target="https://en.wikipedia.org/wiki/Koeleria_macrantha" TargetMode="External"/><Relationship Id="rId5263" Type="http://schemas.openxmlformats.org/officeDocument/2006/relationships/hyperlink" Target="https://en.wikipedia.org/wiki/Populus_tremuloides" TargetMode="External"/><Relationship Id="rId5470" Type="http://schemas.openxmlformats.org/officeDocument/2006/relationships/hyperlink" Target="https://en.wikipedia.org/wiki/Trifolium_willdenovii" TargetMode="External"/><Relationship Id="rId6107" Type="http://schemas.openxmlformats.org/officeDocument/2006/relationships/hyperlink" Target="http://www.burkemuseum.org/research-and-collections/botany-and-herbarium/collections/database/results.php?Genus=Rhododendron&amp;Species=albiflorum&amp;SourcePage=search.php&amp;IncludeSynonyms=Y&amp;SortBy=DESC&amp;SortOrder=Year" TargetMode="External"/><Relationship Id="rId6314" Type="http://schemas.openxmlformats.org/officeDocument/2006/relationships/hyperlink" Target="http://www.burkemuseum.org/research-and-collections/botany-and-herbarium/collections/database/results.php?Genus=Viola&amp;Species=orbiculata&amp;SourcePage=search.php&amp;IncludeSynonyms=Y&amp;SortBy=DESC&amp;SortOrder=Year" TargetMode="External"/><Relationship Id="rId6521" Type="http://schemas.openxmlformats.org/officeDocument/2006/relationships/hyperlink" Target="http://biology.burke.washington.edu/herbarium/imagecollection/taxon.php?Taxon=Goodyera%20oblongifolia" TargetMode="External"/><Relationship Id="rId1459" Type="http://schemas.openxmlformats.org/officeDocument/2006/relationships/hyperlink" Target="http://biology.burke.washington.edu/herbarium/imagecollectionnew/taxon.php?Taxon=Vancouveria%20hexandra" TargetMode="External"/><Relationship Id="rId2857" Type="http://schemas.openxmlformats.org/officeDocument/2006/relationships/hyperlink" Target="http://www.burkemuseum.org/research-and-collections/botany-and-herbarium/collections/database/results.php?Genus=Carex&amp;Species=vesicaria&amp;SourcePage=search.php&amp;IncludeSynonyms=Y&amp;SortBy=DESC&amp;SortOrder=Year" TargetMode="External"/><Relationship Id="rId3908" Type="http://schemas.openxmlformats.org/officeDocument/2006/relationships/hyperlink" Target="https://plants.usda.gov/core/profile?symbol=ELOV" TargetMode="External"/><Relationship Id="rId4072" Type="http://schemas.openxmlformats.org/officeDocument/2006/relationships/hyperlink" Target="https://plants.usda.gov/core/profile?symbol=LEMOM2" TargetMode="External"/><Relationship Id="rId5123" Type="http://schemas.openxmlformats.org/officeDocument/2006/relationships/hyperlink" Target="https://en.wikipedia.org/wiki/Maianthemum_stellatum" TargetMode="External"/><Relationship Id="rId5330" Type="http://schemas.openxmlformats.org/officeDocument/2006/relationships/hyperlink" Target="https://en.wikipedia.org/wiki/Rotala_ramosior" TargetMode="External"/><Relationship Id="rId98" Type="http://schemas.openxmlformats.org/officeDocument/2006/relationships/hyperlink" Target="http://biology.burke.washington.edu/herbarium/imagecollection/taxon.php?Taxon=Iris%20missouriensis" TargetMode="External"/><Relationship Id="rId829" Type="http://schemas.openxmlformats.org/officeDocument/2006/relationships/hyperlink" Target="https://en.wikipedia.org/wiki/Devil%27s_club" TargetMode="External"/><Relationship Id="rId1666" Type="http://schemas.openxmlformats.org/officeDocument/2006/relationships/hyperlink" Target="http://biology.burke.washington.edu/herbarium/imagecollectionnew/taxon.php?Taxon=Silene%20scouleri" TargetMode="External"/><Relationship Id="rId1873" Type="http://schemas.openxmlformats.org/officeDocument/2006/relationships/hyperlink" Target="http://plants.usda.gov/java/profile?symbol=RILA3" TargetMode="External"/><Relationship Id="rId2717" Type="http://schemas.openxmlformats.org/officeDocument/2006/relationships/hyperlink" Target="http://www.burkemuseum.org/research-and-collections/botany-and-herbarium/collections/database/results.php?Genus=Acer&amp;Species=glabrum&amp;SourcePage=search.php&amp;IncludeSynonyms=Y&amp;SortBy=DESC&amp;SortOrder=Year" TargetMode="External"/><Relationship Id="rId2924" Type="http://schemas.openxmlformats.org/officeDocument/2006/relationships/hyperlink" Target="http://www.burkemuseum.org/research-and-collections/botany-and-herbarium/collections/database/results.php?Genus=Cypripedium&amp;Species=montanum&amp;SourcePage=search.php&amp;IncludeSynonyms=Y&amp;SortBy=DESC&amp;SortOrder=Year" TargetMode="External"/><Relationship Id="rId7088" Type="http://schemas.openxmlformats.org/officeDocument/2006/relationships/hyperlink" Target="http://biology.burke.washington.edu/herbarium/imagecollectionnew/taxon.php?Taxon=Vaccinium%20ovatum" TargetMode="External"/><Relationship Id="rId1319" Type="http://schemas.openxmlformats.org/officeDocument/2006/relationships/hyperlink" Target="http://biology.burke.washington.edu/herbarium/imagecollection/taxon.php?Taxon=Salix%20commutata" TargetMode="External"/><Relationship Id="rId1526" Type="http://schemas.openxmlformats.org/officeDocument/2006/relationships/hyperlink" Target="https://en.wikipedia.org/wiki/Festuca_rubra" TargetMode="External"/><Relationship Id="rId1733" Type="http://schemas.openxmlformats.org/officeDocument/2006/relationships/hyperlink" Target="http://plants.usda.gov/core/profile?symbol=VAOX" TargetMode="External"/><Relationship Id="rId1940" Type="http://schemas.openxmlformats.org/officeDocument/2006/relationships/hyperlink" Target="https://plants.usda.gov/core/profile?symbol=PLOR4" TargetMode="External"/><Relationship Id="rId4889" Type="http://schemas.openxmlformats.org/officeDocument/2006/relationships/hyperlink" Target="https://en.wikipedia.org/wiki/Darlingtonia_californica" TargetMode="External"/><Relationship Id="rId25" Type="http://schemas.openxmlformats.org/officeDocument/2006/relationships/hyperlink" Target="http://biology.burke.washington.edu/herbarium/imagecollection/taxon.php?Taxon=Gaillardia%20aristata" TargetMode="External"/><Relationship Id="rId1800" Type="http://schemas.openxmlformats.org/officeDocument/2006/relationships/hyperlink" Target="http://plants.usda.gov/java/profile?symbol=SOSI3" TargetMode="External"/><Relationship Id="rId3698" Type="http://schemas.openxmlformats.org/officeDocument/2006/relationships/hyperlink" Target="https://plants.usda.gov/core/profile?symbol=ARCA12" TargetMode="External"/><Relationship Id="rId4749" Type="http://schemas.openxmlformats.org/officeDocument/2006/relationships/hyperlink" Target="https://en.wikipedia.org/wiki/Brodiaea_coronaria" TargetMode="External"/><Relationship Id="rId4956" Type="http://schemas.openxmlformats.org/officeDocument/2006/relationships/hyperlink" Target="https://en.wikipedia.org/wiki/Erythronium_grandiflorum" TargetMode="External"/><Relationship Id="rId7155" Type="http://schemas.openxmlformats.org/officeDocument/2006/relationships/hyperlink" Target="http://biology.burke.washington.edu/herbarium/imagecollectionnew/taxon.php?Taxon=Sambucus%20nigra" TargetMode="External"/><Relationship Id="rId3558" Type="http://schemas.openxmlformats.org/officeDocument/2006/relationships/hyperlink" Target="http://www.burkemuseum.org/research-and-collections/botany-and-herbarium/collections/database/results.php?Genus=Polypodium&amp;Species=glycyrrhiza&amp;SourcePage=search.php&amp;IncludeSynonyms=Y&amp;SortBy=DESC&amp;SortOrder=Year" TargetMode="External"/><Relationship Id="rId3765" Type="http://schemas.openxmlformats.org/officeDocument/2006/relationships/hyperlink" Target="https://plants.usda.gov/core/profile?symbol=CAAQ" TargetMode="External"/><Relationship Id="rId3972" Type="http://schemas.openxmlformats.org/officeDocument/2006/relationships/hyperlink" Target="https://plants.usda.gov/core/profile?symbol=GAUS" TargetMode="External"/><Relationship Id="rId4609" Type="http://schemas.openxmlformats.org/officeDocument/2006/relationships/hyperlink" Target="http://www.burkemuseum.org/research-and-collections/botany-and-herbarium/collections/database/results.php?Genus=Alnus&amp;Species=viridis&amp;SourcePage=search.php&amp;IncludeSynonyms=Y&amp;SortBy=DESC&amp;SortOrder=Year" TargetMode="External"/><Relationship Id="rId4816" Type="http://schemas.openxmlformats.org/officeDocument/2006/relationships/hyperlink" Target="https://en.wikipedia.org/wiki/Castilleja_attenuata" TargetMode="External"/><Relationship Id="rId6171" Type="http://schemas.openxmlformats.org/officeDocument/2006/relationships/hyperlink" Target="http://www.burkemuseum.org/research-and-collections/botany-and-herbarium/collections/database/results.php?Genus=Sanguisorba&amp;Species=officinalis&amp;SourcePage=search.php&amp;IncludeSynonyms=Y&amp;SortBy=DESC&amp;SortOrder=Year" TargetMode="External"/><Relationship Id="rId7015" Type="http://schemas.openxmlformats.org/officeDocument/2006/relationships/hyperlink" Target="http://biology.burke.washington.edu/herbarium/imagecollectionnew/taxon.php?Taxon=Carex%20utriculata" TargetMode="External"/><Relationship Id="rId7222" Type="http://schemas.openxmlformats.org/officeDocument/2006/relationships/hyperlink" Target="http://biology.burke.washington.edu/herbarium/imagecollection/taxon.php?Taxon=Potamogeton%20amplifolius" TargetMode="External"/><Relationship Id="rId479" Type="http://schemas.openxmlformats.org/officeDocument/2006/relationships/hyperlink" Target="http://biology.burke.washington.edu/herbarium/imagecollectionnew/taxon.php?Taxon=Viola%20canadensis" TargetMode="External"/><Relationship Id="rId686" Type="http://schemas.openxmlformats.org/officeDocument/2006/relationships/hyperlink" Target="https://en.wikipedia.org/wiki/Fragaria_chiloensis" TargetMode="External"/><Relationship Id="rId893" Type="http://schemas.openxmlformats.org/officeDocument/2006/relationships/hyperlink" Target="http://en.wikipedia.org/wiki/Claytonia_perfoliata" TargetMode="External"/><Relationship Id="rId2367" Type="http://schemas.openxmlformats.org/officeDocument/2006/relationships/hyperlink" Target="http://plants.usda.gov/java/profile?symbol=BADE2" TargetMode="External"/><Relationship Id="rId2574" Type="http://schemas.openxmlformats.org/officeDocument/2006/relationships/hyperlink" Target="http://plants.usda.gov/java/profile?symbol=CEIN3" TargetMode="External"/><Relationship Id="rId2781" Type="http://schemas.openxmlformats.org/officeDocument/2006/relationships/hyperlink" Target="http://www.burkemuseum.org/research-and-collections/botany-and-herbarium/collections/database/results.php?Genus=Aspidotis&amp;Species=densa&amp;SourcePage=search.php&amp;IncludeSynonyms=Y&amp;SortBy=DESC&amp;SortOrder=Year" TargetMode="External"/><Relationship Id="rId3418" Type="http://schemas.openxmlformats.org/officeDocument/2006/relationships/hyperlink" Target="http://www.burkemuseum.org/research-and-collections/botany-and-herbarium/collections/database/results.php?Genus=Utricularia&amp;Species=intermedia&amp;SourcePage=search.php&amp;IncludeSynonyms=Y&amp;SortBy=DESC&amp;SortOrder=Year" TargetMode="External"/><Relationship Id="rId3625" Type="http://schemas.openxmlformats.org/officeDocument/2006/relationships/hyperlink" Target="https://plants.usda.gov/core/profile?symbol=ABLA" TargetMode="External"/><Relationship Id="rId6031" Type="http://schemas.openxmlformats.org/officeDocument/2006/relationships/hyperlink" Target="http://www.burkemuseum.org/research-and-collections/botany-and-herbarium/collections/database/results.php?Genus=Plantago&amp;Species=maritima&amp;SourcePage=search.php&amp;IncludeSynonyms=Y&amp;SortBy=DESC&amp;SortOrder=Year" TargetMode="External"/><Relationship Id="rId339" Type="http://schemas.openxmlformats.org/officeDocument/2006/relationships/hyperlink" Target="http://biology.burke.washington.edu/herbarium/imagecollectionnew/taxon.php?Taxon=Calypso%20bulbosa" TargetMode="External"/><Relationship Id="rId546" Type="http://schemas.openxmlformats.org/officeDocument/2006/relationships/hyperlink" Target="https://en.wikipedia.org/wiki/Trichophorum_cespitosum" TargetMode="External"/><Relationship Id="rId753" Type="http://schemas.openxmlformats.org/officeDocument/2006/relationships/hyperlink" Target="https://en.wikipedia.org/wiki/Cystopteris_fragilis" TargetMode="External"/><Relationship Id="rId1176" Type="http://schemas.openxmlformats.org/officeDocument/2006/relationships/hyperlink" Target="https://en.wikipedia.org/wiki/Hierochloe_odorata" TargetMode="External"/><Relationship Id="rId1383" Type="http://schemas.openxmlformats.org/officeDocument/2006/relationships/hyperlink" Target="http://biology.burke.washington.edu/herbarium/imagecollection/taxon.php?Taxon=Pentagramma%20triangularis" TargetMode="External"/><Relationship Id="rId2227" Type="http://schemas.openxmlformats.org/officeDocument/2006/relationships/hyperlink" Target="https://plants.usda.gov/core/profile?symbol=DAPE" TargetMode="External"/><Relationship Id="rId2434" Type="http://schemas.openxmlformats.org/officeDocument/2006/relationships/hyperlink" Target="http://plants.usda.gov/java/profile?symbol=ACMI2" TargetMode="External"/><Relationship Id="rId3832" Type="http://schemas.openxmlformats.org/officeDocument/2006/relationships/hyperlink" Target="https://plants.usda.gov/core/profile?symbol=CLGR" TargetMode="External"/><Relationship Id="rId6988" Type="http://schemas.openxmlformats.org/officeDocument/2006/relationships/hyperlink" Target="http://biology.burke.washington.edu/herbarium/imagecollection/taxon.php?Taxon=Epilobium%20ciliatum" TargetMode="External"/><Relationship Id="rId406" Type="http://schemas.openxmlformats.org/officeDocument/2006/relationships/hyperlink" Target="http://biology.burke.washington.edu/herbarium/imagecollectionnew/taxon.php?Taxon=Claytonia%20parviflora" TargetMode="External"/><Relationship Id="rId960" Type="http://schemas.openxmlformats.org/officeDocument/2006/relationships/hyperlink" Target="http://en.wikipedia.org/wiki/Caltha_leptosepala" TargetMode="External"/><Relationship Id="rId1036" Type="http://schemas.openxmlformats.org/officeDocument/2006/relationships/hyperlink" Target="https://en.wikipedia.org/wiki/Agastache" TargetMode="External"/><Relationship Id="rId1243" Type="http://schemas.openxmlformats.org/officeDocument/2006/relationships/hyperlink" Target="https://en.wikipedia.org/wiki/Lycopodium_dendroideum" TargetMode="External"/><Relationship Id="rId1590" Type="http://schemas.openxmlformats.org/officeDocument/2006/relationships/hyperlink" Target="http://en.wikipedia.org/wiki/Alnus_rhombifolia" TargetMode="External"/><Relationship Id="rId2641" Type="http://schemas.openxmlformats.org/officeDocument/2006/relationships/hyperlink" Target="http://biology.burke.washington.edu/herbarium/imagecollectionnew/taxon.php?Taxon=Lepidium%20virginicum" TargetMode="External"/><Relationship Id="rId4399" Type="http://schemas.openxmlformats.org/officeDocument/2006/relationships/hyperlink" Target="https://plants.usda.gov/core/profile?symbol=SHCA" TargetMode="External"/><Relationship Id="rId5797" Type="http://schemas.openxmlformats.org/officeDocument/2006/relationships/hyperlink" Target="http://www.burkemuseum.org/research-and-collections/botany-and-herbarium/collections/database/results.php?Genus=Helianthus&amp;Species=annuus&amp;SourcePage=search.php&amp;IncludeSynonyms=Y&amp;SortBy=DESC&amp;SortOrder=Year" TargetMode="External"/><Relationship Id="rId6848" Type="http://schemas.openxmlformats.org/officeDocument/2006/relationships/hyperlink" Target="http://biology.burke.washington.edu/herbarium/imagecollectionnew/taxon.php?Taxon=Baccharis%20pilularis" TargetMode="External"/><Relationship Id="rId613" Type="http://schemas.openxmlformats.org/officeDocument/2006/relationships/hyperlink" Target="https://en.wikipedia.org/wiki/Sanicula_graveolens" TargetMode="External"/><Relationship Id="rId820" Type="http://schemas.openxmlformats.org/officeDocument/2006/relationships/hyperlink" Target="https://en.wikipedia.org/wiki/Oxytropis_campestris" TargetMode="External"/><Relationship Id="rId1450" Type="http://schemas.openxmlformats.org/officeDocument/2006/relationships/hyperlink" Target="http://biology.burke.washington.edu/herbarium/imagecollectionnew/taxon.php?Taxon=Ceanothus%20integerrimus" TargetMode="External"/><Relationship Id="rId2501" Type="http://schemas.openxmlformats.org/officeDocument/2006/relationships/hyperlink" Target="http://plants.usda.gov/java/profile?symbol=PLCO4" TargetMode="External"/><Relationship Id="rId5657" Type="http://schemas.openxmlformats.org/officeDocument/2006/relationships/hyperlink" Target="http://www.burkemuseum.org/research-and-collections/botany-and-herbarium/collections/database/results.php?Genus=Coptis&amp;Species=laciniata&amp;SourcePage=search.php&amp;IncludeSynonyms=Y&amp;SortBy=DESC&amp;SortOrder=Year" TargetMode="External"/><Relationship Id="rId5864" Type="http://schemas.openxmlformats.org/officeDocument/2006/relationships/hyperlink" Target="http://www.burkemuseum.org/research-and-collections/botany-and-herbarium/collections/database/results.php?Genus=Leersia&amp;Species=oryzoides&amp;SourcePage=search.php&amp;IncludeSynonyms=Y&amp;SortBy=DESC&amp;SortOrder=Year" TargetMode="External"/><Relationship Id="rId6708" Type="http://schemas.openxmlformats.org/officeDocument/2006/relationships/hyperlink" Target="http://biology.burke.washington.edu/herbarium/imagecollection/taxon.php?Taxon=Osmorhiza%20purpurea" TargetMode="External"/><Relationship Id="rId6915" Type="http://schemas.openxmlformats.org/officeDocument/2006/relationships/hyperlink" Target="http://biology.burke.washington.edu/herbarium/imagecollectionnew/taxon.php?Taxon=Persicaria%20hydropiperoides" TargetMode="External"/><Relationship Id="rId1103" Type="http://schemas.openxmlformats.org/officeDocument/2006/relationships/hyperlink" Target="https://en.wikipedia.org/wiki/Lathyrus_palustris" TargetMode="External"/><Relationship Id="rId1310" Type="http://schemas.openxmlformats.org/officeDocument/2006/relationships/hyperlink" Target="https://www.calflora.org/cgi-bin/species_query.cgi?where-calrecnum=8126" TargetMode="External"/><Relationship Id="rId4259" Type="http://schemas.openxmlformats.org/officeDocument/2006/relationships/hyperlink" Target="https://plants.usda.gov/core/profile?symbol=POTR5" TargetMode="External"/><Relationship Id="rId4466" Type="http://schemas.openxmlformats.org/officeDocument/2006/relationships/hyperlink" Target="https://plants.usda.gov/core/profile?symbol=TRMI5" TargetMode="External"/><Relationship Id="rId4673" Type="http://schemas.openxmlformats.org/officeDocument/2006/relationships/hyperlink" Target="http://www.burkemuseum.org/research-and-collections/botany-and-herbarium/collections/database/results.php?Genus=Bidens&amp;Species=frondosa&amp;SourcePage=search.php&amp;IncludeSynonyms=Y&amp;SortBy=DESC&amp;SortOrder=Year" TargetMode="External"/><Relationship Id="rId4880" Type="http://schemas.openxmlformats.org/officeDocument/2006/relationships/hyperlink" Target="https://en.wikipedia.org/wiki/Cuscuta_cephalanthi" TargetMode="External"/><Relationship Id="rId5517" Type="http://schemas.openxmlformats.org/officeDocument/2006/relationships/hyperlink" Target="https://en.wikipedia.org/wiki/Viola_palustris" TargetMode="External"/><Relationship Id="rId5724" Type="http://schemas.openxmlformats.org/officeDocument/2006/relationships/hyperlink" Target="http://www.burkemuseum.org/research-and-collections/botany-and-herbarium/collections/database/results.php?Genus=Equisetum&amp;Species=arvense&amp;SourcePage=search.php&amp;IncludeSynonyms=Y&amp;SortBy=DESC&amp;SortOrder=Year" TargetMode="External"/><Relationship Id="rId5931" Type="http://schemas.openxmlformats.org/officeDocument/2006/relationships/hyperlink" Target="http://www.burkemuseum.org/research-and-collections/botany-and-herbarium/collections/database/results.php?Genus=Menyanthes&amp;Species=trifoliata&amp;SourcePage=search.php&amp;IncludeSynonyms=Y&amp;SortBy=DESC&amp;SortOrder=Year" TargetMode="External"/><Relationship Id="rId3068" Type="http://schemas.openxmlformats.org/officeDocument/2006/relationships/hyperlink" Target="http://www.burkemuseum.org/research-and-collections/botany-and-herbarium/collections/database/results.php?Genus=Juniperus&amp;Species=communis&amp;SourcePage=search.php&amp;IncludeSynonyms=Y&amp;SortBy=DESC&amp;SortOrder=Year" TargetMode="External"/><Relationship Id="rId3275" Type="http://schemas.openxmlformats.org/officeDocument/2006/relationships/hyperlink" Target="http://www.burkemuseum.org/research-and-collections/botany-and-herbarium/collections/database/results.php?Genus=Rhododendron&amp;Species=groenlandicum&amp;SourcePage=search.php&amp;IncludeSynonyms=Y&amp;SortBy=DESC&amp;SortOrder=Year" TargetMode="External"/><Relationship Id="rId3482" Type="http://schemas.openxmlformats.org/officeDocument/2006/relationships/hyperlink" Target="http://www.burkemuseum.org/research-and-collections/botany-and-herbarium/collections/database/results.php?Genus=Ceanothus&amp;Species=integerrimus&amp;SourcePage=search.php&amp;IncludeSynonyms=Y&amp;SortBy=DESC&amp;SortOrder=Year" TargetMode="External"/><Relationship Id="rId4119" Type="http://schemas.openxmlformats.org/officeDocument/2006/relationships/hyperlink" Target="https://plants.usda.gov/core/profile?symbol=MADI" TargetMode="External"/><Relationship Id="rId4326" Type="http://schemas.openxmlformats.org/officeDocument/2006/relationships/hyperlink" Target="https://plants.usda.gov/core/profile?symbol=ROPA2" TargetMode="External"/><Relationship Id="rId4533" Type="http://schemas.openxmlformats.org/officeDocument/2006/relationships/hyperlink" Target="https://en.wikipedia.org/wiki/Abronia_latifolia" TargetMode="External"/><Relationship Id="rId4740" Type="http://schemas.openxmlformats.org/officeDocument/2006/relationships/hyperlink" Target="https://en.wikipedia.org/wiki/Blechnum_spicant" TargetMode="External"/><Relationship Id="rId196" Type="http://schemas.openxmlformats.org/officeDocument/2006/relationships/hyperlink" Target="http://biology.burke.washington.edu/herbarium/imagecollection/taxon.php?Taxon=Rumex%20persicarioides" TargetMode="External"/><Relationship Id="rId2084" Type="http://schemas.openxmlformats.org/officeDocument/2006/relationships/hyperlink" Target="http://plants.usda.gov/java/profile?symbol=LAOC" TargetMode="External"/><Relationship Id="rId2291" Type="http://schemas.openxmlformats.org/officeDocument/2006/relationships/hyperlink" Target="http://plants.usda.gov/java/profile?symbol=CALE27" TargetMode="External"/><Relationship Id="rId3135" Type="http://schemas.openxmlformats.org/officeDocument/2006/relationships/hyperlink" Target="http://www.burkemuseum.org/research-and-collections/botany-and-herbarium/collections/database/results.php?Genus=Mertensia&amp;Species=platyphylla&amp;SourcePage=search.php&amp;IncludeSynonyms=Y&amp;SortBy=DESC&amp;SortOrder=Year" TargetMode="External"/><Relationship Id="rId3342" Type="http://schemas.openxmlformats.org/officeDocument/2006/relationships/hyperlink" Target="http://www.burkemuseum.org/research-and-collections/botany-and-herbarium/collections/database/results.php?Genus=Sequoiadendron&amp;Species=giganteum&amp;SourcePage=search.php&amp;IncludeSynonyms=Y&amp;SortBy=DESC&amp;SortOrder=Year" TargetMode="External"/><Relationship Id="rId4600" Type="http://schemas.openxmlformats.org/officeDocument/2006/relationships/hyperlink" Target="http://www.burkemuseum.org/research-and-collections/botany-and-herbarium/collections/database/results.php?Genus=Allium&amp;Species=acuminatum&amp;SourcePage=search.php&amp;IncludeSynonyms=Y&amp;SortBy=DESC&amp;SortOrder=Year" TargetMode="External"/><Relationship Id="rId6498" Type="http://schemas.openxmlformats.org/officeDocument/2006/relationships/hyperlink" Target="http://biology.burke.washington.edu/herbarium/imagecollection/taxon.php?Taxon=Festuca%20roemeri" TargetMode="External"/><Relationship Id="rId263" Type="http://schemas.openxmlformats.org/officeDocument/2006/relationships/hyperlink" Target="http://biology.burke.washington.edu/herbarium/imagecollection/taxon.php?Taxon=Impatiens%20noli-tangere" TargetMode="External"/><Relationship Id="rId470" Type="http://schemas.openxmlformats.org/officeDocument/2006/relationships/hyperlink" Target="http://biology.burke.washington.edu/herbarium/imagecollectionnew/taxon.php?Taxon=Verbena%20hastata" TargetMode="External"/><Relationship Id="rId2151" Type="http://schemas.openxmlformats.org/officeDocument/2006/relationships/hyperlink" Target="https://plants.usda.gov/core/profile?symbol=gabo2" TargetMode="External"/><Relationship Id="rId3202" Type="http://schemas.openxmlformats.org/officeDocument/2006/relationships/hyperlink" Target="http://www.burkemuseum.org/research-and-collections/botany-and-herbarium/collections/database/results.php?Genus=Phlox&amp;Species=diffusa&amp;SourcePage=search.php&amp;IncludeSynonyms=Y&amp;SortBy=DESC&amp;SortOrder=Year" TargetMode="External"/><Relationship Id="rId6358" Type="http://schemas.openxmlformats.org/officeDocument/2006/relationships/hyperlink" Target="http://biology.burke.washington.edu/herbarium/imagecollectionnew/taxon.php?Taxon=Allium%20crenulatum" TargetMode="External"/><Relationship Id="rId6565" Type="http://schemas.openxmlformats.org/officeDocument/2006/relationships/hyperlink" Target="http://biology.burke.washington.edu/herbarium/imagecollection/taxon.php?Taxon=Lupinus%20polyphyllus" TargetMode="External"/><Relationship Id="rId123" Type="http://schemas.openxmlformats.org/officeDocument/2006/relationships/hyperlink" Target="http://biology.burke.washington.edu/herbarium/imagecollection/taxon.php?Taxon=Acer%20macrophyllum" TargetMode="External"/><Relationship Id="rId330" Type="http://schemas.openxmlformats.org/officeDocument/2006/relationships/hyperlink" Target="http://biology.burke.washington.edu/herbarium/imagecollectionnew/taxon.php?Taxon=Cardamine%20oligosperma" TargetMode="External"/><Relationship Id="rId2011" Type="http://schemas.openxmlformats.org/officeDocument/2006/relationships/hyperlink" Target="https://plants.usda.gov/core/profile?symbol=MIGR" TargetMode="External"/><Relationship Id="rId5167" Type="http://schemas.openxmlformats.org/officeDocument/2006/relationships/hyperlink" Target="https://en.wikipedia.org/wiki/Navarretia_intertexta" TargetMode="External"/><Relationship Id="rId5374" Type="http://schemas.openxmlformats.org/officeDocument/2006/relationships/hyperlink" Target="https://en.wikipedia.org/wiki/Sanicula_crassicaulis" TargetMode="External"/><Relationship Id="rId6218" Type="http://schemas.openxmlformats.org/officeDocument/2006/relationships/hyperlink" Target="http://www.burkemuseum.org/research-and-collections/botany-and-herbarium/collections/database/results.php?Genus=Sparganium&amp;Species=fluctuans&amp;SourcePage=search.php&amp;IncludeSynonyms=Y&amp;SortBy=DESC&amp;SortOrder=Year" TargetMode="External"/><Relationship Id="rId6772" Type="http://schemas.openxmlformats.org/officeDocument/2006/relationships/hyperlink" Target="http://biology.burke.washington.edu/herbarium/imagecollection/taxon.php?Taxon=Heuchera%20cylindrica" TargetMode="External"/><Relationship Id="rId2968" Type="http://schemas.openxmlformats.org/officeDocument/2006/relationships/hyperlink" Target="http://www.burkemuseum.org/research-and-collections/botany-and-herbarium/collections/database/results.php?Genus=Equisetum&amp;Species=arvense&amp;SourcePage=search.php&amp;IncludeSynonyms=Y&amp;SortBy=DESC&amp;SortOrder=Year" TargetMode="External"/><Relationship Id="rId4183" Type="http://schemas.openxmlformats.org/officeDocument/2006/relationships/hyperlink" Target="https://plants.usda.gov/core/profile?symbol=OSPU" TargetMode="External"/><Relationship Id="rId5027" Type="http://schemas.openxmlformats.org/officeDocument/2006/relationships/hyperlink" Target="https://en.wikipedia.org/wiki/Hosackia_crassifolia" TargetMode="External"/><Relationship Id="rId5581" Type="http://schemas.openxmlformats.org/officeDocument/2006/relationships/hyperlink" Target="http://www.burkemuseum.org/research-and-collections/botany-and-herbarium/collections/database/results.php?Genus=Carex&amp;Species=feta&amp;SourcePage=search.php&amp;IncludeSynonyms=Y&amp;SortBy=DESC&amp;SortOrder=Year" TargetMode="External"/><Relationship Id="rId6425" Type="http://schemas.openxmlformats.org/officeDocument/2006/relationships/hyperlink" Target="http://biology.burke.washington.edu/herbarium/imagecollectionnew/taxon.php?Taxon=Ceanothus%20velutinus" TargetMode="External"/><Relationship Id="rId6632" Type="http://schemas.openxmlformats.org/officeDocument/2006/relationships/hyperlink" Target="http://biology.burke.washington.edu/herbarium/imagecollectionnew/taxon.php?Taxon=Tanacetum%20bipinnatum" TargetMode="External"/><Relationship Id="rId1777" Type="http://schemas.openxmlformats.org/officeDocument/2006/relationships/hyperlink" Target="http://plants.usda.gov/java/profile?symbol=STPE15" TargetMode="External"/><Relationship Id="rId1984" Type="http://schemas.openxmlformats.org/officeDocument/2006/relationships/hyperlink" Target="https://plants.usda.gov/core/profile?symbol=NYTE" TargetMode="External"/><Relationship Id="rId2828" Type="http://schemas.openxmlformats.org/officeDocument/2006/relationships/hyperlink" Target="http://www.burkemuseum.org/research-and-collections/botany-and-herbarium/collections/database/results.php?Genus=Cardionema&amp;Species=ramosissima&amp;SourcePage=search.php&amp;IncludeSynonyms=Y&amp;SortBy=DESC&amp;SortOrder=Year" TargetMode="External"/><Relationship Id="rId4390" Type="http://schemas.openxmlformats.org/officeDocument/2006/relationships/hyperlink" Target="https://plants.usda.gov/core/profile?symbol=SEDI" TargetMode="External"/><Relationship Id="rId5234" Type="http://schemas.openxmlformats.org/officeDocument/2006/relationships/hyperlink" Target="https://en.wikipedia.org/wiki/Platanthera_chorisiana" TargetMode="External"/><Relationship Id="rId5441" Type="http://schemas.openxmlformats.org/officeDocument/2006/relationships/hyperlink" Target="https://en.wikipedia.org/wiki/Suaeda_calceoliformis" TargetMode="External"/><Relationship Id="rId69" Type="http://schemas.openxmlformats.org/officeDocument/2006/relationships/hyperlink" Target="http://biology.burke.washington.edu/herbarium/imagecollection/taxon.php?Taxon=Equisetum%20arvense" TargetMode="External"/><Relationship Id="rId1637" Type="http://schemas.openxmlformats.org/officeDocument/2006/relationships/hyperlink" Target="https://en.wikipedia.org/wiki/Anisocarpus_madioides" TargetMode="External"/><Relationship Id="rId1844" Type="http://schemas.openxmlformats.org/officeDocument/2006/relationships/hyperlink" Target="https://plants.usda.gov/core/profile?symbol=SALUL" TargetMode="External"/><Relationship Id="rId4043" Type="http://schemas.openxmlformats.org/officeDocument/2006/relationships/hyperlink" Target="https://plants.usda.gov/core/profile?symbol=JUPA2" TargetMode="External"/><Relationship Id="rId4250" Type="http://schemas.openxmlformats.org/officeDocument/2006/relationships/hyperlink" Target="https://plants.usda.gov/core/profile?symbol=PODOS2" TargetMode="External"/><Relationship Id="rId5301" Type="http://schemas.openxmlformats.org/officeDocument/2006/relationships/hyperlink" Target="https://en.wikipedia.org/wiki/Ranunculus_occidentalis" TargetMode="External"/><Relationship Id="rId7199" Type="http://schemas.openxmlformats.org/officeDocument/2006/relationships/hyperlink" Target="http://biology.burke.washington.edu/herbarium/imagecollection/taxon.php?Taxon=Rhododendron%20macrophyllum" TargetMode="External"/><Relationship Id="rId1704" Type="http://schemas.openxmlformats.org/officeDocument/2006/relationships/hyperlink" Target="http://biology.burke.washington.edu/herbarium/imagecollection/taxon.php?Taxon=Persicaria%20amphibia" TargetMode="External"/><Relationship Id="rId4110" Type="http://schemas.openxmlformats.org/officeDocument/2006/relationships/hyperlink" Target="https://plants.usda.gov/core/profile?symbol=LYAM3" TargetMode="External"/><Relationship Id="rId7059" Type="http://schemas.openxmlformats.org/officeDocument/2006/relationships/hyperlink" Target="http://biology.burke.washington.edu/herbarium/imagecollectionnew/taxon.php?Taxon=Alisma%20triviale" TargetMode="External"/><Relationship Id="rId1911" Type="http://schemas.openxmlformats.org/officeDocument/2006/relationships/hyperlink" Target="http://plants.usda.gov/java/profile?symbol=PORO2" TargetMode="External"/><Relationship Id="rId3669" Type="http://schemas.openxmlformats.org/officeDocument/2006/relationships/hyperlink" Target="https://plants.usda.gov/core/profile?symbol=ANOR" TargetMode="External"/><Relationship Id="rId6075" Type="http://schemas.openxmlformats.org/officeDocument/2006/relationships/hyperlink" Target="http://www.burkemuseum.org/research-and-collections/botany-and-herbarium/collections/database/results.php?Genus=Potentilla&amp;Species=drummondii&amp;SourcePage=search.php&amp;IncludeSynonyms=Y&amp;SortBy=DESC&amp;SortOrder=Year" TargetMode="External"/><Relationship Id="rId6282" Type="http://schemas.openxmlformats.org/officeDocument/2006/relationships/hyperlink" Target="http://www.burkemuseum.org/research-and-collections/botany-and-herbarium/collections/database/results.php?Genus=Typha&amp;Species=latifolia&amp;SourcePage=search.php&amp;IncludeSynonyms=Y&amp;SortBy=DESC&amp;SortOrder=Year" TargetMode="External"/><Relationship Id="rId7126" Type="http://schemas.openxmlformats.org/officeDocument/2006/relationships/hyperlink" Target="http://biology.burke.washington.edu/herbarium/imagecollectionnew/taxon.php?Taxon=Sorbus%20sitchensishttp://biology.burke.washington.edu/herbarium/imagecollectionnew/taxon.php?Taxon=Sorbus%20sitchensis" TargetMode="External"/><Relationship Id="rId797" Type="http://schemas.openxmlformats.org/officeDocument/2006/relationships/hyperlink" Target="https://en.wikipedia.org/wiki/Plantago_elongata" TargetMode="External"/><Relationship Id="rId2478" Type="http://schemas.openxmlformats.org/officeDocument/2006/relationships/hyperlink" Target="http://plants.usda.gov/core/profile?symbol=SAHO" TargetMode="External"/><Relationship Id="rId3876" Type="http://schemas.openxmlformats.org/officeDocument/2006/relationships/hyperlink" Target="https://plants.usda.gov/core/profile?symbol=DASP2" TargetMode="External"/><Relationship Id="rId4927" Type="http://schemas.openxmlformats.org/officeDocument/2006/relationships/hyperlink" Target="https://en.wikipedia.org/wiki/Empetrum_nigrum" TargetMode="External"/><Relationship Id="rId5091" Type="http://schemas.openxmlformats.org/officeDocument/2006/relationships/hyperlink" Target="https://en.wikipedia.org/wiki/Lonicera_hispidula" TargetMode="External"/><Relationship Id="rId6142" Type="http://schemas.openxmlformats.org/officeDocument/2006/relationships/hyperlink" Target="http://www.burkemuseum.org/research-and-collections/botany-and-herbarium/collections/database/results.php?Genus=Ruppia&amp;Species=maritima&amp;SourcePage=search.php&amp;IncludeSynonyms=Y&amp;SortBy=DESC&amp;SortOrder=Year" TargetMode="External"/><Relationship Id="rId1287" Type="http://schemas.openxmlformats.org/officeDocument/2006/relationships/hyperlink" Target="http://biology.burke.washington.edu/herbarium/imagecollection/taxon.php?Taxon=Ribes%20oxyacanthoides" TargetMode="External"/><Relationship Id="rId2685" Type="http://schemas.openxmlformats.org/officeDocument/2006/relationships/hyperlink" Target="http://biology.burke.washington.edu/herbarium/imagecollectionnew/taxon.php?Taxon=Typha%20latifolia" TargetMode="External"/><Relationship Id="rId2892" Type="http://schemas.openxmlformats.org/officeDocument/2006/relationships/hyperlink" Target="http://www.burkemuseum.org/research-and-collections/botany-and-herbarium/collections/database/results.php?Genus=Claytonia&amp;Species=perfoliata&amp;SourcePage=search.php&amp;IncludeSynonyms=Y&amp;SortBy=DESC&amp;SortOrder=Year" TargetMode="External"/><Relationship Id="rId3529" Type="http://schemas.openxmlformats.org/officeDocument/2006/relationships/hyperlink" Target="http://www.burkemuseum.org/research-and-collections/botany-and-herbarium/collections/database/results.php?Genus=Lupinus&amp;Species=rivularis&amp;SourcePage=search.php&amp;IncludeSynonyms=Y&amp;SortBy=DESC&amp;SortOrder=Year" TargetMode="External"/><Relationship Id="rId3736" Type="http://schemas.openxmlformats.org/officeDocument/2006/relationships/hyperlink" Target="https://plants.usda.gov/core/profile?symbol=BRCO3" TargetMode="External"/><Relationship Id="rId3943" Type="http://schemas.openxmlformats.org/officeDocument/2006/relationships/hyperlink" Target="https://plants.usda.gov/core/profile?symbol=MILE2" TargetMode="External"/><Relationship Id="rId6002" Type="http://schemas.openxmlformats.org/officeDocument/2006/relationships/hyperlink" Target="http://www.burkemuseum.org/research-and-collections/botany-and-herbarium/collections/database/results.php?Genus=Penstemon&amp;Species=davidsonii&amp;SourcePage=search.php&amp;IncludeSynonyms=Y&amp;SortBy=DESC&amp;SortOrder=Year" TargetMode="External"/><Relationship Id="rId657" Type="http://schemas.openxmlformats.org/officeDocument/2006/relationships/hyperlink" Target="https://en.wikipedia.org/wiki/Rhododendron_occidentale" TargetMode="External"/><Relationship Id="rId864" Type="http://schemas.openxmlformats.org/officeDocument/2006/relationships/hyperlink" Target="http://en.wikipedia.org/wiki/Melica_smithii" TargetMode="External"/><Relationship Id="rId1494" Type="http://schemas.openxmlformats.org/officeDocument/2006/relationships/hyperlink" Target="https://en.wikipedia.org/wiki/Sidalcea_campestris" TargetMode="External"/><Relationship Id="rId2338" Type="http://schemas.openxmlformats.org/officeDocument/2006/relationships/hyperlink" Target="http://plants.usda.gov/java/profile?symbol=CABU" TargetMode="External"/><Relationship Id="rId2545" Type="http://schemas.openxmlformats.org/officeDocument/2006/relationships/hyperlink" Target="http://plants.usda.gov/java/profile?symbol=HYTE" TargetMode="External"/><Relationship Id="rId2752" Type="http://schemas.openxmlformats.org/officeDocument/2006/relationships/hyperlink" Target="http://www.burkemuseum.org/research-and-collections/botany-and-herbarium/collections/database/results.php?Genus=Angelica&amp;Species=arguta&amp;SourcePage=search.php&amp;IncludeSynonyms=Y&amp;SortBy=DESC&amp;SortOrder=Year" TargetMode="External"/><Relationship Id="rId3803" Type="http://schemas.openxmlformats.org/officeDocument/2006/relationships/hyperlink" Target="https://plants.usda.gov/core/profile?symbol=CACH40" TargetMode="External"/><Relationship Id="rId6959" Type="http://schemas.openxmlformats.org/officeDocument/2006/relationships/hyperlink" Target="http://biology.burke.washington.edu/herbarium/imagecollection/taxon.php?Taxon=Juncus%20acuminatus" TargetMode="External"/><Relationship Id="rId517" Type="http://schemas.openxmlformats.org/officeDocument/2006/relationships/hyperlink" Target="https://en.wikipedia.org/wiki/Verbena_hastata" TargetMode="External"/><Relationship Id="rId724" Type="http://schemas.openxmlformats.org/officeDocument/2006/relationships/hyperlink" Target="https://en.wikipedia.org/wiki/Elodea_nuttallii" TargetMode="External"/><Relationship Id="rId931" Type="http://schemas.openxmlformats.org/officeDocument/2006/relationships/hyperlink" Target="http://en.wikipedia.org/wiki/Carex_pauciflora" TargetMode="External"/><Relationship Id="rId1147" Type="http://schemas.openxmlformats.org/officeDocument/2006/relationships/hyperlink" Target="https://en.wikipedia.org/wiki/Galium_aparine" TargetMode="External"/><Relationship Id="rId1354" Type="http://schemas.openxmlformats.org/officeDocument/2006/relationships/hyperlink" Target="http://biology.burke.washington.edu/herbarium/imagecollection/taxon.php?Taxon=Oenanthe%20sarmentosa" TargetMode="External"/><Relationship Id="rId1561" Type="http://schemas.openxmlformats.org/officeDocument/2006/relationships/hyperlink" Target="http://en.wikipedia.org/wiki/Marah_oreganus" TargetMode="External"/><Relationship Id="rId2405" Type="http://schemas.openxmlformats.org/officeDocument/2006/relationships/hyperlink" Target="http://plants.usda.gov/java/profile?symbol=ANDE3" TargetMode="External"/><Relationship Id="rId2612" Type="http://schemas.openxmlformats.org/officeDocument/2006/relationships/hyperlink" Target="http://biology.burke.washington.edu/herbarium/imagecollectionnew/taxon.php?Taxon=Turritis%20glabra" TargetMode="External"/><Relationship Id="rId5768" Type="http://schemas.openxmlformats.org/officeDocument/2006/relationships/hyperlink" Target="http://www.burkemuseum.org/research-and-collections/botany-and-herbarium/collections/database/results.php?Genus=Galium&amp;Species=boreale&amp;SourcePage=search.php&amp;IncludeSynonyms=Y&amp;SortBy=DESC&amp;SortOrder=Year" TargetMode="External"/><Relationship Id="rId5975" Type="http://schemas.openxmlformats.org/officeDocument/2006/relationships/hyperlink" Target="http://www.burkemuseum.org/research-and-collections/botany-and-herbarium/collections/database/results.php?Genus=Oenanthe&amp;Species=sarmentosa&amp;SourcePage=search.php&amp;IncludeSynonyms=Y&amp;SortBy=DESC&amp;SortOrder=Year" TargetMode="External"/><Relationship Id="rId6819" Type="http://schemas.openxmlformats.org/officeDocument/2006/relationships/hyperlink" Target="http://biology.burke.washington.edu/herbarium/imagecollectionnew/taxon.php?Taxon=Castilleja%20chambersii" TargetMode="External"/><Relationship Id="rId60" Type="http://schemas.openxmlformats.org/officeDocument/2006/relationships/hyperlink" Target="http://biology.burke.washington.edu/herbarium/imagecollection/taxon.php?Taxon=Gymnocarpium%20dryopteris" TargetMode="External"/><Relationship Id="rId1007" Type="http://schemas.openxmlformats.org/officeDocument/2006/relationships/hyperlink" Target="https://en.wikipedia.org/wiki/Aquilegia_formosa" TargetMode="External"/><Relationship Id="rId1214" Type="http://schemas.openxmlformats.org/officeDocument/2006/relationships/hyperlink" Target="http://biology.burke.washington.edu/herbarium/imagecollection/taxon.php?Taxon=Lemna%20minor" TargetMode="External"/><Relationship Id="rId1421" Type="http://schemas.openxmlformats.org/officeDocument/2006/relationships/hyperlink" Target="http://biology.burke.washington.edu/herbarium/imagecollection/taxon.php?Taxon=Rhododendron%20albiflorum" TargetMode="External"/><Relationship Id="rId4577" Type="http://schemas.openxmlformats.org/officeDocument/2006/relationships/hyperlink" Target="http://www.burkemuseum.org/research-and-collections/botany-and-herbarium/collections/database/results.php?Genus=Abronia&amp;Species=latifolia&amp;SourcePage=search.php&amp;IncludeSynonyms=Y&amp;SortBy=DESC&amp;SortOrder=Year" TargetMode="External"/><Relationship Id="rId4784" Type="http://schemas.openxmlformats.org/officeDocument/2006/relationships/hyperlink" Target="https://en.wikipedia.org/wiki/Carex_deweyana" TargetMode="External"/><Relationship Id="rId4991" Type="http://schemas.openxmlformats.org/officeDocument/2006/relationships/hyperlink" Target="https://en.wikipedia.org/wiki/Geum_macrophyllum" TargetMode="External"/><Relationship Id="rId5628" Type="http://schemas.openxmlformats.org/officeDocument/2006/relationships/hyperlink" Target="http://www.burkemuseum.org/research-and-collections/botany-and-herbarium/collections/database/results.php?Genus=Chrysolepis&amp;Species=chrysophylla&amp;SourcePage=search.php&amp;IncludeSynonyms=Y&amp;SortBy=DESC&amp;SortOrder=Year" TargetMode="External"/><Relationship Id="rId5835" Type="http://schemas.openxmlformats.org/officeDocument/2006/relationships/hyperlink" Target="http://www.burkemuseum.org/research-and-collections/botany-and-herbarium/collections/database/results.php?Genus=Juncus&amp;Species=acuminatus&amp;SourcePage=search.php&amp;IncludeSynonyms=Y&amp;SortBy=DESC&amp;SortOrder=Year" TargetMode="External"/><Relationship Id="rId7190" Type="http://schemas.openxmlformats.org/officeDocument/2006/relationships/hyperlink" Target="http://biology.burke.washington.edu/herbarium/imagecollection/taxon.php?Taxon=Ribes%20lobbii" TargetMode="External"/><Relationship Id="rId3179" Type="http://schemas.openxmlformats.org/officeDocument/2006/relationships/hyperlink" Target="http://www.burkemuseum.org/research-and-collections/botany-and-herbarium/collections/database/results.php?Genus=Osmorhiza&amp;Species=purpurea&amp;SourcePage=search.php&amp;IncludeSynonyms=Y&amp;SortBy=DESC&amp;SortOrder=Year" TargetMode="External"/><Relationship Id="rId3386" Type="http://schemas.openxmlformats.org/officeDocument/2006/relationships/hyperlink" Target="http://www.burkemuseum.org/research-and-collections/botany-and-herbarium/collections/database/results.php?Genus=Symphyotrichum&amp;Species=lateriflorum&amp;SourcePage=search.php&amp;IncludeSynonyms=Y&amp;SortBy=DESC&amp;SortOrder=Year" TargetMode="External"/><Relationship Id="rId3593" Type="http://schemas.openxmlformats.org/officeDocument/2006/relationships/hyperlink" Target="http://www.burkemuseum.org/research-and-collections/botany-and-herbarium/collections/database/results.php?Genus=Spiraea&amp;Species=douglasii&amp;SourcePage=search.php&amp;IncludeSynonyms=Y&amp;SortBy=DESC&amp;SortOrder=Year" TargetMode="External"/><Relationship Id="rId4437" Type="http://schemas.openxmlformats.org/officeDocument/2006/relationships/hyperlink" Target="https://plants.usda.gov/core/profile?symbol=STOB" TargetMode="External"/><Relationship Id="rId4644" Type="http://schemas.openxmlformats.org/officeDocument/2006/relationships/hyperlink" Target="http://www.burkemuseum.org/research-and-collections/botany-and-herbarium/collections/database/results.php?Genus=Arnica&amp;Species=lanceolata&amp;SourcePage=search.php&amp;IncludeSynonyms=Y&amp;SortBy=DESC&amp;SortOrder=Year" TargetMode="External"/><Relationship Id="rId7050" Type="http://schemas.openxmlformats.org/officeDocument/2006/relationships/hyperlink" Target="http://biology.burke.washington.edu/herbarium/imagecollectionnew/taxon.php?Taxon=Arnica%20longifolia" TargetMode="External"/><Relationship Id="rId2195" Type="http://schemas.openxmlformats.org/officeDocument/2006/relationships/hyperlink" Target="http://plants.usda.gov/java/profile?symbol=EPBR3" TargetMode="External"/><Relationship Id="rId3039" Type="http://schemas.openxmlformats.org/officeDocument/2006/relationships/hyperlink" Target="http://www.burkemuseum.org/research-and-collections/botany-and-herbarium/collections/database/results.php?Genus=Hierochloe&amp;Species=hirta&amp;SourcePage=search.php&amp;IncludeSynonyms=Y&amp;SortBy=DESC&amp;SortOrder=Year" TargetMode="External"/><Relationship Id="rId3246" Type="http://schemas.openxmlformats.org/officeDocument/2006/relationships/hyperlink" Target="http://www.burkemuseum.org/research-and-collections/botany-and-herbarium/collections/database/results.php?Genus=Potamogeton&amp;Species=zosteriformis&amp;SourcePage=search.php&amp;IncludeSynonyms=Y&amp;SortBy=DESC&amp;SortOrder=Year" TargetMode="External"/><Relationship Id="rId3453" Type="http://schemas.openxmlformats.org/officeDocument/2006/relationships/hyperlink" Target="http://www.burkemuseum.org/research-and-collections/botany-and-herbarium/collections/database/results.php?Genus=Abies&amp;Species=procera&amp;SourcePage=search.php&amp;IncludeSynonyms=Y&amp;SortBy=DESC&amp;SortOrder=Year" TargetMode="External"/><Relationship Id="rId4851" Type="http://schemas.openxmlformats.org/officeDocument/2006/relationships/hyperlink" Target="https://en.wikipedia.org/wiki/Claytonia_sibirica" TargetMode="External"/><Relationship Id="rId5902" Type="http://schemas.openxmlformats.org/officeDocument/2006/relationships/hyperlink" Target="http://www.burkemuseum.org/research-and-collections/botany-and-herbarium/collections/database/results.php?Genus=Lupinus&amp;Species=polyphyllus&amp;SourcePage=search.php&amp;IncludeSynonyms=Y&amp;SortBy=DESC&amp;SortOrder=Year" TargetMode="External"/><Relationship Id="rId167" Type="http://schemas.openxmlformats.org/officeDocument/2006/relationships/hyperlink" Target="http://biology.burke.washington.edu/herbarium/imagecollection/taxon.php?Taxon=Plantago&amp;Spec%20ies=maritima" TargetMode="External"/><Relationship Id="rId374" Type="http://schemas.openxmlformats.org/officeDocument/2006/relationships/hyperlink" Target="http://biology.burke.washington.edu/herbarium/imagecollectionnew/taxon.php?Taxon=Carex%20viridula" TargetMode="External"/><Relationship Id="rId581" Type="http://schemas.openxmlformats.org/officeDocument/2006/relationships/hyperlink" Target="https://en.wikipedia.org/wiki/Sparganium_eurycarpum" TargetMode="External"/><Relationship Id="rId2055" Type="http://schemas.openxmlformats.org/officeDocument/2006/relationships/hyperlink" Target="http://plants.usda.gov/java/profile?symbol=LOCI3" TargetMode="External"/><Relationship Id="rId2262" Type="http://schemas.openxmlformats.org/officeDocument/2006/relationships/hyperlink" Target="http://plants.usda.gov/java/profile?symbol=CLRU2" TargetMode="External"/><Relationship Id="rId3106" Type="http://schemas.openxmlformats.org/officeDocument/2006/relationships/hyperlink" Target="http://www.burkemuseum.org/research-and-collections/botany-and-herbarium/collections/database/results.php?Genus=Lotus&amp;Species=pinnatus&amp;SourcePage=search.php&amp;IncludeSynonyms=Y&amp;SortBy=DESC&amp;SortOrder=Year" TargetMode="External"/><Relationship Id="rId3660" Type="http://schemas.openxmlformats.org/officeDocument/2006/relationships/hyperlink" Target="https://plants.usda.gov/core/profile?symbol=AMALH" TargetMode="External"/><Relationship Id="rId4504" Type="http://schemas.openxmlformats.org/officeDocument/2006/relationships/hyperlink" Target="https://plants.usda.gov/core/profile?symbol=VEPE2" TargetMode="External"/><Relationship Id="rId4711" Type="http://schemas.openxmlformats.org/officeDocument/2006/relationships/hyperlink" Target="https://en.wikipedia.org/wiki/Artemisia_campestris" TargetMode="External"/><Relationship Id="rId234" Type="http://schemas.openxmlformats.org/officeDocument/2006/relationships/hyperlink" Target="http://biology.burke.washington.edu/herbarium/imagecollection/taxon.php?Taxon=Potamogeton%20illinoensis" TargetMode="External"/><Relationship Id="rId3313" Type="http://schemas.openxmlformats.org/officeDocument/2006/relationships/hyperlink" Target="http://www.burkemuseum.org/research-and-collections/botany-and-herbarium/collections/database/results.php?Genus=Salix&amp;Species=lemmonii&amp;SourcePage=search.php&amp;IncludeSynonyms=Y&amp;SortBy=DESC&amp;SortOrder=Year" TargetMode="External"/><Relationship Id="rId3520" Type="http://schemas.openxmlformats.org/officeDocument/2006/relationships/hyperlink" Target="http://www.burkemuseum.org/research-and-collections/botany-and-herbarium/collections/database/results.php?Genus=Lilium&amp;Species=columbianum&amp;SourcePage=search.php&amp;IncludeSynonyms=Y&amp;SortBy=DESC&amp;SortOrder=Year" TargetMode="External"/><Relationship Id="rId6469" Type="http://schemas.openxmlformats.org/officeDocument/2006/relationships/hyperlink" Target="http://biology.burke.washington.edu/herbarium/imagecollectionnew/taxon.php?Taxon=Dryopteris%20arguta" TargetMode="External"/><Relationship Id="rId6676" Type="http://schemas.openxmlformats.org/officeDocument/2006/relationships/hyperlink" Target="http://biology.burke.washington.edu/herbarium/imagecollectionnew/taxon.php?Taxon=Pseudognaphalium%20stramineum" TargetMode="External"/><Relationship Id="rId6883" Type="http://schemas.openxmlformats.org/officeDocument/2006/relationships/hyperlink" Target="http://biology.burke.washington.edu/herbarium/imagecollectionnew/taxon.php?Taxon=Sparganium%20eurycarpum" TargetMode="External"/><Relationship Id="rId441" Type="http://schemas.openxmlformats.org/officeDocument/2006/relationships/hyperlink" Target="http://biology.burke.washington.edu/herbarium/imagecollectionnew/taxon.php?Taxon=Dryopteris%20carthusiana" TargetMode="External"/><Relationship Id="rId1071" Type="http://schemas.openxmlformats.org/officeDocument/2006/relationships/hyperlink" Target="https://en.wikipedia.org/wiki/Lupinus_microcarpus" TargetMode="External"/><Relationship Id="rId2122" Type="http://schemas.openxmlformats.org/officeDocument/2006/relationships/hyperlink" Target="http://plants.usda.gov/java/profile?symbol=HEOR2" TargetMode="External"/><Relationship Id="rId5278" Type="http://schemas.openxmlformats.org/officeDocument/2006/relationships/hyperlink" Target="https://en.wikipedia.org/wiki/Potentilla_gracilis" TargetMode="External"/><Relationship Id="rId5485" Type="http://schemas.openxmlformats.org/officeDocument/2006/relationships/hyperlink" Target="https://en.wikipedia.org/wiki/Urtica_dioica" TargetMode="External"/><Relationship Id="rId5692" Type="http://schemas.openxmlformats.org/officeDocument/2006/relationships/hyperlink" Target="http://www.burkemuseum.org/research-and-collections/botany-and-herbarium/collections/database/results.php?Genus=Deschampsia&amp;Species=elongata&amp;SourcePage=search.php&amp;IncludeSynonyms=Y&amp;SortBy=DESC&amp;SortOrder=Year" TargetMode="External"/><Relationship Id="rId6329" Type="http://schemas.openxmlformats.org/officeDocument/2006/relationships/hyperlink" Target="http://www.burkemuseum.org/research-and-collections/botany-and-herbarium/collections/database/results.php?Genus=Iris&amp;Species=missouriensis&amp;SourcePage=search.php&amp;IncludeSynonyms=Y&amp;SortBy=DESC&amp;SortOrder=Year" TargetMode="External"/><Relationship Id="rId6536" Type="http://schemas.openxmlformats.org/officeDocument/2006/relationships/hyperlink" Target="http://biology.burke.washington.edu/herbarium/imagecollection/taxon.php?Taxon=Isolepis%20cernua" TargetMode="External"/><Relationship Id="rId6743" Type="http://schemas.openxmlformats.org/officeDocument/2006/relationships/hyperlink" Target="http://biology.burke.washington.edu/herbarium/imagecollection/taxon.php?Taxon=Lupinus%20bicolor" TargetMode="External"/><Relationship Id="rId6950" Type="http://schemas.openxmlformats.org/officeDocument/2006/relationships/hyperlink" Target="http://biology.burke.washington.edu/herbarium/imagecollection/taxon.php?Taxon=Lemna%20minor" TargetMode="External"/><Relationship Id="rId301" Type="http://schemas.openxmlformats.org/officeDocument/2006/relationships/hyperlink" Target="http://biology.burke.washington.edu/herbarium/imagecollectionnew/taxon.php?Taxon=Arceuthobium%20tsugense" TargetMode="External"/><Relationship Id="rId1888" Type="http://schemas.openxmlformats.org/officeDocument/2006/relationships/hyperlink" Target="http://plants.usda.gov/java/profile?symbol=RACA2" TargetMode="External"/><Relationship Id="rId2939" Type="http://schemas.openxmlformats.org/officeDocument/2006/relationships/hyperlink" Target="http://www.burkemuseum.org/research-and-collections/botany-and-herbarium/collections/database/results.php?Genus=Dichanthelium&amp;Species=acuminatum&amp;SourcePage=search.php&amp;IncludeSynonyms=Y&amp;SortBy=DESC&amp;SortOrder=Year" TargetMode="External"/><Relationship Id="rId4087" Type="http://schemas.openxmlformats.org/officeDocument/2006/relationships/hyperlink" Target="https://plants.usda.gov/core/profile?symbol=LOCO5" TargetMode="External"/><Relationship Id="rId4294" Type="http://schemas.openxmlformats.org/officeDocument/2006/relationships/hyperlink" Target="https://plants.usda.gov/core/profile?symbol=RAAL" TargetMode="External"/><Relationship Id="rId5138" Type="http://schemas.openxmlformats.org/officeDocument/2006/relationships/hyperlink" Target="https://en.wikipedia.org/wiki/Micranthes_occidentalis" TargetMode="External"/><Relationship Id="rId5345" Type="http://schemas.openxmlformats.org/officeDocument/2006/relationships/hyperlink" Target="https://en.wikipedia.org/wiki/Sagina_maxima" TargetMode="External"/><Relationship Id="rId5552" Type="http://schemas.openxmlformats.org/officeDocument/2006/relationships/hyperlink" Target="http://www.burkemuseum.org/research-and-collections/botany-and-herbarium/collections/database/results.php?Genus=Callitriche&amp;Species=palustris&amp;SourcePage=search.php&amp;IncludeSynonyms=Y&amp;SortBy=DESC&amp;SortOrder=Year" TargetMode="External"/><Relationship Id="rId6603" Type="http://schemas.openxmlformats.org/officeDocument/2006/relationships/hyperlink" Target="http://biology.burke.washington.edu/herbarium/imagecollection/taxon.php?Taxon=Penstemon%20serrulatus" TargetMode="External"/><Relationship Id="rId6810" Type="http://schemas.openxmlformats.org/officeDocument/2006/relationships/hyperlink" Target="http://biology.burke.washington.edu/herbarium/imagecollectionnew/taxon.php?Taxon=Collomia%20heterophylla" TargetMode="External"/><Relationship Id="rId1748" Type="http://schemas.openxmlformats.org/officeDocument/2006/relationships/hyperlink" Target="https://plants.usda.gov/core/profile?symbol=TRBI2" TargetMode="External"/><Relationship Id="rId4154" Type="http://schemas.openxmlformats.org/officeDocument/2006/relationships/hyperlink" Target="https://plants.usda.gov/core/profile?symbol=MYMI2" TargetMode="External"/><Relationship Id="rId4361" Type="http://schemas.openxmlformats.org/officeDocument/2006/relationships/hyperlink" Target="https://plants.usda.gov/core/profile?symbol=SAPE2" TargetMode="External"/><Relationship Id="rId5205" Type="http://schemas.openxmlformats.org/officeDocument/2006/relationships/hyperlink" Target="https://en.wikipedia.org/wiki/Penstemon_hesperius" TargetMode="External"/><Relationship Id="rId5412" Type="http://schemas.openxmlformats.org/officeDocument/2006/relationships/hyperlink" Target="https://en.wikipedia.org/wiki/Solidago_canadensis" TargetMode="External"/><Relationship Id="rId1955" Type="http://schemas.openxmlformats.org/officeDocument/2006/relationships/hyperlink" Target="http://plants.usda.gov/java/profile?symbol=PHHE2" TargetMode="External"/><Relationship Id="rId3170" Type="http://schemas.openxmlformats.org/officeDocument/2006/relationships/hyperlink" Target="http://www.burkemuseum.org/research-and-collections/botany-and-herbarium/collections/database/results.php?Genus=Nuttallanthus&amp;Species=texanus&amp;SourcePage=search.php&amp;IncludeSynonyms=Y&amp;SortBy=DESC&amp;SortOrder=Year" TargetMode="External"/><Relationship Id="rId4014" Type="http://schemas.openxmlformats.org/officeDocument/2006/relationships/hyperlink" Target="https://plants.usda.gov/core/profile?symbol=HOJU" TargetMode="External"/><Relationship Id="rId4221" Type="http://schemas.openxmlformats.org/officeDocument/2006/relationships/hyperlink" Target="https://plants.usda.gov/core/profile?symbol=PICOC" TargetMode="External"/><Relationship Id="rId1608" Type="http://schemas.openxmlformats.org/officeDocument/2006/relationships/hyperlink" Target="https://en.wikipedia.org/wiki/Lilium_columbianum" TargetMode="External"/><Relationship Id="rId1815" Type="http://schemas.openxmlformats.org/officeDocument/2006/relationships/hyperlink" Target="https://plants.usda.gov/core/profile?symbol=SESE3" TargetMode="External"/><Relationship Id="rId3030" Type="http://schemas.openxmlformats.org/officeDocument/2006/relationships/hyperlink" Target="http://www.burkemuseum.org/research-and-collections/botany-and-herbarium/collections/database/results.php?Genus=Helianthus&amp;Species=annuus&amp;SourcePage=search.php&amp;IncludeSynonyms=Y&amp;SortBy=DESC&amp;SortOrder=Year" TargetMode="External"/><Relationship Id="rId6186" Type="http://schemas.openxmlformats.org/officeDocument/2006/relationships/hyperlink" Target="http://www.burkemuseum.org/research-and-collections/botany-and-herbarium/collections/database/results.php?Genus=Scirpus&amp;Species=microcarpus&amp;SourcePage=search.php&amp;IncludeSynonyms=Y&amp;SortBy=DESC&amp;SortOrder=Year" TargetMode="External"/><Relationship Id="rId6393" Type="http://schemas.openxmlformats.org/officeDocument/2006/relationships/hyperlink" Target="http://biology.burke.washington.edu/herbarium/imagecollectionnew/taxon.php?Taxon=Betula%20papyrifera" TargetMode="External"/><Relationship Id="rId7237" Type="http://schemas.openxmlformats.org/officeDocument/2006/relationships/hyperlink" Target="http://biology.burke.washington.edu/herbarium/imagecollection/taxon.php?Taxon=Pinus%20contorta" TargetMode="External"/><Relationship Id="rId3987" Type="http://schemas.openxmlformats.org/officeDocument/2006/relationships/hyperlink" Target="https://plants.usda.gov/core/profile?symbol=GLST" TargetMode="External"/><Relationship Id="rId6046" Type="http://schemas.openxmlformats.org/officeDocument/2006/relationships/hyperlink" Target="http://www.burkemuseum.org/research-and-collections/botany-and-herbarium/collections/database/results.php?Genus=Poa&amp;Species=paucispicula&amp;SourcePage=search.php&amp;IncludeSynonyms=Y&amp;SortBy=DESC&amp;SortOrder=Year" TargetMode="External"/><Relationship Id="rId2589" Type="http://schemas.openxmlformats.org/officeDocument/2006/relationships/hyperlink" Target="http://plants.usda.gov/core/profile?symbol=BEOC2" TargetMode="External"/><Relationship Id="rId2796" Type="http://schemas.openxmlformats.org/officeDocument/2006/relationships/hyperlink" Target="http://www.burkemuseum.org/research-and-collections/botany-and-herbarium/collections/database/results.php?Genus=Bidens&amp;Species=frondosa&amp;SourcePage=search.php&amp;IncludeSynonyms=Y&amp;SortBy=DESC&amp;SortOrder=Year" TargetMode="External"/><Relationship Id="rId3847" Type="http://schemas.openxmlformats.org/officeDocument/2006/relationships/hyperlink" Target="https://plants.usda.gov/core/profile?symbol=coli2" TargetMode="External"/><Relationship Id="rId6253" Type="http://schemas.openxmlformats.org/officeDocument/2006/relationships/hyperlink" Target="http://www.burkemuseum.org/research-and-collections/botany-and-herbarium/collections/database/results.php?Genus=Thalictrum&amp;Species=occidentale&amp;SourcePage=search.php&amp;IncludeSynonyms=Y&amp;SortBy=DESC&amp;SortOrder=Year" TargetMode="External"/><Relationship Id="rId6460" Type="http://schemas.openxmlformats.org/officeDocument/2006/relationships/hyperlink" Target="http://biology.burke.washington.edu/herbarium/imagecollectionnew/taxon.php?Taxon=Deschampsia%20cespitosa" TargetMode="External"/><Relationship Id="rId768" Type="http://schemas.openxmlformats.org/officeDocument/2006/relationships/hyperlink" Target="https://en.wikipedia.org/wiki/Potamogeton_obtusifolius" TargetMode="External"/><Relationship Id="rId975" Type="http://schemas.openxmlformats.org/officeDocument/2006/relationships/hyperlink" Target="http://en.wikipedia.org/wiki/Blechnum_spicant" TargetMode="External"/><Relationship Id="rId1398" Type="http://schemas.openxmlformats.org/officeDocument/2006/relationships/hyperlink" Target="http://biology.burke.washington.edu/herbarium/imagecollection/taxon.php?Taxon=Platanthera%20chorisiana" TargetMode="External"/><Relationship Id="rId2449" Type="http://schemas.openxmlformats.org/officeDocument/2006/relationships/hyperlink" Target="http://plants.usda.gov/java/profile?symbol=VAPA" TargetMode="External"/><Relationship Id="rId2656" Type="http://schemas.openxmlformats.org/officeDocument/2006/relationships/hyperlink" Target="http://biology.burke.washington.edu/herbarium/imagecollectionnew/taxon.php?Taxon=Spiranthes%20romanzoffiana" TargetMode="External"/><Relationship Id="rId2863" Type="http://schemas.openxmlformats.org/officeDocument/2006/relationships/hyperlink" Target="http://www.burkemuseum.org/research-and-collections/botany-and-herbarium/collections/database/results.php?Genus=Castilleja&amp;Species=hispida&amp;SourcePage=search.php&amp;IncludeSynonyms=Y&amp;SortBy=DESC&amp;SortOrder=Year" TargetMode="External"/><Relationship Id="rId3707" Type="http://schemas.openxmlformats.org/officeDocument/2006/relationships/hyperlink" Target="https://plants.usda.gov/core/profile?symbol=ASDE6" TargetMode="External"/><Relationship Id="rId3914" Type="http://schemas.openxmlformats.org/officeDocument/2006/relationships/hyperlink" Target="https://plants.usda.gov/core/profile?symbol=ELGL" TargetMode="External"/><Relationship Id="rId5062" Type="http://schemas.openxmlformats.org/officeDocument/2006/relationships/hyperlink" Target="https://en.wikipedia.org/wiki/Lathyrus_holochlorus" TargetMode="External"/><Relationship Id="rId6113" Type="http://schemas.openxmlformats.org/officeDocument/2006/relationships/hyperlink" Target="http://www.burkemuseum.org/research-and-collections/botany-and-herbarium/collections/database/results.php?Genus=Rhynchospora&amp;Species=alba&amp;SourcePage=search.php&amp;IncludeSynonyms=Y&amp;SortBy=DESC&amp;SortOrder=Year" TargetMode="External"/><Relationship Id="rId6320" Type="http://schemas.openxmlformats.org/officeDocument/2006/relationships/hyperlink" Target="http://www.burkemuseum.org/research-and-collections/botany-and-herbarium/collections/database/results.php?Genus=Woodwardia&amp;Species=fimbriata&amp;SourcePage=search.php&amp;IncludeSynonyms=Y&amp;SortBy=DESC&amp;SortOrder=Year" TargetMode="External"/><Relationship Id="rId628" Type="http://schemas.openxmlformats.org/officeDocument/2006/relationships/hyperlink" Target="https://en.wikipedia.org/wiki/Salix_exigua" TargetMode="External"/><Relationship Id="rId835" Type="http://schemas.openxmlformats.org/officeDocument/2006/relationships/hyperlink" Target="https://en.wikipedia.org/wiki/Navarretia_squarrosa" TargetMode="External"/><Relationship Id="rId1258" Type="http://schemas.openxmlformats.org/officeDocument/2006/relationships/hyperlink" Target="http://biology.burke.washington.edu/herbarium/imagecollectionnew/taxonmap.php?Taxon=Malaxis%20monophyllos&amp;SourcePage=taxon" TargetMode="External"/><Relationship Id="rId1465" Type="http://schemas.openxmlformats.org/officeDocument/2006/relationships/hyperlink" Target="http://biology.burke.washington.edu/herbarium/imagecollectionnew/taxon.php?Taxon=Woodwardia%20fimbriata" TargetMode="External"/><Relationship Id="rId1672" Type="http://schemas.openxmlformats.org/officeDocument/2006/relationships/hyperlink" Target="http://www.burkemuseum.org/research-and-collections/botany-and-herbarium/collections/database/resultstext.php?Genus=Claytonia&amp;Species=sibirica&amp;SourcePage=search.php&amp;IncludeSynonyms=Y&amp;SortBy=DESC&amp;SortOrder=Year" TargetMode="External"/><Relationship Id="rId2309" Type="http://schemas.openxmlformats.org/officeDocument/2006/relationships/hyperlink" Target="http://plants.usda.gov/java/profile?symbol=CAMA10" TargetMode="External"/><Relationship Id="rId2516" Type="http://schemas.openxmlformats.org/officeDocument/2006/relationships/hyperlink" Target="http://plants.usda.gov/java/profile?symbol=OXOR" TargetMode="External"/><Relationship Id="rId2723" Type="http://schemas.openxmlformats.org/officeDocument/2006/relationships/hyperlink" Target="http://www.burkemuseum.org/research-and-collections/botany-and-herbarium/collections/database/results.php?Genus=Adenocaulon&amp;Species=bicolor&amp;SourcePage=search.php&amp;IncludeSynonyms=Y&amp;SortBy=DESC&amp;SortOrder=Year" TargetMode="External"/><Relationship Id="rId5879" Type="http://schemas.openxmlformats.org/officeDocument/2006/relationships/hyperlink" Target="http://www.burkemuseum.org/research-and-collections/botany-and-herbarium/collections/database/results.php?Genus=Linnaea&amp;Species=borealis&amp;SourcePage=search.php&amp;IncludeSynonyms=Y&amp;SortBy=DESC&amp;SortOrder=Year" TargetMode="External"/><Relationship Id="rId1118" Type="http://schemas.openxmlformats.org/officeDocument/2006/relationships/hyperlink" Target="https://en.wikipedia.org/wiki/Juncus_ensifolius" TargetMode="External"/><Relationship Id="rId1325" Type="http://schemas.openxmlformats.org/officeDocument/2006/relationships/hyperlink" Target="http://biology.burke.washington.edu/herbarium/imagecollectionnew/taxon.php?Taxon=Spiraea%20pyramidata" TargetMode="External"/><Relationship Id="rId1532" Type="http://schemas.openxmlformats.org/officeDocument/2006/relationships/hyperlink" Target="https://en.wikipedia.org/wiki/Dryopteris_arguta" TargetMode="External"/><Relationship Id="rId2930" Type="http://schemas.openxmlformats.org/officeDocument/2006/relationships/hyperlink" Target="http://www.burkemuseum.org/research-and-collections/botany-and-herbarium/collections/database/results.php?Genus=Dasiphora&amp;Species=fruticosa&amp;SourcePage=search.php&amp;IncludeSynonyms=Y&amp;SortBy=DESC&amp;SortOrder=Year" TargetMode="External"/><Relationship Id="rId4688" Type="http://schemas.openxmlformats.org/officeDocument/2006/relationships/hyperlink" Target="https://en.wikipedia.org/wiki/Angelica_hendersonii" TargetMode="External"/><Relationship Id="rId7094" Type="http://schemas.openxmlformats.org/officeDocument/2006/relationships/hyperlink" Target="http://biology.burke.washington.edu/herbarium/imagecollectionnew/taxon.php?Taxon=Tsuga%20mertensiana" TargetMode="External"/><Relationship Id="rId902" Type="http://schemas.openxmlformats.org/officeDocument/2006/relationships/hyperlink" Target="http://en.wikipedia.org/wiki/Circaea_alpina" TargetMode="External"/><Relationship Id="rId3497" Type="http://schemas.openxmlformats.org/officeDocument/2006/relationships/hyperlink" Target="http://www.burkemuseum.org/research-and-collections/botany-and-herbarium/collections/database/results.php?Genus=Erythronium&amp;Species=oregonum&amp;SourcePage=search.php&amp;IncludeSynonyms=Y&amp;SortBy=DESC&amp;SortOrder=Year" TargetMode="External"/><Relationship Id="rId4895" Type="http://schemas.openxmlformats.org/officeDocument/2006/relationships/hyperlink" Target="https://en.wikipedia.org/wiki/Delphinium_menziesii" TargetMode="External"/><Relationship Id="rId5739" Type="http://schemas.openxmlformats.org/officeDocument/2006/relationships/hyperlink" Target="http://www.burkemuseum.org/research-and-collections/botany-and-herbarium/collections/database/results.php?Genus=Erysimum&amp;Species=capitatum&amp;SourcePage=search.php&amp;IncludeSynonyms=Y&amp;SortBy=DESC&amp;SortOrder=Year" TargetMode="External"/><Relationship Id="rId5946" Type="http://schemas.openxmlformats.org/officeDocument/2006/relationships/hyperlink" Target="http://www.burkemuseum.org/research-and-collections/botany-and-herbarium/collections/database/results.php?Genus=Monotropa&amp;Species=hypopitys&amp;SourcePage=search.php&amp;IncludeSynonyms=Y&amp;SortBy=DESC&amp;SortOrder=Year" TargetMode="External"/><Relationship Id="rId7161" Type="http://schemas.openxmlformats.org/officeDocument/2006/relationships/hyperlink" Target="http://biology.burke.washington.edu/herbarium/imagecollection/taxon.php?Taxon=Salix%20pedicellaris" TargetMode="External"/><Relationship Id="rId31" Type="http://schemas.openxmlformats.org/officeDocument/2006/relationships/hyperlink" Target="http://biology.burke.washington.edu/herbarium/imagecollection/taxon.php?Taxon=Erigeron%20compositus" TargetMode="External"/><Relationship Id="rId2099" Type="http://schemas.openxmlformats.org/officeDocument/2006/relationships/hyperlink" Target="https://plants.usda.gov/core/profile?symbol=JACA4" TargetMode="External"/><Relationship Id="rId4548" Type="http://schemas.openxmlformats.org/officeDocument/2006/relationships/hyperlink" Target="https://plants.usda.gov/core/profile?symbol=ACMI2" TargetMode="External"/><Relationship Id="rId4755" Type="http://schemas.openxmlformats.org/officeDocument/2006/relationships/hyperlink" Target="https://en.wikipedia.org/wiki/Calamagrostis_stricta" TargetMode="External"/><Relationship Id="rId4962" Type="http://schemas.openxmlformats.org/officeDocument/2006/relationships/hyperlink" Target="https://en.wikipedia.org/wiki/Equisetum_arvense" TargetMode="External"/><Relationship Id="rId5806" Type="http://schemas.openxmlformats.org/officeDocument/2006/relationships/hyperlink" Target="http://www.burkemuseum.org/research-and-collections/botany-and-herbarium/collections/database/results.php?Genus=Heuchera&amp;Species=micrantha&amp;SourcePage=search.php&amp;IncludeSynonyms=Y&amp;SortBy=DESC&amp;SortOrder=Year" TargetMode="External"/><Relationship Id="rId7021" Type="http://schemas.openxmlformats.org/officeDocument/2006/relationships/hyperlink" Target="http://biology.burke.washington.edu/herbarium/imagecollectionnew/taxon.php?Taxon=Carex%20pansa" TargetMode="External"/><Relationship Id="rId278" Type="http://schemas.openxmlformats.org/officeDocument/2006/relationships/hyperlink" Target="http://biology.burke.washington.edu/herbarium/imagecollection/taxon.php?Taxon=Penstemon%20cardwellii" TargetMode="External"/><Relationship Id="rId3357" Type="http://schemas.openxmlformats.org/officeDocument/2006/relationships/hyperlink" Target="http://www.burkemuseum.org/research-and-collections/botany-and-herbarium/collections/database/results.php?Genus=Sorbus&amp;Species=sitchensis&amp;SourcePage=search.php&amp;IncludeSynonyms=Y&amp;SortBy=DESC&amp;SortOrder=Year" TargetMode="External"/><Relationship Id="rId3564" Type="http://schemas.openxmlformats.org/officeDocument/2006/relationships/hyperlink" Target="http://www.burkemuseum.org/research-and-collections/botany-and-herbarium/collections/database/results.php?Genus=Ranunculus&amp;Species=occidentalis&amp;SourcePage=search.php&amp;IncludeSynonyms=Y&amp;SortBy=DESC&amp;SortOrder=Year" TargetMode="External"/><Relationship Id="rId3771" Type="http://schemas.openxmlformats.org/officeDocument/2006/relationships/hyperlink" Target="https://plants.usda.gov/core/profile?symbol=CADE8" TargetMode="External"/><Relationship Id="rId4408" Type="http://schemas.openxmlformats.org/officeDocument/2006/relationships/hyperlink" Target="https://plants.usda.gov/core/profile?symbol=SISC7" TargetMode="External"/><Relationship Id="rId4615" Type="http://schemas.openxmlformats.org/officeDocument/2006/relationships/hyperlink" Target="http://www.burkemuseum.org/research-and-collections/botany-and-herbarium/collections/database/results.php?Genus=Anaphalis&amp;Species=margaritacea&amp;SourcePage=search.php&amp;IncludeSynonyms=Y&amp;SortBy=DESC&amp;SortOrder=Year" TargetMode="External"/><Relationship Id="rId4822" Type="http://schemas.openxmlformats.org/officeDocument/2006/relationships/hyperlink" Target="https://en.wikipedia.org/wiki/Ceanothus_integerrimus" TargetMode="External"/><Relationship Id="rId485" Type="http://schemas.openxmlformats.org/officeDocument/2006/relationships/hyperlink" Target="http://biology.burke.washington.edu/herbarium/imagecollectionnew/taxon.php?Taxon=Xanthium%20strumarium" TargetMode="External"/><Relationship Id="rId692" Type="http://schemas.openxmlformats.org/officeDocument/2006/relationships/hyperlink" Target="https://en.wikipedia.org/wiki/Eucephalus_engelmannii" TargetMode="External"/><Relationship Id="rId2166" Type="http://schemas.openxmlformats.org/officeDocument/2006/relationships/hyperlink" Target="http://plants.usda.gov/java/profile?symbol=ERRE5" TargetMode="External"/><Relationship Id="rId2373" Type="http://schemas.openxmlformats.org/officeDocument/2006/relationships/hyperlink" Target="http://plants.usda.gov/java/profile?symbol=ASTR2" TargetMode="External"/><Relationship Id="rId2580" Type="http://schemas.openxmlformats.org/officeDocument/2006/relationships/hyperlink" Target="https://plants.usda.gov/core/profile?symbol=CAME6" TargetMode="External"/><Relationship Id="rId3217" Type="http://schemas.openxmlformats.org/officeDocument/2006/relationships/hyperlink" Target="http://www.burkemuseum.org/research-and-collections/botany-and-herbarium/collections/database/results.php?Genus=Platanthera&amp;Species=unalascensis&amp;SourcePage=search.php&amp;IncludeSynonyms=Y&amp;SortBy=DESC&amp;SortOrder=Year" TargetMode="External"/><Relationship Id="rId3424" Type="http://schemas.openxmlformats.org/officeDocument/2006/relationships/hyperlink" Target="http://www.burkemuseum.org/research-and-collections/botany-and-herbarium/collections/database/results.php?Genus=Vaccinium&amp;Species=uliginosum&amp;SourcePage=search.php&amp;IncludeSynonyms=Y&amp;SortBy=DESC&amp;SortOrder=Year" TargetMode="External"/><Relationship Id="rId3631" Type="http://schemas.openxmlformats.org/officeDocument/2006/relationships/hyperlink" Target="https://plants.usda.gov/core/profile?symbol=acma3" TargetMode="External"/><Relationship Id="rId6787" Type="http://schemas.openxmlformats.org/officeDocument/2006/relationships/hyperlink" Target="http://biology.burke.washington.edu/herbarium/imagecollection/taxon.php?Taxon=Eriophorum%20gracile" TargetMode="External"/><Relationship Id="rId6994" Type="http://schemas.openxmlformats.org/officeDocument/2006/relationships/hyperlink" Target="http://biology.burke.washington.edu/herbarium/imagecollectionnew/taxon.php?Taxon=Dodecatheon%20austrofrigidum" TargetMode="External"/><Relationship Id="rId138" Type="http://schemas.openxmlformats.org/officeDocument/2006/relationships/hyperlink" Target="http://biology.burke.washington.edu/herbarium/imagecollection/taxon.php?Taxon=Lemna%20trisulca" TargetMode="External"/><Relationship Id="rId345" Type="http://schemas.openxmlformats.org/officeDocument/2006/relationships/hyperlink" Target="http://biology.burke.washington.edu/herbarium/imagecollectionnew/taxon.php?Taxon=Cakile%20edentula" TargetMode="External"/><Relationship Id="rId552" Type="http://schemas.openxmlformats.org/officeDocument/2006/relationships/hyperlink" Target="https://en.wikipedia.org/wiki/Thalictrum_occidentale" TargetMode="External"/><Relationship Id="rId1182" Type="http://schemas.openxmlformats.org/officeDocument/2006/relationships/hyperlink" Target="http://biology.burke.washington.edu/herbarium/imagecollectionnew/taxon.php?Taxon=Typha%20angustifolia" TargetMode="External"/><Relationship Id="rId2026" Type="http://schemas.openxmlformats.org/officeDocument/2006/relationships/hyperlink" Target="https://plants.usda.gov/core/profile?symbol=MAST" TargetMode="External"/><Relationship Id="rId2233" Type="http://schemas.openxmlformats.org/officeDocument/2006/relationships/hyperlink" Target="http://plants.usda.gov/java/profile?symbol=CYSQ" TargetMode="External"/><Relationship Id="rId2440" Type="http://schemas.openxmlformats.org/officeDocument/2006/relationships/hyperlink" Target="https://plants.usda.gov/core/profile?symbol=LOFO2" TargetMode="External"/><Relationship Id="rId5389" Type="http://schemas.openxmlformats.org/officeDocument/2006/relationships/hyperlink" Target="https://en.wikipedia.org/wiki/Scutellaria_lateriflora" TargetMode="External"/><Relationship Id="rId5596" Type="http://schemas.openxmlformats.org/officeDocument/2006/relationships/hyperlink" Target="http://www.burkemuseum.org/research-and-collections/botany-and-herbarium/collections/database/results.php?Genus=Carex&amp;Species=pellita&amp;SourcePage=search.php&amp;IncludeSynonyms=Y&amp;SortBy=DESC&amp;SortOrder=Year" TargetMode="External"/><Relationship Id="rId6647" Type="http://schemas.openxmlformats.org/officeDocument/2006/relationships/hyperlink" Target="http://biology.burke.washington.edu/herbarium/imagecollectionnew/taxon.php?Taxon=Silene%20menziesii" TargetMode="External"/><Relationship Id="rId6854" Type="http://schemas.openxmlformats.org/officeDocument/2006/relationships/hyperlink" Target="http://biology.burke.washington.edu/herbarium/imagecollectionnew/taxon.php?Taxon=Arabis%20eschscholtziana" TargetMode="External"/><Relationship Id="rId205" Type="http://schemas.openxmlformats.org/officeDocument/2006/relationships/hyperlink" Target="http://biology.burke.washington.edu/herbarium/imagecollection/taxon.php?Taxon=Potentilla%20gracilis" TargetMode="External"/><Relationship Id="rId412" Type="http://schemas.openxmlformats.org/officeDocument/2006/relationships/hyperlink" Target="http://biology.burke.washington.edu/herbarium/imagecollectionnew/taxon.php?Taxon=Cirsium%20edule" TargetMode="External"/><Relationship Id="rId1042" Type="http://schemas.openxmlformats.org/officeDocument/2006/relationships/hyperlink" Target="https://en.wikipedia.org/wiki/Aconitum_columbianum" TargetMode="External"/><Relationship Id="rId2300" Type="http://schemas.openxmlformats.org/officeDocument/2006/relationships/hyperlink" Target="http://plants.usda.gov/java/profile?symbol=CAST10" TargetMode="External"/><Relationship Id="rId4198" Type="http://schemas.openxmlformats.org/officeDocument/2006/relationships/hyperlink" Target="https://plants.usda.gov/core/profile?symbol=pegr2" TargetMode="External"/><Relationship Id="rId5249" Type="http://schemas.openxmlformats.org/officeDocument/2006/relationships/hyperlink" Target="https://en.wikipedia.org/wiki/Poa_unilateralis" TargetMode="External"/><Relationship Id="rId5456" Type="http://schemas.openxmlformats.org/officeDocument/2006/relationships/hyperlink" Target="https://en.wikipedia.org/wiki/Thelypteris_quelpaertensis" TargetMode="External"/><Relationship Id="rId5663" Type="http://schemas.openxmlformats.org/officeDocument/2006/relationships/hyperlink" Target="http://www.burkemuseum.org/research-and-collections/botany-and-herbarium/collections/database/results.php?Genus=Cornus&amp;Species=unalaschkensis&amp;SourcePage=search.php&amp;IncludeSynonyms=Y&amp;SortBy=DESC&amp;SortOrder=Year" TargetMode="External"/><Relationship Id="rId6507" Type="http://schemas.openxmlformats.org/officeDocument/2006/relationships/hyperlink" Target="http://biology.burke.washington.edu/herbarium/imagecollectionnew/taxon.php?Taxon=Microsteris%20gracilis" TargetMode="External"/><Relationship Id="rId1999" Type="http://schemas.openxmlformats.org/officeDocument/2006/relationships/hyperlink" Target="http://plants.usda.gov/java/profile?symbol=MYMI2" TargetMode="External"/><Relationship Id="rId4058" Type="http://schemas.openxmlformats.org/officeDocument/2006/relationships/hyperlink" Target="https://plants.usda.gov/core/profile?symbol=LANE3" TargetMode="External"/><Relationship Id="rId4265" Type="http://schemas.openxmlformats.org/officeDocument/2006/relationships/hyperlink" Target="https://plants.usda.gov/core/profile?symbol=PONA4" TargetMode="External"/><Relationship Id="rId4472" Type="http://schemas.openxmlformats.org/officeDocument/2006/relationships/hyperlink" Target="https://plants.usda.gov/core/profile?symbol=TRMA20" TargetMode="External"/><Relationship Id="rId5109" Type="http://schemas.openxmlformats.org/officeDocument/2006/relationships/hyperlink" Target="https://en.wikipedia.org/wiki/Lycopodiella_inundata" TargetMode="External"/><Relationship Id="rId5316" Type="http://schemas.openxmlformats.org/officeDocument/2006/relationships/hyperlink" Target="https://en.wikipedia.org/wiki/Ribes_aureum" TargetMode="External"/><Relationship Id="rId5870" Type="http://schemas.openxmlformats.org/officeDocument/2006/relationships/hyperlink" Target="http://www.burkemuseum.org/research-and-collections/botany-and-herbarium/collections/database/results.php?Genus=Leptosiphon&amp;Species=bicolor&amp;SourcePage=search.php&amp;IncludeSynonyms=Y&amp;SortBy=DESC&amp;SortOrder=Year" TargetMode="External"/><Relationship Id="rId6714" Type="http://schemas.openxmlformats.org/officeDocument/2006/relationships/hyperlink" Target="http://biology.burke.washington.edu/herbarium/imagecollection/taxon.php?Taxon=Navarretia%20intertexta" TargetMode="External"/><Relationship Id="rId6921" Type="http://schemas.openxmlformats.org/officeDocument/2006/relationships/hyperlink" Target="http://biology.burke.washington.edu/herbarium/imagecollection/taxon.php?Taxon=Orthocarpus%20bracteosus" TargetMode="External"/><Relationship Id="rId1859" Type="http://schemas.openxmlformats.org/officeDocument/2006/relationships/hyperlink" Target="https://plants.usda.gov/core/profile?symbol=RUMA4" TargetMode="External"/><Relationship Id="rId3074" Type="http://schemas.openxmlformats.org/officeDocument/2006/relationships/hyperlink" Target="http://www.burkemuseum.org/research-and-collections/botany-and-herbarium/collections/database/results.php?Genus=Lasthenia&amp;Species=maritima&amp;SourcePage=search.php&amp;IncludeSynonyms=Y&amp;SortBy=DESC&amp;SortOrder=Year" TargetMode="External"/><Relationship Id="rId4125" Type="http://schemas.openxmlformats.org/officeDocument/2006/relationships/hyperlink" Target="https://plants.usda.gov/core/profile?symbol=MAST" TargetMode="External"/><Relationship Id="rId5523" Type="http://schemas.openxmlformats.org/officeDocument/2006/relationships/hyperlink" Target="https://en.wikipedia.org/wiki/Wyethia_angustifolia" TargetMode="External"/><Relationship Id="rId5730" Type="http://schemas.openxmlformats.org/officeDocument/2006/relationships/hyperlink" Target="http://www.burkemuseum.org/research-and-collections/botany-and-herbarium/collections/database/results.php?Genus=Erigeron&amp;Species=compositus&amp;SourcePage=search.php&amp;IncludeSynonyms=Y&amp;SortBy=DESC&amp;SortOrder=Year" TargetMode="External"/><Relationship Id="rId1719" Type="http://schemas.openxmlformats.org/officeDocument/2006/relationships/hyperlink" Target="http://plants.usda.gov/java/profile?symbol=VIAD" TargetMode="External"/><Relationship Id="rId1926" Type="http://schemas.openxmlformats.org/officeDocument/2006/relationships/hyperlink" Target="http://plants.usda.gov/java/profile?symbol=POCA25" TargetMode="External"/><Relationship Id="rId3281" Type="http://schemas.openxmlformats.org/officeDocument/2006/relationships/hyperlink" Target="http://www.burkemuseum.org/research-and-collections/botany-and-herbarium/collections/database/results.php?Genus=Ribes&amp;Species=cereum&amp;SourcePage=search.php&amp;IncludeSynonyms=Y&amp;SortBy=DESC&amp;SortOrder=Year" TargetMode="External"/><Relationship Id="rId4332" Type="http://schemas.openxmlformats.org/officeDocument/2006/relationships/hyperlink" Target="https://plants.usda.gov/core/profile?symbol=RULA2" TargetMode="External"/><Relationship Id="rId2090" Type="http://schemas.openxmlformats.org/officeDocument/2006/relationships/hyperlink" Target="http://plants.usda.gov/java/profile?symbol=JUSU3" TargetMode="External"/><Relationship Id="rId3141" Type="http://schemas.openxmlformats.org/officeDocument/2006/relationships/hyperlink" Target="http://www.burkemuseum.org/research-and-collections/botany-and-herbarium/collections/database/results.php?Genus=Micranthes&amp;Species=tischii&amp;SourcePage=search.php&amp;IncludeSynonyms=Y&amp;SortBy=DESC&amp;SortOrder=Year" TargetMode="External"/><Relationship Id="rId6297" Type="http://schemas.openxmlformats.org/officeDocument/2006/relationships/hyperlink" Target="http://www.burkemuseum.org/research-and-collections/botany-and-herbarium/collections/database/results.php?Genus=Vancouveria&amp;Species=hexandra&amp;SourcePage=search.php&amp;IncludeSynonyms=Y&amp;SortBy=DESC&amp;SortOrder=Year" TargetMode="External"/><Relationship Id="rId3001" Type="http://schemas.openxmlformats.org/officeDocument/2006/relationships/hyperlink" Target="http://www.burkemuseum.org/research-and-collections/botany-and-herbarium/collections/database/results.php?Genus=Fritillaria&amp;Species=camschatcensis&amp;SourcePage=search.php&amp;IncludeSynonyms=Y&amp;SortBy=DESC&amp;SortOrder=Year" TargetMode="External"/><Relationship Id="rId3958" Type="http://schemas.openxmlformats.org/officeDocument/2006/relationships/hyperlink" Target="https://plants.usda.gov/core/profile?symbol=FRCH" TargetMode="External"/><Relationship Id="rId6157" Type="http://schemas.openxmlformats.org/officeDocument/2006/relationships/hyperlink" Target="http://www.burkemuseum.org/research-and-collections/botany-and-herbarium/collections/database/results.php?Genus=Salix&amp;Species=lasiandra&amp;SourcePage=search.php&amp;IncludeSynonyms=Y&amp;SortBy=DESC&amp;SortOrder=Year" TargetMode="External"/><Relationship Id="rId6364" Type="http://schemas.openxmlformats.org/officeDocument/2006/relationships/hyperlink" Target="http://biology.burke.washington.edu/herbarium/imagecollectionnew/taxon.php?Taxon=Ambrosia%20chamissonis" TargetMode="External"/><Relationship Id="rId6571" Type="http://schemas.openxmlformats.org/officeDocument/2006/relationships/hyperlink" Target="http://biology.burke.washington.edu/herbarium/imagecollection/taxon.php?Taxon=Lysichiton%20americanus" TargetMode="External"/><Relationship Id="rId7208" Type="http://schemas.openxmlformats.org/officeDocument/2006/relationships/hyperlink" Target="http://biology.burke.washington.edu/herbarium/imagecollection/taxon.php?Taxon=Pyrola%20chlorantha" TargetMode="External"/><Relationship Id="rId879" Type="http://schemas.openxmlformats.org/officeDocument/2006/relationships/hyperlink" Target="http://en.wikipedia.org/wiki/Corallorhiza_maculata" TargetMode="External"/><Relationship Id="rId2767" Type="http://schemas.openxmlformats.org/officeDocument/2006/relationships/hyperlink" Target="http://www.burkemuseum.org/research-and-collections/botany-and-herbarium/collections/database/results.php?Genus=Arceuthobium&amp;Species=tsugense&amp;SourcePage=search.php&amp;IncludeSynonyms=Y&amp;SortBy=DESC&amp;SortOrder=Year" TargetMode="External"/><Relationship Id="rId5173" Type="http://schemas.openxmlformats.org/officeDocument/2006/relationships/hyperlink" Target="https://en.wikipedia.org/wiki/Nuphar_polysepala" TargetMode="External"/><Relationship Id="rId5380" Type="http://schemas.openxmlformats.org/officeDocument/2006/relationships/hyperlink" Target="https://en.wikipedia.org/wiki/Scheuchzeria_palustris" TargetMode="External"/><Relationship Id="rId6017" Type="http://schemas.openxmlformats.org/officeDocument/2006/relationships/hyperlink" Target="http://www.burkemuseum.org/research-and-collections/botany-and-herbarium/collections/database/results.php?Genus=Philadelphus&amp;Species=lewisii&amp;SourcePage=search.php&amp;IncludeSynonyms=Y&amp;SortBy=DESC&amp;SortOrder=Year" TargetMode="External"/><Relationship Id="rId6224" Type="http://schemas.openxmlformats.org/officeDocument/2006/relationships/hyperlink" Target="http://www.burkemuseum.org/research-and-collections/botany-and-herbarium/collections/database/results.php?Genus=Spiraea&amp;Species=lucida&amp;SourcePage=search.php&amp;IncludeSynonyms=Y&amp;SortBy=DESC&amp;SortOrder=Year" TargetMode="External"/><Relationship Id="rId6431" Type="http://schemas.openxmlformats.org/officeDocument/2006/relationships/hyperlink" Target="http://biology.burke.washington.edu/herbarium/imagecollectionnew/taxon.php?Taxon=Chrysolepis%20chrysophylla" TargetMode="External"/><Relationship Id="rId739" Type="http://schemas.openxmlformats.org/officeDocument/2006/relationships/hyperlink" Target="https://en.wikipedia.org/wiki/Distichlis_spicata" TargetMode="External"/><Relationship Id="rId1369" Type="http://schemas.openxmlformats.org/officeDocument/2006/relationships/hyperlink" Target="http://biology.burke.washington.edu/herbarium/imagecollection/taxon.php?Taxon=Lupinus%20albicaulis" TargetMode="External"/><Relationship Id="rId1576" Type="http://schemas.openxmlformats.org/officeDocument/2006/relationships/hyperlink" Target="http://en.wikipedia.org/wiki/Camassia_leichtlinii" TargetMode="External"/><Relationship Id="rId2974" Type="http://schemas.openxmlformats.org/officeDocument/2006/relationships/hyperlink" Target="http://www.burkemuseum.org/research-and-collections/botany-and-herbarium/collections/database/results.php?Genus=Erigeron&amp;Species=philadelphicus&amp;SourcePage=search.php&amp;IncludeSynonyms=Y&amp;SortBy=DESC&amp;SortOrder=Year" TargetMode="External"/><Relationship Id="rId3818" Type="http://schemas.openxmlformats.org/officeDocument/2006/relationships/hyperlink" Target="https://plants.usda.gov/core/profile?symbol=CHANA2" TargetMode="External"/><Relationship Id="rId5033" Type="http://schemas.openxmlformats.org/officeDocument/2006/relationships/hyperlink" Target="https://en.wikipedia.org/wiki/Hydrocotyle_ranunculoides" TargetMode="External"/><Relationship Id="rId5240" Type="http://schemas.openxmlformats.org/officeDocument/2006/relationships/hyperlink" Target="https://en.wikipedia.org/wiki/Platanthera_unalascensis" TargetMode="External"/><Relationship Id="rId946" Type="http://schemas.openxmlformats.org/officeDocument/2006/relationships/hyperlink" Target="http://en.wikipedia.org/wiki/Carex_amplifolia" TargetMode="External"/><Relationship Id="rId1229" Type="http://schemas.openxmlformats.org/officeDocument/2006/relationships/hyperlink" Target="https://en.wikipedia.org/wiki/Bolandra" TargetMode="External"/><Relationship Id="rId1783" Type="http://schemas.openxmlformats.org/officeDocument/2006/relationships/hyperlink" Target="http://plants.usda.gov/java/profile?symbol=STLO" TargetMode="External"/><Relationship Id="rId1990" Type="http://schemas.openxmlformats.org/officeDocument/2006/relationships/hyperlink" Target="http://plants.usda.gov/java/profile?symbol=NAIN2" TargetMode="External"/><Relationship Id="rId2627" Type="http://schemas.openxmlformats.org/officeDocument/2006/relationships/hyperlink" Target="http://biology.burke.washington.edu/herbarium/imagecollection/taxon.php?Taxon=Rubus%20idaeus" TargetMode="External"/><Relationship Id="rId2834" Type="http://schemas.openxmlformats.org/officeDocument/2006/relationships/hyperlink" Target="http://www.burkemuseum.org/research-and-collections/botany-and-herbarium/collections/database/results.php?Genus=Carex&amp;Species=circinata&amp;SourcePage=search.php&amp;IncludeSynonyms=Y&amp;SortBy=DESC&amp;SortOrder=Year" TargetMode="External"/><Relationship Id="rId5100" Type="http://schemas.openxmlformats.org/officeDocument/2006/relationships/hyperlink" Target="https://en.wikipedia.org/wiki/Lupinus_lepidus" TargetMode="External"/><Relationship Id="rId75" Type="http://schemas.openxmlformats.org/officeDocument/2006/relationships/hyperlink" Target="http://biology.burke.washington.edu/herbarium/imagecollection/taxon.php?Taxon=Lupinus%20bicolor" TargetMode="External"/><Relationship Id="rId806" Type="http://schemas.openxmlformats.org/officeDocument/2006/relationships/hyperlink" Target="https://en.wikipedia.org/wiki/Picea_engelmannii" TargetMode="External"/><Relationship Id="rId1436" Type="http://schemas.openxmlformats.org/officeDocument/2006/relationships/hyperlink" Target="http://biology.burke.washington.edu/herbarium/imagecollectionnew/taxon.php?Taxon=Callitropsis%20nootkatensis" TargetMode="External"/><Relationship Id="rId1643" Type="http://schemas.openxmlformats.org/officeDocument/2006/relationships/hyperlink" Target="http://biology.burke.washington.edu/herbarium/imagecollectionnew/taxon.php?Taxon=Marah%20oregana" TargetMode="External"/><Relationship Id="rId1850" Type="http://schemas.openxmlformats.org/officeDocument/2006/relationships/hyperlink" Target="http://plants.usda.gov/core/profile?symbol=SABE2" TargetMode="External"/><Relationship Id="rId2901" Type="http://schemas.openxmlformats.org/officeDocument/2006/relationships/hyperlink" Target="http://www.burkemuseum.org/research-and-collections/botany-and-herbarium/collections/database/results.php?Genus=Collomia&amp;Species=heterophylla&amp;SourcePage=search.php&amp;IncludeSynonyms=Y&amp;SortBy=DESC&amp;SortOrder=Year" TargetMode="External"/><Relationship Id="rId4799" Type="http://schemas.openxmlformats.org/officeDocument/2006/relationships/hyperlink" Target="https://en.wikipedia.org/wiki/Carex_pachystachya" TargetMode="External"/><Relationship Id="rId7065" Type="http://schemas.openxmlformats.org/officeDocument/2006/relationships/hyperlink" Target="http://biology.burke.washington.edu/herbarium/imagecollectionnew/taxon.php?Taxon=Toxicoscordion%20venenosum" TargetMode="External"/><Relationship Id="rId1503" Type="http://schemas.openxmlformats.org/officeDocument/2006/relationships/hyperlink" Target="https://en.wikipedia.org/wiki/Salix_sessilifolia" TargetMode="External"/><Relationship Id="rId1710" Type="http://schemas.openxmlformats.org/officeDocument/2006/relationships/hyperlink" Target="http://plants.usda.gov/java/profile?symbol=XETE" TargetMode="External"/><Relationship Id="rId4659" Type="http://schemas.openxmlformats.org/officeDocument/2006/relationships/hyperlink" Target="http://www.burkemuseum.org/research-and-collections/botany-and-herbarium/collections/database/results.php?Genus=Baccharis&amp;Species=pilularis&amp;SourcePage=search.php&amp;IncludeSynonyms=Y&amp;SortBy=DESC&amp;SortOrder=Year" TargetMode="External"/><Relationship Id="rId4866" Type="http://schemas.openxmlformats.org/officeDocument/2006/relationships/hyperlink" Target="https://en.wikipedia.org/wiki/Corallorhiza_striata" TargetMode="External"/><Relationship Id="rId5917" Type="http://schemas.openxmlformats.org/officeDocument/2006/relationships/hyperlink" Target="http://www.burkemuseum.org/research-and-collections/botany-and-herbarium/collections/database/results.php?Genus=Madia&amp;Species=glomerata&amp;SourcePage=search.php&amp;IncludeSynonyms=Y&amp;SortBy=DESC&amp;SortOrder=Year" TargetMode="External"/><Relationship Id="rId3468" Type="http://schemas.openxmlformats.org/officeDocument/2006/relationships/hyperlink" Target="http://www.burkemuseum.org/research-and-collections/botany-and-herbarium/collections/database/results.php?Genus=Betula&amp;Species=pumila&amp;SourcePage=search.php&amp;IncludeSynonyms=Y&amp;SortBy=DESC&amp;SortOrder=Year" TargetMode="External"/><Relationship Id="rId3675" Type="http://schemas.openxmlformats.org/officeDocument/2006/relationships/hyperlink" Target="https://www.plants.usda.gov/core/profile?symbol=ANHO" TargetMode="External"/><Relationship Id="rId3882" Type="http://schemas.openxmlformats.org/officeDocument/2006/relationships/hyperlink" Target="https://plants.usda.gov/core/profile?symbol=DEGL3" TargetMode="External"/><Relationship Id="rId4519" Type="http://schemas.openxmlformats.org/officeDocument/2006/relationships/hyperlink" Target="https://plants.usda.gov/core/profile?symbol=VISE3" TargetMode="External"/><Relationship Id="rId4726" Type="http://schemas.openxmlformats.org/officeDocument/2006/relationships/hyperlink" Target="https://en.wikipedia.org/wiki/Baccharis_pilularis" TargetMode="External"/><Relationship Id="rId4933" Type="http://schemas.openxmlformats.org/officeDocument/2006/relationships/hyperlink" Target="https://en.wikipedia.org/wiki/Epilobium_torreyi" TargetMode="External"/><Relationship Id="rId6081" Type="http://schemas.openxmlformats.org/officeDocument/2006/relationships/hyperlink" Target="http://www.burkemuseum.org/research-and-collections/botany-and-herbarium/collections/database/results.php?Genus=Prunus&amp;Species=emarginata&amp;SourcePage=search.php&amp;IncludeSynonyms=Y&amp;SortBy=DESC&amp;SortOrder=Year" TargetMode="External"/><Relationship Id="rId7132" Type="http://schemas.openxmlformats.org/officeDocument/2006/relationships/hyperlink" Target="http://biology.burke.washington.edu/herbarium/imagecollectionnew/taxon.php?Taxon=Sisyrinchium%20idahoense" TargetMode="External"/><Relationship Id="rId389" Type="http://schemas.openxmlformats.org/officeDocument/2006/relationships/hyperlink" Target="http://biology.burke.washington.edu/herbarium/imagecollectionnew/taxon.php?Taxon=Corallorhiza%20trifida" TargetMode="External"/><Relationship Id="rId596" Type="http://schemas.openxmlformats.org/officeDocument/2006/relationships/hyperlink" Target="https://en.wikipedia.org/wiki/Sequoiadendron_giganteum" TargetMode="External"/><Relationship Id="rId2277" Type="http://schemas.openxmlformats.org/officeDocument/2006/relationships/hyperlink" Target="http://plants.usda.gov/java/profile?symbol=CHCH7" TargetMode="External"/><Relationship Id="rId2484" Type="http://schemas.openxmlformats.org/officeDocument/2006/relationships/hyperlink" Target="http://plants.usda.gov/java/profile?symbol=RISA" TargetMode="External"/><Relationship Id="rId2691" Type="http://schemas.openxmlformats.org/officeDocument/2006/relationships/hyperlink" Target="http://biology.burke.washington.edu/herbarium/imagecollectionnew/taxon.php?Taxon=Sparganium%20angustifolium" TargetMode="External"/><Relationship Id="rId3328" Type="http://schemas.openxmlformats.org/officeDocument/2006/relationships/hyperlink" Target="http://www.burkemuseum.org/research-and-collections/botany-and-herbarium/collections/database/results.php?Genus=Saxifraga&amp;Species=cespitosa&amp;SourcePage=search.php&amp;IncludeSynonyms=Y&amp;SortBy=DESC&amp;SortOrder=Year" TargetMode="External"/><Relationship Id="rId3535" Type="http://schemas.openxmlformats.org/officeDocument/2006/relationships/hyperlink" Target="http://www.burkemuseum.org/research-and-collections/botany-and-herbarium/collections/database/results.php?Genus=Myrica&amp;Species=californica&amp;SourcePage=search.php&amp;IncludeSynonyms=Y&amp;SortBy=DESC&amp;SortOrder=Year" TargetMode="External"/><Relationship Id="rId3742" Type="http://schemas.openxmlformats.org/officeDocument/2006/relationships/hyperlink" Target="https://plants.usda.gov/core/profile?symbol=CAST36" TargetMode="External"/><Relationship Id="rId6898" Type="http://schemas.openxmlformats.org/officeDocument/2006/relationships/hyperlink" Target="http://biology.burke.washington.edu/herbarium/imagecollection/taxon.php?Taxon=Pyrola%20asarifolia" TargetMode="External"/><Relationship Id="rId249" Type="http://schemas.openxmlformats.org/officeDocument/2006/relationships/hyperlink" Target="http://biology.burke.washington.edu/herbarium/imagecollection/taxon.php?Taxon=Pyrola%20picta" TargetMode="External"/><Relationship Id="rId456" Type="http://schemas.openxmlformats.org/officeDocument/2006/relationships/hyperlink" Target="http://biology.burke.washington.edu/herbarium/imagecollectionnew/taxon.php?Taxon=Danthonia%20spicata" TargetMode="External"/><Relationship Id="rId663" Type="http://schemas.openxmlformats.org/officeDocument/2006/relationships/hyperlink" Target="https://en.wikipedia.org/wiki/Ranunculus_flammula" TargetMode="External"/><Relationship Id="rId870" Type="http://schemas.openxmlformats.org/officeDocument/2006/relationships/hyperlink" Target="http://en.wikipedia.org/wiki/Madia_gracilis" TargetMode="External"/><Relationship Id="rId1086" Type="http://schemas.openxmlformats.org/officeDocument/2006/relationships/hyperlink" Target="https://en.wikipedia.org/wiki/Linum_lewisii" TargetMode="External"/><Relationship Id="rId1293" Type="http://schemas.openxmlformats.org/officeDocument/2006/relationships/hyperlink" Target="http://biology.burke.washington.edu/herbarium/imagecollectionnew/taxon.php?Taxon=Sidalcea%20hirtipes" TargetMode="External"/><Relationship Id="rId2137" Type="http://schemas.openxmlformats.org/officeDocument/2006/relationships/hyperlink" Target="http://plants.usda.gov/java/profile?symbol=GISP3" TargetMode="External"/><Relationship Id="rId2344" Type="http://schemas.openxmlformats.org/officeDocument/2006/relationships/hyperlink" Target="https://plants.usda.gov/core/profile?symbol=CAST36" TargetMode="External"/><Relationship Id="rId2551" Type="http://schemas.openxmlformats.org/officeDocument/2006/relationships/hyperlink" Target="https://plants.usda.gov/core/profile?symbol=GRHI" TargetMode="External"/><Relationship Id="rId109" Type="http://schemas.openxmlformats.org/officeDocument/2006/relationships/hyperlink" Target="http://biology.burke.washington.edu/herbarium/imagecollection/taxon.php?Taxon=Nemophila%20pedunculata" TargetMode="External"/><Relationship Id="rId316" Type="http://schemas.openxmlformats.org/officeDocument/2006/relationships/hyperlink" Target="http://biology.burke.washington.edu/herbarium/imagecollectionnew/taxon.php?Taxon=Bidens%20beckii" TargetMode="External"/><Relationship Id="rId523" Type="http://schemas.openxmlformats.org/officeDocument/2006/relationships/hyperlink" Target="https://en.wikipedia.org/wiki/Vaccinium_oxycoccos" TargetMode="External"/><Relationship Id="rId1153" Type="http://schemas.openxmlformats.org/officeDocument/2006/relationships/hyperlink" Target="https://en.wikipedia.org/wiki/Geranium_oreganum" TargetMode="External"/><Relationship Id="rId2204" Type="http://schemas.openxmlformats.org/officeDocument/2006/relationships/hyperlink" Target="https://plants.usda.gov/core/profile?symbol=ELEN" TargetMode="External"/><Relationship Id="rId3602" Type="http://schemas.openxmlformats.org/officeDocument/2006/relationships/hyperlink" Target="http://www.burkemuseum.org/research-and-collections/botany-and-herbarium/collections/database/results.php?Genus=Toxicodendron&amp;Species=diversilobum&amp;SourcePage=search.php&amp;IncludeSynonyms=Y&amp;SortBy=DESC&amp;SortOrder=Year" TargetMode="External"/><Relationship Id="rId6758" Type="http://schemas.openxmlformats.org/officeDocument/2006/relationships/hyperlink" Target="http://biology.burke.washington.edu/herbarium/imagecollection/taxon.php?Taxon=Juncus%20alpinoarticulatus" TargetMode="External"/><Relationship Id="rId6965" Type="http://schemas.openxmlformats.org/officeDocument/2006/relationships/hyperlink" Target="http://biology.burke.washington.edu/herbarium/imagecollection/taxon.php?Taxon=Heterotheca%20villosa" TargetMode="External"/><Relationship Id="rId730" Type="http://schemas.openxmlformats.org/officeDocument/2006/relationships/hyperlink" Target="https://en.wikipedia.org/wiki/Eleocharis_acicularis" TargetMode="External"/><Relationship Id="rId1013" Type="http://schemas.openxmlformats.org/officeDocument/2006/relationships/hyperlink" Target="http://en.wikipedia.org/wiki/Angelica_genuflexa" TargetMode="External"/><Relationship Id="rId1360" Type="http://schemas.openxmlformats.org/officeDocument/2006/relationships/hyperlink" Target="http://biology.burke.washington.edu/herbarium/imagecollection/taxon.php?Taxon=Lonicera%20hispidula" TargetMode="External"/><Relationship Id="rId2411" Type="http://schemas.openxmlformats.org/officeDocument/2006/relationships/hyperlink" Target="http://plants.usda.gov/java/profile?symbol=AMALH" TargetMode="External"/><Relationship Id="rId4169" Type="http://schemas.openxmlformats.org/officeDocument/2006/relationships/hyperlink" Target="https://plants.usda.gov/core/profile?symbol=NONE3" TargetMode="External"/><Relationship Id="rId5567" Type="http://schemas.openxmlformats.org/officeDocument/2006/relationships/hyperlink" Target="http://www.burkemuseum.org/research-and-collections/botany-and-herbarium/collections/database/results.php?Genus=Cardamine&amp;Species=oligosperma&amp;SourcePage=search.php&amp;IncludeSynonyms=Y&amp;SortBy=DESC&amp;SortOrder=Year" TargetMode="External"/><Relationship Id="rId5774" Type="http://schemas.openxmlformats.org/officeDocument/2006/relationships/hyperlink" Target="http://www.burkemuseum.org/research-and-collections/botany-and-herbarium/collections/database/results.php?Genus=Gaultheria&amp;Species=shallon&amp;SourcePage=search.php&amp;IncludeSynonyms=Y&amp;SortBy=DESC&amp;SortOrder=Year" TargetMode="External"/><Relationship Id="rId5981" Type="http://schemas.openxmlformats.org/officeDocument/2006/relationships/hyperlink" Target="http://www.burkemuseum.org/research-and-collections/botany-and-herbarium/collections/database/results.php?Genus=Orthilia&amp;Species=secunda&amp;SourcePage=search.php&amp;IncludeSynonyms=Y&amp;SortBy=DESC&amp;SortOrder=Year" TargetMode="External"/><Relationship Id="rId6618" Type="http://schemas.openxmlformats.org/officeDocument/2006/relationships/hyperlink" Target="http://biology.burke.washington.edu/herbarium/imagecollectionnew/taxon.php?Taxon=Utricularia%20intermedia" TargetMode="External"/><Relationship Id="rId6825" Type="http://schemas.openxmlformats.org/officeDocument/2006/relationships/hyperlink" Target="http://biology.burke.washington.edu/herbarium/imagecollectionnew/taxon.php?Taxon=Carex%20praticola" TargetMode="External"/><Relationship Id="rId1220" Type="http://schemas.openxmlformats.org/officeDocument/2006/relationships/hyperlink" Target="http://biology.burke.washington.edu/herbarium/imagecollection/taxon.php?Taxon=Mentha%20spicata" TargetMode="External"/><Relationship Id="rId4376" Type="http://schemas.openxmlformats.org/officeDocument/2006/relationships/hyperlink" Target="https://plants.usda.gov/core/profile?symbol=SAPE11" TargetMode="External"/><Relationship Id="rId4583" Type="http://schemas.openxmlformats.org/officeDocument/2006/relationships/hyperlink" Target="http://www.burkemuseum.org/research-and-collections/botany-and-herbarium/collections/database/results.php?Genus=Achlys&amp;Species=triphylla&amp;SourcePage=search.php&amp;IncludeSynonyms=Y&amp;SortBy=DESC&amp;SortOrder=Year" TargetMode="External"/><Relationship Id="rId4790" Type="http://schemas.openxmlformats.org/officeDocument/2006/relationships/hyperlink" Target="https://en.wikipedia.org/wiki/Carex_interrupta" TargetMode="External"/><Relationship Id="rId5427" Type="http://schemas.openxmlformats.org/officeDocument/2006/relationships/hyperlink" Target="https://en.wikipedia.org/wiki/Spiranthes_porrifolia" TargetMode="External"/><Relationship Id="rId5634" Type="http://schemas.openxmlformats.org/officeDocument/2006/relationships/hyperlink" Target="http://www.burkemuseum.org/research-and-collections/botany-and-herbarium/collections/database/results.php?Genus=Cirsium&amp;Species=brevistylum&amp;SourcePage=search.php&amp;IncludeSynonyms=Y&amp;SortBy=DESC&amp;SortOrder=Year" TargetMode="External"/><Relationship Id="rId5841" Type="http://schemas.openxmlformats.org/officeDocument/2006/relationships/hyperlink" Target="http://www.burkemuseum.org/research-and-collections/botany-and-herbarium/collections/database/results.php?Genus=Juncus&amp;Species=mertensianus&amp;SourcePage=search.php&amp;IncludeSynonyms=Y&amp;SortBy=DESC&amp;SortOrder=Year" TargetMode="External"/><Relationship Id="rId3185" Type="http://schemas.openxmlformats.org/officeDocument/2006/relationships/hyperlink" Target="http://www.burkemuseum.org/research-and-collections/botany-and-herbarium/collections/database/results.php?Genus=Parnassia&amp;Species=cirrata&amp;SourcePage=search.php&amp;IncludeSynonyms=Y&amp;SortBy=DESC&amp;SortOrder=Year" TargetMode="External"/><Relationship Id="rId3392" Type="http://schemas.openxmlformats.org/officeDocument/2006/relationships/hyperlink" Target="http://www.burkemuseum.org/research-and-collections/botany-and-herbarium/collections/database/results.php?Genus=Thelypteris&amp;Species=quelpaertensis&amp;SourcePage=search.php&amp;IncludeSynonyms=Y&amp;SortBy=DESC&amp;SortOrder=Year" TargetMode="External"/><Relationship Id="rId4029" Type="http://schemas.openxmlformats.org/officeDocument/2006/relationships/hyperlink" Target="https://plants.usda.gov/core/profile?symbol=IRTE" TargetMode="External"/><Relationship Id="rId4236" Type="http://schemas.openxmlformats.org/officeDocument/2006/relationships/hyperlink" Target="https://plants.usda.gov/core/profile?symbol=PIUN3" TargetMode="External"/><Relationship Id="rId4443" Type="http://schemas.openxmlformats.org/officeDocument/2006/relationships/hyperlink" Target="https://plants.usda.gov/core/profile?symbol=SYAL" TargetMode="External"/><Relationship Id="rId4650" Type="http://schemas.openxmlformats.org/officeDocument/2006/relationships/hyperlink" Target="http://www.burkemuseum.org/research-and-collections/botany-and-herbarium/collections/database/results.php?Genus=Artemisia&amp;Species=suksdorfii&amp;SourcePage=search.php&amp;IncludeSynonyms=Y&amp;SortBy=DESC&amp;SortOrder=Year" TargetMode="External"/><Relationship Id="rId5701" Type="http://schemas.openxmlformats.org/officeDocument/2006/relationships/hyperlink" Target="http://www.burkemuseum.org/research-and-collections/botany-and-herbarium/collections/database/results.php?Genus=Draba&amp;Species=cana&amp;SourcePage=search.php&amp;IncludeSynonyms=Y&amp;SortBy=DESC&amp;SortOrder=Year" TargetMode="External"/><Relationship Id="rId3045" Type="http://schemas.openxmlformats.org/officeDocument/2006/relationships/hyperlink" Target="http://www.burkemuseum.org/research-and-collections/botany-and-herbarium/collections/database/results.php?Genus=Hordeum&amp;Species=jubatum&amp;SourcePage=search.php&amp;IncludeSynonyms=Y&amp;SortBy=DESC&amp;SortOrder=Year" TargetMode="External"/><Relationship Id="rId3252" Type="http://schemas.openxmlformats.org/officeDocument/2006/relationships/hyperlink" Target="http://www.burkemuseum.org/research-and-collections/botany-and-herbarium/collections/database/results.php?Genus=Prunella&amp;Species=vulgaris&amp;SourcePage=search.php&amp;IncludeSynonyms=Y&amp;SortBy=DESC&amp;SortOrder=Year" TargetMode="External"/><Relationship Id="rId4303" Type="http://schemas.openxmlformats.org/officeDocument/2006/relationships/hyperlink" Target="https://plants.usda.gov/core/profile?symbol=FRPU7" TargetMode="External"/><Relationship Id="rId4510" Type="http://schemas.openxmlformats.org/officeDocument/2006/relationships/hyperlink" Target="https://plants.usda.gov/core/profile?symbol=VINI81" TargetMode="External"/><Relationship Id="rId173" Type="http://schemas.openxmlformats.org/officeDocument/2006/relationships/hyperlink" Target="http://biology.burke.washington.edu/herbarium/imagecollection/taxon.php?Taxon=Koeleria%20macrantha" TargetMode="External"/><Relationship Id="rId380" Type="http://schemas.openxmlformats.org/officeDocument/2006/relationships/hyperlink" Target="http://biology.burke.washington.edu/herbarium/imagecollectionnew/taxon.php?Taxon=Cryptogramma%20acrostichoides" TargetMode="External"/><Relationship Id="rId2061" Type="http://schemas.openxmlformats.org/officeDocument/2006/relationships/hyperlink" Target="https://plants.usda.gov/core/profile?symbol=lile3" TargetMode="External"/><Relationship Id="rId3112" Type="http://schemas.openxmlformats.org/officeDocument/2006/relationships/hyperlink" Target="http://www.burkemuseum.org/research-and-collections/botany-and-herbarium/collections/database/results.php?Genus=Lupinus&amp;Species=polyphyllus&amp;SourcePage=search.php&amp;IncludeSynonyms=Y&amp;SortBy=DESC&amp;SortOrder=Year" TargetMode="External"/><Relationship Id="rId6268" Type="http://schemas.openxmlformats.org/officeDocument/2006/relationships/hyperlink" Target="http://www.burkemuseum.org/research-and-collections/botany-and-herbarium/collections/database/results.php?Genus=Trifolium&amp;Species=willdenovii&amp;SourcePage=search.php&amp;IncludeSynonyms=Y&amp;SortBy=DESC&amp;SortOrder=Year" TargetMode="External"/><Relationship Id="rId6475" Type="http://schemas.openxmlformats.org/officeDocument/2006/relationships/hyperlink" Target="http://biology.burke.washington.edu/herbarium/imagecollection/taxon.php?Taxon=Elymus%20elymoides" TargetMode="External"/><Relationship Id="rId6682" Type="http://schemas.openxmlformats.org/officeDocument/2006/relationships/hyperlink" Target="http://biology.burke.washington.edu/herbarium/imagecollection/taxon.php?Taxon=Potamogeton%20illinoensis" TargetMode="External"/><Relationship Id="rId240" Type="http://schemas.openxmlformats.org/officeDocument/2006/relationships/hyperlink" Target="http://biology.burke.washington.edu/herbarium/imagecollection/taxon.php?Taxon=Rudbeckia%20hirta" TargetMode="External"/><Relationship Id="rId5077" Type="http://schemas.openxmlformats.org/officeDocument/2006/relationships/hyperlink" Target="https://en.wikipedia.org/wiki/Leymus_mollis" TargetMode="External"/><Relationship Id="rId5284" Type="http://schemas.openxmlformats.org/officeDocument/2006/relationships/hyperlink" Target="https://en.wikipedia.org/wiki/Prunus_virginiana" TargetMode="External"/><Relationship Id="rId6128" Type="http://schemas.openxmlformats.org/officeDocument/2006/relationships/hyperlink" Target="http://www.burkemuseum.org/research-and-collections/botany-and-herbarium/collections/database/results.php?Genus=Rosa&amp;Species=nutkana&amp;SourcePage=search.php&amp;IncludeSynonyms=Y&amp;SortBy=DESC&amp;SortOrder=Year" TargetMode="External"/><Relationship Id="rId6335" Type="http://schemas.openxmlformats.org/officeDocument/2006/relationships/hyperlink" Target="https://plants.usda.gov/core/profile?symbol=POTR5" TargetMode="External"/><Relationship Id="rId100" Type="http://schemas.openxmlformats.org/officeDocument/2006/relationships/hyperlink" Target="http://biology.burke.washington.edu/herbarium/imagecollection/taxon.php?Taxon=Ophioglossum%20pusillum" TargetMode="External"/><Relationship Id="rId2878" Type="http://schemas.openxmlformats.org/officeDocument/2006/relationships/hyperlink" Target="http://www.burkemuseum.org/research-and-collections/botany-and-herbarium/collections/database/results.php?Genus=Chrysolepis&amp;Species=chrysophylla&amp;SourcePage=search.php&amp;IncludeSynonyms=Y&amp;SortBy=DESC&amp;SortOrder=Year" TargetMode="External"/><Relationship Id="rId3929" Type="http://schemas.openxmlformats.org/officeDocument/2006/relationships/hyperlink" Target="https://plants.usda.gov/core/profile?symbol=erco4" TargetMode="External"/><Relationship Id="rId4093" Type="http://schemas.openxmlformats.org/officeDocument/2006/relationships/hyperlink" Target="https://plants.usda.gov/core/profile?symbol=LUPE" TargetMode="External"/><Relationship Id="rId5144" Type="http://schemas.openxmlformats.org/officeDocument/2006/relationships/hyperlink" Target="https://en.wikipedia.org/wiki/Mitellastra_caulescens" TargetMode="External"/><Relationship Id="rId5491" Type="http://schemas.openxmlformats.org/officeDocument/2006/relationships/hyperlink" Target="https://en.wikipedia.org/wiki/Vaccinium_membranaceum" TargetMode="External"/><Relationship Id="rId6542" Type="http://schemas.openxmlformats.org/officeDocument/2006/relationships/hyperlink" Target="http://biology.burke.washington.edu/herbarium/imagecollection/taxon.php?Taxon=Juniperus%20occidentalis" TargetMode="External"/><Relationship Id="rId1687" Type="http://schemas.openxmlformats.org/officeDocument/2006/relationships/hyperlink" Target="https://en.wikipedia.org/wiki/Drymocallis_glandulosa" TargetMode="External"/><Relationship Id="rId1894" Type="http://schemas.openxmlformats.org/officeDocument/2006/relationships/hyperlink" Target="https://plants.usda.gov/core/profile?symbol=PYCO2" TargetMode="External"/><Relationship Id="rId2738" Type="http://schemas.openxmlformats.org/officeDocument/2006/relationships/hyperlink" Target="http://www.burkemuseum.org/research-and-collections/botany-and-herbarium/collections/database/results.php?Genus=Allium&amp;Species=schoenoprasum&amp;SourcePage=search.php&amp;IncludeSynonyms=Y&amp;SortBy=DESC&amp;SortOrder=Year" TargetMode="External"/><Relationship Id="rId2945" Type="http://schemas.openxmlformats.org/officeDocument/2006/relationships/hyperlink" Target="http://www.burkemuseum.org/research-and-collections/botany-and-herbarium/collections/database/results.php?Genus=Drosera&amp;Species=rotundifolia&amp;SourcePage=search.php&amp;IncludeSynonyms=Y&amp;SortBy=DESC&amp;SortOrder=Year" TargetMode="External"/><Relationship Id="rId5351" Type="http://schemas.openxmlformats.org/officeDocument/2006/relationships/hyperlink" Target="https://en.wikipedia.org/wiki/Salix_cascadensis" TargetMode="External"/><Relationship Id="rId6402" Type="http://schemas.openxmlformats.org/officeDocument/2006/relationships/hyperlink" Target="http://biology.burke.washington.edu/herbarium/imagecollectionnew/taxon.php?Taxon=Callitropsis%20nootkatensis" TargetMode="External"/><Relationship Id="rId917" Type="http://schemas.openxmlformats.org/officeDocument/2006/relationships/hyperlink" Target="https://en.wikipedia.org/wiki/Castilleja_miniata" TargetMode="External"/><Relationship Id="rId1547" Type="http://schemas.openxmlformats.org/officeDocument/2006/relationships/hyperlink" Target="https://en.wikipedia.org/wiki/Penstemon_serrulatus" TargetMode="External"/><Relationship Id="rId1754" Type="http://schemas.openxmlformats.org/officeDocument/2006/relationships/hyperlink" Target="http://plants.usda.gov/java/profile?symbol=TRVA" TargetMode="External"/><Relationship Id="rId1961" Type="http://schemas.openxmlformats.org/officeDocument/2006/relationships/hyperlink" Target="https://plants.usda.gov/core/profile?symbol=PEGAB" TargetMode="External"/><Relationship Id="rId2805" Type="http://schemas.openxmlformats.org/officeDocument/2006/relationships/hyperlink" Target="http://www.burkemuseum.org/research-and-collections/botany-and-herbarium/collections/database/results.php?Genus=Boykinia&amp;Species=intermedia&amp;SourcePage=search.php&amp;IncludeSynonyms=Y&amp;SortBy=DESC&amp;SortOrder=Year" TargetMode="External"/><Relationship Id="rId4160" Type="http://schemas.openxmlformats.org/officeDocument/2006/relationships/hyperlink" Target="https://plants.usda.gov/core/profile?symbol=MYVE3" TargetMode="External"/><Relationship Id="rId5004" Type="http://schemas.openxmlformats.org/officeDocument/2006/relationships/hyperlink" Target="https://en.wikipedia.org/wiki/Grindelia_integrifolia" TargetMode="External"/><Relationship Id="rId5211" Type="http://schemas.openxmlformats.org/officeDocument/2006/relationships/hyperlink" Target="https://en.wikipedia.org/wiki/Perideridia_oregana" TargetMode="External"/><Relationship Id="rId46" Type="http://schemas.openxmlformats.org/officeDocument/2006/relationships/hyperlink" Target="http://biology.burke.washington.edu/herbarium/imagecollection/taxon.php?Taxon=Rorippa%20curvisiliqua" TargetMode="External"/><Relationship Id="rId1407" Type="http://schemas.openxmlformats.org/officeDocument/2006/relationships/hyperlink" Target="http://biology.burke.washington.edu/herbarium/imagecollection/taxon.php?Taxon=Penstemon%20richardsonii" TargetMode="External"/><Relationship Id="rId1614" Type="http://schemas.openxmlformats.org/officeDocument/2006/relationships/hyperlink" Target="https://en.wikipedia.org/wiki/Juncus_patens" TargetMode="External"/><Relationship Id="rId1821" Type="http://schemas.openxmlformats.org/officeDocument/2006/relationships/hyperlink" Target="http://plants.usda.gov/java/profile?symbol=SCMI2" TargetMode="External"/><Relationship Id="rId4020" Type="http://schemas.openxmlformats.org/officeDocument/2006/relationships/hyperlink" Target="https://plants.usda.gov/core/profile?symbol=HUOC" TargetMode="External"/><Relationship Id="rId4977" Type="http://schemas.openxmlformats.org/officeDocument/2006/relationships/hyperlink" Target="https://en.wikipedia.org/wiki/Gaillardia_aristata" TargetMode="External"/><Relationship Id="rId7176" Type="http://schemas.openxmlformats.org/officeDocument/2006/relationships/hyperlink" Target="http://biology.burke.washington.edu/herbarium/imagecollectionnew/taxon.php?Taxon=Rumex%20occidentalis" TargetMode="External"/><Relationship Id="rId3579" Type="http://schemas.openxmlformats.org/officeDocument/2006/relationships/hyperlink" Target="http://www.burkemuseum.org/research-and-collections/botany-and-herbarium/collections/database/results.php?Genus=Salix&amp;Species=hookeriana&amp;SourcePage=search.php&amp;IncludeSynonyms=Y&amp;SortBy=DESC&amp;SortOrder=Year" TargetMode="External"/><Relationship Id="rId3786" Type="http://schemas.openxmlformats.org/officeDocument/2006/relationships/hyperlink" Target="https://plants.usda.gov/core/profile?symbol=CAPA14" TargetMode="External"/><Relationship Id="rId6192" Type="http://schemas.openxmlformats.org/officeDocument/2006/relationships/hyperlink" Target="http://www.burkemuseum.org/research-and-collections/botany-and-herbarium/collections/database/results.php?Genus=Sedum&amp;Species=oreganum&amp;SourcePage=search.php&amp;IncludeSynonyms=Y&amp;SortBy=DESC&amp;SortOrder=Year" TargetMode="External"/><Relationship Id="rId7036" Type="http://schemas.openxmlformats.org/officeDocument/2006/relationships/hyperlink" Target="http://biology.burke.washington.edu/herbarium/imagecollectionnew/taxon.php?Taxon=Cakile%20edentula" TargetMode="External"/><Relationship Id="rId7243" Type="http://schemas.openxmlformats.org/officeDocument/2006/relationships/hyperlink" Target="http://biology.burke.washington.edu/herbarium/imagecollection/taxon.php?Taxon=Phegopteris%20connectilis" TargetMode="External"/><Relationship Id="rId2388" Type="http://schemas.openxmlformats.org/officeDocument/2006/relationships/hyperlink" Target="http://plants.usda.gov/java/profile?symbol=ARHI" TargetMode="External"/><Relationship Id="rId2595" Type="http://schemas.openxmlformats.org/officeDocument/2006/relationships/hyperlink" Target="http://plants.usda.gov/java/profile?symbol=AMCH4" TargetMode="External"/><Relationship Id="rId3439" Type="http://schemas.openxmlformats.org/officeDocument/2006/relationships/hyperlink" Target="http://www.burkemuseum.org/research-and-collections/botany-and-herbarium/collections/database/results.php?Genus=Viola&amp;Species=langsdorfii&amp;SourcePage=search.php&amp;IncludeSynonyms=Y&amp;SortBy=DESC&amp;SortOrder=Year" TargetMode="External"/><Relationship Id="rId3993" Type="http://schemas.openxmlformats.org/officeDocument/2006/relationships/hyperlink" Target="https://plants.usda.gov/core/profile?symbol=GYDR" TargetMode="External"/><Relationship Id="rId4837" Type="http://schemas.openxmlformats.org/officeDocument/2006/relationships/hyperlink" Target="https://en.wikipedia.org/wiki/Cicuta_bulbifera" TargetMode="External"/><Relationship Id="rId6052" Type="http://schemas.openxmlformats.org/officeDocument/2006/relationships/hyperlink" Target="http://www.burkemuseum.org/research-and-collections/botany-and-herbarium/collections/database/results.php?Genus=Polygonum&amp;Species=spergulariiforme&amp;SourcePage=search.php&amp;IncludeSynonyms=Y&amp;SortBy=DESC&amp;SortOrder=Year" TargetMode="External"/><Relationship Id="rId7103" Type="http://schemas.openxmlformats.org/officeDocument/2006/relationships/hyperlink" Target="http://biology.burke.washington.edu/herbarium/imagecollectionnew/taxon.php?Taxon=Tiarella%20trifoliata" TargetMode="External"/><Relationship Id="rId567" Type="http://schemas.openxmlformats.org/officeDocument/2006/relationships/hyperlink" Target="https://en.wikipedia.org/wiki/Stellaria_obtusa" TargetMode="External"/><Relationship Id="rId1197" Type="http://schemas.openxmlformats.org/officeDocument/2006/relationships/hyperlink" Target="http://biology.burke.washington.edu/herbarium/imagecollectionnew/taxon.php?Taxon=Oreopteris%20quelpaertensis" TargetMode="External"/><Relationship Id="rId2248" Type="http://schemas.openxmlformats.org/officeDocument/2006/relationships/hyperlink" Target="http://plants.usda.gov/java/profile?symbol=COMA25" TargetMode="External"/><Relationship Id="rId3646" Type="http://schemas.openxmlformats.org/officeDocument/2006/relationships/hyperlink" Target="https://plants.usda.gov/core/profile?symbol=AGOR" TargetMode="External"/><Relationship Id="rId3853" Type="http://schemas.openxmlformats.org/officeDocument/2006/relationships/hyperlink" Target="https://plants.usda.gov/core/profile?symbol=COST19" TargetMode="External"/><Relationship Id="rId4904" Type="http://schemas.openxmlformats.org/officeDocument/2006/relationships/hyperlink" Target="https://en.wikipedia.org/wiki/Distichlis_spicata" TargetMode="External"/><Relationship Id="rId774" Type="http://schemas.openxmlformats.org/officeDocument/2006/relationships/hyperlink" Target="https://en.wikipedia.org/wiki/Potamogeton_foliosus" TargetMode="External"/><Relationship Id="rId981" Type="http://schemas.openxmlformats.org/officeDocument/2006/relationships/hyperlink" Target="http://en.wikipedia.org/wiki/Betula_glandulosa" TargetMode="External"/><Relationship Id="rId1057" Type="http://schemas.openxmlformats.org/officeDocument/2006/relationships/hyperlink" Target="https://en.wikipedia.org/wiki/Crassula_aquatica" TargetMode="External"/><Relationship Id="rId2455" Type="http://schemas.openxmlformats.org/officeDocument/2006/relationships/hyperlink" Target="http://plants.usda.gov/java/profile?symbol=TODI" TargetMode="External"/><Relationship Id="rId2662" Type="http://schemas.openxmlformats.org/officeDocument/2006/relationships/hyperlink" Target="http://biology.burke.washington.edu/herbarium/imagecollectionnew/taxon.php?Taxon=Sanguisorba%20officinalis" TargetMode="External"/><Relationship Id="rId3506" Type="http://schemas.openxmlformats.org/officeDocument/2006/relationships/hyperlink" Target="http://www.burkemuseum.org/research-and-collections/botany-and-herbarium/collections/database/results.php?Genus=Heuchera&amp;Species=chlorantha&amp;SourcePage=search.php&amp;IncludeSynonyms=Y&amp;SortBy=DESC&amp;SortOrder=Year" TargetMode="External"/><Relationship Id="rId3713" Type="http://schemas.openxmlformats.org/officeDocument/2006/relationships/hyperlink" Target="https://plants.usda.gov/core/profile?symbol=BACCH" TargetMode="External"/><Relationship Id="rId3920" Type="http://schemas.openxmlformats.org/officeDocument/2006/relationships/hyperlink" Target="https://plants.usda.gov/core/profile?symbol=EPMI" TargetMode="External"/><Relationship Id="rId6869" Type="http://schemas.openxmlformats.org/officeDocument/2006/relationships/hyperlink" Target="http://biology.burke.washington.edu/herbarium/imagecollectionnew/taxon.php?Taxon=Viola%20langsdorffii" TargetMode="External"/><Relationship Id="rId427" Type="http://schemas.openxmlformats.org/officeDocument/2006/relationships/hyperlink" Target="http://biology.burke.washington.edu/herbarium/imagecollectionnew/taxon.php?Taxon=Cerastium%20arvense" TargetMode="External"/><Relationship Id="rId634" Type="http://schemas.openxmlformats.org/officeDocument/2006/relationships/hyperlink" Target="https://en.wikipedia.org/wiki/Salicornia_virginica" TargetMode="External"/><Relationship Id="rId841" Type="http://schemas.openxmlformats.org/officeDocument/2006/relationships/hyperlink" Target="https://en.wikipedia.org/wiki/Myriophyllum_hippuroides" TargetMode="External"/><Relationship Id="rId1264" Type="http://schemas.openxmlformats.org/officeDocument/2006/relationships/hyperlink" Target="http://biology.burke.washington.edu/herbarium/imagecollection/taxon.php?Taxon=Nymphaea%20tetragona" TargetMode="External"/><Relationship Id="rId1471" Type="http://schemas.openxmlformats.org/officeDocument/2006/relationships/hyperlink" Target="https://en.wikipedia.org/wiki/Viola_praemorsa" TargetMode="External"/><Relationship Id="rId2108" Type="http://schemas.openxmlformats.org/officeDocument/2006/relationships/hyperlink" Target="http://plants.usda.gov/java/profile?symbol=HYAN2" TargetMode="External"/><Relationship Id="rId2315" Type="http://schemas.openxmlformats.org/officeDocument/2006/relationships/hyperlink" Target="http://plants.usda.gov/java/profile?symbol=CAHE7" TargetMode="External"/><Relationship Id="rId2522" Type="http://schemas.openxmlformats.org/officeDocument/2006/relationships/hyperlink" Target="https://plants.usda.gov/core/profile?symbol=MOPA2" TargetMode="External"/><Relationship Id="rId5678" Type="http://schemas.openxmlformats.org/officeDocument/2006/relationships/hyperlink" Target="http://www.burkemuseum.org/research-and-collections/botany-and-herbarium/collections/database/results.php?Genus=Cystopteris&amp;Species=fragilis&amp;SourcePage=search.php&amp;IncludeSynonyms=Y&amp;SortBy=DESC&amp;SortOrder=Year" TargetMode="External"/><Relationship Id="rId5885" Type="http://schemas.openxmlformats.org/officeDocument/2006/relationships/hyperlink" Target="http://www.burkemuseum.org/research-and-collections/botany-and-herbarium/collections/database/results.php?Genus=Lomatium&amp;Species=nudicaule&amp;SourcePage=search.php&amp;IncludeSynonyms=Y&amp;SortBy=DESC&amp;SortOrder=Year" TargetMode="External"/><Relationship Id="rId6729" Type="http://schemas.openxmlformats.org/officeDocument/2006/relationships/hyperlink" Target="http://biology.burke.washington.edu/herbarium/imagecollection/taxon.php?Taxon=Microseris%20borealis" TargetMode="External"/><Relationship Id="rId6936" Type="http://schemas.openxmlformats.org/officeDocument/2006/relationships/hyperlink" Target="http://biology.burke.washington.edu/herbarium/imagecollection/taxon.php?Taxon=Meconella%20oregana" TargetMode="External"/><Relationship Id="rId701" Type="http://schemas.openxmlformats.org/officeDocument/2006/relationships/hyperlink" Target="https://en.wikipedia.org/wiki/Eriophyllum_lanatum" TargetMode="External"/><Relationship Id="rId1124" Type="http://schemas.openxmlformats.org/officeDocument/2006/relationships/hyperlink" Target="https://en.wikipedia.org/wiki/Jaumea_carnosa" TargetMode="External"/><Relationship Id="rId1331" Type="http://schemas.openxmlformats.org/officeDocument/2006/relationships/hyperlink" Target="https://en.wikipedia.org/wiki/Metasequoia_glyptostroboides" TargetMode="External"/><Relationship Id="rId4487" Type="http://schemas.openxmlformats.org/officeDocument/2006/relationships/hyperlink" Target="https://plants.usda.gov/core/profile?symbol=UTIN2" TargetMode="External"/><Relationship Id="rId4694" Type="http://schemas.openxmlformats.org/officeDocument/2006/relationships/hyperlink" Target="https://en.wikipedia.org/wiki/Aphyllon_californicum" TargetMode="External"/><Relationship Id="rId5538" Type="http://schemas.openxmlformats.org/officeDocument/2006/relationships/hyperlink" Target="https://en.wikipedia.org/wiki/Juncus_effusus" TargetMode="External"/><Relationship Id="rId5745" Type="http://schemas.openxmlformats.org/officeDocument/2006/relationships/hyperlink" Target="http://www.burkemuseum.org/research-and-collections/botany-and-herbarium/collections/database/results.php?Genus=Erythranthe&amp;Species=moschata&amp;SourcePage=search.php&amp;IncludeSynonyms=Y&amp;SortBy=DESC&amp;SortOrder=Year" TargetMode="External"/><Relationship Id="rId5952" Type="http://schemas.openxmlformats.org/officeDocument/2006/relationships/hyperlink" Target="http://www.burkemuseum.org/research-and-collections/botany-and-herbarium/collections/database/results.php?Genus=Montia&amp;Species=linearis&amp;SourcePage=search.php&amp;IncludeSynonyms=Y&amp;SortBy=DESC&amp;SortOrder=Year" TargetMode="External"/><Relationship Id="rId3089" Type="http://schemas.openxmlformats.org/officeDocument/2006/relationships/hyperlink" Target="http://www.burkemuseum.org/research-and-collections/botany-and-herbarium/collections/database/results.php?Genus=Lewisia&amp;Species=rediviva&amp;SourcePage=search.php&amp;IncludeSynonyms=Y&amp;SortBy=DESC&amp;SortOrder=Year" TargetMode="External"/><Relationship Id="rId3296" Type="http://schemas.openxmlformats.org/officeDocument/2006/relationships/hyperlink" Target="http://www.burkemuseum.org/research-and-collections/botany-and-herbarium/collections/database/results.php?Genus=Rumex&amp;Species=occidentalis&amp;SourcePage=search.php&amp;IncludeSynonyms=Y&amp;SortBy=DESC&amp;SortOrder=Year" TargetMode="External"/><Relationship Id="rId4347" Type="http://schemas.openxmlformats.org/officeDocument/2006/relationships/hyperlink" Target="https://plants.usda.gov/core/profile?symbol=SADE10" TargetMode="External"/><Relationship Id="rId4554" Type="http://schemas.openxmlformats.org/officeDocument/2006/relationships/hyperlink" Target="https://en.wikipedia.org/wiki/Allium_acuminatum" TargetMode="External"/><Relationship Id="rId4761" Type="http://schemas.openxmlformats.org/officeDocument/2006/relationships/hyperlink" Target="https://en.wikipedia.org/wiki/Caltha_palustris" TargetMode="External"/><Relationship Id="rId5605" Type="http://schemas.openxmlformats.org/officeDocument/2006/relationships/hyperlink" Target="http://www.burkemuseum.org/research-and-collections/botany-and-herbarium/collections/database/results.php?Genus=Carex&amp;Species=utriculata&amp;SourcePage=search.php&amp;IncludeSynonyms=Y&amp;SortBy=DESC&amp;SortOrder=Year" TargetMode="External"/><Relationship Id="rId3156" Type="http://schemas.openxmlformats.org/officeDocument/2006/relationships/hyperlink" Target="http://www.burkemuseum.org/research-and-collections/botany-and-herbarium/collections/database/results.php?Genus=Myosurus&amp;Species=minimus&amp;SourcePage=search.php&amp;IncludeSynonyms=Y&amp;SortBy=DESC&amp;SortOrder=Year" TargetMode="External"/><Relationship Id="rId3363" Type="http://schemas.openxmlformats.org/officeDocument/2006/relationships/hyperlink" Target="http://www.burkemuseum.org/research-and-collections/botany-and-herbarium/collections/database/results.php?Genus=Spergularia&amp;Species=canadensis&amp;SourcePage=search.php&amp;IncludeSynonyms=Y&amp;SortBy=DESC&amp;SortOrder=Year" TargetMode="External"/><Relationship Id="rId4207" Type="http://schemas.openxmlformats.org/officeDocument/2006/relationships/hyperlink" Target="https://plants.usda.gov/core/profile?symbol=PEOR6" TargetMode="External"/><Relationship Id="rId4414" Type="http://schemas.openxmlformats.org/officeDocument/2006/relationships/hyperlink" Target="https://plants.usda.gov/core/profile?symbol=SOSCC" TargetMode="External"/><Relationship Id="rId5812" Type="http://schemas.openxmlformats.org/officeDocument/2006/relationships/hyperlink" Target="http://www.burkemuseum.org/research-and-collections/botany-and-herbarium/collections/database/results.php?Genus=Honckenya&amp;Species=peploides&amp;SourcePage=search.php&amp;IncludeSynonyms=Y&amp;SortBy=DESC&amp;SortOrder=Year" TargetMode="External"/><Relationship Id="rId284" Type="http://schemas.openxmlformats.org/officeDocument/2006/relationships/hyperlink" Target="http://biology.burke.washington.edu/herbarium/imagecollection/taxon.php?Taxon=Adiantum%20aleuticum" TargetMode="External"/><Relationship Id="rId491" Type="http://schemas.openxmlformats.org/officeDocument/2006/relationships/hyperlink" Target="http://biology.burke.washington.edu/herbarium/imagecollectionnew/taxon.php?Taxon=Eleocharis%20ovata" TargetMode="External"/><Relationship Id="rId2172" Type="http://schemas.openxmlformats.org/officeDocument/2006/relationships/hyperlink" Target="https://plants.usda.gov/core/profile?symbol=MIDE3" TargetMode="External"/><Relationship Id="rId3016" Type="http://schemas.openxmlformats.org/officeDocument/2006/relationships/hyperlink" Target="http://www.burkemuseum.org/research-and-collections/botany-and-herbarium/collections/database/results.php?Genus=Geum&amp;Species=macrophyllum&amp;SourcePage=search.php&amp;IncludeSynonyms=Y&amp;SortBy=DESC&amp;SortOrder=Year" TargetMode="External"/><Relationship Id="rId3223" Type="http://schemas.openxmlformats.org/officeDocument/2006/relationships/hyperlink" Target="http://www.burkemuseum.org/research-and-collections/botany-and-herbarium/collections/database/results.php?Genus=Poa&amp;Species=unilateralis&amp;SourcePage=search.php&amp;IncludeSynonyms=Y&amp;SortBy=DESC&amp;SortOrder=Year" TargetMode="External"/><Relationship Id="rId3570" Type="http://schemas.openxmlformats.org/officeDocument/2006/relationships/hyperlink" Target="http://www.burkemuseum.org/research-and-collections/botany-and-herbarium/collections/database/results.php?Genus=Ribes&amp;Species=bracteosum&amp;SourcePage=search.php&amp;IncludeSynonyms=Y&amp;SortBy=DESC&amp;SortOrder=Year" TargetMode="External"/><Relationship Id="rId4621" Type="http://schemas.openxmlformats.org/officeDocument/2006/relationships/hyperlink" Target="http://www.burkemuseum.org/research-and-collections/botany-and-herbarium/collections/database/results.php?Genus=Angelica&amp;Species=arguta&amp;SourcePage=search.php&amp;IncludeSynonyms=Y&amp;SortBy=DESC&amp;SortOrder=Year" TargetMode="External"/><Relationship Id="rId6379" Type="http://schemas.openxmlformats.org/officeDocument/2006/relationships/hyperlink" Target="http://biology.burke.washington.edu/herbarium/imagecollectionnew/taxon.php?Taxon=Arnica%20cordifolia" TargetMode="External"/><Relationship Id="rId144" Type="http://schemas.openxmlformats.org/officeDocument/2006/relationships/hyperlink" Target="http://biology.burke.washington.edu/herbarium/imagecollection/taxon.php?Taxon=Juncus%20alpinoarticulatus" TargetMode="External"/><Relationship Id="rId3430" Type="http://schemas.openxmlformats.org/officeDocument/2006/relationships/hyperlink" Target="http://www.burkemuseum.org/research-and-collections/botany-and-herbarium/collections/database/results.php?Genus=Veronica&amp;Species=americana&amp;SourcePage=search.php&amp;IncludeSynonyms=Y&amp;SortBy=DESC&amp;SortOrder=Year" TargetMode="External"/><Relationship Id="rId5188" Type="http://schemas.openxmlformats.org/officeDocument/2006/relationships/hyperlink" Target="https://en.wikipedia.org/wiki/Oxalis_suksdorfii" TargetMode="External"/><Relationship Id="rId6586" Type="http://schemas.openxmlformats.org/officeDocument/2006/relationships/hyperlink" Target="http://biology.burke.washington.edu/herbarium/imagecollection/taxon.php?Taxon=Nuphar%20polysepala" TargetMode="External"/><Relationship Id="rId6793" Type="http://schemas.openxmlformats.org/officeDocument/2006/relationships/hyperlink" Target="http://biology.burke.washington.edu/herbarium/imagecollectionnew/taxon.php?Taxon=Eleocharis%20engelmannii" TargetMode="External"/><Relationship Id="rId351" Type="http://schemas.openxmlformats.org/officeDocument/2006/relationships/hyperlink" Target="http://biology.burke.washington.edu/herbarium/imagecollectionnew/taxon.php?Taxon=Carex%20canescens" TargetMode="External"/><Relationship Id="rId2032" Type="http://schemas.openxmlformats.org/officeDocument/2006/relationships/hyperlink" Target="http://plants.usda.gov/java/profile?symbol=MAGL2" TargetMode="External"/><Relationship Id="rId2989" Type="http://schemas.openxmlformats.org/officeDocument/2006/relationships/hyperlink" Target="http://www.burkemuseum.org/research-and-collections/botany-and-herbarium/collections/database/results.php?Genus=Erythronium&amp;Species=quinaultense&amp;SourcePage=search.php&amp;IncludeSynonyms=Y&amp;SortBy=DESC&amp;SortOrder=Year" TargetMode="External"/><Relationship Id="rId5395" Type="http://schemas.openxmlformats.org/officeDocument/2006/relationships/hyperlink" Target="https://en.wikipedia.org/wiki/Selaginella_wallacei" TargetMode="External"/><Relationship Id="rId6239" Type="http://schemas.openxmlformats.org/officeDocument/2006/relationships/hyperlink" Target="http://www.burkemuseum.org/research-and-collections/botany-and-herbarium/collections/database/results.php?Genus=Stuckenia&amp;Species=pectinata&amp;SourcePage=search.php&amp;IncludeSynonyms=Y&amp;SortBy=DESC&amp;SortOrder=Year" TargetMode="External"/><Relationship Id="rId6446" Type="http://schemas.openxmlformats.org/officeDocument/2006/relationships/hyperlink" Target="http://biology.burke.washington.edu/herbarium/imagecollectionnew/taxon.php?Taxon=Crataegus%20douglasii" TargetMode="External"/><Relationship Id="rId6653" Type="http://schemas.openxmlformats.org/officeDocument/2006/relationships/hyperlink" Target="http://biology.burke.washington.edu/herbarium/imagecollectionnew/taxon.php?Taxon=Schoenoplectus%20subterminalis" TargetMode="External"/><Relationship Id="rId6860" Type="http://schemas.openxmlformats.org/officeDocument/2006/relationships/hyperlink" Target="http://biology.burke.washington.edu/herbarium/imagecollectionnew/taxon.php?Taxon=Angelica%20lucida" TargetMode="External"/><Relationship Id="rId211" Type="http://schemas.openxmlformats.org/officeDocument/2006/relationships/hyperlink" Target="http://biology.burke.washington.edu/herbarium/imagecollection/taxon.php?Taxon=Galium%20aparine" TargetMode="External"/><Relationship Id="rId1798" Type="http://schemas.openxmlformats.org/officeDocument/2006/relationships/hyperlink" Target="http://plants.usda.gov/java/profile?symbol=SPAN2" TargetMode="External"/><Relationship Id="rId2849" Type="http://schemas.openxmlformats.org/officeDocument/2006/relationships/hyperlink" Target="http://www.burkemuseum.org/research-and-collections/botany-and-herbarium/collections/database/results.php?Genus=Carex&amp;Species=pellita&amp;SourcePage=search.php&amp;IncludeSynonyms=Y&amp;SortBy=DESC&amp;SortOrder=Year" TargetMode="External"/><Relationship Id="rId5048" Type="http://schemas.openxmlformats.org/officeDocument/2006/relationships/hyperlink" Target="https://en.wikipedia.org/wiki/Juncus_brevicaudatus" TargetMode="External"/><Relationship Id="rId5255" Type="http://schemas.openxmlformats.org/officeDocument/2006/relationships/hyperlink" Target="https://en.wikipedia.org/wiki/Polypodium_glycyrrhiza" TargetMode="External"/><Relationship Id="rId5462" Type="http://schemas.openxmlformats.org/officeDocument/2006/relationships/hyperlink" Target="https://en.wikipedia.org/wiki/Toxicodendron_diversilobum" TargetMode="External"/><Relationship Id="rId6306" Type="http://schemas.openxmlformats.org/officeDocument/2006/relationships/hyperlink" Target="http://www.burkemuseum.org/research-and-collections/botany-and-herbarium/collections/database/results.php?Genus=Viburnum&amp;Species=opulus&amp;SourcePage=search.php&amp;IncludeSynonyms=Y&amp;SortBy=DESC&amp;SortOrder=Year" TargetMode="External"/><Relationship Id="rId6513" Type="http://schemas.openxmlformats.org/officeDocument/2006/relationships/hyperlink" Target="http://biology.burke.washington.edu/herbarium/imagecollection/taxon.php?Taxon=Gaultheria%20shallon" TargetMode="External"/><Relationship Id="rId6720" Type="http://schemas.openxmlformats.org/officeDocument/2006/relationships/hyperlink" Target="http://biology.burke.washington.edu/herbarium/imagecollection/taxon.php?Taxon=Myosurus%20minimus" TargetMode="External"/><Relationship Id="rId1658" Type="http://schemas.openxmlformats.org/officeDocument/2006/relationships/hyperlink" Target="http://biology.burke.washington.edu/herbarium/imagecollectionnew/taxon.php?Taxon=Sedum%20spathulifolium" TargetMode="External"/><Relationship Id="rId1865" Type="http://schemas.openxmlformats.org/officeDocument/2006/relationships/hyperlink" Target="http://plants.usda.gov/java/profile?symbol=RULE" TargetMode="External"/><Relationship Id="rId2709" Type="http://schemas.openxmlformats.org/officeDocument/2006/relationships/hyperlink" Target="http://biology.burke.washington.edu/herbarium/imagecollectionnew/taxon.php?Taxon=Sanicula%20crassicaulis" TargetMode="External"/><Relationship Id="rId4064" Type="http://schemas.openxmlformats.org/officeDocument/2006/relationships/hyperlink" Target="https://plants.usda.gov/core/profile?symbol=LEMI3" TargetMode="External"/><Relationship Id="rId4271" Type="http://schemas.openxmlformats.org/officeDocument/2006/relationships/hyperlink" Target="https://plants.usda.gov/core/profile?symbol=POZO" TargetMode="External"/><Relationship Id="rId5115" Type="http://schemas.openxmlformats.org/officeDocument/2006/relationships/hyperlink" Target="https://en.wikipedia.org/wiki/Lysimachia_thyrsiflora" TargetMode="External"/><Relationship Id="rId5322" Type="http://schemas.openxmlformats.org/officeDocument/2006/relationships/hyperlink" Target="https://en.wikipedia.org/wiki/Ribes_oxyacanthoides" TargetMode="External"/><Relationship Id="rId1518" Type="http://schemas.openxmlformats.org/officeDocument/2006/relationships/hyperlink" Target="https://en.wikipedia.org/wiki/Rhododendron_columbianum" TargetMode="External"/><Relationship Id="rId2916" Type="http://schemas.openxmlformats.org/officeDocument/2006/relationships/hyperlink" Target="http://www.burkemuseum.org/research-and-collections/botany-and-herbarium/collections/database/results.php?Genus=Crataegus&amp;Species=douglasii&amp;SourcePage=search.php&amp;IncludeSynonyms=Y&amp;SortBy=DESC&amp;SortOrder=Year" TargetMode="External"/><Relationship Id="rId3080" Type="http://schemas.openxmlformats.org/officeDocument/2006/relationships/hyperlink" Target="http://www.burkemuseum.org/research-and-collections/botany-and-herbarium/collections/database/results.php?Genus=Lathyrus&amp;Species=vestitus&amp;SourcePage=search.php&amp;IncludeSynonyms=Y&amp;SortBy=DESC&amp;SortOrder=Year" TargetMode="External"/><Relationship Id="rId4131" Type="http://schemas.openxmlformats.org/officeDocument/2006/relationships/hyperlink" Target="https://plants.usda.gov/core/profile?symbol=MEPL" TargetMode="External"/><Relationship Id="rId1725" Type="http://schemas.openxmlformats.org/officeDocument/2006/relationships/hyperlink" Target="http://plants.usda.gov/java/profile?symbol=VEPE2" TargetMode="External"/><Relationship Id="rId1932" Type="http://schemas.openxmlformats.org/officeDocument/2006/relationships/hyperlink" Target="http://plants.usda.gov/java/profile?symbol=POCA4" TargetMode="External"/><Relationship Id="rId6096" Type="http://schemas.openxmlformats.org/officeDocument/2006/relationships/hyperlink" Target="http://www.burkemuseum.org/research-and-collections/botany-and-herbarium/collections/database/results.php?Genus=Ranunculus&amp;Species=alismifolius&amp;SourcePage=search.php&amp;IncludeSynonyms=Y&amp;SortBy=DESC&amp;SortOrder=Year" TargetMode="External"/><Relationship Id="rId7147" Type="http://schemas.openxmlformats.org/officeDocument/2006/relationships/hyperlink" Target="http://biology.burke.washington.edu/herbarium/imagecollectionnew/taxon.php?Taxon=Scrophularia%20lanceolata" TargetMode="External"/><Relationship Id="rId17" Type="http://schemas.openxmlformats.org/officeDocument/2006/relationships/hyperlink" Target="http://biology.burke.washington.edu/herbarium/imagecollection/taxon.php?Taxon=Erigeron%20philadelphicus" TargetMode="External"/><Relationship Id="rId3897" Type="http://schemas.openxmlformats.org/officeDocument/2006/relationships/hyperlink" Target="https://plants.usda.gov/core/profile?symbol=DRBRC" TargetMode="External"/><Relationship Id="rId4948" Type="http://schemas.openxmlformats.org/officeDocument/2006/relationships/hyperlink" Target="https://en.wikipedia.org/wiki/Eryngium_petiolatum" TargetMode="External"/><Relationship Id="rId6163" Type="http://schemas.openxmlformats.org/officeDocument/2006/relationships/hyperlink" Target="http://www.burkemuseum.org/research-and-collections/botany-and-herbarium/collections/database/results.php?Genus=Salix&amp;Species=prolixa&amp;SourcePage=search.php&amp;IncludeSynonyms=Y&amp;SortBy=DESC&amp;SortOrder=Year" TargetMode="External"/><Relationship Id="rId7007" Type="http://schemas.openxmlformats.org/officeDocument/2006/relationships/hyperlink" Target="http://biology.burke.washington.edu/herbarium/imagecollectionnew/taxon.php?Taxon=Clarkia%20purpurea" TargetMode="External"/><Relationship Id="rId2499" Type="http://schemas.openxmlformats.org/officeDocument/2006/relationships/hyperlink" Target="http://plants.usda.gov/java/profile?symbol=POPA7" TargetMode="External"/><Relationship Id="rId3757" Type="http://schemas.openxmlformats.org/officeDocument/2006/relationships/hyperlink" Target="https://plants.usda.gov/core/profile?symbol=CAAN5" TargetMode="External"/><Relationship Id="rId3964" Type="http://schemas.openxmlformats.org/officeDocument/2006/relationships/hyperlink" Target="https://plants.usda.gov/core/profile?symbol=FRPU2" TargetMode="External"/><Relationship Id="rId4808" Type="http://schemas.openxmlformats.org/officeDocument/2006/relationships/hyperlink" Target="https://en.wikipedia.org/wiki/Carex_stylosa" TargetMode="External"/><Relationship Id="rId6370" Type="http://schemas.openxmlformats.org/officeDocument/2006/relationships/hyperlink" Target="http://biology.burke.washington.edu/herbarium/imagecollectionnew/taxon.php?Taxon=Anisocarpus%20madioides" TargetMode="External"/><Relationship Id="rId7214" Type="http://schemas.openxmlformats.org/officeDocument/2006/relationships/hyperlink" Target="http://biology.burke.washington.edu/herbarium/imagecollection/taxon.php?Taxon=Prosartes%20smithii" TargetMode="External"/><Relationship Id="rId1" Type="http://schemas.openxmlformats.org/officeDocument/2006/relationships/hyperlink" Target="http://biology.burke.washington.edu/herbarium/imagecollection/taxon.php?Taxon=Sagittaria%20latifolia" TargetMode="External"/><Relationship Id="rId678" Type="http://schemas.openxmlformats.org/officeDocument/2006/relationships/hyperlink" Target="https://en.wikipedia.org/wiki/Pseudognaphalium" TargetMode="External"/><Relationship Id="rId885" Type="http://schemas.openxmlformats.org/officeDocument/2006/relationships/hyperlink" Target="http://en.wikipedia.org/wiki/Collomia_heterophylla" TargetMode="External"/><Relationship Id="rId2359" Type="http://schemas.openxmlformats.org/officeDocument/2006/relationships/hyperlink" Target="https://plants.usda.gov/core/profile?symbol=BIFR" TargetMode="External"/><Relationship Id="rId2566" Type="http://schemas.openxmlformats.org/officeDocument/2006/relationships/hyperlink" Target="http://plants.usda.gov/java/profile?symbol=DIFO" TargetMode="External"/><Relationship Id="rId2773" Type="http://schemas.openxmlformats.org/officeDocument/2006/relationships/hyperlink" Target="http://www.burkemuseum.org/research-and-collections/botany-and-herbarium/collections/database/results.php?Genus=Arnica&amp;Species=longifolia&amp;SourcePage=search.php&amp;IncludeSynonyms=Y&amp;SortBy=DESC&amp;SortOrder=Year" TargetMode="External"/><Relationship Id="rId2980" Type="http://schemas.openxmlformats.org/officeDocument/2006/relationships/hyperlink" Target="http://www.burkemuseum.org/research-and-collections/botany-and-herbarium/collections/database/results.php?Genus=Eriophyllum&amp;Species=lanatum&amp;SourcePage=search.php&amp;IncludeSynonyms=Y&amp;SortBy=DESC&amp;SortOrder=Year" TargetMode="External"/><Relationship Id="rId3617" Type="http://schemas.openxmlformats.org/officeDocument/2006/relationships/hyperlink" Target="http://www.burkemuseum.org/research-and-collections/botany-and-herbarium/collections/database/results.php?Genus=Melica&amp;Species=smithii&amp;SourcePage=search.php&amp;IncludeSynonyms=Y&amp;SortBy=DESC&amp;SortOrder=Year" TargetMode="External"/><Relationship Id="rId3824" Type="http://schemas.openxmlformats.org/officeDocument/2006/relationships/hyperlink" Target="https://plants.usda.gov/core/profile?symbol=CIBU" TargetMode="External"/><Relationship Id="rId6023" Type="http://schemas.openxmlformats.org/officeDocument/2006/relationships/hyperlink" Target="http://www.burkemuseum.org/research-and-collections/botany-and-herbarium/collections/database/results.php?Genus=Pinus&amp;Species=contorta&amp;SourcePage=search.php&amp;IncludeSynonyms=Y&amp;SortBy=DESC&amp;SortOrder=Year" TargetMode="External"/><Relationship Id="rId6230" Type="http://schemas.openxmlformats.org/officeDocument/2006/relationships/hyperlink" Target="http://www.burkemuseum.org/research-and-collections/botany-and-herbarium/collections/database/results.php?Genus=Stachys&amp;Species=rigida&amp;SourcePage=search.php&amp;IncludeSynonyms=Y&amp;SortBy=DESC&amp;SortOrder=Year" TargetMode="External"/><Relationship Id="rId538" Type="http://schemas.openxmlformats.org/officeDocument/2006/relationships/hyperlink" Target="https://en.wikipedia.org/wiki/Trillium_ovatum" TargetMode="External"/><Relationship Id="rId745" Type="http://schemas.openxmlformats.org/officeDocument/2006/relationships/hyperlink" Target="https://en.wikipedia.org/wiki/Delphinium_glaucum" TargetMode="External"/><Relationship Id="rId952" Type="http://schemas.openxmlformats.org/officeDocument/2006/relationships/hyperlink" Target="https://en.wikipedia.org/wiki/Cardamine" TargetMode="External"/><Relationship Id="rId1168" Type="http://schemas.openxmlformats.org/officeDocument/2006/relationships/hyperlink" Target="https://en.wikipedia.org/wiki/Hemitomes" TargetMode="External"/><Relationship Id="rId1375" Type="http://schemas.openxmlformats.org/officeDocument/2006/relationships/hyperlink" Target="http://biology.burke.washington.edu/herbarium/imagecollection/taxon.php?Taxon=Ribes%20divaricatum" TargetMode="External"/><Relationship Id="rId1582" Type="http://schemas.openxmlformats.org/officeDocument/2006/relationships/hyperlink" Target="http://en.wikipedia.org/wiki/Betula_occidentalis" TargetMode="External"/><Relationship Id="rId2219" Type="http://schemas.openxmlformats.org/officeDocument/2006/relationships/hyperlink" Target="http://plants.usda.gov/java/profile?symbol=DECE" TargetMode="External"/><Relationship Id="rId2426" Type="http://schemas.openxmlformats.org/officeDocument/2006/relationships/hyperlink" Target="http://plants.usda.gov/java/profile?symbol=AGAP2" TargetMode="External"/><Relationship Id="rId2633" Type="http://schemas.openxmlformats.org/officeDocument/2006/relationships/hyperlink" Target="http://biology.burke.washington.edu/herbarium/imagecollection/taxon.php?Taxon=Platanthera%20unalascensis" TargetMode="External"/><Relationship Id="rId5789" Type="http://schemas.openxmlformats.org/officeDocument/2006/relationships/hyperlink" Target="http://www.burkemuseum.org/research-and-collections/botany-and-herbarium/collections/database/results.php?Genus=Goodyera&amp;Species=oblongifolia&amp;SourcePage=search.php&amp;IncludeSynonyms=Y&amp;SortBy=DESC&amp;SortOrder=Year" TargetMode="External"/><Relationship Id="rId5996" Type="http://schemas.openxmlformats.org/officeDocument/2006/relationships/hyperlink" Target="http://www.burkemuseum.org/research-and-collections/botany-and-herbarium/collections/database/results.php?Genus=Paxistima&amp;Species=myrsinites&amp;SourcePage=search.php&amp;IncludeSynonyms=Y&amp;SortBy=DESC&amp;SortOrder=Year" TargetMode="External"/><Relationship Id="rId81" Type="http://schemas.openxmlformats.org/officeDocument/2006/relationships/hyperlink" Target="http://biology.burke.washington.edu/herbarium/imagecollection/taxon.php?Taxon=Ribes%20acerifolium" TargetMode="External"/><Relationship Id="rId605" Type="http://schemas.openxmlformats.org/officeDocument/2006/relationships/hyperlink" Target="https://en.wikipedia.org/wiki/Schoenoplectus_tabernaemontani" TargetMode="External"/><Relationship Id="rId812" Type="http://schemas.openxmlformats.org/officeDocument/2006/relationships/hyperlink" Target="https://en.wikipedia.org/wiki/Persicaria_hydropiperoides" TargetMode="External"/><Relationship Id="rId1028" Type="http://schemas.openxmlformats.org/officeDocument/2006/relationships/hyperlink" Target="http://en.wikipedia.org/wiki/Allium_schoenoprasum" TargetMode="External"/><Relationship Id="rId1235" Type="http://schemas.openxmlformats.org/officeDocument/2006/relationships/hyperlink" Target="http://biology.burke.washington.edu/herbarium/imagecollectionnew/taxon.php?Taxon=Castilleja%20chambersii" TargetMode="External"/><Relationship Id="rId1442" Type="http://schemas.openxmlformats.org/officeDocument/2006/relationships/hyperlink" Target="http://biology.burke.washington.edu/herbarium/imagecollectionnew/taxon.php?Taxon=Carex%20obnupta" TargetMode="External"/><Relationship Id="rId2840" Type="http://schemas.openxmlformats.org/officeDocument/2006/relationships/hyperlink" Target="http://www.burkemuseum.org/research-and-collections/botany-and-herbarium/collections/database/results.php?Genus=Carex&amp;Species=hendersonii&amp;SourcePage=search.php&amp;IncludeSynonyms=Y&amp;SortBy=DESC&amp;SortOrder=Year" TargetMode="External"/><Relationship Id="rId4598" Type="http://schemas.openxmlformats.org/officeDocument/2006/relationships/hyperlink" Target="http://www.burkemuseum.org/research-and-collections/botany-and-herbarium/collections/database/results.php?Genus=Agrostis&amp;Species=scabra&amp;SourcePage=search.php&amp;IncludeSynonyms=Y&amp;SortBy=DESC&amp;SortOrder=Year" TargetMode="External"/><Relationship Id="rId5649" Type="http://schemas.openxmlformats.org/officeDocument/2006/relationships/hyperlink" Target="http://www.burkemuseum.org/research-and-collections/botany-and-herbarium/collections/database/results.php?Genus=Collinsia&amp;Species=grandiflora&amp;SourcePage=search.php&amp;IncludeSynonyms=Y&amp;SortBy=DESC&amp;SortOrder=Year" TargetMode="External"/><Relationship Id="rId1302" Type="http://schemas.openxmlformats.org/officeDocument/2006/relationships/hyperlink" Target="http://biology.burke.washington.edu/herbarium/imagecollectionnew/taxon.php?Taxon=Utricularia%20intermedia" TargetMode="External"/><Relationship Id="rId2700" Type="http://schemas.openxmlformats.org/officeDocument/2006/relationships/hyperlink" Target="http://biology.burke.washington.edu/herbarium/imagecollectionnew/taxon.php?Taxon=Selaginella%20wallacei" TargetMode="External"/><Relationship Id="rId4458" Type="http://schemas.openxmlformats.org/officeDocument/2006/relationships/hyperlink" Target="https://plants.usda.gov/core/profile?symbol=THPL" TargetMode="External"/><Relationship Id="rId5856" Type="http://schemas.openxmlformats.org/officeDocument/2006/relationships/hyperlink" Target="http://www.burkemuseum.org/research-and-collections/botany-and-herbarium/collections/database/results.php?Genus=Lathyrus&amp;Species=holochlorus&amp;SourcePage=search.php&amp;IncludeSynonyms=Y&amp;SortBy=DESC&amp;SortOrder=Year" TargetMode="External"/><Relationship Id="rId6907" Type="http://schemas.openxmlformats.org/officeDocument/2006/relationships/hyperlink" Target="http://biology.burke.washington.edu/herbarium/imagecollection/taxon.php?Taxon=Poa%20paucispicula" TargetMode="External"/><Relationship Id="rId7071" Type="http://schemas.openxmlformats.org/officeDocument/2006/relationships/hyperlink" Target="http://biology.burke.washington.edu/herbarium/imagecollectionnew/taxon.php?Taxon=Viola%20palustris" TargetMode="External"/><Relationship Id="rId3267" Type="http://schemas.openxmlformats.org/officeDocument/2006/relationships/hyperlink" Target="http://www.burkemuseum.org/research-and-collections/botany-and-herbarium/collections/database/results.php?Genus=Ranunculus&amp;Species=aquatilis&amp;SourcePage=search.php&amp;IncludeSynonyms=Y&amp;SortBy=DESC&amp;SortOrder=Year" TargetMode="External"/><Relationship Id="rId4665" Type="http://schemas.openxmlformats.org/officeDocument/2006/relationships/hyperlink" Target="http://www.burkemuseum.org/research-and-collections/botany-and-herbarium/collections/database/results.php?Genus=Betula&amp;Species=glandulosa&amp;SourcePage=search.php&amp;IncludeSynonyms=Y&amp;SortBy=DESC&amp;SortOrder=Year" TargetMode="External"/><Relationship Id="rId4872" Type="http://schemas.openxmlformats.org/officeDocument/2006/relationships/hyperlink" Target="https://en.wikipedia.org/wiki/Corydalis_scouleri" TargetMode="External"/><Relationship Id="rId5509" Type="http://schemas.openxmlformats.org/officeDocument/2006/relationships/hyperlink" Target="https://en.wikipedia.org/wiki/Vicia_americana" TargetMode="External"/><Relationship Id="rId5716" Type="http://schemas.openxmlformats.org/officeDocument/2006/relationships/hyperlink" Target="http://www.burkemuseum.org/research-and-collections/botany-and-herbarium/collections/database/results.php?Genus=Empetrum&amp;Species=nigrum&amp;SourcePage=search.php&amp;IncludeSynonyms=Y&amp;SortBy=DESC&amp;SortOrder=Year" TargetMode="External"/><Relationship Id="rId5923" Type="http://schemas.openxmlformats.org/officeDocument/2006/relationships/hyperlink" Target="http://www.burkemuseum.org/research-and-collections/botany-and-herbarium/collections/database/results.php?Genus=Malaxis&amp;Species=monophyllos&amp;SourcePage=search.php&amp;IncludeSynonyms=Y&amp;SortBy=DESC&amp;SortOrder=Year" TargetMode="External"/><Relationship Id="rId188" Type="http://schemas.openxmlformats.org/officeDocument/2006/relationships/hyperlink" Target="http://biology.burke.washington.edu/herbarium/imagecollection/taxon.php?Taxon=Leptosiphon%20bicolor" TargetMode="External"/><Relationship Id="rId395" Type="http://schemas.openxmlformats.org/officeDocument/2006/relationships/hyperlink" Target="http://biology.burke.washington.edu/herbarium/imagecollectionnew/taxon.php?Taxon=Calystegia%20soldanella" TargetMode="External"/><Relationship Id="rId2076" Type="http://schemas.openxmlformats.org/officeDocument/2006/relationships/hyperlink" Target="http://plants.usda.gov/java/profile?symbol=LAVE2" TargetMode="External"/><Relationship Id="rId3474" Type="http://schemas.openxmlformats.org/officeDocument/2006/relationships/hyperlink" Target="http://www.burkemuseum.org/research-and-collections/botany-and-herbarium/collections/database/results.php?Genus=Carex&amp;Species=feta&amp;SourcePage=search.php&amp;IncludeSynonyms=Y&amp;SortBy=DESC&amp;SortOrder=Year" TargetMode="External"/><Relationship Id="rId3681" Type="http://schemas.openxmlformats.org/officeDocument/2006/relationships/hyperlink" Target="https://plants.usda.gov/core/profile?symbol=APAN2" TargetMode="External"/><Relationship Id="rId4318" Type="http://schemas.openxmlformats.org/officeDocument/2006/relationships/hyperlink" Target="https://plants.usda.gov/core/profile?symbol=RIDI" TargetMode="External"/><Relationship Id="rId4525" Type="http://schemas.openxmlformats.org/officeDocument/2006/relationships/hyperlink" Target="https://plants.usda.gov/core/profile?symbol=XETE" TargetMode="External"/><Relationship Id="rId4732" Type="http://schemas.openxmlformats.org/officeDocument/2006/relationships/hyperlink" Target="https://en.wikipedia.org/wiki/Betula_glandulosa" TargetMode="External"/><Relationship Id="rId2283" Type="http://schemas.openxmlformats.org/officeDocument/2006/relationships/hyperlink" Target="http://plants.usda.gov/java/profile?symbol=CEDE4" TargetMode="External"/><Relationship Id="rId2490" Type="http://schemas.openxmlformats.org/officeDocument/2006/relationships/hyperlink" Target="https://plants.usda.gov/core/profile?symbol=RHAL2" TargetMode="External"/><Relationship Id="rId3127" Type="http://schemas.openxmlformats.org/officeDocument/2006/relationships/hyperlink" Target="http://www.burkemuseum.org/research-and-collections/botany-and-herbarium/collections/database/results.php?Genus=Maianthemum&amp;Species=racemosum&amp;SourcePage=search.php&amp;IncludeSynonyms=Y&amp;SortBy=DESC&amp;SortOrder=Year" TargetMode="External"/><Relationship Id="rId3334" Type="http://schemas.openxmlformats.org/officeDocument/2006/relationships/hyperlink" Target="http://www.burkemuseum.org/research-and-collections/botany-and-herbarium/collections/database/results.php?Genus=Scirpus&amp;Species=atrocinctus&amp;SourcePage=search.php&amp;IncludeSynonyms=Y&amp;SortBy=DESC&amp;SortOrder=Year" TargetMode="External"/><Relationship Id="rId3541" Type="http://schemas.openxmlformats.org/officeDocument/2006/relationships/hyperlink" Target="http://www.burkemuseum.org/research-and-collections/botany-and-herbarium/collections/database/results.php?Genus=Oxalis&amp;Species=trilliifolia&amp;SourcePage=search.php&amp;IncludeSynonyms=Y&amp;SortBy=DESC&amp;SortOrder=Year" TargetMode="External"/><Relationship Id="rId6697" Type="http://schemas.openxmlformats.org/officeDocument/2006/relationships/hyperlink" Target="http://biology.burke.washington.edu/herbarium/imagecollection/taxon.php?Taxon=Plagiobothrys%20scouleri" TargetMode="External"/><Relationship Id="rId255" Type="http://schemas.openxmlformats.org/officeDocument/2006/relationships/hyperlink" Target="http://biology.burke.washington.edu/herbarium/imagecollection/taxon.php?Taxon=Ribes%20cereum" TargetMode="External"/><Relationship Id="rId462" Type="http://schemas.openxmlformats.org/officeDocument/2006/relationships/hyperlink" Target="http://biology.burke.washington.edu/herbarium/imagecollectionnew/taxon.php?Taxon=Vaccinium%20membranaceum" TargetMode="External"/><Relationship Id="rId1092" Type="http://schemas.openxmlformats.org/officeDocument/2006/relationships/hyperlink" Target="https://en.wikipedia.org/wiki/Bitterroot" TargetMode="External"/><Relationship Id="rId2143" Type="http://schemas.openxmlformats.org/officeDocument/2006/relationships/hyperlink" Target="http://plants.usda.gov/java/profile?symbol=GEBI2" TargetMode="External"/><Relationship Id="rId2350" Type="http://schemas.openxmlformats.org/officeDocument/2006/relationships/hyperlink" Target="https://plants.usda.gov/core/profile?symbol=BOIN4" TargetMode="External"/><Relationship Id="rId3401" Type="http://schemas.openxmlformats.org/officeDocument/2006/relationships/hyperlink" Target="http://www.burkemuseum.org/research-and-collections/botany-and-herbarium/collections/database/results.php?Genus=Trifolium&amp;Species=oliganthum&amp;SourcePage=search.php&amp;IncludeSynonyms=Y&amp;SortBy=DESC&amp;SortOrder=Year" TargetMode="External"/><Relationship Id="rId5299" Type="http://schemas.openxmlformats.org/officeDocument/2006/relationships/hyperlink" Target="https://en.wikipedia.org/wiki/Ranunculus_flammula" TargetMode="External"/><Relationship Id="rId6557" Type="http://schemas.openxmlformats.org/officeDocument/2006/relationships/hyperlink" Target="http://biology.burke.washington.edu/herbarium/imagecollection/taxon.php?Taxon=Lonicera%20ciliosa" TargetMode="External"/><Relationship Id="rId6764" Type="http://schemas.openxmlformats.org/officeDocument/2006/relationships/hyperlink" Target="http://biology.burke.washington.edu/herbarium/imagecollection/taxon.php?Taxon=Hosackia%20pinnata" TargetMode="External"/><Relationship Id="rId6971" Type="http://schemas.openxmlformats.org/officeDocument/2006/relationships/hyperlink" Target="http://biology.burke.washington.edu/herbarium/imagecollection/taxon.php?Taxon=Glyceria%20grandis" TargetMode="External"/><Relationship Id="rId115" Type="http://schemas.openxmlformats.org/officeDocument/2006/relationships/hyperlink" Target="http://biology.burke.washington.edu/herbarium/imagecollection/taxon.php?Taxon=Juniperus%20scopulorum" TargetMode="External"/><Relationship Id="rId322" Type="http://schemas.openxmlformats.org/officeDocument/2006/relationships/hyperlink" Target="http://biology.burke.washington.edu/herbarium/imagecollectionnew/taxon.php?Taxon=Brodiaea%20coronaria" TargetMode="External"/><Relationship Id="rId2003" Type="http://schemas.openxmlformats.org/officeDocument/2006/relationships/hyperlink" Target="http://plants.usda.gov/java/profile?symbol=MOFO" TargetMode="External"/><Relationship Id="rId2210" Type="http://schemas.openxmlformats.org/officeDocument/2006/relationships/hyperlink" Target="https://plants.usda.gov/core/profile?symbol=POGL9" TargetMode="External"/><Relationship Id="rId5159" Type="http://schemas.openxmlformats.org/officeDocument/2006/relationships/hyperlink" Target="https://en.wikipedia.org/wiki/Myrica_gale" TargetMode="External"/><Relationship Id="rId5366" Type="http://schemas.openxmlformats.org/officeDocument/2006/relationships/hyperlink" Target="https://en.wikipedia.org/wiki/Salix_sitchensis" TargetMode="External"/><Relationship Id="rId5573" Type="http://schemas.openxmlformats.org/officeDocument/2006/relationships/hyperlink" Target="http://www.burkemuseum.org/research-and-collections/botany-and-herbarium/collections/database/results.php?Genus=Carex&amp;Species=athrostachya&amp;SourcePage=search.php&amp;IncludeSynonyms=Y&amp;SortBy=DESC&amp;SortOrder=Year" TargetMode="External"/><Relationship Id="rId6417" Type="http://schemas.openxmlformats.org/officeDocument/2006/relationships/hyperlink" Target="http://biology.burke.washington.edu/herbarium/imagecollectionnew/taxon.php?Taxon=Carex%20stipata" TargetMode="External"/><Relationship Id="rId6624" Type="http://schemas.openxmlformats.org/officeDocument/2006/relationships/hyperlink" Target="http://biology.burke.washington.edu/herbarium/imagecollectionnew/results.php?Terms=trillium&amp;Type=Names&amp;x=0&amp;y=0" TargetMode="External"/><Relationship Id="rId4175" Type="http://schemas.openxmlformats.org/officeDocument/2006/relationships/hyperlink" Target="https://plants.usda.gov/core/profile?symbol=OEFL" TargetMode="External"/><Relationship Id="rId4382" Type="http://schemas.openxmlformats.org/officeDocument/2006/relationships/hyperlink" Target="https://plants.usda.gov/core/profile?symbol=scpu10" TargetMode="External"/><Relationship Id="rId5019" Type="http://schemas.openxmlformats.org/officeDocument/2006/relationships/hyperlink" Target="https://en.wikipedia.org/wiki/Hieracium_scouleri" TargetMode="External"/><Relationship Id="rId5226" Type="http://schemas.openxmlformats.org/officeDocument/2006/relationships/hyperlink" Target="https://en.wikipedia.org/wiki/Pinus_monticola" TargetMode="External"/><Relationship Id="rId5433" Type="http://schemas.openxmlformats.org/officeDocument/2006/relationships/hyperlink" Target="https://en.wikipedia.org/wiki/Stellaria_crispa" TargetMode="External"/><Relationship Id="rId5780" Type="http://schemas.openxmlformats.org/officeDocument/2006/relationships/hyperlink" Target="http://www.burkemuseum.org/research-and-collections/botany-and-herbarium/collections/database/results.php?Genus=Geranium&amp;Species=oreganum&amp;SourcePage=search.php&amp;IncludeSynonyms=Y&amp;SortBy=DESC&amp;SortOrder=Year" TargetMode="External"/><Relationship Id="rId6831" Type="http://schemas.openxmlformats.org/officeDocument/2006/relationships/hyperlink" Target="http://biology.burke.washington.edu/herbarium/imagecollectionnew/taxon.php?Taxon=Carex%20athrostachya" TargetMode="External"/><Relationship Id="rId1769" Type="http://schemas.openxmlformats.org/officeDocument/2006/relationships/hyperlink" Target="https://plants.usda.gov/core/profile?symbol=SYRE" TargetMode="External"/><Relationship Id="rId1976" Type="http://schemas.openxmlformats.org/officeDocument/2006/relationships/hyperlink" Target="http://plants.usda.gov/java/profile?symbol=OSPU" TargetMode="External"/><Relationship Id="rId3191" Type="http://schemas.openxmlformats.org/officeDocument/2006/relationships/hyperlink" Target="http://www.burkemuseum.org/research-and-collections/botany-and-herbarium/collections/database/results.php?Genus=Penstemon&amp;Species=attenuatus&amp;SourcePage=search.php&amp;IncludeSynonyms=Y&amp;SortBy=DESC&amp;SortOrder=Year" TargetMode="External"/><Relationship Id="rId4035" Type="http://schemas.openxmlformats.org/officeDocument/2006/relationships/hyperlink" Target="https://plants.usda.gov/core/profile?symbol=JUAC" TargetMode="External"/><Relationship Id="rId4242" Type="http://schemas.openxmlformats.org/officeDocument/2006/relationships/hyperlink" Target="https://plants.usda.gov/core/profile?symbol=POLE2" TargetMode="External"/><Relationship Id="rId5640" Type="http://schemas.openxmlformats.org/officeDocument/2006/relationships/hyperlink" Target="http://www.burkemuseum.org/research-and-collections/botany-and-herbarium/collections/database/results.php?Genus=Claytonia&amp;Species=lanceolata&amp;SourcePage=search.php&amp;IncludeSynonyms=Y&amp;SortBy=DESC&amp;SortOrder=Year" TargetMode="External"/><Relationship Id="rId1629" Type="http://schemas.openxmlformats.org/officeDocument/2006/relationships/hyperlink" Target="http://biology.burke.washington.edu/herbarium/imagecollectionnew/taxon.php?Taxon=Triteleia%20hyacinthina" TargetMode="External"/><Relationship Id="rId1836" Type="http://schemas.openxmlformats.org/officeDocument/2006/relationships/hyperlink" Target="http://plants.usda.gov/java/profile?symbol=SARA2" TargetMode="External"/><Relationship Id="rId5500" Type="http://schemas.openxmlformats.org/officeDocument/2006/relationships/hyperlink" Target="https://en.wikipedia.org/wiki/Veratrum_californicum" TargetMode="External"/><Relationship Id="rId1903" Type="http://schemas.openxmlformats.org/officeDocument/2006/relationships/hyperlink" Target="http://plants.usda.gov/java/profile?symbol=PREM" TargetMode="External"/><Relationship Id="rId3051" Type="http://schemas.openxmlformats.org/officeDocument/2006/relationships/hyperlink" Target="http://www.burkemuseum.org/research-and-collections/botany-and-herbarium/collections/database/results.php?Genus=Impatiens&amp;Species=ecornuta&amp;SourcePage=search.php&amp;IncludeSynonyms=Y&amp;SortBy=DESC&amp;SortOrder=Year" TargetMode="External"/><Relationship Id="rId4102" Type="http://schemas.openxmlformats.org/officeDocument/2006/relationships/hyperlink" Target="https://plants.usda.gov/core/profile?symbol=LURI" TargetMode="External"/><Relationship Id="rId3868" Type="http://schemas.openxmlformats.org/officeDocument/2006/relationships/hyperlink" Target="https://plants.usda.gov/core/profile?symbol=CUCE" TargetMode="External"/><Relationship Id="rId4919" Type="http://schemas.openxmlformats.org/officeDocument/2006/relationships/hyperlink" Target="https://en.wikipedia.org/wiki/Eleocharis_engelmannii" TargetMode="External"/><Relationship Id="rId6067" Type="http://schemas.openxmlformats.org/officeDocument/2006/relationships/hyperlink" Target="http://www.burkemuseum.org/research-and-collections/botany-and-herbarium/collections/database/results.php?Genus=Potamogeton&amp;Species=natans&amp;SourcePage=search.php&amp;IncludeSynonyms=Y&amp;SortBy=DESC&amp;SortOrder=Year" TargetMode="External"/><Relationship Id="rId6274" Type="http://schemas.openxmlformats.org/officeDocument/2006/relationships/hyperlink" Target="http://www.burkemuseum.org/research-and-collections/botany-and-herbarium/collections/database/results.php?Genus=Triodanis&amp;Species=perfoliata&amp;SourcePage=search.php&amp;IncludeSynonyms=Y&amp;SortBy=DESC&amp;SortOrder=Year" TargetMode="External"/><Relationship Id="rId6481" Type="http://schemas.openxmlformats.org/officeDocument/2006/relationships/hyperlink" Target="http://biology.burke.washington.edu/herbarium/imagecollection/taxon.php?Taxon=Erigeron%20compositus" TargetMode="External"/><Relationship Id="rId7118" Type="http://schemas.openxmlformats.org/officeDocument/2006/relationships/hyperlink" Target="http://biology.burke.washington.edu/herbarium/imagecollectionnew/taxon.php?Taxon=Stachys%20rigida" TargetMode="External"/><Relationship Id="rId789" Type="http://schemas.openxmlformats.org/officeDocument/2006/relationships/hyperlink" Target="https://en.wikipedia.org/wiki/Poa_secunda" TargetMode="External"/><Relationship Id="rId996" Type="http://schemas.openxmlformats.org/officeDocument/2006/relationships/hyperlink" Target="https://en.wikipedia.org/wiki/Artemisia_douglasiana" TargetMode="External"/><Relationship Id="rId2677" Type="http://schemas.openxmlformats.org/officeDocument/2006/relationships/hyperlink" Target="http://biology.burke.washington.edu/herbarium/imagecollectionnew/results.php?Terms=asclepias&amp;Type=Names&amp;x=0&amp;y=0" TargetMode="External"/><Relationship Id="rId2884" Type="http://schemas.openxmlformats.org/officeDocument/2006/relationships/hyperlink" Target="http://www.burkemuseum.org/research-and-collections/botany-and-herbarium/collections/database/results.php?Genus=Cirsium&amp;Species=brevistylum&amp;SourcePage=search.php&amp;IncludeSynonyms=Y&amp;SortBy=DESC&amp;SortOrder=Year" TargetMode="External"/><Relationship Id="rId3728" Type="http://schemas.openxmlformats.org/officeDocument/2006/relationships/hyperlink" Target="https://plants.usda.gov/core/profile?symbol=BOOR" TargetMode="External"/><Relationship Id="rId5083" Type="http://schemas.openxmlformats.org/officeDocument/2006/relationships/hyperlink" Target="https://en.wikipedia.org/wiki/Lithophragma_parviflorum" TargetMode="External"/><Relationship Id="rId5290" Type="http://schemas.openxmlformats.org/officeDocument/2006/relationships/hyperlink" Target="https://en.wikipedia.org/wiki/Puccinellia_nuttalliana" TargetMode="External"/><Relationship Id="rId6134" Type="http://schemas.openxmlformats.org/officeDocument/2006/relationships/hyperlink" Target="http://www.burkemuseum.org/research-and-collections/botany-and-herbarium/collections/database/results.php?Genus=Rubus&amp;Species=nutkanus&amp;SourcePage=search.php&amp;IncludeSynonyms=Y&amp;SortBy=DESC&amp;SortOrder=Year" TargetMode="External"/><Relationship Id="rId6341" Type="http://schemas.openxmlformats.org/officeDocument/2006/relationships/hyperlink" Target="http://biology.burke.washington.edu/herbarium/imagecollection/taxon.php?Taxon=Abies%20procera" TargetMode="External"/><Relationship Id="rId649" Type="http://schemas.openxmlformats.org/officeDocument/2006/relationships/hyperlink" Target="https://en.wikipedia.org/wiki/Ribes_triste" TargetMode="External"/><Relationship Id="rId856" Type="http://schemas.openxmlformats.org/officeDocument/2006/relationships/hyperlink" Target="https://en.wikipedia.org/wiki/Microseris_laciniata" TargetMode="External"/><Relationship Id="rId1279" Type="http://schemas.openxmlformats.org/officeDocument/2006/relationships/hyperlink" Target="https://en.wikipedia.org/wiki/Perideridia_oregana" TargetMode="External"/><Relationship Id="rId1486" Type="http://schemas.openxmlformats.org/officeDocument/2006/relationships/hyperlink" Target="https://en.wikipedia.org/wiki/Arnica" TargetMode="External"/><Relationship Id="rId2537" Type="http://schemas.openxmlformats.org/officeDocument/2006/relationships/hyperlink" Target="http://plants.usda.gov/java/profile?symbol=LIAP" TargetMode="External"/><Relationship Id="rId3935" Type="http://schemas.openxmlformats.org/officeDocument/2006/relationships/hyperlink" Target="https://plants.usda.gov/core/profile?symbol=ERGR8" TargetMode="External"/><Relationship Id="rId5150" Type="http://schemas.openxmlformats.org/officeDocument/2006/relationships/hyperlink" Target="https://en.wikipedia.org/wiki/Montia_dichotoma" TargetMode="External"/><Relationship Id="rId6201" Type="http://schemas.openxmlformats.org/officeDocument/2006/relationships/hyperlink" Target="http://www.burkemuseum.org/research-and-collections/botany-and-herbarium/collections/database/results.php?Genus=Sidalcea&amp;Species=hirtipes&amp;SourcePage=search.php&amp;IncludeSynonyms=Y&amp;SortBy=DESC&amp;SortOrder=Year" TargetMode="External"/><Relationship Id="rId509" Type="http://schemas.openxmlformats.org/officeDocument/2006/relationships/hyperlink" Target="https://en.wikipedia.org/wiki/Viola_adunca" TargetMode="External"/><Relationship Id="rId1139" Type="http://schemas.openxmlformats.org/officeDocument/2006/relationships/hyperlink" Target="https://en.wikipedia.org/wiki/Holodiscus_discolor" TargetMode="External"/><Relationship Id="rId1346" Type="http://schemas.openxmlformats.org/officeDocument/2006/relationships/hyperlink" Target="http://biology.burke.washington.edu/herbarium/imagecollection/taxon.php?Taxon=Hierochloe%20odorata" TargetMode="External"/><Relationship Id="rId1693" Type="http://schemas.openxmlformats.org/officeDocument/2006/relationships/hyperlink" Target="http://biology.burke.washington.edu/herbarium/imagecollectionnew/taxon.php?Taxon=Microsteris%20gracilis" TargetMode="External"/><Relationship Id="rId2744" Type="http://schemas.openxmlformats.org/officeDocument/2006/relationships/hyperlink" Target="http://www.burkemuseum.org/research-and-collections/botany-and-herbarium/collections/database/results.php?Genus=Amsinckia&amp;Species=menziesii&amp;SourcePage=search.php&amp;IncludeSynonyms=Y&amp;SortBy=DESC&amp;SortOrder=Year" TargetMode="External"/><Relationship Id="rId2951" Type="http://schemas.openxmlformats.org/officeDocument/2006/relationships/hyperlink" Target="http://www.burkemuseum.org/research-and-collections/botany-and-herbarium/collections/database/results.php?Genus=Eleocharis&amp;Species=acicularis&amp;SourcePage=search.php&amp;IncludeSynonyms=Y&amp;SortBy=DESC&amp;SortOrder=Year" TargetMode="External"/><Relationship Id="rId5010" Type="http://schemas.openxmlformats.org/officeDocument/2006/relationships/hyperlink" Target="https://en.wikipedia.org/wiki/Hemizonella_minima" TargetMode="External"/><Relationship Id="rId716" Type="http://schemas.openxmlformats.org/officeDocument/2006/relationships/hyperlink" Target="https://en.wikipedia.org/wiki/Epilobium_minutum" TargetMode="External"/><Relationship Id="rId923" Type="http://schemas.openxmlformats.org/officeDocument/2006/relationships/hyperlink" Target="https://en.wikipedia.org/wiki/Carex" TargetMode="External"/><Relationship Id="rId1553" Type="http://schemas.openxmlformats.org/officeDocument/2006/relationships/hyperlink" Target="https://en.wikipedia.org/wiki/Mitella_trifida" TargetMode="External"/><Relationship Id="rId1760" Type="http://schemas.openxmlformats.org/officeDocument/2006/relationships/hyperlink" Target="http://plants.usda.gov/java/profile?symbol=TRCA" TargetMode="External"/><Relationship Id="rId2604" Type="http://schemas.openxmlformats.org/officeDocument/2006/relationships/hyperlink" Target="http://plants.usda.gov/java/profile?symbol=ABAM" TargetMode="External"/><Relationship Id="rId2811" Type="http://schemas.openxmlformats.org/officeDocument/2006/relationships/hyperlink" Target="http://www.burkemuseum.org/research-and-collections/botany-and-herbarium/collections/database/results.php?Genus=Calamagrostis&amp;Species=stricta&amp;SourcePage=search.php&amp;IncludeSynonyms=Y&amp;SortBy=DESC&amp;SortOrder=Year" TargetMode="External"/><Relationship Id="rId5967" Type="http://schemas.openxmlformats.org/officeDocument/2006/relationships/hyperlink" Target="http://www.burkemuseum.org/research-and-collections/botany-and-herbarium/collections/database/results.php?Genus=Nemophila&amp;Species=parviflora&amp;SourcePage=search.php&amp;IncludeSynonyms=Y&amp;SortBy=DESC&amp;SortOrder=Year" TargetMode="External"/><Relationship Id="rId52" Type="http://schemas.openxmlformats.org/officeDocument/2006/relationships/hyperlink" Target="http://biology.burke.washington.edu/herbarium/imagecollection/taxon.php?Taxon=Lonicera%20ciliosa" TargetMode="External"/><Relationship Id="rId1206" Type="http://schemas.openxmlformats.org/officeDocument/2006/relationships/hyperlink" Target="http://biology.burke.washington.edu/herbarium/imagecollection/taxon.php?Taxon=Empetrum%20nigrum" TargetMode="External"/><Relationship Id="rId1413" Type="http://schemas.openxmlformats.org/officeDocument/2006/relationships/hyperlink" Target="http://biology.burke.washington.edu/herbarium/imagecollection/taxon.php?Taxon=Luetkea%20pectinata" TargetMode="External"/><Relationship Id="rId1620" Type="http://schemas.openxmlformats.org/officeDocument/2006/relationships/hyperlink" Target="https://en.wikipedia.org/wiki/Gaultheria_shallon" TargetMode="External"/><Relationship Id="rId4569" Type="http://schemas.openxmlformats.org/officeDocument/2006/relationships/hyperlink" Target="https://en.wikipedia.org/wiki/Amsinckia_menziesii" TargetMode="External"/><Relationship Id="rId4776" Type="http://schemas.openxmlformats.org/officeDocument/2006/relationships/hyperlink" Target="https://en.wikipedia.org/wiki/Carex_amplifolia" TargetMode="External"/><Relationship Id="rId4983" Type="http://schemas.openxmlformats.org/officeDocument/2006/relationships/hyperlink" Target="https://en.wikipedia.org/wiki/Galium_triflorum" TargetMode="External"/><Relationship Id="rId5827" Type="http://schemas.openxmlformats.org/officeDocument/2006/relationships/hyperlink" Target="http://www.burkemuseum.org/research-and-collections/botany-and-herbarium/collections/database/results.php?Genus=Impatiens&amp;Species=ecornuta&amp;SourcePage=search.php&amp;IncludeSynonyms=Y&amp;SortBy=DESC&amp;SortOrder=Year" TargetMode="External"/><Relationship Id="rId7182" Type="http://schemas.openxmlformats.org/officeDocument/2006/relationships/hyperlink" Target="http://biology.burke.washington.edu/herbarium/imagecollection/taxon.php?Taxon=Sagittaria%20latifolia" TargetMode="External"/><Relationship Id="rId3378" Type="http://schemas.openxmlformats.org/officeDocument/2006/relationships/hyperlink" Target="http://www.burkemuseum.org/research-and-collections/botany-and-herbarium/collections/database/results.php?Genus=Stuckenia&amp;Species=filiformis&amp;SourcePage=search.php&amp;IncludeSynonyms=Y&amp;SortBy=DESC&amp;SortOrder=Year" TargetMode="External"/><Relationship Id="rId3585" Type="http://schemas.openxmlformats.org/officeDocument/2006/relationships/hyperlink" Target="http://www.burkemuseum.org/research-and-collections/botany-and-herbarium/collections/database/results.php?Genus=Saxifraga&amp;Species=mertensiana&amp;SourcePage=search.php&amp;IncludeSynonyms=Y&amp;SortBy=DESC&amp;SortOrder=Year" TargetMode="External"/><Relationship Id="rId3792" Type="http://schemas.openxmlformats.org/officeDocument/2006/relationships/hyperlink" Target="https://plants.usda.gov/core/profile?symbol=CARO5" TargetMode="External"/><Relationship Id="rId4429" Type="http://schemas.openxmlformats.org/officeDocument/2006/relationships/hyperlink" Target="https://plants.usda.gov/core/profile?symbol=STCHC3" TargetMode="External"/><Relationship Id="rId4636" Type="http://schemas.openxmlformats.org/officeDocument/2006/relationships/hyperlink" Target="http://www.burkemuseum.org/research-and-collections/botany-and-herbarium/collections/database/results.php?Genus=Arbutus&amp;Species=menziesii&amp;SourcePage=search.php&amp;IncludeSynonyms=Y&amp;SortBy=DESC&amp;SortOrder=Year" TargetMode="External"/><Relationship Id="rId4843" Type="http://schemas.openxmlformats.org/officeDocument/2006/relationships/hyperlink" Target="https://en.wikipedia.org/wiki/Cirsium_remotifolium" TargetMode="External"/><Relationship Id="rId7042" Type="http://schemas.openxmlformats.org/officeDocument/2006/relationships/hyperlink" Target="http://biology.burke.washington.edu/herbarium/imagecollectionnew/taxon.php?Taxon=Bidens%20beckii" TargetMode="External"/><Relationship Id="rId299" Type="http://schemas.openxmlformats.org/officeDocument/2006/relationships/hyperlink" Target="http://biology.burke.washington.edu/herbarium/imagecollectionnew/taxon.php?Taxon=Arabis%20eschscholtziana" TargetMode="External"/><Relationship Id="rId2187" Type="http://schemas.openxmlformats.org/officeDocument/2006/relationships/hyperlink" Target="http://plants.usda.gov/java/profile?symbol=EQFL" TargetMode="External"/><Relationship Id="rId2394" Type="http://schemas.openxmlformats.org/officeDocument/2006/relationships/hyperlink" Target="https://plants.usda.gov/core/profile?symbol=ORCA2" TargetMode="External"/><Relationship Id="rId3238" Type="http://schemas.openxmlformats.org/officeDocument/2006/relationships/hyperlink" Target="http://www.burkemuseum.org/research-and-collections/botany-and-herbarium/collections/database/results.php?Genus=Potamogeton&amp;Species=gramineus&amp;SourcePage=search.php&amp;IncludeSynonyms=Y&amp;SortBy=DESC&amp;SortOrder=Year" TargetMode="External"/><Relationship Id="rId3445" Type="http://schemas.openxmlformats.org/officeDocument/2006/relationships/hyperlink" Target="http://www.burkemuseum.org/research-and-collections/botany-and-herbarium/collections/database/results.php?Genus=Xanthium&amp;Species=strumarium&amp;SourcePage=search.php&amp;IncludeSynonyms=Y&amp;SortBy=DESC&amp;SortOrder=Year" TargetMode="External"/><Relationship Id="rId3652" Type="http://schemas.openxmlformats.org/officeDocument/2006/relationships/hyperlink" Target="https://plants.usda.gov/core/profile?symbol=ALCR4" TargetMode="External"/><Relationship Id="rId4703" Type="http://schemas.openxmlformats.org/officeDocument/2006/relationships/hyperlink" Target="https://en.wikipedia.org/wiki/Arceuthobium_tsugense" TargetMode="External"/><Relationship Id="rId159" Type="http://schemas.openxmlformats.org/officeDocument/2006/relationships/hyperlink" Target="http://biology.burke.washington.edu/herbarium/imagecollection/taxon.php?Taxon=Ludwigia%20palustris" TargetMode="External"/><Relationship Id="rId366" Type="http://schemas.openxmlformats.org/officeDocument/2006/relationships/hyperlink" Target="http://biology.burke.washington.edu/herbarium/imagecollectionnew/taxon.php?Taxon=Carex%20pellita" TargetMode="External"/><Relationship Id="rId573" Type="http://schemas.openxmlformats.org/officeDocument/2006/relationships/hyperlink" Target="https://en.wikipedia.org/wiki/Stachys_rigida" TargetMode="External"/><Relationship Id="rId780" Type="http://schemas.openxmlformats.org/officeDocument/2006/relationships/hyperlink" Target="http://www.casaflora.com/plant/soft-shield-alaskan-fern/" TargetMode="External"/><Relationship Id="rId2047" Type="http://schemas.openxmlformats.org/officeDocument/2006/relationships/hyperlink" Target="http://plants.usda.gov/java/profile?symbol=LULE2" TargetMode="External"/><Relationship Id="rId2254" Type="http://schemas.openxmlformats.org/officeDocument/2006/relationships/hyperlink" Target="http://plants.usda.gov/java/profile?symbol=COHE2" TargetMode="External"/><Relationship Id="rId2461" Type="http://schemas.openxmlformats.org/officeDocument/2006/relationships/hyperlink" Target="http://plants.usda.gov/java/profile?symbol=SYHE" TargetMode="External"/><Relationship Id="rId3305" Type="http://schemas.openxmlformats.org/officeDocument/2006/relationships/hyperlink" Target="http://www.burkemuseum.org/research-and-collections/botany-and-herbarium/collections/database/results.php?Genus=Salix&amp;Species=barclayi&amp;SourcePage=search.php&amp;IncludeSynonyms=Y&amp;SortBy=DESC&amp;SortOrder=Year" TargetMode="External"/><Relationship Id="rId3512" Type="http://schemas.openxmlformats.org/officeDocument/2006/relationships/hyperlink" Target="http://www.burkemuseum.org/research-and-collections/botany-and-herbarium/collections/database/results.php?Genus=Iris&amp;Species=tenax&amp;SourcePage=search.php&amp;IncludeSynonyms=Y&amp;SortBy=DESC&amp;SortOrder=Year" TargetMode="External"/><Relationship Id="rId4910" Type="http://schemas.openxmlformats.org/officeDocument/2006/relationships/hyperlink" Target="https://en.wikipedia.org/wiki/Drosera_rotundifolia" TargetMode="External"/><Relationship Id="rId6668" Type="http://schemas.openxmlformats.org/officeDocument/2006/relationships/hyperlink" Target="http://biology.burke.washington.edu/herbarium/imagecollection/taxon.php?Taxon=Rhynchospora%20alba" TargetMode="External"/><Relationship Id="rId226" Type="http://schemas.openxmlformats.org/officeDocument/2006/relationships/hyperlink" Target="http://biology.burke.washington.edu/herbarium/imagecollection/taxon.php?Taxon=Ranunculus%20orthorhynchus" TargetMode="External"/><Relationship Id="rId433" Type="http://schemas.openxmlformats.org/officeDocument/2006/relationships/hyperlink" Target="http://biology.burke.washington.edu/herbarium/imagecollectionnew/taxon.php?Taxon=Castilleja%20levisecta" TargetMode="External"/><Relationship Id="rId1063" Type="http://schemas.openxmlformats.org/officeDocument/2006/relationships/hyperlink" Target="https://en.wikipedia.org/wiki/Madia_glomerata" TargetMode="External"/><Relationship Id="rId1270" Type="http://schemas.openxmlformats.org/officeDocument/2006/relationships/hyperlink" Target="http://biology.burke.washington.edu/herbarium/imagecollection/taxon.php?Taxon=Oxytropis%20borealis" TargetMode="External"/><Relationship Id="rId2114" Type="http://schemas.openxmlformats.org/officeDocument/2006/relationships/hyperlink" Target="https://plants.usda.gov/core/profile?symbol=HOPE" TargetMode="External"/><Relationship Id="rId5477" Type="http://schemas.openxmlformats.org/officeDocument/2006/relationships/hyperlink" Target="https://en.wikipedia.org/wiki/Triphysaria_pusilla" TargetMode="External"/><Relationship Id="rId6875" Type="http://schemas.openxmlformats.org/officeDocument/2006/relationships/hyperlink" Target="http://biology.burke.washington.edu/herbarium/imagecollectionnew/taxon.php?Taxon=Typha%20angustifolia" TargetMode="External"/><Relationship Id="rId640" Type="http://schemas.openxmlformats.org/officeDocument/2006/relationships/hyperlink" Target="https://en.wikipedia.org/wiki/Rumex" TargetMode="External"/><Relationship Id="rId2321" Type="http://schemas.openxmlformats.org/officeDocument/2006/relationships/hyperlink" Target="https://plants.usda.gov/core/profile?symbol=CACI5" TargetMode="External"/><Relationship Id="rId4079" Type="http://schemas.openxmlformats.org/officeDocument/2006/relationships/hyperlink" Target="https://plants.usda.gov/core/profile?symbol=lile3" TargetMode="External"/><Relationship Id="rId4286" Type="http://schemas.openxmlformats.org/officeDocument/2006/relationships/hyperlink" Target="https://plants.usda.gov/core/profile?symbol=PTAQ" TargetMode="External"/><Relationship Id="rId5684" Type="http://schemas.openxmlformats.org/officeDocument/2006/relationships/hyperlink" Target="http://www.burkemuseum.org/research-and-collections/botany-and-herbarium/collections/database/results.php?Genus=Datura&amp;Species=wrightii&amp;SourcePage=search.php&amp;IncludeSynonyms=Y&amp;SortBy=DESC&amp;SortOrder=Year" TargetMode="External"/><Relationship Id="rId5891" Type="http://schemas.openxmlformats.org/officeDocument/2006/relationships/hyperlink" Target="http://www.burkemuseum.org/research-and-collections/botany-and-herbarium/collections/database/results.php?Genus=Lonicera&amp;Species=utahensis&amp;SourcePage=search.php&amp;IncludeSynonyms=Y&amp;SortBy=DESC&amp;SortOrder=Year" TargetMode="External"/><Relationship Id="rId6528" Type="http://schemas.openxmlformats.org/officeDocument/2006/relationships/hyperlink" Target="http://biology.burke.washington.edu/herbarium/imagecollection/taxon.php?Taxon=Heuchera%20micrantha" TargetMode="External"/><Relationship Id="rId6735" Type="http://schemas.openxmlformats.org/officeDocument/2006/relationships/hyperlink" Target="http://biology.burke.washington.edu/herbarium/imagecollection/taxon.php?Taxon=Madia%20sativa" TargetMode="External"/><Relationship Id="rId6942" Type="http://schemas.openxmlformats.org/officeDocument/2006/relationships/hyperlink" Target="http://biology.burke.washington.edu/herbarium/imagecollection/taxon.php?Taxon=Lobelia%20dortmanna" TargetMode="External"/><Relationship Id="rId500" Type="http://schemas.openxmlformats.org/officeDocument/2006/relationships/hyperlink" Target="https://en.wikipedia.org/wiki/Xerophyllum_tenax" TargetMode="External"/><Relationship Id="rId1130" Type="http://schemas.openxmlformats.org/officeDocument/2006/relationships/hyperlink" Target="https://en.wikipedia.org/wiki/Hypericum_majus" TargetMode="External"/><Relationship Id="rId4493" Type="http://schemas.openxmlformats.org/officeDocument/2006/relationships/hyperlink" Target="https://plants.usda.gov/core/profile?symbol=VAOV2" TargetMode="External"/><Relationship Id="rId5337" Type="http://schemas.openxmlformats.org/officeDocument/2006/relationships/hyperlink" Target="https://en.wikipedia.org/wiki/Rubus_ursinus" TargetMode="External"/><Relationship Id="rId5544" Type="http://schemas.openxmlformats.org/officeDocument/2006/relationships/hyperlink" Target="http://www.burkemuseum.org/research-and-collections/botany-and-herbarium/collections/database/results.php?Genus=Bromus&amp;Species=carinatus&amp;SourcePage=search.php&amp;IncludeSynonyms=Y&amp;SortBy=DESC&amp;SortOrder=Year" TargetMode="External"/><Relationship Id="rId5751" Type="http://schemas.openxmlformats.org/officeDocument/2006/relationships/hyperlink" Target="http://www.burkemuseum.org/research-and-collections/botany-and-herbarium/collections/database/results.php?Genus=Euonymus&amp;Species=occidentalis&amp;SourcePage=search.php&amp;IncludeSynonyms=Y&amp;SortBy=DESC&amp;SortOrder=Year" TargetMode="External"/><Relationship Id="rId6802" Type="http://schemas.openxmlformats.org/officeDocument/2006/relationships/hyperlink" Target="http://biology.burke.washington.edu/herbarium/imagecollectionnew/taxon.php?Taxon=Cryptantha%20intermedia" TargetMode="External"/><Relationship Id="rId1947" Type="http://schemas.openxmlformats.org/officeDocument/2006/relationships/hyperlink" Target="http://plants.usda.gov/java/profile?symbol=PLFI" TargetMode="External"/><Relationship Id="rId3095" Type="http://schemas.openxmlformats.org/officeDocument/2006/relationships/hyperlink" Target="http://www.burkemuseum.org/research-and-collections/botany-and-herbarium/collections/database/results.php?Genus=Linum&amp;Species=lewisii&amp;SourcePage=search.php&amp;IncludeSynonyms=Y&amp;SortBy=DESC&amp;SortOrder=Year" TargetMode="External"/><Relationship Id="rId4146" Type="http://schemas.openxmlformats.org/officeDocument/2006/relationships/hyperlink" Target="https://plants.usda.gov/core/profile?symbol=MOUN3" TargetMode="External"/><Relationship Id="rId4353" Type="http://schemas.openxmlformats.org/officeDocument/2006/relationships/hyperlink" Target="https://plants.usda.gov/core/profile?symbol=SAEX" TargetMode="External"/><Relationship Id="rId4560" Type="http://schemas.openxmlformats.org/officeDocument/2006/relationships/hyperlink" Target="https://en.wikipedia.org/wiki/Chives" TargetMode="External"/><Relationship Id="rId5404" Type="http://schemas.openxmlformats.org/officeDocument/2006/relationships/hyperlink" Target="https://en.wikipedia.org/wiki/Sidalcea_oregana" TargetMode="External"/><Relationship Id="rId5611" Type="http://schemas.openxmlformats.org/officeDocument/2006/relationships/hyperlink" Target="http://www.burkemuseum.org/research-and-collections/botany-and-herbarium/collections/database/results.php?Genus=Castilleja&amp;Species=chambersii&amp;SourcePage=search.php&amp;IncludeSynonyms=Y&amp;SortBy=DESC&amp;SortOrder=Year" TargetMode="External"/><Relationship Id="rId1807" Type="http://schemas.openxmlformats.org/officeDocument/2006/relationships/hyperlink" Target="https://plants.usda.gov/core/profile?symbol=SIMAV" TargetMode="External"/><Relationship Id="rId3162" Type="http://schemas.openxmlformats.org/officeDocument/2006/relationships/hyperlink" Target="http://www.burkemuseum.org/research-and-collections/botany-and-herbarium/collections/database/results.php?Genus=Myriopteris&amp;Species=gracillima&amp;SourcePage=search.php&amp;IncludeSynonyms=Y&amp;SortBy=DESC&amp;SortOrder=Year" TargetMode="External"/><Relationship Id="rId4006" Type="http://schemas.openxmlformats.org/officeDocument/2006/relationships/hyperlink" Target="https://plants.usda.gov/core/profile?symbol=HIAL2" TargetMode="External"/><Relationship Id="rId4213" Type="http://schemas.openxmlformats.org/officeDocument/2006/relationships/hyperlink" Target="https://plants.usda.gov/core/profile?symbol=PHNE2" TargetMode="External"/><Relationship Id="rId4420" Type="http://schemas.openxmlformats.org/officeDocument/2006/relationships/hyperlink" Target="https://plants.usda.gov/core/profile?symbol=SPNA" TargetMode="External"/><Relationship Id="rId290" Type="http://schemas.openxmlformats.org/officeDocument/2006/relationships/hyperlink" Target="http://biology.burke.washington.edu/herbarium/imagecollection/taxon.php?Taxon=Agrostis%20scabra" TargetMode="External"/><Relationship Id="rId3022" Type="http://schemas.openxmlformats.org/officeDocument/2006/relationships/hyperlink" Target="http://www.burkemuseum.org/research-and-collections/botany-and-herbarium/collections/database/results.php?Genus=Glyceria&amp;Species=striata&amp;SourcePage=search.php&amp;IncludeSynonyms=Y&amp;SortBy=DESC&amp;SortOrder=Year" TargetMode="External"/><Relationship Id="rId6178" Type="http://schemas.openxmlformats.org/officeDocument/2006/relationships/hyperlink" Target="http://www.burkemuseum.org/research-and-collections/botany-and-herbarium/collections/database/results.php?Genus=Saxifraga&amp;Species=cespitosa&amp;SourcePage=search.php&amp;IncludeSynonyms=Y&amp;SortBy=DESC&amp;SortOrder=Year" TargetMode="External"/><Relationship Id="rId6385" Type="http://schemas.openxmlformats.org/officeDocument/2006/relationships/hyperlink" Target="http://biology.burke.washington.edu/herbarium/imagecollectionnew/taxon.php?Taxon=Athyrium%20filix-femina" TargetMode="External"/><Relationship Id="rId6592" Type="http://schemas.openxmlformats.org/officeDocument/2006/relationships/hyperlink" Target="http://biology.burke.washington.edu/herbarium/imagecollection/taxon.php?Taxon=Osmorhiza%20berteroi" TargetMode="External"/><Relationship Id="rId7229" Type="http://schemas.openxmlformats.org/officeDocument/2006/relationships/hyperlink" Target="http://biology.burke.washington.edu/herbarium/imagecollection/taxon.php?Taxon=Polypodium%20hesperium" TargetMode="External"/><Relationship Id="rId150" Type="http://schemas.openxmlformats.org/officeDocument/2006/relationships/hyperlink" Target="http://biology.burke.washington.edu/herbarium/imagecollection/taxon.php?Taxon=Linnaea%20borealis" TargetMode="External"/><Relationship Id="rId3979" Type="http://schemas.openxmlformats.org/officeDocument/2006/relationships/hyperlink" Target="https://plants.usda.gov/core/profile?symbol=GEOR2" TargetMode="External"/><Relationship Id="rId5194" Type="http://schemas.openxmlformats.org/officeDocument/2006/relationships/hyperlink" Target="https://en.wikipedia.org/wiki/Packera_bolanderi" TargetMode="External"/><Relationship Id="rId6038" Type="http://schemas.openxmlformats.org/officeDocument/2006/relationships/hyperlink" Target="http://www.burkemuseum.org/research-and-collections/botany-and-herbarium/collections/database/results.php?Genus=Platanthera&amp;Species=unalascensis&amp;SourcePage=search.php&amp;IncludeSynonyms=Y&amp;SortBy=DESC&amp;SortOrder=Year" TargetMode="External"/><Relationship Id="rId6245" Type="http://schemas.openxmlformats.org/officeDocument/2006/relationships/hyperlink" Target="http://www.burkemuseum.org/research-and-collections/botany-and-herbarium/collections/database/results.php?Genus=Symphyotrichum&amp;Species=bracteolatum&amp;SourcePage=search.php&amp;IncludeSynonyms=Y&amp;SortBy=DESC&amp;SortOrder=Year" TargetMode="External"/><Relationship Id="rId6452" Type="http://schemas.openxmlformats.org/officeDocument/2006/relationships/hyperlink" Target="http://biology.burke.washington.edu/herbarium/waflora/checklist.php?Family=Sarraceniaceae&amp;view=list" TargetMode="External"/><Relationship Id="rId2788" Type="http://schemas.openxmlformats.org/officeDocument/2006/relationships/hyperlink" Target="http://www.burkemuseum.org/research-and-collections/botany-and-herbarium/collections/database/results.php?Genus=Balsamorhiza&amp;Species=deltoidea&amp;SourcePage=search.php&amp;IncludeSynonyms=Y&amp;SortBy=DESC&amp;SortOrder=Year" TargetMode="External"/><Relationship Id="rId2995" Type="http://schemas.openxmlformats.org/officeDocument/2006/relationships/hyperlink" Target="http://www.burkemuseum.org/research-and-collections/botany-and-herbarium/collections/database/results.php?Genus=Festuca&amp;Species=occidentalis&amp;SourcePage=search.php&amp;IncludeSynonyms=Y&amp;SortBy=DESC&amp;SortOrder=Year" TargetMode="External"/><Relationship Id="rId3839" Type="http://schemas.openxmlformats.org/officeDocument/2006/relationships/hyperlink" Target="https://plants.usda.gov/core/profile?symbol=CLLI2" TargetMode="External"/><Relationship Id="rId5054" Type="http://schemas.openxmlformats.org/officeDocument/2006/relationships/hyperlink" Target="https://en.wikipedia.org/wiki/Juniperus_occidentalis" TargetMode="External"/><Relationship Id="rId6105" Type="http://schemas.openxmlformats.org/officeDocument/2006/relationships/hyperlink" Target="http://www.burkemuseum.org/research-and-collections/botany-and-herbarium/collections/database/results.php?Genus=Rhamnus&amp;Species=purshiana&amp;SourcePage=search.php&amp;IncludeSynonyms=Y&amp;SortBy=DESC&amp;SortOrder=Year" TargetMode="External"/><Relationship Id="rId967" Type="http://schemas.openxmlformats.org/officeDocument/2006/relationships/hyperlink" Target="https://species.wikimedia.org/wiki/Bromus_sitchensis" TargetMode="External"/><Relationship Id="rId1597" Type="http://schemas.openxmlformats.org/officeDocument/2006/relationships/hyperlink" Target="https://en.wikipedia.org/wiki/Ceanothus_integerrimus" TargetMode="External"/><Relationship Id="rId2648" Type="http://schemas.openxmlformats.org/officeDocument/2006/relationships/hyperlink" Target="http://biology.burke.washington.edu/herbarium/imagecollectionnew/taxon.php?Taxon=Artemisia%20michauxiana" TargetMode="External"/><Relationship Id="rId2855" Type="http://schemas.openxmlformats.org/officeDocument/2006/relationships/hyperlink" Target="http://www.burkemuseum.org/research-and-collections/botany-and-herbarium/collections/database/results.php?Genus=Carex&amp;Species=stylosa&amp;SourcePage=search.php&amp;IncludeSynonyms=Y&amp;SortBy=DESC&amp;SortOrder=Year" TargetMode="External"/><Relationship Id="rId3906" Type="http://schemas.openxmlformats.org/officeDocument/2006/relationships/hyperlink" Target="https://plants.usda.gov/core/profile?symbol=ELAC" TargetMode="External"/><Relationship Id="rId5261" Type="http://schemas.openxmlformats.org/officeDocument/2006/relationships/hyperlink" Target="https://en.wikipedia.org/wiki/Polystichum_munitum" TargetMode="External"/><Relationship Id="rId6312" Type="http://schemas.openxmlformats.org/officeDocument/2006/relationships/hyperlink" Target="http://www.burkemuseum.org/research-and-collections/botany-and-herbarium/collections/database/results.php?Genus=Viola&amp;Species=howellii&amp;SourcePage=search.php&amp;IncludeSynonyms=Y&amp;SortBy=DESC&amp;SortOrder=Year" TargetMode="External"/><Relationship Id="rId96" Type="http://schemas.openxmlformats.org/officeDocument/2006/relationships/hyperlink" Target="http://biology.burke.washington.edu/herbarium/imagecollection/taxon.php?Taxon=Rubus%20pedatus" TargetMode="External"/><Relationship Id="rId827" Type="http://schemas.openxmlformats.org/officeDocument/2006/relationships/hyperlink" Target="https://en.wikipedia.org/wiki/Orobanche" TargetMode="External"/><Relationship Id="rId1457" Type="http://schemas.openxmlformats.org/officeDocument/2006/relationships/hyperlink" Target="http://biology.burke.washington.edu/herbarium/imagecollectionnew/taxon.php?Taxon=Vaccinium%20ovatum" TargetMode="External"/><Relationship Id="rId1664" Type="http://schemas.openxmlformats.org/officeDocument/2006/relationships/hyperlink" Target="http://biology.burke.washington.edu/herbarium/imagecollection/taxon.php?Taxon=Aphyllon%20fasciculatum" TargetMode="External"/><Relationship Id="rId1871" Type="http://schemas.openxmlformats.org/officeDocument/2006/relationships/hyperlink" Target="http://plants.usda.gov/java/profile?symbol=RITR" TargetMode="External"/><Relationship Id="rId2508" Type="http://schemas.openxmlformats.org/officeDocument/2006/relationships/hyperlink" Target="http://plants.usda.gov/java/profile?symbol=PETR7" TargetMode="External"/><Relationship Id="rId2715" Type="http://schemas.openxmlformats.org/officeDocument/2006/relationships/hyperlink" Target="http://www.burkemuseum.org/research-and-collections/botany-and-herbarium/collections/database/results.php?Genus=Abronia&amp;Species=latifolia&amp;SourcePage=search.php&amp;IncludeSynonyms=Y&amp;SortBy=DESC&amp;SortOrder=Year" TargetMode="External"/><Relationship Id="rId2922" Type="http://schemas.openxmlformats.org/officeDocument/2006/relationships/hyperlink" Target="http://www.burkemuseum.org/research-and-collections/botany-and-herbarium/collections/database/results.php?Genus=Cyperus&amp;Species=erythrorhizos&amp;SourcePage=search.php&amp;IncludeSynonyms=Y&amp;SortBy=DESC&amp;SortOrder=Year" TargetMode="External"/><Relationship Id="rId4070" Type="http://schemas.openxmlformats.org/officeDocument/2006/relationships/hyperlink" Target="https://plants.usda.gov/core/profile?symbol=LECO3" TargetMode="External"/><Relationship Id="rId5121" Type="http://schemas.openxmlformats.org/officeDocument/2006/relationships/hyperlink" Target="https://en.wikipedia.org/wiki/Maianthemum_dilatatum" TargetMode="External"/><Relationship Id="rId1317" Type="http://schemas.openxmlformats.org/officeDocument/2006/relationships/hyperlink" Target="http://biology.burke.washington.edu/herbarium/imagecollection/taxon.php?Taxon=Salix%20scouleriana" TargetMode="External"/><Relationship Id="rId1524" Type="http://schemas.openxmlformats.org/officeDocument/2006/relationships/hyperlink" Target="https://en.wikipedia.org/wiki/Fritillaria_affinis" TargetMode="External"/><Relationship Id="rId1731" Type="http://schemas.openxmlformats.org/officeDocument/2006/relationships/hyperlink" Target="https://plants.usda.gov/core/profile?symbol=VASC2" TargetMode="External"/><Relationship Id="rId4887" Type="http://schemas.openxmlformats.org/officeDocument/2006/relationships/hyperlink" Target="https://en.wikipedia.org/wiki/Danthonia_intermedia" TargetMode="External"/><Relationship Id="rId5938" Type="http://schemas.openxmlformats.org/officeDocument/2006/relationships/hyperlink" Target="http://www.burkemuseum.org/research-and-collections/botany-and-herbarium/collections/database/results.php?Genus=Micranthes&amp;Species=tischii&amp;SourcePage=search.php&amp;IncludeSynonyms=Y&amp;SortBy=DESC&amp;SortOrder=Year" TargetMode="External"/><Relationship Id="rId7086" Type="http://schemas.openxmlformats.org/officeDocument/2006/relationships/hyperlink" Target="http://biology.burke.washington.edu/herbarium/imagecollectionnew/taxon.php?Taxon=Vaccinium%20parvifolium" TargetMode="External"/><Relationship Id="rId23" Type="http://schemas.openxmlformats.org/officeDocument/2006/relationships/hyperlink" Target="http://biology.burke.washington.edu/herbarium/imagecollection/taxon.php?Taxon=Helenium%20autumnale" TargetMode="External"/><Relationship Id="rId3489" Type="http://schemas.openxmlformats.org/officeDocument/2006/relationships/hyperlink" Target="http://www.burkemuseum.org/research-and-collections/botany-and-herbarium/collections/database/results.php?Genus=Delphinium&amp;Species=nuttallii&amp;SourcePage=search.php&amp;IncludeSynonyms=Y&amp;SortBy=DESC&amp;SortOrder=Year" TargetMode="External"/><Relationship Id="rId3696" Type="http://schemas.openxmlformats.org/officeDocument/2006/relationships/hyperlink" Target="https://plants.usda.gov/core/profile?symbol=aram2" TargetMode="External"/><Relationship Id="rId4747" Type="http://schemas.openxmlformats.org/officeDocument/2006/relationships/hyperlink" Target="https://en.wikipedia.org/wiki/Boykinia_occidentalis" TargetMode="External"/><Relationship Id="rId7153" Type="http://schemas.openxmlformats.org/officeDocument/2006/relationships/hyperlink" Target="http://biology.burke.washington.edu/herbarium/imagecollectionnew/taxon.php?Taxon=Sanicula%20bipinnatifida" TargetMode="External"/><Relationship Id="rId2298" Type="http://schemas.openxmlformats.org/officeDocument/2006/relationships/hyperlink" Target="http://plants.usda.gov/java/profile?symbol=CAVE6" TargetMode="External"/><Relationship Id="rId3349" Type="http://schemas.openxmlformats.org/officeDocument/2006/relationships/hyperlink" Target="http://www.burkemuseum.org/research-and-collections/botany-and-herbarium/collections/database/results.php?Genus=Sidalcea&amp;Species=virgata&amp;SourcePage=search.php&amp;IncludeSynonyms=Y&amp;SortBy=DESC&amp;SortOrder=Year" TargetMode="External"/><Relationship Id="rId3556" Type="http://schemas.openxmlformats.org/officeDocument/2006/relationships/hyperlink" Target="http://www.burkemuseum.org/research-and-collections/botany-and-herbarium/collections/database/results.php?Genus=Pleuropogon&amp;Species=refractus&amp;SourcePage=search.php&amp;IncludeSynonyms=Y&amp;SortBy=DESC&amp;SortOrder=Year" TargetMode="External"/><Relationship Id="rId4954" Type="http://schemas.openxmlformats.org/officeDocument/2006/relationships/hyperlink" Target="https://en.wikipedia.org/wiki/Erythranthe_lewisii" TargetMode="External"/><Relationship Id="rId7013" Type="http://schemas.openxmlformats.org/officeDocument/2006/relationships/hyperlink" Target="http://biology.burke.washington.edu/herbarium/imagecollectionnew/taxon.php?Taxon=Chimaphila%20menziesii" TargetMode="External"/><Relationship Id="rId7220" Type="http://schemas.openxmlformats.org/officeDocument/2006/relationships/hyperlink" Target="http://biology.burke.washington.edu/herbarium/imagecollection/taxon.php?Taxon=Potamogeton%20pusillus" TargetMode="External"/><Relationship Id="rId477" Type="http://schemas.openxmlformats.org/officeDocument/2006/relationships/hyperlink" Target="http://biology.burke.washington.edu/herbarium/imagecollectionnew/taxon.php?Taxon=Vicia%20americana" TargetMode="External"/><Relationship Id="rId684" Type="http://schemas.openxmlformats.org/officeDocument/2006/relationships/hyperlink" Target="https://en.wikipedia.org/wiki/Virginia_strawberry" TargetMode="External"/><Relationship Id="rId2158" Type="http://schemas.openxmlformats.org/officeDocument/2006/relationships/hyperlink" Target="http://plants.usda.gov/java/profile?symbol=FRCH" TargetMode="External"/><Relationship Id="rId2365" Type="http://schemas.openxmlformats.org/officeDocument/2006/relationships/hyperlink" Target="http://plants.usda.gov/java/profile?symbol=MAAQ2" TargetMode="External"/><Relationship Id="rId3209" Type="http://schemas.openxmlformats.org/officeDocument/2006/relationships/hyperlink" Target="http://www.burkemuseum.org/research-and-collections/botany-and-herbarium/collections/database/results.php?Genus=Plagiobothrys&amp;Species=scouleri&amp;SourcePage=search.php&amp;IncludeSynonyms=Y&amp;SortBy=DESC&amp;SortOrder=Year" TargetMode="External"/><Relationship Id="rId3763" Type="http://schemas.openxmlformats.org/officeDocument/2006/relationships/hyperlink" Target="https://plants.usda.gov/core/profile?symbol=CAAM10" TargetMode="External"/><Relationship Id="rId3970" Type="http://schemas.openxmlformats.org/officeDocument/2006/relationships/hyperlink" Target="https://plants.usda.gov/core/profile?symbol=GATR2" TargetMode="External"/><Relationship Id="rId4607" Type="http://schemas.openxmlformats.org/officeDocument/2006/relationships/hyperlink" Target="http://www.burkemuseum.org/research-and-collections/botany-and-herbarium/collections/database/results.php?Genus=Alnus&amp;Species=rhombifolia&amp;SourcePage=search.php&amp;IncludeSynonyms=Y&amp;SortBy=DESC&amp;SortOrder=Year" TargetMode="External"/><Relationship Id="rId4814" Type="http://schemas.openxmlformats.org/officeDocument/2006/relationships/hyperlink" Target="https://en.wikipedia.org/wiki/Carex_vulpinoidea" TargetMode="External"/><Relationship Id="rId337" Type="http://schemas.openxmlformats.org/officeDocument/2006/relationships/hyperlink" Target="http://biology.burke.washington.edu/herbarium/imagecollectionnew/taxon.php?Taxon=Camissonia%20contorta" TargetMode="External"/><Relationship Id="rId891" Type="http://schemas.openxmlformats.org/officeDocument/2006/relationships/hyperlink" Target="http://en.wikipedia.org/wiki/Clematis_ligusticifolia" TargetMode="External"/><Relationship Id="rId2018" Type="http://schemas.openxmlformats.org/officeDocument/2006/relationships/hyperlink" Target="https://plants.usda.gov/core/profile?symbol=SAFE" TargetMode="External"/><Relationship Id="rId2572" Type="http://schemas.openxmlformats.org/officeDocument/2006/relationships/hyperlink" Target="https://plants.usda.gov/core/profile?symbol=CLSIS" TargetMode="External"/><Relationship Id="rId3416" Type="http://schemas.openxmlformats.org/officeDocument/2006/relationships/hyperlink" Target="http://www.burkemuseum.org/research-and-collections/botany-and-herbarium/collections/database/results.php?Genus=Urtica&amp;Species=dioica&amp;SourcePage=search.php&amp;IncludeSynonyms=Y&amp;SortBy=DESC&amp;SortOrder=Year" TargetMode="External"/><Relationship Id="rId3623" Type="http://schemas.openxmlformats.org/officeDocument/2006/relationships/hyperlink" Target="https://plants.usda.gov/core/profile?symbol=ABAM" TargetMode="External"/><Relationship Id="rId3830" Type="http://schemas.openxmlformats.org/officeDocument/2006/relationships/hyperlink" Target="https://plants.usda.gov/core/profile?symbol=CIRE" TargetMode="External"/><Relationship Id="rId6779" Type="http://schemas.openxmlformats.org/officeDocument/2006/relationships/hyperlink" Target="http://biology.burke.washington.edu/herbarium/imagecollectionnew/taxon.php?Taxon=Gamochaeta%20ustulata" TargetMode="External"/><Relationship Id="rId6986" Type="http://schemas.openxmlformats.org/officeDocument/2006/relationships/hyperlink" Target="http://biology.burke.washington.edu/herbarium/imagecollection/taxon.php?Taxon=Epilobium%20torreyi" TargetMode="External"/><Relationship Id="rId544" Type="http://schemas.openxmlformats.org/officeDocument/2006/relationships/hyperlink" Target="https://en.wikipedia.org/wiki/Trifolium_oliganthum" TargetMode="External"/><Relationship Id="rId751" Type="http://schemas.openxmlformats.org/officeDocument/2006/relationships/hyperlink" Target="https://en.wikipedia.org/wiki/Danthonia_intermedia" TargetMode="External"/><Relationship Id="rId1174" Type="http://schemas.openxmlformats.org/officeDocument/2006/relationships/hyperlink" Target="https://en.wikipedia.org/wiki/Heuchera_micrantha" TargetMode="External"/><Relationship Id="rId1381" Type="http://schemas.openxmlformats.org/officeDocument/2006/relationships/hyperlink" Target="http://biology.burke.washington.edu/herbarium/imagecollection/taxon.php?Taxon=Polypodium%20glycyrrhiza" TargetMode="External"/><Relationship Id="rId2225" Type="http://schemas.openxmlformats.org/officeDocument/2006/relationships/hyperlink" Target="https://plants.usda.gov/core/profile?symbol=dawr2" TargetMode="External"/><Relationship Id="rId2432" Type="http://schemas.openxmlformats.org/officeDocument/2006/relationships/hyperlink" Target="https://plants.usda.gov/core/profile?symbol=acel4" TargetMode="External"/><Relationship Id="rId5588" Type="http://schemas.openxmlformats.org/officeDocument/2006/relationships/hyperlink" Target="http://www.burkemuseum.org/research-and-collections/botany-and-herbarium/collections/database/results.php?Genus=Carex&amp;Species=lyngbyei&amp;SourcePage=search.php&amp;IncludeSynonyms=Y&amp;SortBy=DESC&amp;SortOrder=Year" TargetMode="External"/><Relationship Id="rId5795" Type="http://schemas.openxmlformats.org/officeDocument/2006/relationships/hyperlink" Target="http://www.burkemuseum.org/research-and-collections/botany-and-herbarium/collections/database/results.php?Genus=Halerpestes&amp;Species=cymbalaria&amp;SourcePage=search.php&amp;IncludeSynonyms=Y&amp;SortBy=DESC&amp;SortOrder=Year" TargetMode="External"/><Relationship Id="rId6639" Type="http://schemas.openxmlformats.org/officeDocument/2006/relationships/hyperlink" Target="http://biology.burke.washington.edu/herbarium/imagecollectionnew/taxon.php?Taxon=Stellaria%20longifolia" TargetMode="External"/><Relationship Id="rId6846" Type="http://schemas.openxmlformats.org/officeDocument/2006/relationships/hyperlink" Target="http://biology.burke.washington.edu/herbarium/imagecollectionnew/taxon.php?Taxon=Bolandra%20oregana" TargetMode="External"/><Relationship Id="rId404" Type="http://schemas.openxmlformats.org/officeDocument/2006/relationships/hyperlink" Target="http://biology.burke.washington.edu/herbarium/imagecollectionnew/taxon.php?Taxon=Claytonia%20rubra" TargetMode="External"/><Relationship Id="rId611" Type="http://schemas.openxmlformats.org/officeDocument/2006/relationships/hyperlink" Target="https://species.wikimedia.org/wiki/Saxifraga_bronchialis" TargetMode="External"/><Relationship Id="rId1034" Type="http://schemas.openxmlformats.org/officeDocument/2006/relationships/hyperlink" Target="https://en.wikipedia.org/wiki/Agoseris_glauca" TargetMode="External"/><Relationship Id="rId1241" Type="http://schemas.openxmlformats.org/officeDocument/2006/relationships/hyperlink" Target="https://en.wikipedia.org/wiki/Corydalis" TargetMode="External"/><Relationship Id="rId4397" Type="http://schemas.openxmlformats.org/officeDocument/2006/relationships/hyperlink" Target="https://plants.usda.gov/core/profile?symbol=SEGI2" TargetMode="External"/><Relationship Id="rId5448" Type="http://schemas.openxmlformats.org/officeDocument/2006/relationships/hyperlink" Target="https://en.wikipedia.org/wiki/Symphyotrichum_hallii" TargetMode="External"/><Relationship Id="rId5655" Type="http://schemas.openxmlformats.org/officeDocument/2006/relationships/hyperlink" Target="http://www.burkemuseum.org/research-and-collections/botany-and-herbarium/collections/database/results.php?Genus=Conyza&amp;Species=canadensis&amp;SourcePage=search.php&amp;IncludeSynonyms=Y&amp;SortBy=DESC&amp;SortOrder=Year" TargetMode="External"/><Relationship Id="rId5862" Type="http://schemas.openxmlformats.org/officeDocument/2006/relationships/hyperlink" Target="http://www.burkemuseum.org/research-and-collections/botany-and-herbarium/collections/database/results.php?Genus=Lathyrus&amp;Species=torreyi&amp;SourcePage=search.php&amp;IncludeSynonyms=Y&amp;SortBy=DESC&amp;SortOrder=Year" TargetMode="External"/><Relationship Id="rId6706" Type="http://schemas.openxmlformats.org/officeDocument/2006/relationships/hyperlink" Target="http://biology.burke.washington.edu/herbarium/imagecollectionnew/taxon.php?Taxon=Oxybasis%20rubra" TargetMode="External"/><Relationship Id="rId6913" Type="http://schemas.openxmlformats.org/officeDocument/2006/relationships/hyperlink" Target="http://biology.burke.washington.edu/herbarium/imagecollection/taxon.php?Taxon=Plantago&amp;Spec%20ies=maritima" TargetMode="External"/><Relationship Id="rId1101" Type="http://schemas.openxmlformats.org/officeDocument/2006/relationships/hyperlink" Target="https://en.wikipedia.org/wiki/Lathyrus_vestitus" TargetMode="External"/><Relationship Id="rId4257" Type="http://schemas.openxmlformats.org/officeDocument/2006/relationships/hyperlink" Target="https://plants.usda.gov/core/profile?symbol=POMU" TargetMode="External"/><Relationship Id="rId4464" Type="http://schemas.openxmlformats.org/officeDocument/2006/relationships/hyperlink" Target="https://plants.usda.gov/core/profile?symbol=TRCA" TargetMode="External"/><Relationship Id="rId4671" Type="http://schemas.openxmlformats.org/officeDocument/2006/relationships/hyperlink" Target="http://www.burkemuseum.org/research-and-collections/botany-and-herbarium/collections/database/results.php?Genus=Bidens&amp;Species=beckii&amp;SourcePage=search.php&amp;IncludeSynonyms=Y&amp;SortBy=DESC&amp;SortOrder=Year" TargetMode="External"/><Relationship Id="rId5308" Type="http://schemas.openxmlformats.org/officeDocument/2006/relationships/hyperlink" Target="https://en.wikipedia.org/wiki/Rhododendron_columbianum" TargetMode="External"/><Relationship Id="rId5515" Type="http://schemas.openxmlformats.org/officeDocument/2006/relationships/hyperlink" Target="https://en.wikipedia.org/wiki/Viola_langsdorfii" TargetMode="External"/><Relationship Id="rId5722" Type="http://schemas.openxmlformats.org/officeDocument/2006/relationships/hyperlink" Target="http://www.burkemuseum.org/research-and-collections/botany-and-herbarium/collections/database/results.php?Genus=Epilobium&amp;Species=torreyi&amp;SourcePage=search.php&amp;IncludeSynonyms=Y&amp;SortBy=DESC&amp;SortOrder=Year" TargetMode="External"/><Relationship Id="rId3066" Type="http://schemas.openxmlformats.org/officeDocument/2006/relationships/hyperlink" Target="http://www.burkemuseum.org/research-and-collections/botany-and-herbarium/collections/database/results.php?Genus=Juncus&amp;Species=supiniformis&amp;SourcePage=search.php&amp;IncludeSynonyms=Y&amp;SortBy=DESC&amp;SortOrder=Year" TargetMode="External"/><Relationship Id="rId3273" Type="http://schemas.openxmlformats.org/officeDocument/2006/relationships/hyperlink" Target="http://www.burkemuseum.org/research-and-collections/botany-and-herbarium/collections/database/results.php?Genus=Ranunculus&amp;Species=uncinatus&amp;SourcePage=search.php&amp;IncludeSynonyms=Y&amp;SortBy=DESC&amp;SortOrder=Year" TargetMode="External"/><Relationship Id="rId3480" Type="http://schemas.openxmlformats.org/officeDocument/2006/relationships/hyperlink" Target="http://www.burkemuseum.org/research-and-collections/botany-and-herbarium/collections/database/results.php?Genus=Carex&amp;Species=tumulicola&amp;SourcePage=search.php&amp;IncludeSynonyms=Y&amp;SortBy=DESC&amp;SortOrder=Year" TargetMode="External"/><Relationship Id="rId4117" Type="http://schemas.openxmlformats.org/officeDocument/2006/relationships/hyperlink" Target="https://plants.usda.gov/core/profile?symbol=MAGR3" TargetMode="External"/><Relationship Id="rId4324" Type="http://schemas.openxmlformats.org/officeDocument/2006/relationships/hyperlink" Target="https://plants.usda.gov/core/profile?symbol=RITR" TargetMode="External"/><Relationship Id="rId4531" Type="http://schemas.openxmlformats.org/officeDocument/2006/relationships/hyperlink" Target="https://plants.usda.gov/core/profile?symbol=PEGAB" TargetMode="External"/><Relationship Id="rId194" Type="http://schemas.openxmlformats.org/officeDocument/2006/relationships/hyperlink" Target="http://biology.burke.washington.edu/herbarium/imagecollection/taxon.php?Taxon=Montia%20diffusa" TargetMode="External"/><Relationship Id="rId1918" Type="http://schemas.openxmlformats.org/officeDocument/2006/relationships/hyperlink" Target="http://plants.usda.gov/java/profile?symbol=POGR8" TargetMode="External"/><Relationship Id="rId2082" Type="http://schemas.openxmlformats.org/officeDocument/2006/relationships/hyperlink" Target="http://plants.usda.gov/java/profile?symbol=LAMA8" TargetMode="External"/><Relationship Id="rId3133" Type="http://schemas.openxmlformats.org/officeDocument/2006/relationships/hyperlink" Target="http://www.burkemuseum.org/research-and-collections/botany-and-herbarium/collections/database/results.php?Genus=Mentha&amp;Species=spicata&amp;SourcePage=search.php&amp;IncludeSynonyms=Y&amp;SortBy=DESC&amp;SortOrder=Year" TargetMode="External"/><Relationship Id="rId6289" Type="http://schemas.openxmlformats.org/officeDocument/2006/relationships/hyperlink" Target="http://www.burkemuseum.org/research-and-collections/botany-and-herbarium/collections/database/results.php?Genus=Vaccinium&amp;Species=membranaceum&amp;SourcePage=search.php&amp;IncludeSynonyms=Y&amp;SortBy=DESC&amp;SortOrder=Year" TargetMode="External"/><Relationship Id="rId6496" Type="http://schemas.openxmlformats.org/officeDocument/2006/relationships/hyperlink" Target="http://biology.burke.washington.edu/herbarium/imagecollection/taxon.php?Taxon=Euthamia%20occidentalis" TargetMode="External"/><Relationship Id="rId261" Type="http://schemas.openxmlformats.org/officeDocument/2006/relationships/hyperlink" Target="http://biology.burke.washington.edu/herbarium/imagecollection/taxon.php?Taxon=Hieracium%20scouleri" TargetMode="External"/><Relationship Id="rId3340" Type="http://schemas.openxmlformats.org/officeDocument/2006/relationships/hyperlink" Target="http://www.burkemuseum.org/research-and-collections/botany-and-herbarium/collections/database/results.php?Genus=Selaginella&amp;Species=wallacei&amp;SourcePage=search.php&amp;IncludeSynonyms=Y&amp;SortBy=DESC&amp;SortOrder=Year" TargetMode="External"/><Relationship Id="rId5098" Type="http://schemas.openxmlformats.org/officeDocument/2006/relationships/hyperlink" Target="https://en.wikipedia.org/wiki/Lupinus_bicolor" TargetMode="External"/><Relationship Id="rId6149" Type="http://schemas.openxmlformats.org/officeDocument/2006/relationships/hyperlink" Target="http://www.burkemuseum.org/research-and-collections/botany-and-herbarium/collections/database/results.php?Genus=Salix&amp;Species=barclayi&amp;SourcePage=search.php&amp;IncludeSynonyms=Y&amp;SortBy=DESC&amp;SortOrder=Year" TargetMode="External"/><Relationship Id="rId2899" Type="http://schemas.openxmlformats.org/officeDocument/2006/relationships/hyperlink" Target="http://www.burkemuseum.org/research-and-collections/botany-and-herbarium/collections/database/results.php?Genus=Collinsia&amp;Species=sparsiflora&amp;SourcePage=search.php&amp;IncludeSynonyms=Y&amp;SortBy=DESC&amp;SortOrder=Year" TargetMode="External"/><Relationship Id="rId3200" Type="http://schemas.openxmlformats.org/officeDocument/2006/relationships/hyperlink" Target="http://www.burkemuseum.org/research-and-collections/botany-and-herbarium/collections/database/results.php?Genus=Phacelia&amp;Species=heterophylla&amp;SourcePage=search.php&amp;IncludeSynonyms=Y&amp;SortBy=DESC&amp;SortOrder=Year" TargetMode="External"/><Relationship Id="rId6356" Type="http://schemas.openxmlformats.org/officeDocument/2006/relationships/hyperlink" Target="http://biology.burke.washington.edu/herbarium/imagecollection/taxon.php?Taxon=Allium%20amplectens" TargetMode="External"/><Relationship Id="rId6563" Type="http://schemas.openxmlformats.org/officeDocument/2006/relationships/hyperlink" Target="http://biology.burke.washington.edu/herbarium/imagecollection/taxon.php?Taxon=Lupinus%20lepidus" TargetMode="External"/><Relationship Id="rId6770" Type="http://schemas.openxmlformats.org/officeDocument/2006/relationships/hyperlink" Target="http://biology.burke.washington.edu/herbarium/imagecollection/taxon.php?Taxon=Hierochloe%20odorata" TargetMode="External"/><Relationship Id="rId121" Type="http://schemas.openxmlformats.org/officeDocument/2006/relationships/hyperlink" Target="http://biology.burke.washington.edu/herbarium/imagecollection/taxon.php?Taxon=Pseudotsuga%20menziesii" TargetMode="External"/><Relationship Id="rId2759" Type="http://schemas.openxmlformats.org/officeDocument/2006/relationships/hyperlink" Target="http://www.burkemuseum.org/research-and-collections/botany-and-herbarium/collections/database/results.php?Genus=Aphyllon&amp;Species=californicum&amp;SourcePage=search.php&amp;IncludeSynonyms=Y&amp;SortBy=DESC&amp;SortOrder=Year" TargetMode="External"/><Relationship Id="rId2966" Type="http://schemas.openxmlformats.org/officeDocument/2006/relationships/hyperlink" Target="http://www.burkemuseum.org/research-and-collections/botany-and-herbarium/collections/database/results.php?Genus=Epilobium&amp;Species=torreyi&amp;SourcePage=search.php&amp;IncludeSynonyms=Y&amp;SortBy=DESC&amp;SortOrder=Year" TargetMode="External"/><Relationship Id="rId5165" Type="http://schemas.openxmlformats.org/officeDocument/2006/relationships/hyperlink" Target="https://en.wikipedia.org/wiki/Nabalus_alatus" TargetMode="External"/><Relationship Id="rId5372" Type="http://schemas.openxmlformats.org/officeDocument/2006/relationships/hyperlink" Target="https://en.wikipedia.org/wiki/Sanicula_arctopoides" TargetMode="External"/><Relationship Id="rId6009" Type="http://schemas.openxmlformats.org/officeDocument/2006/relationships/hyperlink" Target="http://www.burkemuseum.org/research-and-collections/botany-and-herbarium/collections/database/results.php?Genus=Perideridia&amp;Species=oregana&amp;SourcePage=search.php&amp;IncludeSynonyms=Y&amp;SortBy=DESC&amp;SortOrder=Year" TargetMode="External"/><Relationship Id="rId6216" Type="http://schemas.openxmlformats.org/officeDocument/2006/relationships/hyperlink" Target="http://www.burkemuseum.org/research-and-collections/botany-and-herbarium/collections/database/results.php?Genus=Sparganium&amp;Species=emersum&amp;SourcePage=search.php&amp;IncludeSynonyms=Y&amp;SortBy=DESC&amp;SortOrder=Year" TargetMode="External"/><Relationship Id="rId6423" Type="http://schemas.openxmlformats.org/officeDocument/2006/relationships/hyperlink" Target="http://biology.burke.washington.edu/herbarium/imagecollectionnew/taxon.php?Taxon=Ceanothus%20prostratus" TargetMode="External"/><Relationship Id="rId6630" Type="http://schemas.openxmlformats.org/officeDocument/2006/relationships/hyperlink" Target="http://biology.burke.washington.edu/herbarium/imagecollectionnew/taxon.php?Taxon=Trautvetteria%20caroliniensis" TargetMode="External"/><Relationship Id="rId938" Type="http://schemas.openxmlformats.org/officeDocument/2006/relationships/hyperlink" Target="http://en.wikipedia.org/wiki/Carex_limosa" TargetMode="External"/><Relationship Id="rId1568" Type="http://schemas.openxmlformats.org/officeDocument/2006/relationships/hyperlink" Target="https://en.wikipedia.org/wiki/Ceanothus_prostratus" TargetMode="External"/><Relationship Id="rId1775" Type="http://schemas.openxmlformats.org/officeDocument/2006/relationships/hyperlink" Target="https://plants.usda.gov/core/profile?symbol=SUAQ" TargetMode="External"/><Relationship Id="rId2619" Type="http://schemas.openxmlformats.org/officeDocument/2006/relationships/hyperlink" Target="http://biology.burke.washington.edu/herbarium/imagecollectionnew/taxon.php?Taxon=Spergularia%20salina" TargetMode="External"/><Relationship Id="rId2826" Type="http://schemas.openxmlformats.org/officeDocument/2006/relationships/hyperlink" Target="http://www.burkemuseum.org/research-and-collections/botany-and-herbarium/collections/database/results.php?Genus=Cardamine&amp;Species=oligosperma&amp;SourcePage=search.php&amp;IncludeSynonyms=Y&amp;SortBy=DESC&amp;SortOrder=Year" TargetMode="External"/><Relationship Id="rId4181" Type="http://schemas.openxmlformats.org/officeDocument/2006/relationships/hyperlink" Target="https://plants.usda.gov/core/profile?symbol=ORBR" TargetMode="External"/><Relationship Id="rId5025" Type="http://schemas.openxmlformats.org/officeDocument/2006/relationships/hyperlink" Target="https://en.wikipedia.org/wiki/Hordeum_depressum" TargetMode="External"/><Relationship Id="rId5232" Type="http://schemas.openxmlformats.org/officeDocument/2006/relationships/hyperlink" Target="https://en.wikipedia.org/wiki/Plantago_macrocarpa" TargetMode="External"/><Relationship Id="rId67" Type="http://schemas.openxmlformats.org/officeDocument/2006/relationships/hyperlink" Target="http://biology.burke.washington.edu/herbarium/imagecollection/taxon.php?Taxon=Equisetum%20hyemale" TargetMode="External"/><Relationship Id="rId1428" Type="http://schemas.openxmlformats.org/officeDocument/2006/relationships/hyperlink" Target="http://biology.burke.washington.edu/herbarium/imagecollectionnew/taxon.php?Taxon=Anisocarpus%20madioides" TargetMode="External"/><Relationship Id="rId1635" Type="http://schemas.openxmlformats.org/officeDocument/2006/relationships/hyperlink" Target="http://biology.burke.washington.edu/herbarium/imagecollectionnew/taxon.php?Taxon=Carex%20pansa" TargetMode="External"/><Relationship Id="rId1982" Type="http://schemas.openxmlformats.org/officeDocument/2006/relationships/hyperlink" Target="http://plants.usda.gov/java/profile?symbol=OPPU3" TargetMode="External"/><Relationship Id="rId4041" Type="http://schemas.openxmlformats.org/officeDocument/2006/relationships/hyperlink" Target="https://plants.usda.gov/core/profile?symbol=JUME3" TargetMode="External"/><Relationship Id="rId7197" Type="http://schemas.openxmlformats.org/officeDocument/2006/relationships/hyperlink" Target="http://biology.burke.washington.edu/herbarium/imagecollection/taxon.php?Taxon=Rhus%20glabra" TargetMode="External"/><Relationship Id="rId1842" Type="http://schemas.openxmlformats.org/officeDocument/2006/relationships/hyperlink" Target="http://plants.usda.gov/core/profile?symbol=SAME2" TargetMode="External"/><Relationship Id="rId4998" Type="http://schemas.openxmlformats.org/officeDocument/2006/relationships/hyperlink" Target="https://en.wikipedia.org/wiki/Glyceria_grandis" TargetMode="External"/><Relationship Id="rId7057" Type="http://schemas.openxmlformats.org/officeDocument/2006/relationships/hyperlink" Target="http://biology.burke.washington.edu/herbarium/imagecollectionnew/taxon.php?Taxon=Amsinckia%20lycopsoides" TargetMode="External"/><Relationship Id="rId1702" Type="http://schemas.openxmlformats.org/officeDocument/2006/relationships/hyperlink" Target="http://biology.burke.washington.edu/herbarium/imagecollection/taxon.php?Taxon=Pedicularis%20groenlandica" TargetMode="External"/><Relationship Id="rId4858" Type="http://schemas.openxmlformats.org/officeDocument/2006/relationships/hyperlink" Target="https://en.wikipedia.org/wiki/Collinsia_sparsiflora" TargetMode="External"/><Relationship Id="rId5909" Type="http://schemas.openxmlformats.org/officeDocument/2006/relationships/hyperlink" Target="http://www.burkemuseum.org/research-and-collections/botany-and-herbarium/collections/database/results.php?Genus=Lycopus&amp;Species=americanus&amp;SourcePage=search.php&amp;IncludeSynonyms=Y&amp;SortBy=DESC&amp;SortOrder=Year" TargetMode="External"/><Relationship Id="rId6073" Type="http://schemas.openxmlformats.org/officeDocument/2006/relationships/hyperlink" Target="http://www.burkemuseum.org/research-and-collections/botany-and-herbarium/collections/database/results.php?Genus=Potamogeton&amp;Species=zosteriformis&amp;SourcePage=search.php&amp;IncludeSynonyms=Y&amp;SortBy=DESC&amp;SortOrder=Year" TargetMode="External"/><Relationship Id="rId7124" Type="http://schemas.openxmlformats.org/officeDocument/2006/relationships/hyperlink" Target="http://biology.burke.washington.edu/herbarium/imagecollectionnew/taxon.php?Taxon=Spergularia%20canadensis" TargetMode="External"/><Relationship Id="rId3667" Type="http://schemas.openxmlformats.org/officeDocument/2006/relationships/hyperlink" Target="https://plants.usda.gov/core/profile?symbol=ANDR" TargetMode="External"/><Relationship Id="rId3874" Type="http://schemas.openxmlformats.org/officeDocument/2006/relationships/hyperlink" Target="https://plants.usda.gov/core/profile?symbol=DACA3" TargetMode="External"/><Relationship Id="rId4718" Type="http://schemas.openxmlformats.org/officeDocument/2006/relationships/hyperlink" Target="https://en.wikipedia.org/wiki/Asclepias_cordifolia" TargetMode="External"/><Relationship Id="rId4925" Type="http://schemas.openxmlformats.org/officeDocument/2006/relationships/hyperlink" Target="https://en.wikipedia.org/wiki/Elymus_elymoides" TargetMode="External"/><Relationship Id="rId6280" Type="http://schemas.openxmlformats.org/officeDocument/2006/relationships/hyperlink" Target="http://www.burkemuseum.org/research-and-collections/botany-and-herbarium/collections/database/results.php?Genus=Turritis&amp;Species=glabra&amp;SourcePage=search.php&amp;IncludeSynonyms=Y&amp;SortBy=DESC&amp;SortOrder=Year" TargetMode="External"/><Relationship Id="rId588" Type="http://schemas.openxmlformats.org/officeDocument/2006/relationships/hyperlink" Target="https://en.wikipedia.org/wiki/Sisyrinchium_idahoense" TargetMode="External"/><Relationship Id="rId795" Type="http://schemas.openxmlformats.org/officeDocument/2006/relationships/hyperlink" Target="https://species.wikimedia.org/wiki/Plantago_macrocarpa" TargetMode="External"/><Relationship Id="rId2269" Type="http://schemas.openxmlformats.org/officeDocument/2006/relationships/hyperlink" Target="https://plants.usda.gov/core/profile?symbol=CIRE" TargetMode="External"/><Relationship Id="rId2476" Type="http://schemas.openxmlformats.org/officeDocument/2006/relationships/hyperlink" Target="https://plants.usda.gov/core/profile?symbol=SASE3" TargetMode="External"/><Relationship Id="rId2683" Type="http://schemas.openxmlformats.org/officeDocument/2006/relationships/hyperlink" Target="http://biology.burke.washington.edu/herbarium/imagecollectionnew/taxon.php?Taxon=Amsinckia%20spectabilis" TargetMode="External"/><Relationship Id="rId2890" Type="http://schemas.openxmlformats.org/officeDocument/2006/relationships/hyperlink" Target="http://www.burkemuseum.org/research-and-collections/botany-and-herbarium/collections/database/results.php?Genus=Claytonia&amp;Species=lanceolata&amp;SourcePage=search.php&amp;IncludeSynonyms=Y&amp;SortBy=DESC&amp;SortOrder=Year" TargetMode="External"/><Relationship Id="rId3527" Type="http://schemas.openxmlformats.org/officeDocument/2006/relationships/hyperlink" Target="http://www.burkemuseum.org/research-and-collections/botany-and-herbarium/collections/database/results.php?Genus=Lupinus&amp;Species=latifolius&amp;SourcePage=search.php&amp;IncludeSynonyms=Y&amp;SortBy=DESC&amp;SortOrder=Year" TargetMode="External"/><Relationship Id="rId3734" Type="http://schemas.openxmlformats.org/officeDocument/2006/relationships/hyperlink" Target="https://plants.usda.gov/core/profile?symbol=BOOC2" TargetMode="External"/><Relationship Id="rId3941" Type="http://schemas.openxmlformats.org/officeDocument/2006/relationships/hyperlink" Target="https://plants.usda.gov/core/profile?symbol=MIDE3" TargetMode="External"/><Relationship Id="rId6140" Type="http://schemas.openxmlformats.org/officeDocument/2006/relationships/hyperlink" Target="http://www.burkemuseum.org/research-and-collections/botany-and-herbarium/collections/database/results.php?Genus=Rumex&amp;Species=occidentalis&amp;SourcePage=search.php&amp;IncludeSynonyms=Y&amp;SortBy=DESC&amp;SortOrder=Year" TargetMode="External"/><Relationship Id="rId448" Type="http://schemas.openxmlformats.org/officeDocument/2006/relationships/hyperlink" Target="http://biology.burke.washington.edu/herbarium/imagecollectionnew/taxon.php?Taxon=Deschampsia%20elongata" TargetMode="External"/><Relationship Id="rId655" Type="http://schemas.openxmlformats.org/officeDocument/2006/relationships/hyperlink" Target="https://en.wikipedia.org/wiki/Rhynchospora_alba" TargetMode="External"/><Relationship Id="rId862" Type="http://schemas.openxmlformats.org/officeDocument/2006/relationships/hyperlink" Target="http://en.wikipedia.org/wiki/Menyanthes_trifoliata" TargetMode="External"/><Relationship Id="rId1078" Type="http://schemas.openxmlformats.org/officeDocument/2006/relationships/hyperlink" Target="https://en.wikipedia.org/wiki/Lonicera_utahensis" TargetMode="External"/><Relationship Id="rId1285" Type="http://schemas.openxmlformats.org/officeDocument/2006/relationships/hyperlink" Target="https://en.wikipedia.org/wiki/Poa_unilateralis" TargetMode="External"/><Relationship Id="rId1492" Type="http://schemas.openxmlformats.org/officeDocument/2006/relationships/hyperlink" Target="https://en.wikipedia.org/wiki/Sorbus_scopulina" TargetMode="External"/><Relationship Id="rId2129" Type="http://schemas.openxmlformats.org/officeDocument/2006/relationships/hyperlink" Target="http://plants.usda.gov/java/profile?symbol=GYDR" TargetMode="External"/><Relationship Id="rId2336" Type="http://schemas.openxmlformats.org/officeDocument/2006/relationships/hyperlink" Target="https://plants.usda.gov/core/profile?symbol=caco34" TargetMode="External"/><Relationship Id="rId2543" Type="http://schemas.openxmlformats.org/officeDocument/2006/relationships/hyperlink" Target="http://plants.usda.gov/java/profile?symbol=ISCE" TargetMode="External"/><Relationship Id="rId2750" Type="http://schemas.openxmlformats.org/officeDocument/2006/relationships/hyperlink" Target="http://www.burkemuseum.org/research-and-collections/botany-and-herbarium/collections/database/results.php?Genus=Anemone&amp;Species=multifida&amp;SourcePage=search.php&amp;IncludeSynonyms=Y&amp;SortBy=DESC&amp;SortOrder=Year" TargetMode="External"/><Relationship Id="rId3801" Type="http://schemas.openxmlformats.org/officeDocument/2006/relationships/hyperlink" Target="https://plants.usda.gov/core/profile?symbol=CAAMA3" TargetMode="External"/><Relationship Id="rId5699" Type="http://schemas.openxmlformats.org/officeDocument/2006/relationships/hyperlink" Target="http://www.burkemuseum.org/research-and-collections/botany-and-herbarium/collections/database/results.php?Genus=Dodecatheon&amp;Species=jeffreyi&amp;SourcePage=search.php&amp;IncludeSynonyms=Y&amp;SortBy=DESC&amp;SortOrder=Year" TargetMode="External"/><Relationship Id="rId6000" Type="http://schemas.openxmlformats.org/officeDocument/2006/relationships/hyperlink" Target="http://www.burkemuseum.org/research-and-collections/botany-and-herbarium/collections/database/results.php?Genus=Penstemon&amp;Species=attenuatus&amp;SourcePage=search.php&amp;IncludeSynonyms=Y&amp;SortBy=DESC&amp;SortOrder=Year" TargetMode="External"/><Relationship Id="rId6957" Type="http://schemas.openxmlformats.org/officeDocument/2006/relationships/hyperlink" Target="http://biology.burke.washington.edu/herbarium/imagecollection/taxon.php?Taxon=Juncus%20tenuis" TargetMode="External"/><Relationship Id="rId308" Type="http://schemas.openxmlformats.org/officeDocument/2006/relationships/hyperlink" Target="http://biology.burke.washington.edu/herbarium/imagecollectionnew/taxon.php?Taxon=Athyrium%20filix-femina" TargetMode="External"/><Relationship Id="rId515" Type="http://schemas.openxmlformats.org/officeDocument/2006/relationships/hyperlink" Target="https://en.wikipedia.org/wiki/Veronica_peregrina" TargetMode="External"/><Relationship Id="rId722" Type="http://schemas.openxmlformats.org/officeDocument/2006/relationships/hyperlink" Target="https://en.wikipedia.org/wiki/Elymus_glaucus" TargetMode="External"/><Relationship Id="rId1145" Type="http://schemas.openxmlformats.org/officeDocument/2006/relationships/hyperlink" Target="https://en.wikipedia.org/wiki/Galium_oreganum" TargetMode="External"/><Relationship Id="rId1352" Type="http://schemas.openxmlformats.org/officeDocument/2006/relationships/hyperlink" Target="https://en.wikipedia.org/wiki/Lotus_pedunculatus" TargetMode="External"/><Relationship Id="rId2403" Type="http://schemas.openxmlformats.org/officeDocument/2006/relationships/hyperlink" Target="http://plants.usda.gov/java/profile?symbol=ANMU" TargetMode="External"/><Relationship Id="rId5559" Type="http://schemas.openxmlformats.org/officeDocument/2006/relationships/hyperlink" Target="http://www.burkemuseum.org/research-and-collections/botany-and-herbarium/collections/database/results.php?Genus=Camassia&amp;Species=quamash&amp;SourcePage=search.php&amp;IncludeSynonyms=Y&amp;SortBy=DESC&amp;SortOrder=Year" TargetMode="External"/><Relationship Id="rId5766" Type="http://schemas.openxmlformats.org/officeDocument/2006/relationships/hyperlink" Target="http://www.burkemuseum.org/research-and-collections/botany-and-herbarium/collections/database/results.php?Genus=Gaillardia&amp;Species=aristata&amp;SourcePage=search.php&amp;IncludeSynonyms=Y&amp;SortBy=DESC&amp;SortOrder=Year" TargetMode="External"/><Relationship Id="rId1005" Type="http://schemas.openxmlformats.org/officeDocument/2006/relationships/hyperlink" Target="http://en.wikipedia.org/wiki/Arceuthobium_campylopodum" TargetMode="External"/><Relationship Id="rId1212" Type="http://schemas.openxmlformats.org/officeDocument/2006/relationships/hyperlink" Target="http://biology.burke.washington.edu/herbarium/imagecollection/taxon.php?Taxon=Juncus%20effusus" TargetMode="External"/><Relationship Id="rId2610" Type="http://schemas.openxmlformats.org/officeDocument/2006/relationships/hyperlink" Target="http://biology.burke.washington.edu/herbarium/imagecollectionnew/taxon.php?Taxon=Symphyotrichum%20subspicatum" TargetMode="External"/><Relationship Id="rId4368" Type="http://schemas.openxmlformats.org/officeDocument/2006/relationships/hyperlink" Target="https://plants.usda.gov/core/profile?symbol=SARA2" TargetMode="External"/><Relationship Id="rId4575" Type="http://schemas.openxmlformats.org/officeDocument/2006/relationships/hyperlink" Target="https://en.wikipedia.org/wiki/Anemone_multifida" TargetMode="External"/><Relationship Id="rId5419" Type="http://schemas.openxmlformats.org/officeDocument/2006/relationships/hyperlink" Target="https://en.wikipedia.org/wiki/Sparganium_fluctuans" TargetMode="External"/><Relationship Id="rId5973" Type="http://schemas.openxmlformats.org/officeDocument/2006/relationships/hyperlink" Target="http://www.burkemuseum.org/research-and-collections/botany-and-herbarium/collections/database/results.php?Genus=Nymphaea&amp;Species=tetragona&amp;SourcePage=search.php&amp;IncludeSynonyms=Y&amp;SortBy=DESC&amp;SortOrder=Year" TargetMode="External"/><Relationship Id="rId6817" Type="http://schemas.openxmlformats.org/officeDocument/2006/relationships/hyperlink" Target="http://biology.burke.washington.edu/herbarium/imagecollectionnew/taxon.php?Taxon=Cephalanthera%20austiniae" TargetMode="External"/><Relationship Id="rId3177" Type="http://schemas.openxmlformats.org/officeDocument/2006/relationships/hyperlink" Target="http://www.burkemuseum.org/research-and-collections/botany-and-herbarium/collections/database/results.php?Genus=Orthocarpus&amp;Species=bracteosus&amp;SourcePage=search.php&amp;IncludeSynonyms=Y&amp;SortBy=DESC&amp;SortOrder=Year" TargetMode="External"/><Relationship Id="rId4228" Type="http://schemas.openxmlformats.org/officeDocument/2006/relationships/hyperlink" Target="https://plants.usda.gov/core/profile?symbol=PLMA" TargetMode="External"/><Relationship Id="rId4782" Type="http://schemas.openxmlformats.org/officeDocument/2006/relationships/hyperlink" Target="https://en.wikipedia.org/wiki/Carex_comosa" TargetMode="External"/><Relationship Id="rId5626" Type="http://schemas.openxmlformats.org/officeDocument/2006/relationships/hyperlink" Target="http://www.burkemuseum.org/research-and-collections/botany-and-herbarium/collections/database/results.php?Genus=Chimaphila&amp;Species=menziesii&amp;SourcePage=search.php&amp;IncludeSynonyms=Y&amp;SortBy=DESC&amp;SortOrder=Year" TargetMode="External"/><Relationship Id="rId5833" Type="http://schemas.openxmlformats.org/officeDocument/2006/relationships/hyperlink" Target="http://www.burkemuseum.org/research-and-collections/botany-and-herbarium/collections/database/results.php?Genus=Isolepis&amp;Species=cernua&amp;SourcePage=search.php&amp;IncludeSynonyms=Y&amp;SortBy=DESC&amp;SortOrder=Year" TargetMode="External"/><Relationship Id="rId3037" Type="http://schemas.openxmlformats.org/officeDocument/2006/relationships/hyperlink" Target="http://www.burkemuseum.org/research-and-collections/botany-and-herbarium/collections/database/results.php?Genus=Hieracium&amp;Species=albiflorum&amp;SourcePage=search.php&amp;IncludeSynonyms=Y&amp;SortBy=DESC&amp;SortOrder=Year" TargetMode="External"/><Relationship Id="rId3384" Type="http://schemas.openxmlformats.org/officeDocument/2006/relationships/hyperlink" Target="http://www.burkemuseum.org/research-and-collections/botany-and-herbarium/collections/database/results.php?Genus=Symphyotrichum&amp;Species=bracteolatum&amp;SourcePage=search.php&amp;IncludeSynonyms=Y&amp;SortBy=DESC&amp;SortOrder=Year" TargetMode="External"/><Relationship Id="rId3591" Type="http://schemas.openxmlformats.org/officeDocument/2006/relationships/hyperlink" Target="http://www.burkemuseum.org/research-and-collections/botany-and-herbarium/collections/database/results.php?Genus=Sisyrinchium&amp;Species=californicum&amp;SourcePage=search.php&amp;IncludeSynonyms=Y&amp;SortBy=DESC&amp;SortOrder=Year" TargetMode="External"/><Relationship Id="rId4435" Type="http://schemas.openxmlformats.org/officeDocument/2006/relationships/hyperlink" Target="https://plants.usda.gov/core/profile?symbol=stlo2" TargetMode="External"/><Relationship Id="rId4642" Type="http://schemas.openxmlformats.org/officeDocument/2006/relationships/hyperlink" Target="http://www.burkemuseum.org/research-and-collections/botany-and-herbarium/collections/database/results.php?Genus=Armeria&amp;Species=maritima&amp;SourcePage=search.php&amp;IncludeSynonyms=Y&amp;SortBy=DESC&amp;SortOrder=Year" TargetMode="External"/><Relationship Id="rId5900" Type="http://schemas.openxmlformats.org/officeDocument/2006/relationships/hyperlink" Target="http://www.burkemuseum.org/research-and-collections/botany-and-herbarium/collections/database/results.php?Genus=Lupinus&amp;Species=microcarpus&amp;SourcePage=search.php&amp;IncludeSynonyms=Y&amp;SortBy=DESC&amp;SortOrder=Year" TargetMode="External"/><Relationship Id="rId2193" Type="http://schemas.openxmlformats.org/officeDocument/2006/relationships/hyperlink" Target="http://plants.usda.gov/java/profile?symbol=EPDE4" TargetMode="External"/><Relationship Id="rId3244" Type="http://schemas.openxmlformats.org/officeDocument/2006/relationships/hyperlink" Target="http://www.burkemuseum.org/research-and-collections/botany-and-herbarium/collections/database/results.php?Genus=Potamogeton&amp;Species=richardsonii&amp;SourcePage=search.php&amp;IncludeSynonyms=Y&amp;SortBy=DESC&amp;SortOrder=Year" TargetMode="External"/><Relationship Id="rId3451" Type="http://schemas.openxmlformats.org/officeDocument/2006/relationships/hyperlink" Target="http://www.burkemuseum.org/research-and-collections/botany-and-herbarium/collections/database/results.php?Genus=Abies&amp;Species=amabilis&amp;SourcePage=search.php&amp;IncludeSynonyms=Y&amp;SortBy=DESC&amp;SortOrder=Year" TargetMode="External"/><Relationship Id="rId4502" Type="http://schemas.openxmlformats.org/officeDocument/2006/relationships/hyperlink" Target="https://plants.usda.gov/core/profile?symbol=VEHA2" TargetMode="External"/><Relationship Id="rId165" Type="http://schemas.openxmlformats.org/officeDocument/2006/relationships/hyperlink" Target="http://biology.burke.washington.edu/herbarium/imagecollection/taxon.php?Taxon=Epilobium%20ciliatum" TargetMode="External"/><Relationship Id="rId372" Type="http://schemas.openxmlformats.org/officeDocument/2006/relationships/hyperlink" Target="http://biology.burke.washington.edu/herbarium/imagecollectionnew/taxon.php?Taxon=Carex%20utriculata" TargetMode="External"/><Relationship Id="rId2053" Type="http://schemas.openxmlformats.org/officeDocument/2006/relationships/hyperlink" Target="https://plants.usda.gov/core/profile?symbol=lout2" TargetMode="External"/><Relationship Id="rId2260" Type="http://schemas.openxmlformats.org/officeDocument/2006/relationships/hyperlink" Target="https://plants.usda.gov/core/profile?symbol=cldo2" TargetMode="External"/><Relationship Id="rId3104" Type="http://schemas.openxmlformats.org/officeDocument/2006/relationships/hyperlink" Target="http://www.burkemuseum.org/research-and-collections/botany-and-herbarium/collections/database/results.php?Genus=Lotus&amp;Species=aboriginus&amp;SourcePage=search.php&amp;IncludeSynonyms=Y&amp;SortBy=DESC&amp;SortOrder=Year" TargetMode="External"/><Relationship Id="rId3311" Type="http://schemas.openxmlformats.org/officeDocument/2006/relationships/hyperlink" Target="http://www.burkemuseum.org/research-and-collections/botany-and-herbarium/collections/database/results.php?Genus=Salix&amp;Species=gooddingii&amp;SourcePage=search.php&amp;IncludeSynonyms=Y&amp;SortBy=DESC&amp;SortOrder=Year" TargetMode="External"/><Relationship Id="rId6467" Type="http://schemas.openxmlformats.org/officeDocument/2006/relationships/hyperlink" Target="http://biology.burke.washington.edu/herbarium/imagecollectionnew/taxon.php?Taxon=Dodecatheon%20pulchellum" TargetMode="External"/><Relationship Id="rId6674" Type="http://schemas.openxmlformats.org/officeDocument/2006/relationships/hyperlink" Target="http://biology.burke.washington.edu/herbarium/imagecollection/taxon.php?Taxon=Pyracantha%20coccinea" TargetMode="External"/><Relationship Id="rId6881" Type="http://schemas.openxmlformats.org/officeDocument/2006/relationships/hyperlink" Target="http://biology.burke.washington.edu/herbarium/imagecollectionnew/taxon.php?Taxon=Stellaria%20crispa" TargetMode="External"/><Relationship Id="rId232" Type="http://schemas.openxmlformats.org/officeDocument/2006/relationships/hyperlink" Target="http://biology.burke.washington.edu/herbarium/imagecollection/taxon.php?Taxon=Potamogeton%20zosteriformis" TargetMode="External"/><Relationship Id="rId2120" Type="http://schemas.openxmlformats.org/officeDocument/2006/relationships/hyperlink" Target="http://plants.usda.gov/java/profile?symbol=HECH" TargetMode="External"/><Relationship Id="rId5069" Type="http://schemas.openxmlformats.org/officeDocument/2006/relationships/hyperlink" Target="https://en.wikipedia.org/wiki/Lemna_minor" TargetMode="External"/><Relationship Id="rId5276" Type="http://schemas.openxmlformats.org/officeDocument/2006/relationships/hyperlink" Target="https://en.wikipedia.org/wiki/Potentilla_anserina" TargetMode="External"/><Relationship Id="rId5483" Type="http://schemas.openxmlformats.org/officeDocument/2006/relationships/hyperlink" Target="https://en.wikipedia.org/wiki/Typha_angustifolia" TargetMode="External"/><Relationship Id="rId5690" Type="http://schemas.openxmlformats.org/officeDocument/2006/relationships/hyperlink" Target="http://www.burkemuseum.org/research-and-collections/botany-and-herbarium/collections/database/results.php?Genus=Dendrolycopodium&amp;Species=dendroideum&amp;SourcePage=search.php&amp;IncludeSynonyms=Y&amp;SortBy=DESC&amp;SortOrder=Year" TargetMode="External"/><Relationship Id="rId6327" Type="http://schemas.openxmlformats.org/officeDocument/2006/relationships/hyperlink" Target="http://www.burkemuseum.org/research-and-collections/botany-and-herbarium/collections/database/results.php?Genus=Zygadenus&amp;Species=venenosus&amp;SourcePage=search.php&amp;IncludeSynonyms=Y&amp;SortBy=DESC&amp;SortOrder=Year" TargetMode="External"/><Relationship Id="rId6534" Type="http://schemas.openxmlformats.org/officeDocument/2006/relationships/hyperlink" Target="http://biology.burke.washington.edu/herbarium/imagecollection/taxon.php?Taxon=Iris%20tenax" TargetMode="External"/><Relationship Id="rId6741" Type="http://schemas.openxmlformats.org/officeDocument/2006/relationships/hyperlink" Target="http://biology.burke.washington.edu/herbarium/imagecollection/taxon.php?Taxon=Lupinus%20oreganus" TargetMode="External"/><Relationship Id="rId1679" Type="http://schemas.openxmlformats.org/officeDocument/2006/relationships/hyperlink" Target="http://biology.burke.washington.edu/herbarium/imagecollectionnew/taxon.php?Taxon=Alnus%20rhombifolia" TargetMode="External"/><Relationship Id="rId4085" Type="http://schemas.openxmlformats.org/officeDocument/2006/relationships/hyperlink" Target="https://plants.usda.gov/core/profile?symbol=LOCI3" TargetMode="External"/><Relationship Id="rId4292" Type="http://schemas.openxmlformats.org/officeDocument/2006/relationships/hyperlink" Target="https://plants.usda.gov/core/profile?symbol=PYPI2" TargetMode="External"/><Relationship Id="rId5136" Type="http://schemas.openxmlformats.org/officeDocument/2006/relationships/hyperlink" Target="https://en.wikipedia.org/wiki/Micranthes_integrifolia" TargetMode="External"/><Relationship Id="rId5343" Type="http://schemas.openxmlformats.org/officeDocument/2006/relationships/hyperlink" Target="https://en.wikipedia.org/wiki/Sabulina_macra" TargetMode="External"/><Relationship Id="rId1886" Type="http://schemas.openxmlformats.org/officeDocument/2006/relationships/hyperlink" Target="http://plants.usda.gov/java/profile?symbol=RAMA2" TargetMode="External"/><Relationship Id="rId2937" Type="http://schemas.openxmlformats.org/officeDocument/2006/relationships/hyperlink" Target="http://www.burkemuseum.org/research-and-collections/botany-and-herbarium/collections/database/results.php?Genus=Deschampsia&amp;Species=cespitosa&amp;SourcePage=search.php&amp;IncludeSynonyms=Y&amp;SortBy=DESC&amp;SortOrder=Year" TargetMode="External"/><Relationship Id="rId4152" Type="http://schemas.openxmlformats.org/officeDocument/2006/relationships/hyperlink" Target="https://plants.usda.gov/core/profile?symbol=MOPA2" TargetMode="External"/><Relationship Id="rId5203" Type="http://schemas.openxmlformats.org/officeDocument/2006/relationships/hyperlink" Target="https://en.wikipedia.org/wiki/Penstemon_cardwellii" TargetMode="External"/><Relationship Id="rId5550" Type="http://schemas.openxmlformats.org/officeDocument/2006/relationships/hyperlink" Target="http://www.burkemuseum.org/research-and-collections/botany-and-herbarium/collections/database/results.php?Genus=Calandrinia&amp;Species=ciliata&amp;SourcePage=search.php&amp;IncludeSynonyms=Y&amp;SortBy=DESC&amp;SortOrder=Year" TargetMode="External"/><Relationship Id="rId6601" Type="http://schemas.openxmlformats.org/officeDocument/2006/relationships/hyperlink" Target="http://biology.burke.washington.edu/herbarium/imagecollection/taxon.php?Taxon=Penstemon%20ovatus" TargetMode="External"/><Relationship Id="rId909" Type="http://schemas.openxmlformats.org/officeDocument/2006/relationships/hyperlink" Target="https://en.wikipedia.org/wiki/Chamaenerion_angustifolium" TargetMode="External"/><Relationship Id="rId1539" Type="http://schemas.openxmlformats.org/officeDocument/2006/relationships/hyperlink" Target="https://en.wikipedia.org/wiki/Polypodium_glycyrrhiza" TargetMode="External"/><Relationship Id="rId1746" Type="http://schemas.openxmlformats.org/officeDocument/2006/relationships/hyperlink" Target="http://plants.usda.gov/java/profile?symbol=TRPU16" TargetMode="External"/><Relationship Id="rId1953" Type="http://schemas.openxmlformats.org/officeDocument/2006/relationships/hyperlink" Target="http://plants.usda.gov/java/profile?symbol=PHDI3" TargetMode="External"/><Relationship Id="rId5410" Type="http://schemas.openxmlformats.org/officeDocument/2006/relationships/hyperlink" Target="https://en.wikipedia.org/wiki/Sisyrinchium_idahoense" TargetMode="External"/><Relationship Id="rId7168" Type="http://schemas.openxmlformats.org/officeDocument/2006/relationships/hyperlink" Target="http://biology.burke.washington.edu/herbarium/imagecollection/taxon.php?Taxon=Salix%20geyeriana" TargetMode="External"/><Relationship Id="rId38" Type="http://schemas.openxmlformats.org/officeDocument/2006/relationships/hyperlink" Target="http://biology.burke.washington.edu/herbarium/imagecollection/taxon.php?Taxon=Lasthenia%20maritima" TargetMode="External"/><Relationship Id="rId1606" Type="http://schemas.openxmlformats.org/officeDocument/2006/relationships/hyperlink" Target="https://en.wikipedia.org/wiki/Lomatium_utriculatum" TargetMode="External"/><Relationship Id="rId1813" Type="http://schemas.openxmlformats.org/officeDocument/2006/relationships/hyperlink" Target="https://plants.usda.gov/core/profile?symbol=SERI4" TargetMode="External"/><Relationship Id="rId4012" Type="http://schemas.openxmlformats.org/officeDocument/2006/relationships/hyperlink" Target="https://plants.usda.gov/core/profile?symbol=HOBR2" TargetMode="External"/><Relationship Id="rId4969" Type="http://schemas.openxmlformats.org/officeDocument/2006/relationships/hyperlink" Target="https://en.wikipedia.org/wiki/Filipendula_occidentalis" TargetMode="External"/><Relationship Id="rId3778" Type="http://schemas.openxmlformats.org/officeDocument/2006/relationships/hyperlink" Target="https://plants.usda.gov/core/profile?symbol=CALA11" TargetMode="External"/><Relationship Id="rId3985" Type="http://schemas.openxmlformats.org/officeDocument/2006/relationships/hyperlink" Target="https://plants.usda.gov/core/profile?symbol=GLST" TargetMode="External"/><Relationship Id="rId4829" Type="http://schemas.openxmlformats.org/officeDocument/2006/relationships/hyperlink" Target="https://en.wikipedia.org/wiki/Ceratophyllum_demersum" TargetMode="External"/><Relationship Id="rId6184" Type="http://schemas.openxmlformats.org/officeDocument/2006/relationships/hyperlink" Target="http://www.burkemuseum.org/research-and-collections/botany-and-herbarium/collections/database/results.php?Genus=Schoenoplectus&amp;Species=tabernaemontani&amp;SourcePage=search.php&amp;IncludeSynonyms=Y&amp;SortBy=DESC&amp;SortOrder=Year" TargetMode="External"/><Relationship Id="rId6391" Type="http://schemas.openxmlformats.org/officeDocument/2006/relationships/hyperlink" Target="http://biology.burke.washington.edu/herbarium/imagecollectionnew/taxon.php?Taxon=Betula%20glandulosa" TargetMode="External"/><Relationship Id="rId7028" Type="http://schemas.openxmlformats.org/officeDocument/2006/relationships/hyperlink" Target="http://biology.burke.washington.edu/herbarium/imagecollectionnew/taxon.php?Taxon=Carex%20densa" TargetMode="External"/><Relationship Id="rId7235" Type="http://schemas.openxmlformats.org/officeDocument/2006/relationships/hyperlink" Target="http://biology.burke.washington.edu/herbarium/imagecollection/taxon.php?Taxon=Pinus%20ponderosa" TargetMode="External"/><Relationship Id="rId699" Type="http://schemas.openxmlformats.org/officeDocument/2006/relationships/hyperlink" Target="https://en.wikipedia.org/wiki/Mimulus_alsinoides" TargetMode="External"/><Relationship Id="rId2587" Type="http://schemas.openxmlformats.org/officeDocument/2006/relationships/hyperlink" Target="http://plants.usda.gov/java/profile?symbol=BOOC2" TargetMode="External"/><Relationship Id="rId2794" Type="http://schemas.openxmlformats.org/officeDocument/2006/relationships/hyperlink" Target="http://www.burkemuseum.org/research-and-collections/botany-and-herbarium/collections/database/results.php?Genus=Bidens&amp;Species=beckii&amp;SourcePage=search.php&amp;IncludeSynonyms=Y&amp;SortBy=DESC&amp;SortOrder=Year" TargetMode="External"/><Relationship Id="rId3638" Type="http://schemas.openxmlformats.org/officeDocument/2006/relationships/hyperlink" Target="https://plants.usda.gov/core/profile?symbol=ADAL" TargetMode="External"/><Relationship Id="rId3845" Type="http://schemas.openxmlformats.org/officeDocument/2006/relationships/hyperlink" Target="https://plants.usda.gov/core/profile?symbol=COSP" TargetMode="External"/><Relationship Id="rId6044" Type="http://schemas.openxmlformats.org/officeDocument/2006/relationships/hyperlink" Target="http://www.burkemuseum.org/research-and-collections/botany-and-herbarium/collections/database/results.php?Genus=Poa&amp;Species=leptocoma&amp;SourcePage=search.php&amp;IncludeSynonyms=Y&amp;SortBy=DESC&amp;SortOrder=Year" TargetMode="External"/><Relationship Id="rId6251" Type="http://schemas.openxmlformats.org/officeDocument/2006/relationships/hyperlink" Target="http://www.burkemuseum.org/research-and-collections/botany-and-herbarium/collections/database/results.php?Genus=Taxus&amp;Species=brevifolia&amp;SourcePage=search.php&amp;IncludeSynonyms=Y&amp;SortBy=DESC&amp;SortOrder=Year" TargetMode="External"/><Relationship Id="rId559" Type="http://schemas.openxmlformats.org/officeDocument/2006/relationships/hyperlink" Target="https://en.wikipedia.org/wiki/Symphyotrichum_campestre" TargetMode="External"/><Relationship Id="rId766" Type="http://schemas.openxmlformats.org/officeDocument/2006/relationships/hyperlink" Target="https://en.wikipedia.org/wiki/Potamogeton_richardsonii" TargetMode="External"/><Relationship Id="rId1189" Type="http://schemas.openxmlformats.org/officeDocument/2006/relationships/hyperlink" Target="http://biology.burke.washington.edu/herbarium/imagecollectionnew/taxon.php?Taxon=Trifolium%20variegatum" TargetMode="External"/><Relationship Id="rId1396" Type="http://schemas.openxmlformats.org/officeDocument/2006/relationships/hyperlink" Target="http://biology.burke.washington.edu/herbarium/imagecollection/taxon.php?Taxon=Fraxinus%20latifolia" TargetMode="External"/><Relationship Id="rId2447" Type="http://schemas.openxmlformats.org/officeDocument/2006/relationships/hyperlink" Target="http://plants.usda.gov/java/profile?symbol=VINI81" TargetMode="External"/><Relationship Id="rId5060" Type="http://schemas.openxmlformats.org/officeDocument/2006/relationships/hyperlink" Target="https://en.wikipedia.org/wiki/Lasthenia_glaberrima" TargetMode="External"/><Relationship Id="rId6111" Type="http://schemas.openxmlformats.org/officeDocument/2006/relationships/hyperlink" Target="http://www.burkemuseum.org/research-and-collections/botany-and-herbarium/collections/database/results.php?Genus=Rhododendron&amp;Species=menziesii&amp;SourcePage=search.php&amp;IncludeSynonyms=Y&amp;SortBy=DESC&amp;SortOrder=Year" TargetMode="External"/><Relationship Id="rId419" Type="http://schemas.openxmlformats.org/officeDocument/2006/relationships/hyperlink" Target="http://biology.burke.washington.edu/herbarium/imagecollectionnew/taxon.php?Taxon=Chrysolepis%20chrysophylla" TargetMode="External"/><Relationship Id="rId626" Type="http://schemas.openxmlformats.org/officeDocument/2006/relationships/hyperlink" Target="https://en.wikipedia.org/wiki/Salix_gooddingii" TargetMode="External"/><Relationship Id="rId973" Type="http://schemas.openxmlformats.org/officeDocument/2006/relationships/hyperlink" Target="http://en.wikipedia.org/wiki/Botrychium_minganense" TargetMode="External"/><Relationship Id="rId1049" Type="http://schemas.openxmlformats.org/officeDocument/2006/relationships/hyperlink" Target="https://en.wikipedia.org/wiki/Antennaria_racemosa" TargetMode="External"/><Relationship Id="rId1256" Type="http://schemas.openxmlformats.org/officeDocument/2006/relationships/hyperlink" Target="http://biology.burke.washington.edu/herbarium/imagecollection/taxon.php?Taxon=Lupinus%20oreganus" TargetMode="External"/><Relationship Id="rId2307" Type="http://schemas.openxmlformats.org/officeDocument/2006/relationships/hyperlink" Target="http://plants.usda.gov/java/profile?symbol=CAPA19" TargetMode="External"/><Relationship Id="rId2654" Type="http://schemas.openxmlformats.org/officeDocument/2006/relationships/hyperlink" Target="http://biology.burke.washington.edu/herbarium/imagecollectionnew/taxon.php?Taxon=Subularia%20aquatica" TargetMode="External"/><Relationship Id="rId2861" Type="http://schemas.openxmlformats.org/officeDocument/2006/relationships/hyperlink" Target="http://www.burkemuseum.org/research-and-collections/botany-and-herbarium/collections/database/results.php?Genus=Castilleja&amp;Species=attenuata&amp;SourcePage=search.php&amp;IncludeSynonyms=Y&amp;SortBy=DESC&amp;SortOrder=Year" TargetMode="External"/><Relationship Id="rId3705" Type="http://schemas.openxmlformats.org/officeDocument/2006/relationships/hyperlink" Target="https://plants.usda.gov/core/profile?symbol=ASCO" TargetMode="External"/><Relationship Id="rId3912" Type="http://schemas.openxmlformats.org/officeDocument/2006/relationships/hyperlink" Target="https://plants.usda.gov/core/profile?symbol=elnu2" TargetMode="External"/><Relationship Id="rId833" Type="http://schemas.openxmlformats.org/officeDocument/2006/relationships/hyperlink" Target="https://en.wikipedia.org/wiki/Nothochelone" TargetMode="External"/><Relationship Id="rId1116" Type="http://schemas.openxmlformats.org/officeDocument/2006/relationships/hyperlink" Target="https://en.wikipedia.org/wiki/Juncus_oxymeris" TargetMode="External"/><Relationship Id="rId1463" Type="http://schemas.openxmlformats.org/officeDocument/2006/relationships/hyperlink" Target="http://biology.burke.washington.edu/herbarium/imagecollectionnew/taxon.php?Taxon=Viola%20sempervirens" TargetMode="External"/><Relationship Id="rId1670" Type="http://schemas.openxmlformats.org/officeDocument/2006/relationships/hyperlink" Target="http://biology.burke.washington.edu/herbarium/imagecollectionnew/taxon.php?Taxon=Toxicodendron%20radicans" TargetMode="External"/><Relationship Id="rId2514" Type="http://schemas.openxmlformats.org/officeDocument/2006/relationships/hyperlink" Target="https://plants.usda.gov/core/profile?symbol=MITRT" TargetMode="External"/><Relationship Id="rId2721" Type="http://schemas.openxmlformats.org/officeDocument/2006/relationships/hyperlink" Target="http://www.burkemuseum.org/research-and-collections/botany-and-herbarium/collections/database/results.php?Genus=Actaea&amp;Species=elata&amp;SourcePage=search.php&amp;IncludeSynonyms=Y&amp;SortBy=DESC&amp;SortOrder=Year" TargetMode="External"/><Relationship Id="rId5877" Type="http://schemas.openxmlformats.org/officeDocument/2006/relationships/hyperlink" Target="http://www.burkemuseum.org/research-and-collections/botany-and-herbarium/collections/database/results.php?Genus=Limosella&amp;Species=aquatica&amp;SourcePage=search.php&amp;IncludeSynonyms=Y&amp;SortBy=DESC&amp;SortOrder=Year" TargetMode="External"/><Relationship Id="rId6928" Type="http://schemas.openxmlformats.org/officeDocument/2006/relationships/hyperlink" Target="http://biology.burke.washington.edu/herbarium/imagecollection/taxon.php?Taxon=Monotropa%20uniflora" TargetMode="External"/><Relationship Id="rId7092" Type="http://schemas.openxmlformats.org/officeDocument/2006/relationships/hyperlink" Target="http://biology.burke.washington.edu/herbarium/imagecollectionnew/taxon.php?Taxon=Urtica%20dioica" TargetMode="External"/><Relationship Id="rId900" Type="http://schemas.openxmlformats.org/officeDocument/2006/relationships/hyperlink" Target="https://en.wikipedia.org/wiki/Cirsium_edule" TargetMode="External"/><Relationship Id="rId1323" Type="http://schemas.openxmlformats.org/officeDocument/2006/relationships/hyperlink" Target="http://biology.burke.washington.edu/herbarium/imagecollection/taxon.php?Taxon=Salix%20lasiandra" TargetMode="External"/><Relationship Id="rId1530" Type="http://schemas.openxmlformats.org/officeDocument/2006/relationships/hyperlink" Target="https://en.wikipedia.org/wiki/Equisetum_telmateia" TargetMode="External"/><Relationship Id="rId4479" Type="http://schemas.openxmlformats.org/officeDocument/2006/relationships/hyperlink" Target="https://plants.usda.gov/core/profile?symbol=TRHY3" TargetMode="External"/><Relationship Id="rId4686" Type="http://schemas.openxmlformats.org/officeDocument/2006/relationships/hyperlink" Target="https://en.wikipedia.org/wiki/Angelica_arguta" TargetMode="External"/><Relationship Id="rId4893" Type="http://schemas.openxmlformats.org/officeDocument/2006/relationships/hyperlink" Target="https://en.wikipedia.org/wiki/Daucus_pusillus" TargetMode="External"/><Relationship Id="rId5737" Type="http://schemas.openxmlformats.org/officeDocument/2006/relationships/hyperlink" Target="http://www.burkemuseum.org/research-and-collections/botany-and-herbarium/collections/database/results.php?Genus=Eriophyllum&amp;Species=lanatum&amp;SourcePage=search.php&amp;IncludeSynonyms=Y&amp;SortBy=DESC&amp;SortOrder=Year" TargetMode="External"/><Relationship Id="rId5944" Type="http://schemas.openxmlformats.org/officeDocument/2006/relationships/hyperlink" Target="http://www.burkemuseum.org/research-and-collections/botany-and-herbarium/collections/database/results.php?Genus=Moehringia&amp;Species=macrophylla&amp;SourcePage=search.php&amp;IncludeSynonyms=Y&amp;SortBy=DESC&amp;SortOrder=Year" TargetMode="External"/><Relationship Id="rId3288" Type="http://schemas.openxmlformats.org/officeDocument/2006/relationships/hyperlink" Target="http://www.burkemuseum.org/research-and-collections/botany-and-herbarium/collections/database/results.php?Genus=Rosa&amp;Species=nutkana&amp;SourcePage=search.php&amp;IncludeSynonyms=Y&amp;SortBy=DESC&amp;SortOrder=Year" TargetMode="External"/><Relationship Id="rId3495" Type="http://schemas.openxmlformats.org/officeDocument/2006/relationships/hyperlink" Target="http://www.burkemuseum.org/research-and-collections/botany-and-herbarium/collections/database/results.php?Genus=Equisetum&amp;Species=telmateia&amp;SourcePage=search.php&amp;IncludeSynonyms=Y&amp;SortBy=DESC&amp;SortOrder=Year" TargetMode="External"/><Relationship Id="rId4339" Type="http://schemas.openxmlformats.org/officeDocument/2006/relationships/hyperlink" Target="https://plants.usda.gov/core/profile?symbol=RUOC2" TargetMode="External"/><Relationship Id="rId4546" Type="http://schemas.openxmlformats.org/officeDocument/2006/relationships/hyperlink" Target="https://en.wikipedia.org/wiki/Agoseris_apargioides" TargetMode="External"/><Relationship Id="rId4753" Type="http://schemas.openxmlformats.org/officeDocument/2006/relationships/hyperlink" Target="https://en.wikipedia.org/wiki/Calamagrostis_canadensis" TargetMode="External"/><Relationship Id="rId4960" Type="http://schemas.openxmlformats.org/officeDocument/2006/relationships/hyperlink" Target="https://en.wikipedia.org/wiki/Eucephalus_engelmannii" TargetMode="External"/><Relationship Id="rId5804" Type="http://schemas.openxmlformats.org/officeDocument/2006/relationships/hyperlink" Target="http://www.burkemuseum.org/research-and-collections/botany-and-herbarium/collections/database/results.php?Genus=Heuchera&amp;Species=cylindrica&amp;SourcePage=search.php&amp;IncludeSynonyms=Y&amp;SortBy=DESC&amp;SortOrder=Year" TargetMode="External"/><Relationship Id="rId2097" Type="http://schemas.openxmlformats.org/officeDocument/2006/relationships/hyperlink" Target="https://plants.usda.gov/core/profile?symbol=JUAL4" TargetMode="External"/><Relationship Id="rId3148" Type="http://schemas.openxmlformats.org/officeDocument/2006/relationships/hyperlink" Target="http://www.burkemuseum.org/research-and-collections/botany-and-herbarium/collections/database/results.php?Genus=Monotropa&amp;Species=hypopitys&amp;SourcePage=search.php&amp;IncludeSynonyms=Y&amp;SortBy=DESC&amp;SortOrder=Year" TargetMode="External"/><Relationship Id="rId3355" Type="http://schemas.openxmlformats.org/officeDocument/2006/relationships/hyperlink" Target="http://www.burkemuseum.org/research-and-collections/botany-and-herbarium/collections/database/results.php?Genus=Solidago&amp;Species=canadensis&amp;SourcePage=search.php&amp;IncludeSynonyms=Y&amp;SortBy=DESC&amp;SortOrder=Year" TargetMode="External"/><Relationship Id="rId3562" Type="http://schemas.openxmlformats.org/officeDocument/2006/relationships/hyperlink" Target="http://www.burkemuseum.org/research-and-collections/botany-and-herbarium/collections/database/results.php?Genus=Prunus&amp;Species=virginiana&amp;SourcePage=search.php&amp;IncludeSynonyms=Y&amp;SortBy=DESC&amp;SortOrder=Year" TargetMode="External"/><Relationship Id="rId4406" Type="http://schemas.openxmlformats.org/officeDocument/2006/relationships/hyperlink" Target="https://plants.usda.gov/core/profile?symbol=SIAN2" TargetMode="External"/><Relationship Id="rId4613" Type="http://schemas.openxmlformats.org/officeDocument/2006/relationships/hyperlink" Target="http://www.burkemuseum.org/research-and-collections/botany-and-herbarium/collections/database/results.php?Genus=Amsinckia&amp;Species=menziesii&amp;SourcePage=search.php&amp;IncludeSynonyms=Y&amp;SortBy=DESC&amp;SortOrder=Year" TargetMode="External"/><Relationship Id="rId276" Type="http://schemas.openxmlformats.org/officeDocument/2006/relationships/hyperlink" Target="https://en.wikipedia.org/wiki/Onocleaceae" TargetMode="External"/><Relationship Id="rId483" Type="http://schemas.openxmlformats.org/officeDocument/2006/relationships/hyperlink" Target="http://biology.burke.washington.edu/herbarium/imagecollectionnew/taxon.php?Taxon=Vulpia%20microstachys" TargetMode="External"/><Relationship Id="rId690" Type="http://schemas.openxmlformats.org/officeDocument/2006/relationships/hyperlink" Target="https://en.wikipedia.org/wiki/Eutrochium_maculatum" TargetMode="External"/><Relationship Id="rId2164" Type="http://schemas.openxmlformats.org/officeDocument/2006/relationships/hyperlink" Target="http://plants.usda.gov/java/profile?symbol=EUOC4" TargetMode="External"/><Relationship Id="rId2371" Type="http://schemas.openxmlformats.org/officeDocument/2006/relationships/hyperlink" Target="http://plants.usda.gov/java/profile?symbol=ATPU" TargetMode="External"/><Relationship Id="rId3008" Type="http://schemas.openxmlformats.org/officeDocument/2006/relationships/hyperlink" Target="http://www.burkemuseum.org/research-and-collections/botany-and-herbarium/collections/database/results.php?Genus=Galium&amp;Species=trifidum&amp;SourcePage=search.php&amp;IncludeSynonyms=Y&amp;SortBy=DESC&amp;SortOrder=Year" TargetMode="External"/><Relationship Id="rId3215" Type="http://schemas.openxmlformats.org/officeDocument/2006/relationships/hyperlink" Target="http://www.burkemuseum.org/research-and-collections/botany-and-herbarium/collections/database/results.php?Genus=Platanthera&amp;Species=orbiculata&amp;SourcePage=search.php&amp;IncludeSynonyms=Y&amp;SortBy=DESC&amp;SortOrder=Year" TargetMode="External"/><Relationship Id="rId3422" Type="http://schemas.openxmlformats.org/officeDocument/2006/relationships/hyperlink" Target="http://www.burkemuseum.org/research-and-collections/botany-and-herbarium/collections/database/results.php?Genus=Vaccinium&amp;Species=ovalifolium&amp;SourcePage=search.php&amp;IncludeSynonyms=Y&amp;SortBy=DESC&amp;SortOrder=Year" TargetMode="External"/><Relationship Id="rId4820" Type="http://schemas.openxmlformats.org/officeDocument/2006/relationships/hyperlink" Target="https://en.wikipedia.org/wiki/Castilleja_miniata" TargetMode="External"/><Relationship Id="rId6578" Type="http://schemas.openxmlformats.org/officeDocument/2006/relationships/hyperlink" Target="https://en.wikipedia.org/wiki/Matteuccia" TargetMode="External"/><Relationship Id="rId6785" Type="http://schemas.openxmlformats.org/officeDocument/2006/relationships/hyperlink" Target="http://biology.burke.washington.edu/herbarium/imagecollection/taxon.php?Taxon=Erythranthe%20dentata" TargetMode="External"/><Relationship Id="rId136" Type="http://schemas.openxmlformats.org/officeDocument/2006/relationships/hyperlink" Target="http://biology.burke.washington.edu/herbarium/imagecollection/taxon.php?Taxon=Juncus%20tenuis" TargetMode="External"/><Relationship Id="rId343" Type="http://schemas.openxmlformats.org/officeDocument/2006/relationships/hyperlink" Target="http://biology.burke.washington.edu/herbarium/imagecollectionnew/taxon.php?Taxon=Calandrinia%20ciliata" TargetMode="External"/><Relationship Id="rId550" Type="http://schemas.openxmlformats.org/officeDocument/2006/relationships/hyperlink" Target="https://en.wikipedia.org/wiki/Thermopsis_montana" TargetMode="External"/><Relationship Id="rId1180" Type="http://schemas.openxmlformats.org/officeDocument/2006/relationships/hyperlink" Target="http://biology.burke.washington.edu/herbarium/imagecollectionnew/taxon.php?Taxon=Athysanus%20pusillus" TargetMode="External"/><Relationship Id="rId2024" Type="http://schemas.openxmlformats.org/officeDocument/2006/relationships/hyperlink" Target="http://plants.usda.gov/java/profile?symbol=MESM" TargetMode="External"/><Relationship Id="rId2231" Type="http://schemas.openxmlformats.org/officeDocument/2006/relationships/hyperlink" Target="http://plants.usda.gov/java/profile?symbol=CYFR2" TargetMode="External"/><Relationship Id="rId5387" Type="http://schemas.openxmlformats.org/officeDocument/2006/relationships/hyperlink" Target="https://en.wikipedia.org/wiki/Scrophularia_lanceolata" TargetMode="External"/><Relationship Id="rId6438" Type="http://schemas.openxmlformats.org/officeDocument/2006/relationships/hyperlink" Target="http://biology.burke.washington.edu/herbarium/imagecollectionnew/taxon.php?Taxon=Collinsia%20grandiflora" TargetMode="External"/><Relationship Id="rId6992" Type="http://schemas.openxmlformats.org/officeDocument/2006/relationships/hyperlink" Target="http://biology.burke.washington.edu/herbarium/imagecollection/taxon.php?Taxon=Eleocharis%20acicularis" TargetMode="External"/><Relationship Id="rId203" Type="http://schemas.openxmlformats.org/officeDocument/2006/relationships/hyperlink" Target="http://biology.burke.washington.edu/herbarium/imagecollection/taxon.php?Taxon=Fragaria%20chiloensis" TargetMode="External"/><Relationship Id="rId1040" Type="http://schemas.openxmlformats.org/officeDocument/2006/relationships/hyperlink" Target="http://en.wikipedia.org/wiki/Actaea_rubra" TargetMode="External"/><Relationship Id="rId4196" Type="http://schemas.openxmlformats.org/officeDocument/2006/relationships/hyperlink" Target="https://plants.usda.gov/core/profile?symbol=MIBR6" TargetMode="External"/><Relationship Id="rId5247" Type="http://schemas.openxmlformats.org/officeDocument/2006/relationships/hyperlink" Target="https://en.wikipedia.org/wiki/Poa_macrantha" TargetMode="External"/><Relationship Id="rId5594" Type="http://schemas.openxmlformats.org/officeDocument/2006/relationships/hyperlink" Target="http://www.burkemuseum.org/research-and-collections/botany-and-herbarium/collections/database/results.php?Genus=Carex&amp;Species=pansa&amp;SourcePage=search.php&amp;IncludeSynonyms=Y&amp;SortBy=DESC&amp;SortOrder=Year" TargetMode="External"/><Relationship Id="rId6645" Type="http://schemas.openxmlformats.org/officeDocument/2006/relationships/hyperlink" Target="http://biology.burke.washington.edu/herbarium/imagecollectionnew/taxon.php?Taxon=Sparganium%20fluctuans" TargetMode="External"/><Relationship Id="rId6852" Type="http://schemas.openxmlformats.org/officeDocument/2006/relationships/hyperlink" Target="http://biology.burke.washington.edu/herbarium/imagecollectionnew/taxon.php?Taxon=Arceuthobium%20tsugense" TargetMode="External"/><Relationship Id="rId410" Type="http://schemas.openxmlformats.org/officeDocument/2006/relationships/hyperlink" Target="http://biology.burke.washington.edu/herbarium/imagecollectionnew/taxon.php?Taxon=Clarkia%20amoena" TargetMode="External"/><Relationship Id="rId1997" Type="http://schemas.openxmlformats.org/officeDocument/2006/relationships/hyperlink" Target="http://plants.usda.gov/java/profile?symbol=MYHI" TargetMode="External"/><Relationship Id="rId4056" Type="http://schemas.openxmlformats.org/officeDocument/2006/relationships/hyperlink" Target="https://plants.usda.gov/core/profile?symbol=laja" TargetMode="External"/><Relationship Id="rId5454" Type="http://schemas.openxmlformats.org/officeDocument/2006/relationships/hyperlink" Target="https://en.wikipedia.org/wiki/Tellima_grandiflora" TargetMode="External"/><Relationship Id="rId5661" Type="http://schemas.openxmlformats.org/officeDocument/2006/relationships/hyperlink" Target="http://www.burkemuseum.org/research-and-collections/botany-and-herbarium/collections/database/results.php?Genus=Cornus&amp;Species=nuttallii&amp;SourcePage=search.php&amp;IncludeSynonyms=Y&amp;SortBy=DESC&amp;SortOrder=Year" TargetMode="External"/><Relationship Id="rId6505" Type="http://schemas.openxmlformats.org/officeDocument/2006/relationships/hyperlink" Target="http://biology.burke.washington.edu/herbarium/imagecollection/taxon.php?Taxon=Isoetes%20occidentalis" TargetMode="External"/><Relationship Id="rId6712" Type="http://schemas.openxmlformats.org/officeDocument/2006/relationships/hyperlink" Target="http://biology.burke.washington.edu/herbarium/imagecollection/taxon.php?Taxon=Nemophila%20pedunculata" TargetMode="External"/><Relationship Id="rId1857" Type="http://schemas.openxmlformats.org/officeDocument/2006/relationships/hyperlink" Target="https://plants.usda.gov/core/profile?symbol=MITE2" TargetMode="External"/><Relationship Id="rId2908" Type="http://schemas.openxmlformats.org/officeDocument/2006/relationships/hyperlink" Target="http://www.burkemuseum.org/research-and-collections/botany-and-herbarium/collections/database/results.php?Genus=Corallorhiza&amp;Species=striata&amp;SourcePage=search.php&amp;IncludeSynonyms=Y&amp;SortBy=DESC&amp;SortOrder=Year" TargetMode="External"/><Relationship Id="rId4263" Type="http://schemas.openxmlformats.org/officeDocument/2006/relationships/hyperlink" Target="https://plants.usda.gov/core/profile?symbol=POFO3" TargetMode="External"/><Relationship Id="rId4470" Type="http://schemas.openxmlformats.org/officeDocument/2006/relationships/hyperlink" Target="https://plants.usda.gov/core/profile?symbol=TRWO" TargetMode="External"/><Relationship Id="rId5107" Type="http://schemas.openxmlformats.org/officeDocument/2006/relationships/hyperlink" Target="https://en.wikipedia.org/wiki/Luzula_multiflora" TargetMode="External"/><Relationship Id="rId5314" Type="http://schemas.openxmlformats.org/officeDocument/2006/relationships/hyperlink" Target="https://en.wikipedia.org/wiki/Rhynchospora_alba" TargetMode="External"/><Relationship Id="rId5521" Type="http://schemas.openxmlformats.org/officeDocument/2006/relationships/hyperlink" Target="https://en.wikipedia.org/wiki/Woodsia_oregana" TargetMode="External"/><Relationship Id="rId1717" Type="http://schemas.openxmlformats.org/officeDocument/2006/relationships/hyperlink" Target="https://plants.usda.gov/core/profile?symbol=VILA6" TargetMode="External"/><Relationship Id="rId1924" Type="http://schemas.openxmlformats.org/officeDocument/2006/relationships/hyperlink" Target="https://plants.usda.gov/core/profile?symbol=POSE5" TargetMode="External"/><Relationship Id="rId3072" Type="http://schemas.openxmlformats.org/officeDocument/2006/relationships/hyperlink" Target="http://www.burkemuseum.org/research-and-collections/botany-and-herbarium/collections/database/results.php?Genus=Larix&amp;Species=occidentalis&amp;SourcePage=search.php&amp;IncludeSynonyms=Y&amp;SortBy=DESC&amp;SortOrder=Year" TargetMode="External"/><Relationship Id="rId4123" Type="http://schemas.openxmlformats.org/officeDocument/2006/relationships/hyperlink" Target="https://plants.usda.gov/core/profile?symbol=MAFU" TargetMode="External"/><Relationship Id="rId4330" Type="http://schemas.openxmlformats.org/officeDocument/2006/relationships/hyperlink" Target="https://plants.usda.gov/core/profile?symbol=RORA" TargetMode="External"/><Relationship Id="rId3889" Type="http://schemas.openxmlformats.org/officeDocument/2006/relationships/hyperlink" Target="https://plants.usda.gov/core/profile?symbol=DIFO" TargetMode="External"/><Relationship Id="rId6088" Type="http://schemas.openxmlformats.org/officeDocument/2006/relationships/hyperlink" Target="http://www.burkemuseum.org/research-and-collections/botany-and-herbarium/collections/database/results.php?Genus=Pteridium&amp;Species=aquilinum&amp;SourcePage=search.php&amp;IncludeSynonyms=Y&amp;SortBy=DESC&amp;SortOrder=Year" TargetMode="External"/><Relationship Id="rId6295" Type="http://schemas.openxmlformats.org/officeDocument/2006/relationships/hyperlink" Target="http://www.burkemuseum.org/research-and-collections/botany-and-herbarium/collections/database/results.php?Genus=Valeriana&amp;Species=scouleri&amp;SourcePage=search.php&amp;IncludeSynonyms=Y&amp;SortBy=DESC&amp;SortOrder=Year" TargetMode="External"/><Relationship Id="rId7139" Type="http://schemas.openxmlformats.org/officeDocument/2006/relationships/hyperlink" Target="https://en.wikipedia.org/wiki/Sequoia_sempervirens" TargetMode="External"/><Relationship Id="rId2698" Type="http://schemas.openxmlformats.org/officeDocument/2006/relationships/hyperlink" Target="http://biology.burke.washington.edu/herbarium/imagecollectionnew/taxon.php?Taxon=Shepherdia%20canadensis" TargetMode="External"/><Relationship Id="rId6155" Type="http://schemas.openxmlformats.org/officeDocument/2006/relationships/hyperlink" Target="http://www.burkemuseum.org/research-and-collections/botany-and-herbarium/collections/database/results.php?Genus=Salix&amp;Species=gooddingii&amp;SourcePage=search.php&amp;IncludeSynonyms=Y&amp;SortBy=DESC&amp;SortOrder=Year" TargetMode="External"/><Relationship Id="rId6362" Type="http://schemas.openxmlformats.org/officeDocument/2006/relationships/hyperlink" Target="http://biology.burke.washington.edu/herbarium/imagecollectionnew/taxon.php?Taxon=Alnus%20viridis" TargetMode="External"/><Relationship Id="rId7206" Type="http://schemas.openxmlformats.org/officeDocument/2006/relationships/hyperlink" Target="http://biology.burke.washington.edu/herbarium/imagecollection/taxon.php?Taxon=Quercus%20garryana" TargetMode="External"/><Relationship Id="rId3749" Type="http://schemas.openxmlformats.org/officeDocument/2006/relationships/hyperlink" Target="https://plants.usda.gov/core/profile?symbol=CABU" TargetMode="External"/><Relationship Id="rId3956" Type="http://schemas.openxmlformats.org/officeDocument/2006/relationships/hyperlink" Target="https://plants.usda.gov/core/profile?symbol=FERU2" TargetMode="External"/><Relationship Id="rId5171" Type="http://schemas.openxmlformats.org/officeDocument/2006/relationships/hyperlink" Target="https://en.wikipedia.org/wiki/Neottia_cordata" TargetMode="External"/><Relationship Id="rId6015" Type="http://schemas.openxmlformats.org/officeDocument/2006/relationships/hyperlink" Target="http://www.burkemuseum.org/research-and-collections/botany-and-herbarium/collections/database/results.php?Genus=Phacelia&amp;Species=nemoralis&amp;SourcePage=search.php&amp;IncludeSynonyms=Y&amp;SortBy=DESC&amp;SortOrder=Year" TargetMode="External"/><Relationship Id="rId6222" Type="http://schemas.openxmlformats.org/officeDocument/2006/relationships/hyperlink" Target="http://www.burkemuseum.org/research-and-collections/botany-and-herbarium/collections/database/results.php?Genus=Spiraea&amp;Species=densiflora&amp;SourcePage=search.php&amp;IncludeSynonyms=Y&amp;SortBy=DESC&amp;SortOrder=Year" TargetMode="External"/><Relationship Id="rId877" Type="http://schemas.openxmlformats.org/officeDocument/2006/relationships/hyperlink" Target="http://en.wikipedia.org/wiki/Cornus_sericea" TargetMode="External"/><Relationship Id="rId2558" Type="http://schemas.openxmlformats.org/officeDocument/2006/relationships/hyperlink" Target="http://plants.usda.gov/java/profile?symbol=EUOC8" TargetMode="External"/><Relationship Id="rId2765" Type="http://schemas.openxmlformats.org/officeDocument/2006/relationships/hyperlink" Target="http://www.burkemuseum.org/research-and-collections/botany-and-herbarium/collections/database/results.php?Genus=Arabis&amp;Species=eschscholtziana&amp;SourcePage=search.php&amp;IncludeSynonyms=Y&amp;SortBy=DESC&amp;SortOrder=Year" TargetMode="External"/><Relationship Id="rId2972" Type="http://schemas.openxmlformats.org/officeDocument/2006/relationships/hyperlink" Target="http://www.burkemuseum.org/research-and-collections/botany-and-herbarium/collections/database/results.php?Genus=Equisetum&amp;Species=variegatum&amp;SourcePage=search.php&amp;IncludeSynonyms=Y&amp;SortBy=DESC&amp;SortOrder=Year" TargetMode="External"/><Relationship Id="rId3609" Type="http://schemas.openxmlformats.org/officeDocument/2006/relationships/hyperlink" Target="http://www.burkemuseum.org/research-and-collections/botany-and-herbarium/collections/database/results.php?Genus=Vancouveria&amp;Species=hexandra&amp;SourcePage=search.php&amp;IncludeSynonyms=Y&amp;SortBy=DESC&amp;SortOrder=Year" TargetMode="External"/><Relationship Id="rId3816" Type="http://schemas.openxmlformats.org/officeDocument/2006/relationships/hyperlink" Target="https://plants.usda.gov/core/profile?symbol=CEDE4" TargetMode="External"/><Relationship Id="rId737" Type="http://schemas.openxmlformats.org/officeDocument/2006/relationships/hyperlink" Target="https://en.wikipedia.org/wiki/Dodecatheon_jeffreyi" TargetMode="External"/><Relationship Id="rId944" Type="http://schemas.openxmlformats.org/officeDocument/2006/relationships/hyperlink" Target="https://species.wikimedia.org/wiki/Carex_canescens" TargetMode="External"/><Relationship Id="rId1367" Type="http://schemas.openxmlformats.org/officeDocument/2006/relationships/hyperlink" Target="http://biology.burke.washington.edu/herbarium/imagecollection/taxon.php?Taxon=Lupinus%20littoralis" TargetMode="External"/><Relationship Id="rId1574" Type="http://schemas.openxmlformats.org/officeDocument/2006/relationships/hyperlink" Target="https://en.wikipedia.org/wiki/Carex_mertensii" TargetMode="External"/><Relationship Id="rId1781" Type="http://schemas.openxmlformats.org/officeDocument/2006/relationships/hyperlink" Target="https://plants.usda.gov/core/profile?symbol=STNI" TargetMode="External"/><Relationship Id="rId2418" Type="http://schemas.openxmlformats.org/officeDocument/2006/relationships/hyperlink" Target="http://plants.usda.gov/java/profile?symbol=ALTR7" TargetMode="External"/><Relationship Id="rId2625" Type="http://schemas.openxmlformats.org/officeDocument/2006/relationships/hyperlink" Target="http://biology.burke.washington.edu/herbarium/imagecollectionnew/taxon.php?Taxon=Saxifraga%20austromontana" TargetMode="External"/><Relationship Id="rId2832" Type="http://schemas.openxmlformats.org/officeDocument/2006/relationships/hyperlink" Target="http://www.burkemuseum.org/research-and-collections/botany-and-herbarium/collections/database/results.php?Genus=Carex&amp;Species=athrostachya&amp;SourcePage=search.php&amp;IncludeSynonyms=Y&amp;SortBy=DESC&amp;SortOrder=Year" TargetMode="External"/><Relationship Id="rId5031" Type="http://schemas.openxmlformats.org/officeDocument/2006/relationships/hyperlink" Target="https://en.wikipedia.org/wiki/Huperzia_miyoshiana" TargetMode="External"/><Relationship Id="rId5988" Type="http://schemas.openxmlformats.org/officeDocument/2006/relationships/hyperlink" Target="http://www.burkemuseum.org/research-and-collections/botany-and-herbarium/collections/database/results.php?Genus=Oxybasis&amp;Species=rubra&amp;SourcePage=search.php&amp;IncludeSynonyms=Y&amp;SortBy=DESC&amp;SortOrder=Year" TargetMode="External"/><Relationship Id="rId73" Type="http://schemas.openxmlformats.org/officeDocument/2006/relationships/hyperlink" Target="http://biology.burke.washington.edu/herbarium/imagecollection/taxon.php?Taxon=Lupinus%20polyphyllus" TargetMode="External"/><Relationship Id="rId804" Type="http://schemas.openxmlformats.org/officeDocument/2006/relationships/hyperlink" Target="https://en.wikipedia.org/wiki/Western_white_pine" TargetMode="External"/><Relationship Id="rId1227" Type="http://schemas.openxmlformats.org/officeDocument/2006/relationships/hyperlink" Target="http://biology.burke.washington.edu/herbarium/imagecollectionnew/taxon.php?Taxon=Baccharis%20pilularis" TargetMode="External"/><Relationship Id="rId1434" Type="http://schemas.openxmlformats.org/officeDocument/2006/relationships/hyperlink" Target="http://biology.burke.washington.edu/herbarium/imagecollectionnew/taxon.php?Taxon=Boykinia%20occidentalis" TargetMode="External"/><Relationship Id="rId1641" Type="http://schemas.openxmlformats.org/officeDocument/2006/relationships/hyperlink" Target="http://biology.burke.washington.edu/herbarium/imagecollectionnew/taxon.php?Taxon=Sidalcea%20oregana" TargetMode="External"/><Relationship Id="rId4797" Type="http://schemas.openxmlformats.org/officeDocument/2006/relationships/hyperlink" Target="https://en.wikipedia.org/wiki/Carex_nudata" TargetMode="External"/><Relationship Id="rId5848" Type="http://schemas.openxmlformats.org/officeDocument/2006/relationships/hyperlink" Target="http://www.burkemuseum.org/research-and-collections/botany-and-herbarium/collections/database/results.php?Genus=Juniperus&amp;Species=occidentalis&amp;SourcePage=search.php&amp;IncludeSynonyms=Y&amp;SortBy=DESC&amp;SortOrder=Year" TargetMode="External"/><Relationship Id="rId1501" Type="http://schemas.openxmlformats.org/officeDocument/2006/relationships/hyperlink" Target="https://en.wikipedia.org/wiki/Sanicula_bipinnatifida" TargetMode="External"/><Relationship Id="rId3399" Type="http://schemas.openxmlformats.org/officeDocument/2006/relationships/hyperlink" Target="http://www.burkemuseum.org/research-and-collections/botany-and-herbarium/collections/database/results.php?Genus=Trifolium&amp;Species=bifidum&amp;SourcePage=search.php&amp;IncludeSynonyms=Y&amp;SortBy=DESC&amp;SortOrder=Year" TargetMode="External"/><Relationship Id="rId4657" Type="http://schemas.openxmlformats.org/officeDocument/2006/relationships/hyperlink" Target="http://www.burkemuseum.org/research-and-collections/botany-and-herbarium/collections/database/results.php?Genus=Azolla&amp;Species=filiculoides&amp;SourcePage=search.php&amp;IncludeSynonyms=Y&amp;SortBy=DESC&amp;SortOrder=Year" TargetMode="External"/><Relationship Id="rId4864" Type="http://schemas.openxmlformats.org/officeDocument/2006/relationships/hyperlink" Target="https://en.wikipedia.org/wiki/Coptis_laciniata" TargetMode="External"/><Relationship Id="rId5708" Type="http://schemas.openxmlformats.org/officeDocument/2006/relationships/hyperlink" Target="http://www.burkemuseum.org/research-and-collections/botany-and-herbarium/collections/database/results.php?Genus=Dulichium&amp;Species=arundinaceum&amp;SourcePage=search.php&amp;IncludeSynonyms=Y&amp;SortBy=DESC&amp;SortOrder=Year" TargetMode="External"/><Relationship Id="rId7063" Type="http://schemas.openxmlformats.org/officeDocument/2006/relationships/hyperlink" Target="http://biology.burke.washington.edu/herbarium/imagecollection/taxon.php?Taxon=Actaea%20elata" TargetMode="External"/><Relationship Id="rId3259" Type="http://schemas.openxmlformats.org/officeDocument/2006/relationships/hyperlink" Target="http://www.burkemuseum.org/research-and-collections/botany-and-herbarium/collections/database/results.php?Genus=Pteridium&amp;Species=aquilinum&amp;SourcePage=search.php&amp;IncludeSynonyms=Y&amp;SortBy=DESC&amp;SortOrder=Year" TargetMode="External"/><Relationship Id="rId3466" Type="http://schemas.openxmlformats.org/officeDocument/2006/relationships/hyperlink" Target="http://www.burkemuseum.org/research-and-collections/botany-and-herbarium/collections/database/results.php?Genus=Berberis&amp;Species=repens&amp;SourcePage=search.php&amp;IncludeSynonyms=Y&amp;SortBy=DESC&amp;SortOrder=Year" TargetMode="External"/><Relationship Id="rId4517" Type="http://schemas.openxmlformats.org/officeDocument/2006/relationships/hyperlink" Target="https://plants.usda.gov/core/profile?symbol=VIPA4" TargetMode="External"/><Relationship Id="rId5915" Type="http://schemas.openxmlformats.org/officeDocument/2006/relationships/hyperlink" Target="http://www.burkemuseum.org/research-and-collections/botany-and-herbarium/collections/database/results.php?Genus=Madia&amp;Species=elegans&amp;SourcePage=search.php&amp;IncludeSynonyms=Y&amp;SortBy=DESC&amp;SortOrder=Year" TargetMode="External"/><Relationship Id="rId7130" Type="http://schemas.openxmlformats.org/officeDocument/2006/relationships/hyperlink" Target="http://biology.burke.washington.edu/herbarium/imagecollectionnew/taxon.php?Taxon=Solidago%20elongata" TargetMode="External"/><Relationship Id="rId387" Type="http://schemas.openxmlformats.org/officeDocument/2006/relationships/hyperlink" Target="http://biology.burke.washington.edu/herbarium/imagecollectionnew/taxon.php?Taxon=Corydalis%20scouleri" TargetMode="External"/><Relationship Id="rId594" Type="http://schemas.openxmlformats.org/officeDocument/2006/relationships/hyperlink" Target="https://en.wikipedia.org/wiki/Shepherdia_canadensis" TargetMode="External"/><Relationship Id="rId2068" Type="http://schemas.openxmlformats.org/officeDocument/2006/relationships/hyperlink" Target="https://plants.usda.gov/core/profile?symbol=LECO3" TargetMode="External"/><Relationship Id="rId2275" Type="http://schemas.openxmlformats.org/officeDocument/2006/relationships/hyperlink" Target="https://plants.usda.gov/core/profile?symbol=CIBU" TargetMode="External"/><Relationship Id="rId3119" Type="http://schemas.openxmlformats.org/officeDocument/2006/relationships/hyperlink" Target="http://www.burkemuseum.org/research-and-collections/botany-and-herbarium/collections/database/results.php?Genus=Lycopus&amp;Species=uniflorus&amp;SourcePage=search.php&amp;IncludeSynonyms=Y&amp;SortBy=DESC&amp;SortOrder=Year" TargetMode="External"/><Relationship Id="rId3326" Type="http://schemas.openxmlformats.org/officeDocument/2006/relationships/hyperlink" Target="http://www.burkemuseum.org/research-and-collections/botany-and-herbarium/collections/database/results.php?Genus=Sarcocornia&amp;Species=perennis&amp;SourcePage=search.php&amp;IncludeSynonyms=Y&amp;SortBy=DESC&amp;SortOrder=Year" TargetMode="External"/><Relationship Id="rId3673" Type="http://schemas.openxmlformats.org/officeDocument/2006/relationships/hyperlink" Target="https://plants.usda.gov/core/profile?symbol=ANLU" TargetMode="External"/><Relationship Id="rId3880" Type="http://schemas.openxmlformats.org/officeDocument/2006/relationships/hyperlink" Target="https://plants.usda.gov/core/profile?symbol=dawr2" TargetMode="External"/><Relationship Id="rId4724" Type="http://schemas.openxmlformats.org/officeDocument/2006/relationships/hyperlink" Target="https://en.wikipedia.org/wiki/Azolla_filiculoides" TargetMode="External"/><Relationship Id="rId4931" Type="http://schemas.openxmlformats.org/officeDocument/2006/relationships/hyperlink" Target="https://en.wikipedia.org/wiki/Epilobium_glaberrimum" TargetMode="External"/><Relationship Id="rId247" Type="http://schemas.openxmlformats.org/officeDocument/2006/relationships/hyperlink" Target="https://en.wikipedia.org/wiki/Chamaecyparis_lawsoniana" TargetMode="External"/><Relationship Id="rId1084" Type="http://schemas.openxmlformats.org/officeDocument/2006/relationships/hyperlink" Target="https://en.wikipedia.org/wiki/Lithophragma_parviflorum" TargetMode="External"/><Relationship Id="rId2482" Type="http://schemas.openxmlformats.org/officeDocument/2006/relationships/hyperlink" Target="http://plants.usda.gov/java/profile?symbol=ROPI2" TargetMode="External"/><Relationship Id="rId3533" Type="http://schemas.openxmlformats.org/officeDocument/2006/relationships/hyperlink" Target="http://www.burkemuseum.org/research-and-collections/botany-and-herbarium/collections/database/results.php?Genus=Mitellastra&amp;Species=caulescens&amp;SourcePage=search.php&amp;IncludeSynonyms=Y&amp;SortBy=DESC&amp;SortOrder=Year" TargetMode="External"/><Relationship Id="rId3740" Type="http://schemas.openxmlformats.org/officeDocument/2006/relationships/hyperlink" Target="https://plants.usda.gov/core/profile?symbol=CACA4" TargetMode="External"/><Relationship Id="rId6689" Type="http://schemas.openxmlformats.org/officeDocument/2006/relationships/hyperlink" Target="http://biology.burke.washington.edu/herbarium/imagecollection/taxon.php?Taxon=Poa%20laxiflora" TargetMode="External"/><Relationship Id="rId6896" Type="http://schemas.openxmlformats.org/officeDocument/2006/relationships/hyperlink" Target="http://biology.burke.washington.edu/herbarium/imagecollection/taxon.php?Taxon=Ranunculus%20sceleratus" TargetMode="External"/><Relationship Id="rId107" Type="http://schemas.openxmlformats.org/officeDocument/2006/relationships/hyperlink" Target="http://biology.burke.washington.edu/herbarium/imagecollection/taxon.php?Taxon=Hypericum%20majus" TargetMode="External"/><Relationship Id="rId454" Type="http://schemas.openxmlformats.org/officeDocument/2006/relationships/hyperlink" Target="http://biology.burke.washington.edu/herbarium/imagecollectionnew/taxon.php?Taxon=Datura%20wrightii" TargetMode="External"/><Relationship Id="rId661" Type="http://schemas.openxmlformats.org/officeDocument/2006/relationships/hyperlink" Target="https://en.wikipedia.org/wiki/Ranunculus_sceleratus" TargetMode="External"/><Relationship Id="rId1291" Type="http://schemas.openxmlformats.org/officeDocument/2006/relationships/hyperlink" Target="https://en.wikipedia.org/wiki/Samolus_valerandi" TargetMode="External"/><Relationship Id="rId2135" Type="http://schemas.openxmlformats.org/officeDocument/2006/relationships/hyperlink" Target="http://plants.usda.gov/java/profile?symbol=GLGR" TargetMode="External"/><Relationship Id="rId2342" Type="http://schemas.openxmlformats.org/officeDocument/2006/relationships/hyperlink" Target="http://plants.usda.gov/java/profile?symbol=CAHEH" TargetMode="External"/><Relationship Id="rId3600" Type="http://schemas.openxmlformats.org/officeDocument/2006/relationships/hyperlink" Target="http://www.burkemuseum.org/research-and-collections/botany-and-herbarium/collections/database/results.php?Genus=Tiarella&amp;Species=trifoliata&amp;SourcePage=search.php&amp;IncludeSynonyms=Y&amp;SortBy=DESC&amp;SortOrder=Year" TargetMode="External"/><Relationship Id="rId5498" Type="http://schemas.openxmlformats.org/officeDocument/2006/relationships/hyperlink" Target="https://en.wikipedia.org/wiki/Valeriana_sitchensis" TargetMode="External"/><Relationship Id="rId6549" Type="http://schemas.openxmlformats.org/officeDocument/2006/relationships/hyperlink" Target="http://biology.burke.washington.edu/herbarium/imagecollection/taxon.php?Taxon=Lewisia%20rediviva" TargetMode="External"/><Relationship Id="rId6756" Type="http://schemas.openxmlformats.org/officeDocument/2006/relationships/hyperlink" Target="http://biology.burke.washington.edu/herbarium/imagecollectionnew/taxon.php?Taxon=Juncus%20brevicaudatus" TargetMode="External"/><Relationship Id="rId6963" Type="http://schemas.openxmlformats.org/officeDocument/2006/relationships/hyperlink" Target="http://biology.burke.washington.edu/herbarium/imagecollection/taxon.php?Taxon=Hypericum%20anagalloides" TargetMode="External"/><Relationship Id="rId314" Type="http://schemas.openxmlformats.org/officeDocument/2006/relationships/hyperlink" Target="http://biology.burke.washington.edu/herbarium/imagecollectionnew/taxon.php?Taxon=Betula%20glandulosa" TargetMode="External"/><Relationship Id="rId521" Type="http://schemas.openxmlformats.org/officeDocument/2006/relationships/hyperlink" Target="https://en.wikipedia.org/wiki/Valerian_(herb)" TargetMode="External"/><Relationship Id="rId1151" Type="http://schemas.openxmlformats.org/officeDocument/2006/relationships/hyperlink" Target="https://en.wikipedia.org/wiki/Geranium_bicknellii" TargetMode="External"/><Relationship Id="rId2202" Type="http://schemas.openxmlformats.org/officeDocument/2006/relationships/hyperlink" Target="https://plants.usda.gov/core/profile?symbol=elpa3" TargetMode="External"/><Relationship Id="rId5358" Type="http://schemas.openxmlformats.org/officeDocument/2006/relationships/hyperlink" Target="https://en.wikipedia.org/wiki/Salix_lasiolepis" TargetMode="External"/><Relationship Id="rId5565" Type="http://schemas.openxmlformats.org/officeDocument/2006/relationships/hyperlink" Target="http://www.burkemuseum.org/research-and-collections/botany-and-herbarium/collections/database/results.php?Genus=Cardamine&amp;Species=breweri&amp;SourcePage=search.php&amp;IncludeSynonyms=Y&amp;SortBy=DESC&amp;SortOrder=Year" TargetMode="External"/><Relationship Id="rId5772" Type="http://schemas.openxmlformats.org/officeDocument/2006/relationships/hyperlink" Target="http://www.burkemuseum.org/research-and-collections/botany-and-herbarium/collections/database/results.php?Genus=Galium&amp;Species=triflorum&amp;SourcePage=search.php&amp;IncludeSynonyms=Y&amp;SortBy=DESC&amp;SortOrder=Year" TargetMode="External"/><Relationship Id="rId6409" Type="http://schemas.openxmlformats.org/officeDocument/2006/relationships/hyperlink" Target="http://biology.burke.washington.edu/herbarium/imagecollectionnew/taxon.php?Taxon=Carex%20aquatilis" TargetMode="External"/><Relationship Id="rId6616" Type="http://schemas.openxmlformats.org/officeDocument/2006/relationships/hyperlink" Target="http://biology.burke.washington.edu/herbarium/imagecollectionnew/taxon.php?Taxon=Verbena%20hastata" TargetMode="External"/><Relationship Id="rId6823" Type="http://schemas.openxmlformats.org/officeDocument/2006/relationships/hyperlink" Target="http://biology.burke.washington.edu/herbarium/imagecollectionnew/taxon.php?Taxon=Carex%20viridula" TargetMode="External"/><Relationship Id="rId1011" Type="http://schemas.openxmlformats.org/officeDocument/2006/relationships/hyperlink" Target="http://en.wikipedia.org/wiki/Angelica_lucida" TargetMode="External"/><Relationship Id="rId1968" Type="http://schemas.openxmlformats.org/officeDocument/2006/relationships/hyperlink" Target="https://plants.usda.gov/core/profile?symbol=PAPA8" TargetMode="External"/><Relationship Id="rId4167" Type="http://schemas.openxmlformats.org/officeDocument/2006/relationships/hyperlink" Target="https://plants.usda.gov/core/profile?symbol=NEPE" TargetMode="External"/><Relationship Id="rId4374" Type="http://schemas.openxmlformats.org/officeDocument/2006/relationships/hyperlink" Target="https://plants.usda.gov/core/profile?symbol=SACR2" TargetMode="External"/><Relationship Id="rId4581" Type="http://schemas.openxmlformats.org/officeDocument/2006/relationships/hyperlink" Target="http://www.burkemuseum.org/research-and-collections/botany-and-herbarium/collections/database/results.php?Genus=Acer&amp;Species=macrophyllum&amp;SourcePage=search.php&amp;IncludeSynonyms=Y&amp;SortBy=DESC&amp;SortOrder=Year" TargetMode="External"/><Relationship Id="rId5218" Type="http://schemas.openxmlformats.org/officeDocument/2006/relationships/hyperlink" Target="https://en.wikipedia.org/wiki/Phegopteris_connectilis" TargetMode="External"/><Relationship Id="rId5425" Type="http://schemas.openxmlformats.org/officeDocument/2006/relationships/hyperlink" Target="https://en.wikipedia.org/wiki/Spiraea_lucida" TargetMode="External"/><Relationship Id="rId5632" Type="http://schemas.openxmlformats.org/officeDocument/2006/relationships/hyperlink" Target="http://www.burkemuseum.org/research-and-collections/botany-and-herbarium/collections/database/results.php?Genus=Cinna&amp;Species=latifolia&amp;SourcePage=search.php&amp;IncludeSynonyms=Y&amp;SortBy=DESC&amp;SortOrder=Year" TargetMode="External"/><Relationship Id="rId3183" Type="http://schemas.openxmlformats.org/officeDocument/2006/relationships/hyperlink" Target="http://www.burkemuseum.org/research-and-collections/botany-and-herbarium/collections/database/results.php?Genus=Oxytropis&amp;Species=campestris&amp;SourcePage=search.php&amp;IncludeSynonyms=Y&amp;SortBy=DESC&amp;SortOrder=Year" TargetMode="External"/><Relationship Id="rId3390" Type="http://schemas.openxmlformats.org/officeDocument/2006/relationships/hyperlink" Target="http://www.burkemuseum.org/research-and-collections/botany-and-herbarium/collections/database/results.php?Genus=Tellima&amp;Species=grandiflora&amp;SourcePage=search.php&amp;IncludeSynonyms=Y&amp;SortBy=DESC&amp;SortOrder=Year" TargetMode="External"/><Relationship Id="rId4027" Type="http://schemas.openxmlformats.org/officeDocument/2006/relationships/hyperlink" Target="https://plants.usda.gov/core/profile?symbol=IMNO" TargetMode="External"/><Relationship Id="rId4234" Type="http://schemas.openxmlformats.org/officeDocument/2006/relationships/hyperlink" Target="https://plants.usda.gov/core/profile?symbol=PLST4" TargetMode="External"/><Relationship Id="rId4441" Type="http://schemas.openxmlformats.org/officeDocument/2006/relationships/hyperlink" Target="https://plants.usda.gov/core/profile?symbol=suca2" TargetMode="External"/><Relationship Id="rId1828" Type="http://schemas.openxmlformats.org/officeDocument/2006/relationships/hyperlink" Target="https://plants.usda.gov/core/profile?symbol=SACA50" TargetMode="External"/><Relationship Id="rId3043" Type="http://schemas.openxmlformats.org/officeDocument/2006/relationships/hyperlink" Target="http://www.burkemuseum.org/research-and-collections/botany-and-herbarium/collections/database/results.php?Genus=Hordeum&amp;Species=brachyantherum&amp;SourcePage=search.php&amp;IncludeSynonyms=Y&amp;SortBy=DESC&amp;SortOrder=Year" TargetMode="External"/><Relationship Id="rId3250" Type="http://schemas.openxmlformats.org/officeDocument/2006/relationships/hyperlink" Target="http://www.burkemuseum.org/research-and-collections/botany-and-herbarium/collections/database/results.php?Genus=Potentilla&amp;Species=palustris&amp;SourcePage=search.php&amp;IncludeSynonyms=Y&amp;SortBy=DESC&amp;SortOrder=Year" TargetMode="External"/><Relationship Id="rId6199" Type="http://schemas.openxmlformats.org/officeDocument/2006/relationships/hyperlink" Target="http://www.burkemuseum.org/research-and-collections/botany-and-herbarium/collections/database/results.php?Genus=Sidalcea&amp;Species=campestris&amp;SourcePage=search.php&amp;IncludeSynonyms=Y&amp;SortBy=DESC&amp;SortOrder=Year" TargetMode="External"/><Relationship Id="rId171" Type="http://schemas.openxmlformats.org/officeDocument/2006/relationships/hyperlink" Target="http://biology.burke.washington.edu/herbarium/imagecollection/taxon.php?Taxon=Festuca%20rubra" TargetMode="External"/><Relationship Id="rId4301" Type="http://schemas.openxmlformats.org/officeDocument/2006/relationships/hyperlink" Target="https://plants.usda.gov/core/profile?symbol=rasc3" TargetMode="External"/><Relationship Id="rId6059" Type="http://schemas.openxmlformats.org/officeDocument/2006/relationships/hyperlink" Target="http://www.burkemuseum.org/research-and-collections/botany-and-herbarium/collections/database/results.php?Genus=Polystichum&amp;Species=munitum&amp;SourcePage=search.php&amp;IncludeSynonyms=Y&amp;SortBy=DESC&amp;SortOrder=Year" TargetMode="External"/><Relationship Id="rId6266" Type="http://schemas.openxmlformats.org/officeDocument/2006/relationships/hyperlink" Target="http://www.burkemuseum.org/research-and-collections/botany-and-herbarium/collections/database/results.php?Genus=Trifolium&amp;Species=oliganthum&amp;SourcePage=search.php&amp;IncludeSynonyms=Y&amp;SortBy=DESC&amp;SortOrder=Year" TargetMode="External"/><Relationship Id="rId3110" Type="http://schemas.openxmlformats.org/officeDocument/2006/relationships/hyperlink" Target="http://www.burkemuseum.org/research-and-collections/botany-and-herbarium/collections/database/results.php?Genus=Lupinus&amp;Species=microcarpus&amp;SourcePage=search.php&amp;IncludeSynonyms=Y&amp;SortBy=DESC&amp;SortOrder=Year" TargetMode="External"/><Relationship Id="rId6473" Type="http://schemas.openxmlformats.org/officeDocument/2006/relationships/hyperlink" Target="https://plants.usda.gov/core/profile?symbol=ecpu" TargetMode="External"/><Relationship Id="rId6680" Type="http://schemas.openxmlformats.org/officeDocument/2006/relationships/hyperlink" Target="http://biology.burke.washington.edu/herbarium/imagecollection/taxon.php?Taxon=Potamogeton%20richardsonii" TargetMode="External"/><Relationship Id="rId988" Type="http://schemas.openxmlformats.org/officeDocument/2006/relationships/hyperlink" Target="http://en.wikipedia.org/wiki/Athysanus_pusillus" TargetMode="External"/><Relationship Id="rId2669" Type="http://schemas.openxmlformats.org/officeDocument/2006/relationships/hyperlink" Target="http://biology.burke.washington.edu/herbarium/imagecollectionnew/taxon.php?Taxon=Micranthes%20integrifolia" TargetMode="External"/><Relationship Id="rId2876" Type="http://schemas.openxmlformats.org/officeDocument/2006/relationships/hyperlink" Target="http://www.burkemuseum.org/research-and-collections/botany-and-herbarium/collections/database/results.php?Genus=Chimaphila&amp;Species=menziesii&amp;SourcePage=search.php&amp;IncludeSynonyms=Y&amp;SortBy=DESC&amp;SortOrder=Year" TargetMode="External"/><Relationship Id="rId3927" Type="http://schemas.openxmlformats.org/officeDocument/2006/relationships/hyperlink" Target="https://plants.usda.gov/core/profile?symbol=EQTE" TargetMode="External"/><Relationship Id="rId5075" Type="http://schemas.openxmlformats.org/officeDocument/2006/relationships/hyperlink" Target="https://en.wikipedia.org/wiki/Lewisia_columbiana" TargetMode="External"/><Relationship Id="rId5282" Type="http://schemas.openxmlformats.org/officeDocument/2006/relationships/hyperlink" Target="https://en.wikipedia.org/wiki/Prunella_vulgaris" TargetMode="External"/><Relationship Id="rId6126" Type="http://schemas.openxmlformats.org/officeDocument/2006/relationships/hyperlink" Target="http://www.burkemuseum.org/research-and-collections/botany-and-herbarium/collections/database/results.php?Genus=Rorippa&amp;Species=palustris&amp;SourcePage=search.php&amp;IncludeSynonyms=Y&amp;SortBy=DESC&amp;SortOrder=Year" TargetMode="External"/><Relationship Id="rId6333" Type="http://schemas.openxmlformats.org/officeDocument/2006/relationships/hyperlink" Target="https://plants.usda.gov/core/profile?symbol=chla" TargetMode="External"/><Relationship Id="rId6540" Type="http://schemas.openxmlformats.org/officeDocument/2006/relationships/hyperlink" Target="http://biology.burke.washington.edu/herbarium/imagecollection/taxon.php?Taxon=Juniperus%20communis" TargetMode="External"/><Relationship Id="rId848" Type="http://schemas.openxmlformats.org/officeDocument/2006/relationships/hyperlink" Target="https://en.wikipedia.org/wiki/Montia_fontana" TargetMode="External"/><Relationship Id="rId1478" Type="http://schemas.openxmlformats.org/officeDocument/2006/relationships/hyperlink" Target="https://en.wikipedia.org/wiki/Vaccinium_deliciosum" TargetMode="External"/><Relationship Id="rId1685" Type="http://schemas.openxmlformats.org/officeDocument/2006/relationships/hyperlink" Target="http://biology.burke.washington.edu/herbarium/imagecollectionnew/taxon.php?Taxon=Asarum%20caudatum" TargetMode="External"/><Relationship Id="rId1892" Type="http://schemas.openxmlformats.org/officeDocument/2006/relationships/hyperlink" Target="https://plants.usda.gov/core/profile?symbol=PYCH" TargetMode="External"/><Relationship Id="rId2529" Type="http://schemas.openxmlformats.org/officeDocument/2006/relationships/hyperlink" Target="http://plants.usda.gov/java/profile?symbol=LULA4" TargetMode="External"/><Relationship Id="rId2736" Type="http://schemas.openxmlformats.org/officeDocument/2006/relationships/hyperlink" Target="http://www.burkemuseum.org/research-and-collections/botany-and-herbarium/collections/database/results.php?Genus=Allium&amp;Species=acuminatum&amp;SourcePage=search.php&amp;IncludeSynonyms=Y&amp;SortBy=DESC&amp;SortOrder=Year" TargetMode="External"/><Relationship Id="rId4091" Type="http://schemas.openxmlformats.org/officeDocument/2006/relationships/hyperlink" Target="https://plants.usda.gov/core/profile?symbol=LOFO2" TargetMode="External"/><Relationship Id="rId5142" Type="http://schemas.openxmlformats.org/officeDocument/2006/relationships/hyperlink" Target="https://en.wikipedia.org/wiki/Microseris_laciniata" TargetMode="External"/><Relationship Id="rId6400" Type="http://schemas.openxmlformats.org/officeDocument/2006/relationships/hyperlink" Target="http://biology.burke.washington.edu/herbarium/imagecollectionnew/taxon.php?Taxon=Bromus%20sitchensis%20var.%20carinatus" TargetMode="External"/><Relationship Id="rId708" Type="http://schemas.openxmlformats.org/officeDocument/2006/relationships/hyperlink" Target="https://en.wikipedia.org/wiki/Erigeron_compositus" TargetMode="External"/><Relationship Id="rId915" Type="http://schemas.openxmlformats.org/officeDocument/2006/relationships/hyperlink" Target="http://en.wikipedia.org/wiki/Ceanothus_velutinus" TargetMode="External"/><Relationship Id="rId1338" Type="http://schemas.openxmlformats.org/officeDocument/2006/relationships/hyperlink" Target="http://biology.burke.washington.edu/herbarium/imagecollection/taxon.php?Taxon=Eriogonum%20umbellatum" TargetMode="External"/><Relationship Id="rId1545" Type="http://schemas.openxmlformats.org/officeDocument/2006/relationships/hyperlink" Target="https://en.wikipedia.org/wiki/Physocarpus_capitatus" TargetMode="External"/><Relationship Id="rId2943" Type="http://schemas.openxmlformats.org/officeDocument/2006/relationships/hyperlink" Target="http://www.burkemuseum.org/research-and-collections/botany-and-herbarium/collections/database/results.php?Genus=Dodecatheon&amp;Species=pulchellum&amp;SourcePage=search.php&amp;IncludeSynonyms=Y&amp;SortBy=DESC&amp;SortOrder=Year" TargetMode="External"/><Relationship Id="rId5002" Type="http://schemas.openxmlformats.org/officeDocument/2006/relationships/hyperlink" Target="https://en.wikipedia.org/wiki/Gratiola_neglecta" TargetMode="External"/><Relationship Id="rId1405" Type="http://schemas.openxmlformats.org/officeDocument/2006/relationships/hyperlink" Target="http://biology.burke.washington.edu/herbarium/imagecollection/taxon.php?Taxon=Penstemon%20ovatus" TargetMode="External"/><Relationship Id="rId1752" Type="http://schemas.openxmlformats.org/officeDocument/2006/relationships/hyperlink" Target="http://plants.usda.gov/java/profile?symbol=TRWO" TargetMode="External"/><Relationship Id="rId2803" Type="http://schemas.openxmlformats.org/officeDocument/2006/relationships/hyperlink" Target="http://www.burkemuseum.org/research-and-collections/botany-and-herbarium/collections/database/results.php?Genus=Botrychium&amp;Species=multifidum&amp;SourcePage=search.php&amp;IncludeSynonyms=Y&amp;SortBy=DESC&amp;SortOrder=Year" TargetMode="External"/><Relationship Id="rId5959" Type="http://schemas.openxmlformats.org/officeDocument/2006/relationships/hyperlink" Target="http://www.burkemuseum.org/research-and-collections/botany-and-herbarium/collections/database/results.php?Genus=Myriophyllum&amp;Species=quitense&amp;SourcePage=search.php&amp;IncludeSynonyms=Y&amp;SortBy=DESC&amp;SortOrder=Year" TargetMode="External"/><Relationship Id="rId7174" Type="http://schemas.openxmlformats.org/officeDocument/2006/relationships/hyperlink" Target="http://biology.burke.washington.edu/herbarium/imagecollection/taxon.php?Taxon=Salix%20amygdaloides" TargetMode="External"/><Relationship Id="rId44" Type="http://schemas.openxmlformats.org/officeDocument/2006/relationships/hyperlink" Target="http://biology.burke.washington.edu/herbarium/imagecollection/taxon.php?Taxon=Plagiobothrys%20figuratus" TargetMode="External"/><Relationship Id="rId1612" Type="http://schemas.openxmlformats.org/officeDocument/2006/relationships/hyperlink" Target="https://en.wikipedia.org/wiki/Juniperus_occidentalis" TargetMode="External"/><Relationship Id="rId4768" Type="http://schemas.openxmlformats.org/officeDocument/2006/relationships/hyperlink" Target="https://en.wikipedia.org/wiki/Campanula_scouleri" TargetMode="External"/><Relationship Id="rId4975" Type="http://schemas.openxmlformats.org/officeDocument/2006/relationships/hyperlink" Target="https://en.wikipedia.org/wiki/Fritillaria_camschatcensis" TargetMode="External"/><Relationship Id="rId5819" Type="http://schemas.openxmlformats.org/officeDocument/2006/relationships/hyperlink" Target="http://www.burkemuseum.org/research-and-collections/botany-and-herbarium/collections/database/results.php?Genus=Howellia&amp;Species=aquatilis&amp;SourcePage=search.php&amp;IncludeSynonyms=Y&amp;SortBy=DESC&amp;SortOrder=Year" TargetMode="External"/><Relationship Id="rId6190" Type="http://schemas.openxmlformats.org/officeDocument/2006/relationships/hyperlink" Target="http://www.burkemuseum.org/research-and-collections/botany-and-herbarium/collections/database/results.php?Genus=Sedum&amp;Species=divergens&amp;SourcePage=search.php&amp;IncludeSynonyms=Y&amp;SortBy=DESC&amp;SortOrder=Year" TargetMode="External"/><Relationship Id="rId7034" Type="http://schemas.openxmlformats.org/officeDocument/2006/relationships/hyperlink" Target="http://biology.burke.washington.edu/herbarium/imagecollectionnew/taxon.php?Taxon=Calandrinia%20ciliata" TargetMode="External"/><Relationship Id="rId498" Type="http://schemas.openxmlformats.org/officeDocument/2006/relationships/hyperlink" Target="http://biology.burke.washington.edu/herbarium/imagecollectionnew/taxon.php?Taxon=Toxicoscordion%20venenosum" TargetMode="External"/><Relationship Id="rId2179" Type="http://schemas.openxmlformats.org/officeDocument/2006/relationships/hyperlink" Target="https://plants.usda.gov/core/profile?symbol=ERUM" TargetMode="External"/><Relationship Id="rId3577" Type="http://schemas.openxmlformats.org/officeDocument/2006/relationships/hyperlink" Target="http://www.burkemuseum.org/research-and-collections/botany-and-herbarium/collections/database/results.php?Genus=Rubus&amp;Species=spectabilis&amp;SourcePage=search.php&amp;IncludeSynonyms=Y&amp;SortBy=DESC&amp;SortOrder=Year" TargetMode="External"/><Relationship Id="rId3784" Type="http://schemas.openxmlformats.org/officeDocument/2006/relationships/hyperlink" Target="https://plants.usda.gov/core/profile?symbol=CAIN17" TargetMode="External"/><Relationship Id="rId3991" Type="http://schemas.openxmlformats.org/officeDocument/2006/relationships/hyperlink" Target="https://plants.usda.gov/core/profile?symbol=GRHI" TargetMode="External"/><Relationship Id="rId4628" Type="http://schemas.openxmlformats.org/officeDocument/2006/relationships/hyperlink" Target="http://www.burkemuseum.org/research-and-collections/botany-and-herbarium/collections/database/results.php?Genus=Anticlea&amp;Species=occidentalis&amp;SourcePage=search.php&amp;IncludeSynonyms=Y&amp;SortBy=DESC&amp;SortOrder=Year" TargetMode="External"/><Relationship Id="rId4835" Type="http://schemas.openxmlformats.org/officeDocument/2006/relationships/hyperlink" Target="https://en.wikipedia.org/wiki/Chrysolepis_chrysophylla" TargetMode="External"/><Relationship Id="rId7241" Type="http://schemas.openxmlformats.org/officeDocument/2006/relationships/hyperlink" Target="http://biology.burke.washington.edu/herbarium/imagecollection/taxon.php?Taxon=Physocarpus%20capitatus" TargetMode="External"/><Relationship Id="rId2386" Type="http://schemas.openxmlformats.org/officeDocument/2006/relationships/hyperlink" Target="https://plants.usda.gov/core/profile?symbol=ARTS" TargetMode="External"/><Relationship Id="rId2593" Type="http://schemas.openxmlformats.org/officeDocument/2006/relationships/hyperlink" Target="https://plants.usda.gov/core/profile?symbol=ARME" TargetMode="External"/><Relationship Id="rId3437" Type="http://schemas.openxmlformats.org/officeDocument/2006/relationships/hyperlink" Target="http://www.burkemuseum.org/research-and-collections/botany-and-herbarium/collections/database/results.php?Genus=Viola&amp;Species=adunca&amp;SourcePage=search.php&amp;IncludeSynonyms=Y&amp;SortBy=DESC&amp;SortOrder=Year" TargetMode="External"/><Relationship Id="rId3644" Type="http://schemas.openxmlformats.org/officeDocument/2006/relationships/hyperlink" Target="https://plants.usda.gov/core/profile?symbol=AGHE2" TargetMode="External"/><Relationship Id="rId3851" Type="http://schemas.openxmlformats.org/officeDocument/2006/relationships/hyperlink" Target="https://plants.usda.gov/core/profile?symbol=COLA3" TargetMode="External"/><Relationship Id="rId4902" Type="http://schemas.openxmlformats.org/officeDocument/2006/relationships/hyperlink" Target="https://en.wikipedia.org/wiki/Dichanthelium_acuminatum" TargetMode="External"/><Relationship Id="rId6050" Type="http://schemas.openxmlformats.org/officeDocument/2006/relationships/hyperlink" Target="http://www.burkemuseum.org/research-and-collections/botany-and-herbarium/collections/database/results.php?Genus=Polygonum&amp;Species=douglasii&amp;SourcePage=search.php&amp;IncludeSynonyms=Y&amp;SortBy=DESC&amp;SortOrder=Year" TargetMode="External"/><Relationship Id="rId7101" Type="http://schemas.openxmlformats.org/officeDocument/2006/relationships/hyperlink" Target="http://biology.burke.washington.edu/herbarium/imagecollectionnew/taxon.php?Taxon=Toxicodendron%20diversilobum" TargetMode="External"/><Relationship Id="rId358" Type="http://schemas.openxmlformats.org/officeDocument/2006/relationships/hyperlink" Target="http://biology.burke.washington.edu/herbarium/imagecollectionnew/taxon.php?Taxon=Carex%20inops" TargetMode="External"/><Relationship Id="rId565" Type="http://schemas.openxmlformats.org/officeDocument/2006/relationships/hyperlink" Target="https://en.wikipedia.org/wiki/Stuckenia" TargetMode="External"/><Relationship Id="rId772" Type="http://schemas.openxmlformats.org/officeDocument/2006/relationships/hyperlink" Target="https://en.wikipedia.org/wiki/Potamogeton_illinoensis" TargetMode="External"/><Relationship Id="rId1195" Type="http://schemas.openxmlformats.org/officeDocument/2006/relationships/hyperlink" Target="http://biology.burke.washington.edu/herbarium/imagecollectionnew/taxon.php?Taxon=Trautvetteria%20caroliniensis" TargetMode="External"/><Relationship Id="rId2039" Type="http://schemas.openxmlformats.org/officeDocument/2006/relationships/hyperlink" Target="http://plants.usda.gov/java/profile?symbol=LYCL" TargetMode="External"/><Relationship Id="rId2246" Type="http://schemas.openxmlformats.org/officeDocument/2006/relationships/hyperlink" Target="https://plants.usda.gov/core/profile?symbol=cotr18" TargetMode="External"/><Relationship Id="rId2453" Type="http://schemas.openxmlformats.org/officeDocument/2006/relationships/hyperlink" Target="http://plants.usda.gov/java/profile?symbol=TRHY3" TargetMode="External"/><Relationship Id="rId2660" Type="http://schemas.openxmlformats.org/officeDocument/2006/relationships/hyperlink" Target="http://biology.burke.washington.edu/herbarium/imagecollectionnew/taxon.php?Taxon=Salicornia%20perennis" TargetMode="External"/><Relationship Id="rId3504" Type="http://schemas.openxmlformats.org/officeDocument/2006/relationships/hyperlink" Target="http://www.burkemuseum.org/research-and-collections/botany-and-herbarium/collections/database/results.php?Genus=Glehnia&amp;Species=littoralis&amp;SourcePage=search.php&amp;IncludeSynonyms=Y&amp;SortBy=DESC&amp;SortOrder=Year" TargetMode="External"/><Relationship Id="rId3711" Type="http://schemas.openxmlformats.org/officeDocument/2006/relationships/hyperlink" Target="https://plants.usda.gov/core/profile?symbol=AZFI" TargetMode="External"/><Relationship Id="rId6867" Type="http://schemas.openxmlformats.org/officeDocument/2006/relationships/hyperlink" Target="http://biology.burke.washington.edu/herbarium/imagecollectionnew/taxon.php?Taxon=Zeltnera%20muehlenbergii" TargetMode="External"/><Relationship Id="rId218" Type="http://schemas.openxmlformats.org/officeDocument/2006/relationships/hyperlink" Target="http://biology.burke.washington.edu/herbarium/imagecollection/taxon.php?Taxon=Gratiola%20neglecta" TargetMode="External"/><Relationship Id="rId425" Type="http://schemas.openxmlformats.org/officeDocument/2006/relationships/hyperlink" Target="http://biology.burke.washington.edu/herbarium/imagecollectionnew/taxon.php?Taxon=Chamaenerion%20angustifolium" TargetMode="External"/><Relationship Id="rId632" Type="http://schemas.openxmlformats.org/officeDocument/2006/relationships/hyperlink" Target="https://en.wikipedia.org/wiki/Salix_amygdaloides" TargetMode="External"/><Relationship Id="rId1055" Type="http://schemas.openxmlformats.org/officeDocument/2006/relationships/hyperlink" Target="https://en.wikipedia.org/wiki/Cirsium_brevistylum" TargetMode="External"/><Relationship Id="rId1262" Type="http://schemas.openxmlformats.org/officeDocument/2006/relationships/hyperlink" Target="https://en.wikipedia.org/wiki/Microseris" TargetMode="External"/><Relationship Id="rId2106" Type="http://schemas.openxmlformats.org/officeDocument/2006/relationships/hyperlink" Target="http://plants.usda.gov/java/profile?symbol=HYSC5" TargetMode="External"/><Relationship Id="rId2313" Type="http://schemas.openxmlformats.org/officeDocument/2006/relationships/hyperlink" Target="http://plants.usda.gov/java/profile?symbol=CAIN17" TargetMode="External"/><Relationship Id="rId2520" Type="http://schemas.openxmlformats.org/officeDocument/2006/relationships/hyperlink" Target="http://plants.usda.gov/java/profile?symbol=NONE3" TargetMode="External"/><Relationship Id="rId5469" Type="http://schemas.openxmlformats.org/officeDocument/2006/relationships/hyperlink" Target="https://en.wikipedia.org/wiki/Trifolium_variegatum" TargetMode="External"/><Relationship Id="rId5676" Type="http://schemas.openxmlformats.org/officeDocument/2006/relationships/hyperlink" Target="http://www.burkemuseum.org/research-and-collections/botany-and-herbarium/collections/database/results.php?Genus=Cyperus&amp;Species=squarrosus&amp;SourcePage=search.php&amp;IncludeSynonyms=Y&amp;SortBy=DESC&amp;SortOrder=Year" TargetMode="External"/><Relationship Id="rId6727" Type="http://schemas.openxmlformats.org/officeDocument/2006/relationships/hyperlink" Target="http://biology.burke.washington.edu/herbarium/imagecollectionnew/taxon.php?Taxon=Moehringia%20lateriflora" TargetMode="External"/><Relationship Id="rId1122" Type="http://schemas.openxmlformats.org/officeDocument/2006/relationships/hyperlink" Target="https://species.wikimedia.org/wiki/Juncus_alpinoarticulatus" TargetMode="External"/><Relationship Id="rId4278" Type="http://schemas.openxmlformats.org/officeDocument/2006/relationships/hyperlink" Target="https://plants.usda.gov/core/profile?symbol=PRVU" TargetMode="External"/><Relationship Id="rId4485" Type="http://schemas.openxmlformats.org/officeDocument/2006/relationships/hyperlink" Target="https://plants.usda.gov/core/profile?symbol=URDI" TargetMode="External"/><Relationship Id="rId5329" Type="http://schemas.openxmlformats.org/officeDocument/2006/relationships/hyperlink" Target="https://en.wikipedia.org/wiki/Rosa_pisocarpa" TargetMode="External"/><Relationship Id="rId5536" Type="http://schemas.openxmlformats.org/officeDocument/2006/relationships/hyperlink" Target="https://en.wikipedia.org/wiki/Lathyrus_polyphyllus" TargetMode="External"/><Relationship Id="rId5883" Type="http://schemas.openxmlformats.org/officeDocument/2006/relationships/hyperlink" Target="http://www.burkemuseum.org/research-and-collections/botany-and-herbarium/collections/database/results.php?Genus=Lobelia&amp;Species=kalmii&amp;SourcePage=search.php&amp;IncludeSynonyms=Y&amp;SortBy=DESC&amp;SortOrder=Year" TargetMode="External"/><Relationship Id="rId6934" Type="http://schemas.openxmlformats.org/officeDocument/2006/relationships/hyperlink" Target="http://biology.burke.washington.edu/herbarium/imagecollectionnew/taxon.php?Taxon=Menyanthes%20trifoliata" TargetMode="External"/><Relationship Id="rId3087" Type="http://schemas.openxmlformats.org/officeDocument/2006/relationships/hyperlink" Target="http://www.burkemuseum.org/research-and-collections/botany-and-herbarium/collections/database/results.php?Genus=Leptosiphon&amp;Species=bicolor&amp;SourcePage=search.php&amp;IncludeSynonyms=Y&amp;SortBy=DESC&amp;SortOrder=Year" TargetMode="External"/><Relationship Id="rId3294" Type="http://schemas.openxmlformats.org/officeDocument/2006/relationships/hyperlink" Target="http://www.burkemuseum.org/research-and-collections/botany-and-herbarium/collections/database/results.php?Genus=Rudbeckia&amp;Species=hirta&amp;SourcePage=search.php&amp;IncludeSynonyms=Y&amp;SortBy=DESC&amp;SortOrder=Year" TargetMode="External"/><Relationship Id="rId4138" Type="http://schemas.openxmlformats.org/officeDocument/2006/relationships/hyperlink" Target="https://plants.usda.gov/core/profile?symbol=MIBO" TargetMode="External"/><Relationship Id="rId4345" Type="http://schemas.openxmlformats.org/officeDocument/2006/relationships/hyperlink" Target="https://plants.usda.gov/core/profile?symbol=SAMA6" TargetMode="External"/><Relationship Id="rId4692" Type="http://schemas.openxmlformats.org/officeDocument/2006/relationships/hyperlink" Target="https://en.wikipedia.org/wiki/Antennaria_racemosa" TargetMode="External"/><Relationship Id="rId5743" Type="http://schemas.openxmlformats.org/officeDocument/2006/relationships/hyperlink" Target="http://www.burkemuseum.org/research-and-collections/botany-and-herbarium/collections/database/results.php?Genus=Erythranthe&amp;Species=guttata&amp;SourcePage=search.php&amp;IncludeSynonyms=Y&amp;SortBy=DESC&amp;SortOrder=Year" TargetMode="External"/><Relationship Id="rId5950" Type="http://schemas.openxmlformats.org/officeDocument/2006/relationships/hyperlink" Target="http://www.burkemuseum.org/research-and-collections/botany-and-herbarium/collections/database/results.php?Genus=Montia&amp;Species=fontana&amp;SourcePage=search.php&amp;IncludeSynonyms=Y&amp;SortBy=DESC&amp;SortOrder=Year" TargetMode="External"/><Relationship Id="rId1939" Type="http://schemas.openxmlformats.org/officeDocument/2006/relationships/hyperlink" Target="http://plants.usda.gov/java/profile?symbol=PITR3" TargetMode="External"/><Relationship Id="rId4552" Type="http://schemas.openxmlformats.org/officeDocument/2006/relationships/hyperlink" Target="https://en.wikipedia.org/wiki/Agrostis_oregonensis" TargetMode="External"/><Relationship Id="rId5603" Type="http://schemas.openxmlformats.org/officeDocument/2006/relationships/hyperlink" Target="http://www.burkemuseum.org/research-and-collections/botany-and-herbarium/collections/database/results.php?Genus=Carex&amp;Species=tumulicola&amp;SourcePage=search.php&amp;IncludeSynonyms=Y&amp;SortBy=DESC&amp;SortOrder=Year" TargetMode="External"/><Relationship Id="rId5810" Type="http://schemas.openxmlformats.org/officeDocument/2006/relationships/hyperlink" Target="http://www.burkemuseum.org/research-and-collections/botany-and-herbarium/collections/database/results.php?Genus=Hippuris&amp;Species=vulgaris&amp;SourcePage=search.php&amp;IncludeSynonyms=Y&amp;SortBy=DESC&amp;SortOrder=Year" TargetMode="External"/><Relationship Id="rId3154" Type="http://schemas.openxmlformats.org/officeDocument/2006/relationships/hyperlink" Target="http://www.burkemuseum.org/research-and-collections/botany-and-herbarium/collections/database/results.php?Genus=Montia&amp;Species=linearis&amp;SourcePage=search.php&amp;IncludeSynonyms=Y&amp;SortBy=DESC&amp;SortOrder=Year" TargetMode="External"/><Relationship Id="rId3361" Type="http://schemas.openxmlformats.org/officeDocument/2006/relationships/hyperlink" Target="http://www.burkemuseum.org/research-and-collections/botany-and-herbarium/collections/database/results.php?Genus=Sparganium&amp;Species=fluctuans&amp;SourcePage=search.php&amp;IncludeSynonyms=Y&amp;SortBy=DESC&amp;SortOrder=Year" TargetMode="External"/><Relationship Id="rId4205" Type="http://schemas.openxmlformats.org/officeDocument/2006/relationships/hyperlink" Target="https://plants.usda.gov/core/profile?symbol=PESE5" TargetMode="External"/><Relationship Id="rId4412" Type="http://schemas.openxmlformats.org/officeDocument/2006/relationships/hyperlink" Target="https://plants.usda.gov/core/profile?symbol=SOCA6" TargetMode="External"/><Relationship Id="rId282" Type="http://schemas.openxmlformats.org/officeDocument/2006/relationships/hyperlink" Target="https://en.wikipedia.org/wiki/Abronia_latifolia" TargetMode="External"/><Relationship Id="rId2170" Type="http://schemas.openxmlformats.org/officeDocument/2006/relationships/hyperlink" Target="https://plants.usda.gov/core/profile?symbol=MILE2" TargetMode="External"/><Relationship Id="rId3014" Type="http://schemas.openxmlformats.org/officeDocument/2006/relationships/hyperlink" Target="http://www.burkemuseum.org/research-and-collections/botany-and-herbarium/collections/database/results.php?Genus=Geranium&amp;Species=carolinianum&amp;SourcePage=search.php&amp;IncludeSynonyms=Y&amp;SortBy=DESC&amp;SortOrder=Year" TargetMode="External"/><Relationship Id="rId3221" Type="http://schemas.openxmlformats.org/officeDocument/2006/relationships/hyperlink" Target="http://www.burkemuseum.org/research-and-collections/botany-and-herbarium/collections/database/results.php?Genus=Poa&amp;Species=macrantha&amp;SourcePage=search.php&amp;IncludeSynonyms=Y&amp;SortBy=DESC&amp;SortOrder=Year" TargetMode="External"/><Relationship Id="rId6377" Type="http://schemas.openxmlformats.org/officeDocument/2006/relationships/hyperlink" Target="http://biology.burke.washington.edu/herbarium/imagecollectionnew/taxon.php?Taxon=Arctostaphylos%20media" TargetMode="External"/><Relationship Id="rId6584" Type="http://schemas.openxmlformats.org/officeDocument/2006/relationships/hyperlink" Target="http://biology.burke.washington.edu/herbarium/imagecollection/taxon.php?Taxon=Myrica%20gale" TargetMode="External"/><Relationship Id="rId6791" Type="http://schemas.openxmlformats.org/officeDocument/2006/relationships/hyperlink" Target="http://biology.burke.washington.edu/herbarium/imagecollection/taxon.php?Taxon=Epilobium%20brachycarpum" TargetMode="External"/><Relationship Id="rId8" Type="http://schemas.openxmlformats.org/officeDocument/2006/relationships/hyperlink" Target="http://biology.burke.washington.edu/herbarium/imagecollection/taxon.php?Taxon=Streptopus%20amplexifolius" TargetMode="External"/><Relationship Id="rId142" Type="http://schemas.openxmlformats.org/officeDocument/2006/relationships/hyperlink" Target="http://biology.burke.washington.edu/herbarium/imagecollection/taxon.php?Taxon=Luzula%20comosa" TargetMode="External"/><Relationship Id="rId2030" Type="http://schemas.openxmlformats.org/officeDocument/2006/relationships/hyperlink" Target="http://plants.usda.gov/java/profile?symbol=MASA" TargetMode="External"/><Relationship Id="rId2987" Type="http://schemas.openxmlformats.org/officeDocument/2006/relationships/hyperlink" Target="http://www.burkemuseum.org/research-and-collections/botany-and-herbarium/collections/database/results.php?Genus=Erythranthe&amp;Species=moschata&amp;SourcePage=search.php&amp;IncludeSynonyms=Y&amp;SortBy=DESC&amp;SortOrder=Year" TargetMode="External"/><Relationship Id="rId5186" Type="http://schemas.openxmlformats.org/officeDocument/2006/relationships/hyperlink" Target="https://en.wikipedia.org/wiki/Osmorhiza_purpurea" TargetMode="External"/><Relationship Id="rId5393" Type="http://schemas.openxmlformats.org/officeDocument/2006/relationships/hyperlink" Target="https://en.wikipedia.org/wiki/Sedum_spathulifolium" TargetMode="External"/><Relationship Id="rId6237" Type="http://schemas.openxmlformats.org/officeDocument/2006/relationships/hyperlink" Target="http://www.burkemuseum.org/research-and-collections/botany-and-herbarium/collections/database/results.php?Genus=Streptopus&amp;Species=amplexifolius&amp;SourcePage=search.php&amp;IncludeSynonyms=Y&amp;SortBy=DESC&amp;SortOrder=Year" TargetMode="External"/><Relationship Id="rId6444" Type="http://schemas.openxmlformats.org/officeDocument/2006/relationships/hyperlink" Target="http://biology.burke.washington.edu/herbarium/imagecollectionnew/taxon.php?Taxon=Corydalis%20scouleri" TargetMode="External"/><Relationship Id="rId6651" Type="http://schemas.openxmlformats.org/officeDocument/2006/relationships/hyperlink" Target="http://biology.burke.washington.edu/herbarium/imagecollectionnew/taxon.php?Taxon=Sidalcea%20hirtipes" TargetMode="External"/><Relationship Id="rId959" Type="http://schemas.openxmlformats.org/officeDocument/2006/relationships/hyperlink" Target="https://en.wikipedia.org/wiki/Caltha_palustris" TargetMode="External"/><Relationship Id="rId1589" Type="http://schemas.openxmlformats.org/officeDocument/2006/relationships/hyperlink" Target="http://en.wikipedia.org/wiki/Alnus_rubra" TargetMode="External"/><Relationship Id="rId5046" Type="http://schemas.openxmlformats.org/officeDocument/2006/relationships/hyperlink" Target="https://en.wikipedia.org/wiki/Juncus_alpinoarticulatus" TargetMode="External"/><Relationship Id="rId5253" Type="http://schemas.openxmlformats.org/officeDocument/2006/relationships/hyperlink" Target="https://en.wikipedia.org/wiki/Polygonum_paronychia" TargetMode="External"/><Relationship Id="rId5460" Type="http://schemas.openxmlformats.org/officeDocument/2006/relationships/hyperlink" Target="https://en.wikipedia.org/wiki/Tolmiea_menziesii" TargetMode="External"/><Relationship Id="rId6304" Type="http://schemas.openxmlformats.org/officeDocument/2006/relationships/hyperlink" Target="http://www.burkemuseum.org/research-and-collections/botany-and-herbarium/collections/database/results.php?Genus=Viburnum&amp;Species=edule&amp;SourcePage=search.php&amp;IncludeSynonyms=Y&amp;SortBy=DESC&amp;SortOrder=Year" TargetMode="External"/><Relationship Id="rId6511" Type="http://schemas.openxmlformats.org/officeDocument/2006/relationships/hyperlink" Target="http://biology.burke.washington.edu/herbarium/imagecollection/taxon.php?Taxon=Fragaria%20virginiana" TargetMode="External"/><Relationship Id="rId1449" Type="http://schemas.openxmlformats.org/officeDocument/2006/relationships/hyperlink" Target="http://biology.burke.washington.edu/herbarium/imagecollectionnew/taxon.php?Taxon=Ceanothus%20prostratus" TargetMode="External"/><Relationship Id="rId1796" Type="http://schemas.openxmlformats.org/officeDocument/2006/relationships/hyperlink" Target="http://plants.usda.gov/java/profile?symbol=SPEU" TargetMode="External"/><Relationship Id="rId2847" Type="http://schemas.openxmlformats.org/officeDocument/2006/relationships/hyperlink" Target="http://www.burkemuseum.org/research-and-collections/botany-and-herbarium/collections/database/results.php?Genus=Carex&amp;Species=pachystachya&amp;SourcePage=search.php&amp;IncludeSynonyms=Y&amp;SortBy=DESC&amp;SortOrder=Year" TargetMode="External"/><Relationship Id="rId4062" Type="http://schemas.openxmlformats.org/officeDocument/2006/relationships/hyperlink" Target="https://plants.usda.gov/core/profile?symbol=LAVE2" TargetMode="External"/><Relationship Id="rId5113" Type="http://schemas.openxmlformats.org/officeDocument/2006/relationships/hyperlink" Target="https://en.wikipedia.org/wiki/Lysichiton_americanus" TargetMode="External"/><Relationship Id="rId88" Type="http://schemas.openxmlformats.org/officeDocument/2006/relationships/hyperlink" Target="http://biology.burke.washington.edu/herbarium/imagecollection/taxon.php?Taxon=Myriophyllum%20hippuroides" TargetMode="External"/><Relationship Id="rId819" Type="http://schemas.openxmlformats.org/officeDocument/2006/relationships/hyperlink" Target="https://en.wikipedia.org/wiki/Packera_bolanderi" TargetMode="External"/><Relationship Id="rId1656" Type="http://schemas.openxmlformats.org/officeDocument/2006/relationships/hyperlink" Target="http://biology.burke.washington.edu/herbarium/imagecollectionnew/taxon.php?Taxon=Sedum%20divergens" TargetMode="External"/><Relationship Id="rId1863" Type="http://schemas.openxmlformats.org/officeDocument/2006/relationships/hyperlink" Target="http://plants.usda.gov/java/profile?symbol=RUPE" TargetMode="External"/><Relationship Id="rId2707" Type="http://schemas.openxmlformats.org/officeDocument/2006/relationships/hyperlink" Target="http://biology.burke.washington.edu/herbarium/imagecollectionnew/taxon.php?Taxon=Schoenoplectus%20acutus" TargetMode="External"/><Relationship Id="rId2914" Type="http://schemas.openxmlformats.org/officeDocument/2006/relationships/hyperlink" Target="http://www.burkemuseum.org/research-and-collections/botany-and-herbarium/collections/database/results.php?Genus=Crassula&amp;Species=aquatica&amp;SourcePage=search.php&amp;IncludeSynonyms=Y&amp;SortBy=DESC&amp;SortOrder=Year" TargetMode="External"/><Relationship Id="rId5320" Type="http://schemas.openxmlformats.org/officeDocument/2006/relationships/hyperlink" Target="https://en.wikipedia.org/wiki/Ribes_lacustre" TargetMode="External"/><Relationship Id="rId7078" Type="http://schemas.openxmlformats.org/officeDocument/2006/relationships/hyperlink" Target="http://biology.burke.washington.edu/herbarium/imagecollectionnew/taxon.php?Taxon=Viburnum%20opulus" TargetMode="External"/><Relationship Id="rId1309" Type="http://schemas.openxmlformats.org/officeDocument/2006/relationships/hyperlink" Target="https://en.wikipedia.org/wiki/Matteuccia" TargetMode="External"/><Relationship Id="rId1516" Type="http://schemas.openxmlformats.org/officeDocument/2006/relationships/hyperlink" Target="https://en.wikipedia.org/wiki/Rhododendron_macrophyllum" TargetMode="External"/><Relationship Id="rId1723" Type="http://schemas.openxmlformats.org/officeDocument/2006/relationships/hyperlink" Target="http://plants.usda.gov/java/profile?symbol=VIED" TargetMode="External"/><Relationship Id="rId1930" Type="http://schemas.openxmlformats.org/officeDocument/2006/relationships/hyperlink" Target="http://plants.usda.gov/java/profile?symbol=PODO4" TargetMode="External"/><Relationship Id="rId4879" Type="http://schemas.openxmlformats.org/officeDocument/2006/relationships/hyperlink" Target="https://en.wikipedia.org/wiki/Cryptogramma_acrostichoides" TargetMode="External"/><Relationship Id="rId15" Type="http://schemas.openxmlformats.org/officeDocument/2006/relationships/hyperlink" Target="http://biology.burke.washington.edu/herbarium/imagecollection/taxon.php?Taxon=Achillea%20millefolium" TargetMode="External"/><Relationship Id="rId3688" Type="http://schemas.openxmlformats.org/officeDocument/2006/relationships/hyperlink" Target="https://plants.usda.gov/core/profile?symbol=ARCO3" TargetMode="External"/><Relationship Id="rId3895" Type="http://schemas.openxmlformats.org/officeDocument/2006/relationships/hyperlink" Target="https://plants.usda.gov/core/profile?symbol=DOJE" TargetMode="External"/><Relationship Id="rId4739" Type="http://schemas.openxmlformats.org/officeDocument/2006/relationships/hyperlink" Target="https://en.wikipedia.org/wiki/Bidens_vulgata" TargetMode="External"/><Relationship Id="rId4946" Type="http://schemas.openxmlformats.org/officeDocument/2006/relationships/hyperlink" Target="https://en.wikipedia.org/wiki/Eriophorum_gracile" TargetMode="External"/><Relationship Id="rId6094" Type="http://schemas.openxmlformats.org/officeDocument/2006/relationships/hyperlink" Target="http://www.burkemuseum.org/research-and-collections/botany-and-herbarium/collections/database/results.php?Genus=Pyrola&amp;Species=picta&amp;SourcePage=search.php&amp;IncludeSynonyms=Y&amp;SortBy=DESC&amp;SortOrder=Year" TargetMode="External"/><Relationship Id="rId7145" Type="http://schemas.openxmlformats.org/officeDocument/2006/relationships/hyperlink" Target="http://biology.burke.washington.edu/herbarium/imagecollectionnew/taxon.php?Taxon=Sedum%20divergens" TargetMode="External"/><Relationship Id="rId2497" Type="http://schemas.openxmlformats.org/officeDocument/2006/relationships/hyperlink" Target="http://plants.usda.gov/java/profile?symbol=POSC4" TargetMode="External"/><Relationship Id="rId3548" Type="http://schemas.openxmlformats.org/officeDocument/2006/relationships/hyperlink" Target="http://www.burkemuseum.org/research-and-collections/botany-and-herbarium/collections/database/results.php?Genus=Pentagramma&amp;Species=triangularis&amp;SourcePage=search.php&amp;IncludeSynonyms=Y&amp;SortBy=DESC&amp;SortOrder=Year" TargetMode="External"/><Relationship Id="rId3755" Type="http://schemas.openxmlformats.org/officeDocument/2006/relationships/hyperlink" Target="https://plants.usda.gov/core/profile?symbol=CASC7" TargetMode="External"/><Relationship Id="rId4806" Type="http://schemas.openxmlformats.org/officeDocument/2006/relationships/hyperlink" Target="https://en.wikipedia.org/wiki/Carex_rostrata" TargetMode="External"/><Relationship Id="rId6161" Type="http://schemas.openxmlformats.org/officeDocument/2006/relationships/hyperlink" Target="http://www.burkemuseum.org/research-and-collections/botany-and-herbarium/collections/database/results.php?Genus=Salix&amp;Species=pedicellaris&amp;SourcePage=search.php&amp;IncludeSynonyms=Y&amp;SortBy=DESC&amp;SortOrder=Year" TargetMode="External"/><Relationship Id="rId7005" Type="http://schemas.openxmlformats.org/officeDocument/2006/relationships/hyperlink" Target="http://biology.burke.washington.edu/herbarium/imagecollectionnew/taxon.php?Taxon=Claytonia%20parviflora" TargetMode="External"/><Relationship Id="rId7212" Type="http://schemas.openxmlformats.org/officeDocument/2006/relationships/hyperlink" Target="http://biology.burke.washington.edu/herbarium/imagecollection/taxon.php?Taxon=Prunus%20emarginata" TargetMode="External"/><Relationship Id="rId469" Type="http://schemas.openxmlformats.org/officeDocument/2006/relationships/hyperlink" Target="http://biology.burke.washington.edu/herbarium/imagecollectionnew/taxon.php?Taxon=Veratrum%20viride" TargetMode="External"/><Relationship Id="rId676" Type="http://schemas.openxmlformats.org/officeDocument/2006/relationships/hyperlink" Target="https://en.wikipedia.org/wiki/Douglas_fir" TargetMode="External"/><Relationship Id="rId883" Type="http://schemas.openxmlformats.org/officeDocument/2006/relationships/hyperlink" Target="https://en.wikipedia.org/wiki/Calystegia_soldanella" TargetMode="External"/><Relationship Id="rId1099" Type="http://schemas.openxmlformats.org/officeDocument/2006/relationships/hyperlink" Target="https://en.wikipedia.org/wiki/Lemna_minuta" TargetMode="External"/><Relationship Id="rId2357" Type="http://schemas.openxmlformats.org/officeDocument/2006/relationships/hyperlink" Target="http://plants.usda.gov/java/profile?symbol=BLSP" TargetMode="External"/><Relationship Id="rId2564" Type="http://schemas.openxmlformats.org/officeDocument/2006/relationships/hyperlink" Target="http://plants.usda.gov/java/profile?symbol=DOHE" TargetMode="External"/><Relationship Id="rId3408" Type="http://schemas.openxmlformats.org/officeDocument/2006/relationships/hyperlink" Target="http://www.burkemuseum.org/research-and-collections/botany-and-herbarium/collections/database/results.php?Genus=Triodanis&amp;Species=biflora&amp;SourcePage=search.php&amp;IncludeSynonyms=Y&amp;SortBy=DESC&amp;SortOrder=Year" TargetMode="External"/><Relationship Id="rId3615" Type="http://schemas.openxmlformats.org/officeDocument/2006/relationships/hyperlink" Target="http://www.burkemuseum.org/research-and-collections/botany-and-herbarium/collections/database/results.php?Genus=Woodwardia&amp;Species=fimbriata&amp;SourcePage=search.php&amp;IncludeSynonyms=Y&amp;SortBy=DESC&amp;SortOrder=Year" TargetMode="External"/><Relationship Id="rId3962" Type="http://schemas.openxmlformats.org/officeDocument/2006/relationships/hyperlink" Target="https://plants.usda.gov/core/profile?symbol=FRAF2" TargetMode="External"/><Relationship Id="rId6021" Type="http://schemas.openxmlformats.org/officeDocument/2006/relationships/hyperlink" Target="http://www.burkemuseum.org/research-and-collections/botany-and-herbarium/collections/database/results.php?Genus=Picea&amp;Species=sitchensis&amp;SourcePage=search.php&amp;IncludeSynonyms=Y&amp;SortBy=DESC&amp;SortOrder=Year" TargetMode="External"/><Relationship Id="rId329" Type="http://schemas.openxmlformats.org/officeDocument/2006/relationships/hyperlink" Target="http://biology.burke.washington.edu/herbarium/imagecollectionnew/taxon.php?Taxon=Cardamine%20pensylvanica" TargetMode="External"/><Relationship Id="rId536" Type="http://schemas.openxmlformats.org/officeDocument/2006/relationships/hyperlink" Target="https://en.wikipedia.org/wiki/Triodanis_perfoliata" TargetMode="External"/><Relationship Id="rId1166" Type="http://schemas.openxmlformats.org/officeDocument/2006/relationships/hyperlink" Target="https://en.wikipedia.org/wiki/Helenium_autumnale" TargetMode="External"/><Relationship Id="rId1373" Type="http://schemas.openxmlformats.org/officeDocument/2006/relationships/hyperlink" Target="http://biology.burke.washington.edu/herbarium/imagecollection/taxon.php?Taxon=Philadelphus%20lewisii" TargetMode="External"/><Relationship Id="rId2217" Type="http://schemas.openxmlformats.org/officeDocument/2006/relationships/hyperlink" Target="https://plants.usda.gov/core/profile?symbol=diac2" TargetMode="External"/><Relationship Id="rId2771" Type="http://schemas.openxmlformats.org/officeDocument/2006/relationships/hyperlink" Target="http://www.burkemuseum.org/research-and-collections/botany-and-herbarium/collections/database/results.php?Genus=Arnica&amp;Species=amplexicaulis&amp;SourcePage=search.php&amp;IncludeSynonyms=Y&amp;SortBy=DESC&amp;SortOrder=Year" TargetMode="External"/><Relationship Id="rId3822" Type="http://schemas.openxmlformats.org/officeDocument/2006/relationships/hyperlink" Target="https://plants.usda.gov/core/profile?symbol=CHCH7" TargetMode="External"/><Relationship Id="rId6978" Type="http://schemas.openxmlformats.org/officeDocument/2006/relationships/hyperlink" Target="http://biology.burke.washington.edu/herbarium/imagecollection/taxon.php?Taxon=Galium%20aparine" TargetMode="External"/><Relationship Id="rId743" Type="http://schemas.openxmlformats.org/officeDocument/2006/relationships/hyperlink" Target="https://en.wikipedia.org/wiki/Delphinium_trolliifolium" TargetMode="External"/><Relationship Id="rId950" Type="http://schemas.openxmlformats.org/officeDocument/2006/relationships/hyperlink" Target="http://en.wikipedia.org/wiki/Cardamine_nuttallii" TargetMode="External"/><Relationship Id="rId1026" Type="http://schemas.openxmlformats.org/officeDocument/2006/relationships/hyperlink" Target="http://en.wikipedia.org/wiki/Alnus_incana" TargetMode="External"/><Relationship Id="rId1580" Type="http://schemas.openxmlformats.org/officeDocument/2006/relationships/hyperlink" Target="https://en.wikipedia.org/wiki/Boykinia_occidentalis" TargetMode="External"/><Relationship Id="rId2424" Type="http://schemas.openxmlformats.org/officeDocument/2006/relationships/hyperlink" Target="http://plants.usda.gov/java/profile?symbol=AGGR" TargetMode="External"/><Relationship Id="rId2631" Type="http://schemas.openxmlformats.org/officeDocument/2006/relationships/hyperlink" Target="http://biology.burke.washington.edu/herbarium/imagecollection/taxon.php?Taxon=Polygonum%20spergulariiforme" TargetMode="External"/><Relationship Id="rId4389" Type="http://schemas.openxmlformats.org/officeDocument/2006/relationships/hyperlink" Target="https://plants.usda.gov/core/profile?symbol=SCLA2" TargetMode="External"/><Relationship Id="rId5787" Type="http://schemas.openxmlformats.org/officeDocument/2006/relationships/hyperlink" Target="http://www.burkemuseum.org/research-and-collections/botany-and-herbarium/collections/database/results.php?Genus=Glyceria&amp;Species=grandis&amp;SourcePage=search.php&amp;IncludeSynonyms=Y&amp;SortBy=DESC&amp;SortOrder=Year" TargetMode="External"/><Relationship Id="rId5994" Type="http://schemas.openxmlformats.org/officeDocument/2006/relationships/hyperlink" Target="http://www.burkemuseum.org/research-and-collections/botany-and-herbarium/collections/database/results.php?Genus=Parnassia&amp;Species=fimbriata&amp;SourcePage=search.php&amp;IncludeSynonyms=Y&amp;SortBy=DESC&amp;SortOrder=Year" TargetMode="External"/><Relationship Id="rId6838" Type="http://schemas.openxmlformats.org/officeDocument/2006/relationships/hyperlink" Target="http://biology.burke.washington.edu/herbarium/imagecollectionnew/taxon.php?Taxon=Cardamine%20angulata" TargetMode="External"/><Relationship Id="rId603" Type="http://schemas.openxmlformats.org/officeDocument/2006/relationships/hyperlink" Target="https://en.wikipedia.org/wiki/Scirpus_microcarpus" TargetMode="External"/><Relationship Id="rId810" Type="http://schemas.openxmlformats.org/officeDocument/2006/relationships/hyperlink" Target="https://en.wikipedia.org/wiki/Persicaria_lapathifolia" TargetMode="External"/><Relationship Id="rId1233" Type="http://schemas.openxmlformats.org/officeDocument/2006/relationships/hyperlink" Target="https://en.wikipedia.org/wiki/Carex" TargetMode="External"/><Relationship Id="rId1440" Type="http://schemas.openxmlformats.org/officeDocument/2006/relationships/hyperlink" Target="http://biology.burke.washington.edu/herbarium/imagecollectionnew/taxon.php?Taxon=Carex%20mertensii" TargetMode="External"/><Relationship Id="rId4596" Type="http://schemas.openxmlformats.org/officeDocument/2006/relationships/hyperlink" Target="http://www.burkemuseum.org/research-and-collections/botany-and-herbarium/collections/database/results.php?Genus=Agrostis&amp;Species=oregonensis&amp;SourcePage=search.php&amp;IncludeSynonyms=Y&amp;SortBy=DESC&amp;SortOrder=Year" TargetMode="External"/><Relationship Id="rId5647" Type="http://schemas.openxmlformats.org/officeDocument/2006/relationships/hyperlink" Target="http://www.burkemuseum.org/research-and-collections/botany-and-herbarium/collections/database/results.php?Genus=Clintonia&amp;Species=uniflora&amp;SourcePage=search.php&amp;IncludeSynonyms=Y&amp;SortBy=DESC&amp;SortOrder=Year" TargetMode="External"/><Relationship Id="rId5854" Type="http://schemas.openxmlformats.org/officeDocument/2006/relationships/hyperlink" Target="http://www.burkemuseum.org/research-and-collections/botany-and-herbarium/collections/database/results.php?Genus=Lasthenia&amp;Species=glaberrima&amp;SourcePage=search.php&amp;IncludeSynonyms=Y&amp;SortBy=DESC&amp;SortOrder=Year" TargetMode="External"/><Relationship Id="rId6905" Type="http://schemas.openxmlformats.org/officeDocument/2006/relationships/hyperlink" Target="http://biology.burke.washington.edu/herbarium/imagecollection/taxon.php?Taxon=Polystichum%20californicum" TargetMode="External"/><Relationship Id="rId1300" Type="http://schemas.openxmlformats.org/officeDocument/2006/relationships/hyperlink" Target="http://biology.burke.washington.edu/herbarium/imagecollectionnew/taxon.php?Taxon=Spiranthes%20porrifolia" TargetMode="External"/><Relationship Id="rId3198" Type="http://schemas.openxmlformats.org/officeDocument/2006/relationships/hyperlink" Target="http://www.burkemuseum.org/research-and-collections/botany-and-herbarium/collections/database/results.php?Genus=Persicaria&amp;Species=lapathifolia&amp;SourcePage=search.php&amp;IncludeSynonyms=Y&amp;SortBy=DESC&amp;SortOrder=Year" TargetMode="External"/><Relationship Id="rId4249" Type="http://schemas.openxmlformats.org/officeDocument/2006/relationships/hyperlink" Target="https://plants.usda.gov/core/profile?symbol=POPA7" TargetMode="External"/><Relationship Id="rId4456" Type="http://schemas.openxmlformats.org/officeDocument/2006/relationships/hyperlink" Target="https://plants.usda.gov/core/profile?symbol=THQU2" TargetMode="External"/><Relationship Id="rId4663" Type="http://schemas.openxmlformats.org/officeDocument/2006/relationships/hyperlink" Target="http://www.burkemuseum.org/research-and-collections/botany-and-herbarium/collections/database/results.php?Genus=Berberis&amp;Species=nervosa&amp;SourcePage=search.php&amp;IncludeSynonyms=Y&amp;SortBy=DESC&amp;SortOrder=Year" TargetMode="External"/><Relationship Id="rId4870" Type="http://schemas.openxmlformats.org/officeDocument/2006/relationships/hyperlink" Target="https://en.wikipedia.org/wiki/Cornus_unalaschkensis" TargetMode="External"/><Relationship Id="rId5507" Type="http://schemas.openxmlformats.org/officeDocument/2006/relationships/hyperlink" Target="https://en.wikipedia.org/wiki/Viburnum_ellipticum" TargetMode="External"/><Relationship Id="rId5714" Type="http://schemas.openxmlformats.org/officeDocument/2006/relationships/hyperlink" Target="http://www.burkemuseum.org/research-and-collections/botany-and-herbarium/collections/database/results.php?Genus=Eleocharis&amp;Species=parvula&amp;SourcePage=search.php&amp;IncludeSynonyms=Y&amp;SortBy=DESC&amp;SortOrder=Year" TargetMode="External"/><Relationship Id="rId5921" Type="http://schemas.openxmlformats.org/officeDocument/2006/relationships/hyperlink" Target="http://www.burkemuseum.org/research-and-collections/botany-and-herbarium/collections/database/results.php?Genus=Maianthemum&amp;Species=racemosum&amp;SourcePage=search.php&amp;IncludeSynonyms=Y&amp;SortBy=DESC&amp;SortOrder=Year" TargetMode="External"/><Relationship Id="rId3058" Type="http://schemas.openxmlformats.org/officeDocument/2006/relationships/hyperlink" Target="http://www.burkemuseum.org/research-and-collections/botany-and-herbarium/collections/database/results.php?Genus=Juncus&amp;Species=acuminatus&amp;SourcePage=search.php&amp;IncludeSynonyms=Y&amp;SortBy=DESC&amp;SortOrder=Year" TargetMode="External"/><Relationship Id="rId3265" Type="http://schemas.openxmlformats.org/officeDocument/2006/relationships/hyperlink" Target="http://www.burkemuseum.org/research-and-collections/botany-and-herbarium/collections/database/results.php?Genus=Pyrola&amp;Species=picta&amp;SourcePage=search.php&amp;IncludeSynonyms=Y&amp;SortBy=DESC&amp;SortOrder=Year" TargetMode="External"/><Relationship Id="rId3472" Type="http://schemas.openxmlformats.org/officeDocument/2006/relationships/hyperlink" Target="http://www.burkemuseum.org/research-and-collections/botany-and-herbarium/collections/database/results.php?Genus=Callitropsis&amp;Species=nootkatensis&amp;SourcePage=search.php&amp;IncludeSynonyms=Y&amp;SortBy=DESC&amp;SortOrder=Year" TargetMode="External"/><Relationship Id="rId4109" Type="http://schemas.openxmlformats.org/officeDocument/2006/relationships/hyperlink" Target="https://plants.usda.gov/core/profile?symbol=LYUN" TargetMode="External"/><Relationship Id="rId4316" Type="http://schemas.openxmlformats.org/officeDocument/2006/relationships/hyperlink" Target="https://plants.usda.gov/core/profile?symbol=RIBR" TargetMode="External"/><Relationship Id="rId4523" Type="http://schemas.openxmlformats.org/officeDocument/2006/relationships/hyperlink" Target="https://plants.usda.gov/core/profile?symbol=WYAM" TargetMode="External"/><Relationship Id="rId4730" Type="http://schemas.openxmlformats.org/officeDocument/2006/relationships/hyperlink" Target="https://en.wikipedia.org/wiki/Berberis_nervosa" TargetMode="External"/><Relationship Id="rId186" Type="http://schemas.openxmlformats.org/officeDocument/2006/relationships/hyperlink" Target="http://biology.burke.washington.edu/herbarium/imagecollection/taxon.php?Taxon=Navarretia%20squarrosa" TargetMode="External"/><Relationship Id="rId393" Type="http://schemas.openxmlformats.org/officeDocument/2006/relationships/hyperlink" Target="http://biology.burke.washington.edu/herbarium/imagecollectionnew/taxon.php?Taxon=Coptis%20aspleniifolia" TargetMode="External"/><Relationship Id="rId2074" Type="http://schemas.openxmlformats.org/officeDocument/2006/relationships/hyperlink" Target="https://plants.usda.gov/core/profile?symbol=LEMI3" TargetMode="External"/><Relationship Id="rId2281" Type="http://schemas.openxmlformats.org/officeDocument/2006/relationships/hyperlink" Target="http://plants.usda.gov/java/profile?symbol=CHANA2" TargetMode="External"/><Relationship Id="rId3125" Type="http://schemas.openxmlformats.org/officeDocument/2006/relationships/hyperlink" Target="http://www.burkemuseum.org/research-and-collections/botany-and-herbarium/collections/database/results.php?Genus=Madia&amp;Species=gracilis&amp;SourcePage=search.php&amp;IncludeSynonyms=Y&amp;SortBy=DESC&amp;SortOrder=Year" TargetMode="External"/><Relationship Id="rId3332" Type="http://schemas.openxmlformats.org/officeDocument/2006/relationships/hyperlink" Target="http://www.burkemuseum.org/research-and-collections/botany-and-herbarium/collections/database/results.php?Genus=Schoenoplectus&amp;Species=subterminalis&amp;SourcePage=search.php&amp;IncludeSynonyms=Y&amp;SortBy=DESC&amp;SortOrder=Year" TargetMode="External"/><Relationship Id="rId6488" Type="http://schemas.openxmlformats.org/officeDocument/2006/relationships/hyperlink" Target="http://biology.burke.washington.edu/herbarium/imagecollection/taxon.php?Taxon=Erysimum%20capitatum" TargetMode="External"/><Relationship Id="rId6695" Type="http://schemas.openxmlformats.org/officeDocument/2006/relationships/hyperlink" Target="http://biology.burke.washington.edu/herbarium/imagecollection/taxon.php?Taxon=Plantago%20macrocarpa" TargetMode="External"/><Relationship Id="rId253" Type="http://schemas.openxmlformats.org/officeDocument/2006/relationships/hyperlink" Target="http://biology.burke.washington.edu/herbarium/imagecollection/taxon.php?Taxon=Geum%20triflorum" TargetMode="External"/><Relationship Id="rId460" Type="http://schemas.openxmlformats.org/officeDocument/2006/relationships/hyperlink" Target="http://biology.burke.washington.edu/herbarium/imagecollectionnew/taxon.php?Taxon=Utricularia%20minor" TargetMode="External"/><Relationship Id="rId1090" Type="http://schemas.openxmlformats.org/officeDocument/2006/relationships/hyperlink" Target="https://en.wikipedia.org/wiki/Lilaeopsis_occidentalis" TargetMode="External"/><Relationship Id="rId2141" Type="http://schemas.openxmlformats.org/officeDocument/2006/relationships/hyperlink" Target="http://plants.usda.gov/java/profile?symbol=GEOR2" TargetMode="External"/><Relationship Id="rId5297" Type="http://schemas.openxmlformats.org/officeDocument/2006/relationships/hyperlink" Target="https://en.wikipedia.org/wiki/Ranunculus_aquatilis" TargetMode="External"/><Relationship Id="rId6348" Type="http://schemas.openxmlformats.org/officeDocument/2006/relationships/hyperlink" Target="http://biology.burke.washington.edu/herbarium/imagecollection/taxon.php?Taxon=Actaea%20rubra" TargetMode="External"/><Relationship Id="rId6555" Type="http://schemas.openxmlformats.org/officeDocument/2006/relationships/hyperlink" Target="http://biology.burke.washington.edu/herbarium/imagecollection/taxon.php?Taxon=Lomatium%20nudicaule" TargetMode="External"/><Relationship Id="rId113" Type="http://schemas.openxmlformats.org/officeDocument/2006/relationships/hyperlink" Target="http://biology.burke.washington.edu/herbarium/imagecollection/taxon.php?Taxon=Holodiscus%20discolor" TargetMode="External"/><Relationship Id="rId320" Type="http://schemas.openxmlformats.org/officeDocument/2006/relationships/hyperlink" Target="http://biology.burke.washington.edu/herbarium/imagecollectionnew/taxon.php?Taxon=Struthiopteris%20spicant" TargetMode="External"/><Relationship Id="rId2001" Type="http://schemas.openxmlformats.org/officeDocument/2006/relationships/hyperlink" Target="https://plants.usda.gov/core/profile?symbol=moli4" TargetMode="External"/><Relationship Id="rId5157" Type="http://schemas.openxmlformats.org/officeDocument/2006/relationships/hyperlink" Target="https://en.wikipedia.org/wiki/Myosurus_minimus" TargetMode="External"/><Relationship Id="rId6208" Type="http://schemas.openxmlformats.org/officeDocument/2006/relationships/hyperlink" Target="http://www.burkemuseum.org/research-and-collections/botany-and-herbarium/collections/database/results.php?Genus=Sisyrinchium&amp;Species=californicum&amp;SourcePage=search.php&amp;IncludeSynonyms=Y&amp;SortBy=DESC&amp;SortOrder=Year" TargetMode="External"/><Relationship Id="rId6762" Type="http://schemas.openxmlformats.org/officeDocument/2006/relationships/hyperlink" Target="http://biology.burke.washington.edu/herbarium/imagecollection/taxon.php?Taxon=Howellia%20aquatilis" TargetMode="External"/><Relationship Id="rId2958" Type="http://schemas.openxmlformats.org/officeDocument/2006/relationships/hyperlink" Target="http://www.burkemuseum.org/research-and-collections/botany-and-herbarium/collections/database/results.php?Genus=Elymus&amp;Species=elymoides&amp;SourcePage=search.php&amp;IncludeSynonyms=Y&amp;SortBy=DESC&amp;SortOrder=Year" TargetMode="External"/><Relationship Id="rId5017" Type="http://schemas.openxmlformats.org/officeDocument/2006/relationships/hyperlink" Target="https://en.wikipedia.org/wiki/Heuchera_micrantha" TargetMode="External"/><Relationship Id="rId5364" Type="http://schemas.openxmlformats.org/officeDocument/2006/relationships/hyperlink" Target="https://en.wikipedia.org/wiki/Salix_scouleriana" TargetMode="External"/><Relationship Id="rId5571" Type="http://schemas.openxmlformats.org/officeDocument/2006/relationships/hyperlink" Target="http://www.burkemuseum.org/research-and-collections/botany-and-herbarium/collections/database/results.php?Genus=Carex&amp;Species=anthoxanthea&amp;SourcePage=search.php&amp;IncludeSynonyms=Y&amp;SortBy=DESC&amp;SortOrder=Year" TargetMode="External"/><Relationship Id="rId6415" Type="http://schemas.openxmlformats.org/officeDocument/2006/relationships/hyperlink" Target="http://biology.burke.washington.edu/herbarium/imagecollectionnew/taxon.php?Taxon=Carex%20pachystachya" TargetMode="External"/><Relationship Id="rId6622" Type="http://schemas.openxmlformats.org/officeDocument/2006/relationships/hyperlink" Target="http://biology.burke.washington.edu/herbarium/imagecollectionnew/taxon.php?Taxon=Triodanis%20perfoliata" TargetMode="External"/><Relationship Id="rId1767" Type="http://schemas.openxmlformats.org/officeDocument/2006/relationships/hyperlink" Target="http://plants.usda.gov/java/profile?symbol=TABR2" TargetMode="External"/><Relationship Id="rId1974" Type="http://schemas.openxmlformats.org/officeDocument/2006/relationships/hyperlink" Target="http://plants.usda.gov/java/profile?symbol=CHRU" TargetMode="External"/><Relationship Id="rId2818" Type="http://schemas.openxmlformats.org/officeDocument/2006/relationships/hyperlink" Target="http://www.burkemuseum.org/research-and-collections/botany-and-herbarium/collections/database/results.php?Genus=Camassia&amp;Species=quamash&amp;SourcePage=search.php&amp;IncludeSynonyms=Y&amp;SortBy=DESC&amp;SortOrder=Year" TargetMode="External"/><Relationship Id="rId4173" Type="http://schemas.openxmlformats.org/officeDocument/2006/relationships/hyperlink" Target="https://plants.usda.gov/core/profile?symbol=OECE" TargetMode="External"/><Relationship Id="rId4380" Type="http://schemas.openxmlformats.org/officeDocument/2006/relationships/hyperlink" Target="https://plants.usda.gov/core/profile?symbol=SCPA2" TargetMode="External"/><Relationship Id="rId5224" Type="http://schemas.openxmlformats.org/officeDocument/2006/relationships/hyperlink" Target="https://en.wikipedia.org/wiki/Pinus_albicaulis" TargetMode="External"/><Relationship Id="rId5431" Type="http://schemas.openxmlformats.org/officeDocument/2006/relationships/hyperlink" Target="https://en.wikipedia.org/wiki/Stachys_rigida" TargetMode="External"/><Relationship Id="rId59" Type="http://schemas.openxmlformats.org/officeDocument/2006/relationships/hyperlink" Target="http://biology.burke.washington.edu/herbarium/imagecollection/taxon.php?Taxon=Sagina%20maxima" TargetMode="External"/><Relationship Id="rId1627" Type="http://schemas.openxmlformats.org/officeDocument/2006/relationships/hyperlink" Target="http://biology.burke.washington.edu/herbarium/imagecollectionnew/taxon.php?Taxon=Allium%20crenulatum" TargetMode="External"/><Relationship Id="rId1834" Type="http://schemas.openxmlformats.org/officeDocument/2006/relationships/hyperlink" Target="https://plants.usda.gov/core/profile?symbol=SAME6" TargetMode="External"/><Relationship Id="rId4033" Type="http://schemas.openxmlformats.org/officeDocument/2006/relationships/hyperlink" Target="https://plants.usda.gov/core/profile?symbol=ISCE" TargetMode="External"/><Relationship Id="rId4240" Type="http://schemas.openxmlformats.org/officeDocument/2006/relationships/hyperlink" Target="https://plants.usda.gov/core/profile?symbol=POCO2" TargetMode="External"/><Relationship Id="rId7189" Type="http://schemas.openxmlformats.org/officeDocument/2006/relationships/hyperlink" Target="http://biology.burke.washington.edu/herbarium/imagecollection/taxon.php?Taxon=Ribes%20sanguineum" TargetMode="External"/><Relationship Id="rId3799" Type="http://schemas.openxmlformats.org/officeDocument/2006/relationships/hyperlink" Target="https://plants.usda.gov/core/profile?symbol=CAVE6" TargetMode="External"/><Relationship Id="rId4100" Type="http://schemas.openxmlformats.org/officeDocument/2006/relationships/hyperlink" Target="https://plants.usda.gov/core/profile?symbol=LUOR" TargetMode="External"/><Relationship Id="rId7049" Type="http://schemas.openxmlformats.org/officeDocument/2006/relationships/hyperlink" Target="http://biology.burke.washington.edu/herbarium/imagecollectionnew/taxon.php?Taxon=Artemisia%20douglasiana" TargetMode="External"/><Relationship Id="rId1901" Type="http://schemas.openxmlformats.org/officeDocument/2006/relationships/hyperlink" Target="https://plants.usda.gov/core/profile?symbol=PSEUD43" TargetMode="External"/><Relationship Id="rId3659" Type="http://schemas.openxmlformats.org/officeDocument/2006/relationships/hyperlink" Target="https://plants.usda.gov/core/profile?symbol=AMCH4" TargetMode="External"/><Relationship Id="rId6065" Type="http://schemas.openxmlformats.org/officeDocument/2006/relationships/hyperlink" Target="http://www.burkemuseum.org/research-and-collections/botany-and-herbarium/collections/database/results.php?Genus=Potamogeton&amp;Species=gramineus&amp;SourcePage=search.php&amp;IncludeSynonyms=Y&amp;SortBy=DESC&amp;SortOrder=Year" TargetMode="External"/><Relationship Id="rId6272" Type="http://schemas.openxmlformats.org/officeDocument/2006/relationships/hyperlink" Target="http://www.burkemuseum.org/research-and-collections/botany-and-herbarium/collections/database/results.php?Genus=Trillium&amp;Species=parviflorum&amp;SourcePage=search.php&amp;IncludeSynonyms=Y&amp;SortBy=DESC&amp;SortOrder=Year" TargetMode="External"/><Relationship Id="rId7116" Type="http://schemas.openxmlformats.org/officeDocument/2006/relationships/hyperlink" Target="http://biology.burke.washington.edu/herbarium/imagecollection/taxon.php?Taxon=Symphoricarpos%20albus" TargetMode="External"/><Relationship Id="rId3866" Type="http://schemas.openxmlformats.org/officeDocument/2006/relationships/hyperlink" Target="https://plants.usda.gov/core/profile?symbol=CRIN8" TargetMode="External"/><Relationship Id="rId4917" Type="http://schemas.openxmlformats.org/officeDocument/2006/relationships/hyperlink" Target="https://en.wikipedia.org/wiki/Echinacea_purpurea" TargetMode="External"/><Relationship Id="rId5081" Type="http://schemas.openxmlformats.org/officeDocument/2006/relationships/hyperlink" Target="https://en.wikipedia.org/wiki/Limosella_aquatica" TargetMode="External"/><Relationship Id="rId6132" Type="http://schemas.openxmlformats.org/officeDocument/2006/relationships/hyperlink" Target="http://www.burkemuseum.org/research-and-collections/botany-and-herbarium/collections/database/results.php?Genus=Rubus&amp;Species=lasiococcus&amp;SourcePage=search.php&amp;IncludeSynonyms=Y&amp;SortBy=DESC&amp;SortOrder=Year" TargetMode="External"/><Relationship Id="rId787" Type="http://schemas.openxmlformats.org/officeDocument/2006/relationships/hyperlink" Target="https://en.wikipedia.org/wiki/Polemonium_pulcherrimum" TargetMode="External"/><Relationship Id="rId994" Type="http://schemas.openxmlformats.org/officeDocument/2006/relationships/hyperlink" Target="https://en.wikipedia.org/wiki/Artemisia_michauxiana" TargetMode="External"/><Relationship Id="rId2468" Type="http://schemas.openxmlformats.org/officeDocument/2006/relationships/hyperlink" Target="http://plants.usda.gov/java/profile?symbol=SEOR3" TargetMode="External"/><Relationship Id="rId2675" Type="http://schemas.openxmlformats.org/officeDocument/2006/relationships/hyperlink" Target="http://biology.burke.washington.edu/herbarium/imagecollectionnew/taxon.php?Taxon=Brasenia%20schreberi" TargetMode="External"/><Relationship Id="rId2882" Type="http://schemas.openxmlformats.org/officeDocument/2006/relationships/hyperlink" Target="http://www.burkemuseum.org/research-and-collections/botany-and-herbarium/collections/database/results.php?Genus=Cinna&amp;Species=latifolia&amp;SourcePage=search.php&amp;IncludeSynonyms=Y&amp;SortBy=DESC&amp;SortOrder=Year" TargetMode="External"/><Relationship Id="rId3519" Type="http://schemas.openxmlformats.org/officeDocument/2006/relationships/hyperlink" Target="http://www.burkemuseum.org/research-and-collections/botany-and-herbarium/collections/database/results.php?Genus=Ligusticum&amp;Species=apiifolium&amp;SourcePage=search.php&amp;IncludeSynonyms=Y&amp;SortBy=DESC&amp;SortOrder=Year" TargetMode="External"/><Relationship Id="rId3726" Type="http://schemas.openxmlformats.org/officeDocument/2006/relationships/hyperlink" Target="https://plants.usda.gov/core/profile?symbol=BIVU" TargetMode="External"/><Relationship Id="rId3933" Type="http://schemas.openxmlformats.org/officeDocument/2006/relationships/hyperlink" Target="https://plants.usda.gov/core/profile?symbol=ERUM" TargetMode="External"/><Relationship Id="rId647" Type="http://schemas.openxmlformats.org/officeDocument/2006/relationships/hyperlink" Target="https://en.wikipedia.org/wiki/Rorippa_palustris" TargetMode="External"/><Relationship Id="rId854" Type="http://schemas.openxmlformats.org/officeDocument/2006/relationships/hyperlink" Target="https://en.wikipedia.org/wiki/Minuartia" TargetMode="External"/><Relationship Id="rId1277" Type="http://schemas.openxmlformats.org/officeDocument/2006/relationships/hyperlink" Target="https://en.wikipedia.org/wiki/Penstemon" TargetMode="External"/><Relationship Id="rId1484" Type="http://schemas.openxmlformats.org/officeDocument/2006/relationships/hyperlink" Target="https://en.wikipedia.org/wiki/Tiarella_trifoliata" TargetMode="External"/><Relationship Id="rId1691" Type="http://schemas.openxmlformats.org/officeDocument/2006/relationships/hyperlink" Target="http://biology.burke.washington.edu/herbarium/imagecollection/taxon.php?Taxon=Erythronium%20oregonum" TargetMode="External"/><Relationship Id="rId2328" Type="http://schemas.openxmlformats.org/officeDocument/2006/relationships/hyperlink" Target="https://plants.usda.gov/core/profile?symbol=cape3" TargetMode="External"/><Relationship Id="rId2535" Type="http://schemas.openxmlformats.org/officeDocument/2006/relationships/hyperlink" Target="https://plants.usda.gov/core/profile?symbol=LONU2" TargetMode="External"/><Relationship Id="rId2742" Type="http://schemas.openxmlformats.org/officeDocument/2006/relationships/hyperlink" Target="http://www.burkemuseum.org/research-and-collections/botany-and-herbarium/collections/database/results.php?Genus=Amelanchier&amp;Species=alnifolia&amp;SourcePage=search.php&amp;IncludeSynonyms=Y&amp;SortBy=DESC&amp;SortOrder=Year" TargetMode="External"/><Relationship Id="rId5898" Type="http://schemas.openxmlformats.org/officeDocument/2006/relationships/hyperlink" Target="http://www.burkemuseum.org/research-and-collections/botany-and-herbarium/collections/database/results.php?Genus=Lupinus&amp;Species=lepidus&amp;SourcePage=search.php&amp;IncludeSynonyms=Y&amp;SortBy=DESC&amp;SortOrder=Year" TargetMode="External"/><Relationship Id="rId6949" Type="http://schemas.openxmlformats.org/officeDocument/2006/relationships/hyperlink" Target="http://biology.burke.washington.edu/herbarium/imagecollection/taxon.php?Taxon=Lemna%20trisulca" TargetMode="External"/><Relationship Id="rId507" Type="http://schemas.openxmlformats.org/officeDocument/2006/relationships/hyperlink" Target="https://en.wikipedia.org/wiki/Viola_langsdorffii" TargetMode="External"/><Relationship Id="rId714" Type="http://schemas.openxmlformats.org/officeDocument/2006/relationships/hyperlink" Target="https://en.wikipedia.org/wiki/Epipactis_gigantea" TargetMode="External"/><Relationship Id="rId921" Type="http://schemas.openxmlformats.org/officeDocument/2006/relationships/hyperlink" Target="https://en.wikipedia.org/wiki/Carex" TargetMode="External"/><Relationship Id="rId1137" Type="http://schemas.openxmlformats.org/officeDocument/2006/relationships/hyperlink" Target="https://en.wikipedia.org/wiki/Hordeum_brachyantherum" TargetMode="External"/><Relationship Id="rId1344" Type="http://schemas.openxmlformats.org/officeDocument/2006/relationships/hyperlink" Target="http://biology.burke.washington.edu/herbarium/imagecollectionnew/taxon.php?Taxon=Saxifraga%20cespitosa" TargetMode="External"/><Relationship Id="rId1551" Type="http://schemas.openxmlformats.org/officeDocument/2006/relationships/hyperlink" Target="https://en.wikipedia.org/wiki/Penstemon_davidsonii" TargetMode="External"/><Relationship Id="rId2602" Type="http://schemas.openxmlformats.org/officeDocument/2006/relationships/hyperlink" Target="http://plants.usda.gov/java/profile?symbol=ABPR" TargetMode="External"/><Relationship Id="rId5758" Type="http://schemas.openxmlformats.org/officeDocument/2006/relationships/hyperlink" Target="http://www.burkemuseum.org/research-and-collections/botany-and-herbarium/collections/database/results.php?Genus=Filipendula&amp;Species=occidentalis&amp;SourcePage=search.php&amp;IncludeSynonyms=Y&amp;SortBy=DESC&amp;SortOrder=Year" TargetMode="External"/><Relationship Id="rId5965" Type="http://schemas.openxmlformats.org/officeDocument/2006/relationships/hyperlink" Target="http://www.burkemuseum.org/research-and-collections/botany-and-herbarium/collections/database/results.php?Genus=Navarretia&amp;Species=intertexta&amp;SourcePage=search.php&amp;IncludeSynonyms=Y&amp;SortBy=DESC&amp;SortOrder=Year" TargetMode="External"/><Relationship Id="rId6809" Type="http://schemas.openxmlformats.org/officeDocument/2006/relationships/hyperlink" Target="http://biology.burke.washington.edu/herbarium/imagecollectionnew/taxon.php?Taxon=Collomia%20linearis" TargetMode="External"/><Relationship Id="rId50" Type="http://schemas.openxmlformats.org/officeDocument/2006/relationships/hyperlink" Target="http://biology.burke.washington.edu/herbarium/imagecollection/taxon.php?Taxon=Lonicera%20involucrata" TargetMode="External"/><Relationship Id="rId1204" Type="http://schemas.openxmlformats.org/officeDocument/2006/relationships/hyperlink" Target="http://biology.burke.washington.edu/herbarium/imagecollectionnew/taxon.php?Taxon=Stellaria%20crispa" TargetMode="External"/><Relationship Id="rId1411" Type="http://schemas.openxmlformats.org/officeDocument/2006/relationships/hyperlink" Target="http://biology.burke.washington.edu/herbarium/imagecollection/taxon.php?Taxon=Festuca%20roemeri" TargetMode="External"/><Relationship Id="rId4567" Type="http://schemas.openxmlformats.org/officeDocument/2006/relationships/hyperlink" Target="https://en.wikipedia.org/wiki/Amelanchier_alnifolia" TargetMode="External"/><Relationship Id="rId4774" Type="http://schemas.openxmlformats.org/officeDocument/2006/relationships/hyperlink" Target="https://en.wikipedia.org/wiki/Cardamine_pensylvanica" TargetMode="External"/><Relationship Id="rId5618" Type="http://schemas.openxmlformats.org/officeDocument/2006/relationships/hyperlink" Target="http://www.burkemuseum.org/research-and-collections/botany-and-herbarium/collections/database/results.php?Genus=Ceanothus&amp;Species=sanguineus&amp;SourcePage=search.php&amp;IncludeSynonyms=Y&amp;SortBy=DESC&amp;SortOrder=Year" TargetMode="External"/><Relationship Id="rId5825" Type="http://schemas.openxmlformats.org/officeDocument/2006/relationships/hyperlink" Target="http://www.burkemuseum.org/research-and-collections/botany-and-herbarium/collections/database/results.php?Genus=Hypericum&amp;Species=majus&amp;SourcePage=search.php&amp;IncludeSynonyms=Y&amp;SortBy=DESC&amp;SortOrder=Year" TargetMode="External"/><Relationship Id="rId7180" Type="http://schemas.openxmlformats.org/officeDocument/2006/relationships/hyperlink" Target="http://biology.burke.washington.edu/herbarium/imagecollection/taxon.php?Taxon=Rubus%20spectabilis" TargetMode="External"/><Relationship Id="rId3169" Type="http://schemas.openxmlformats.org/officeDocument/2006/relationships/hyperlink" Target="http://www.burkemuseum.org/research-and-collections/botany-and-herbarium/collections/database/results.php?Genus=Nuphar&amp;Species=polysepala&amp;SourcePage=search.php&amp;IncludeSynonyms=Y&amp;SortBy=DESC&amp;SortOrder=Year" TargetMode="External"/><Relationship Id="rId3376" Type="http://schemas.openxmlformats.org/officeDocument/2006/relationships/hyperlink" Target="http://www.burkemuseum.org/research-and-collections/botany-and-herbarium/collections/database/results.php?Genus=Stellaria&amp;Species=obtusa&amp;SourcePage=search.php&amp;IncludeSynonyms=Y&amp;SortBy=DESC&amp;SortOrder=Year" TargetMode="External"/><Relationship Id="rId3583" Type="http://schemas.openxmlformats.org/officeDocument/2006/relationships/hyperlink" Target="http://www.burkemuseum.org/research-and-collections/botany-and-herbarium/collections/database/results.php?Genus=Sanicula&amp;Species=bipinnatifida&amp;SourcePage=search.php&amp;IncludeSynonyms=Y&amp;SortBy=DESC&amp;SortOrder=Year" TargetMode="External"/><Relationship Id="rId4427" Type="http://schemas.openxmlformats.org/officeDocument/2006/relationships/hyperlink" Target="https://plants.usda.gov/core/profile?symbol=SPPO7" TargetMode="External"/><Relationship Id="rId4981" Type="http://schemas.openxmlformats.org/officeDocument/2006/relationships/hyperlink" Target="https://en.wikipedia.org/wiki/Galium_palustre" TargetMode="External"/><Relationship Id="rId7040" Type="http://schemas.openxmlformats.org/officeDocument/2006/relationships/hyperlink" Target="http://biology.burke.washington.edu/herbarium/imagecollectionnew/taxon.php?Taxon=Bidens%20frondosa" TargetMode="External"/><Relationship Id="rId297" Type="http://schemas.openxmlformats.org/officeDocument/2006/relationships/hyperlink" Target="http://biology.burke.washington.edu/herbarium/imagecollection/taxon.php?Taxon=Apocynum%20cannabinum" TargetMode="External"/><Relationship Id="rId2185" Type="http://schemas.openxmlformats.org/officeDocument/2006/relationships/hyperlink" Target="https://plants.usda.gov/core/profile?symbol=EQPA" TargetMode="External"/><Relationship Id="rId2392" Type="http://schemas.openxmlformats.org/officeDocument/2006/relationships/hyperlink" Target="http://plants.usda.gov/java/profile?symbol=ORPI2" TargetMode="External"/><Relationship Id="rId3029" Type="http://schemas.openxmlformats.org/officeDocument/2006/relationships/hyperlink" Target="http://www.burkemuseum.org/research-and-collections/botany-and-herbarium/collections/database/results.php?Genus=Helenium&amp;Species=autumnale&amp;SourcePage=search.php&amp;IncludeSynonyms=Y&amp;SortBy=DESC&amp;SortOrder=Year" TargetMode="External"/><Relationship Id="rId3236" Type="http://schemas.openxmlformats.org/officeDocument/2006/relationships/hyperlink" Target="http://www.burkemuseum.org/research-and-collections/botany-and-herbarium/collections/database/results.php?Genus=Potamogeton&amp;Species=epihydrus&amp;SourcePage=search.php&amp;IncludeSynonyms=Y&amp;SortBy=DESC&amp;SortOrder=Year" TargetMode="External"/><Relationship Id="rId3790" Type="http://schemas.openxmlformats.org/officeDocument/2006/relationships/hyperlink" Target="https://plants.usda.gov/core/profile?symbol=CAPL6" TargetMode="External"/><Relationship Id="rId4634" Type="http://schemas.openxmlformats.org/officeDocument/2006/relationships/hyperlink" Target="http://www.burkemuseum.org/research-and-collections/botany-and-herbarium/collections/database/results.php?Genus=Aquilegia&amp;Species=formosa&amp;SourcePage=search.php&amp;IncludeSynonyms=Y&amp;SortBy=DESC&amp;SortOrder=Year" TargetMode="External"/><Relationship Id="rId4841" Type="http://schemas.openxmlformats.org/officeDocument/2006/relationships/hyperlink" Target="https://en.wikipedia.org/wiki/Cirsium_brevistylum" TargetMode="External"/><Relationship Id="rId6599" Type="http://schemas.openxmlformats.org/officeDocument/2006/relationships/hyperlink" Target="http://biology.burke.washington.edu/herbarium/imagecollection/taxon.php?Taxon=Penstemon%20cardwellii" TargetMode="External"/><Relationship Id="rId157" Type="http://schemas.openxmlformats.org/officeDocument/2006/relationships/hyperlink" Target="http://biology.burke.washington.edu/herbarium/imagecollection/taxon.php?Taxon=Najas%20flexilis" TargetMode="External"/><Relationship Id="rId364" Type="http://schemas.openxmlformats.org/officeDocument/2006/relationships/hyperlink" Target="http://biology.burke.washington.edu/herbarium/imagecollectionnew/taxon.php?Taxon=Carex%20pachystachya" TargetMode="External"/><Relationship Id="rId2045" Type="http://schemas.openxmlformats.org/officeDocument/2006/relationships/hyperlink" Target="https://plants.usda.gov/core/profile?symbol=LUOR" TargetMode="External"/><Relationship Id="rId3443" Type="http://schemas.openxmlformats.org/officeDocument/2006/relationships/hyperlink" Target="http://www.burkemuseum.org/research-and-collections/botany-and-herbarium/collections/database/results.php?Genus=Woodsia&amp;Species=oregana&amp;SourcePage=search.php&amp;IncludeSynonyms=Y&amp;SortBy=DESC&amp;SortOrder=Year" TargetMode="External"/><Relationship Id="rId3650" Type="http://schemas.openxmlformats.org/officeDocument/2006/relationships/hyperlink" Target="https://plants.usda.gov/core/profile?symbol=ALAM2" TargetMode="External"/><Relationship Id="rId4701" Type="http://schemas.openxmlformats.org/officeDocument/2006/relationships/hyperlink" Target="https://en.wikipedia.org/wiki/Arbutus_menziesii" TargetMode="External"/><Relationship Id="rId571" Type="http://schemas.openxmlformats.org/officeDocument/2006/relationships/hyperlink" Target="https://en.wikipedia.org/wiki/Stellaria_crispa" TargetMode="External"/><Relationship Id="rId2252" Type="http://schemas.openxmlformats.org/officeDocument/2006/relationships/hyperlink" Target="https://plants.usda.gov/core/profile?symbol=caso2" TargetMode="External"/><Relationship Id="rId3303" Type="http://schemas.openxmlformats.org/officeDocument/2006/relationships/hyperlink" Target="http://www.burkemuseum.org/research-and-collections/botany-and-herbarium/collections/database/results.php?Genus=Salicornia&amp;Species=depressa&amp;SourcePage=search.php&amp;IncludeSynonyms=Y&amp;SortBy=DESC&amp;SortOrder=Year" TargetMode="External"/><Relationship Id="rId3510" Type="http://schemas.openxmlformats.org/officeDocument/2006/relationships/hyperlink" Target="http://www.burkemuseum.org/research-and-collections/botany-and-herbarium/collections/database/results.php?Genus=Huperzia&amp;Species=occidentalis&amp;SourcePage=search.php&amp;IncludeSynonyms=Y&amp;SortBy=DESC&amp;SortOrder=Year" TargetMode="External"/><Relationship Id="rId6459" Type="http://schemas.openxmlformats.org/officeDocument/2006/relationships/hyperlink" Target="http://biology.burke.washington.edu/herbarium/imagecollectionnew/taxon.php?Taxon=Delphinium%20trolliifolium" TargetMode="External"/><Relationship Id="rId6666" Type="http://schemas.openxmlformats.org/officeDocument/2006/relationships/hyperlink" Target="http://biology.burke.washington.edu/herbarium/imagecollection/taxon.php?Taxon=Ribes%20oxyacanthoides" TargetMode="External"/><Relationship Id="rId6873" Type="http://schemas.openxmlformats.org/officeDocument/2006/relationships/hyperlink" Target="http://biology.burke.washington.edu/herbarium/imagecollectionnew/taxon.php?Taxon=Utricularia%20vulgaris" TargetMode="External"/><Relationship Id="rId224" Type="http://schemas.openxmlformats.org/officeDocument/2006/relationships/hyperlink" Target="http://biology.burke.washington.edu/herbarium/imagecollection/taxon.php?Taxon=Ranunculus%20uncinatus" TargetMode="External"/><Relationship Id="rId431" Type="http://schemas.openxmlformats.org/officeDocument/2006/relationships/hyperlink" Target="http://biology.burke.washington.edu/herbarium/imagecollectionnew/taxon.php?Taxon=Ceanothus%20sanguineus" TargetMode="External"/><Relationship Id="rId1061" Type="http://schemas.openxmlformats.org/officeDocument/2006/relationships/hyperlink" Target="https://en.wikipedia.org/wiki/Moneses" TargetMode="External"/><Relationship Id="rId2112" Type="http://schemas.openxmlformats.org/officeDocument/2006/relationships/hyperlink" Target="http://plants.usda.gov/java/profile?symbol=HODE2" TargetMode="External"/><Relationship Id="rId5268" Type="http://schemas.openxmlformats.org/officeDocument/2006/relationships/hyperlink" Target="https://en.wikipedia.org/wiki/Potamogeton_gramineus" TargetMode="External"/><Relationship Id="rId5475" Type="http://schemas.openxmlformats.org/officeDocument/2006/relationships/hyperlink" Target="https://en.wikipedia.org/wiki/Triodanis_biflora" TargetMode="External"/><Relationship Id="rId5682" Type="http://schemas.openxmlformats.org/officeDocument/2006/relationships/hyperlink" Target="http://www.burkemuseum.org/research-and-collections/botany-and-herbarium/collections/database/results.php?Genus=Darlingtonia&amp;Species=californica&amp;SourcePage=search.php&amp;IncludeSynonyms=Y&amp;SortBy=DESC&amp;SortOrder=Year" TargetMode="External"/><Relationship Id="rId6319" Type="http://schemas.openxmlformats.org/officeDocument/2006/relationships/hyperlink" Target="http://www.burkemuseum.org/research-and-collections/botany-and-herbarium/collections/database/results.php?Genus=Woodsia&amp;Species=oregana&amp;SourcePage=search.php&amp;IncludeSynonyms=Y&amp;SortBy=DESC&amp;SortOrder=Year" TargetMode="External"/><Relationship Id="rId6526" Type="http://schemas.openxmlformats.org/officeDocument/2006/relationships/hyperlink" Target="http://biology.burke.washington.edu/herbarium/imagecollection/taxon.php?Taxon=Heuchera%20chlorantha" TargetMode="External"/><Relationship Id="rId6733" Type="http://schemas.openxmlformats.org/officeDocument/2006/relationships/hyperlink" Target="http://biology.burke.washington.edu/herbarium/imagecollection/taxon.php?Taxon=Melica%20smithii" TargetMode="External"/><Relationship Id="rId6940" Type="http://schemas.openxmlformats.org/officeDocument/2006/relationships/hyperlink" Target="http://biology.burke.washington.edu/herbarium/imagecollection/taxon.php?Taxon=Ludwigia%20palustris" TargetMode="External"/><Relationship Id="rId1878" Type="http://schemas.openxmlformats.org/officeDocument/2006/relationships/hyperlink" Target="http://plants.usda.gov/java/profile?symbol=RHAL3" TargetMode="External"/><Relationship Id="rId2929" Type="http://schemas.openxmlformats.org/officeDocument/2006/relationships/hyperlink" Target="http://www.burkemuseum.org/research-and-collections/botany-and-herbarium/collections/database/results.php?Genus=Darmera&amp;Species=peltata&amp;SourcePage=search.php&amp;IncludeSynonyms=Y&amp;SortBy=DESC&amp;SortOrder=Year" TargetMode="External"/><Relationship Id="rId4077" Type="http://schemas.openxmlformats.org/officeDocument/2006/relationships/hyperlink" Target="https://plants.usda.gov/core/profile?symbol=LIDU" TargetMode="External"/><Relationship Id="rId4284" Type="http://schemas.openxmlformats.org/officeDocument/2006/relationships/hyperlink" Target="https://plants.usda.gov/core/profile?symbol=PSEL" TargetMode="External"/><Relationship Id="rId4491" Type="http://schemas.openxmlformats.org/officeDocument/2006/relationships/hyperlink" Target="https://plants.usda.gov/core/profile?symbol=VAME" TargetMode="External"/><Relationship Id="rId5128" Type="http://schemas.openxmlformats.org/officeDocument/2006/relationships/hyperlink" Target="https://en.wikipedia.org/wiki/Meconella_oregana" TargetMode="External"/><Relationship Id="rId5335" Type="http://schemas.openxmlformats.org/officeDocument/2006/relationships/hyperlink" Target="https://en.wikipedia.org/wiki/Rubus_pedatus" TargetMode="External"/><Relationship Id="rId5542" Type="http://schemas.openxmlformats.org/officeDocument/2006/relationships/hyperlink" Target="https://en.wikipedia.org/wiki/Iris_tenax" TargetMode="External"/><Relationship Id="rId1738" Type="http://schemas.openxmlformats.org/officeDocument/2006/relationships/hyperlink" Target="https://plants.usda.gov/core/profile?symbol=UTIN2" TargetMode="External"/><Relationship Id="rId3093" Type="http://schemas.openxmlformats.org/officeDocument/2006/relationships/hyperlink" Target="http://www.burkemuseum.org/research-and-collections/botany-and-herbarium/collections/database/results.php?Genus=Lindernia&amp;Species=dubia&amp;SourcePage=search.php&amp;IncludeSynonyms=Y&amp;SortBy=DESC&amp;SortOrder=Year" TargetMode="External"/><Relationship Id="rId4144" Type="http://schemas.openxmlformats.org/officeDocument/2006/relationships/hyperlink" Target="https://plants.usda.gov/core/profile?symbol=MOUN2" TargetMode="External"/><Relationship Id="rId4351" Type="http://schemas.openxmlformats.org/officeDocument/2006/relationships/hyperlink" Target="https://plants.usda.gov/core/profile?symbol=SACA6" TargetMode="External"/><Relationship Id="rId5402" Type="http://schemas.openxmlformats.org/officeDocument/2006/relationships/hyperlink" Target="https://en.wikipedia.org/wiki/Sidalcea_hirtipes" TargetMode="External"/><Relationship Id="rId6800" Type="http://schemas.openxmlformats.org/officeDocument/2006/relationships/hyperlink" Target="http://biology.burke.washington.edu/herbarium/imagecollectionnew/taxon.php?Taxon=Cyperus%20bipartitus" TargetMode="External"/><Relationship Id="rId1945" Type="http://schemas.openxmlformats.org/officeDocument/2006/relationships/hyperlink" Target="http://plants.usda.gov/java/profile?symbol=PLEL" TargetMode="External"/><Relationship Id="rId3160" Type="http://schemas.openxmlformats.org/officeDocument/2006/relationships/hyperlink" Target="http://www.burkemuseum.org/research-and-collections/botany-and-herbarium/collections/database/results.php?Genus=Myriophyllum&amp;Species=sibiricum&amp;SourcePage=search.php&amp;IncludeSynonyms=Y&amp;SortBy=DESC&amp;SortOrder=Year" TargetMode="External"/><Relationship Id="rId4004" Type="http://schemas.openxmlformats.org/officeDocument/2006/relationships/hyperlink" Target="https://plants.usda.gov/core/profile?symbol=HEGL5" TargetMode="External"/><Relationship Id="rId4211" Type="http://schemas.openxmlformats.org/officeDocument/2006/relationships/hyperlink" Target="https://plants.usda.gov/core/profile?symbol=PEFR5" TargetMode="External"/><Relationship Id="rId1805" Type="http://schemas.openxmlformats.org/officeDocument/2006/relationships/hyperlink" Target="http://plants.usda.gov/java/profile?symbol=SIME" TargetMode="External"/><Relationship Id="rId3020" Type="http://schemas.openxmlformats.org/officeDocument/2006/relationships/hyperlink" Target="http://www.burkemuseum.org/research-and-collections/botany-and-herbarium/collections/database/results.php?Genus=Glyceria&amp;Species=elata&amp;SourcePage=search.php&amp;IncludeSynonyms=Y&amp;SortBy=DESC&amp;SortOrder=Year" TargetMode="External"/><Relationship Id="rId6176" Type="http://schemas.openxmlformats.org/officeDocument/2006/relationships/hyperlink" Target="http://www.burkemuseum.org/research-and-collections/botany-and-herbarium/collections/database/results.php?Genus=Sarcocornia&amp;Species=perennis&amp;SourcePage=search.php&amp;IncludeSynonyms=Y&amp;SortBy=DESC&amp;SortOrder=Year" TargetMode="External"/><Relationship Id="rId7227" Type="http://schemas.openxmlformats.org/officeDocument/2006/relationships/hyperlink" Target="http://biology.burke.washington.edu/herbarium/imagecollection/taxon.php?Taxon=Polystichum%20andersonii" TargetMode="External"/><Relationship Id="rId3977" Type="http://schemas.openxmlformats.org/officeDocument/2006/relationships/hyperlink" Target="https://plants.usda.gov/core/profile?symbol=GEBI2" TargetMode="External"/><Relationship Id="rId6036" Type="http://schemas.openxmlformats.org/officeDocument/2006/relationships/hyperlink" Target="http://www.burkemuseum.org/research-and-collections/botany-and-herbarium/collections/database/results.php?Genus=Platanthera&amp;Species=stricta&amp;SourcePage=search.php&amp;IncludeSynonyms=Y&amp;SortBy=DESC&amp;SortOrder=Year" TargetMode="External"/><Relationship Id="rId6383" Type="http://schemas.openxmlformats.org/officeDocument/2006/relationships/hyperlink" Target="http://biology.burke.washington.edu/herbarium/imagecollectionnew/taxon.php?Taxon=Asplenium%20trichomanes" TargetMode="External"/><Relationship Id="rId6590" Type="http://schemas.openxmlformats.org/officeDocument/2006/relationships/hyperlink" Target="http://biology.burke.washington.edu/herbarium/imagecollection/taxon.php?Taxon=Oplopanax%20horridus" TargetMode="External"/><Relationship Id="rId898" Type="http://schemas.openxmlformats.org/officeDocument/2006/relationships/hyperlink" Target="http://en.wikipedia.org/wiki/Clarkia_amoena" TargetMode="External"/><Relationship Id="rId2579" Type="http://schemas.openxmlformats.org/officeDocument/2006/relationships/hyperlink" Target="http://plants.usda.gov/java/profile?symbol=CAIN17" TargetMode="External"/><Relationship Id="rId2786" Type="http://schemas.openxmlformats.org/officeDocument/2006/relationships/hyperlink" Target="http://www.burkemuseum.org/research-and-collections/botany-and-herbarium/collections/database/results.php?Genus=Azolla&amp;Species=mexicana&amp;SourcePage=search.php&amp;IncludeSynonyms=Y&amp;SortBy=DESC&amp;SortOrder=Year" TargetMode="External"/><Relationship Id="rId2993" Type="http://schemas.openxmlformats.org/officeDocument/2006/relationships/hyperlink" Target="http://www.burkemuseum.org/research-and-collections/botany-and-herbarium/collections/database/results.php?Genus=Eutrochium&amp;Species=maculatum&amp;SourcePage=search.php&amp;IncludeSynonyms=Y&amp;SortBy=DESC&amp;SortOrder=Year" TargetMode="External"/><Relationship Id="rId3837" Type="http://schemas.openxmlformats.org/officeDocument/2006/relationships/hyperlink" Target="https://plants.usda.gov/core/profile?symbol=CLRU2" TargetMode="External"/><Relationship Id="rId5192" Type="http://schemas.openxmlformats.org/officeDocument/2006/relationships/hyperlink" Target="https://en.wikipedia.org/wiki/Oxytropis_campestris" TargetMode="External"/><Relationship Id="rId6243" Type="http://schemas.openxmlformats.org/officeDocument/2006/relationships/hyperlink" Target="http://www.burkemuseum.org/research-and-collections/botany-and-herbarium/collections/database/results.php?Genus=Symphoricarpos&amp;Species=mollis&amp;SourcePage=search.php&amp;IncludeSynonyms=Y&amp;SortBy=DESC&amp;SortOrder=Year" TargetMode="External"/><Relationship Id="rId6450" Type="http://schemas.openxmlformats.org/officeDocument/2006/relationships/hyperlink" Target="http://biology.burke.washington.edu/herbarium/imagecollectionnew/taxon.php?Taxon=Danthonia%20californica" TargetMode="External"/><Relationship Id="rId758" Type="http://schemas.openxmlformats.org/officeDocument/2006/relationships/hyperlink" Target="https://en.wikipedia.org/wiki/Cyperus_bipartitus" TargetMode="External"/><Relationship Id="rId965" Type="http://schemas.openxmlformats.org/officeDocument/2006/relationships/hyperlink" Target="http://en.wikipedia.org/wiki/Calamagrostis_canadensis" TargetMode="External"/><Relationship Id="rId1388" Type="http://schemas.openxmlformats.org/officeDocument/2006/relationships/hyperlink" Target="http://biology.burke.washington.edu/herbarium/imagecollection/taxon.php?Taxon=Oemleria%20cerasiformis" TargetMode="External"/><Relationship Id="rId1595" Type="http://schemas.openxmlformats.org/officeDocument/2006/relationships/hyperlink" Target="http://en.wikipedia.org/wiki/Abies_amabilis" TargetMode="External"/><Relationship Id="rId2439" Type="http://schemas.openxmlformats.org/officeDocument/2006/relationships/hyperlink" Target="http://plants.usda.gov/java/profile?symbol=ABLA" TargetMode="External"/><Relationship Id="rId2646" Type="http://schemas.openxmlformats.org/officeDocument/2006/relationships/hyperlink" Target="http://biology.burke.washington.edu/herbarium/imagecollectionnew/taxon.php?Taxon=Honckenya%20peploides" TargetMode="External"/><Relationship Id="rId2853" Type="http://schemas.openxmlformats.org/officeDocument/2006/relationships/hyperlink" Target="http://www.burkemuseum.org/research-and-collections/botany-and-herbarium/collections/database/results.php?Genus=Carex&amp;Species=rostrata&amp;SourcePage=search.php&amp;IncludeSynonyms=Y&amp;SortBy=DESC&amp;SortOrder=Year" TargetMode="External"/><Relationship Id="rId3904" Type="http://schemas.openxmlformats.org/officeDocument/2006/relationships/hyperlink" Target="https://plants.usda.gov/core/profile?symbol=DUAR3" TargetMode="External"/><Relationship Id="rId5052" Type="http://schemas.openxmlformats.org/officeDocument/2006/relationships/hyperlink" Target="https://en.wikipedia.org/wiki/Juniperus_communis" TargetMode="External"/><Relationship Id="rId6103" Type="http://schemas.openxmlformats.org/officeDocument/2006/relationships/hyperlink" Target="http://www.burkemuseum.org/research-and-collections/botany-and-herbarium/collections/database/results.php?Genus=Ranunculus&amp;Species=sceleratus&amp;SourcePage=search.php&amp;IncludeSynonyms=Y&amp;SortBy=DESC&amp;SortOrder=Year" TargetMode="External"/><Relationship Id="rId6310" Type="http://schemas.openxmlformats.org/officeDocument/2006/relationships/hyperlink" Target="http://www.burkemuseum.org/research-and-collections/botany-and-herbarium/collections/database/results.php?Genus=Viola&amp;Species=canadensis&amp;SourcePage=search.php&amp;IncludeSynonyms=Y&amp;SortBy=DESC&amp;SortOrder=Year" TargetMode="External"/><Relationship Id="rId94" Type="http://schemas.openxmlformats.org/officeDocument/2006/relationships/hyperlink" Target="http://biology.burke.washington.edu/herbarium/imagecollection/taxon.php?Taxon=Rosa%20nutkana" TargetMode="External"/><Relationship Id="rId618" Type="http://schemas.openxmlformats.org/officeDocument/2006/relationships/hyperlink" Target="https://en.wikipedia.org/wiki/Sambucus_cerulea" TargetMode="External"/><Relationship Id="rId825" Type="http://schemas.openxmlformats.org/officeDocument/2006/relationships/hyperlink" Target="https://en.wikipedia.org/wiki/Orobanche_fasciculata" TargetMode="External"/><Relationship Id="rId1248" Type="http://schemas.openxmlformats.org/officeDocument/2006/relationships/hyperlink" Target="http://biology.burke.washington.edu/herbarium/imagecollectionnew/taxon.php?Taxon=Erythronium%20quinaultense" TargetMode="External"/><Relationship Id="rId1455" Type="http://schemas.openxmlformats.org/officeDocument/2006/relationships/hyperlink" Target="http://biology.burke.washington.edu/herbarium/imagecollectionnew/taxon.php?Taxon=Delphinium%20nuttallii" TargetMode="External"/><Relationship Id="rId1662" Type="http://schemas.openxmlformats.org/officeDocument/2006/relationships/hyperlink" Target="https://en.wikipedia.org/wiki/Platanthera_stricta" TargetMode="External"/><Relationship Id="rId2506" Type="http://schemas.openxmlformats.org/officeDocument/2006/relationships/hyperlink" Target="http://plants.usda.gov/java/profile?symbol=PHLE4" TargetMode="External"/><Relationship Id="rId5869" Type="http://schemas.openxmlformats.org/officeDocument/2006/relationships/hyperlink" Target="http://www.burkemuseum.org/research-and-collections/botany-and-herbarium/collections/database/results.php?Genus=Leptarrhena&amp;Species=pyrolifolia&amp;SourcePage=search.php&amp;IncludeSynonyms=Y&amp;SortBy=DESC&amp;SortOrder=Year" TargetMode="External"/><Relationship Id="rId1108" Type="http://schemas.openxmlformats.org/officeDocument/2006/relationships/hyperlink" Target="https://en.wikipedia.org/wiki/Larix_occidentalis" TargetMode="External"/><Relationship Id="rId1315" Type="http://schemas.openxmlformats.org/officeDocument/2006/relationships/hyperlink" Target="http://biology.burke.washington.edu/herbarium/imagecollection/taxon.php?Taxon=Salix%20exigua" TargetMode="External"/><Relationship Id="rId2713" Type="http://schemas.openxmlformats.org/officeDocument/2006/relationships/hyperlink" Target="http://www.fancyfrondsnursery.com/ferns/soft-shield-fern-polystichum-setiferum" TargetMode="External"/><Relationship Id="rId2920" Type="http://schemas.openxmlformats.org/officeDocument/2006/relationships/hyperlink" Target="http://www.burkemuseum.org/research-and-collections/botany-and-herbarium/collections/database/results.php?Genus=Cuscuta&amp;Species=cephalanthi&amp;SourcePage=search.php&amp;IncludeSynonyms=Y&amp;SortBy=DESC&amp;SortOrder=Year" TargetMode="External"/><Relationship Id="rId4678" Type="http://schemas.openxmlformats.org/officeDocument/2006/relationships/hyperlink" Target="http://www.burkemuseum.org/research-and-collections/botany-and-herbarium/collections/database/results.php?Genus=Botrychium&amp;Species=minganense&amp;SourcePage=search.php&amp;IncludeSynonyms=Y&amp;SortBy=DESC&amp;SortOrder=Year" TargetMode="External"/><Relationship Id="rId7084" Type="http://schemas.openxmlformats.org/officeDocument/2006/relationships/hyperlink" Target="http://biology.burke.washington.edu/herbarium/imagecollectionnew/taxon.php?Taxon=Vancouveria%20hexandra" TargetMode="External"/><Relationship Id="rId1522" Type="http://schemas.openxmlformats.org/officeDocument/2006/relationships/hyperlink" Target="https://plants.usda.gov/core/profile?symbol=PRVID" TargetMode="External"/><Relationship Id="rId4885" Type="http://schemas.openxmlformats.org/officeDocument/2006/relationships/hyperlink" Target="https://en.wikipedia.org/wiki/Cystopteris_fragilis" TargetMode="External"/><Relationship Id="rId5729" Type="http://schemas.openxmlformats.org/officeDocument/2006/relationships/hyperlink" Target="http://www.burkemuseum.org/research-and-collections/botany-and-herbarium/collections/database/results.php?Genus=Equisetum&amp;Species=variegatum&amp;SourcePage=search.php&amp;IncludeSynonyms=Y&amp;SortBy=DESC&amp;SortOrder=Year" TargetMode="External"/><Relationship Id="rId5936" Type="http://schemas.openxmlformats.org/officeDocument/2006/relationships/hyperlink" Target="http://www.burkemuseum.org/research-and-collections/botany-and-herbarium/collections/database/results.php?Genus=Micranthes&amp;Species=occidentalis&amp;SourcePage=search.php&amp;IncludeSynonyms=Y&amp;SortBy=DESC&amp;SortOrder=Year" TargetMode="External"/><Relationship Id="rId7151" Type="http://schemas.openxmlformats.org/officeDocument/2006/relationships/hyperlink" Target="http://biology.burke.washington.edu/herbarium/imagecollectionnew/taxon.php?Taxon=Saxifraga%20mertensiana" TargetMode="External"/><Relationship Id="rId21" Type="http://schemas.openxmlformats.org/officeDocument/2006/relationships/hyperlink" Target="https://en.wikipedia.org/wiki/Asteraceae" TargetMode="External"/><Relationship Id="rId2089" Type="http://schemas.openxmlformats.org/officeDocument/2006/relationships/hyperlink" Target="http://plants.usda.gov/java/profile?symbol=JUTE" TargetMode="External"/><Relationship Id="rId3487" Type="http://schemas.openxmlformats.org/officeDocument/2006/relationships/hyperlink" Target="http://www.burkemuseum.org/research-and-collections/botany-and-herbarium/collections/database/results.php?Genus=Cornus&amp;Species=unalaschkensis&amp;SourcePage=search.php&amp;IncludeSynonyms=Y&amp;SortBy=DESC&amp;SortOrder=Year" TargetMode="External"/><Relationship Id="rId3694" Type="http://schemas.openxmlformats.org/officeDocument/2006/relationships/hyperlink" Target="https://plants.usda.gov/core/profile?symbol=ARMA6" TargetMode="External"/><Relationship Id="rId4538" Type="http://schemas.openxmlformats.org/officeDocument/2006/relationships/hyperlink" Target="https://en.wikipedia.org/wiki/Achlys_triphylla" TargetMode="External"/><Relationship Id="rId4745" Type="http://schemas.openxmlformats.org/officeDocument/2006/relationships/hyperlink" Target="https://en.wikipedia.org/wiki/Botrychium_virginianum" TargetMode="External"/><Relationship Id="rId4952" Type="http://schemas.openxmlformats.org/officeDocument/2006/relationships/hyperlink" Target="https://en.wikipedia.org/wiki/Erythranthe_dentata" TargetMode="External"/><Relationship Id="rId2296" Type="http://schemas.openxmlformats.org/officeDocument/2006/relationships/hyperlink" Target="http://plants.usda.gov/java/profile?symbol=CAVU2" TargetMode="External"/><Relationship Id="rId3347" Type="http://schemas.openxmlformats.org/officeDocument/2006/relationships/hyperlink" Target="http://www.burkemuseum.org/research-and-collections/botany-and-herbarium/collections/database/results.php?Genus=Sidalcea&amp;Species=hirtipes&amp;SourcePage=search.php&amp;IncludeSynonyms=Y&amp;SortBy=DESC&amp;SortOrder=Year" TargetMode="External"/><Relationship Id="rId3554" Type="http://schemas.openxmlformats.org/officeDocument/2006/relationships/hyperlink" Target="http://www.burkemuseum.org/research-and-collections/botany-and-herbarium/collections/database/results.php?Genus=Platanthera&amp;Species=chorisiana&amp;SourcePage=search.php&amp;IncludeSynonyms=Y&amp;SortBy=DESC&amp;SortOrder=Year" TargetMode="External"/><Relationship Id="rId3761" Type="http://schemas.openxmlformats.org/officeDocument/2006/relationships/hyperlink" Target="https://plants.usda.gov/core/profile?symbol=cape3" TargetMode="External"/><Relationship Id="rId4605" Type="http://schemas.openxmlformats.org/officeDocument/2006/relationships/hyperlink" Target="http://www.burkemuseum.org/research-and-collections/botany-and-herbarium/collections/database/results.php?Genus=Allotropa&amp;Species=virgata&amp;SourcePage=search.php&amp;IncludeSynonyms=Y&amp;SortBy=DESC&amp;SortOrder=Year" TargetMode="External"/><Relationship Id="rId4812" Type="http://schemas.openxmlformats.org/officeDocument/2006/relationships/hyperlink" Target="https://en.wikipedia.org/wiki/Carex_vesicaria" TargetMode="External"/><Relationship Id="rId7011" Type="http://schemas.openxmlformats.org/officeDocument/2006/relationships/hyperlink" Target="http://biology.burke.washington.edu/herbarium/imagecollectionnew/taxon.php?Taxon=Circaea%20alpina" TargetMode="External"/><Relationship Id="rId268" Type="http://schemas.openxmlformats.org/officeDocument/2006/relationships/hyperlink" Target="http://biology.burke.washington.edu/herbarium/imagecollection/taxon.php?Taxon=Puccinellia%20nuttalliana" TargetMode="External"/><Relationship Id="rId475" Type="http://schemas.openxmlformats.org/officeDocument/2006/relationships/hyperlink" Target="http://biology.burke.washington.edu/herbarium/imagecollectionnew/taxon.php?Taxon=Viburnum%20ellipticum" TargetMode="External"/><Relationship Id="rId682" Type="http://schemas.openxmlformats.org/officeDocument/2006/relationships/hyperlink" Target="https://en.wikipedia.org/wiki/Prenanthes" TargetMode="External"/><Relationship Id="rId2156" Type="http://schemas.openxmlformats.org/officeDocument/2006/relationships/hyperlink" Target="http://plants.usda.gov/core/profile?symbol=FRVI" TargetMode="External"/><Relationship Id="rId2363" Type="http://schemas.openxmlformats.org/officeDocument/2006/relationships/hyperlink" Target="http://plants.usda.gov/java/profile?symbol=BEGL" TargetMode="External"/><Relationship Id="rId2570" Type="http://schemas.openxmlformats.org/officeDocument/2006/relationships/hyperlink" Target="http://plants.usda.gov/java/profile?symbol=CONU4" TargetMode="External"/><Relationship Id="rId3207" Type="http://schemas.openxmlformats.org/officeDocument/2006/relationships/hyperlink" Target="http://www.burkemuseum.org/research-and-collections/botany-and-herbarium/collections/database/results.php?Genus=Pityopus&amp;Species=californica&amp;SourcePage=search.php&amp;IncludeSynonyms=Y&amp;SortBy=DESC&amp;SortOrder=Year" TargetMode="External"/><Relationship Id="rId3414" Type="http://schemas.openxmlformats.org/officeDocument/2006/relationships/hyperlink" Target="http://www.burkemuseum.org/research-and-collections/botany-and-herbarium/collections/database/results.php?Genus=Typha&amp;Species=angustifolia&amp;SourcePage=search.php&amp;IncludeSynonyms=Y&amp;SortBy=DESC&amp;SortOrder=Year" TargetMode="External"/><Relationship Id="rId3621" Type="http://schemas.openxmlformats.org/officeDocument/2006/relationships/hyperlink" Target="https://en.wikipedia.org/wiki/Abies_grandis" TargetMode="External"/><Relationship Id="rId6777" Type="http://schemas.openxmlformats.org/officeDocument/2006/relationships/hyperlink" Target="http://biology.burke.washington.edu/herbarium/imagecollection/taxon.php?Taxon=Geranium%20carolinianum" TargetMode="External"/><Relationship Id="rId6984" Type="http://schemas.openxmlformats.org/officeDocument/2006/relationships/hyperlink" Target="http://biology.burke.washington.edu/herbarium/imagecollection/taxon.php?Taxon=Equisetum%20fluviatile" TargetMode="External"/><Relationship Id="rId128" Type="http://schemas.openxmlformats.org/officeDocument/2006/relationships/hyperlink" Target="http://en.wikipedia.org/wiki/Sequoiadendron_giganteum" TargetMode="External"/><Relationship Id="rId335" Type="http://schemas.openxmlformats.org/officeDocument/2006/relationships/hyperlink" Target="http://biology.burke.washington.edu/herbarium/imagecollectionnew/taxon.php?Taxon=Campanula%20scouleri" TargetMode="External"/><Relationship Id="rId542" Type="http://schemas.openxmlformats.org/officeDocument/2006/relationships/hyperlink" Target="https://en.wikipedia.org/wiki/Trifolium_willdenovii" TargetMode="External"/><Relationship Id="rId1172" Type="http://schemas.openxmlformats.org/officeDocument/2006/relationships/hyperlink" Target="https://en.wikipedia.org/wiki/Heterotheca_villosa" TargetMode="External"/><Relationship Id="rId2016" Type="http://schemas.openxmlformats.org/officeDocument/2006/relationships/hyperlink" Target="https://plants.usda.gov/core/profile?symbol=SAOC4" TargetMode="External"/><Relationship Id="rId2223" Type="http://schemas.openxmlformats.org/officeDocument/2006/relationships/hyperlink" Target="http://plants.usda.gov/java/profile?symbol=DEGL3" TargetMode="External"/><Relationship Id="rId2430" Type="http://schemas.openxmlformats.org/officeDocument/2006/relationships/hyperlink" Target="http://plants.usda.gov/java/profile?symbol=ADBI" TargetMode="External"/><Relationship Id="rId5379" Type="http://schemas.openxmlformats.org/officeDocument/2006/relationships/hyperlink" Target="https://en.wikipedia.org/wiki/Saxifraga_mertensiana" TargetMode="External"/><Relationship Id="rId5586" Type="http://schemas.openxmlformats.org/officeDocument/2006/relationships/hyperlink" Target="http://www.burkemuseum.org/research-and-collections/botany-and-herbarium/collections/database/results.php?Genus=Carex&amp;Species=leptopoda&amp;SourcePage=search.php&amp;IncludeSynonyms=Y&amp;SortBy=DESC&amp;SortOrder=Year" TargetMode="External"/><Relationship Id="rId5793" Type="http://schemas.openxmlformats.org/officeDocument/2006/relationships/hyperlink" Target="http://www.burkemuseum.org/research-and-collections/botany-and-herbarium/collections/database/results.php?Genus=Grindelia&amp;Species=integrifolia&amp;SourcePage=search.php&amp;IncludeSynonyms=Y&amp;SortBy=DESC&amp;SortOrder=Year" TargetMode="External"/><Relationship Id="rId6637" Type="http://schemas.openxmlformats.org/officeDocument/2006/relationships/hyperlink" Target="http://biology.burke.washington.edu/herbarium/imagecollectionnew/taxon.php?Taxon=Stellaria%20obtusa" TargetMode="External"/><Relationship Id="rId6844" Type="http://schemas.openxmlformats.org/officeDocument/2006/relationships/hyperlink" Target="http://biology.burke.washington.edu/herbarium/imagecollectionnew/taxon.php?Taxon=Brodiaea%20coronaria" TargetMode="External"/><Relationship Id="rId402" Type="http://schemas.openxmlformats.org/officeDocument/2006/relationships/hyperlink" Target="http://biology.burke.washington.edu/herbarium/imagecollectionnew/taxon.php?Taxon=Clinopodium%20douglasii" TargetMode="External"/><Relationship Id="rId1032" Type="http://schemas.openxmlformats.org/officeDocument/2006/relationships/hyperlink" Target="http://en.wikipedia.org/wiki/Agrostis_exarata" TargetMode="External"/><Relationship Id="rId4188" Type="http://schemas.openxmlformats.org/officeDocument/2006/relationships/hyperlink" Target="https://plants.usda.gov/core/profile?symbol=OXBO" TargetMode="External"/><Relationship Id="rId4395" Type="http://schemas.openxmlformats.org/officeDocument/2006/relationships/hyperlink" Target="https://plants.usda.gov/core/profile?symbol=SEWA" TargetMode="External"/><Relationship Id="rId5239" Type="http://schemas.openxmlformats.org/officeDocument/2006/relationships/hyperlink" Target="https://en.wikipedia.org/wiki/Platanthera_transversa" TargetMode="External"/><Relationship Id="rId5446" Type="http://schemas.openxmlformats.org/officeDocument/2006/relationships/hyperlink" Target="https://en.wikipedia.org/wiki/Symphyotrichum_bracteolatum" TargetMode="External"/><Relationship Id="rId1989" Type="http://schemas.openxmlformats.org/officeDocument/2006/relationships/hyperlink" Target="http://plants.usda.gov/java/profile?symbol=NASQ" TargetMode="External"/><Relationship Id="rId4048" Type="http://schemas.openxmlformats.org/officeDocument/2006/relationships/hyperlink" Target="https://plants.usda.gov/core/profile?symbol=JUOC" TargetMode="External"/><Relationship Id="rId4255" Type="http://schemas.openxmlformats.org/officeDocument/2006/relationships/hyperlink" Target="https://plants.usda.gov/core/profile?symbol=POCA25" TargetMode="External"/><Relationship Id="rId5306" Type="http://schemas.openxmlformats.org/officeDocument/2006/relationships/hyperlink" Target="https://en.wikipedia.org/wiki/Rhinanthus_minor" TargetMode="External"/><Relationship Id="rId5653" Type="http://schemas.openxmlformats.org/officeDocument/2006/relationships/hyperlink" Target="http://www.burkemuseum.org/research-and-collections/botany-and-herbarium/collections/database/results.php?Genus=Collomia&amp;Species=heterophylla&amp;SourcePage=search.php&amp;IncludeSynonyms=Y&amp;SortBy=DESC&amp;SortOrder=Year" TargetMode="External"/><Relationship Id="rId5860" Type="http://schemas.openxmlformats.org/officeDocument/2006/relationships/hyperlink" Target="http://www.burkemuseum.org/research-and-collections/botany-and-herbarium/collections/database/results.php?Genus=Lathyrus&amp;Species=palustris&amp;SourcePage=search.php&amp;IncludeSynonyms=Y&amp;SortBy=DESC&amp;SortOrder=Year" TargetMode="External"/><Relationship Id="rId6704" Type="http://schemas.openxmlformats.org/officeDocument/2006/relationships/hyperlink" Target="http://biology.burke.washington.edu/herbarium/imagecollection/taxon.php?Taxon=Parnassia%20cirrata" TargetMode="External"/><Relationship Id="rId6911" Type="http://schemas.openxmlformats.org/officeDocument/2006/relationships/hyperlink" Target="http://biology.burke.washington.edu/herbarium/imagecollection/taxon.php?Taxon=Platanthera%20dilatata" TargetMode="External"/><Relationship Id="rId1849" Type="http://schemas.openxmlformats.org/officeDocument/2006/relationships/hyperlink" Target="https://plants.usda.gov/core/profile?symbol=SACA6" TargetMode="External"/><Relationship Id="rId3064" Type="http://schemas.openxmlformats.org/officeDocument/2006/relationships/hyperlink" Target="http://www.burkemuseum.org/research-and-collections/botany-and-herbarium/collections/database/results.php?Genus=Juncus&amp;Species=mertensianus&amp;SourcePage=search.php&amp;IncludeSynonyms=Y&amp;SortBy=DESC&amp;SortOrder=Year" TargetMode="External"/><Relationship Id="rId4462" Type="http://schemas.openxmlformats.org/officeDocument/2006/relationships/hyperlink" Target="https://plants.usda.gov/core/profile?symbol=TODI" TargetMode="External"/><Relationship Id="rId5513" Type="http://schemas.openxmlformats.org/officeDocument/2006/relationships/hyperlink" Target="https://en.wikipedia.org/wiki/Viola_glabella" TargetMode="External"/><Relationship Id="rId5720" Type="http://schemas.openxmlformats.org/officeDocument/2006/relationships/hyperlink" Target="http://www.burkemuseum.org/research-and-collections/botany-and-herbarium/collections/database/results.php?Genus=Epilobium&amp;Species=glaberrimum&amp;SourcePage=search.php&amp;IncludeSynonyms=Y&amp;SortBy=DESC&amp;SortOrder=Year" TargetMode="External"/><Relationship Id="rId192" Type="http://schemas.openxmlformats.org/officeDocument/2006/relationships/hyperlink" Target="http://biology.burke.washington.edu/herbarium/imagecollection/taxon.php?Taxon=Potamogeton%20foliosus" TargetMode="External"/><Relationship Id="rId1709" Type="http://schemas.openxmlformats.org/officeDocument/2006/relationships/hyperlink" Target="http://plants.usda.gov/java/profile?symbol=YAMI" TargetMode="External"/><Relationship Id="rId1916" Type="http://schemas.openxmlformats.org/officeDocument/2006/relationships/hyperlink" Target="http://plants.usda.gov/java/profile?symbol=PONA4" TargetMode="External"/><Relationship Id="rId3271" Type="http://schemas.openxmlformats.org/officeDocument/2006/relationships/hyperlink" Target="http://www.burkemuseum.org/research-and-collections/botany-and-herbarium/collections/database/results.php?Genus=Ranunculus&amp;Species=orthorhynchus&amp;SourcePage=search.php&amp;IncludeSynonyms=Y&amp;SortBy=DESC&amp;SortOrder=Year" TargetMode="External"/><Relationship Id="rId4115" Type="http://schemas.openxmlformats.org/officeDocument/2006/relationships/hyperlink" Target="https://plants.usda.gov/core/profile?symbol=MAEX" TargetMode="External"/><Relationship Id="rId4322" Type="http://schemas.openxmlformats.org/officeDocument/2006/relationships/hyperlink" Target="https://plants.usda.gov/core/profile?symbol=RIOX" TargetMode="External"/><Relationship Id="rId2080" Type="http://schemas.openxmlformats.org/officeDocument/2006/relationships/hyperlink" Target="https://plants.usda.gov/core/profile?symbol=laja" TargetMode="External"/><Relationship Id="rId3131" Type="http://schemas.openxmlformats.org/officeDocument/2006/relationships/hyperlink" Target="http://www.burkemuseum.org/research-and-collections/botany-and-herbarium/collections/database/results.php?Genus=Meconella&amp;Species=oregana&amp;SourcePage=search.php&amp;IncludeSynonyms=Y&amp;SortBy=DESC&amp;SortOrder=Year" TargetMode="External"/><Relationship Id="rId6287" Type="http://schemas.openxmlformats.org/officeDocument/2006/relationships/hyperlink" Target="http://www.burkemuseum.org/research-and-collections/botany-and-herbarium/collections/database/results.php?Genus=Utricularia&amp;Species=vulgaris&amp;SourcePage=search.php&amp;IncludeSynonyms=Y&amp;SortBy=DESC&amp;SortOrder=Year" TargetMode="External"/><Relationship Id="rId6494" Type="http://schemas.openxmlformats.org/officeDocument/2006/relationships/hyperlink" Target="http://biology.burke.washington.edu/herbarium/imagecollection/taxon.php?Taxon=Erythronium%20oregonum" TargetMode="External"/><Relationship Id="rId2897" Type="http://schemas.openxmlformats.org/officeDocument/2006/relationships/hyperlink" Target="http://www.burkemuseum.org/research-and-collections/botany-and-herbarium/collections/database/results.php?Genus=Cochlearia&amp;Species=groenlandica&amp;SourcePage=search.php&amp;IncludeSynonyms=Y&amp;SortBy=DESC&amp;SortOrder=Year" TargetMode="External"/><Relationship Id="rId3948" Type="http://schemas.openxmlformats.org/officeDocument/2006/relationships/hyperlink" Target="https://plants.usda.gov/core/profile?symbol=ERRE5" TargetMode="External"/><Relationship Id="rId5096" Type="http://schemas.openxmlformats.org/officeDocument/2006/relationships/hyperlink" Target="https://en.wikipedia.org/wiki/Luetkea_pectinata" TargetMode="External"/><Relationship Id="rId6147" Type="http://schemas.openxmlformats.org/officeDocument/2006/relationships/hyperlink" Target="http://www.burkemuseum.org/research-and-collections/botany-and-herbarium/collections/database/results.php?Genus=Salicornia&amp;Species=depressa&amp;SourcePage=search.php&amp;IncludeSynonyms=Y&amp;SortBy=DESC&amp;SortOrder=Year" TargetMode="External"/><Relationship Id="rId6354" Type="http://schemas.openxmlformats.org/officeDocument/2006/relationships/hyperlink" Target="http://biology.burke.washington.edu/herbarium/imagecollectionnew/taxon.php?Taxon=Agrostis%20pallens" TargetMode="External"/><Relationship Id="rId6561" Type="http://schemas.openxmlformats.org/officeDocument/2006/relationships/hyperlink" Target="http://biology.burke.washington.edu/herbarium/imagecollection/taxon.php?Taxon=Luetkea%20pectinata" TargetMode="External"/><Relationship Id="rId869" Type="http://schemas.openxmlformats.org/officeDocument/2006/relationships/hyperlink" Target="http://en.wikipedia.org/wiki/Madia_sativa" TargetMode="External"/><Relationship Id="rId1499" Type="http://schemas.openxmlformats.org/officeDocument/2006/relationships/hyperlink" Target="https://en.wikipedia.org/wiki/Saxifraga_mertensiana" TargetMode="External"/><Relationship Id="rId5163" Type="http://schemas.openxmlformats.org/officeDocument/2006/relationships/hyperlink" Target="https://en.wikipedia.org/wiki/Myriophyllum_verticillatum" TargetMode="External"/><Relationship Id="rId5370" Type="http://schemas.openxmlformats.org/officeDocument/2006/relationships/hyperlink" Target="https://en.wikipedia.org/wiki/Sanguisorba_menziesii" TargetMode="External"/><Relationship Id="rId6007" Type="http://schemas.openxmlformats.org/officeDocument/2006/relationships/hyperlink" Target="http://www.burkemuseum.org/research-and-collections/botany-and-herbarium/collections/database/results.php?Genus=Pentagramma&amp;Species=triangularis&amp;SourcePage=search.php&amp;IncludeSynonyms=Y&amp;SortBy=DESC&amp;SortOrder=Year" TargetMode="External"/><Relationship Id="rId6214" Type="http://schemas.openxmlformats.org/officeDocument/2006/relationships/hyperlink" Target="http://www.burkemuseum.org/research-and-collections/botany-and-herbarium/collections/database/results.php?Genus=Sorbus&amp;Species=sitchensis&amp;SourcePage=search.php&amp;IncludeSynonyms=Y&amp;SortBy=DESC&amp;SortOrder=Year" TargetMode="External"/><Relationship Id="rId6421" Type="http://schemas.openxmlformats.org/officeDocument/2006/relationships/hyperlink" Target="http://biology.burke.washington.edu/herbarium/imagecollectionnew/taxon.php?Taxon=Castilleja%20miniata" TargetMode="External"/><Relationship Id="rId729" Type="http://schemas.openxmlformats.org/officeDocument/2006/relationships/hyperlink" Target="https://en.wikipedia.org/wiki/Eleocharis_obtusa" TargetMode="External"/><Relationship Id="rId1359" Type="http://schemas.openxmlformats.org/officeDocument/2006/relationships/hyperlink" Target="http://biology.burke.washington.edu/herbarium/imagecollection/taxon.php?Taxon=Hydrophyllum%20tenuipes" TargetMode="External"/><Relationship Id="rId2757" Type="http://schemas.openxmlformats.org/officeDocument/2006/relationships/hyperlink" Target="http://www.burkemuseum.org/research-and-collections/botany-and-herbarium/collections/database/results.php?Genus=Antennaria&amp;Species=racemosa&amp;SourcePage=search.php&amp;IncludeSynonyms=Y&amp;SortBy=DESC&amp;SortOrder=Year" TargetMode="External"/><Relationship Id="rId2964" Type="http://schemas.openxmlformats.org/officeDocument/2006/relationships/hyperlink" Target="http://www.burkemuseum.org/research-and-collections/botany-and-herbarium/collections/database/results.php?Genus=Epilobium&amp;Species=glaberrimum&amp;SourcePage=search.php&amp;IncludeSynonyms=Y&amp;SortBy=DESC&amp;SortOrder=Year" TargetMode="External"/><Relationship Id="rId3808" Type="http://schemas.openxmlformats.org/officeDocument/2006/relationships/hyperlink" Target="https://plants.usda.gov/core/profile?symbol=CAVI6" TargetMode="External"/><Relationship Id="rId5023" Type="http://schemas.openxmlformats.org/officeDocument/2006/relationships/hyperlink" Target="https://en.wikipedia.org/wiki/Honckenya_peploides" TargetMode="External"/><Relationship Id="rId5230" Type="http://schemas.openxmlformats.org/officeDocument/2006/relationships/hyperlink" Target="https://en.wikipedia.org/wiki/Plagiobothrys_scouleri" TargetMode="External"/><Relationship Id="rId936" Type="http://schemas.openxmlformats.org/officeDocument/2006/relationships/hyperlink" Target="https://en.wikipedia.org/wiki/Carex" TargetMode="External"/><Relationship Id="rId1219" Type="http://schemas.openxmlformats.org/officeDocument/2006/relationships/hyperlink" Target="http://biology.burke.washington.edu/herbarium/imagecollection/taxon.php?Taxon=Salix%20amygdaloides" TargetMode="External"/><Relationship Id="rId1566" Type="http://schemas.openxmlformats.org/officeDocument/2006/relationships/hyperlink" Target="http://en.wikipedia.org/wiki/Collinsia_grandiflora" TargetMode="External"/><Relationship Id="rId1773" Type="http://schemas.openxmlformats.org/officeDocument/2006/relationships/hyperlink" Target="http://plants.usda.gov/java/profile?symbol=SYBO2" TargetMode="External"/><Relationship Id="rId1980" Type="http://schemas.openxmlformats.org/officeDocument/2006/relationships/hyperlink" Target="http://plants.usda.gov/java/profile?symbol=OPFR" TargetMode="External"/><Relationship Id="rId2617" Type="http://schemas.openxmlformats.org/officeDocument/2006/relationships/hyperlink" Target="http://biology.burke.washington.edu/herbarium/imagecollectionnew/taxon.php?Taxon=Stellaria%20longifolia" TargetMode="External"/><Relationship Id="rId2824" Type="http://schemas.openxmlformats.org/officeDocument/2006/relationships/hyperlink" Target="http://www.burkemuseum.org/research-and-collections/botany-and-herbarium/collections/database/results.php?Genus=Cardamine&amp;Species=breweri&amp;SourcePage=search.php&amp;IncludeSynonyms=Y&amp;SortBy=DESC&amp;SortOrder=Year" TargetMode="External"/><Relationship Id="rId7195" Type="http://schemas.openxmlformats.org/officeDocument/2006/relationships/hyperlink" Target="http://biology.burke.washington.edu/herbarium/imagecollection/taxon.php?Taxon=Ribes%20aureum" TargetMode="External"/><Relationship Id="rId65" Type="http://schemas.openxmlformats.org/officeDocument/2006/relationships/hyperlink" Target="http://biology.burke.washington.edu/herbarium/imagecollection/taxon.php?Taxon=Eleocharis%20acicularis" TargetMode="External"/><Relationship Id="rId1426" Type="http://schemas.openxmlformats.org/officeDocument/2006/relationships/hyperlink" Target="https://en.wikipedia.org/wiki/Asteraceae" TargetMode="External"/><Relationship Id="rId1633" Type="http://schemas.openxmlformats.org/officeDocument/2006/relationships/hyperlink" Target="http://biology.burke.washington.edu/herbarium/imagecollectionnew/taxon.php?Taxon=Tiarella%20trifoliata" TargetMode="External"/><Relationship Id="rId1840" Type="http://schemas.openxmlformats.org/officeDocument/2006/relationships/hyperlink" Target="http://plants.usda.gov/core/profile?symbol=SAPL2" TargetMode="External"/><Relationship Id="rId4789" Type="http://schemas.openxmlformats.org/officeDocument/2006/relationships/hyperlink" Target="https://en.wikipedia.org/wiki/Carex_inops" TargetMode="External"/><Relationship Id="rId4996" Type="http://schemas.openxmlformats.org/officeDocument/2006/relationships/hyperlink" Target="https://en.wikipedia.org/wiki/Glehnia_leiocarpa" TargetMode="External"/><Relationship Id="rId1700" Type="http://schemas.openxmlformats.org/officeDocument/2006/relationships/hyperlink" Target="http://biology.burke.washington.edu/herbarium/imagecollectionnew/taxon.php?Taxon=Montia%20parvifolia" TargetMode="External"/><Relationship Id="rId3598" Type="http://schemas.openxmlformats.org/officeDocument/2006/relationships/hyperlink" Target="http://www.burkemuseum.org/research-and-collections/botany-and-herbarium/collections/database/results.php?Genus=Symphyotrichum&amp;Species=subspicatum&amp;SourcePage=search.php&amp;IncludeSynonyms=Y&amp;SortBy=DESC&amp;SortOrder=Year" TargetMode="External"/><Relationship Id="rId4649" Type="http://schemas.openxmlformats.org/officeDocument/2006/relationships/hyperlink" Target="http://www.burkemuseum.org/research-and-collections/botany-and-herbarium/collections/database/results.php?Genus=Artemisia&amp;Species=michauxiana&amp;SourcePage=search.php&amp;IncludeSynonyms=Y&amp;SortBy=DESC&amp;SortOrder=Year" TargetMode="External"/><Relationship Id="rId4856" Type="http://schemas.openxmlformats.org/officeDocument/2006/relationships/hyperlink" Target="https://en.wikipedia.org/wiki/Collinsia_grandiflora" TargetMode="External"/><Relationship Id="rId5907" Type="http://schemas.openxmlformats.org/officeDocument/2006/relationships/hyperlink" Target="http://www.burkemuseum.org/research-and-collections/botany-and-herbarium/collections/database/results.php?Genus=Lycopodiella&amp;Species=inundata&amp;SourcePage=search.php&amp;IncludeSynonyms=Y&amp;SortBy=DESC&amp;SortOrder=Year" TargetMode="External"/><Relationship Id="rId7055" Type="http://schemas.openxmlformats.org/officeDocument/2006/relationships/hyperlink" Target="http://biology.burke.washington.edu/herbarium/imagecollectionnew/taxon.php?Taxon=Anemone%20lyallii" TargetMode="External"/><Relationship Id="rId3458" Type="http://schemas.openxmlformats.org/officeDocument/2006/relationships/hyperlink" Target="http://www.burkemuseum.org/research-and-collections/botany-and-herbarium/collections/database/results.php?Genus=Alnus&amp;Species=rhombifolia&amp;SourcePage=search.php&amp;IncludeSynonyms=Y&amp;SortBy=DESC&amp;SortOrder=Year" TargetMode="External"/><Relationship Id="rId3665" Type="http://schemas.openxmlformats.org/officeDocument/2006/relationships/hyperlink" Target="https://plants.usda.gov/core/profile?symbol=ANPO" TargetMode="External"/><Relationship Id="rId3872" Type="http://schemas.openxmlformats.org/officeDocument/2006/relationships/hyperlink" Target="https://plants.usda.gov/core/profile?symbol=CYMO2" TargetMode="External"/><Relationship Id="rId4509" Type="http://schemas.openxmlformats.org/officeDocument/2006/relationships/hyperlink" Target="https://plants.usda.gov/core/profile?symbol=VIAM" TargetMode="External"/><Relationship Id="rId4716" Type="http://schemas.openxmlformats.org/officeDocument/2006/relationships/hyperlink" Target="https://en.wikipedia.org/wiki/Aruncus_dioicus" TargetMode="External"/><Relationship Id="rId6071" Type="http://schemas.openxmlformats.org/officeDocument/2006/relationships/hyperlink" Target="http://www.burkemuseum.org/research-and-collections/botany-and-herbarium/collections/database/results.php?Genus=Potamogeton&amp;Species=richardsonii&amp;SourcePage=search.php&amp;IncludeSynonyms=Y&amp;SortBy=DESC&amp;SortOrder=Year" TargetMode="External"/><Relationship Id="rId7122" Type="http://schemas.openxmlformats.org/officeDocument/2006/relationships/hyperlink" Target="http://biology.burke.washington.edu/herbarium/imagecollectionnew/taxon.php?Taxon=Spiraea%20douglasii" TargetMode="External"/><Relationship Id="rId379" Type="http://schemas.openxmlformats.org/officeDocument/2006/relationships/hyperlink" Target="http://biology.burke.washington.edu/herbarium/imagecollectionnew/taxon.php?Taxon=Cuscuta%20cephalanthi" TargetMode="External"/><Relationship Id="rId586" Type="http://schemas.openxmlformats.org/officeDocument/2006/relationships/hyperlink" Target="https://en.wikipedia.org/wiki/Solidago_canadensis" TargetMode="External"/><Relationship Id="rId793" Type="http://schemas.openxmlformats.org/officeDocument/2006/relationships/hyperlink" Target="https://en.wikipedia.org/wiki/Platanthera_orbiculata" TargetMode="External"/><Relationship Id="rId2267" Type="http://schemas.openxmlformats.org/officeDocument/2006/relationships/hyperlink" Target="https://plants.usda.gov/core/profile?symbol=CLGR" TargetMode="External"/><Relationship Id="rId2474" Type="http://schemas.openxmlformats.org/officeDocument/2006/relationships/hyperlink" Target="http://plants.usda.gov/java/profile?symbol=SABI3" TargetMode="External"/><Relationship Id="rId2681" Type="http://schemas.openxmlformats.org/officeDocument/2006/relationships/hyperlink" Target="http://biology.burke.washington.edu/herbarium/imagecollection/taxon.php?Taxon=Apocynum%20androsaemifolium" TargetMode="External"/><Relationship Id="rId3318" Type="http://schemas.openxmlformats.org/officeDocument/2006/relationships/hyperlink" Target="http://www.burkemuseum.org/research-and-collections/botany-and-herbarium/collections/database/results.php?Genus=Salix&amp;Species=scouleriana&amp;SourcePage=search.php&amp;IncludeSynonyms=Y&amp;SortBy=DESC&amp;SortOrder=Year" TargetMode="External"/><Relationship Id="rId3525" Type="http://schemas.openxmlformats.org/officeDocument/2006/relationships/hyperlink" Target="http://www.burkemuseum.org/research-and-collections/botany-and-herbarium/collections/database/results.php?Genus=Luetkea&amp;Species=pectinata&amp;SourcePage=search.php&amp;IncludeSynonyms=Y&amp;SortBy=DESC&amp;SortOrder=Year" TargetMode="External"/><Relationship Id="rId4923" Type="http://schemas.openxmlformats.org/officeDocument/2006/relationships/hyperlink" Target="https://en.wikipedia.org/wiki/Elodea_canadensis" TargetMode="External"/><Relationship Id="rId6888" Type="http://schemas.openxmlformats.org/officeDocument/2006/relationships/hyperlink" Target="http://biology.burke.washington.edu/herbarium/imagecollectionnew/taxon.php?Taxon=Sanicula%20graveolens" TargetMode="External"/><Relationship Id="rId239" Type="http://schemas.openxmlformats.org/officeDocument/2006/relationships/hyperlink" Target="http://biology.burke.washington.edu/herbarium/imagecollection/taxon.php?Taxon=Potamogeton%20robbinsii" TargetMode="External"/><Relationship Id="rId446" Type="http://schemas.openxmlformats.org/officeDocument/2006/relationships/hyperlink" Target="http://biology.burke.washington.edu/herbarium/imagecollectionnew/taxon.php?Taxon=Distichlis%20spicata" TargetMode="External"/><Relationship Id="rId653" Type="http://schemas.openxmlformats.org/officeDocument/2006/relationships/hyperlink" Target="https://en.wikipedia.org/wiki/Ribes_bracteosum" TargetMode="External"/><Relationship Id="rId1076" Type="http://schemas.openxmlformats.org/officeDocument/2006/relationships/hyperlink" Target="https://en.wikipedia.org/wiki/Hosackia_crassifolia" TargetMode="External"/><Relationship Id="rId1283" Type="http://schemas.openxmlformats.org/officeDocument/2006/relationships/hyperlink" Target="https://en.wikipedia.org/wiki/Poa" TargetMode="External"/><Relationship Id="rId1490" Type="http://schemas.openxmlformats.org/officeDocument/2006/relationships/hyperlink" Target="https://en.wikipedia.org/wiki/Stachys_chamissonis" TargetMode="External"/><Relationship Id="rId2127" Type="http://schemas.openxmlformats.org/officeDocument/2006/relationships/hyperlink" Target="http://plants.usda.gov/java/profile?symbol=HEAU" TargetMode="External"/><Relationship Id="rId2334" Type="http://schemas.openxmlformats.org/officeDocument/2006/relationships/hyperlink" Target="http://plants.usda.gov/java/profile?symbol=CASC7" TargetMode="External"/><Relationship Id="rId3732" Type="http://schemas.openxmlformats.org/officeDocument/2006/relationships/hyperlink" Target="https://plants.usda.gov/core/profile?symbol=bovi" TargetMode="External"/><Relationship Id="rId306" Type="http://schemas.openxmlformats.org/officeDocument/2006/relationships/hyperlink" Target="http://biology.burke.washington.edu/herbarium/imagecollectionnew/taxon.php?Taxon=Sericocarpus%20rigidus" TargetMode="External"/><Relationship Id="rId860" Type="http://schemas.openxmlformats.org/officeDocument/2006/relationships/hyperlink" Target="https://en.wikipedia.org/wiki/Micranthes_ferruginea" TargetMode="External"/><Relationship Id="rId1143" Type="http://schemas.openxmlformats.org/officeDocument/2006/relationships/hyperlink" Target="https://en.wikipedia.org/wiki/Galium_trifidum" TargetMode="External"/><Relationship Id="rId2541" Type="http://schemas.openxmlformats.org/officeDocument/2006/relationships/hyperlink" Target="http://plants.usda.gov/core/profile?symbol=JUMA10" TargetMode="External"/><Relationship Id="rId4299" Type="http://schemas.openxmlformats.org/officeDocument/2006/relationships/hyperlink" Target="https://plants.usda.gov/core/profile?symbol=RAOC" TargetMode="External"/><Relationship Id="rId5697" Type="http://schemas.openxmlformats.org/officeDocument/2006/relationships/hyperlink" Target="http://www.burkemuseum.org/research-and-collections/botany-and-herbarium/collections/database/results.php?Genus=Dodecatheon&amp;Species=austrofrigidum&amp;SourcePage=search.php&amp;IncludeSynonyms=Y&amp;SortBy=DESC&amp;SortOrder=Year" TargetMode="External"/><Relationship Id="rId6748" Type="http://schemas.openxmlformats.org/officeDocument/2006/relationships/hyperlink" Target="http://biology.burke.washington.edu/herbarium/imagecollectionnew/taxon.php?Taxon=Lepidium%20virginicum" TargetMode="External"/><Relationship Id="rId6955" Type="http://schemas.openxmlformats.org/officeDocument/2006/relationships/hyperlink" Target="http://biology.burke.washington.edu/herbarium/imagecollection/taxon.php?Taxon=Lathyrus%20holochlorus" TargetMode="External"/><Relationship Id="rId513" Type="http://schemas.openxmlformats.org/officeDocument/2006/relationships/hyperlink" Target="https://en.wikipedia.org/wiki/Viburnum_edule" TargetMode="External"/><Relationship Id="rId720" Type="http://schemas.openxmlformats.org/officeDocument/2006/relationships/hyperlink" Target="https://en.wikipedia.org/wiki/Epilobium_brachycarpum" TargetMode="External"/><Relationship Id="rId1350" Type="http://schemas.openxmlformats.org/officeDocument/2006/relationships/hyperlink" Target="http://biology.burke.washington.edu/herbarium/imagecollectionnew/taxon.php?Taxon=Kopsiopsis%20hookeri" TargetMode="External"/><Relationship Id="rId2401" Type="http://schemas.openxmlformats.org/officeDocument/2006/relationships/hyperlink" Target="http://plants.usda.gov/java/profile?symbol=ANAR3" TargetMode="External"/><Relationship Id="rId4159" Type="http://schemas.openxmlformats.org/officeDocument/2006/relationships/hyperlink" Target="https://plants.usda.gov/core/profile?symbol=mysi" TargetMode="External"/><Relationship Id="rId5557" Type="http://schemas.openxmlformats.org/officeDocument/2006/relationships/hyperlink" Target="http://www.burkemuseum.org/research-and-collections/botany-and-herbarium/collections/database/results.php?Genus=Calystegia&amp;Species=soldanella&amp;SourcePage=search.php&amp;IncludeSynonyms=Y&amp;SortBy=DESC&amp;SortOrder=Year" TargetMode="External"/><Relationship Id="rId5764" Type="http://schemas.openxmlformats.org/officeDocument/2006/relationships/hyperlink" Target="http://www.burkemuseum.org/research-and-collections/botany-and-herbarium/collections/database/results.php?Genus=Fritillaria&amp;Species=camschatcensis&amp;SourcePage=search.php&amp;IncludeSynonyms=Y&amp;SortBy=DESC&amp;SortOrder=Year" TargetMode="External"/><Relationship Id="rId5971" Type="http://schemas.openxmlformats.org/officeDocument/2006/relationships/hyperlink" Target="http://www.burkemuseum.org/research-and-collections/botany-and-herbarium/collections/database/results.php?Genus=Nuphar&amp;Species=polysepala&amp;SourcePage=search.php&amp;IncludeSynonyms=Y&amp;SortBy=DESC&amp;SortOrder=Year" TargetMode="External"/><Relationship Id="rId6608" Type="http://schemas.openxmlformats.org/officeDocument/2006/relationships/hyperlink" Target="http://biology.burke.washington.edu/herbarium/imagecollection/taxon.php?Taxon=Phacelia%20nemoralis" TargetMode="External"/><Relationship Id="rId6815" Type="http://schemas.openxmlformats.org/officeDocument/2006/relationships/hyperlink" Target="http://biology.burke.washington.edu/herbarium/imagecollectionnew/taxon.php?Taxon=Chenopodium%20berlandieri" TargetMode="External"/><Relationship Id="rId1003" Type="http://schemas.openxmlformats.org/officeDocument/2006/relationships/hyperlink" Target="https://en.wikipedia.org/wiki/Arctostaphylos_columbiana" TargetMode="External"/><Relationship Id="rId1210" Type="http://schemas.openxmlformats.org/officeDocument/2006/relationships/hyperlink" Target="http://biology.burke.washington.edu/herbarium/imagecollection/taxon.php?Taxon=Gayophytum%20diffusum" TargetMode="External"/><Relationship Id="rId4366" Type="http://schemas.openxmlformats.org/officeDocument/2006/relationships/hyperlink" Target="https://plants.usda.gov/core/profile?symbol=SASI2" TargetMode="External"/><Relationship Id="rId4573" Type="http://schemas.openxmlformats.org/officeDocument/2006/relationships/hyperlink" Target="https://en.wikipedia.org/wiki/Anemone_deltoidea" TargetMode="External"/><Relationship Id="rId4780" Type="http://schemas.openxmlformats.org/officeDocument/2006/relationships/hyperlink" Target="https://en.wikipedia.org/wiki/Carex_canescens" TargetMode="External"/><Relationship Id="rId5417" Type="http://schemas.openxmlformats.org/officeDocument/2006/relationships/hyperlink" Target="https://en.wikipedia.org/wiki/Sparganium_emersum" TargetMode="External"/><Relationship Id="rId5624" Type="http://schemas.openxmlformats.org/officeDocument/2006/relationships/hyperlink" Target="http://www.burkemuseum.org/research-and-collections/botany-and-herbarium/collections/database/results.php?Genus=Chamaenerion&amp;Species=augustifolium&amp;SourcePage=search.php&amp;IncludeSynonyms=Y&amp;SortBy=DESC&amp;SortOrder=Year" TargetMode="External"/><Relationship Id="rId5831" Type="http://schemas.openxmlformats.org/officeDocument/2006/relationships/hyperlink" Target="http://www.burkemuseum.org/research-and-collections/botany-and-herbarium/collections/database/results.php?Genus=Isoetes&amp;Species=occidentalis&amp;SourcePage=search.php&amp;IncludeSynonyms=Y&amp;SortBy=DESC&amp;SortOrder=Year" TargetMode="External"/><Relationship Id="rId3175" Type="http://schemas.openxmlformats.org/officeDocument/2006/relationships/hyperlink" Target="http://www.burkemuseum.org/research-and-collections/botany-and-herbarium/collections/database/results.php?Genus=Opuntia&amp;Species=fragilis&amp;SourcePage=search.php&amp;IncludeSynonyms=Y&amp;SortBy=DESC&amp;SortOrder=Year" TargetMode="External"/><Relationship Id="rId3382" Type="http://schemas.openxmlformats.org/officeDocument/2006/relationships/hyperlink" Target="http://www.burkemuseum.org/research-and-collections/botany-and-herbarium/collections/database/results.php?Genus=Symphoricarpos&amp;Species=albus&amp;SourcePage=search.php&amp;IncludeSynonyms=Y&amp;SortBy=DESC&amp;SortOrder=Year" TargetMode="External"/><Relationship Id="rId4019" Type="http://schemas.openxmlformats.org/officeDocument/2006/relationships/hyperlink" Target="https://plants.usda.gov/core/profile?symbol=HUMI" TargetMode="External"/><Relationship Id="rId4226" Type="http://schemas.openxmlformats.org/officeDocument/2006/relationships/hyperlink" Target="https://plants.usda.gov/core/profile?symbol=PLSC2" TargetMode="External"/><Relationship Id="rId4433" Type="http://schemas.openxmlformats.org/officeDocument/2006/relationships/hyperlink" Target="https://plants.usda.gov/core/profile?symbol=STCR2" TargetMode="External"/><Relationship Id="rId4640" Type="http://schemas.openxmlformats.org/officeDocument/2006/relationships/hyperlink" Target="http://www.burkemuseum.org/research-and-collections/botany-and-herbarium/collections/database/results.php?Genus=Arctostaphylos&amp;Species=media&amp;SourcePage=search.php&amp;IncludeSynonyms=Y&amp;SortBy=DESC&amp;SortOrder=Year" TargetMode="External"/><Relationship Id="rId2191" Type="http://schemas.openxmlformats.org/officeDocument/2006/relationships/hyperlink" Target="https://plants.usda.gov/core/profile?symbol=EPMI" TargetMode="External"/><Relationship Id="rId3035" Type="http://schemas.openxmlformats.org/officeDocument/2006/relationships/hyperlink" Target="http://www.burkemuseum.org/research-and-collections/botany-and-herbarium/collections/database/results.php?Genus=Heterotheca&amp;Species=villosa&amp;SourcePage=search.php&amp;IncludeSynonyms=Y&amp;SortBy=DESC&amp;SortOrder=Year" TargetMode="External"/><Relationship Id="rId3242" Type="http://schemas.openxmlformats.org/officeDocument/2006/relationships/hyperlink" Target="http://www.burkemuseum.org/research-and-collections/botany-and-herbarium/collections/database/results.php?Genus=Potamogeton&amp;Species=obtusifolius&amp;SourcePage=search.php&amp;IncludeSynonyms=Y&amp;SortBy=DESC&amp;SortOrder=Year" TargetMode="External"/><Relationship Id="rId4500" Type="http://schemas.openxmlformats.org/officeDocument/2006/relationships/hyperlink" Target="https://plants.usda.gov/core/profile?symbol=VECA2" TargetMode="External"/><Relationship Id="rId6398" Type="http://schemas.openxmlformats.org/officeDocument/2006/relationships/hyperlink" Target="http://biology.burke.washington.edu/herbarium/imagecollectionnew/taxon.php?Taxon=Botrypus%20virginianus" TargetMode="External"/><Relationship Id="rId163" Type="http://schemas.openxmlformats.org/officeDocument/2006/relationships/hyperlink" Target="http://biology.burke.washington.edu/herbarium/imagecollection/taxon.php?Taxon=Epilobium%20glaberrimum" TargetMode="External"/><Relationship Id="rId370" Type="http://schemas.openxmlformats.org/officeDocument/2006/relationships/hyperlink" Target="http://biology.burke.washington.edu/herbarium/imagecollectionnew/taxon.php?Taxon=Carex%20stipata" TargetMode="External"/><Relationship Id="rId2051" Type="http://schemas.openxmlformats.org/officeDocument/2006/relationships/hyperlink" Target="http://plants.usda.gov/java/profile?symbol=LOCR" TargetMode="External"/><Relationship Id="rId3102" Type="http://schemas.openxmlformats.org/officeDocument/2006/relationships/hyperlink" Target="http://www.burkemuseum.org/research-and-collections/botany-and-herbarium/collections/database/results.php?Genus=Lonicera&amp;Species=involucrata&amp;SourcePage=search.php&amp;IncludeSynonyms=Y&amp;SortBy=DESC&amp;SortOrder=Year" TargetMode="External"/><Relationship Id="rId6258" Type="http://schemas.openxmlformats.org/officeDocument/2006/relationships/hyperlink" Target="http://www.burkemuseum.org/research-and-collections/botany-and-herbarium/collections/database/results.php?Genus=Tolmiea&amp;Species=menziesii&amp;SourcePage=search.php&amp;IncludeSynonyms=Y&amp;SortBy=DESC&amp;SortOrder=Year" TargetMode="External"/><Relationship Id="rId6465" Type="http://schemas.openxmlformats.org/officeDocument/2006/relationships/hyperlink" Target="http://biology.burke.washington.edu/herbarium/imagecollectionnew/taxon.php?Taxon=Distichlis%20spicata" TargetMode="External"/><Relationship Id="rId230" Type="http://schemas.openxmlformats.org/officeDocument/2006/relationships/hyperlink" Target="http://biology.burke.washington.edu/herbarium/imagecollection/taxon.php?Taxon=Stuckenia%20filiformis" TargetMode="External"/><Relationship Id="rId5067" Type="http://schemas.openxmlformats.org/officeDocument/2006/relationships/hyperlink" Target="https://en.wikipedia.org/wiki/Lathyrus_vestitus" TargetMode="External"/><Relationship Id="rId5274" Type="http://schemas.openxmlformats.org/officeDocument/2006/relationships/hyperlink" Target="https://en.wikipedia.org/wiki/Potamogeton_richardsonii" TargetMode="External"/><Relationship Id="rId6118" Type="http://schemas.openxmlformats.org/officeDocument/2006/relationships/hyperlink" Target="http://www.burkemuseum.org/research-and-collections/botany-and-herbarium/collections/database/results.php?Genus=Ribes&amp;Species=divaricatum&amp;SourcePage=search.php&amp;IncludeSynonyms=Y&amp;SortBy=DESC&amp;SortOrder=Year" TargetMode="External"/><Relationship Id="rId6325" Type="http://schemas.openxmlformats.org/officeDocument/2006/relationships/hyperlink" Target="http://www.burkemuseum.org/research-and-collections/botany-and-herbarium/collections/database/results.php?Genus=Zannichellia&amp;Species=palustris&amp;SourcePage=search.php&amp;IncludeSynonyms=Y&amp;SortBy=DESC&amp;SortOrder=Year" TargetMode="External"/><Relationship Id="rId6672" Type="http://schemas.openxmlformats.org/officeDocument/2006/relationships/hyperlink" Target="http://biology.burke.washington.edu/herbarium/imagecollection/taxon.php?Taxon=Ranunculus%20californicus" TargetMode="External"/><Relationship Id="rId2868" Type="http://schemas.openxmlformats.org/officeDocument/2006/relationships/hyperlink" Target="http://www.burkemuseum.org/research-and-collections/botany-and-herbarium/collections/database/results.php?Genus=Ceanothus&amp;Species=velutinus&amp;SourcePage=search.php&amp;IncludeSynonyms=Y&amp;SortBy=DESC&amp;SortOrder=Year" TargetMode="External"/><Relationship Id="rId3919" Type="http://schemas.openxmlformats.org/officeDocument/2006/relationships/hyperlink" Target="https://plants.usda.gov/core/profile?symbol=EPGL" TargetMode="External"/><Relationship Id="rId4083" Type="http://schemas.openxmlformats.org/officeDocument/2006/relationships/hyperlink" Target="https://plants.usda.gov/core/profile?symbol=LODI" TargetMode="External"/><Relationship Id="rId5481" Type="http://schemas.openxmlformats.org/officeDocument/2006/relationships/hyperlink" Target="https://en.wikipedia.org/wiki/Tsuga_mertensiana" TargetMode="External"/><Relationship Id="rId6532" Type="http://schemas.openxmlformats.org/officeDocument/2006/relationships/hyperlink" Target="http://biology.burke.washington.edu/herbarium/imagecollectionnew/taxon.php?Taxon=Huperzia%20miyoshiana" TargetMode="External"/><Relationship Id="rId1677" Type="http://schemas.openxmlformats.org/officeDocument/2006/relationships/hyperlink" Target="http://biology.burke.washington.edu/herbarium/imagecollectionnew/taxon.php?Taxon=Allium%20cernuum" TargetMode="External"/><Relationship Id="rId1884" Type="http://schemas.openxmlformats.org/officeDocument/2006/relationships/hyperlink" Target="https://plants.usda.gov/core/profile?symbol=rasc3" TargetMode="External"/><Relationship Id="rId2728" Type="http://schemas.openxmlformats.org/officeDocument/2006/relationships/hyperlink" Target="http://www.burkemuseum.org/research-and-collections/botany-and-herbarium/collections/database/results.php?Genus=Agoseris&amp;Species=elata&amp;SourcePage=search.php&amp;IncludeSynonyms=Y&amp;SortBy=DESC&amp;SortOrder=Year" TargetMode="External"/><Relationship Id="rId2935" Type="http://schemas.openxmlformats.org/officeDocument/2006/relationships/hyperlink" Target="http://www.burkemuseum.org/research-and-collections/botany-and-herbarium/collections/database/results.php?Genus=Delphinium&amp;Species=trolliifolium&amp;SourcePage=search.php&amp;IncludeSynonyms=Y&amp;SortBy=DESC&amp;SortOrder=Year" TargetMode="External"/><Relationship Id="rId4290" Type="http://schemas.openxmlformats.org/officeDocument/2006/relationships/hyperlink" Target="https://plants.usda.gov/core/profile?symbol=PYAS" TargetMode="External"/><Relationship Id="rId5134" Type="http://schemas.openxmlformats.org/officeDocument/2006/relationships/hyperlink" Target="https://en.wikipedia.org/wiki/Metasequoia_glyptostroboides" TargetMode="External"/><Relationship Id="rId5341" Type="http://schemas.openxmlformats.org/officeDocument/2006/relationships/hyperlink" Target="https://en.wikipedia.org/wiki/Rumex_persicarioides" TargetMode="External"/><Relationship Id="rId907" Type="http://schemas.openxmlformats.org/officeDocument/2006/relationships/hyperlink" Target="https://en.wikipedia.org/wiki/Chenopodium_berlandieri" TargetMode="External"/><Relationship Id="rId1537" Type="http://schemas.openxmlformats.org/officeDocument/2006/relationships/hyperlink" Target="https://en.wikipedia.org/wiki/Polystichum_munitum" TargetMode="External"/><Relationship Id="rId1744" Type="http://schemas.openxmlformats.org/officeDocument/2006/relationships/hyperlink" Target="http://plants.usda.gov/java/profile?symbol=TSME" TargetMode="External"/><Relationship Id="rId1951" Type="http://schemas.openxmlformats.org/officeDocument/2006/relationships/hyperlink" Target="http://plants.usda.gov/java/profile?symbol=PIAL" TargetMode="External"/><Relationship Id="rId4150" Type="http://schemas.openxmlformats.org/officeDocument/2006/relationships/hyperlink" Target="https://plants.usda.gov/core/profile?symbol=MOHO" TargetMode="External"/><Relationship Id="rId5201" Type="http://schemas.openxmlformats.org/officeDocument/2006/relationships/hyperlink" Target="https://en.wikipedia.org/wiki/Pedicularis_groenlandica" TargetMode="External"/><Relationship Id="rId7099" Type="http://schemas.openxmlformats.org/officeDocument/2006/relationships/hyperlink" Target="http://biology.burke.washington.edu/herbarium/imagecollectionnew/taxon.php?Taxon=Triglochin%20maritima" TargetMode="External"/><Relationship Id="rId36" Type="http://schemas.openxmlformats.org/officeDocument/2006/relationships/hyperlink" Target="http://biology.burke.washington.edu/herbarium/imagecollection/taxon.php?Taxon=Jaumea%20carnosa" TargetMode="External"/><Relationship Id="rId1604" Type="http://schemas.openxmlformats.org/officeDocument/2006/relationships/hyperlink" Target="https://en.wikipedia.org/wiki/Lonicera_hispidula" TargetMode="External"/><Relationship Id="rId4010" Type="http://schemas.openxmlformats.org/officeDocument/2006/relationships/hyperlink" Target="https://plants.usda.gov/core/profile?symbol=HODI" TargetMode="External"/><Relationship Id="rId4967" Type="http://schemas.openxmlformats.org/officeDocument/2006/relationships/hyperlink" Target="https://en.wikipedia.org/wiki/Festuca_roemeri" TargetMode="External"/><Relationship Id="rId7166" Type="http://schemas.openxmlformats.org/officeDocument/2006/relationships/hyperlink" Target="http://biology.burke.washington.edu/herbarium/imagecollection/taxon.php?Taxon=Salix%20hookeriana" TargetMode="External"/><Relationship Id="rId1811" Type="http://schemas.openxmlformats.org/officeDocument/2006/relationships/hyperlink" Target="https://plants.usda.gov/core/profile?symbol=SICA2" TargetMode="External"/><Relationship Id="rId3569" Type="http://schemas.openxmlformats.org/officeDocument/2006/relationships/hyperlink" Target="http://www.burkemuseum.org/research-and-collections/botany-and-herbarium/collections/database/results.php?Genus=Rhododendron&amp;Species=menziesii&amp;SourcePage=search.php&amp;IncludeSynonyms=Y&amp;SortBy=DESC&amp;SortOrder=Year" TargetMode="External"/><Relationship Id="rId6182" Type="http://schemas.openxmlformats.org/officeDocument/2006/relationships/hyperlink" Target="http://www.burkemuseum.org/research-and-collections/botany-and-herbarium/collections/database/results.php?Genus=Schoenoplectus&amp;Species=pungens&amp;SourcePage=search.php&amp;IncludeSynonyms=Y&amp;SortBy=DESC&amp;SortOrder=Year" TargetMode="External"/><Relationship Id="rId7026" Type="http://schemas.openxmlformats.org/officeDocument/2006/relationships/hyperlink" Target="http://biology.burke.washington.edu/herbarium/imagecollectionnew/taxon.php?Taxon=Carex%20hendersonii" TargetMode="External"/><Relationship Id="rId7233" Type="http://schemas.openxmlformats.org/officeDocument/2006/relationships/hyperlink" Target="http://biology.burke.washington.edu/herbarium/imagecollection/taxon.php?Taxon=Pleuropogon%20refractus" TargetMode="External"/><Relationship Id="rId697" Type="http://schemas.openxmlformats.org/officeDocument/2006/relationships/hyperlink" Target="https://en.wikipedia.org/wiki/Erythranthe_guttata" TargetMode="External"/><Relationship Id="rId2378" Type="http://schemas.openxmlformats.org/officeDocument/2006/relationships/hyperlink" Target="https://plants.usda.gov/core/profile?symbol=ARMI4" TargetMode="External"/><Relationship Id="rId3429" Type="http://schemas.openxmlformats.org/officeDocument/2006/relationships/hyperlink" Target="http://www.burkemuseum.org/research-and-collections/botany-and-herbarium/collections/database/results.php?Genus=Verbena&amp;Species=hastata&amp;SourcePage=search.php&amp;IncludeSynonyms=Y&amp;SortBy=DESC&amp;SortOrder=Year" TargetMode="External"/><Relationship Id="rId3776" Type="http://schemas.openxmlformats.org/officeDocument/2006/relationships/hyperlink" Target="https://plants.usda.gov/core/profile?symbol=CAIN9" TargetMode="External"/><Relationship Id="rId3983" Type="http://schemas.openxmlformats.org/officeDocument/2006/relationships/hyperlink" Target="https://plants.usda.gov/core/profile?symbol=GISP3" TargetMode="External"/><Relationship Id="rId4827" Type="http://schemas.openxmlformats.org/officeDocument/2006/relationships/hyperlink" Target="https://en.wikipedia.org/wiki/Cephalanthera_austiniae" TargetMode="External"/><Relationship Id="rId6042" Type="http://schemas.openxmlformats.org/officeDocument/2006/relationships/hyperlink" Target="http://www.burkemuseum.org/research-and-collections/botany-and-herbarium/collections/database/results.php?Genus=Poa&amp;Species=confinis&amp;SourcePage=search.php&amp;IncludeSynonyms=Y&amp;SortBy=DESC&amp;SortOrder=Year" TargetMode="External"/><Relationship Id="rId1187" Type="http://schemas.openxmlformats.org/officeDocument/2006/relationships/hyperlink" Target="http://biology.burke.washington.edu/herbarium/imagecollectionnew/taxon.php?Taxon=Trifolium%20wormskioldii" TargetMode="External"/><Relationship Id="rId2585" Type="http://schemas.openxmlformats.org/officeDocument/2006/relationships/hyperlink" Target="https://plants.usda.gov/core/profile?symbol=CANU" TargetMode="External"/><Relationship Id="rId2792" Type="http://schemas.openxmlformats.org/officeDocument/2006/relationships/hyperlink" Target="http://www.burkemuseum.org/research-and-collections/botany-and-herbarium/collections/database/results.php?Genus=Betula&amp;Species=glandulosa&amp;SourcePage=search.php&amp;IncludeSynonyms=Y&amp;SortBy=DESC&amp;SortOrder=Year" TargetMode="External"/><Relationship Id="rId3636" Type="http://schemas.openxmlformats.org/officeDocument/2006/relationships/hyperlink" Target="https://plants.usda.gov/core/profile?symbol=ACRU2" TargetMode="External"/><Relationship Id="rId3843" Type="http://schemas.openxmlformats.org/officeDocument/2006/relationships/hyperlink" Target="https://plants.usda.gov/core/profile?symbol=COGR2" TargetMode="External"/><Relationship Id="rId6999" Type="http://schemas.openxmlformats.org/officeDocument/2006/relationships/hyperlink" Target="http://biology.burke.washington.edu/herbarium/imagecollectionnew/taxon.php?Taxon=Corallorhiza%20trifida" TargetMode="External"/><Relationship Id="rId557" Type="http://schemas.openxmlformats.org/officeDocument/2006/relationships/hyperlink" Target="https://en.wikipedia.org/wiki/Symphyotrichum_lateriflorum" TargetMode="External"/><Relationship Id="rId764" Type="http://schemas.openxmlformats.org/officeDocument/2006/relationships/hyperlink" Target="https://en.wikipedia.org/wiki/Argentina_anserina" TargetMode="External"/><Relationship Id="rId971" Type="http://schemas.openxmlformats.org/officeDocument/2006/relationships/hyperlink" Target="https://en.wikipedia.org/wiki/Botrypus_virginianus" TargetMode="External"/><Relationship Id="rId1394" Type="http://schemas.openxmlformats.org/officeDocument/2006/relationships/hyperlink" Target="http://biology.burke.washington.edu/herbarium/imagecollection/taxon.php?Taxon=Acer%20circinatum" TargetMode="External"/><Relationship Id="rId2238" Type="http://schemas.openxmlformats.org/officeDocument/2006/relationships/hyperlink" Target="http://plants.usda.gov/java/profile?symbol=CRIN8" TargetMode="External"/><Relationship Id="rId2445" Type="http://schemas.openxmlformats.org/officeDocument/2006/relationships/hyperlink" Target="http://plants.usda.gov/java/profile?symbol=VIHO" TargetMode="External"/><Relationship Id="rId2652" Type="http://schemas.openxmlformats.org/officeDocument/2006/relationships/hyperlink" Target="http://biology.burke.washington.edu/herbarium/imagecollectionnew/taxon.php?Taxon=Antennaria%20howellii" TargetMode="External"/><Relationship Id="rId3703" Type="http://schemas.openxmlformats.org/officeDocument/2006/relationships/hyperlink" Target="https://plants.usda.gov/core/profile?symbol=ARDI8" TargetMode="External"/><Relationship Id="rId3910" Type="http://schemas.openxmlformats.org/officeDocument/2006/relationships/hyperlink" Target="https://plants.usda.gov/core/profile?symbol=ELPA5" TargetMode="External"/><Relationship Id="rId6859" Type="http://schemas.openxmlformats.org/officeDocument/2006/relationships/hyperlink" Target="http://biology.burke.washington.edu/herbarium/imagecollectionnew/taxon.php?Taxon=Antennaria%20howellii" TargetMode="External"/><Relationship Id="rId417" Type="http://schemas.openxmlformats.org/officeDocument/2006/relationships/hyperlink" Target="http://biology.burke.washington.edu/herbarium/imagecollectionnew/taxon.php?Taxon=Cicuta%20bulbifera" TargetMode="External"/><Relationship Id="rId624" Type="http://schemas.openxmlformats.org/officeDocument/2006/relationships/hyperlink" Target="https://en.wikipedia.org/wiki/Salix_lemmonii" TargetMode="External"/><Relationship Id="rId831" Type="http://schemas.openxmlformats.org/officeDocument/2006/relationships/hyperlink" Target="https://en.wikipedia.org/wiki/Nuttallanthus_texanus" TargetMode="External"/><Relationship Id="rId1047" Type="http://schemas.openxmlformats.org/officeDocument/2006/relationships/hyperlink" Target="http://en.wikipedia.org/wiki/Abies_lasiocarpa" TargetMode="External"/><Relationship Id="rId1254" Type="http://schemas.openxmlformats.org/officeDocument/2006/relationships/hyperlink" Target="http://biology.burke.washington.edu/herbarium/imagecollection/taxon.php?Taxon=Lasthenia%20glaberrima" TargetMode="External"/><Relationship Id="rId1461" Type="http://schemas.openxmlformats.org/officeDocument/2006/relationships/hyperlink" Target="http://biology.burke.washington.edu/herbarium/imagecollectionnew/taxon.php?Taxon=Viola%20glabella" TargetMode="External"/><Relationship Id="rId2305" Type="http://schemas.openxmlformats.org/officeDocument/2006/relationships/hyperlink" Target="https://plants.usda.gov/core/profile?symbol=CAPL6" TargetMode="External"/><Relationship Id="rId2512" Type="http://schemas.openxmlformats.org/officeDocument/2006/relationships/hyperlink" Target="http://plants.usda.gov/java/profile?symbol=PEDA2" TargetMode="External"/><Relationship Id="rId5668" Type="http://schemas.openxmlformats.org/officeDocument/2006/relationships/hyperlink" Target="http://www.burkemuseum.org/research-and-collections/botany-and-herbarium/collections/database/results.php?Genus=Crassula&amp;Species=connata&amp;SourcePage=search.php&amp;IncludeSynonyms=Y&amp;SortBy=DESC&amp;SortOrder=Year" TargetMode="External"/><Relationship Id="rId5875" Type="http://schemas.openxmlformats.org/officeDocument/2006/relationships/hyperlink" Target="http://www.burkemuseum.org/research-and-collections/botany-and-herbarium/collections/database/results.php?Genus=Lilaeopsis&amp;Species=occidentalis&amp;SourcePage=search.php&amp;IncludeSynonyms=Y&amp;SortBy=DESC&amp;SortOrder=Year" TargetMode="External"/><Relationship Id="rId6719" Type="http://schemas.openxmlformats.org/officeDocument/2006/relationships/hyperlink" Target="http://biology.burke.washington.edu/herbarium/imagecollection/taxon.php?Taxon=Myriophyllum%20hippuroides" TargetMode="External"/><Relationship Id="rId6926" Type="http://schemas.openxmlformats.org/officeDocument/2006/relationships/hyperlink" Target="http://biology.burke.washington.edu/herbarium/imagecollection/taxon.php?Taxon=Myriophyllum%20sibiricum" TargetMode="External"/><Relationship Id="rId1114" Type="http://schemas.openxmlformats.org/officeDocument/2006/relationships/hyperlink" Target="https://en.wikipedia.org/wiki/Juncus_tenuis" TargetMode="External"/><Relationship Id="rId1321" Type="http://schemas.openxmlformats.org/officeDocument/2006/relationships/hyperlink" Target="http://biology.burke.washington.edu/herbarium/imagecollection/taxon.php?Taxon=Salix%20geyeriana" TargetMode="External"/><Relationship Id="rId4477" Type="http://schemas.openxmlformats.org/officeDocument/2006/relationships/hyperlink" Target="https://plants.usda.gov/core/profile?symbol=TRPU16" TargetMode="External"/><Relationship Id="rId4684" Type="http://schemas.openxmlformats.org/officeDocument/2006/relationships/hyperlink" Target="http://www.burkemuseum.org/research-and-collections/botany-and-herbarium/collections/database/results.php?Genus=Brasenia&amp;Species=schreberi&amp;SourcePage=search.php&amp;IncludeSynonyms=Y&amp;SortBy=DESC&amp;SortOrder=Year" TargetMode="External"/><Relationship Id="rId4891" Type="http://schemas.openxmlformats.org/officeDocument/2006/relationships/hyperlink" Target="https://en.wikipedia.org/wiki/Dasiphora_fruticosa" TargetMode="External"/><Relationship Id="rId5528" Type="http://schemas.openxmlformats.org/officeDocument/2006/relationships/hyperlink" Target="https://en.wikipedia.org/wiki/Zeltnera_muehlenbergii" TargetMode="External"/><Relationship Id="rId5735" Type="http://schemas.openxmlformats.org/officeDocument/2006/relationships/hyperlink" Target="http://www.burkemuseum.org/research-and-collections/botany-and-herbarium/collections/database/results.php?Genus=Eriophorum&amp;Species=chamissonis&amp;SourcePage=search.php&amp;IncludeSynonyms=Y&amp;SortBy=DESC&amp;SortOrder=Year" TargetMode="External"/><Relationship Id="rId7090" Type="http://schemas.openxmlformats.org/officeDocument/2006/relationships/hyperlink" Target="http://biology.burke.washington.edu/herbarium/imagecollectionnew/taxon.php?Taxon=Vaccinium%20membranaceum" TargetMode="External"/><Relationship Id="rId3079" Type="http://schemas.openxmlformats.org/officeDocument/2006/relationships/hyperlink" Target="http://www.burkemuseum.org/research-and-collections/botany-and-herbarium/collections/database/results.php?Genus=Lathyrus&amp;Species=torreyi&amp;SourcePage=search.php&amp;IncludeSynonyms=Y&amp;SortBy=DESC&amp;SortOrder=Year" TargetMode="External"/><Relationship Id="rId3286" Type="http://schemas.openxmlformats.org/officeDocument/2006/relationships/hyperlink" Target="http://www.burkemuseum.org/research-and-collections/botany-and-herbarium/collections/database/results.php?Genus=Rorippa&amp;Species=curvisiliqua&amp;SourcePage=search.php&amp;IncludeSynonyms=Y&amp;SortBy=DESC&amp;SortOrder=Year" TargetMode="External"/><Relationship Id="rId3493" Type="http://schemas.openxmlformats.org/officeDocument/2006/relationships/hyperlink" Target="http://www.burkemuseum.org/research-and-collections/botany-and-herbarium/collections/database/results.php?Genus=Dryopteris&amp;Species=arguta&amp;SourcePage=search.php&amp;IncludeSynonyms=Y&amp;SortBy=DESC&amp;SortOrder=Year" TargetMode="External"/><Relationship Id="rId4337" Type="http://schemas.openxmlformats.org/officeDocument/2006/relationships/hyperlink" Target="https://plants.usda.gov/core/profile?symbol=RUUR" TargetMode="External"/><Relationship Id="rId4544" Type="http://schemas.openxmlformats.org/officeDocument/2006/relationships/hyperlink" Target="https://en.wikipedia.org/wiki/Adiantum_pedatum" TargetMode="External"/><Relationship Id="rId5942" Type="http://schemas.openxmlformats.org/officeDocument/2006/relationships/hyperlink" Target="http://www.burkemuseum.org/research-and-collections/botany-and-herbarium/collections/database/results.php?Genus=Mitellastra&amp;Species=caulescens&amp;SourcePage=search.php&amp;IncludeSynonyms=Y&amp;SortBy=DESC&amp;SortOrder=Year" TargetMode="External"/><Relationship Id="rId2095" Type="http://schemas.openxmlformats.org/officeDocument/2006/relationships/hyperlink" Target="https://plants.usda.gov/core/profile?symbol=JUBR4" TargetMode="External"/><Relationship Id="rId3146" Type="http://schemas.openxmlformats.org/officeDocument/2006/relationships/hyperlink" Target="http://www.burkemuseum.org/research-and-collections/botany-and-herbarium/collections/database/results.php?Genus=Moehringia&amp;Species=macrophylla&amp;SourcePage=search.php&amp;IncludeSynonyms=Y&amp;SortBy=DESC&amp;SortOrder=Year" TargetMode="External"/><Relationship Id="rId3353" Type="http://schemas.openxmlformats.org/officeDocument/2006/relationships/hyperlink" Target="http://www.burkemuseum.org/research-and-collections/botany-and-herbarium/collections/database/results.php?Genus=Sisyrinchium&amp;Species=idahoense&amp;SourcePage=search.php&amp;IncludeSynonyms=Y&amp;SortBy=DESC&amp;SortOrder=Year" TargetMode="External"/><Relationship Id="rId4751" Type="http://schemas.openxmlformats.org/officeDocument/2006/relationships/hyperlink" Target="https://en.wikipedia.org/wiki/Bromus_sitchensis" TargetMode="External"/><Relationship Id="rId5802" Type="http://schemas.openxmlformats.org/officeDocument/2006/relationships/hyperlink" Target="http://www.burkemuseum.org/research-and-collections/botany-and-herbarium/collections/database/results.php?Genus=Heterotheca&amp;Species=villosa&amp;SourcePage=search.php&amp;IncludeSynonyms=Y&amp;SortBy=DESC&amp;SortOrder=Year" TargetMode="External"/><Relationship Id="rId274" Type="http://schemas.openxmlformats.org/officeDocument/2006/relationships/hyperlink" Target="http://biology.burke.washington.edu/herbarium/imagecollection/taxon.php?Taxon=Pterospora%20andromedea" TargetMode="External"/><Relationship Id="rId481" Type="http://schemas.openxmlformats.org/officeDocument/2006/relationships/hyperlink" Target="http://biology.burke.washington.edu/herbarium/imagecollectionnew/taxon.php?Taxon=Viola%20orbiculata" TargetMode="External"/><Relationship Id="rId2162" Type="http://schemas.openxmlformats.org/officeDocument/2006/relationships/hyperlink" Target="http://plants.usda.gov/java/profile?symbol=FEID" TargetMode="External"/><Relationship Id="rId3006" Type="http://schemas.openxmlformats.org/officeDocument/2006/relationships/hyperlink" Target="http://www.burkemuseum.org/research-and-collections/botany-and-herbarium/collections/database/results.php?Genus=Galium&amp;Species=oreganum&amp;SourcePage=search.php&amp;IncludeSynonyms=Y&amp;SortBy=DESC&amp;SortOrder=Year" TargetMode="External"/><Relationship Id="rId3560" Type="http://schemas.openxmlformats.org/officeDocument/2006/relationships/hyperlink" Target="http://www.burkemuseum.org/research-and-collections/botany-and-herbarium/collections/database/results.php?Genus=Polystichum&amp;Species=imbricans&amp;SourcePage=search.php&amp;IncludeSynonyms=Y&amp;SortBy=DESC&amp;SortOrder=Year" TargetMode="External"/><Relationship Id="rId4404" Type="http://schemas.openxmlformats.org/officeDocument/2006/relationships/hyperlink" Target="https://plants.usda.gov/core/profile?symbol=SINE2" TargetMode="External"/><Relationship Id="rId4611" Type="http://schemas.openxmlformats.org/officeDocument/2006/relationships/hyperlink" Target="http://www.burkemuseum.org/research-and-collections/botany-and-herbarium/collections/database/results.php?Genus=Amelanchier&amp;Species=alnifolia&amp;SourcePage=search.php&amp;IncludeSynonyms=Y&amp;SortBy=DESC&amp;SortOrder=Year" TargetMode="External"/><Relationship Id="rId6369" Type="http://schemas.openxmlformats.org/officeDocument/2006/relationships/hyperlink" Target="http://biology.burke.washington.edu/herbarium/imagecollectionnew/taxon.php?Taxon=Anemone%20multifida" TargetMode="External"/><Relationship Id="rId134" Type="http://schemas.openxmlformats.org/officeDocument/2006/relationships/hyperlink" Target="http://biology.burke.washington.edu/herbarium/imagecollection/taxon.php?Taxon=Prunella%20vulgaris" TargetMode="External"/><Relationship Id="rId3213" Type="http://schemas.openxmlformats.org/officeDocument/2006/relationships/hyperlink" Target="http://www.burkemuseum.org/research-and-collections/botany-and-herbarium/collections/database/results.php?Genus=Platanthera&amp;Species=dilatata&amp;SourcePage=search.php&amp;IncludeSynonyms=Y&amp;SortBy=DESC&amp;SortOrder=Year" TargetMode="External"/><Relationship Id="rId3420" Type="http://schemas.openxmlformats.org/officeDocument/2006/relationships/hyperlink" Target="http://www.burkemuseum.org/research-and-collections/botany-and-herbarium/collections/database/results.php?Genus=Utricularia&amp;Species=vulgaris&amp;SourcePage=search.php&amp;IncludeSynonyms=Y&amp;SortBy=DESC&amp;SortOrder=Year" TargetMode="External"/><Relationship Id="rId6576" Type="http://schemas.openxmlformats.org/officeDocument/2006/relationships/hyperlink" Target="http://biology.burke.washington.edu/herbarium/imagecollection/taxon.php?Taxon=Malus%20fusca" TargetMode="External"/><Relationship Id="rId6783" Type="http://schemas.openxmlformats.org/officeDocument/2006/relationships/hyperlink" Target="http://biology.burke.washington.edu/herbarium/imagecollection/taxon.php?Taxon=Festuca%20occidentalis" TargetMode="External"/><Relationship Id="rId6990" Type="http://schemas.openxmlformats.org/officeDocument/2006/relationships/hyperlink" Target="http://biology.burke.washington.edu/herbarium/imagecollection/taxon.php?Taxon=Eleocharis%20parvula" TargetMode="External"/><Relationship Id="rId341" Type="http://schemas.openxmlformats.org/officeDocument/2006/relationships/hyperlink" Target="http://biology.burke.washington.edu/herbarium/imagecollectionnew/taxon.php?Taxon=Callitriche%20palustris" TargetMode="External"/><Relationship Id="rId2022" Type="http://schemas.openxmlformats.org/officeDocument/2006/relationships/hyperlink" Target="http://plants.usda.gov/java/profile?symbol=MEAR4" TargetMode="External"/><Relationship Id="rId2979" Type="http://schemas.openxmlformats.org/officeDocument/2006/relationships/hyperlink" Target="http://www.burkemuseum.org/research-and-collections/botany-and-herbarium/collections/database/results.php?Genus=Eriophorum&amp;Species=gracile&amp;SourcePage=search.php&amp;IncludeSynonyms=Y&amp;SortBy=DESC&amp;SortOrder=Year" TargetMode="External"/><Relationship Id="rId5178" Type="http://schemas.openxmlformats.org/officeDocument/2006/relationships/hyperlink" Target="https://en.wikipedia.org/wiki/Oenothera_flava" TargetMode="External"/><Relationship Id="rId5385" Type="http://schemas.openxmlformats.org/officeDocument/2006/relationships/hyperlink" Target="https://en.wikipedia.org/wiki/Scirpus_atrocinctus" TargetMode="External"/><Relationship Id="rId5592" Type="http://schemas.openxmlformats.org/officeDocument/2006/relationships/hyperlink" Target="http://www.burkemuseum.org/research-and-collections/botany-and-herbarium/collections/database/results.php?Genus=Carex&amp;Species=obnupta&amp;SourcePage=search.php&amp;IncludeSynonyms=Y&amp;SortBy=DESC&amp;SortOrder=Year" TargetMode="External"/><Relationship Id="rId6229" Type="http://schemas.openxmlformats.org/officeDocument/2006/relationships/hyperlink" Target="http://www.burkemuseum.org/research-and-collections/botany-and-herbarium/collections/database/results.php?Genus=Stachys&amp;Species=mexicana&amp;SourcePage=search.php&amp;IncludeSynonyms=Y&amp;SortBy=DESC&amp;SortOrder=Year" TargetMode="External"/><Relationship Id="rId6436" Type="http://schemas.openxmlformats.org/officeDocument/2006/relationships/hyperlink" Target="http://biology.burke.washington.edu/herbarium/imagecollectionnew/taxon.php?Taxon=Claytonia%20sibirica" TargetMode="External"/><Relationship Id="rId6643" Type="http://schemas.openxmlformats.org/officeDocument/2006/relationships/hyperlink" Target="http://biology.burke.washington.edu/herbarium/imagecollectionnew/taxon.php?Taxon=Spergularia%20salina" TargetMode="External"/><Relationship Id="rId6850" Type="http://schemas.openxmlformats.org/officeDocument/2006/relationships/hyperlink" Target="http://biology.burke.washington.edu/herbarium/imagecollectionnew/taxon.php?Taxon=Artemisia%20campestris" TargetMode="External"/><Relationship Id="rId201" Type="http://schemas.openxmlformats.org/officeDocument/2006/relationships/hyperlink" Target="http://biology.burke.washington.edu/herbarium/imagecollection/taxon.php?Taxon=Fragaria%20vesca" TargetMode="External"/><Relationship Id="rId1788" Type="http://schemas.openxmlformats.org/officeDocument/2006/relationships/hyperlink" Target="https://plants.usda.gov/core/profile?symbol=SPPO7" TargetMode="External"/><Relationship Id="rId1995" Type="http://schemas.openxmlformats.org/officeDocument/2006/relationships/hyperlink" Target="https://plants.usda.gov/core/profile?symbol=mysi" TargetMode="External"/><Relationship Id="rId2839" Type="http://schemas.openxmlformats.org/officeDocument/2006/relationships/hyperlink" Target="http://www.burkemuseum.org/research-and-collections/botany-and-herbarium/collections/database/results.php?Genus=Carex&amp;Species=echinata&amp;SourcePage=search.php&amp;IncludeSynonyms=Y&amp;SortBy=DESC&amp;SortOrder=Year" TargetMode="External"/><Relationship Id="rId4194" Type="http://schemas.openxmlformats.org/officeDocument/2006/relationships/hyperlink" Target="https://plants.usda.gov/core/profile?symbol=PAPA8" TargetMode="External"/><Relationship Id="rId5038" Type="http://schemas.openxmlformats.org/officeDocument/2006/relationships/hyperlink" Target="https://en.wikipedia.org/wiki/Impatiens_ecornuta" TargetMode="External"/><Relationship Id="rId5245" Type="http://schemas.openxmlformats.org/officeDocument/2006/relationships/hyperlink" Target="https://en.wikipedia.org/wiki/Poa_laxiflora" TargetMode="External"/><Relationship Id="rId5452" Type="http://schemas.openxmlformats.org/officeDocument/2006/relationships/hyperlink" Target="https://en.wikipedia.org/wiki/Tanacetum_bipinnatum" TargetMode="External"/><Relationship Id="rId6503" Type="http://schemas.openxmlformats.org/officeDocument/2006/relationships/hyperlink" Target="http://biology.burke.washington.edu/herbarium/imagecollection/taxon.php?Taxon=Hordeum%20brachyantherum" TargetMode="External"/><Relationship Id="rId6710" Type="http://schemas.openxmlformats.org/officeDocument/2006/relationships/hyperlink" Target="http://biology.burke.washington.edu/herbarium/imagecollection/taxon.php?Taxon=Nymphaea%20tetragona" TargetMode="External"/><Relationship Id="rId1648" Type="http://schemas.openxmlformats.org/officeDocument/2006/relationships/hyperlink" Target="http://biology.burke.washington.edu/herbarium/imagecollectionnew/taxon.php?Taxon=Spiraea%20douglasii" TargetMode="External"/><Relationship Id="rId4054" Type="http://schemas.openxmlformats.org/officeDocument/2006/relationships/hyperlink" Target="https://plants.usda.gov/core/profile?symbol=LAMA8" TargetMode="External"/><Relationship Id="rId4261" Type="http://schemas.openxmlformats.org/officeDocument/2006/relationships/hyperlink" Target="https://plants.usda.gov/core/profile?symbol=POAM5" TargetMode="External"/><Relationship Id="rId5105" Type="http://schemas.openxmlformats.org/officeDocument/2006/relationships/hyperlink" Target="https://en.wikipedia.org/wiki/Lupinus_rivularis" TargetMode="External"/><Relationship Id="rId5312" Type="http://schemas.openxmlformats.org/officeDocument/2006/relationships/hyperlink" Target="https://en.wikipedia.org/wiki/Rhododendron_occidentale" TargetMode="External"/><Relationship Id="rId1508" Type="http://schemas.openxmlformats.org/officeDocument/2006/relationships/hyperlink" Target="https://en.wikipedia.org/wiki/Rubus_lasiococcus" TargetMode="External"/><Relationship Id="rId1855" Type="http://schemas.openxmlformats.org/officeDocument/2006/relationships/hyperlink" Target="http://plants.usda.gov/java/profile?symbol=SAMA6" TargetMode="External"/><Relationship Id="rId2906" Type="http://schemas.openxmlformats.org/officeDocument/2006/relationships/hyperlink" Target="http://www.burkemuseum.org/research-and-collections/botany-and-herbarium/collections/database/results.php?Genus=Coptis&amp;Species=laciniata&amp;SourcePage=search.php&amp;IncludeSynonyms=Y&amp;SortBy=DESC&amp;SortOrder=Year" TargetMode="External"/><Relationship Id="rId3070" Type="http://schemas.openxmlformats.org/officeDocument/2006/relationships/hyperlink" Target="http://www.burkemuseum.org/research-and-collections/botany-and-herbarium/collections/database/results.php?Genus=Koeleria&amp;Species=macrantha&amp;SourcePage=search.php&amp;IncludeSynonyms=Y&amp;SortBy=DESC&amp;SortOrder=Year" TargetMode="External"/><Relationship Id="rId4121" Type="http://schemas.openxmlformats.org/officeDocument/2006/relationships/hyperlink" Target="https://plants.usda.gov/core/profile?symbol=MAST4" TargetMode="External"/><Relationship Id="rId1715" Type="http://schemas.openxmlformats.org/officeDocument/2006/relationships/hyperlink" Target="http://plants.usda.gov/java/profile?symbol=VIPA4" TargetMode="External"/><Relationship Id="rId1922" Type="http://schemas.openxmlformats.org/officeDocument/2006/relationships/hyperlink" Target="https://plants.usda.gov/core/profile?symbol=POBAT" TargetMode="External"/><Relationship Id="rId6086" Type="http://schemas.openxmlformats.org/officeDocument/2006/relationships/hyperlink" Target="http://www.burkemuseum.org/research-and-collections/botany-and-herbarium/collections/database/results.php?Genus=Psilocarphus&amp;Species=elatior&amp;SourcePage=search.php&amp;IncludeSynonyms=Y&amp;SortBy=DESC&amp;SortOrder=Year" TargetMode="External"/><Relationship Id="rId6293" Type="http://schemas.openxmlformats.org/officeDocument/2006/relationships/hyperlink" Target="http://www.burkemuseum.org/research-and-collections/botany-and-herbarium/collections/database/results.php?Genus=Vaccinium&amp;Species=parvifolium&amp;SourcePage=search.php&amp;IncludeSynonyms=Y&amp;SortBy=DESC&amp;SortOrder=Year" TargetMode="External"/><Relationship Id="rId7137" Type="http://schemas.openxmlformats.org/officeDocument/2006/relationships/hyperlink" Target="http://biology.burke.washington.edu/herbarium/imagecollectionnew/taxon.php?Taxon=Sidalcea%20campestris" TargetMode="External"/><Relationship Id="rId3887" Type="http://schemas.openxmlformats.org/officeDocument/2006/relationships/hyperlink" Target="https://plants.usda.gov/core/profile?symbol=DECE" TargetMode="External"/><Relationship Id="rId4938" Type="http://schemas.openxmlformats.org/officeDocument/2006/relationships/hyperlink" Target="https://en.wikipedia.org/wiki/Equisetum_telmateia" TargetMode="External"/><Relationship Id="rId2489" Type="http://schemas.openxmlformats.org/officeDocument/2006/relationships/hyperlink" Target="https://plants.usda.gov/core/profile?symbol=LECO8" TargetMode="External"/><Relationship Id="rId2696" Type="http://schemas.openxmlformats.org/officeDocument/2006/relationships/hyperlink" Target="http://biology.burke.washington.edu/herbarium/imagecollectionnew/taxon.php?Taxon=Sisyrinchium%20californicum" TargetMode="External"/><Relationship Id="rId3747" Type="http://schemas.openxmlformats.org/officeDocument/2006/relationships/hyperlink" Target="https://plants.usda.gov/core/profile?symbol=CALE4" TargetMode="External"/><Relationship Id="rId3954" Type="http://schemas.openxmlformats.org/officeDocument/2006/relationships/hyperlink" Target="https://plants.usda.gov/core/profile?symbol=FEOC" TargetMode="External"/><Relationship Id="rId6153" Type="http://schemas.openxmlformats.org/officeDocument/2006/relationships/hyperlink" Target="http://www.burkemuseum.org/research-and-collections/botany-and-herbarium/collections/database/results.php?Genus=Salix&amp;Species=exigua&amp;SourcePage=search.php&amp;IncludeSynonyms=Y&amp;SortBy=DESC&amp;SortOrder=Year" TargetMode="External"/><Relationship Id="rId6360" Type="http://schemas.openxmlformats.org/officeDocument/2006/relationships/hyperlink" Target="http://biology.burke.washington.edu/herbarium/imagecollectionnew/taxon.php?Taxon=Alnus%20rhombifolia" TargetMode="External"/><Relationship Id="rId7204" Type="http://schemas.openxmlformats.org/officeDocument/2006/relationships/hyperlink" Target="http://biology.burke.washington.edu/herbarium/imagecollection/taxon.php?Taxon=Frangula%20purshiana" TargetMode="External"/><Relationship Id="rId668" Type="http://schemas.openxmlformats.org/officeDocument/2006/relationships/hyperlink" Target="https://en.wikipedia.org/wiki/Pyrola_chlorantha" TargetMode="External"/><Relationship Id="rId875" Type="http://schemas.openxmlformats.org/officeDocument/2006/relationships/hyperlink" Target="http://en.wikipedia.org/wiki/Lycopus_uniflorus" TargetMode="External"/><Relationship Id="rId1298" Type="http://schemas.openxmlformats.org/officeDocument/2006/relationships/hyperlink" Target="http://biology.burke.washington.edu/herbarium/imagecollectionnew/taxon.php?Taxon=Sparganium%20fluctuans" TargetMode="External"/><Relationship Id="rId2349" Type="http://schemas.openxmlformats.org/officeDocument/2006/relationships/hyperlink" Target="https://plants.usda.gov/core/profile?symbol=BRSC" TargetMode="External"/><Relationship Id="rId2556" Type="http://schemas.openxmlformats.org/officeDocument/2006/relationships/hyperlink" Target="http://plants.usda.gov/java/profile?symbol=FRLA" TargetMode="External"/><Relationship Id="rId2763" Type="http://schemas.openxmlformats.org/officeDocument/2006/relationships/hyperlink" Target="http://www.burkemuseum.org/research-and-collections/botany-and-herbarium/collections/database/results.php?Genus=Apocynum&amp;Species=cannabinum&amp;SourcePage=search.php&amp;IncludeSynonyms=Y&amp;SortBy=DESC&amp;SortOrder=Year" TargetMode="External"/><Relationship Id="rId2970" Type="http://schemas.openxmlformats.org/officeDocument/2006/relationships/hyperlink" Target="http://www.burkemuseum.org/research-and-collections/botany-and-herbarium/collections/database/results.php?Genus=Equisetum&amp;Species=hyemale&amp;SourcePage=search.php&amp;IncludeSynonyms=Y&amp;SortBy=DESC&amp;SortOrder=Year" TargetMode="External"/><Relationship Id="rId3607" Type="http://schemas.openxmlformats.org/officeDocument/2006/relationships/hyperlink" Target="http://www.burkemuseum.org/research-and-collections/botany-and-herbarium/collections/database/results.php?Genus=Vaccinium&amp;Species=ovatum&amp;SourcePage=search.php&amp;IncludeSynonyms=Y&amp;SortBy=DESC&amp;SortOrder=Year" TargetMode="External"/><Relationship Id="rId3814" Type="http://schemas.openxmlformats.org/officeDocument/2006/relationships/hyperlink" Target="https://plants.usda.gov/core/profile?symbol=CEAU" TargetMode="External"/><Relationship Id="rId6013" Type="http://schemas.openxmlformats.org/officeDocument/2006/relationships/hyperlink" Target="http://www.burkemuseum.org/research-and-collections/botany-and-herbarium/collections/database/results.php?Genus=Petasites&amp;Species=frigilus&amp;SourcePage=search.php&amp;IncludeSynonyms=Y&amp;SortBy=DESC&amp;SortOrder=Year" TargetMode="External"/><Relationship Id="rId6220" Type="http://schemas.openxmlformats.org/officeDocument/2006/relationships/hyperlink" Target="http://www.burkemuseum.org/research-and-collections/botany-and-herbarium/collections/database/results.php?Genus=Spergularia&amp;Species=canadensis&amp;SourcePage=search.php&amp;IncludeSynonyms=Y&amp;SortBy=DESC&amp;SortOrder=Year" TargetMode="External"/><Relationship Id="rId528" Type="http://schemas.openxmlformats.org/officeDocument/2006/relationships/hyperlink" Target="https://en.wikipedia.org/wiki/Utricularia_gibba" TargetMode="External"/><Relationship Id="rId735" Type="http://schemas.openxmlformats.org/officeDocument/2006/relationships/hyperlink" Target="https://en.wikipedia.org/wiki/Drosera_rotundifolia" TargetMode="External"/><Relationship Id="rId942" Type="http://schemas.openxmlformats.org/officeDocument/2006/relationships/hyperlink" Target="http://en.wikipedia.org/wiki/Carex_cusickii" TargetMode="External"/><Relationship Id="rId1158" Type="http://schemas.openxmlformats.org/officeDocument/2006/relationships/hyperlink" Target="https://species.wikimedia.org/wiki/Glyceria_elata" TargetMode="External"/><Relationship Id="rId1365" Type="http://schemas.openxmlformats.org/officeDocument/2006/relationships/hyperlink" Target="http://biology.burke.washington.edu/herbarium/imagecollection/taxon.php?Taxon=Rhododendron%20macrophyllum" TargetMode="External"/><Relationship Id="rId1572" Type="http://schemas.openxmlformats.org/officeDocument/2006/relationships/hyperlink" Target="http://en.wikipedia.org/wiki/Carex_obnupta" TargetMode="External"/><Relationship Id="rId2209" Type="http://schemas.openxmlformats.org/officeDocument/2006/relationships/hyperlink" Target="http://plants.usda.gov/java/profile?symbol=DRCA11" TargetMode="External"/><Relationship Id="rId2416" Type="http://schemas.openxmlformats.org/officeDocument/2006/relationships/hyperlink" Target="http://plants.usda.gov/java/profile?symbol=ALCE2" TargetMode="External"/><Relationship Id="rId2623" Type="http://schemas.openxmlformats.org/officeDocument/2006/relationships/hyperlink" Target="http://biology.burke.washington.edu/herbarium/imagecollectionnew/taxon.php?Taxon=Schoenoplectus%20subterminalis" TargetMode="External"/><Relationship Id="rId5779" Type="http://schemas.openxmlformats.org/officeDocument/2006/relationships/hyperlink" Target="http://www.burkemuseum.org/research-and-collections/botany-and-herbarium/collections/database/results.php?Genus=Geranium&amp;Species=carolinianum&amp;SourcePage=search.php&amp;IncludeSynonyms=Y&amp;SortBy=DESC&amp;SortOrder=Year" TargetMode="External"/><Relationship Id="rId1018" Type="http://schemas.openxmlformats.org/officeDocument/2006/relationships/hyperlink" Target="http://en.wikipedia.org/wiki/Anemone_deltoidea" TargetMode="External"/><Relationship Id="rId1225" Type="http://schemas.openxmlformats.org/officeDocument/2006/relationships/hyperlink" Target="https://en.wikipedia.org/wiki/Wyethia_angustifolia" TargetMode="External"/><Relationship Id="rId1432" Type="http://schemas.openxmlformats.org/officeDocument/2006/relationships/hyperlink" Target="http://biology.burke.washington.edu/herbarium/imagecollectionnew/taxon.php?Taxon=Betula%20pumila" TargetMode="External"/><Relationship Id="rId2830" Type="http://schemas.openxmlformats.org/officeDocument/2006/relationships/hyperlink" Target="http://www.burkemuseum.org/research-and-collections/botany-and-herbarium/collections/database/results.php?Genus=Carex&amp;Species=anthoxanthea&amp;SourcePage=search.php&amp;IncludeSynonyms=Y&amp;SortBy=DESC&amp;SortOrder=Year" TargetMode="External"/><Relationship Id="rId4588" Type="http://schemas.openxmlformats.org/officeDocument/2006/relationships/hyperlink" Target="http://www.burkemuseum.org/research-and-collections/botany-and-herbarium/collections/database/results.php?Genus=Adiantum&amp;Species=aleuticum&amp;SourcePage=search.php&amp;IncludeSynonyms=Y&amp;SortBy=DESC&amp;SortOrder=Year" TargetMode="External"/><Relationship Id="rId5639" Type="http://schemas.openxmlformats.org/officeDocument/2006/relationships/hyperlink" Target="http://www.burkemuseum.org/research-and-collections/botany-and-herbarium/collections/database/results.php?Genus=Clarkia&amp;Species=purpurea&amp;SourcePage=search.php&amp;IncludeSynonyms=Y&amp;SortBy=DESC&amp;SortOrder=Year" TargetMode="External"/><Relationship Id="rId5986" Type="http://schemas.openxmlformats.org/officeDocument/2006/relationships/hyperlink" Target="http://www.burkemuseum.org/research-and-collections/botany-and-herbarium/collections/database/results.php?Genus=Oxalis&amp;Species=suksdorfii&amp;SourcePage=search.php&amp;IncludeSynonyms=Y&amp;SortBy=DESC&amp;SortOrder=Year" TargetMode="External"/><Relationship Id="rId71" Type="http://schemas.openxmlformats.org/officeDocument/2006/relationships/hyperlink" Target="https://en.wikipedia.org/wiki/Rhododendron_occidentale" TargetMode="External"/><Relationship Id="rId802" Type="http://schemas.openxmlformats.org/officeDocument/2006/relationships/hyperlink" Target="https://en.wikipedia.org/wiki/Piperia_elongata" TargetMode="External"/><Relationship Id="rId3397" Type="http://schemas.openxmlformats.org/officeDocument/2006/relationships/hyperlink" Target="http://www.burkemuseum.org/research-and-collections/botany-and-herbarium/collections/database/results.php?Genus=Trichophorum&amp;Species=cespitosum&amp;SourcePage=search.php&amp;IncludeSynonyms=Y&amp;SortBy=DESC&amp;SortOrder=Year" TargetMode="External"/><Relationship Id="rId4795" Type="http://schemas.openxmlformats.org/officeDocument/2006/relationships/hyperlink" Target="https://en.wikipedia.org/wiki/Carex_macrocephala" TargetMode="External"/><Relationship Id="rId5846" Type="http://schemas.openxmlformats.org/officeDocument/2006/relationships/hyperlink" Target="http://www.burkemuseum.org/research-and-collections/botany-and-herbarium/collections/database/results.php?Genus=Juniperus&amp;Species=communis&amp;SourcePage=search.php&amp;IncludeSynonyms=Y&amp;SortBy=DESC&amp;SortOrder=Year" TargetMode="External"/><Relationship Id="rId7061" Type="http://schemas.openxmlformats.org/officeDocument/2006/relationships/hyperlink" Target="http://biology.burke.washington.edu/herbarium/imagecollection/taxon.php?Taxon=Agoseris%20heterophylla" TargetMode="External"/><Relationship Id="rId4448" Type="http://schemas.openxmlformats.org/officeDocument/2006/relationships/hyperlink" Target="https://plants.usda.gov/core/profile?symbol=SYHA" TargetMode="External"/><Relationship Id="rId4655" Type="http://schemas.openxmlformats.org/officeDocument/2006/relationships/hyperlink" Target="http://www.burkemuseum.org/research-and-collections/botany-and-herbarium/collections/database/results.php?Genus=Athyrium&amp;Species=filix-femina&amp;SourcePage=search.php&amp;IncludeSynonyms=Y&amp;SortBy=DESC&amp;SortOrder=Year" TargetMode="External"/><Relationship Id="rId4862" Type="http://schemas.openxmlformats.org/officeDocument/2006/relationships/hyperlink" Target="https://en.wikipedia.org/wiki/Conyza_canadensis" TargetMode="External"/><Relationship Id="rId5706" Type="http://schemas.openxmlformats.org/officeDocument/2006/relationships/hyperlink" Target="http://www.burkemuseum.org/research-and-collections/botany-and-herbarium/collections/database/results.php?Genus=Dryopteris&amp;Species=expansa&amp;SourcePage=search.php&amp;IncludeSynonyms=Y&amp;SortBy=DESC&amp;SortOrder=Year" TargetMode="External"/><Relationship Id="rId5913" Type="http://schemas.openxmlformats.org/officeDocument/2006/relationships/hyperlink" Target="http://www.burkemuseum.org/research-and-collections/botany-and-herbarium/collections/database/results.php?Genus=Lysimachia&amp;Species=latifolia&amp;SourcePage=search.php&amp;IncludeSynonyms=Y&amp;SortBy=DESC&amp;SortOrder=Year" TargetMode="External"/><Relationship Id="rId178" Type="http://schemas.openxmlformats.org/officeDocument/2006/relationships/hyperlink" Target="http://biology.burke.washington.edu/herbarium/imagecollection/taxon.php?Taxon=Melica%20smithii" TargetMode="External"/><Relationship Id="rId3257" Type="http://schemas.openxmlformats.org/officeDocument/2006/relationships/hyperlink" Target="http://www.burkemuseum.org/research-and-collections/botany-and-herbarium/collections/database/results.php?Genus=Psilocarphus&amp;Species=elatior&amp;SourcePage=search.php&amp;IncludeSynonyms=Y&amp;SortBy=DESC&amp;SortOrder=Year" TargetMode="External"/><Relationship Id="rId3464" Type="http://schemas.openxmlformats.org/officeDocument/2006/relationships/hyperlink" Target="http://www.burkemuseum.org/research-and-collections/botany-and-herbarium/collections/database/results.php?Genus=Asclepias&amp;Species=cordifolia&amp;SourcePage=search.php&amp;IncludeSynonyms=Y&amp;SortBy=DESC&amp;SortOrder=Year" TargetMode="External"/><Relationship Id="rId3671" Type="http://schemas.openxmlformats.org/officeDocument/2006/relationships/hyperlink" Target="https://plants.usda.gov/core/profile?symbol=ANGE2" TargetMode="External"/><Relationship Id="rId4308" Type="http://schemas.openxmlformats.org/officeDocument/2006/relationships/hyperlink" Target="https://plants.usda.gov/core/profile?symbol=RHMA3" TargetMode="External"/><Relationship Id="rId4515" Type="http://schemas.openxmlformats.org/officeDocument/2006/relationships/hyperlink" Target="https://plants.usda.gov/core/profile?symbol=VILA6" TargetMode="External"/><Relationship Id="rId4722" Type="http://schemas.openxmlformats.org/officeDocument/2006/relationships/hyperlink" Target="https://en.wikipedia.org/wiki/Athyrium_filix-femina" TargetMode="External"/><Relationship Id="rId385" Type="http://schemas.openxmlformats.org/officeDocument/2006/relationships/hyperlink" Target="http://biology.burke.washington.edu/herbarium/imagecollectionnew/taxon.php?Taxon=Crassula%20aquatica" TargetMode="External"/><Relationship Id="rId592" Type="http://schemas.openxmlformats.org/officeDocument/2006/relationships/hyperlink" Target="https://en.wikipedia.org/wiki/Sidalcea_hendersonii" TargetMode="External"/><Relationship Id="rId2066" Type="http://schemas.openxmlformats.org/officeDocument/2006/relationships/hyperlink" Target="http://plants.usda.gov/core/profile?symbol=LEMOM2" TargetMode="External"/><Relationship Id="rId2273" Type="http://schemas.openxmlformats.org/officeDocument/2006/relationships/hyperlink" Target="http://plants.usda.gov/java/profile?symbol=CILA2" TargetMode="External"/><Relationship Id="rId2480" Type="http://schemas.openxmlformats.org/officeDocument/2006/relationships/hyperlink" Target="http://plants.usda.gov/java/profile?symbol=RUSP" TargetMode="External"/><Relationship Id="rId3117" Type="http://schemas.openxmlformats.org/officeDocument/2006/relationships/hyperlink" Target="http://www.burkemuseum.org/research-and-collections/botany-and-herbarium/collections/database/results.php?Genus=Lycopodium&amp;Species=clavatum&amp;SourcePage=search.php&amp;IncludeSynonyms=Y&amp;SortBy=DESC&amp;SortOrder=Year" TargetMode="External"/><Relationship Id="rId3324" Type="http://schemas.openxmlformats.org/officeDocument/2006/relationships/hyperlink" Target="http://www.burkemuseum.org/research-and-collections/botany-and-herbarium/collections/database/results.php?Genus=Sanicula&amp;Species=arctopoides&amp;SourcePage=search.php&amp;IncludeSynonyms=Y&amp;SortBy=DESC&amp;SortOrder=Year" TargetMode="External"/><Relationship Id="rId3531" Type="http://schemas.openxmlformats.org/officeDocument/2006/relationships/hyperlink" Target="http://www.burkemuseum.org/research-and-collections/botany-and-herbarium/collections/database/results.php?Genus=Malus&amp;Species=fusca&amp;SourcePage=search.php&amp;IncludeSynonyms=Y&amp;SortBy=DESC&amp;SortOrder=Year" TargetMode="External"/><Relationship Id="rId6687" Type="http://schemas.openxmlformats.org/officeDocument/2006/relationships/hyperlink" Target="http://biology.burke.washington.edu/herbarium/imagecollection/taxon.php?Taxon=Poa%20unilateralis" TargetMode="External"/><Relationship Id="rId6894" Type="http://schemas.openxmlformats.org/officeDocument/2006/relationships/hyperlink" Target="https://en.wikipedia.org/wiki/Rhododendron_occidentale" TargetMode="External"/><Relationship Id="rId245" Type="http://schemas.openxmlformats.org/officeDocument/2006/relationships/hyperlink" Target="http://biology.burke.washington.edu/herbarium/imagecollection/taxon.php?Taxon=Agastache%20urticifolia" TargetMode="External"/><Relationship Id="rId452" Type="http://schemas.openxmlformats.org/officeDocument/2006/relationships/hyperlink" Target="http://biology.burke.washington.edu/herbarium/imagecollectionnew/taxon.php?Taxon=Delphinium%20glaucum" TargetMode="External"/><Relationship Id="rId1082" Type="http://schemas.openxmlformats.org/officeDocument/2006/relationships/hyperlink" Target="https://en.wikipedia.org/wiki/Lobelia_kalmii" TargetMode="External"/><Relationship Id="rId2133" Type="http://schemas.openxmlformats.org/officeDocument/2006/relationships/hyperlink" Target="http://plants.usda.gov/java/profile?symbol=GOOB2" TargetMode="External"/><Relationship Id="rId2340" Type="http://schemas.openxmlformats.org/officeDocument/2006/relationships/hyperlink" Target="http://plants.usda.gov/core/profile?symbol=CALE4" TargetMode="External"/><Relationship Id="rId5289" Type="http://schemas.openxmlformats.org/officeDocument/2006/relationships/hyperlink" Target="https://en.wikipedia.org/wiki/Pterospora_andromedea" TargetMode="External"/><Relationship Id="rId5496" Type="http://schemas.openxmlformats.org/officeDocument/2006/relationships/hyperlink" Target="https://en.wikipedia.org/wiki/Vaccinium_uliginosum" TargetMode="External"/><Relationship Id="rId6547" Type="http://schemas.openxmlformats.org/officeDocument/2006/relationships/hyperlink" Target="http://biology.burke.washington.edu/herbarium/imagecollection/taxon.php?Taxon=Lathyrus%20littoralis" TargetMode="External"/><Relationship Id="rId6754" Type="http://schemas.openxmlformats.org/officeDocument/2006/relationships/hyperlink" Target="http://biology.burke.washington.edu/herbarium/imagecollection/taxon.php?Taxon=Juncus%20supiniformis" TargetMode="External"/><Relationship Id="rId105" Type="http://schemas.openxmlformats.org/officeDocument/2006/relationships/hyperlink" Target="http://biology.burke.washington.edu/herbarium/imagecollection.php?SciName=Isoetes%20tenella" TargetMode="External"/><Relationship Id="rId312" Type="http://schemas.openxmlformats.org/officeDocument/2006/relationships/hyperlink" Target="http://biology.burke.washington.edu/herbarium/imagecollectionnew/taxon.php?Taxon=Mahonia%20aquifolium" TargetMode="External"/><Relationship Id="rId2200" Type="http://schemas.openxmlformats.org/officeDocument/2006/relationships/hyperlink" Target="http://plants.usda.gov/java/profile?symbol=ELCA7" TargetMode="External"/><Relationship Id="rId4098" Type="http://schemas.openxmlformats.org/officeDocument/2006/relationships/hyperlink" Target="https://plants.usda.gov/core/profile?symbol=LULI2" TargetMode="External"/><Relationship Id="rId5149" Type="http://schemas.openxmlformats.org/officeDocument/2006/relationships/hyperlink" Target="https://en.wikipedia.org/wiki/Monotropa_uniflora" TargetMode="External"/><Relationship Id="rId5356" Type="http://schemas.openxmlformats.org/officeDocument/2006/relationships/hyperlink" Target="https://en.wikipedia.org/wiki/Salix_hookeriana" TargetMode="External"/><Relationship Id="rId5563" Type="http://schemas.openxmlformats.org/officeDocument/2006/relationships/hyperlink" Target="http://www.burkemuseum.org/research-and-collections/botany-and-herbarium/collections/database/results.php?Genus=Canadanthus&amp;Species=modestus&amp;SourcePage=search.php&amp;IncludeSynonyms=Y&amp;SortBy=DESC&amp;SortOrder=Year" TargetMode="External"/><Relationship Id="rId6407" Type="http://schemas.openxmlformats.org/officeDocument/2006/relationships/hyperlink" Target="http://biology.burke.washington.edu/herbarium/imagecollectionnew/taxon.php?Taxon=Canadanthus%20modestus" TargetMode="External"/><Relationship Id="rId6961" Type="http://schemas.openxmlformats.org/officeDocument/2006/relationships/hyperlink" Target="http://biology.burke.washington.edu/herbarium/imagecollection/taxon.php?Taxon=Hypericum%20scouleri" TargetMode="External"/><Relationship Id="rId1899" Type="http://schemas.openxmlformats.org/officeDocument/2006/relationships/hyperlink" Target="https://plants.usda.gov/core/profile?symbol=PSEL" TargetMode="External"/><Relationship Id="rId4165" Type="http://schemas.openxmlformats.org/officeDocument/2006/relationships/hyperlink" Target="https://plants.usda.gov/core/profile?symbol=NASQ" TargetMode="External"/><Relationship Id="rId4372" Type="http://schemas.openxmlformats.org/officeDocument/2006/relationships/hyperlink" Target="https://plants.usda.gov/core/profile?symbol=SAAR9" TargetMode="External"/><Relationship Id="rId5009" Type="http://schemas.openxmlformats.org/officeDocument/2006/relationships/hyperlink" Target="https://en.wikipedia.org/wiki/Hemitomes_congestum" TargetMode="External"/><Relationship Id="rId5216" Type="http://schemas.openxmlformats.org/officeDocument/2006/relationships/hyperlink" Target="https://en.wikipedia.org/wiki/Phacelia_heterophylla" TargetMode="External"/><Relationship Id="rId5770" Type="http://schemas.openxmlformats.org/officeDocument/2006/relationships/hyperlink" Target="http://www.burkemuseum.org/research-and-collections/botany-and-herbarium/collections/database/results.php?Genus=Galium&amp;Species=palustre&amp;SourcePage=search.php&amp;IncludeSynonyms=Y&amp;SortBy=DESC&amp;SortOrder=Year" TargetMode="External"/><Relationship Id="rId6614" Type="http://schemas.openxmlformats.org/officeDocument/2006/relationships/hyperlink" Target="http://biology.burke.washington.edu/herbarium/imagecollectionnew/taxon.php?Taxon=Veronica%20scutellata" TargetMode="External"/><Relationship Id="rId6821" Type="http://schemas.openxmlformats.org/officeDocument/2006/relationships/hyperlink" Target="http://biology.burke.washington.edu/herbarium/imagecollectionnew/taxon.php?Taxon=Castilleja%20ambigua" TargetMode="External"/><Relationship Id="rId1759" Type="http://schemas.openxmlformats.org/officeDocument/2006/relationships/hyperlink" Target="http://plants.usda.gov/java/profile?symbol=TRCE3" TargetMode="External"/><Relationship Id="rId1966" Type="http://schemas.openxmlformats.org/officeDocument/2006/relationships/hyperlink" Target="https://plants.usda.gov/core/profile?symbol=MIBR6" TargetMode="External"/><Relationship Id="rId3181" Type="http://schemas.openxmlformats.org/officeDocument/2006/relationships/hyperlink" Target="http://www.burkemuseum.org/research-and-collections/botany-and-herbarium/collections/database/results.php?Genus=Oxybasis&amp;Species=rubra&amp;SourcePage=search.php&amp;IncludeSynonyms=Y&amp;SortBy=DESC&amp;SortOrder=Year" TargetMode="External"/><Relationship Id="rId4025" Type="http://schemas.openxmlformats.org/officeDocument/2006/relationships/hyperlink" Target="https://plants.usda.gov/core/profile?symbol=HYSC5" TargetMode="External"/><Relationship Id="rId5423" Type="http://schemas.openxmlformats.org/officeDocument/2006/relationships/hyperlink" Target="https://en.wikipedia.org/wiki/Spiraea_densiflora" TargetMode="External"/><Relationship Id="rId5630" Type="http://schemas.openxmlformats.org/officeDocument/2006/relationships/hyperlink" Target="http://www.burkemuseum.org/research-and-collections/botany-and-herbarium/collections/database/results.php?Genus=Cicuta&amp;Species=bulbifera&amp;SourcePage=search.php&amp;IncludeSynonyms=Y&amp;SortBy=DESC&amp;SortOrder=Year" TargetMode="External"/><Relationship Id="rId1619" Type="http://schemas.openxmlformats.org/officeDocument/2006/relationships/hyperlink" Target="https://en.wikipedia.org/wiki/Huperzia" TargetMode="External"/><Relationship Id="rId1826" Type="http://schemas.openxmlformats.org/officeDocument/2006/relationships/hyperlink" Target="http://plants.usda.gov/core/profile?symbol=SCACO2" TargetMode="External"/><Relationship Id="rId4232" Type="http://schemas.openxmlformats.org/officeDocument/2006/relationships/hyperlink" Target="https://plants.usda.gov/core/profile?symbol=PIEL4" TargetMode="External"/><Relationship Id="rId3041" Type="http://schemas.openxmlformats.org/officeDocument/2006/relationships/hyperlink" Target="http://www.burkemuseum.org/research-and-collections/botany-and-herbarium/collections/database/results.php?Genus=Holodiscus&amp;Species=discolor&amp;SourcePage=search.php&amp;IncludeSynonyms=Y&amp;SortBy=DESC&amp;SortOrder=Year" TargetMode="External"/><Relationship Id="rId3998" Type="http://schemas.openxmlformats.org/officeDocument/2006/relationships/hyperlink" Target="https://plants.usda.gov/core/profile?symbol=HEMI20" TargetMode="External"/><Relationship Id="rId6197" Type="http://schemas.openxmlformats.org/officeDocument/2006/relationships/hyperlink" Target="http://www.burkemuseum.org/research-and-collections/botany-and-herbarium/collections/database/results.php?Genus=Sericocarpus&amp;Species=rigidus&amp;SourcePage=search.php&amp;IncludeSynonyms=Y&amp;SortBy=DESC&amp;SortOrder=Year" TargetMode="External"/><Relationship Id="rId3858" Type="http://schemas.openxmlformats.org/officeDocument/2006/relationships/hyperlink" Target="http://plants.usda.gov/java/profile?symbol=COSC4" TargetMode="External"/><Relationship Id="rId4909" Type="http://schemas.openxmlformats.org/officeDocument/2006/relationships/hyperlink" Target="https://en.wikipedia.org/wiki/Draba_cana" TargetMode="External"/><Relationship Id="rId6057" Type="http://schemas.openxmlformats.org/officeDocument/2006/relationships/hyperlink" Target="http://www.burkemuseum.org/research-and-collections/botany-and-herbarium/collections/database/results.php?Genus=Polystichum&amp;Species=californicum&amp;SourcePage=search.php&amp;IncludeSynonyms=Y&amp;SortBy=DESC&amp;SortOrder=Year" TargetMode="External"/><Relationship Id="rId6264" Type="http://schemas.openxmlformats.org/officeDocument/2006/relationships/hyperlink" Target="http://www.burkemuseum.org/research-and-collections/botany-and-herbarium/collections/database/results.php?Genus=Trifolium&amp;Species=bifidum&amp;SourcePage=search.php&amp;IncludeSynonyms=Y&amp;SortBy=DESC&amp;SortOrder=Year" TargetMode="External"/><Relationship Id="rId6471" Type="http://schemas.openxmlformats.org/officeDocument/2006/relationships/hyperlink" Target="http://biology.burke.washington.edu/herbarium/imagecollectionnew/taxon.php?Taxon=Dryopteris%20expansa" TargetMode="External"/><Relationship Id="rId7108" Type="http://schemas.openxmlformats.org/officeDocument/2006/relationships/hyperlink" Target="http://biology.burke.washington.edu/herbarium/imagecollectionnew/taxon.php?Taxon=Tellima%20grandiflora" TargetMode="External"/><Relationship Id="rId779" Type="http://schemas.openxmlformats.org/officeDocument/2006/relationships/hyperlink" Target="https://en.wikipedia.org/wiki/Polystichum_munitum" TargetMode="External"/><Relationship Id="rId986" Type="http://schemas.openxmlformats.org/officeDocument/2006/relationships/hyperlink" Target="http://en.wikipedia.org/wiki/Azolla_mexicana" TargetMode="External"/><Relationship Id="rId2667" Type="http://schemas.openxmlformats.org/officeDocument/2006/relationships/hyperlink" Target="http://biology.burke.washington.edu/herbarium/imagecollection/taxon.php?Taxon=Orthilia%20secunda" TargetMode="External"/><Relationship Id="rId3718" Type="http://schemas.openxmlformats.org/officeDocument/2006/relationships/hyperlink" Target="https://plants.usda.gov/core/profile?symbol=MARE11" TargetMode="External"/><Relationship Id="rId5073" Type="http://schemas.openxmlformats.org/officeDocument/2006/relationships/hyperlink" Target="https://en.wikipedia.org/wiki/Leptarrhena_pyrolifolia" TargetMode="External"/><Relationship Id="rId5280" Type="http://schemas.openxmlformats.org/officeDocument/2006/relationships/hyperlink" Target="https://en.wikipedia.org/wiki/Prosartes_hookeri" TargetMode="External"/><Relationship Id="rId6124" Type="http://schemas.openxmlformats.org/officeDocument/2006/relationships/hyperlink" Target="http://www.burkemuseum.org/research-and-collections/botany-and-herbarium/collections/database/results.php?Genus=Ribes&amp;Species=triste&amp;SourcePage=search.php&amp;IncludeSynonyms=Y&amp;SortBy=DESC&amp;SortOrder=Year" TargetMode="External"/><Relationship Id="rId6331" Type="http://schemas.openxmlformats.org/officeDocument/2006/relationships/hyperlink" Target="http://www.burkemuseum.org/research-and-collections/botany-and-herbarium/collections/database/results.php?Genus=Elymus&amp;Species=elymoides&amp;SourcePage=search.php&amp;IncludeSynonyms=Y&amp;SortBy=DESC&amp;SortOrder=Year" TargetMode="External"/><Relationship Id="rId639" Type="http://schemas.openxmlformats.org/officeDocument/2006/relationships/hyperlink" Target="https://en.wikipedia.org/wiki/Ruppia_maritima" TargetMode="External"/><Relationship Id="rId1269" Type="http://schemas.openxmlformats.org/officeDocument/2006/relationships/hyperlink" Target="https://en.wikipedia.org/wiki/Oxalis_suksdorfii" TargetMode="External"/><Relationship Id="rId1476" Type="http://schemas.openxmlformats.org/officeDocument/2006/relationships/hyperlink" Target="https://en.wikipedia.org/wiki/Vaccinium_parvifolium" TargetMode="External"/><Relationship Id="rId2874" Type="http://schemas.openxmlformats.org/officeDocument/2006/relationships/hyperlink" Target="http://www.burkemuseum.org/research-and-collections/botany-and-herbarium/collections/database/results.php?Genus=Chamaenerion&amp;Species=augustifolium&amp;SourcePage=search.php&amp;IncludeSynonyms=Y&amp;SortBy=DESC&amp;SortOrder=Year" TargetMode="External"/><Relationship Id="rId3925" Type="http://schemas.openxmlformats.org/officeDocument/2006/relationships/hyperlink" Target="https://plants.usda.gov/core/profile?symbol=EQHY" TargetMode="External"/><Relationship Id="rId5140" Type="http://schemas.openxmlformats.org/officeDocument/2006/relationships/hyperlink" Target="https://en.wikipedia.org/wiki/Micranthes_tischii" TargetMode="External"/><Relationship Id="rId846" Type="http://schemas.openxmlformats.org/officeDocument/2006/relationships/hyperlink" Target="https://en.wikipedia.org/wiki/Montia_linearis" TargetMode="External"/><Relationship Id="rId1129" Type="http://schemas.openxmlformats.org/officeDocument/2006/relationships/hyperlink" Target="https://en.wikipedia.org/wiki/Impatiens_ecornuta" TargetMode="External"/><Relationship Id="rId1683" Type="http://schemas.openxmlformats.org/officeDocument/2006/relationships/hyperlink" Target="http://biology.burke.washington.edu/herbarium/imagecollectionnew/taxon.php?Taxon=Anemone%20multifida" TargetMode="External"/><Relationship Id="rId1890" Type="http://schemas.openxmlformats.org/officeDocument/2006/relationships/hyperlink" Target="http://plants.usda.gov/java/profile?symbol=RAAL" TargetMode="External"/><Relationship Id="rId2527" Type="http://schemas.openxmlformats.org/officeDocument/2006/relationships/hyperlink" Target="http://plants.usda.gov/java/profile?symbol=LURI" TargetMode="External"/><Relationship Id="rId2734" Type="http://schemas.openxmlformats.org/officeDocument/2006/relationships/hyperlink" Target="http://www.burkemuseum.org/research-and-collections/botany-and-herbarium/collections/database/results.php?Genus=Agrostis&amp;Species=scabra&amp;SourcePage=search.php&amp;IncludeSynonyms=Y&amp;SortBy=DESC&amp;SortOrder=Year" TargetMode="External"/><Relationship Id="rId2941" Type="http://schemas.openxmlformats.org/officeDocument/2006/relationships/hyperlink" Target="http://www.burkemuseum.org/research-and-collections/botany-and-herbarium/collections/database/results.php?Genus=Dodecatheon&amp;Species=austrofrigidum&amp;SourcePage=search.php&amp;IncludeSynonyms=Y&amp;SortBy=DESC&amp;SortOrder=Year" TargetMode="External"/><Relationship Id="rId5000" Type="http://schemas.openxmlformats.org/officeDocument/2006/relationships/hyperlink" Target="https://en.wikipedia.org/wiki/Goodyera_oblongifolia" TargetMode="External"/><Relationship Id="rId706" Type="http://schemas.openxmlformats.org/officeDocument/2006/relationships/hyperlink" Target="https://en.wikipedia.org/wiki/Erigeron_speciosus" TargetMode="External"/><Relationship Id="rId913" Type="http://schemas.openxmlformats.org/officeDocument/2006/relationships/hyperlink" Target="http://en.wikipedia.org/wiki/Cephalanthera_austiniae" TargetMode="External"/><Relationship Id="rId1336" Type="http://schemas.openxmlformats.org/officeDocument/2006/relationships/hyperlink" Target="http://biology.burke.washington.edu/herbarium/imagecollection/taxon.php?Taxon=Rhododendron%20groenlandicum" TargetMode="External"/><Relationship Id="rId1543" Type="http://schemas.openxmlformats.org/officeDocument/2006/relationships/hyperlink" Target="https://en.wikipedia.org/wiki/Pinus_contorta" TargetMode="External"/><Relationship Id="rId1750" Type="http://schemas.openxmlformats.org/officeDocument/2006/relationships/hyperlink" Target="http://plants.usda.gov/java/profile?symbol=TROV2" TargetMode="External"/><Relationship Id="rId2801" Type="http://schemas.openxmlformats.org/officeDocument/2006/relationships/hyperlink" Target="http://www.burkemuseum.org/research-and-collections/botany-and-herbarium/collections/database/results.php?Genus=Boschniakia&amp;Species=hookeri&amp;SourcePage=search.php&amp;IncludeSynonyms=Y&amp;SortBy=DESC&amp;SortOrder=Year" TargetMode="External"/><Relationship Id="rId4699" Type="http://schemas.openxmlformats.org/officeDocument/2006/relationships/hyperlink" Target="https://en.wikipedia.org/wiki/Aquilegia_formosa" TargetMode="External"/><Relationship Id="rId5957" Type="http://schemas.openxmlformats.org/officeDocument/2006/relationships/hyperlink" Target="http://www.burkemuseum.org/research-and-collections/botany-and-herbarium/collections/database/results.php?Genus=Myrica&amp;Species=gale&amp;SourcePage=search.php&amp;IncludeSynonyms=Y&amp;SortBy=DESC&amp;SortOrder=Year" TargetMode="External"/><Relationship Id="rId42" Type="http://schemas.openxmlformats.org/officeDocument/2006/relationships/hyperlink" Target="http://biology.burke.washington.edu/herbarium/imagecollection/taxon.php?Taxon=Mertensia%20platyphylla" TargetMode="External"/><Relationship Id="rId1403" Type="http://schemas.openxmlformats.org/officeDocument/2006/relationships/hyperlink" Target="http://biology.burke.washington.edu/herbarium/imagecollection/taxon.php?Taxon=Prosartes%20smithii" TargetMode="External"/><Relationship Id="rId1610" Type="http://schemas.openxmlformats.org/officeDocument/2006/relationships/hyperlink" Target="https://en.wikipedia.org/wiki/Lathyrus_polyphyllus" TargetMode="External"/><Relationship Id="rId4559" Type="http://schemas.openxmlformats.org/officeDocument/2006/relationships/hyperlink" Target="https://en.wikipedia.org/wiki/Allium_crenulatum" TargetMode="External"/><Relationship Id="rId4766" Type="http://schemas.openxmlformats.org/officeDocument/2006/relationships/hyperlink" Target="https://en.wikipedia.org/wiki/Camissonia_contorta" TargetMode="External"/><Relationship Id="rId4973" Type="http://schemas.openxmlformats.org/officeDocument/2006/relationships/hyperlink" Target="https://en.wikipedia.org/wiki/Fraxinus_latifolia" TargetMode="External"/><Relationship Id="rId5817" Type="http://schemas.openxmlformats.org/officeDocument/2006/relationships/hyperlink" Target="http://www.burkemuseum.org/research-and-collections/botany-and-herbarium/collections/database/results.php?Genus=Hosackia&amp;Species=pinnata&amp;SourcePage=search.php&amp;IncludeSynonyms=Y&amp;SortBy=DESC&amp;SortOrder=Year" TargetMode="External"/><Relationship Id="rId7172" Type="http://schemas.openxmlformats.org/officeDocument/2006/relationships/hyperlink" Target="http://biology.burke.washington.edu/herbarium/imagecollection/taxon.php?Taxon=Salix%20bebbiana" TargetMode="External"/><Relationship Id="rId3368" Type="http://schemas.openxmlformats.org/officeDocument/2006/relationships/hyperlink" Target="http://www.burkemuseum.org/research-and-collections/botany-and-herbarium/collections/database/results.php?Genus=Spiranthes&amp;Species=porrifolia&amp;SourcePage=search.php&amp;IncludeSynonyms=Y&amp;SortBy=DESC&amp;SortOrder=Year" TargetMode="External"/><Relationship Id="rId3575" Type="http://schemas.openxmlformats.org/officeDocument/2006/relationships/hyperlink" Target="http://www.burkemuseum.org/research-and-collections/botany-and-herbarium/collections/database/results.php?Genus=Rosa&amp;Species=pisocarpa&amp;SourcePage=search.php&amp;IncludeSynonyms=Y&amp;SortBy=DESC&amp;SortOrder=Year" TargetMode="External"/><Relationship Id="rId3782" Type="http://schemas.openxmlformats.org/officeDocument/2006/relationships/hyperlink" Target="https://plants.usda.gov/core/profile?symbol=CAMA10" TargetMode="External"/><Relationship Id="rId4419" Type="http://schemas.openxmlformats.org/officeDocument/2006/relationships/hyperlink" Target="https://plants.usda.gov/core/profile?symbol=SPFL" TargetMode="External"/><Relationship Id="rId4626" Type="http://schemas.openxmlformats.org/officeDocument/2006/relationships/hyperlink" Target="http://www.burkemuseum.org/research-and-collections/botany-and-herbarium/collections/database/results.php?Genus=Antennaria&amp;Species=howellii&amp;SourcePage=search.php&amp;IncludeSynonyms=Y&amp;SortBy=DESC&amp;SortOrder=Year" TargetMode="External"/><Relationship Id="rId4833" Type="http://schemas.openxmlformats.org/officeDocument/2006/relationships/hyperlink" Target="https://en.wikipedia.org/wiki/Chimaphila_menziesii" TargetMode="External"/><Relationship Id="rId7032" Type="http://schemas.openxmlformats.org/officeDocument/2006/relationships/hyperlink" Target="http://biology.burke.washington.edu/herbarium/imagecollectionnew/taxon.php?Taxon=Calypso%20bulbosa" TargetMode="External"/><Relationship Id="rId289" Type="http://schemas.openxmlformats.org/officeDocument/2006/relationships/hyperlink" Target="http://biology.burke.washington.edu/herbarium/imagecollectionnew/taxon.php?Taxon=Agrostis%20pallens" TargetMode="External"/><Relationship Id="rId496" Type="http://schemas.openxmlformats.org/officeDocument/2006/relationships/hyperlink" Target="https://en.wikipedia.org/wiki/Zannichellia_palustris" TargetMode="External"/><Relationship Id="rId2177" Type="http://schemas.openxmlformats.org/officeDocument/2006/relationships/hyperlink" Target="http://plants.usda.gov/java/profile?symbol=ERGR8" TargetMode="External"/><Relationship Id="rId2384" Type="http://schemas.openxmlformats.org/officeDocument/2006/relationships/hyperlink" Target="https://plants.usda.gov/core/profile?symbol=aram2" TargetMode="External"/><Relationship Id="rId2591" Type="http://schemas.openxmlformats.org/officeDocument/2006/relationships/hyperlink" Target="https://plants.usda.gov/core/profile?symbol=ASSP" TargetMode="External"/><Relationship Id="rId3228" Type="http://schemas.openxmlformats.org/officeDocument/2006/relationships/hyperlink" Target="http://www.burkemuseum.org/research-and-collections/botany-and-herbarium/collections/database/results.php?Genus=Polypodium&amp;Species=hesperium&amp;SourcePage=search.php&amp;IncludeSynonyms=Y&amp;SortBy=DESC&amp;SortOrder=Year" TargetMode="External"/><Relationship Id="rId3435" Type="http://schemas.openxmlformats.org/officeDocument/2006/relationships/hyperlink" Target="http://www.burkemuseum.org/research-and-collections/botany-and-herbarium/collections/database/results.php?Genus=Viburnum&amp;Species=opulus&amp;SourcePage=search.php&amp;IncludeSynonyms=Y&amp;SortBy=DESC&amp;SortOrder=Year" TargetMode="External"/><Relationship Id="rId3642" Type="http://schemas.openxmlformats.org/officeDocument/2006/relationships/hyperlink" Target="https://plants.usda.gov/core/profile?symbol=AGEL" TargetMode="External"/><Relationship Id="rId6798" Type="http://schemas.openxmlformats.org/officeDocument/2006/relationships/hyperlink" Target="http://biology.burke.washington.edu/herbarium/imagecollectionnew/taxon.php?Taxon=Daucus%20pusillus" TargetMode="External"/><Relationship Id="rId149" Type="http://schemas.openxmlformats.org/officeDocument/2006/relationships/hyperlink" Target="http://biology.burke.washington.edu/herbarium/imagecollection/taxon.php?Taxon=Fritillaria%20camschatcensis" TargetMode="External"/><Relationship Id="rId356" Type="http://schemas.openxmlformats.org/officeDocument/2006/relationships/hyperlink" Target="http://biology.burke.washington.edu/herbarium/imagecollectionnew/taxon.php?Taxon=Carex%20echinata" TargetMode="External"/><Relationship Id="rId563" Type="http://schemas.openxmlformats.org/officeDocument/2006/relationships/hyperlink" Target="https://en.wikipedia.org/wiki/Subularia" TargetMode="External"/><Relationship Id="rId770" Type="http://schemas.openxmlformats.org/officeDocument/2006/relationships/hyperlink" Target="https://en.wikipedia.org/wiki/Potamogeton_nodosus" TargetMode="External"/><Relationship Id="rId1193" Type="http://schemas.openxmlformats.org/officeDocument/2006/relationships/hyperlink" Target="http://biology.burke.washington.edu/herbarium/imagecollectionnew/taxon.php?Taxon=Lysimachia%20europaea" TargetMode="External"/><Relationship Id="rId2037" Type="http://schemas.openxmlformats.org/officeDocument/2006/relationships/hyperlink" Target="http://plants.usda.gov/java/profile?symbol=LYUN" TargetMode="External"/><Relationship Id="rId2244" Type="http://schemas.openxmlformats.org/officeDocument/2006/relationships/hyperlink" Target="https://plants.usda.gov/core/profile?symbol=COCAA" TargetMode="External"/><Relationship Id="rId2451" Type="http://schemas.openxmlformats.org/officeDocument/2006/relationships/hyperlink" Target="http://plants.usda.gov/java/profile?symbol=VADE" TargetMode="External"/><Relationship Id="rId4900" Type="http://schemas.openxmlformats.org/officeDocument/2006/relationships/hyperlink" Target="https://en.wikipedia.org/wiki/Deschampsia_elongata" TargetMode="External"/><Relationship Id="rId6658" Type="http://schemas.openxmlformats.org/officeDocument/2006/relationships/hyperlink" Target="http://biology.burke.washington.edu/herbarium/imagecollection/taxon.php?Taxon=Samolus%20parviflorus" TargetMode="External"/><Relationship Id="rId216" Type="http://schemas.openxmlformats.org/officeDocument/2006/relationships/hyperlink" Target="http://biology.burke.washington.edu/herbarium/imagecollection/taxon.php?Taxon=Rhinanthus%20minor" TargetMode="External"/><Relationship Id="rId423" Type="http://schemas.openxmlformats.org/officeDocument/2006/relationships/hyperlink" Target="http://biology.burke.washington.edu/herbarium/imagecollectionnew/taxon.php?Taxon=Chenopodium%20berlandieri" TargetMode="External"/><Relationship Id="rId1053" Type="http://schemas.openxmlformats.org/officeDocument/2006/relationships/hyperlink" Target="https://en.wikipedia.org/wiki/Chimaphila_menziesii" TargetMode="External"/><Relationship Id="rId1260" Type="http://schemas.openxmlformats.org/officeDocument/2006/relationships/hyperlink" Target="http://biology.burke.washington.edu/herbarium/imagecollectionnew/taxon.php?Taxon=Micranthes%20tischii" TargetMode="External"/><Relationship Id="rId2104" Type="http://schemas.openxmlformats.org/officeDocument/2006/relationships/hyperlink" Target="https://plants.usda.gov/core/profile?symbol=IMNO" TargetMode="External"/><Relationship Id="rId3502" Type="http://schemas.openxmlformats.org/officeDocument/2006/relationships/hyperlink" Target="http://www.burkemuseum.org/research-and-collections/botany-and-herbarium/collections/database/results.php?Genus=Gaultheria&amp;Species=shallon&amp;SourcePage=search.php&amp;IncludeSynonyms=Y&amp;SortBy=DESC&amp;SortOrder=Year" TargetMode="External"/><Relationship Id="rId6865" Type="http://schemas.openxmlformats.org/officeDocument/2006/relationships/hyperlink" Target="http://biology.burke.washington.edu/herbarium/imagecollection/taxon.php?Taxon=Agoseris%20apargioides" TargetMode="External"/><Relationship Id="rId630" Type="http://schemas.openxmlformats.org/officeDocument/2006/relationships/hyperlink" Target="https://en.wikipedia.org/wiki/Willow" TargetMode="External"/><Relationship Id="rId2311" Type="http://schemas.openxmlformats.org/officeDocument/2006/relationships/hyperlink" Target="https://plants.usda.gov/core/profile?symbol=CALE24" TargetMode="External"/><Relationship Id="rId4069" Type="http://schemas.openxmlformats.org/officeDocument/2006/relationships/hyperlink" Target="https://plants.usda.gov/core/profile?symbol=LEBI8" TargetMode="External"/><Relationship Id="rId5467" Type="http://schemas.openxmlformats.org/officeDocument/2006/relationships/hyperlink" Target="https://en.wikipedia.org/wiki/Trifolium_microdon" TargetMode="External"/><Relationship Id="rId5674" Type="http://schemas.openxmlformats.org/officeDocument/2006/relationships/hyperlink" Target="http://www.burkemuseum.org/research-and-collections/botany-and-herbarium/collections/database/results.php?Genus=Cyperus&amp;Species=bipartitus&amp;SourcePage=search.php&amp;IncludeSynonyms=Y&amp;SortBy=DESC&amp;SortOrder=Year" TargetMode="External"/><Relationship Id="rId5881" Type="http://schemas.openxmlformats.org/officeDocument/2006/relationships/hyperlink" Target="http://www.burkemuseum.org/research-and-collections/botany-and-herbarium/collections/database/results.php?Genus=Lithophragma&amp;Species=parviflorum&amp;SourcePage=search.php&amp;IncludeSynonyms=Y&amp;SortBy=DESC&amp;SortOrder=Year" TargetMode="External"/><Relationship Id="rId6518" Type="http://schemas.openxmlformats.org/officeDocument/2006/relationships/hyperlink" Target="http://biology.burke.washington.edu/herbarium/imagecollection/taxon.php?Taxon=Gilia%20capitata" TargetMode="External"/><Relationship Id="rId6725" Type="http://schemas.openxmlformats.org/officeDocument/2006/relationships/hyperlink" Target="http://biology.burke.washington.edu/herbarium/imagecollection/taxon.php?Taxon=Montia%20dichotoma" TargetMode="External"/><Relationship Id="rId6932" Type="http://schemas.openxmlformats.org/officeDocument/2006/relationships/hyperlink" Target="http://biology.burke.washington.edu/herbarium/imagecollectionnew/taxon.php?Taxon=Micranthes%20integrifolia" TargetMode="External"/><Relationship Id="rId1120" Type="http://schemas.openxmlformats.org/officeDocument/2006/relationships/hyperlink" Target="https://species.wikimedia.org/wiki/Juncus_brevicaudatus" TargetMode="External"/><Relationship Id="rId4276" Type="http://schemas.openxmlformats.org/officeDocument/2006/relationships/hyperlink" Target="https://plants.usda.gov/core/profile?symbol=PRHO2" TargetMode="External"/><Relationship Id="rId4483" Type="http://schemas.openxmlformats.org/officeDocument/2006/relationships/hyperlink" Target="https://plants.usda.gov/core/profile?symbol=TYAN" TargetMode="External"/><Relationship Id="rId4690" Type="http://schemas.openxmlformats.org/officeDocument/2006/relationships/hyperlink" Target="https://en.wikipedia.org/wiki/Anisocarpus_madioides" TargetMode="External"/><Relationship Id="rId5327" Type="http://schemas.openxmlformats.org/officeDocument/2006/relationships/hyperlink" Target="https://en.wikipedia.org/wiki/Rosa_gymnocarpa" TargetMode="External"/><Relationship Id="rId5534" Type="http://schemas.openxmlformats.org/officeDocument/2006/relationships/hyperlink" Target="https://en.wikipedia.org/wiki/Lindernia_dubia" TargetMode="External"/><Relationship Id="rId5741" Type="http://schemas.openxmlformats.org/officeDocument/2006/relationships/hyperlink" Target="http://www.burkemuseum.org/research-and-collections/botany-and-herbarium/collections/database/results.php?Genus=Erythranthe&amp;Species=cardinalis&amp;SourcePage=search.php&amp;IncludeSynonyms=Y&amp;SortBy=DESC&amp;SortOrder=Year" TargetMode="External"/><Relationship Id="rId1937" Type="http://schemas.openxmlformats.org/officeDocument/2006/relationships/hyperlink" Target="https://plants.usda.gov/core/profile?symbol=PLFI2" TargetMode="External"/><Relationship Id="rId3085" Type="http://schemas.openxmlformats.org/officeDocument/2006/relationships/hyperlink" Target="http://www.burkemuseum.org/research-and-collections/botany-and-herbarium/collections/database/results.php?Genus=Lepidium&amp;Species=virginicum&amp;SourcePage=search.php&amp;IncludeSynonyms=Y&amp;SortBy=DESC&amp;SortOrder=Year" TargetMode="External"/><Relationship Id="rId3292" Type="http://schemas.openxmlformats.org/officeDocument/2006/relationships/hyperlink" Target="http://www.burkemuseum.org/research-and-collections/botany-and-herbarium/collections/database/results.php?Genus=Rubus&amp;Species=nutkanus&amp;SourcePage=search.php&amp;IncludeSynonyms=Y&amp;SortBy=DESC&amp;SortOrder=Year" TargetMode="External"/><Relationship Id="rId4136" Type="http://schemas.openxmlformats.org/officeDocument/2006/relationships/hyperlink" Target="https://plants.usda.gov/core/profile?symbol=SAOR2" TargetMode="External"/><Relationship Id="rId4343" Type="http://schemas.openxmlformats.org/officeDocument/2006/relationships/hyperlink" Target="https://plants.usda.gov/core/profile?symbol=MITE2" TargetMode="External"/><Relationship Id="rId4550" Type="http://schemas.openxmlformats.org/officeDocument/2006/relationships/hyperlink" Target="https://en.wikipedia.org/wiki/Agrostis_exarata" TargetMode="External"/><Relationship Id="rId5601" Type="http://schemas.openxmlformats.org/officeDocument/2006/relationships/hyperlink" Target="http://www.burkemuseum.org/research-and-collections/botany-and-herbarium/collections/database/results.php?Genus=Carex&amp;Species=stipata&amp;SourcePage=search.php&amp;IncludeSynonyms=Y&amp;SortBy=DESC&amp;SortOrder=Year" TargetMode="External"/><Relationship Id="rId3152" Type="http://schemas.openxmlformats.org/officeDocument/2006/relationships/hyperlink" Target="http://www.burkemuseum.org/research-and-collections/botany-and-herbarium/collections/database/results.php?Genus=Montia&amp;Species=fontana&amp;SourcePage=search.php&amp;IncludeSynonyms=Y&amp;SortBy=DESC&amp;SortOrder=Year" TargetMode="External"/><Relationship Id="rId4203" Type="http://schemas.openxmlformats.org/officeDocument/2006/relationships/hyperlink" Target="https://plants.usda.gov/core/profile?symbol=PEOV2" TargetMode="External"/><Relationship Id="rId4410" Type="http://schemas.openxmlformats.org/officeDocument/2006/relationships/hyperlink" Target="https://plants.usda.gov/core/profile?symbol=SIID" TargetMode="External"/><Relationship Id="rId280" Type="http://schemas.openxmlformats.org/officeDocument/2006/relationships/hyperlink" Target="http://en.wikipedia.org/wiki/Asarum_caudatum" TargetMode="External"/><Relationship Id="rId3012" Type="http://schemas.openxmlformats.org/officeDocument/2006/relationships/hyperlink" Target="http://www.burkemuseum.org/research-and-collections/botany-and-herbarium/collections/database/results.php?Genus=Gentianella&amp;Species=amarella&amp;SourcePage=search.php&amp;IncludeSynonyms=Y&amp;SortBy=DESC&amp;SortOrder=Year" TargetMode="External"/><Relationship Id="rId6168" Type="http://schemas.openxmlformats.org/officeDocument/2006/relationships/hyperlink" Target="http://www.burkemuseum.org/research-and-collections/botany-and-herbarium/collections/database/results.php?Genus=Sambucus&amp;Species=racemosa&amp;SourcePage=search.php&amp;IncludeSynonyms=Y&amp;SortBy=DESC&amp;SortOrder=Year" TargetMode="External"/><Relationship Id="rId6375" Type="http://schemas.openxmlformats.org/officeDocument/2006/relationships/hyperlink" Target="http://biology.burke.washington.edu/herbarium/imagecollectionnew/taxon.php?Taxon=Arctostaphylos%20columbiana" TargetMode="External"/><Relationship Id="rId6582" Type="http://schemas.openxmlformats.org/officeDocument/2006/relationships/hyperlink" Target="http://biology.burke.washington.edu/herbarium/imagecollectionnew/taxon.php?Taxon=Montia%20parvifolia" TargetMode="External"/><Relationship Id="rId7219" Type="http://schemas.openxmlformats.org/officeDocument/2006/relationships/hyperlink" Target="http://biology.burke.washington.edu/herbarium/imagecollection/taxon.php?Taxon=potentilla%20anserina" TargetMode="External"/><Relationship Id="rId140" Type="http://schemas.openxmlformats.org/officeDocument/2006/relationships/hyperlink" Target="http://biology.burke.washington.edu/herbarium/imagecollection/taxon.php?Taxon=Juncus%20oxymeris" TargetMode="External"/><Relationship Id="rId3969" Type="http://schemas.openxmlformats.org/officeDocument/2006/relationships/hyperlink" Target="https://plants.usda.gov/core/profile?symbol=gapa3" TargetMode="External"/><Relationship Id="rId5184" Type="http://schemas.openxmlformats.org/officeDocument/2006/relationships/hyperlink" Target="https://en.wikipedia.org/wiki/Orthocarpus_bracteosus" TargetMode="External"/><Relationship Id="rId5391" Type="http://schemas.openxmlformats.org/officeDocument/2006/relationships/hyperlink" Target="https://en.wikipedia.org/wiki/Sedum_lanceolatum" TargetMode="External"/><Relationship Id="rId6028" Type="http://schemas.openxmlformats.org/officeDocument/2006/relationships/hyperlink" Target="http://www.burkemuseum.org/research-and-collections/botany-and-herbarium/collections/database/results.php?Genus=Plagiobothrys&amp;Species=scouleri&amp;SourcePage=search.php&amp;IncludeSynonyms=Y&amp;SortBy=DESC&amp;SortOrder=Year" TargetMode="External"/><Relationship Id="rId6235" Type="http://schemas.openxmlformats.org/officeDocument/2006/relationships/hyperlink" Target="http://www.burkemuseum.org/research-and-collections/botany-and-herbarium/collections/database/results.php?Genus=Stellaria&amp;Species=nitens&amp;SourcePage=search.php&amp;IncludeSynonyms=Y&amp;SortBy=DESC&amp;SortOrder=Year" TargetMode="External"/><Relationship Id="rId6" Type="http://schemas.openxmlformats.org/officeDocument/2006/relationships/hyperlink" Target="http://en.wikipedia.org/wiki/Asclepias_fascicularis" TargetMode="External"/><Relationship Id="rId2778" Type="http://schemas.openxmlformats.org/officeDocument/2006/relationships/hyperlink" Target="http://www.burkemuseum.org/research-and-collections/botany-and-herbarium/collections/database/results.php?Genus=Artemisia&amp;Species=suksdorfii&amp;SourcePage=search.php&amp;IncludeSynonyms=Y&amp;SortBy=DESC&amp;SortOrder=Year" TargetMode="External"/><Relationship Id="rId2985" Type="http://schemas.openxmlformats.org/officeDocument/2006/relationships/hyperlink" Target="http://www.burkemuseum.org/research-and-collections/botany-and-herbarium/collections/database/results.php?Genus=Erythranthe&amp;Species=guttata&amp;SourcePage=search.php&amp;IncludeSynonyms=Y&amp;SortBy=DESC&amp;SortOrder=Year" TargetMode="External"/><Relationship Id="rId3829" Type="http://schemas.openxmlformats.org/officeDocument/2006/relationships/hyperlink" Target="https://plants.usda.gov/core/profile?symbol=CIED" TargetMode="External"/><Relationship Id="rId5044" Type="http://schemas.openxmlformats.org/officeDocument/2006/relationships/hyperlink" Target="https://en.wikipedia.org/wiki/Jaumea_carnosa" TargetMode="External"/><Relationship Id="rId6442" Type="http://schemas.openxmlformats.org/officeDocument/2006/relationships/hyperlink" Target="http://biology.burke.washington.edu/herbarium/imagecollectionnew/taxon.php?Taxon=Cornus%20stolonifera" TargetMode="External"/><Relationship Id="rId957" Type="http://schemas.openxmlformats.org/officeDocument/2006/relationships/hyperlink" Target="http://en.wikipedia.org/wiki/Camassia_quamash" TargetMode="External"/><Relationship Id="rId1587" Type="http://schemas.openxmlformats.org/officeDocument/2006/relationships/hyperlink" Target="http://en.wikipedia.org/wiki/Arbutus_menziesii" TargetMode="External"/><Relationship Id="rId1794" Type="http://schemas.openxmlformats.org/officeDocument/2006/relationships/hyperlink" Target="http://plants.usda.gov/java/profile?symbol=SPNA" TargetMode="External"/><Relationship Id="rId2638" Type="http://schemas.openxmlformats.org/officeDocument/2006/relationships/hyperlink" Target="http://biology.burke.washington.edu/herbarium/imagecollection/taxon.php?Taxon=Montia%20linearis" TargetMode="External"/><Relationship Id="rId2845" Type="http://schemas.openxmlformats.org/officeDocument/2006/relationships/hyperlink" Target="http://www.burkemuseum.org/research-and-collections/botany-and-herbarium/collections/database/results.php?Genus=Carex&amp;Species=limosa&amp;SourcePage=search.php&amp;IncludeSynonyms=Y&amp;SortBy=DESC&amp;SortOrder=Year" TargetMode="External"/><Relationship Id="rId5251" Type="http://schemas.openxmlformats.org/officeDocument/2006/relationships/hyperlink" Target="https://en.wikipedia.org/wiki/Polemonium_pulcherrimum" TargetMode="External"/><Relationship Id="rId6302" Type="http://schemas.openxmlformats.org/officeDocument/2006/relationships/hyperlink" Target="http://www.burkemuseum.org/research-and-collections/botany-and-herbarium/collections/database/results.php?Genus=Veronica&amp;Species=peregrina&amp;SourcePage=search.php&amp;IncludeSynonyms=Y&amp;SortBy=DESC&amp;SortOrder=Year" TargetMode="External"/><Relationship Id="rId86" Type="http://schemas.openxmlformats.org/officeDocument/2006/relationships/hyperlink" Target="http://biology.burke.washington.edu/herbarium/imagecollection/taxon.php?Taxon=Ribes%20aureum" TargetMode="External"/><Relationship Id="rId817" Type="http://schemas.openxmlformats.org/officeDocument/2006/relationships/hyperlink" Target="https://en.wikipedia.org/wiki/Paxistima_myrsinites" TargetMode="External"/><Relationship Id="rId1447" Type="http://schemas.openxmlformats.org/officeDocument/2006/relationships/hyperlink" Target="http://biology.burke.washington.edu/herbarium/imagecollectionnew/taxon.php?Taxon=Collinsia%20grandiflora" TargetMode="External"/><Relationship Id="rId1654" Type="http://schemas.openxmlformats.org/officeDocument/2006/relationships/hyperlink" Target="http://biology.burke.washington.edu/herbarium/imagecollection/taxon.php?Taxon=Rhododendron%20menziesii" TargetMode="External"/><Relationship Id="rId1861" Type="http://schemas.openxmlformats.org/officeDocument/2006/relationships/hyperlink" Target="http://plants.usda.gov/java/profile?symbol=RUOC2" TargetMode="External"/><Relationship Id="rId2705" Type="http://schemas.openxmlformats.org/officeDocument/2006/relationships/hyperlink" Target="http://biology.burke.washington.edu/herbarium/imagecollectionnew/taxon.php?Taxon=Scirpus%20microcarpus" TargetMode="External"/><Relationship Id="rId2912" Type="http://schemas.openxmlformats.org/officeDocument/2006/relationships/hyperlink" Target="http://www.burkemuseum.org/research-and-collections/botany-and-herbarium/collections/database/results.php?Genus=Corydalis&amp;Species=scouleri&amp;SourcePage=search.php&amp;IncludeSynonyms=Y&amp;SortBy=DESC&amp;SortOrder=Year" TargetMode="External"/><Relationship Id="rId4060" Type="http://schemas.openxmlformats.org/officeDocument/2006/relationships/hyperlink" Target="https://plants.usda.gov/core/profile?symbol=LAPO3" TargetMode="External"/><Relationship Id="rId5111" Type="http://schemas.openxmlformats.org/officeDocument/2006/relationships/hyperlink" Target="https://en.wikipedia.org/wiki/Lycopus_americanus" TargetMode="External"/><Relationship Id="rId1307" Type="http://schemas.openxmlformats.org/officeDocument/2006/relationships/hyperlink" Target="http://biology.burke.washington.edu/herbarium/imagecollectionnew/taxon.php?Taxon=Bolandra%20oregana" TargetMode="External"/><Relationship Id="rId1514" Type="http://schemas.openxmlformats.org/officeDocument/2006/relationships/hyperlink" Target="https://en.wikipedia.org/wiki/Ribes_bracteosum" TargetMode="External"/><Relationship Id="rId1721" Type="http://schemas.openxmlformats.org/officeDocument/2006/relationships/hyperlink" Target="http://plants.usda.gov/core/profile?symbol=VIOPA2" TargetMode="External"/><Relationship Id="rId4877" Type="http://schemas.openxmlformats.org/officeDocument/2006/relationships/hyperlink" Target="https://en.wikipedia.org/wiki/Crocidium_multicaule" TargetMode="External"/><Relationship Id="rId5928" Type="http://schemas.openxmlformats.org/officeDocument/2006/relationships/hyperlink" Target="http://www.burkemuseum.org/research-and-collections/botany-and-herbarium/collections/database/results.php?Genus=Melica&amp;Species=smithii&amp;SourcePage=search.php&amp;IncludeSynonyms=Y&amp;SortBy=DESC&amp;SortOrder=Year" TargetMode="External"/><Relationship Id="rId7076" Type="http://schemas.openxmlformats.org/officeDocument/2006/relationships/hyperlink" Target="http://biology.burke.washington.edu/herbarium/imagecollectionnew/taxon.php?Taxon=Vicia%20nigricans" TargetMode="External"/><Relationship Id="rId13" Type="http://schemas.openxmlformats.org/officeDocument/2006/relationships/hyperlink" Target="http://biology.burke.washington.edu/herbarium/imagecollection/taxon.php?Taxon=Osmorhiza%20purpurea" TargetMode="External"/><Relationship Id="rId3479" Type="http://schemas.openxmlformats.org/officeDocument/2006/relationships/hyperlink" Target="http://www.burkemuseum.org/research-and-collections/botany-and-herbarium/collections/database/results.php?Genus=Carex&amp;Species=pansa&amp;SourcePage=search.php&amp;IncludeSynonyms=Y&amp;SortBy=DESC&amp;SortOrder=Year" TargetMode="External"/><Relationship Id="rId3686" Type="http://schemas.openxmlformats.org/officeDocument/2006/relationships/hyperlink" Target="https://plants.usda.gov/core/profile?symbol=ARCA3" TargetMode="External"/><Relationship Id="rId6092" Type="http://schemas.openxmlformats.org/officeDocument/2006/relationships/hyperlink" Target="http://www.burkemuseum.org/research-and-collections/botany-and-herbarium/collections/database/results.php?Genus=Pyrola&amp;Species=asarifolia&amp;SourcePage=search.php&amp;IncludeSynonyms=Y&amp;SortBy=DESC&amp;SortOrder=Year" TargetMode="External"/><Relationship Id="rId7143" Type="http://schemas.openxmlformats.org/officeDocument/2006/relationships/hyperlink" Target="http://biology.burke.washington.edu/herbarium/imagecollectionnew/taxon.php?Taxon=Sedum%20oreganum" TargetMode="External"/><Relationship Id="rId2288" Type="http://schemas.openxmlformats.org/officeDocument/2006/relationships/hyperlink" Target="http://plants.usda.gov/java/profile?symbol=CESA" TargetMode="External"/><Relationship Id="rId2495" Type="http://schemas.openxmlformats.org/officeDocument/2006/relationships/hyperlink" Target="http://plants.usda.gov/java/profile?symbol=PRSM" TargetMode="External"/><Relationship Id="rId3339" Type="http://schemas.openxmlformats.org/officeDocument/2006/relationships/hyperlink" Target="http://www.burkemuseum.org/research-and-collections/botany-and-herbarium/collections/database/results.php?Genus=Sedum&amp;Species=lanceolatum&amp;SourcePage=search.php&amp;IncludeSynonyms=Y&amp;SortBy=DESC&amp;SortOrder=Year" TargetMode="External"/><Relationship Id="rId3893" Type="http://schemas.openxmlformats.org/officeDocument/2006/relationships/hyperlink" Target="https://plants.usda.gov/core/profile?symbol=DOHE" TargetMode="External"/><Relationship Id="rId4737" Type="http://schemas.openxmlformats.org/officeDocument/2006/relationships/hyperlink" Target="https://en.wikipedia.org/wiki/Bidens_cernua" TargetMode="External"/><Relationship Id="rId4944" Type="http://schemas.openxmlformats.org/officeDocument/2006/relationships/hyperlink" Target="https://en.wikipedia.org/wiki/Eriogonum_umbellatum" TargetMode="External"/><Relationship Id="rId7003" Type="http://schemas.openxmlformats.org/officeDocument/2006/relationships/hyperlink" Target="http://biology.burke.washington.edu/herbarium/imagecollectionnew/taxon.php?Taxon=Clintonia%20uniflora" TargetMode="External"/><Relationship Id="rId7210" Type="http://schemas.openxmlformats.org/officeDocument/2006/relationships/hyperlink" Target="http://biology.burke.washington.edu/herbarium/imagecollection/taxon.php?Taxon=Pseudotsuga%20menziesii" TargetMode="External"/><Relationship Id="rId467" Type="http://schemas.openxmlformats.org/officeDocument/2006/relationships/hyperlink" Target="http://biology.burke.washington.edu/herbarium/imagecollectionnew/taxon.php?Taxon=Valeriana%20sitchensis" TargetMode="External"/><Relationship Id="rId1097" Type="http://schemas.openxmlformats.org/officeDocument/2006/relationships/hyperlink" Target="https://en.wikipedia.org/wiki/Lemna" TargetMode="External"/><Relationship Id="rId2148" Type="http://schemas.openxmlformats.org/officeDocument/2006/relationships/hyperlink" Target="https://plants.usda.gov/core/profile?symbol=GATR2" TargetMode="External"/><Relationship Id="rId3546" Type="http://schemas.openxmlformats.org/officeDocument/2006/relationships/hyperlink" Target="http://www.burkemuseum.org/research-and-collections/botany-and-herbarium/collections/database/results.php?Genus=Penstemon&amp;Species=richardsonii&amp;SourcePage=search.php&amp;IncludeSynonyms=Y&amp;SortBy=DESC&amp;SortOrder=Year" TargetMode="External"/><Relationship Id="rId3753" Type="http://schemas.openxmlformats.org/officeDocument/2006/relationships/hyperlink" Target="https://plants.usda.gov/core/profile?symbol=caco34" TargetMode="External"/><Relationship Id="rId3960" Type="http://schemas.openxmlformats.org/officeDocument/2006/relationships/hyperlink" Target="https://plants.usda.gov/core/profile?symbol=FRVI" TargetMode="External"/><Relationship Id="rId4804" Type="http://schemas.openxmlformats.org/officeDocument/2006/relationships/hyperlink" Target="https://en.wikipedia.org/wiki/Carex_praticola" TargetMode="External"/><Relationship Id="rId674" Type="http://schemas.openxmlformats.org/officeDocument/2006/relationships/hyperlink" Target="https://en.wikipedia.org/wiki/Psilocarphus_tenellus" TargetMode="External"/><Relationship Id="rId881" Type="http://schemas.openxmlformats.org/officeDocument/2006/relationships/hyperlink" Target="http://en.wikipedia.org/wiki/Coptis_aspleniifolia" TargetMode="External"/><Relationship Id="rId2355" Type="http://schemas.openxmlformats.org/officeDocument/2006/relationships/hyperlink" Target="https://plants.usda.gov/core/profile?symbol=BOMA7" TargetMode="External"/><Relationship Id="rId2562" Type="http://schemas.openxmlformats.org/officeDocument/2006/relationships/hyperlink" Target="https://plants.usda.gov/core/profile?symbol=ecpu" TargetMode="External"/><Relationship Id="rId3406" Type="http://schemas.openxmlformats.org/officeDocument/2006/relationships/hyperlink" Target="http://www.burkemuseum.org/research-and-collections/botany-and-herbarium/collections/database/results.php?Genus=Trillium&amp;Species=ovatum&amp;SourcePage=search.php&amp;IncludeSynonyms=Y&amp;SortBy=DESC&amp;SortOrder=Year" TargetMode="External"/><Relationship Id="rId3613" Type="http://schemas.openxmlformats.org/officeDocument/2006/relationships/hyperlink" Target="http://www.burkemuseum.org/research-and-collections/botany-and-herbarium/collections/database/results.php?Genus=Viola&amp;Species=praemorsa&amp;SourcePage=search.php&amp;IncludeSynonyms=Y&amp;SortBy=DESC&amp;SortOrder=Year" TargetMode="External"/><Relationship Id="rId3820" Type="http://schemas.openxmlformats.org/officeDocument/2006/relationships/hyperlink" Target="https://plants.usda.gov/core/profile?symbol=CHME" TargetMode="External"/><Relationship Id="rId6769" Type="http://schemas.openxmlformats.org/officeDocument/2006/relationships/hyperlink" Target="http://biology.burke.washington.edu/herbarium/imagecollection/taxon.php?Taxon=Hippuris%20vulgaris" TargetMode="External"/><Relationship Id="rId6976" Type="http://schemas.openxmlformats.org/officeDocument/2006/relationships/hyperlink" Target="http://biology.burke.washington.edu/herbarium/imagecollection/taxon.php?Taxon=Galium%20triflorum" TargetMode="External"/><Relationship Id="rId327" Type="http://schemas.openxmlformats.org/officeDocument/2006/relationships/hyperlink" Target="http://biology.burke.washington.edu/herbarium/imagecollectionnew/taxon.php?Taxon=Bolboschoenus%20maritimus" TargetMode="External"/><Relationship Id="rId534" Type="http://schemas.openxmlformats.org/officeDocument/2006/relationships/hyperlink" Target="https://en.wikipedia.org/wiki/Trisetum_canescens" TargetMode="External"/><Relationship Id="rId741" Type="http://schemas.openxmlformats.org/officeDocument/2006/relationships/hyperlink" Target="https://en.wikipedia.org/wiki/Deschampsia_elongata" TargetMode="External"/><Relationship Id="rId1164" Type="http://schemas.openxmlformats.org/officeDocument/2006/relationships/hyperlink" Target="https://en.wikipedia.org/wiki/Grindelia_integrifolia" TargetMode="External"/><Relationship Id="rId1371" Type="http://schemas.openxmlformats.org/officeDocument/2006/relationships/hyperlink" Target="http://biology.burke.washington.edu/herbarium/imagecollection/taxon.php?Taxon=Lathyrus%20polyphyllus" TargetMode="External"/><Relationship Id="rId2008" Type="http://schemas.openxmlformats.org/officeDocument/2006/relationships/hyperlink" Target="https://plants.usda.gov/core/profile?symbol=MOUN2" TargetMode="External"/><Relationship Id="rId2215" Type="http://schemas.openxmlformats.org/officeDocument/2006/relationships/hyperlink" Target="https://plants.usda.gov/core/profile?symbol=DOAU" TargetMode="External"/><Relationship Id="rId2422" Type="http://schemas.openxmlformats.org/officeDocument/2006/relationships/hyperlink" Target="http://plants.usda.gov/java/profile?symbol=AGEX" TargetMode="External"/><Relationship Id="rId5578" Type="http://schemas.openxmlformats.org/officeDocument/2006/relationships/hyperlink" Target="http://www.burkemuseum.org/research-and-collections/botany-and-herbarium/collections/database/results.php?Genus=Carex&amp;Species=densa&amp;SourcePage=search.php&amp;IncludeSynonyms=Y&amp;SortBy=DESC&amp;SortOrder=Year" TargetMode="External"/><Relationship Id="rId5785" Type="http://schemas.openxmlformats.org/officeDocument/2006/relationships/hyperlink" Target="http://www.burkemuseum.org/research-and-collections/botany-and-herbarium/collections/database/results.php?Genus=Glehnia&amp;Species=leiocarpa&amp;SourcePage=search.php&amp;IncludeSynonyms=Y&amp;SortBy=DESC&amp;SortOrder=Year" TargetMode="External"/><Relationship Id="rId5992" Type="http://schemas.openxmlformats.org/officeDocument/2006/relationships/hyperlink" Target="http://www.burkemuseum.org/research-and-collections/botany-and-herbarium/collections/database/results.php?Genus=Packera&amp;Species=bolanderi&amp;SourcePage=search.php&amp;IncludeSynonyms=Y&amp;SortBy=DESC&amp;SortOrder=Year" TargetMode="External"/><Relationship Id="rId6629" Type="http://schemas.openxmlformats.org/officeDocument/2006/relationships/hyperlink" Target="http://biology.burke.washington.edu/herbarium/imagecollectionnew/taxon.php?Taxon=Trichophorum%20cespitosum" TargetMode="External"/><Relationship Id="rId6836" Type="http://schemas.openxmlformats.org/officeDocument/2006/relationships/hyperlink" Target="http://biology.burke.washington.edu/herbarium/imagecollectionnew/taxon.php?Taxon=Cardamine%20nuttallii" TargetMode="External"/><Relationship Id="rId601" Type="http://schemas.openxmlformats.org/officeDocument/2006/relationships/hyperlink" Target="https://en.wikipedia.org/wiki/Scutellaria_galericulata" TargetMode="External"/><Relationship Id="rId1024" Type="http://schemas.openxmlformats.org/officeDocument/2006/relationships/hyperlink" Target="http://en.wikipedia.org/wiki/Amelanchier_alnifolia" TargetMode="External"/><Relationship Id="rId1231" Type="http://schemas.openxmlformats.org/officeDocument/2006/relationships/hyperlink" Target="https://en.wikipedia.org/wiki/Carex" TargetMode="External"/><Relationship Id="rId4387" Type="http://schemas.openxmlformats.org/officeDocument/2006/relationships/hyperlink" Target="https://plants.usda.gov/core/profile?symbol=SCLA" TargetMode="External"/><Relationship Id="rId4594" Type="http://schemas.openxmlformats.org/officeDocument/2006/relationships/hyperlink" Target="http://www.burkemuseum.org/research-and-collections/botany-and-herbarium/collections/database/results.php?Genus=Agoseris&amp;Species=heterophylla&amp;SourcePage=search.php&amp;IncludeSynonyms=Y&amp;SortBy=DESC&amp;SortOrder=Year" TargetMode="External"/><Relationship Id="rId5438" Type="http://schemas.openxmlformats.org/officeDocument/2006/relationships/hyperlink" Target="https://en.wikipedia.org/wiki/Streptopus_amplexifolius" TargetMode="External"/><Relationship Id="rId5645" Type="http://schemas.openxmlformats.org/officeDocument/2006/relationships/hyperlink" Target="http://www.burkemuseum.org/research-and-collections/botany-and-herbarium/collections/database/results.php?Genus=Clematis&amp;Species=ligusticifolia&amp;SourcePage=search.php&amp;IncludeSynonyms=Y&amp;SortBy=DESC&amp;SortOrder=Year" TargetMode="External"/><Relationship Id="rId5852" Type="http://schemas.openxmlformats.org/officeDocument/2006/relationships/hyperlink" Target="http://www.burkemuseum.org/research-and-collections/botany-and-herbarium/collections/database/results.php?Genus=Lactuca&amp;Species=biennis&amp;SourcePage=search.php&amp;IncludeSynonyms=Y&amp;SortBy=DESC&amp;SortOrder=Year" TargetMode="External"/><Relationship Id="rId3196" Type="http://schemas.openxmlformats.org/officeDocument/2006/relationships/hyperlink" Target="http://www.burkemuseum.org/research-and-collections/botany-and-herbarium/collections/database/results.php?Genus=Persicaria&amp;Species=amphibia&amp;SourcePage=search.php&amp;IncludeSynonyms=Y&amp;SortBy=DESC&amp;SortOrder=Year" TargetMode="External"/><Relationship Id="rId4247" Type="http://schemas.openxmlformats.org/officeDocument/2006/relationships/hyperlink" Target="https://plants.usda.gov/core/profile?symbol=popu3" TargetMode="External"/><Relationship Id="rId4454" Type="http://schemas.openxmlformats.org/officeDocument/2006/relationships/hyperlink" Target="https://plants.usda.gov/core/profile?symbol=TEGR2" TargetMode="External"/><Relationship Id="rId4661" Type="http://schemas.openxmlformats.org/officeDocument/2006/relationships/hyperlink" Target="http://www.burkemuseum.org/research-and-collections/botany-and-herbarium/collections/database/results.php?Genus=Barbarea&amp;Species=orthoceras&amp;SourcePage=search.php&amp;IncludeSynonyms=Y&amp;SortBy=DESC&amp;SortOrder=Year" TargetMode="External"/><Relationship Id="rId5505" Type="http://schemas.openxmlformats.org/officeDocument/2006/relationships/hyperlink" Target="https://en.wikipedia.org/wiki/Veronica_scutellata" TargetMode="External"/><Relationship Id="rId6903" Type="http://schemas.openxmlformats.org/officeDocument/2006/relationships/hyperlink" Target="http://biology.burke.washington.edu/herbarium/imagecollection/taxon.php?Taxon=Potamogeton%20foliosus" TargetMode="External"/><Relationship Id="rId3056" Type="http://schemas.openxmlformats.org/officeDocument/2006/relationships/hyperlink" Target="http://www.burkemuseum.org/research-and-collections/botany-and-herbarium/collections/database/results.php?Genus=Isoetes&amp;Species=tenella&amp;SourcePage=search.php&amp;IncludeSynonyms=Y&amp;SortBy=DESC&amp;SortOrder=Year" TargetMode="External"/><Relationship Id="rId3263" Type="http://schemas.openxmlformats.org/officeDocument/2006/relationships/hyperlink" Target="http://www.burkemuseum.org/research-and-collections/botany-and-herbarium/collections/database/results.php?Genus=Pyrola&amp;Species=asarifolia&amp;SourcePage=search.php&amp;IncludeSynonyms=Y&amp;SortBy=DESC&amp;SortOrder=Year" TargetMode="External"/><Relationship Id="rId3470" Type="http://schemas.openxmlformats.org/officeDocument/2006/relationships/hyperlink" Target="http://www.burkemuseum.org/research-and-collections/botany-and-herbarium/collections/database/results.php?Genus=Bromus&amp;Species=carinatus&amp;SourcePage=search.php&amp;IncludeSynonyms=Y&amp;SortBy=DESC&amp;SortOrder=Year" TargetMode="External"/><Relationship Id="rId4107" Type="http://schemas.openxmlformats.org/officeDocument/2006/relationships/hyperlink" Target="https://plants.usda.gov/core/profile?symbol=LYCL" TargetMode="External"/><Relationship Id="rId4314" Type="http://schemas.openxmlformats.org/officeDocument/2006/relationships/hyperlink" Target="https://plants.usda.gov/core/profile?symbol=RIAC" TargetMode="External"/><Relationship Id="rId5712" Type="http://schemas.openxmlformats.org/officeDocument/2006/relationships/hyperlink" Target="http://www.burkemuseum.org/research-and-collections/botany-and-herbarium/collections/database/results.php?Genus=Eleocharis&amp;Species=ovata&amp;SourcePage=search.php&amp;IncludeSynonyms=Y&amp;SortBy=DESC&amp;SortOrder=Year" TargetMode="External"/><Relationship Id="rId184" Type="http://schemas.openxmlformats.org/officeDocument/2006/relationships/hyperlink" Target="http://biology.burke.washington.edu/herbarium/imagecollection/taxon.php?Taxon=Phlox%20diffusa" TargetMode="External"/><Relationship Id="rId391" Type="http://schemas.openxmlformats.org/officeDocument/2006/relationships/hyperlink" Target="http://biology.burke.washington.edu/herbarium/imagecollectionnew/taxon.php?Taxon=Corallorhiza%20maculata" TargetMode="External"/><Relationship Id="rId1908" Type="http://schemas.openxmlformats.org/officeDocument/2006/relationships/hyperlink" Target="http://plants.usda.gov/java/profile?symbol=PODR" TargetMode="External"/><Relationship Id="rId2072" Type="http://schemas.openxmlformats.org/officeDocument/2006/relationships/hyperlink" Target="https://plants.usda.gov/core/profile?symbol=LETU2" TargetMode="External"/><Relationship Id="rId3123" Type="http://schemas.openxmlformats.org/officeDocument/2006/relationships/hyperlink" Target="http://www.burkemuseum.org/research-and-collections/botany-and-herbarium/collections/database/results.php?Genus=Madia&amp;Species=exigua&amp;SourcePage=search.php&amp;IncludeSynonyms=Y&amp;SortBy=DESC&amp;SortOrder=Year" TargetMode="External"/><Relationship Id="rId4521" Type="http://schemas.openxmlformats.org/officeDocument/2006/relationships/hyperlink" Target="https://plants.usda.gov/core/profile?symbol=WOOR" TargetMode="External"/><Relationship Id="rId6279" Type="http://schemas.openxmlformats.org/officeDocument/2006/relationships/hyperlink" Target="http://www.burkemuseum.org/research-and-collections/botany-and-herbarium/collections/database/results.php?Genus=Tsuga&amp;Species=mertensiana&amp;SourcePage=search.php&amp;IncludeSynonyms=Y&amp;SortBy=DESC&amp;SortOrder=Year" TargetMode="External"/><Relationship Id="rId251" Type="http://schemas.openxmlformats.org/officeDocument/2006/relationships/hyperlink" Target="http://linnet.geog.ubc.ca/" TargetMode="External"/><Relationship Id="rId3330" Type="http://schemas.openxmlformats.org/officeDocument/2006/relationships/hyperlink" Target="http://www.burkemuseum.org/research-and-collections/botany-and-herbarium/collections/database/results.php?Genus=Schoenoplectus&amp;Species=acutus&amp;SourcePage=search.php&amp;IncludeSynonyms=Y&amp;SortBy=DESC&amp;SortOrder=Year" TargetMode="External"/><Relationship Id="rId5088" Type="http://schemas.openxmlformats.org/officeDocument/2006/relationships/hyperlink" Target="https://en.wikipedia.org/wiki/Lomatium_utriculatum" TargetMode="External"/><Relationship Id="rId6139" Type="http://schemas.openxmlformats.org/officeDocument/2006/relationships/hyperlink" Target="http://www.burkemuseum.org/research-and-collections/botany-and-herbarium/collections/database/results.php?Genus=Rudbeckia&amp;Species=occidentalis&amp;SourcePage=search.php&amp;IncludeSynonyms=Y&amp;SortBy=DESC&amp;SortOrder=Year" TargetMode="External"/><Relationship Id="rId6486" Type="http://schemas.openxmlformats.org/officeDocument/2006/relationships/hyperlink" Target="http://biology.burke.washington.edu/herbarium/imagecollection/taxon.php?Taxon=Eriophorum%20chamissonis" TargetMode="External"/><Relationship Id="rId6693" Type="http://schemas.openxmlformats.org/officeDocument/2006/relationships/hyperlink" Target="http://biology.burke.washington.edu/herbarium/imagecollection/taxon.php?Taxon=Platanthera%20transversa" TargetMode="External"/><Relationship Id="rId2889" Type="http://schemas.openxmlformats.org/officeDocument/2006/relationships/hyperlink" Target="http://www.burkemuseum.org/research-and-collections/botany-and-herbarium/collections/database/results.php?Genus=Clarkia&amp;Species=purpurea&amp;SourcePage=search.php&amp;IncludeSynonyms=Y&amp;SortBy=DESC&amp;SortOrder=Year" TargetMode="External"/><Relationship Id="rId5295" Type="http://schemas.openxmlformats.org/officeDocument/2006/relationships/hyperlink" Target="https://en.wikipedia.org/wiki/Quercus_garryana" TargetMode="External"/><Relationship Id="rId6346" Type="http://schemas.openxmlformats.org/officeDocument/2006/relationships/hyperlink" Target="http://biology.burke.washington.edu/herbarium/imagecollection/taxon.php?Taxon=Achlys%20triphylla" TargetMode="External"/><Relationship Id="rId6553" Type="http://schemas.openxmlformats.org/officeDocument/2006/relationships/hyperlink" Target="http://biology.burke.washington.edu/herbarium/imagecollection/taxon.php?Taxon=Linum%20lewisii" TargetMode="External"/><Relationship Id="rId6760" Type="http://schemas.openxmlformats.org/officeDocument/2006/relationships/hyperlink" Target="http://biology.burke.washington.edu/herbarium/imagecollection/taxon.php?Taxon=Isoetes%20nuttallii" TargetMode="External"/><Relationship Id="rId111" Type="http://schemas.openxmlformats.org/officeDocument/2006/relationships/hyperlink" Target="http://biology.burke.washington.edu/herbarium/imagecollection/taxon.php?Taxon=Juniperus%20communis" TargetMode="External"/><Relationship Id="rId1698" Type="http://schemas.openxmlformats.org/officeDocument/2006/relationships/hyperlink" Target="http://biology.burke.washington.edu/herbarium/imagecollectionnew/taxon.php?Taxon=Micranthes%20occidentalis" TargetMode="External"/><Relationship Id="rId2749" Type="http://schemas.openxmlformats.org/officeDocument/2006/relationships/hyperlink" Target="http://www.burkemuseum.org/research-and-collections/botany-and-herbarium/collections/database/results.php?Genus=Anemone&amp;Species=lyallii&amp;SourcePage=search.php&amp;IncludeSynonyms=Y&amp;SortBy=DESC&amp;SortOrder=Year" TargetMode="External"/><Relationship Id="rId2956" Type="http://schemas.openxmlformats.org/officeDocument/2006/relationships/hyperlink" Target="http://www.burkemuseum.org/research-and-collections/botany-and-herbarium/collections/database/results.php?Genus=Elodea&amp;Species=canadensis&amp;SourcePage=search.php&amp;IncludeSynonyms=Y&amp;SortBy=DESC&amp;SortOrder=Year" TargetMode="External"/><Relationship Id="rId5155" Type="http://schemas.openxmlformats.org/officeDocument/2006/relationships/hyperlink" Target="https://en.wikipedia.org/wiki/Montia_parvifolia" TargetMode="External"/><Relationship Id="rId5362" Type="http://schemas.openxmlformats.org/officeDocument/2006/relationships/hyperlink" Target="https://en.wikipedia.org/wiki/Salix_planifolia" TargetMode="External"/><Relationship Id="rId6206" Type="http://schemas.openxmlformats.org/officeDocument/2006/relationships/hyperlink" Target="http://www.burkemuseum.org/research-and-collections/botany-and-herbarium/collections/database/results.php?Genus=Silene&amp;Species=menziesii&amp;SourcePage=search.php&amp;IncludeSynonyms=Y&amp;SortBy=DESC&amp;SortOrder=Year" TargetMode="External"/><Relationship Id="rId6413" Type="http://schemas.openxmlformats.org/officeDocument/2006/relationships/hyperlink" Target="http://biology.burke.washington.edu/herbarium/imagecollectionnew/taxon.php?Taxon=Carex%20mertensii" TargetMode="External"/><Relationship Id="rId6620" Type="http://schemas.openxmlformats.org/officeDocument/2006/relationships/hyperlink" Target="http://biology.burke.washington.edu/herbarium/imagecollectionnew/taxon.php?Taxon=Trisetum%20canescens" TargetMode="External"/><Relationship Id="rId928" Type="http://schemas.openxmlformats.org/officeDocument/2006/relationships/hyperlink" Target="https://en.wikipedia.org/wiki/Carex_rossii" TargetMode="External"/><Relationship Id="rId1558" Type="http://schemas.openxmlformats.org/officeDocument/2006/relationships/hyperlink" Target="https://en.wikipedia.org/wiki/Oemleria" TargetMode="External"/><Relationship Id="rId1765" Type="http://schemas.openxmlformats.org/officeDocument/2006/relationships/hyperlink" Target="http://plants.usda.gov/java/profile?symbol=THOC" TargetMode="External"/><Relationship Id="rId2609" Type="http://schemas.openxmlformats.org/officeDocument/2006/relationships/hyperlink" Target="https://en.wikipedia.org/wiki/Ranunculus_orthorhynchus" TargetMode="External"/><Relationship Id="rId4171" Type="http://schemas.openxmlformats.org/officeDocument/2006/relationships/hyperlink" Target="https://plants.usda.gov/core/profile?symbol=NUTE" TargetMode="External"/><Relationship Id="rId5015" Type="http://schemas.openxmlformats.org/officeDocument/2006/relationships/hyperlink" Target="https://en.wikipedia.org/wiki/Heuchera_cylindrica" TargetMode="External"/><Relationship Id="rId5222" Type="http://schemas.openxmlformats.org/officeDocument/2006/relationships/hyperlink" Target="https://en.wikipedia.org/wiki/Picea_engelmannii" TargetMode="External"/><Relationship Id="rId57" Type="http://schemas.openxmlformats.org/officeDocument/2006/relationships/hyperlink" Target="http://biology.burke.washington.edu/herbarium/imagecollection/taxon.php?Taxon=Parnassia%20fimbriata" TargetMode="External"/><Relationship Id="rId1418" Type="http://schemas.openxmlformats.org/officeDocument/2006/relationships/hyperlink" Target="http://biology.burke.washington.edu/herbarium/imagecollection/taxon.php?Taxon=Plectritis%20congesta" TargetMode="External"/><Relationship Id="rId1972" Type="http://schemas.openxmlformats.org/officeDocument/2006/relationships/hyperlink" Target="https://plants.usda.gov/core/profile?symbol=OXCA4" TargetMode="External"/><Relationship Id="rId2816" Type="http://schemas.openxmlformats.org/officeDocument/2006/relationships/hyperlink" Target="http://www.burkemuseum.org/research-and-collections/botany-and-herbarium/collections/database/results.php?Genus=Caltha&amp;Species=palustris&amp;SourcePage=search.php&amp;IncludeSynonyms=Y&amp;SortBy=DESC&amp;SortOrder=Year" TargetMode="External"/><Relationship Id="rId4031" Type="http://schemas.openxmlformats.org/officeDocument/2006/relationships/hyperlink" Target="https://plants.usda.gov/core/profile?symbol=ISOC" TargetMode="External"/><Relationship Id="rId7187" Type="http://schemas.openxmlformats.org/officeDocument/2006/relationships/hyperlink" Target="http://biology.burke.washington.edu/herbarium/imagecollection/taxon.php?Taxon=Rosa%20gymnocarpa" TargetMode="External"/><Relationship Id="rId1625" Type="http://schemas.openxmlformats.org/officeDocument/2006/relationships/hyperlink" Target="https://en.wikipedia.org/wiki/Heuchera_cylindrica" TargetMode="External"/><Relationship Id="rId1832" Type="http://schemas.openxmlformats.org/officeDocument/2006/relationships/hyperlink" Target="http://plants.usda.gov/java/profile?symbol=SAAR9" TargetMode="External"/><Relationship Id="rId4988" Type="http://schemas.openxmlformats.org/officeDocument/2006/relationships/hyperlink" Target="https://en.wikipedia.org/wiki/Gentianella_amarella" TargetMode="External"/><Relationship Id="rId7047" Type="http://schemas.openxmlformats.org/officeDocument/2006/relationships/hyperlink" Target="http://biology.burke.washington.edu/herbarium/imagecollectionnew/taxon.php?Taxon=Artemisia%20suksdorfii" TargetMode="External"/><Relationship Id="rId3797" Type="http://schemas.openxmlformats.org/officeDocument/2006/relationships/hyperlink" Target="https://plants.usda.gov/core/profile?symbol=CAUN3" TargetMode="External"/><Relationship Id="rId4848" Type="http://schemas.openxmlformats.org/officeDocument/2006/relationships/hyperlink" Target="https://en.wikipedia.org/wiki/Claytonia_parviflora" TargetMode="External"/><Relationship Id="rId6063" Type="http://schemas.openxmlformats.org/officeDocument/2006/relationships/hyperlink" Target="http://www.burkemuseum.org/research-and-collections/botany-and-herbarium/collections/database/results.php?Genus=Potamogeton&amp;Species=epihydrus&amp;SourcePage=search.php&amp;IncludeSynonyms=Y&amp;SortBy=DESC&amp;SortOrder=Year" TargetMode="External"/><Relationship Id="rId2399" Type="http://schemas.openxmlformats.org/officeDocument/2006/relationships/hyperlink" Target="http://plants.usda.gov/java/profile?symbol=ANHE" TargetMode="External"/><Relationship Id="rId3657" Type="http://schemas.openxmlformats.org/officeDocument/2006/relationships/hyperlink" Target="https://plants.usda.gov/core/profile?symbol=ALRU2" TargetMode="External"/><Relationship Id="rId3864" Type="http://schemas.openxmlformats.org/officeDocument/2006/relationships/hyperlink" Target="https://plants.usda.gov/core/profile?symbol=CRDO2" TargetMode="External"/><Relationship Id="rId4708" Type="http://schemas.openxmlformats.org/officeDocument/2006/relationships/hyperlink" Target="https://en.wikipedia.org/wiki/Arnica_cordifolia" TargetMode="External"/><Relationship Id="rId4915" Type="http://schemas.openxmlformats.org/officeDocument/2006/relationships/hyperlink" Target="https://en.wikipedia.org/wiki/Dryopteris_filix-mas" TargetMode="External"/><Relationship Id="rId6270" Type="http://schemas.openxmlformats.org/officeDocument/2006/relationships/hyperlink" Target="http://www.burkemuseum.org/research-and-collections/botany-and-herbarium/collections/database/results.php?Genus=Triglochin&amp;Species=maritima&amp;SourcePage=search.php&amp;IncludeSynonyms=Y&amp;SortBy=DESC&amp;SortOrder=Year" TargetMode="External"/><Relationship Id="rId7114" Type="http://schemas.openxmlformats.org/officeDocument/2006/relationships/hyperlink" Target="http://biology.burke.washington.edu/herbarium/imagecollectionnew/taxon.php?Taxon=Symphyotrichum%20bracteolatum" TargetMode="External"/><Relationship Id="rId578" Type="http://schemas.openxmlformats.org/officeDocument/2006/relationships/hyperlink" Target="https://en.wikipedia.org/wiki/Spergularia_marina" TargetMode="External"/><Relationship Id="rId785" Type="http://schemas.openxmlformats.org/officeDocument/2006/relationships/hyperlink" Target="https://en.wikipedia.org/wiki/Polygonum_douglasii" TargetMode="External"/><Relationship Id="rId992" Type="http://schemas.openxmlformats.org/officeDocument/2006/relationships/hyperlink" Target="http://en.wikipedia.org/wiki/Aruncus_dioicus" TargetMode="External"/><Relationship Id="rId2259" Type="http://schemas.openxmlformats.org/officeDocument/2006/relationships/hyperlink" Target="http://plants.usda.gov/java/profile?symbol=CLUN2" TargetMode="External"/><Relationship Id="rId2466" Type="http://schemas.openxmlformats.org/officeDocument/2006/relationships/hyperlink" Target="http://plants.usda.gov/java/profile?symbol=SICA8" TargetMode="External"/><Relationship Id="rId2673" Type="http://schemas.openxmlformats.org/officeDocument/2006/relationships/hyperlink" Target="http://biology.burke.washington.edu/herbarium/imagecollection/taxon.php?Taxon=Halerpestes%20cymbalaria" TargetMode="External"/><Relationship Id="rId2880" Type="http://schemas.openxmlformats.org/officeDocument/2006/relationships/hyperlink" Target="http://www.burkemuseum.org/research-and-collections/botany-and-herbarium/collections/database/results.php?Genus=Cicuta&amp;Species=bulbifera&amp;SourcePage=search.php&amp;IncludeSynonyms=Y&amp;SortBy=DESC&amp;SortOrder=Year" TargetMode="External"/><Relationship Id="rId3517" Type="http://schemas.openxmlformats.org/officeDocument/2006/relationships/hyperlink" Target="http://www.burkemuseum.org/research-and-collections/botany-and-herbarium/collections/database/results.php?Genus=Lathyrus&amp;Species=littoralis&amp;SourcePage=search.php&amp;IncludeSynonyms=Y&amp;SortBy=DESC&amp;SortOrder=Year" TargetMode="External"/><Relationship Id="rId3724" Type="http://schemas.openxmlformats.org/officeDocument/2006/relationships/hyperlink" Target="https://plants.usda.gov/core/profile?symbol=BICE" TargetMode="External"/><Relationship Id="rId3931" Type="http://schemas.openxmlformats.org/officeDocument/2006/relationships/hyperlink" Target="https://plants.usda.gov/core/profile?symbol=ERSP4" TargetMode="External"/><Relationship Id="rId6130" Type="http://schemas.openxmlformats.org/officeDocument/2006/relationships/hyperlink" Target="http://www.burkemuseum.org/research-and-collections/botany-and-herbarium/collections/database/results.php?Genus=Rotala&amp;Species=ramosior&amp;SourcePage=search.php&amp;IncludeSynonyms=Y&amp;SortBy=DESC&amp;SortOrder=Year" TargetMode="External"/><Relationship Id="rId438" Type="http://schemas.openxmlformats.org/officeDocument/2006/relationships/hyperlink" Target="http://biology.burke.washington.edu/herbarium/imagecollectionnew/taxon.php?Taxon=Dulichium%20arundinaceum" TargetMode="External"/><Relationship Id="rId645" Type="http://schemas.openxmlformats.org/officeDocument/2006/relationships/hyperlink" Target="https://en.wikipedia.org/wiki/Rubus_idaeus" TargetMode="External"/><Relationship Id="rId852" Type="http://schemas.openxmlformats.org/officeDocument/2006/relationships/hyperlink" Target="http://en.wikipedia.org/wiki/Moehringia_macrophylla" TargetMode="External"/><Relationship Id="rId1068" Type="http://schemas.openxmlformats.org/officeDocument/2006/relationships/hyperlink" Target="https://en.wikipedia.org/wiki/Luzula_multiflora" TargetMode="External"/><Relationship Id="rId1275" Type="http://schemas.openxmlformats.org/officeDocument/2006/relationships/hyperlink" Target="http://biology.burke.washington.edu/herbarium/imagecollection/taxon.php?Taxon=Parnassia%20palustris" TargetMode="External"/><Relationship Id="rId1482" Type="http://schemas.openxmlformats.org/officeDocument/2006/relationships/hyperlink" Target="https://en.wikipedia.org/wiki/Toxicodendron_diversilobum" TargetMode="External"/><Relationship Id="rId2119" Type="http://schemas.openxmlformats.org/officeDocument/2006/relationships/hyperlink" Target="http://plants.usda.gov/java/profile?symbol=HIAL2" TargetMode="External"/><Relationship Id="rId2326" Type="http://schemas.openxmlformats.org/officeDocument/2006/relationships/hyperlink" Target="http://plants.usda.gov/java/profile?symbol=CAAM10" TargetMode="External"/><Relationship Id="rId2533" Type="http://schemas.openxmlformats.org/officeDocument/2006/relationships/hyperlink" Target="https://plants.usda.gov/core/profile?symbol=LOCO5" TargetMode="External"/><Relationship Id="rId2740" Type="http://schemas.openxmlformats.org/officeDocument/2006/relationships/hyperlink" Target="http://www.burkemuseum.org/research-and-collections/botany-and-herbarium/collections/database/results.php?Genus=Alnus&amp;Species=incana&amp;SourcePage=search.php&amp;IncludeSynonyms=Y&amp;SortBy=DESC&amp;SortOrder=Year" TargetMode="External"/><Relationship Id="rId5689" Type="http://schemas.openxmlformats.org/officeDocument/2006/relationships/hyperlink" Target="http://www.burkemuseum.org/research-and-collections/botany-and-herbarium/collections/database/results.php?Genus=Delphinium&amp;Species=trolliifolium&amp;SourcePage=search.php&amp;IncludeSynonyms=Y&amp;SortBy=DESC&amp;SortOrder=Year" TargetMode="External"/><Relationship Id="rId5896" Type="http://schemas.openxmlformats.org/officeDocument/2006/relationships/hyperlink" Target="http://www.burkemuseum.org/research-and-collections/botany-and-herbarium/collections/database/results.php?Genus=Lupinus&amp;Species=bicolor&amp;SourcePage=search.php&amp;IncludeSynonyms=Y&amp;SortBy=DESC&amp;SortOrder=Year" TargetMode="External"/><Relationship Id="rId6947" Type="http://schemas.openxmlformats.org/officeDocument/2006/relationships/hyperlink" Target="http://biology.burke.washington.edu/herbarium/imagecollection/taxon.php?Taxon=Lewisia%20columbiana" TargetMode="External"/><Relationship Id="rId505" Type="http://schemas.openxmlformats.org/officeDocument/2006/relationships/hyperlink" Target="https://en.wikipedia.org/wiki/Viola_palustris" TargetMode="External"/><Relationship Id="rId712" Type="http://schemas.openxmlformats.org/officeDocument/2006/relationships/hyperlink" Target="https://en.wikipedia.org/wiki/Equisetum_fluviatile" TargetMode="External"/><Relationship Id="rId1135" Type="http://schemas.openxmlformats.org/officeDocument/2006/relationships/hyperlink" Target="https://en.wikipedia.org/wiki/Hordeum_jubatum" TargetMode="External"/><Relationship Id="rId1342" Type="http://schemas.openxmlformats.org/officeDocument/2006/relationships/hyperlink" Target="http://biology.burke.washington.edu/herbarium/imagecollectionnew/taxon.php?Taxon=Amsinckia%20lycopsoides" TargetMode="External"/><Relationship Id="rId4498" Type="http://schemas.openxmlformats.org/officeDocument/2006/relationships/hyperlink" Target="https://plants.usda.gov/core/profile?symbol=VASI" TargetMode="External"/><Relationship Id="rId5549" Type="http://schemas.openxmlformats.org/officeDocument/2006/relationships/hyperlink" Target="http://www.burkemuseum.org/research-and-collections/botany-and-herbarium/collections/database/results.php?Genus=Calamagrostis&amp;Species=stricta&amp;SourcePage=search.php&amp;IncludeSynonyms=Y&amp;SortBy=DESC&amp;SortOrder=Year" TargetMode="External"/><Relationship Id="rId1202" Type="http://schemas.openxmlformats.org/officeDocument/2006/relationships/hyperlink" Target="http://biology.burke.washington.edu/herbarium/imagecollectionnew/taxon.php?Taxon=Synthyris%20reniformis" TargetMode="External"/><Relationship Id="rId2600" Type="http://schemas.openxmlformats.org/officeDocument/2006/relationships/hyperlink" Target="http://plants.usda.gov/java/profile?symbol=ACTR" TargetMode="External"/><Relationship Id="rId4358" Type="http://schemas.openxmlformats.org/officeDocument/2006/relationships/hyperlink" Target="https://plants.usda.gov/core/profile?symbol=SALA6" TargetMode="External"/><Relationship Id="rId5409" Type="http://schemas.openxmlformats.org/officeDocument/2006/relationships/hyperlink" Target="https://en.wikipedia.org/wiki/Sisyrinchium_californicum" TargetMode="External"/><Relationship Id="rId5756" Type="http://schemas.openxmlformats.org/officeDocument/2006/relationships/hyperlink" Target="http://www.burkemuseum.org/research-and-collections/botany-and-herbarium/collections/database/results.php?Genus=Festuca&amp;Species=roemeri&amp;SourcePage=search.php&amp;IncludeSynonyms=Y&amp;SortBy=DESC&amp;SortOrder=Year" TargetMode="External"/><Relationship Id="rId5963" Type="http://schemas.openxmlformats.org/officeDocument/2006/relationships/hyperlink" Target="http://www.burkemuseum.org/research-and-collections/botany-and-herbarium/collections/database/results.php?Genus=Nabalus&amp;Species=alatus&amp;SourcePage=search.php&amp;IncludeSynonyms=Y&amp;SortBy=DESC&amp;SortOrder=Year" TargetMode="External"/><Relationship Id="rId6807" Type="http://schemas.openxmlformats.org/officeDocument/2006/relationships/hyperlink" Target="http://biology.burke.washington.edu/herbarium/imagecollectionnew/taxon.php?Taxon=Coptis%20aspleniifolia" TargetMode="External"/><Relationship Id="rId3167" Type="http://schemas.openxmlformats.org/officeDocument/2006/relationships/hyperlink" Target="http://www.burkemuseum.org/research-and-collections/botany-and-herbarium/collections/database/results.php?Genus=Nemophila&amp;Species=parviflora&amp;SourcePage=search.php&amp;IncludeSynonyms=Y&amp;SortBy=DESC&amp;SortOrder=Year" TargetMode="External"/><Relationship Id="rId4565" Type="http://schemas.openxmlformats.org/officeDocument/2006/relationships/hyperlink" Target="https://en.wikipedia.org/wiki/Alnus_viridis" TargetMode="External"/><Relationship Id="rId4772" Type="http://schemas.openxmlformats.org/officeDocument/2006/relationships/hyperlink" Target="https://en.wikipedia.org/wiki/Cardamine_nuttallii" TargetMode="External"/><Relationship Id="rId5616" Type="http://schemas.openxmlformats.org/officeDocument/2006/relationships/hyperlink" Target="http://www.burkemuseum.org/research-and-collections/botany-and-herbarium/collections/database/results.php?Genus=Ceanothus&amp;Species=integerrimus&amp;SourcePage=search.php&amp;IncludeSynonyms=Y&amp;SortBy=DESC&amp;SortOrder=Year" TargetMode="External"/><Relationship Id="rId5823" Type="http://schemas.openxmlformats.org/officeDocument/2006/relationships/hyperlink" Target="http://www.burkemuseum.org/research-and-collections/botany-and-herbarium/collections/database/results.php?Genus=Hydrophyllum&amp;Species=tenuipes&amp;SourcePage=search.php&amp;IncludeSynonyms=Y&amp;SortBy=DESC&amp;SortOrder=Year" TargetMode="External"/><Relationship Id="rId295" Type="http://schemas.openxmlformats.org/officeDocument/2006/relationships/hyperlink" Target="https://en.wikipedia.org/wiki/Antennaria_howellii" TargetMode="External"/><Relationship Id="rId3374" Type="http://schemas.openxmlformats.org/officeDocument/2006/relationships/hyperlink" Target="http://www.burkemuseum.org/research-and-collections/botany-and-herbarium/collections/database/results.php?Genus=Stellaria&amp;Species=longipes&amp;SourcePage=search.php&amp;IncludeSynonyms=Y&amp;SortBy=DESC&amp;SortOrder=Year" TargetMode="External"/><Relationship Id="rId3581" Type="http://schemas.openxmlformats.org/officeDocument/2006/relationships/hyperlink" Target="http://www.burkemuseum.org/research-and-collections/botany-and-herbarium/collections/database/results.php?Genus=Salix&amp;Species=sessilifolia&amp;SourcePage=search.php&amp;IncludeSynonyms=Y&amp;SortBy=DESC&amp;SortOrder=Year" TargetMode="External"/><Relationship Id="rId4218" Type="http://schemas.openxmlformats.org/officeDocument/2006/relationships/hyperlink" Target="https://plants.usda.gov/core/profile?symbol=PIENE" TargetMode="External"/><Relationship Id="rId4425" Type="http://schemas.openxmlformats.org/officeDocument/2006/relationships/hyperlink" Target="https://plants.usda.gov/core/profile?symbol=SPLU5" TargetMode="External"/><Relationship Id="rId4632" Type="http://schemas.openxmlformats.org/officeDocument/2006/relationships/hyperlink" Target="http://www.burkemuseum.org/research-and-collections/botany-and-herbarium/collections/database/results.php?Genus=Apocynum&amp;Species=androsaemifolium&amp;SourcePage=search.php&amp;IncludeSynonyms=Y&amp;SortBy=DESC&amp;SortOrder=Year" TargetMode="External"/><Relationship Id="rId2183" Type="http://schemas.openxmlformats.org/officeDocument/2006/relationships/hyperlink" Target="https://plants.usda.gov/core/profile?symbol=erco4" TargetMode="External"/><Relationship Id="rId2390" Type="http://schemas.openxmlformats.org/officeDocument/2006/relationships/hyperlink" Target="http://plants.usda.gov/java/profile?symbol=APCA" TargetMode="External"/><Relationship Id="rId3027" Type="http://schemas.openxmlformats.org/officeDocument/2006/relationships/hyperlink" Target="http://www.burkemuseum.org/research-and-collections/botany-and-herbarium/collections/database/results.php?Genus=Gymnocarpium&amp;Species=dryopteris&amp;SourcePage=search.php&amp;IncludeSynonyms=Y&amp;SortBy=DESC&amp;SortOrder=Year" TargetMode="External"/><Relationship Id="rId3234" Type="http://schemas.openxmlformats.org/officeDocument/2006/relationships/hyperlink" Target="http://www.burkemuseum.org/research-and-collections/botany-and-herbarium/collections/database/results.php?Genus=Populus&amp;Species=trichocarpa&amp;SourcePage=search.php&amp;IncludeSynonyms=Y&amp;SortBy=DESC&amp;SortOrder=Year" TargetMode="External"/><Relationship Id="rId3441" Type="http://schemas.openxmlformats.org/officeDocument/2006/relationships/hyperlink" Target="http://www.burkemuseum.org/research-and-collections/botany-and-herbarium/collections/database/results.php?Genus=Viola&amp;Species=palustris&amp;SourcePage=search.php&amp;IncludeSynonyms=Y&amp;SortBy=DESC&amp;SortOrder=Year" TargetMode="External"/><Relationship Id="rId6597" Type="http://schemas.openxmlformats.org/officeDocument/2006/relationships/hyperlink" Target="http://biology.burke.washington.edu/herbarium/imagecollection/taxon.php?Taxon=Pedicularis%20groenlandica" TargetMode="External"/><Relationship Id="rId155" Type="http://schemas.openxmlformats.org/officeDocument/2006/relationships/hyperlink" Target="http://biology.burke.washington.edu/herbarium/imagecollection/taxon.php?Taxon=Abronia%20umbellata" TargetMode="External"/><Relationship Id="rId362" Type="http://schemas.openxmlformats.org/officeDocument/2006/relationships/hyperlink" Target="http://biology.burke.washington.edu/herbarium/imagecollectionnew/taxon.php?Taxon=Carex%20limosa" TargetMode="External"/><Relationship Id="rId2043" Type="http://schemas.openxmlformats.org/officeDocument/2006/relationships/hyperlink" Target="http://plants.usda.gov/java/profile?symbol=LUCO6" TargetMode="External"/><Relationship Id="rId2250" Type="http://schemas.openxmlformats.org/officeDocument/2006/relationships/hyperlink" Target="http://plants.usda.gov/java/profile?symbol=COAS" TargetMode="External"/><Relationship Id="rId3301" Type="http://schemas.openxmlformats.org/officeDocument/2006/relationships/hyperlink" Target="http://www.burkemuseum.org/research-and-collections/botany-and-herbarium/collections/database/results.php?Genus=Sagina&amp;Species=maxima&amp;SourcePage=search.php&amp;IncludeSynonyms=Y&amp;SortBy=DESC&amp;SortOrder=Year" TargetMode="External"/><Relationship Id="rId5199" Type="http://schemas.openxmlformats.org/officeDocument/2006/relationships/hyperlink" Target="https://en.wikipedia.org/wiki/Pectiantia_breweri" TargetMode="External"/><Relationship Id="rId6457" Type="http://schemas.openxmlformats.org/officeDocument/2006/relationships/hyperlink" Target="http://biology.burke.washington.edu/herbarium/imagecollectionnew/taxon.php?Taxon=Delphinium%20glaucum" TargetMode="External"/><Relationship Id="rId6664" Type="http://schemas.openxmlformats.org/officeDocument/2006/relationships/hyperlink" Target="http://biology.burke.washington.edu/herbarium/imagecollection/taxon.php?Taxon=Rotala%20ramosior" TargetMode="External"/><Relationship Id="rId6871" Type="http://schemas.openxmlformats.org/officeDocument/2006/relationships/hyperlink" Target="http://biology.burke.washington.edu/herbarium/imagecollectionnew/taxon.php?Taxon=Valeriana%20sitchensis" TargetMode="External"/><Relationship Id="rId222" Type="http://schemas.openxmlformats.org/officeDocument/2006/relationships/hyperlink" Target="http://biology.burke.washington.edu/herbarium/imagecollection/taxon.php?Taxon=Ranunculus%20aquatilis" TargetMode="External"/><Relationship Id="rId2110" Type="http://schemas.openxmlformats.org/officeDocument/2006/relationships/hyperlink" Target="http://plants.usda.gov/java/profile?symbol=HOAQ" TargetMode="External"/><Relationship Id="rId5059" Type="http://schemas.openxmlformats.org/officeDocument/2006/relationships/hyperlink" Target="https://en.wikipedia.org/wiki/Larix_occidentalis" TargetMode="External"/><Relationship Id="rId5266" Type="http://schemas.openxmlformats.org/officeDocument/2006/relationships/hyperlink" Target="https://en.wikipedia.org/wiki/Potamogeton_epihydrus" TargetMode="External"/><Relationship Id="rId5473" Type="http://schemas.openxmlformats.org/officeDocument/2006/relationships/hyperlink" Target="https://en.wikipedia.org/wiki/Trillium_ovatum" TargetMode="External"/><Relationship Id="rId5680" Type="http://schemas.openxmlformats.org/officeDocument/2006/relationships/hyperlink" Target="http://www.burkemuseum.org/research-and-collections/botany-and-herbarium/collections/database/results.php?Genus=Danthonia&amp;Species=intermedia&amp;SourcePage=search.php&amp;IncludeSynonyms=Y&amp;SortBy=DESC&amp;SortOrder=Year" TargetMode="External"/><Relationship Id="rId6317" Type="http://schemas.openxmlformats.org/officeDocument/2006/relationships/hyperlink" Target="http://www.burkemuseum.org/research-and-collections/botany-and-herbarium/collections/database/results.php?Genus=Viola&amp;Species=sempervirens&amp;SourcePage=search.php&amp;IncludeSynonyms=Y&amp;SortBy=DESC&amp;SortOrder=Year" TargetMode="External"/><Relationship Id="rId6524" Type="http://schemas.openxmlformats.org/officeDocument/2006/relationships/hyperlink" Target="http://biology.burke.washington.edu/herbarium/imagecollection/taxon.php?Taxon=Helenium%20autumnale" TargetMode="External"/><Relationship Id="rId4075" Type="http://schemas.openxmlformats.org/officeDocument/2006/relationships/hyperlink" Target="https://plants.usda.gov/core/profile?symbol=LICO" TargetMode="External"/><Relationship Id="rId4282" Type="http://schemas.openxmlformats.org/officeDocument/2006/relationships/hyperlink" Target="https://plants.usda.gov/core/profile?symbol=PSEUD43" TargetMode="External"/><Relationship Id="rId5126" Type="http://schemas.openxmlformats.org/officeDocument/2006/relationships/hyperlink" Target="https://en.wikipedia.org/wiki/Marah_oreganus" TargetMode="External"/><Relationship Id="rId5333" Type="http://schemas.openxmlformats.org/officeDocument/2006/relationships/hyperlink" Target="https://en.wikipedia.org/wiki/Rubus_leucodermis" TargetMode="External"/><Relationship Id="rId6731" Type="http://schemas.openxmlformats.org/officeDocument/2006/relationships/hyperlink" Target="http://biology.burke.washington.edu/herbarium/imagecollection/taxon.php?Taxon=Mertensia%20platyphylla" TargetMode="External"/><Relationship Id="rId1669" Type="http://schemas.openxmlformats.org/officeDocument/2006/relationships/hyperlink" Target="http://biology.burke.washington.edu/herbarium/imagecollection/taxon.php?Taxon=Poa%20paucispicula" TargetMode="External"/><Relationship Id="rId1876" Type="http://schemas.openxmlformats.org/officeDocument/2006/relationships/hyperlink" Target="http://plants.usda.gov/core/profile?symbol=RIAUA" TargetMode="External"/><Relationship Id="rId2927" Type="http://schemas.openxmlformats.org/officeDocument/2006/relationships/hyperlink" Target="http://www.burkemuseum.org/research-and-collections/botany-and-herbarium/collections/database/results.php?Genus=Danthonia&amp;Species=intermedia&amp;SourcePage=search.php&amp;IncludeSynonyms=Y&amp;SortBy=DESC&amp;SortOrder=Year" TargetMode="External"/><Relationship Id="rId3091" Type="http://schemas.openxmlformats.org/officeDocument/2006/relationships/hyperlink" Target="http://www.burkemuseum.org/research-and-collections/botany-and-herbarium/collections/database/results.php?Genus=Lilaeopsis&amp;Species=occidentalis&amp;SourcePage=search.php&amp;IncludeSynonyms=Y&amp;SortBy=DESC&amp;SortOrder=Year" TargetMode="External"/><Relationship Id="rId4142" Type="http://schemas.openxmlformats.org/officeDocument/2006/relationships/hyperlink" Target="https://plants.usda.gov/core/profile?symbol=MOLA6" TargetMode="External"/><Relationship Id="rId5540" Type="http://schemas.openxmlformats.org/officeDocument/2006/relationships/hyperlink" Target="https://en.wikipedia.org/wiki/Juncus_mertensianus" TargetMode="External"/><Relationship Id="rId1529" Type="http://schemas.openxmlformats.org/officeDocument/2006/relationships/hyperlink" Target="https://en.wikipedia.org/wiki/Erythranthe_cardinalis" TargetMode="External"/><Relationship Id="rId1736" Type="http://schemas.openxmlformats.org/officeDocument/2006/relationships/hyperlink" Target="https://plants.usda.gov/core/profile?symbol=UTMA" TargetMode="External"/><Relationship Id="rId1943" Type="http://schemas.openxmlformats.org/officeDocument/2006/relationships/hyperlink" Target="http://plants.usda.gov/java/profile?symbol=PLMA3" TargetMode="External"/><Relationship Id="rId5400" Type="http://schemas.openxmlformats.org/officeDocument/2006/relationships/hyperlink" Target="https://en.wikipedia.org/wiki/Sidalcea_campestris" TargetMode="External"/><Relationship Id="rId28" Type="http://schemas.openxmlformats.org/officeDocument/2006/relationships/hyperlink" Target="http://biology.burke.washington.edu/herbarium/imagecollection/taxon.php?Taxon=Agoseris%20apargioides" TargetMode="External"/><Relationship Id="rId1803" Type="http://schemas.openxmlformats.org/officeDocument/2006/relationships/hyperlink" Target="http://plants.usda.gov/java/profile?symbol=SIID" TargetMode="External"/><Relationship Id="rId4002" Type="http://schemas.openxmlformats.org/officeDocument/2006/relationships/hyperlink" Target="https://plants.usda.gov/core/profile?symbol=HECH" TargetMode="External"/><Relationship Id="rId4959" Type="http://schemas.openxmlformats.org/officeDocument/2006/relationships/hyperlink" Target="https://en.wikipedia.org/wiki/Erythronium_revolutum" TargetMode="External"/><Relationship Id="rId7158" Type="http://schemas.openxmlformats.org/officeDocument/2006/relationships/hyperlink" Target="http://biology.burke.washington.edu/herbarium/imagecollection/taxon.php?Taxon=Salix%20scouleriana" TargetMode="External"/><Relationship Id="rId3768" Type="http://schemas.openxmlformats.org/officeDocument/2006/relationships/hyperlink" Target="https://plants.usda.gov/core/profile?symbol=CACI5" TargetMode="External"/><Relationship Id="rId3975" Type="http://schemas.openxmlformats.org/officeDocument/2006/relationships/hyperlink" Target="https://plants.usda.gov/core/profile?symbol=GESC" TargetMode="External"/><Relationship Id="rId4819" Type="http://schemas.openxmlformats.org/officeDocument/2006/relationships/hyperlink" Target="https://en.wikipedia.org/wiki/Castilleja_levisecta" TargetMode="External"/><Relationship Id="rId6174" Type="http://schemas.openxmlformats.org/officeDocument/2006/relationships/hyperlink" Target="http://www.burkemuseum.org/research-and-collections/botany-and-herbarium/collections/database/results.php?Genus=Sanicula&amp;Species=crassicaulis&amp;SourcePage=search.php&amp;IncludeSynonyms=Y&amp;SortBy=DESC&amp;SortOrder=Year" TargetMode="External"/><Relationship Id="rId6381" Type="http://schemas.openxmlformats.org/officeDocument/2006/relationships/hyperlink" Target="http://biology.burke.washington.edu/herbarium/imagecollectionnew/taxon.php?Taxon=Asarum%20caudatum" TargetMode="External"/><Relationship Id="rId7018" Type="http://schemas.openxmlformats.org/officeDocument/2006/relationships/hyperlink" Target="http://biology.burke.washington.edu/herbarium/imagecollectionnew/taxon.php?Taxon=Carex%20rostrata" TargetMode="External"/><Relationship Id="rId7225" Type="http://schemas.openxmlformats.org/officeDocument/2006/relationships/hyperlink" Target="http://www.fancyfrondsnursery.com/ferns/soft-shield-fern-polystichum-setiferum" TargetMode="External"/><Relationship Id="rId689" Type="http://schemas.openxmlformats.org/officeDocument/2006/relationships/hyperlink" Target="https://en.wikipedia.org/wiki/Festuca_idahoensis" TargetMode="External"/><Relationship Id="rId896" Type="http://schemas.openxmlformats.org/officeDocument/2006/relationships/hyperlink" Target="https://en.wikipedia.org/wiki/Clarkia_purpurea" TargetMode="External"/><Relationship Id="rId2577" Type="http://schemas.openxmlformats.org/officeDocument/2006/relationships/hyperlink" Target="https://plants.usda.gov/core/profile?symbol=capa16" TargetMode="External"/><Relationship Id="rId2784" Type="http://schemas.openxmlformats.org/officeDocument/2006/relationships/hyperlink" Target="http://www.burkemuseum.org/research-and-collections/botany-and-herbarium/collections/database/results.php?Genus=Athysanus&amp;Species=pusillus&amp;SourcePage=search.php&amp;IncludeSynonyms=Y&amp;SortBy=DESC&amp;SortOrder=Year" TargetMode="External"/><Relationship Id="rId3628" Type="http://schemas.openxmlformats.org/officeDocument/2006/relationships/hyperlink" Target="https://plants.usda.gov/core/profile?symbol=ABUM" TargetMode="External"/><Relationship Id="rId5190" Type="http://schemas.openxmlformats.org/officeDocument/2006/relationships/hyperlink" Target="https://en.wikipedia.org/wiki/Oxybasis_rubra" TargetMode="External"/><Relationship Id="rId6034" Type="http://schemas.openxmlformats.org/officeDocument/2006/relationships/hyperlink" Target="http://www.burkemuseum.org/research-and-collections/botany-and-herbarium/collections/database/results.php?Genus=Platanthera&amp;Species=elongata&amp;SourcePage=search.php&amp;IncludeSynonyms=Y&amp;SortBy=DESC&amp;SortOrder=Year" TargetMode="External"/><Relationship Id="rId6241" Type="http://schemas.openxmlformats.org/officeDocument/2006/relationships/hyperlink" Target="http://www.burkemuseum.org/research-and-collections/botany-and-herbarium/collections/database/results.php?Genus=Subularia&amp;Species=aquatica&amp;SourcePage=search.php&amp;IncludeSynonyms=Y&amp;SortBy=DESC&amp;SortOrder=Year" TargetMode="External"/><Relationship Id="rId549" Type="http://schemas.openxmlformats.org/officeDocument/2006/relationships/hyperlink" Target="https://en.wikipedia.org/wiki/Torreyochloa_pallida" TargetMode="External"/><Relationship Id="rId756" Type="http://schemas.openxmlformats.org/officeDocument/2006/relationships/hyperlink" Target="https://en.wikipedia.org/wiki/Cyperus_erythrorhizos" TargetMode="External"/><Relationship Id="rId1179" Type="http://schemas.openxmlformats.org/officeDocument/2006/relationships/hyperlink" Target="http://biology.burke.washington.edu/herbarium/imagecollectionnew/taxon.php?Taxon=Angelica%20arguta" TargetMode="External"/><Relationship Id="rId1386" Type="http://schemas.openxmlformats.org/officeDocument/2006/relationships/hyperlink" Target="http://biology.burke.washington.edu/herbarium/imagecollection/taxon.php?Taxon=Prunus%20virginiana" TargetMode="External"/><Relationship Id="rId1593" Type="http://schemas.openxmlformats.org/officeDocument/2006/relationships/hyperlink" Target="http://en.wikipedia.org/wiki/Abies_procera" TargetMode="External"/><Relationship Id="rId2437" Type="http://schemas.openxmlformats.org/officeDocument/2006/relationships/hyperlink" Target="http://plants.usda.gov/java/profile?symbol=ABUM" TargetMode="External"/><Relationship Id="rId2991" Type="http://schemas.openxmlformats.org/officeDocument/2006/relationships/hyperlink" Target="http://www.burkemuseum.org/research-and-collections/botany-and-herbarium/collections/database/results.php?Genus=Eucephalus&amp;Species=engelmannii&amp;SourcePage=search.php&amp;IncludeSynonyms=Y&amp;SortBy=DESC&amp;SortOrder=Year" TargetMode="External"/><Relationship Id="rId3835" Type="http://schemas.openxmlformats.org/officeDocument/2006/relationships/hyperlink" Target="https://plants.usda.gov/core/profile?symbol=CLPA5" TargetMode="External"/><Relationship Id="rId5050" Type="http://schemas.openxmlformats.org/officeDocument/2006/relationships/hyperlink" Target="https://en.wikipedia.org/wiki/Juncus_supiniformis" TargetMode="External"/><Relationship Id="rId6101" Type="http://schemas.openxmlformats.org/officeDocument/2006/relationships/hyperlink" Target="http://www.burkemuseum.org/research-and-collections/botany-and-herbarium/collections/database/results.php?Genus=Ranunculus&amp;Species=occidentalis&amp;SourcePage=search.php&amp;IncludeSynonyms=Y&amp;SortBy=DESC&amp;SortOrder=Year" TargetMode="External"/><Relationship Id="rId409" Type="http://schemas.openxmlformats.org/officeDocument/2006/relationships/hyperlink" Target="http://biology.burke.washington.edu/herbarium/imagecollectionnew/taxon.php?Taxon=Clarkia%20gracilis" TargetMode="External"/><Relationship Id="rId963" Type="http://schemas.openxmlformats.org/officeDocument/2006/relationships/hyperlink" Target="http://en.wikipedia.org/wiki/Calandrinia_ciliata" TargetMode="External"/><Relationship Id="rId1039" Type="http://schemas.openxmlformats.org/officeDocument/2006/relationships/hyperlink" Target="http://en.wikipedia.org/wiki/Adenocaulon_bicolor" TargetMode="External"/><Relationship Id="rId1246" Type="http://schemas.openxmlformats.org/officeDocument/2006/relationships/hyperlink" Target="http://biology.burke.washington.edu/herbarium/imagecollectionnew/taxon.php?Taxon=Eryngium%20petiolatum" TargetMode="External"/><Relationship Id="rId2644" Type="http://schemas.openxmlformats.org/officeDocument/2006/relationships/hyperlink" Target="http://biology.burke.washington.edu/herbarium/imagecollection/taxon.php?Taxon=Hosackia%20pinnata" TargetMode="External"/><Relationship Id="rId2851" Type="http://schemas.openxmlformats.org/officeDocument/2006/relationships/hyperlink" Target="http://www.burkemuseum.org/research-and-collections/botany-and-herbarium/collections/database/results.php?Genus=Carex&amp;Species=praticola&amp;SourcePage=search.php&amp;IncludeSynonyms=Y&amp;SortBy=DESC&amp;SortOrder=Year" TargetMode="External"/><Relationship Id="rId3902" Type="http://schemas.openxmlformats.org/officeDocument/2006/relationships/hyperlink" Target="https://plants.usda.gov/core/profile?symbol=DREX2" TargetMode="External"/><Relationship Id="rId92" Type="http://schemas.openxmlformats.org/officeDocument/2006/relationships/hyperlink" Target="http://biology.burke.washington.edu/herbarium/imagecollection/taxon.php?Taxon=Geranium%20carolinianum" TargetMode="External"/><Relationship Id="rId616" Type="http://schemas.openxmlformats.org/officeDocument/2006/relationships/hyperlink" Target="https://en.wikipedia.org/wiki/Sanguisorba_officinalis" TargetMode="External"/><Relationship Id="rId823" Type="http://schemas.openxmlformats.org/officeDocument/2006/relationships/hyperlink" Target="https://en.wikipedia.org/wiki/Orthocarpus_bracteosus" TargetMode="External"/><Relationship Id="rId1453" Type="http://schemas.openxmlformats.org/officeDocument/2006/relationships/hyperlink" Target="http://biology.burke.washington.edu/herbarium/imagecollectionnew/taxon.php?Taxon=Dichelostemma%20congestum" TargetMode="External"/><Relationship Id="rId1660" Type="http://schemas.openxmlformats.org/officeDocument/2006/relationships/hyperlink" Target="http://biology.burke.washington.edu/herbarium/imagecollection/taxon.php?Taxon=Lobelia%20kalmii" TargetMode="External"/><Relationship Id="rId2504" Type="http://schemas.openxmlformats.org/officeDocument/2006/relationships/hyperlink" Target="http://plants.usda.gov/java/profile?symbol=PISI" TargetMode="External"/><Relationship Id="rId2711" Type="http://schemas.openxmlformats.org/officeDocument/2006/relationships/hyperlink" Target="http://biology.burke.washington.edu/herbarium/imagecollection/taxon.php?Taxon=Rubus%20spectabilis" TargetMode="External"/><Relationship Id="rId5867" Type="http://schemas.openxmlformats.org/officeDocument/2006/relationships/hyperlink" Target="http://www.burkemuseum.org/research-and-collections/botany-and-herbarium/collections/database/results.php?Genus=Lemna&amp;Species=turionifera&amp;SourcePage=search.php&amp;IncludeSynonyms=Y&amp;SortBy=DESC&amp;SortOrder=Year" TargetMode="External"/><Relationship Id="rId6918" Type="http://schemas.openxmlformats.org/officeDocument/2006/relationships/hyperlink" Target="http://biology.burke.washington.edu/herbarium/imagecollection/taxon.php?Taxon=Parnassia%20fimbriata" TargetMode="External"/><Relationship Id="rId7082" Type="http://schemas.openxmlformats.org/officeDocument/2006/relationships/hyperlink" Target="http://biology.burke.washington.edu/herbarium/imagecollectionnew/taxon.php?Taxon=Veratrum%20viride" TargetMode="External"/><Relationship Id="rId1106" Type="http://schemas.openxmlformats.org/officeDocument/2006/relationships/hyperlink" Target="https://en.wikipedia.org/wiki/Lathyrus_japonicus" TargetMode="External"/><Relationship Id="rId1313" Type="http://schemas.openxmlformats.org/officeDocument/2006/relationships/hyperlink" Target="http://biology.burke.washington.edu/herbarium/imagecollectionnew/taxon.php?Taxon=Alnus%20viridis" TargetMode="External"/><Relationship Id="rId1520" Type="http://schemas.openxmlformats.org/officeDocument/2006/relationships/hyperlink" Target="https://en.wikipedia.org/wiki/Ranunculus_occidentalis" TargetMode="External"/><Relationship Id="rId4469" Type="http://schemas.openxmlformats.org/officeDocument/2006/relationships/hyperlink" Target="https://plants.usda.gov/core/profile?symbol=TRWI3" TargetMode="External"/><Relationship Id="rId4676" Type="http://schemas.openxmlformats.org/officeDocument/2006/relationships/hyperlink" Target="http://www.burkemuseum.org/research-and-collections/botany-and-herbarium/collections/database/results.php?Genus=Bolandra&amp;Species=oregana&amp;SourcePage=search.php&amp;IncludeSynonyms=Y&amp;SortBy=DESC&amp;SortOrder=Year" TargetMode="External"/><Relationship Id="rId4883" Type="http://schemas.openxmlformats.org/officeDocument/2006/relationships/hyperlink" Target="https://en.wikipedia.org/wiki/Cyperus_squarrosus" TargetMode="External"/><Relationship Id="rId5727" Type="http://schemas.openxmlformats.org/officeDocument/2006/relationships/hyperlink" Target="http://www.burkemuseum.org/research-and-collections/botany-and-herbarium/collections/database/results.php?Genus=Equisetum&amp;Species=palustre&amp;SourcePage=search.php&amp;IncludeSynonyms=Y&amp;SortBy=DESC&amp;SortOrder=Year" TargetMode="External"/><Relationship Id="rId5934" Type="http://schemas.openxmlformats.org/officeDocument/2006/relationships/hyperlink" Target="http://www.burkemuseum.org/research-and-collections/botany-and-herbarium/collections/database/results.php?Genus=Micranthes&amp;Species=ferruginea&amp;SourcePage=search.php&amp;IncludeSynonyms=Y&amp;SortBy=DESC&amp;SortOrder=Year" TargetMode="External"/><Relationship Id="rId3278" Type="http://schemas.openxmlformats.org/officeDocument/2006/relationships/hyperlink" Target="http://www.burkemuseum.org/research-and-collections/botany-and-herbarium/collections/database/results.php?Genus=Rhynchospora&amp;Species=alba&amp;SourcePage=search.php&amp;IncludeSynonyms=Y&amp;SortBy=DESC&amp;SortOrder=Year" TargetMode="External"/><Relationship Id="rId3485" Type="http://schemas.openxmlformats.org/officeDocument/2006/relationships/hyperlink" Target="http://www.burkemuseum.org/research-and-collections/botany-and-herbarium/collections/database/results.php?Genus=Collinsia&amp;Species=grandiflora&amp;SourcePage=search.php&amp;IncludeSynonyms=Y&amp;SortBy=DESC&amp;SortOrder=Year" TargetMode="External"/><Relationship Id="rId3692" Type="http://schemas.openxmlformats.org/officeDocument/2006/relationships/hyperlink" Target="https://plants.usda.gov/core/profile?symbol=ARUV" TargetMode="External"/><Relationship Id="rId4329" Type="http://schemas.openxmlformats.org/officeDocument/2006/relationships/hyperlink" Target="https://plants.usda.gov/core/profile?symbol=ROPI2" TargetMode="External"/><Relationship Id="rId4536" Type="http://schemas.openxmlformats.org/officeDocument/2006/relationships/hyperlink" Target="https://en.wikipedia.org/wiki/Acer_glabrum" TargetMode="External"/><Relationship Id="rId4743" Type="http://schemas.openxmlformats.org/officeDocument/2006/relationships/hyperlink" Target="https://en.wikipedia.org/wiki/Botrychium_minganense" TargetMode="External"/><Relationship Id="rId4950" Type="http://schemas.openxmlformats.org/officeDocument/2006/relationships/hyperlink" Target="https://en.wikipedia.org/wiki/Erythranthe_alsinoides" TargetMode="External"/><Relationship Id="rId199" Type="http://schemas.openxmlformats.org/officeDocument/2006/relationships/hyperlink" Target="http://biology.burke.washington.edu/herbarium/imagecollection/taxon.php?Taxon=Actaea%20rubra" TargetMode="External"/><Relationship Id="rId2087" Type="http://schemas.openxmlformats.org/officeDocument/2006/relationships/hyperlink" Target="http://plants.usda.gov/java/profile?symbol=JUSC2" TargetMode="External"/><Relationship Id="rId2294" Type="http://schemas.openxmlformats.org/officeDocument/2006/relationships/hyperlink" Target="http://plants.usda.gov/java/profile?symbol=CAAT25" TargetMode="External"/><Relationship Id="rId3138" Type="http://schemas.openxmlformats.org/officeDocument/2006/relationships/hyperlink" Target="http://www.burkemuseum.org/research-and-collections/botany-and-herbarium/collections/database/results.php?Genus=Micranthes&amp;Species=integrifolia&amp;SourcePage=search.php&amp;IncludeSynonyms=Y&amp;SortBy=DESC&amp;SortOrder=Year" TargetMode="External"/><Relationship Id="rId3345" Type="http://schemas.openxmlformats.org/officeDocument/2006/relationships/hyperlink" Target="http://www.burkemuseum.org/research-and-collections/botany-and-herbarium/collections/database/results.php?Genus=Sidalcea&amp;Species=campestris&amp;SourcePage=search.php&amp;IncludeSynonyms=Y&amp;SortBy=DESC&amp;SortOrder=Year" TargetMode="External"/><Relationship Id="rId3552" Type="http://schemas.openxmlformats.org/officeDocument/2006/relationships/hyperlink" Target="http://www.burkemuseum.org/research-and-collections/botany-and-herbarium/collections/database/results.php?Genus=Picea&amp;Species=sitchensis&amp;SourcePage=search.php&amp;IncludeSynonyms=Y&amp;SortBy=DESC&amp;SortOrder=Year" TargetMode="External"/><Relationship Id="rId4603" Type="http://schemas.openxmlformats.org/officeDocument/2006/relationships/hyperlink" Target="http://www.burkemuseum.org/research-and-collections/botany-and-herbarium/collections/database/results.php?Genus=Allium&amp;Species=crenulatum&amp;SourcePage=search.php&amp;IncludeSynonyms=Y&amp;SortBy=DESC&amp;SortOrder=Year" TargetMode="External"/><Relationship Id="rId266" Type="http://schemas.openxmlformats.org/officeDocument/2006/relationships/hyperlink" Target="http://biology.burke.washington.edu/herbarium/imagecollection/taxon.php?Taxon=Montia%20dichotoma" TargetMode="External"/><Relationship Id="rId473" Type="http://schemas.openxmlformats.org/officeDocument/2006/relationships/hyperlink" Target="http://biology.burke.washington.edu/herbarium/imagecollectionnew/taxon.php?Taxon=Veronica%20scutellata" TargetMode="External"/><Relationship Id="rId680" Type="http://schemas.openxmlformats.org/officeDocument/2006/relationships/hyperlink" Target="https://en.wikipedia.org/wiki/Prunella_vulgaris" TargetMode="External"/><Relationship Id="rId2154" Type="http://schemas.openxmlformats.org/officeDocument/2006/relationships/hyperlink" Target="https://plants.usda.gov/core/profile?symbol=FRPU2" TargetMode="External"/><Relationship Id="rId2361" Type="http://schemas.openxmlformats.org/officeDocument/2006/relationships/hyperlink" Target="https://plants.usda.gov/core/profile?symbol=BIBE2" TargetMode="External"/><Relationship Id="rId3205" Type="http://schemas.openxmlformats.org/officeDocument/2006/relationships/hyperlink" Target="http://www.burkemuseum.org/research-and-collections/botany-and-herbarium/collections/database/results.php?Genus=Pinus&amp;Species=monticola&amp;SourcePage=search.php&amp;IncludeSynonyms=Y&amp;SortBy=DESC&amp;SortOrder=Year" TargetMode="External"/><Relationship Id="rId3412" Type="http://schemas.openxmlformats.org/officeDocument/2006/relationships/hyperlink" Target="http://www.burkemuseum.org/research-and-collections/botany-and-herbarium/collections/database/results.php?Genus=Tsuga&amp;Species=mertensiana&amp;SourcePage=search.php&amp;IncludeSynonyms=Y&amp;SortBy=DESC&amp;SortOrder=Year" TargetMode="External"/><Relationship Id="rId4810" Type="http://schemas.openxmlformats.org/officeDocument/2006/relationships/hyperlink" Target="https://en.wikipedia.org/wiki/Carex_unilateralis" TargetMode="External"/><Relationship Id="rId6568" Type="http://schemas.openxmlformats.org/officeDocument/2006/relationships/hyperlink" Target="http://biology.burke.washington.edu/herbarium/imagecollection/taxon.php?Taxon=Luzula%20multiflora" TargetMode="External"/><Relationship Id="rId126" Type="http://schemas.openxmlformats.org/officeDocument/2006/relationships/hyperlink" Target="http://biology.burke.washington.edu/herbarium/imagecollection/taxon.php?Taxon=Populus%20tremuloides" TargetMode="External"/><Relationship Id="rId333" Type="http://schemas.openxmlformats.org/officeDocument/2006/relationships/hyperlink" Target="http://biology.burke.washington.edu/herbarium/imagecollectionnew/taxon.php?Taxon=Cardamine%20angulata" TargetMode="External"/><Relationship Id="rId540" Type="http://schemas.openxmlformats.org/officeDocument/2006/relationships/hyperlink" Target="https://en.wikipedia.org/wiki/Triglochin_maritima" TargetMode="External"/><Relationship Id="rId1170" Type="http://schemas.openxmlformats.org/officeDocument/2006/relationships/hyperlink" Target="https://en.wikipedia.org/wiki/Heracleum_maximum" TargetMode="External"/><Relationship Id="rId2014" Type="http://schemas.openxmlformats.org/officeDocument/2006/relationships/hyperlink" Target="https://plants.usda.gov/core/profile?symbol=SATO2" TargetMode="External"/><Relationship Id="rId2221" Type="http://schemas.openxmlformats.org/officeDocument/2006/relationships/hyperlink" Target="https://plants.usda.gov/core/profile?symbol=DETR2" TargetMode="External"/><Relationship Id="rId5377" Type="http://schemas.openxmlformats.org/officeDocument/2006/relationships/hyperlink" Target="https://en.wikipedia.org/wiki/Saxifraga_bronchialis" TargetMode="External"/><Relationship Id="rId6428" Type="http://schemas.openxmlformats.org/officeDocument/2006/relationships/hyperlink" Target="https://en.wikipedia.org/wiki/Chamaecyparis_lawsoniana" TargetMode="External"/><Relationship Id="rId6775" Type="http://schemas.openxmlformats.org/officeDocument/2006/relationships/hyperlink" Target="http://biology.burke.washington.edu/herbarium/imagecollection/taxon.php?Taxon=Gratiola%20ebracteata" TargetMode="External"/><Relationship Id="rId6982" Type="http://schemas.openxmlformats.org/officeDocument/2006/relationships/hyperlink" Target="http://biology.burke.washington.edu/herbarium/imagecollection/taxon.php?Taxon=Erythranthe%20alsinoides" TargetMode="External"/><Relationship Id="rId1030" Type="http://schemas.openxmlformats.org/officeDocument/2006/relationships/hyperlink" Target="https://en.wikipedia.org/wiki/Agrostis_scabra" TargetMode="External"/><Relationship Id="rId4186" Type="http://schemas.openxmlformats.org/officeDocument/2006/relationships/hyperlink" Target="https://plants.usda.gov/core/profile?symbol=OXTR" TargetMode="External"/><Relationship Id="rId5584" Type="http://schemas.openxmlformats.org/officeDocument/2006/relationships/hyperlink" Target="http://www.burkemuseum.org/research-and-collections/botany-and-herbarium/collections/database/results.php?Genus=Carex&amp;Species=interrupta&amp;SourcePage=search.php&amp;IncludeSynonyms=Y&amp;SortBy=DESC&amp;SortOrder=Year" TargetMode="External"/><Relationship Id="rId5791" Type="http://schemas.openxmlformats.org/officeDocument/2006/relationships/hyperlink" Target="http://www.burkemuseum.org/research-and-collections/botany-and-herbarium/collections/database/results.php?Genus=Gratiola&amp;Species=neglecta&amp;SourcePage=search.php&amp;IncludeSynonyms=Y&amp;SortBy=DESC&amp;SortOrder=Year" TargetMode="External"/><Relationship Id="rId6635" Type="http://schemas.openxmlformats.org/officeDocument/2006/relationships/hyperlink" Target="http://biology.burke.washington.edu/herbarium/imagecollection/taxon.php?Taxon=Suaeda%20calceoliformis" TargetMode="External"/><Relationship Id="rId6842" Type="http://schemas.openxmlformats.org/officeDocument/2006/relationships/hyperlink" Target="http://biology.burke.washington.edu/herbarium/imagecollectionnew/taxon.php?Taxon=Callitriche%20heterophylla" TargetMode="External"/><Relationship Id="rId400" Type="http://schemas.openxmlformats.org/officeDocument/2006/relationships/hyperlink" Target="http://biology.burke.washington.edu/herbarium/imagecollectionnew/taxon.php?Taxon=Cochlearia%20groenlandica" TargetMode="External"/><Relationship Id="rId1987" Type="http://schemas.openxmlformats.org/officeDocument/2006/relationships/hyperlink" Target="http://plants.usda.gov/java/profile?symbol=NEPE" TargetMode="External"/><Relationship Id="rId4393" Type="http://schemas.openxmlformats.org/officeDocument/2006/relationships/hyperlink" Target="https://plants.usda.gov/core/profile?symbol=SESP" TargetMode="External"/><Relationship Id="rId5237" Type="http://schemas.openxmlformats.org/officeDocument/2006/relationships/hyperlink" Target="https://en.wikipedia.org/wiki/Platanthera_orbiculata" TargetMode="External"/><Relationship Id="rId5444" Type="http://schemas.openxmlformats.org/officeDocument/2006/relationships/hyperlink" Target="https://en.wikipedia.org/wiki/Symphoricarpos_mollis" TargetMode="External"/><Relationship Id="rId5651" Type="http://schemas.openxmlformats.org/officeDocument/2006/relationships/hyperlink" Target="http://www.burkemuseum.org/research-and-collections/botany-and-herbarium/collections/database/results.php?Genus=Collinsia&amp;Species=sparsiflora&amp;SourcePage=search.php&amp;IncludeSynonyms=Y&amp;SortBy=DESC&amp;SortOrder=Year" TargetMode="External"/><Relationship Id="rId6702" Type="http://schemas.openxmlformats.org/officeDocument/2006/relationships/hyperlink" Target="http://biology.burke.washington.edu/herbarium/imagecollection/taxon.php?Taxon=Penstemon%20hesperius" TargetMode="External"/><Relationship Id="rId1847" Type="http://schemas.openxmlformats.org/officeDocument/2006/relationships/hyperlink" Target="http://plants.usda.gov/core/profile?symbol=SAEX" TargetMode="External"/><Relationship Id="rId4046" Type="http://schemas.openxmlformats.org/officeDocument/2006/relationships/hyperlink" Target="https://plants.usda.gov/core/profile?symbol=JUCO6" TargetMode="External"/><Relationship Id="rId4253" Type="http://schemas.openxmlformats.org/officeDocument/2006/relationships/hyperlink" Target="https://plants.usda.gov/core/profile?symbol=POSC4" TargetMode="External"/><Relationship Id="rId4460" Type="http://schemas.openxmlformats.org/officeDocument/2006/relationships/hyperlink" Target="https://plants.usda.gov/core/profile?symbol=TOME" TargetMode="External"/><Relationship Id="rId5304" Type="http://schemas.openxmlformats.org/officeDocument/2006/relationships/hyperlink" Target="https://en.wikipedia.org/wiki/Ranunculus_uncinatus" TargetMode="External"/><Relationship Id="rId5511" Type="http://schemas.openxmlformats.org/officeDocument/2006/relationships/hyperlink" Target="https://en.wikipedia.org/wiki/Viola_adunca" TargetMode="External"/><Relationship Id="rId1707" Type="http://schemas.openxmlformats.org/officeDocument/2006/relationships/hyperlink" Target="https://plants.usda.gov/core/profile?symbol=ZIVE" TargetMode="External"/><Relationship Id="rId3062" Type="http://schemas.openxmlformats.org/officeDocument/2006/relationships/hyperlink" Target="http://www.burkemuseum.org/research-and-collections/botany-and-herbarium/collections/database/results.php?Genus=Juncus&amp;Species=effusus&amp;SourcePage=search.php&amp;IncludeSynonyms=Y&amp;SortBy=DESC&amp;SortOrder=Year" TargetMode="External"/><Relationship Id="rId4113" Type="http://schemas.openxmlformats.org/officeDocument/2006/relationships/hyperlink" Target="https://plants.usda.gov/core/profile?symbol=LYTH2" TargetMode="External"/><Relationship Id="rId4320" Type="http://schemas.openxmlformats.org/officeDocument/2006/relationships/hyperlink" Target="https://plants.usda.gov/core/profile?symbol=RILA3" TargetMode="External"/><Relationship Id="rId190" Type="http://schemas.openxmlformats.org/officeDocument/2006/relationships/hyperlink" Target="http://biology.burke.washington.edu/herbarium/imagecollection/taxon.php?Taxon=Potamogeton%20amplifolius" TargetMode="External"/><Relationship Id="rId1914" Type="http://schemas.openxmlformats.org/officeDocument/2006/relationships/hyperlink" Target="http://plants.usda.gov/java/profile?symbol=POOB2" TargetMode="External"/><Relationship Id="rId6078" Type="http://schemas.openxmlformats.org/officeDocument/2006/relationships/hyperlink" Target="http://www.burkemuseum.org/research-and-collections/botany-and-herbarium/collections/database/results.php?Genus=Prosartes&amp;Species=hookeri&amp;SourcePage=search.php&amp;IncludeSynonyms=Y&amp;SortBy=DESC&amp;SortOrder=Year" TargetMode="External"/><Relationship Id="rId6285" Type="http://schemas.openxmlformats.org/officeDocument/2006/relationships/hyperlink" Target="http://www.burkemuseum.org/research-and-collections/botany-and-herbarium/collections/database/results.php?Genus=Utricularia&amp;Species=intermedia&amp;SourcePage=search.php&amp;IncludeSynonyms=Y&amp;SortBy=DESC&amp;SortOrder=Year" TargetMode="External"/><Relationship Id="rId6492" Type="http://schemas.openxmlformats.org/officeDocument/2006/relationships/hyperlink" Target="http://biology.burke.washington.edu/herbarium/imagecollection/taxon.php?Taxon=Erythranthe%20guttata" TargetMode="External"/><Relationship Id="rId7129" Type="http://schemas.openxmlformats.org/officeDocument/2006/relationships/hyperlink" Target="http://biology.burke.washington.edu/herbarium/imagecollectionnew/taxon.php?Taxon=Solidago%20simplex" TargetMode="External"/><Relationship Id="rId3879" Type="http://schemas.openxmlformats.org/officeDocument/2006/relationships/hyperlink" Target="https://plants.usda.gov/core/profile?symbol=DAFR6" TargetMode="External"/><Relationship Id="rId5094" Type="http://schemas.openxmlformats.org/officeDocument/2006/relationships/hyperlink" Target="https://en.wikipedia.org/wiki/Lotus_uliginousus" TargetMode="External"/><Relationship Id="rId6145" Type="http://schemas.openxmlformats.org/officeDocument/2006/relationships/hyperlink" Target="http://www.burkemuseum.org/research-and-collections/botany-and-herbarium/collections/database/results.php?Genus=Sagina&amp;Species=maxima&amp;SourcePage=search.php&amp;IncludeSynonyms=Y&amp;SortBy=DESC&amp;SortOrder=Year" TargetMode="External"/><Relationship Id="rId6352" Type="http://schemas.openxmlformats.org/officeDocument/2006/relationships/hyperlink" Target="http://biology.burke.washington.edu/herbarium/imagecollection/taxon.php?Taxon=Agastache%20urticifolia" TargetMode="External"/><Relationship Id="rId2688" Type="http://schemas.openxmlformats.org/officeDocument/2006/relationships/hyperlink" Target="http://biology.burke.washington.edu/herbarium/imagecollectionnew/taxon.php?Taxon=Spergularia%20canadensis" TargetMode="External"/><Relationship Id="rId2895" Type="http://schemas.openxmlformats.org/officeDocument/2006/relationships/hyperlink" Target="http://www.burkemuseum.org/research-and-collections/botany-and-herbarium/collections/database/results.php?Genus=Clinopodium&amp;Species=douglasii&amp;SourcePage=search.php&amp;IncludeSynonyms=Y&amp;SortBy=DESC&amp;SortOrder=Year" TargetMode="External"/><Relationship Id="rId3739" Type="http://schemas.openxmlformats.org/officeDocument/2006/relationships/hyperlink" Target="https://plants.usda.gov/core/profile?symbol=CAED" TargetMode="External"/><Relationship Id="rId3946" Type="http://schemas.openxmlformats.org/officeDocument/2006/relationships/hyperlink" Target="https://plants.usda.gov/core/profile?symbol=EROR4" TargetMode="External"/><Relationship Id="rId5161" Type="http://schemas.openxmlformats.org/officeDocument/2006/relationships/hyperlink" Target="https://en.wikipedia.org/wiki/Myriophyllum_quitense" TargetMode="External"/><Relationship Id="rId6005" Type="http://schemas.openxmlformats.org/officeDocument/2006/relationships/hyperlink" Target="http://www.burkemuseum.org/research-and-collections/botany-and-herbarium/collections/database/results.php?Genus=Penstemon&amp;Species=richardsonii&amp;SourcePage=search.php&amp;IncludeSynonyms=Y&amp;SortBy=DESC&amp;SortOrder=Year" TargetMode="External"/><Relationship Id="rId867" Type="http://schemas.openxmlformats.org/officeDocument/2006/relationships/hyperlink" Target="http://en.wikipedia.org/wiki/Maianthemum_stellatum" TargetMode="External"/><Relationship Id="rId1497" Type="http://schemas.openxmlformats.org/officeDocument/2006/relationships/hyperlink" Target="https://en.wikipedia.org/wiki/Sedum_oreganum" TargetMode="External"/><Relationship Id="rId2548" Type="http://schemas.openxmlformats.org/officeDocument/2006/relationships/hyperlink" Target="http://plants.usda.gov/java/profile?symbol=HEMIM2" TargetMode="External"/><Relationship Id="rId2755" Type="http://schemas.openxmlformats.org/officeDocument/2006/relationships/hyperlink" Target="http://www.burkemuseum.org/research-and-collections/botany-and-herbarium/collections/database/results.php?Genus=Angelica&amp;Species=lucida&amp;SourcePage=search.php&amp;IncludeSynonyms=Y&amp;SortBy=DESC&amp;SortOrder=Year" TargetMode="External"/><Relationship Id="rId2962" Type="http://schemas.openxmlformats.org/officeDocument/2006/relationships/hyperlink" Target="http://www.burkemuseum.org/research-and-collections/botany-and-herbarium/collections/database/results.php?Genus=Epilobium&amp;Species=ciliatum&amp;SourcePage=search.php&amp;IncludeSynonyms=Y&amp;SortBy=DESC&amp;SortOrder=Year" TargetMode="External"/><Relationship Id="rId3806" Type="http://schemas.openxmlformats.org/officeDocument/2006/relationships/hyperlink" Target="https://plants.usda.gov/core/profile?symbol=CALE27" TargetMode="External"/><Relationship Id="rId6212" Type="http://schemas.openxmlformats.org/officeDocument/2006/relationships/hyperlink" Target="http://www.burkemuseum.org/research-and-collections/botany-and-herbarium/collections/database/results.php?Genus=Solidago&amp;Species=simplex&amp;SourcePage=search.php&amp;IncludeSynonyms=Y&amp;SortBy=DESC&amp;SortOrder=Year" TargetMode="External"/><Relationship Id="rId727" Type="http://schemas.openxmlformats.org/officeDocument/2006/relationships/hyperlink" Target="https://en.wikipedia.org/wiki/Eleocharis_palustris" TargetMode="External"/><Relationship Id="rId934" Type="http://schemas.openxmlformats.org/officeDocument/2006/relationships/hyperlink" Target="https://en.wikipedia.org/wiki/Carex" TargetMode="External"/><Relationship Id="rId1357" Type="http://schemas.openxmlformats.org/officeDocument/2006/relationships/hyperlink" Target="http://biology.burke.washington.edu/herbarium/imagecollection/taxon.php?Taxon=Achlys%20triphylla" TargetMode="External"/><Relationship Id="rId1564" Type="http://schemas.openxmlformats.org/officeDocument/2006/relationships/hyperlink" Target="http://en.wikipedia.org/wiki/Cornus_unalaschkensis" TargetMode="External"/><Relationship Id="rId1771" Type="http://schemas.openxmlformats.org/officeDocument/2006/relationships/hyperlink" Target="https://plants.usda.gov/core/profile?symbol=SYHA" TargetMode="External"/><Relationship Id="rId2408" Type="http://schemas.openxmlformats.org/officeDocument/2006/relationships/hyperlink" Target="http://plants.usda.gov/java/profile?symbol=AMSP3" TargetMode="External"/><Relationship Id="rId2615" Type="http://schemas.openxmlformats.org/officeDocument/2006/relationships/hyperlink" Target="http://biology.burke.washington.edu/herbarium/imagecollectionnew/taxon.php?Taxon=Stellaria%20obtusa" TargetMode="External"/><Relationship Id="rId2822" Type="http://schemas.openxmlformats.org/officeDocument/2006/relationships/hyperlink" Target="http://www.burkemuseum.org/research-and-collections/botany-and-herbarium/collections/database/results.php?Genus=Canadanthus&amp;Species=modestus&amp;SourcePage=search.php&amp;IncludeSynonyms=Y&amp;SortBy=DESC&amp;SortOrder=Year" TargetMode="External"/><Relationship Id="rId5021" Type="http://schemas.openxmlformats.org/officeDocument/2006/relationships/hyperlink" Target="https://en.wikipedia.org/wiki/Hippuris_vulgaris" TargetMode="External"/><Relationship Id="rId5978" Type="http://schemas.openxmlformats.org/officeDocument/2006/relationships/hyperlink" Target="http://www.burkemuseum.org/research-and-collections/botany-and-herbarium/collections/database/results.php?Genus=Ophioglossum&amp;Species=pusillum&amp;SourcePage=search.php&amp;IncludeSynonyms=Y&amp;SortBy=DESC&amp;SortOrder=Year" TargetMode="External"/><Relationship Id="rId63" Type="http://schemas.openxmlformats.org/officeDocument/2006/relationships/hyperlink" Target="http://biology.burke.washington.edu/herbarium/imagecollection/taxon.php?Taxon=Eriophorum%20chamissonis" TargetMode="External"/><Relationship Id="rId1217" Type="http://schemas.openxmlformats.org/officeDocument/2006/relationships/hyperlink" Target="http://biology.burke.washington.edu/herbarium/imagecollection/taxon.php?Taxon=Packera%20bolanderi" TargetMode="External"/><Relationship Id="rId1424" Type="http://schemas.openxmlformats.org/officeDocument/2006/relationships/hyperlink" Target="http://biology.burke.washington.edu/herbarium/imagecollection.php?Genus=Rudbeckia&amp;Species=occidentalis" TargetMode="External"/><Relationship Id="rId1631" Type="http://schemas.openxmlformats.org/officeDocument/2006/relationships/hyperlink" Target="http://biology.burke.washington.edu/herbarium/imagecollectionnew/taxon.php?Taxon=Toxicodendron%20diversilobum" TargetMode="External"/><Relationship Id="rId4787" Type="http://schemas.openxmlformats.org/officeDocument/2006/relationships/hyperlink" Target="https://en.wikipedia.org/wiki/Carex_feta" TargetMode="External"/><Relationship Id="rId4994" Type="http://schemas.openxmlformats.org/officeDocument/2006/relationships/hyperlink" Target="https://en.wikipedia.org/wiki/Githopsis_specularioides" TargetMode="External"/><Relationship Id="rId5838" Type="http://schemas.openxmlformats.org/officeDocument/2006/relationships/hyperlink" Target="http://www.burkemuseum.org/research-and-collections/botany-and-herbarium/collections/database/results.php?Genus=Juncus&amp;Species=brevicaudatus&amp;SourcePage=search.php&amp;IncludeSynonyms=Y&amp;SortBy=DESC&amp;SortOrder=Year" TargetMode="External"/><Relationship Id="rId7193" Type="http://schemas.openxmlformats.org/officeDocument/2006/relationships/hyperlink" Target="http://biology.burke.washington.edu/herbarium/imagecollection/taxon.php?Taxon=Ribes%20cereum" TargetMode="External"/><Relationship Id="rId3389" Type="http://schemas.openxmlformats.org/officeDocument/2006/relationships/hyperlink" Target="http://www.burkemuseum.org/research-and-collections/botany-and-herbarium/collections/database/results.php?Genus=Taxus&amp;Species=brevifolia&amp;SourcePage=search.php&amp;IncludeSynonyms=Y&amp;SortBy=DESC&amp;SortOrder=Year" TargetMode="External"/><Relationship Id="rId3596" Type="http://schemas.openxmlformats.org/officeDocument/2006/relationships/hyperlink" Target="http://www.burkemuseum.org/research-and-collections/botany-and-herbarium/collections/database/results.php?Genus=Symphoricarpos&amp;Species=mollis&amp;SourcePage=search.php&amp;IncludeSynonyms=Y&amp;SortBy=DESC&amp;SortOrder=Year" TargetMode="External"/><Relationship Id="rId4647" Type="http://schemas.openxmlformats.org/officeDocument/2006/relationships/hyperlink" Target="http://www.burkemuseum.org/research-and-collections/botany-and-herbarium/collections/database/results.php?Genus=Artemisia&amp;Species=douglasiana&amp;SourcePage=search.php&amp;IncludeSynonyms=Y&amp;SortBy=DESC&amp;SortOrder=Year" TargetMode="External"/><Relationship Id="rId7053" Type="http://schemas.openxmlformats.org/officeDocument/2006/relationships/hyperlink" Target="http://biology.burke.washington.edu/herbarium/imagecollectionnew/taxon.php?Taxon=Angelica%20genuflexa" TargetMode="External"/><Relationship Id="rId2198" Type="http://schemas.openxmlformats.org/officeDocument/2006/relationships/hyperlink" Target="http://plants.usda.gov/java/profile?symbol=ELEL5" TargetMode="External"/><Relationship Id="rId3249" Type="http://schemas.openxmlformats.org/officeDocument/2006/relationships/hyperlink" Target="http://www.burkemuseum.org/research-and-collections/botany-and-herbarium/collections/database/results.php?Genus=Potentilla&amp;Species=gracilis&amp;SourcePage=search.php&amp;IncludeSynonyms=Y&amp;SortBy=DESC&amp;SortOrder=Year" TargetMode="External"/><Relationship Id="rId3456" Type="http://schemas.openxmlformats.org/officeDocument/2006/relationships/hyperlink" Target="http://www.burkemuseum.org/research-and-collections/botany-and-herbarium/collections/database/results.php?Genus=Allium&amp;Species=amplectens&amp;SourcePage=search.php&amp;IncludeSynonyms=Y&amp;SortBy=DESC&amp;SortOrder=Year" TargetMode="External"/><Relationship Id="rId4854" Type="http://schemas.openxmlformats.org/officeDocument/2006/relationships/hyperlink" Target="https://en.wikipedia.org/wiki/Clintonia_uniflora" TargetMode="External"/><Relationship Id="rId5905" Type="http://schemas.openxmlformats.org/officeDocument/2006/relationships/hyperlink" Target="http://www.burkemuseum.org/research-and-collections/botany-and-herbarium/collections/database/results.php?Genus=Luzula&amp;Species=multiflora&amp;SourcePage=search.php&amp;IncludeSynonyms=Y&amp;SortBy=DESC&amp;SortOrder=Year" TargetMode="External"/><Relationship Id="rId7120" Type="http://schemas.openxmlformats.org/officeDocument/2006/relationships/hyperlink" Target="http://biology.burke.washington.edu/herbarium/imagecollectionnew/taxon.php?Taxon=Spiraea%20pyramidata" TargetMode="External"/><Relationship Id="rId377" Type="http://schemas.openxmlformats.org/officeDocument/2006/relationships/hyperlink" Target="http://biology.burke.washington.edu/herbarium/imagecollectionnew/taxon.php?Taxon=Cyperus%20erythrorhizos" TargetMode="External"/><Relationship Id="rId584" Type="http://schemas.openxmlformats.org/officeDocument/2006/relationships/hyperlink" Target="https://en.wikipedia.org/wiki/Sorbus_sitchensis" TargetMode="External"/><Relationship Id="rId2058" Type="http://schemas.openxmlformats.org/officeDocument/2006/relationships/hyperlink" Target="http://plants.usda.gov/java/profile?symbol=LODO" TargetMode="External"/><Relationship Id="rId2265" Type="http://schemas.openxmlformats.org/officeDocument/2006/relationships/hyperlink" Target="https://plants.usda.gov/core/profile?symbol=CLLAC" TargetMode="External"/><Relationship Id="rId3109" Type="http://schemas.openxmlformats.org/officeDocument/2006/relationships/hyperlink" Target="http://www.burkemuseum.org/research-and-collections/botany-and-herbarium/collections/database/results.php?Genus=Lupinus&amp;Species=lepidus&amp;SourcePage=search.php&amp;IncludeSynonyms=Y&amp;SortBy=DESC&amp;SortOrder=Year" TargetMode="External"/><Relationship Id="rId3663" Type="http://schemas.openxmlformats.org/officeDocument/2006/relationships/hyperlink" Target="https://plants.usda.gov/core/profile?symbol=AMSP3" TargetMode="External"/><Relationship Id="rId3870" Type="http://schemas.openxmlformats.org/officeDocument/2006/relationships/hyperlink" Target="https://plants.usda.gov/core/profile?symbol=CYER2" TargetMode="External"/><Relationship Id="rId4507" Type="http://schemas.openxmlformats.org/officeDocument/2006/relationships/hyperlink" Target="https://plants.usda.gov/core/profile?symbol=VIEL" TargetMode="External"/><Relationship Id="rId4714" Type="http://schemas.openxmlformats.org/officeDocument/2006/relationships/hyperlink" Target="https://en.wikipedia.org/wiki/Artemisia_michauxiana" TargetMode="External"/><Relationship Id="rId4921" Type="http://schemas.openxmlformats.org/officeDocument/2006/relationships/hyperlink" Target="https://en.wikipedia.org/wiki/Eleocharis_palustris" TargetMode="External"/><Relationship Id="rId237" Type="http://schemas.openxmlformats.org/officeDocument/2006/relationships/hyperlink" Target="http://biology.burke.washington.edu/herbarium/imagecollection/taxon.php?Taxon=Potamogeton%20pusillus" TargetMode="External"/><Relationship Id="rId791" Type="http://schemas.openxmlformats.org/officeDocument/2006/relationships/hyperlink" Target="https://en.wikipedia.org/wiki/Poa_leptocoma" TargetMode="External"/><Relationship Id="rId1074" Type="http://schemas.openxmlformats.org/officeDocument/2006/relationships/hyperlink" Target="https://en.wikipedia.org/wiki/Ludwigia_palustris" TargetMode="External"/><Relationship Id="rId2472" Type="http://schemas.openxmlformats.org/officeDocument/2006/relationships/hyperlink" Target="http://plants.usda.gov/java/profile?symbol=SAME7" TargetMode="External"/><Relationship Id="rId3316" Type="http://schemas.openxmlformats.org/officeDocument/2006/relationships/hyperlink" Target="http://www.burkemuseum.org/research-and-collections/botany-and-herbarium/collections/database/results.php?Genus=Salix&amp;Species=planifolia&amp;SourcePage=search.php&amp;IncludeSynonyms=Y&amp;SortBy=DESC&amp;SortOrder=Year" TargetMode="External"/><Relationship Id="rId3523" Type="http://schemas.openxmlformats.org/officeDocument/2006/relationships/hyperlink" Target="http://www.burkemuseum.org/research-and-collections/botany-and-herbarium/collections/database/results.php?Genus=Lonicera&amp;Species=conjugialis&amp;SourcePage=search.php&amp;IncludeSynonyms=Y&amp;SortBy=DESC&amp;SortOrder=Year" TargetMode="External"/><Relationship Id="rId3730" Type="http://schemas.openxmlformats.org/officeDocument/2006/relationships/hyperlink" Target="https://plants.usda.gov/core/profile?symbol=BOMI" TargetMode="External"/><Relationship Id="rId6679" Type="http://schemas.openxmlformats.org/officeDocument/2006/relationships/hyperlink" Target="http://biology.burke.washington.edu/herbarium/imagecollection/taxon.php?Taxon=Potamogeton%20robbinsii" TargetMode="External"/><Relationship Id="rId6886" Type="http://schemas.openxmlformats.org/officeDocument/2006/relationships/hyperlink" Target="http://biology.burke.washington.edu/herbarium/imagecollectionnew/taxon.php?Taxon=Saxifraga%20cespitosa" TargetMode="External"/><Relationship Id="rId444" Type="http://schemas.openxmlformats.org/officeDocument/2006/relationships/hyperlink" Target="http://biology.burke.washington.edu/herbarium/imagecollectionnew/taxon.php?Taxon=Dodecatheon%20jeffreyi" TargetMode="External"/><Relationship Id="rId651" Type="http://schemas.openxmlformats.org/officeDocument/2006/relationships/hyperlink" Target="https://en.wikipedia.org/wiki/Ribes_lacustre" TargetMode="External"/><Relationship Id="rId1281" Type="http://schemas.openxmlformats.org/officeDocument/2006/relationships/hyperlink" Target="https://en.wikipedia.org/wiki/Pityopus" TargetMode="External"/><Relationship Id="rId2125" Type="http://schemas.openxmlformats.org/officeDocument/2006/relationships/hyperlink" Target="https://plants.usda.gov/core/profile?symbol=HECO6" TargetMode="External"/><Relationship Id="rId2332" Type="http://schemas.openxmlformats.org/officeDocument/2006/relationships/hyperlink" Target="http://plants.usda.gov/java/profile?symbol=CAAN5" TargetMode="External"/><Relationship Id="rId5488" Type="http://schemas.openxmlformats.org/officeDocument/2006/relationships/hyperlink" Target="https://en.wikipedia.org/wiki/Utricularia_minor" TargetMode="External"/><Relationship Id="rId5695" Type="http://schemas.openxmlformats.org/officeDocument/2006/relationships/hyperlink" Target="http://www.burkemuseum.org/research-and-collections/botany-and-herbarium/collections/database/results.php?Genus=Dichelostemma&amp;Species=congestum&amp;SourcePage=search.php&amp;IncludeSynonyms=Y&amp;SortBy=DESC&amp;SortOrder=Year" TargetMode="External"/><Relationship Id="rId6539" Type="http://schemas.openxmlformats.org/officeDocument/2006/relationships/hyperlink" Target="http://biology.burke.washington.edu/herbarium/imagecollection/taxon.php?Taxon=Juncus%20patens" TargetMode="External"/><Relationship Id="rId6746" Type="http://schemas.openxmlformats.org/officeDocument/2006/relationships/hyperlink" Target="http://biology.burke.washington.edu/herbarium/imagecollection/taxon.php?Taxon=Limosella%20aquatica" TargetMode="External"/><Relationship Id="rId6953" Type="http://schemas.openxmlformats.org/officeDocument/2006/relationships/hyperlink" Target="http://biology.burke.washington.edu/herbarium/imagecollection/taxon.php?Taxon=Lathyrus%20palustris" TargetMode="External"/><Relationship Id="rId304" Type="http://schemas.openxmlformats.org/officeDocument/2006/relationships/hyperlink" Target="http://biology.burke.washington.edu/herbarium/imagecollectionnew/taxon.php?Taxon=Armeria%20maritima" TargetMode="External"/><Relationship Id="rId511" Type="http://schemas.openxmlformats.org/officeDocument/2006/relationships/hyperlink" Target="https://en.wikipedia.org/wiki/Viburnum_opulus" TargetMode="External"/><Relationship Id="rId1141" Type="http://schemas.openxmlformats.org/officeDocument/2006/relationships/hyperlink" Target="https://en.wikipedia.org/wiki/Gamochaeta_ustulata" TargetMode="External"/><Relationship Id="rId4297" Type="http://schemas.openxmlformats.org/officeDocument/2006/relationships/hyperlink" Target="https://plants.usda.gov/core/profile?symbol=RAFL2" TargetMode="External"/><Relationship Id="rId5348" Type="http://schemas.openxmlformats.org/officeDocument/2006/relationships/hyperlink" Target="https://en.wikipedia.org/wiki/Salix_amygdaloides" TargetMode="External"/><Relationship Id="rId5555" Type="http://schemas.openxmlformats.org/officeDocument/2006/relationships/hyperlink" Target="http://www.burkemuseum.org/research-and-collections/botany-and-herbarium/collections/database/results.php?Genus=Caltha&amp;Species=palustris&amp;SourcePage=search.php&amp;IncludeSynonyms=Y&amp;SortBy=DESC&amp;SortOrder=Year" TargetMode="External"/><Relationship Id="rId5762" Type="http://schemas.openxmlformats.org/officeDocument/2006/relationships/hyperlink" Target="http://www.burkemuseum.org/research-and-collections/botany-and-herbarium/collections/database/results.php?Genus=Fraxinus&amp;Species=latifolia&amp;SourcePage=search.php&amp;IncludeSynonyms=Y&amp;SortBy=DESC&amp;SortOrder=Year" TargetMode="External"/><Relationship Id="rId6606" Type="http://schemas.openxmlformats.org/officeDocument/2006/relationships/hyperlink" Target="http://biology.burke.washington.edu/herbarium/imagecollection/taxon.php?Taxon=Persicaria%20amphibia" TargetMode="External"/><Relationship Id="rId6813" Type="http://schemas.openxmlformats.org/officeDocument/2006/relationships/hyperlink" Target="http://biology.burke.washington.edu/herbarium/imagecollectionnew/taxon.php?Taxon=Cinna%20latifolia" TargetMode="External"/><Relationship Id="rId1001" Type="http://schemas.openxmlformats.org/officeDocument/2006/relationships/hyperlink" Target="http://en.wikipedia.org/wiki/Armeria_maritima" TargetMode="External"/><Relationship Id="rId4157" Type="http://schemas.openxmlformats.org/officeDocument/2006/relationships/hyperlink" Target="https://plants.usda.gov/core/profile?symbol=MYHI" TargetMode="External"/><Relationship Id="rId4364" Type="http://schemas.openxmlformats.org/officeDocument/2006/relationships/hyperlink" Target="https://plants.usda.gov/core/profile?symbol=SASC" TargetMode="External"/><Relationship Id="rId4571" Type="http://schemas.openxmlformats.org/officeDocument/2006/relationships/hyperlink" Target="https://en.wikipedia.org/wiki/Anaphalis_margaritacea" TargetMode="External"/><Relationship Id="rId5208" Type="http://schemas.openxmlformats.org/officeDocument/2006/relationships/hyperlink" Target="https://en.wikipedia.org/wiki/Penstemon_serrulatus" TargetMode="External"/><Relationship Id="rId5415" Type="http://schemas.openxmlformats.org/officeDocument/2006/relationships/hyperlink" Target="https://en.wikipedia.org/wiki/Sorbus_sitchensis" TargetMode="External"/><Relationship Id="rId5622" Type="http://schemas.openxmlformats.org/officeDocument/2006/relationships/hyperlink" Target="http://www.burkemuseum.org/research-and-collections/botany-and-herbarium/collections/database/results.php?Genus=Cerastium&amp;Species=arvense&amp;SourcePage=search.php&amp;IncludeSynonyms=Y&amp;SortBy=DESC&amp;SortOrder=Year" TargetMode="External"/><Relationship Id="rId1958" Type="http://schemas.openxmlformats.org/officeDocument/2006/relationships/hyperlink" Target="https://plants.usda.gov/core/profile?symbol=POHY2" TargetMode="External"/><Relationship Id="rId3173" Type="http://schemas.openxmlformats.org/officeDocument/2006/relationships/hyperlink" Target="http://www.burkemuseum.org/research-and-collections/botany-and-herbarium/collections/database/results.php?Genus=Ophioglossum&amp;Species=pusillum&amp;SourcePage=search.php&amp;IncludeSynonyms=Y&amp;SortBy=DESC&amp;SortOrder=Year" TargetMode="External"/><Relationship Id="rId3380" Type="http://schemas.openxmlformats.org/officeDocument/2006/relationships/hyperlink" Target="http://www.burkemuseum.org/research-and-collections/botany-and-herbarium/collections/database/results.php?Genus=Suaeda&amp;Species=calceoliformis&amp;SourcePage=search.php&amp;IncludeSynonyms=Y&amp;SortBy=DESC&amp;SortOrder=Year" TargetMode="External"/><Relationship Id="rId4017" Type="http://schemas.openxmlformats.org/officeDocument/2006/relationships/hyperlink" Target="https://plants.usda.gov/core/profile?symbol=LOAB" TargetMode="External"/><Relationship Id="rId4224" Type="http://schemas.openxmlformats.org/officeDocument/2006/relationships/hyperlink" Target="https://plants.usda.gov/core/profile?symbol=PICA9" TargetMode="External"/><Relationship Id="rId4431" Type="http://schemas.openxmlformats.org/officeDocument/2006/relationships/hyperlink" Target="https://plants.usda.gov/core/profile?symbol=STRI" TargetMode="External"/><Relationship Id="rId1818" Type="http://schemas.openxmlformats.org/officeDocument/2006/relationships/hyperlink" Target="http://plants.usda.gov/java/profile?symbol=SCLA2" TargetMode="External"/><Relationship Id="rId3033" Type="http://schemas.openxmlformats.org/officeDocument/2006/relationships/hyperlink" Target="http://www.burkemuseum.org/research-and-collections/botany-and-herbarium/collections/database/results.php?Genus=Heracleum&amp;Species=maximum&amp;SourcePage=search.php&amp;IncludeSynonyms=Y&amp;SortBy=DESC&amp;SortOrder=Year" TargetMode="External"/><Relationship Id="rId3240" Type="http://schemas.openxmlformats.org/officeDocument/2006/relationships/hyperlink" Target="http://www.burkemuseum.org/research-and-collections/botany-and-herbarium/collections/database/results.php?Genus=Potamogeton&amp;Species=natans&amp;SourcePage=search.php&amp;IncludeSynonyms=Y&amp;SortBy=DESC&amp;SortOrder=Year" TargetMode="External"/><Relationship Id="rId6189" Type="http://schemas.openxmlformats.org/officeDocument/2006/relationships/hyperlink" Target="http://www.burkemuseum.org/research-and-collections/botany-and-herbarium/collections/database/results.php?Genus=Scutellaria&amp;Species=lateriflora&amp;SourcePage=search.php&amp;IncludeSynonyms=Y&amp;SortBy=DESC&amp;SortOrder=Year" TargetMode="External"/><Relationship Id="rId6396" Type="http://schemas.openxmlformats.org/officeDocument/2006/relationships/hyperlink" Target="http://biology.burke.washington.edu/herbarium/imagecollectionnew/taxon.php?Taxon=Botrychium%20minganense" TargetMode="External"/><Relationship Id="rId161" Type="http://schemas.openxmlformats.org/officeDocument/2006/relationships/hyperlink" Target="http://biology.burke.washington.edu/herbarium/imagecollection/taxon.php?Taxon=Epilobium%20minutum" TargetMode="External"/><Relationship Id="rId6049" Type="http://schemas.openxmlformats.org/officeDocument/2006/relationships/hyperlink" Target="http://www.burkemuseum.org/research-and-collections/botany-and-herbarium/collections/database/results.php?Genus=Polemonium&amp;Species=pulcherrimum&amp;SourcePage=search.php&amp;IncludeSynonyms=Y&amp;SortBy=DESC&amp;SortOrder=Year" TargetMode="External"/><Relationship Id="rId2799" Type="http://schemas.openxmlformats.org/officeDocument/2006/relationships/hyperlink" Target="http://www.burkemuseum.org/research-and-collections/botany-and-herbarium/collections/database/results.php?Genus=Bolandra&amp;Species=oregana&amp;SourcePage=search.php&amp;IncludeSynonyms=Y&amp;SortBy=DESC&amp;SortOrder=Year" TargetMode="External"/><Relationship Id="rId3100" Type="http://schemas.openxmlformats.org/officeDocument/2006/relationships/hyperlink" Target="http://www.burkemuseum.org/research-and-collections/botany-and-herbarium/collections/database/results.php?Genus=Lomatium&amp;Species=dissectum&amp;SourcePage=search.php&amp;IncludeSynonyms=Y&amp;SortBy=DESC&amp;SortOrder=Year" TargetMode="External"/><Relationship Id="rId6256" Type="http://schemas.openxmlformats.org/officeDocument/2006/relationships/hyperlink" Target="http://www.burkemuseum.org/research-and-collections/botany-and-herbarium/collections/database/results.php?Genus=Thuja&amp;Species=plicata&amp;SourcePage=search.php&amp;IncludeSynonyms=Y&amp;SortBy=DESC&amp;SortOrder=Year" TargetMode="External"/><Relationship Id="rId6463" Type="http://schemas.openxmlformats.org/officeDocument/2006/relationships/hyperlink" Target="http://biology.burke.washington.edu/herbarium/imagecollectionnew/taxon.php?Taxon=Dicentra%20formosa" TargetMode="External"/><Relationship Id="rId6670" Type="http://schemas.openxmlformats.org/officeDocument/2006/relationships/hyperlink" Target="http://biology.burke.washington.edu/herbarium/imagecollection/taxon.php?Taxon=Ranunculus%20macounii" TargetMode="External"/><Relationship Id="rId978" Type="http://schemas.openxmlformats.org/officeDocument/2006/relationships/hyperlink" Target="http://en.wikipedia.org/wiki/Bidens_cernua" TargetMode="External"/><Relationship Id="rId2659" Type="http://schemas.openxmlformats.org/officeDocument/2006/relationships/hyperlink" Target="http://biology.burke.washington.edu/herbarium/imagecollectionnew/taxon.php?Taxon=Scirpus%20atrocinctus" TargetMode="External"/><Relationship Id="rId2866" Type="http://schemas.openxmlformats.org/officeDocument/2006/relationships/hyperlink" Target="http://www.burkemuseum.org/research-and-collections/botany-and-herbarium/collections/database/results.php?Genus=Castilleja&amp;Species=victoriae&amp;SourcePage=search.php&amp;IncludeSynonyms=Y&amp;SortBy=DESC&amp;SortOrder=Year" TargetMode="External"/><Relationship Id="rId3917" Type="http://schemas.openxmlformats.org/officeDocument/2006/relationships/hyperlink" Target="https://plants.usda.gov/core/profile?symbol=EPCI" TargetMode="External"/><Relationship Id="rId5065" Type="http://schemas.openxmlformats.org/officeDocument/2006/relationships/hyperlink" Target="https://en.wikipedia.org/wiki/Lathyrus_nevadensis" TargetMode="External"/><Relationship Id="rId5272" Type="http://schemas.openxmlformats.org/officeDocument/2006/relationships/hyperlink" Target="https://en.wikipedia.org/wiki/Potamogeton_obtusifolius" TargetMode="External"/><Relationship Id="rId6116" Type="http://schemas.openxmlformats.org/officeDocument/2006/relationships/hyperlink" Target="http://www.burkemuseum.org/research-and-collections/botany-and-herbarium/collections/database/results.php?Genus=Ribes&amp;Species=bracteosum&amp;SourcePage=search.php&amp;IncludeSynonyms=Y&amp;SortBy=DESC&amp;SortOrder=Year" TargetMode="External"/><Relationship Id="rId6323" Type="http://schemas.openxmlformats.org/officeDocument/2006/relationships/hyperlink" Target="http://www.burkemuseum.org/research-and-collections/botany-and-herbarium/collections/database/results.php?Genus=Xerophyllum&amp;Species=tenax&amp;SourcePage=search.php&amp;IncludeSynonyms=Y&amp;SortBy=DESC&amp;SortOrder=Year" TargetMode="External"/><Relationship Id="rId6530" Type="http://schemas.openxmlformats.org/officeDocument/2006/relationships/hyperlink" Target="http://biology.burke.washington.edu/herbarium/imagecollection/taxon.php?Taxon=Holodiscus%20discolor" TargetMode="External"/><Relationship Id="rId838" Type="http://schemas.openxmlformats.org/officeDocument/2006/relationships/hyperlink" Target="https://en.wikipedia.org/wiki/Myriopteris_gracillima" TargetMode="External"/><Relationship Id="rId1468" Type="http://schemas.openxmlformats.org/officeDocument/2006/relationships/hyperlink" Target="https://en.wikipedia.org/wiki/Darlingtonia_californica" TargetMode="External"/><Relationship Id="rId1675" Type="http://schemas.openxmlformats.org/officeDocument/2006/relationships/hyperlink" Target="http://en.wikipedia.org/wiki/Acer_circinatum" TargetMode="External"/><Relationship Id="rId1882" Type="http://schemas.openxmlformats.org/officeDocument/2006/relationships/hyperlink" Target="http://plants.usda.gov/java/profile?symbol=RHMI13" TargetMode="External"/><Relationship Id="rId2519" Type="http://schemas.openxmlformats.org/officeDocument/2006/relationships/hyperlink" Target="http://plants.usda.gov/java/profile?symbol=OECE" TargetMode="External"/><Relationship Id="rId2726" Type="http://schemas.openxmlformats.org/officeDocument/2006/relationships/hyperlink" Target="http://www.burkemuseum.org/research-and-collections/botany-and-herbarium/collections/database/results.php?Genus=Agastache&amp;Species=urticifolia&amp;SourcePage=search.php&amp;IncludeSynonyms=Y&amp;SortBy=DESC&amp;SortOrder=Year" TargetMode="External"/><Relationship Id="rId4081" Type="http://schemas.openxmlformats.org/officeDocument/2006/relationships/hyperlink" Target="https://plants.usda.gov/core/profile?symbol=LODO" TargetMode="External"/><Relationship Id="rId5132" Type="http://schemas.openxmlformats.org/officeDocument/2006/relationships/hyperlink" Target="https://en.wikipedia.org/wiki/Menyanthes_trifoliata" TargetMode="External"/><Relationship Id="rId1328" Type="http://schemas.openxmlformats.org/officeDocument/2006/relationships/hyperlink" Target="http://biology.burke.washington.edu/herbarium/imagecollection/taxon.php?Taxon=Myrica%20gale" TargetMode="External"/><Relationship Id="rId1535" Type="http://schemas.openxmlformats.org/officeDocument/2006/relationships/hyperlink" Target="https://en.wikipedia.org/wiki/Dicentra_formosa" TargetMode="External"/><Relationship Id="rId2933" Type="http://schemas.openxmlformats.org/officeDocument/2006/relationships/hyperlink" Target="http://www.burkemuseum.org/research-and-collections/botany-and-herbarium/collections/database/results.php?Genus=Delphinium&amp;Species=glaucum&amp;SourcePage=search.php&amp;IncludeSynonyms=Y&amp;SortBy=DESC&amp;SortOrder=Year" TargetMode="External"/><Relationship Id="rId7097" Type="http://schemas.openxmlformats.org/officeDocument/2006/relationships/hyperlink" Target="https://www.calflora.org/cgi-bin/species_query.cgi?where-calrecnum=8126" TargetMode="External"/><Relationship Id="rId905" Type="http://schemas.openxmlformats.org/officeDocument/2006/relationships/hyperlink" Target="http://en.wikipedia.org/wiki/Chrysosplenium_glechomifolium" TargetMode="External"/><Relationship Id="rId1742" Type="http://schemas.openxmlformats.org/officeDocument/2006/relationships/hyperlink" Target="https://plants.usda.gov/core/profile?symbol=TYAN" TargetMode="External"/><Relationship Id="rId4898" Type="http://schemas.openxmlformats.org/officeDocument/2006/relationships/hyperlink" Target="https://en.wikipedia.org/wiki/Dendrolycopodium_dendroideum" TargetMode="External"/><Relationship Id="rId5949" Type="http://schemas.openxmlformats.org/officeDocument/2006/relationships/hyperlink" Target="http://www.burkemuseum.org/research-and-collections/botany-and-herbarium/collections/database/results.php?Genus=Montia&amp;Species=diffusa&amp;SourcePage=search.php&amp;IncludeSynonyms=Y&amp;SortBy=DESC&amp;SortOrder=Year" TargetMode="External"/><Relationship Id="rId7164" Type="http://schemas.openxmlformats.org/officeDocument/2006/relationships/hyperlink" Target="http://biology.burke.washington.edu/herbarium/imagecollection/taxon.php?Taxon=Salix%20lasiolepis" TargetMode="External"/><Relationship Id="rId34" Type="http://schemas.openxmlformats.org/officeDocument/2006/relationships/hyperlink" Target="http://biology.burke.washington.edu/herbarium/imagecollection/taxon.php?Taxon=Heterotheca%20oregona" TargetMode="External"/><Relationship Id="rId1602" Type="http://schemas.openxmlformats.org/officeDocument/2006/relationships/hyperlink" Target="https://en.wikipedia.org/wiki/Lupinus_albicaulis" TargetMode="External"/><Relationship Id="rId4758" Type="http://schemas.openxmlformats.org/officeDocument/2006/relationships/hyperlink" Target="https://en.wikipedia.org/wiki/Callitriche_palustris" TargetMode="External"/><Relationship Id="rId4965" Type="http://schemas.openxmlformats.org/officeDocument/2006/relationships/hyperlink" Target="https://en.wikipedia.org/wiki/Eutrochium_maculatum" TargetMode="External"/><Relationship Id="rId5809" Type="http://schemas.openxmlformats.org/officeDocument/2006/relationships/hyperlink" Target="http://www.burkemuseum.org/research-and-collections/botany-and-herbarium/collections/database/results.php?Genus=Hierochloe&amp;Species=odorata&amp;SourcePage=search.php&amp;IncludeSynonyms=Y&amp;SortBy=DESC&amp;SortOrder=Year" TargetMode="External"/><Relationship Id="rId6180" Type="http://schemas.openxmlformats.org/officeDocument/2006/relationships/hyperlink" Target="http://www.burkemuseum.org/research-and-collections/botany-and-herbarium/collections/database/results.php?Genus=Scheuchzeria&amp;Species=palustris&amp;SourcePage=search.php&amp;IncludeSynonyms=Y&amp;SortBy=DESC&amp;SortOrder=Year" TargetMode="External"/><Relationship Id="rId7024" Type="http://schemas.openxmlformats.org/officeDocument/2006/relationships/hyperlink" Target="http://biology.burke.washington.edu/herbarium/imagecollectionnew/taxon.php?Taxon=Carex%20lasiocarpa" TargetMode="External"/><Relationship Id="rId3567" Type="http://schemas.openxmlformats.org/officeDocument/2006/relationships/hyperlink" Target="http://www.burkemuseum.org/research-and-collections/botany-and-herbarium/collections/database/results.php?Genus=Rhododendron&amp;Species=columbianum&amp;SourcePage=search.php&amp;IncludeSynonyms=Y&amp;SortBy=DESC&amp;SortOrder=Year" TargetMode="External"/><Relationship Id="rId3774" Type="http://schemas.openxmlformats.org/officeDocument/2006/relationships/hyperlink" Target="https://plants.usda.gov/core/profile?symbol=CAFE4" TargetMode="External"/><Relationship Id="rId3981" Type="http://schemas.openxmlformats.org/officeDocument/2006/relationships/hyperlink" Target="https://plants.usda.gov/core/profile?symbol=getr" TargetMode="External"/><Relationship Id="rId4618" Type="http://schemas.openxmlformats.org/officeDocument/2006/relationships/hyperlink" Target="http://www.burkemuseum.org/research-and-collections/botany-and-herbarium/collections/database/results.php?Genus=Anemone&amp;Species=lyallii&amp;SourcePage=search.php&amp;IncludeSynonyms=Y&amp;SortBy=DESC&amp;SortOrder=Year" TargetMode="External"/><Relationship Id="rId4825" Type="http://schemas.openxmlformats.org/officeDocument/2006/relationships/hyperlink" Target="https://en.wikipedia.org/wiki/Ceanothus_velutinus" TargetMode="External"/><Relationship Id="rId7231" Type="http://schemas.openxmlformats.org/officeDocument/2006/relationships/hyperlink" Target="http://biology.burke.washington.edu/herbarium/imagecollection/taxon.php?Taxon=Polygonum%20paronychia" TargetMode="External"/><Relationship Id="rId488" Type="http://schemas.openxmlformats.org/officeDocument/2006/relationships/hyperlink" Target="http://biology.burke.washington.edu/herbarium/imagecollectionnew/taxon.php?Taxon=Zannichellia%20palustris" TargetMode="External"/><Relationship Id="rId695" Type="http://schemas.openxmlformats.org/officeDocument/2006/relationships/hyperlink" Target="https://en.wikipedia.org/wiki/Mimulus_moschatus" TargetMode="External"/><Relationship Id="rId2169" Type="http://schemas.openxmlformats.org/officeDocument/2006/relationships/hyperlink" Target="https://plants.usda.gov/core/profile?symbol=MIMO3" TargetMode="External"/><Relationship Id="rId2376" Type="http://schemas.openxmlformats.org/officeDocument/2006/relationships/hyperlink" Target="http://plants.usda.gov/java/profile?symbol=ARDI8" TargetMode="External"/><Relationship Id="rId2583" Type="http://schemas.openxmlformats.org/officeDocument/2006/relationships/hyperlink" Target="http://plants.usda.gov/java/profile?symbol=CALES2" TargetMode="External"/><Relationship Id="rId2790" Type="http://schemas.openxmlformats.org/officeDocument/2006/relationships/hyperlink" Target="http://www.burkemuseum.org/research-and-collections/botany-and-herbarium/collections/database/results.php?Genus=Berberis&amp;Species=aquifolium&amp;SourcePage=search.php&amp;IncludeSynonyms=Y&amp;SortBy=DESC&amp;SortOrder=Year" TargetMode="External"/><Relationship Id="rId3427" Type="http://schemas.openxmlformats.org/officeDocument/2006/relationships/hyperlink" Target="http://www.burkemuseum.org/research-and-collections/botany-and-herbarium/collections/database/results.php?Genus=Veratrum&amp;Species=californicum&amp;SourcePage=search.php&amp;IncludeSynonyms=Y&amp;SortBy=DESC&amp;SortOrder=Year" TargetMode="External"/><Relationship Id="rId3634" Type="http://schemas.openxmlformats.org/officeDocument/2006/relationships/hyperlink" Target="https://plants.usda.gov/core/profile?symbol=acco4" TargetMode="External"/><Relationship Id="rId3841" Type="http://schemas.openxmlformats.org/officeDocument/2006/relationships/hyperlink" Target="https://plants.usda.gov/core/profile?symbol=CLUN2" TargetMode="External"/><Relationship Id="rId6040" Type="http://schemas.openxmlformats.org/officeDocument/2006/relationships/hyperlink" Target="http://www.burkemuseum.org/research-and-collections/botany-and-herbarium/collections/database/results.php?Genus=Pleuricospora&amp;Species=fimbriolata&amp;SourcePage=search.php&amp;IncludeSynonyms=Y&amp;SortBy=DESC&amp;SortOrder=Year" TargetMode="External"/><Relationship Id="rId6997" Type="http://schemas.openxmlformats.org/officeDocument/2006/relationships/hyperlink" Target="http://biology.burke.washington.edu/herbarium/imagecollection/taxon.php?Taxon=Cypripedium%20montanum" TargetMode="External"/><Relationship Id="rId348" Type="http://schemas.openxmlformats.org/officeDocument/2006/relationships/hyperlink" Target="http://biology.burke.washington.edu/herbarium/imagecollectionnew/taxon.php?Taxon=Carex%20amplifolia" TargetMode="External"/><Relationship Id="rId555" Type="http://schemas.openxmlformats.org/officeDocument/2006/relationships/hyperlink" Target="https://en.wikipedia.org/wiki/Tanacetum_camphoratum" TargetMode="External"/><Relationship Id="rId762" Type="http://schemas.openxmlformats.org/officeDocument/2006/relationships/hyperlink" Target="https://en.wikipedia.org/wiki/Comarum_palustre" TargetMode="External"/><Relationship Id="rId1185" Type="http://schemas.openxmlformats.org/officeDocument/2006/relationships/hyperlink" Target="http://biology.burke.washington.edu/herbarium/imagecollectionnew/taxon.php?Taxon=Triphysaria%20pusilla" TargetMode="External"/><Relationship Id="rId1392" Type="http://schemas.openxmlformats.org/officeDocument/2006/relationships/hyperlink" Target="http://biology.burke.washington.edu/herbarium/imagecollection/taxon.php?Taxon=Abies%20grandis" TargetMode="External"/><Relationship Id="rId2029" Type="http://schemas.openxmlformats.org/officeDocument/2006/relationships/hyperlink" Target="http://plants.usda.gov/java/profile?symbol=MARA7" TargetMode="External"/><Relationship Id="rId2236" Type="http://schemas.openxmlformats.org/officeDocument/2006/relationships/hyperlink" Target="http://plants.usda.gov/java/profile?symbol=CUCE" TargetMode="External"/><Relationship Id="rId2443" Type="http://schemas.openxmlformats.org/officeDocument/2006/relationships/hyperlink" Target="http://plants.usda.gov/java/profile?symbol=VISE3" TargetMode="External"/><Relationship Id="rId2650" Type="http://schemas.openxmlformats.org/officeDocument/2006/relationships/hyperlink" Target="http://biology.burke.washington.edu/herbarium/imagecollection/taxon.php?Taxon=Aphyllon%20pinorum" TargetMode="External"/><Relationship Id="rId3701" Type="http://schemas.openxmlformats.org/officeDocument/2006/relationships/hyperlink" Target="https://plants.usda.gov/core/profile?symbol=ARMI4" TargetMode="External"/><Relationship Id="rId5599" Type="http://schemas.openxmlformats.org/officeDocument/2006/relationships/hyperlink" Target="http://www.burkemuseum.org/research-and-collections/botany-and-herbarium/collections/database/results.php?Genus=Carex&amp;Species=rossii&amp;SourcePage=search.php&amp;IncludeSynonyms=Y&amp;SortBy=DESC&amp;SortOrder=Year" TargetMode="External"/><Relationship Id="rId6857" Type="http://schemas.openxmlformats.org/officeDocument/2006/relationships/hyperlink" Target="http://biology.burke.washington.edu/herbarium/imagecollection/taxon.php?Taxon=Aphyllon%20fasciculatum" TargetMode="External"/><Relationship Id="rId208" Type="http://schemas.openxmlformats.org/officeDocument/2006/relationships/hyperlink" Target="http://biology.burke.washington.edu/herbarium/imagecollection/taxon.php?Taxon=Galium%20palustre" TargetMode="External"/><Relationship Id="rId415" Type="http://schemas.openxmlformats.org/officeDocument/2006/relationships/hyperlink" Target="http://biology.burke.washington.edu/herbarium/imagecollectionnew/taxon.php?Taxon=Cinna%20latifolia" TargetMode="External"/><Relationship Id="rId622" Type="http://schemas.openxmlformats.org/officeDocument/2006/relationships/hyperlink" Target="https://en.wikipedia.org/wiki/Salix_myrtilloides" TargetMode="External"/><Relationship Id="rId1045" Type="http://schemas.openxmlformats.org/officeDocument/2006/relationships/hyperlink" Target="http://en.wikipedia.org/wiki/Acer_glabrum" TargetMode="External"/><Relationship Id="rId1252" Type="http://schemas.openxmlformats.org/officeDocument/2006/relationships/hyperlink" Target="http://biology.burke.washington.edu/herbarium/imagecollection/taxon.php?Taxon=Isoetes%20nuttallii" TargetMode="External"/><Relationship Id="rId2303" Type="http://schemas.openxmlformats.org/officeDocument/2006/relationships/hyperlink" Target="https://plants.usda.gov/core/profile?symbol=CARO5" TargetMode="External"/><Relationship Id="rId2510" Type="http://schemas.openxmlformats.org/officeDocument/2006/relationships/hyperlink" Target="http://plants.usda.gov/java/profile?symbol=PERI" TargetMode="External"/><Relationship Id="rId5459" Type="http://schemas.openxmlformats.org/officeDocument/2006/relationships/hyperlink" Target="https://en.wikipedia.org/wiki/Tiarella_trifoliata" TargetMode="External"/><Relationship Id="rId5666" Type="http://schemas.openxmlformats.org/officeDocument/2006/relationships/hyperlink" Target="http://www.burkemuseum.org/research-and-collections/botany-and-herbarium/collections/database/results.php?Genus=Corylus&amp;Species=cornuta&amp;SourcePage=search.php&amp;IncludeSynonyms=Y&amp;SortBy=DESC&amp;SortOrder=Year" TargetMode="External"/><Relationship Id="rId1112" Type="http://schemas.openxmlformats.org/officeDocument/2006/relationships/hyperlink" Target="https://en.wikipedia.org/wiki/Juniperus_scopulorum" TargetMode="External"/><Relationship Id="rId4268" Type="http://schemas.openxmlformats.org/officeDocument/2006/relationships/hyperlink" Target="https://plants.usda.gov/core/profile?symbol=POPU7" TargetMode="External"/><Relationship Id="rId4475" Type="http://schemas.openxmlformats.org/officeDocument/2006/relationships/hyperlink" Target="https://plants.usda.gov/core/profile?symbol=TRBI2" TargetMode="External"/><Relationship Id="rId5319" Type="http://schemas.openxmlformats.org/officeDocument/2006/relationships/hyperlink" Target="https://en.wikipedia.org/wiki/Ribes_divaricatum" TargetMode="External"/><Relationship Id="rId5873" Type="http://schemas.openxmlformats.org/officeDocument/2006/relationships/hyperlink" Target="http://www.burkemuseum.org/research-and-collections/botany-and-herbarium/collections/database/results.php?Genus=Leymus&amp;Species=mollis&amp;SourcePage=search.php&amp;IncludeSynonyms=Y&amp;SortBy=DESC&amp;SortOrder=Year" TargetMode="External"/><Relationship Id="rId6717" Type="http://schemas.openxmlformats.org/officeDocument/2006/relationships/hyperlink" Target="http://biology.burke.washington.edu/herbarium/imagecollection/taxon.php?Taxon=Myriophyllum%20verticillatum" TargetMode="External"/><Relationship Id="rId6924" Type="http://schemas.openxmlformats.org/officeDocument/2006/relationships/hyperlink" Target="http://biology.burke.washington.edu/herbarium/imagecollection/taxon.php?Taxon=Nemophila%20parviflora" TargetMode="External"/><Relationship Id="rId3077" Type="http://schemas.openxmlformats.org/officeDocument/2006/relationships/hyperlink" Target="http://www.burkemuseum.org/research-and-collections/botany-and-herbarium/collections/database/results.php?Genus=Lathyrus&amp;Species=nevadensis&amp;SourcePage=search.php&amp;IncludeSynonyms=Y&amp;SortBy=DESC&amp;SortOrder=Year" TargetMode="External"/><Relationship Id="rId3284" Type="http://schemas.openxmlformats.org/officeDocument/2006/relationships/hyperlink" Target="http://www.burkemuseum.org/research-and-collections/botany-and-herbarium/collections/database/results.php?Genus=Ribes&amp;Species=oxyacanthoides&amp;SourcePage=search.php&amp;IncludeSynonyms=Y&amp;SortBy=DESC&amp;SortOrder=Year" TargetMode="External"/><Relationship Id="rId4128" Type="http://schemas.openxmlformats.org/officeDocument/2006/relationships/hyperlink" Target="https://plants.usda.gov/core/profile?symbol=MESU" TargetMode="External"/><Relationship Id="rId4682" Type="http://schemas.openxmlformats.org/officeDocument/2006/relationships/hyperlink" Target="http://www.burkemuseum.org/research-and-collections/botany-and-herbarium/collections/database/results.php?Genus=Boykinia&amp;Species=occidentalis&amp;SourcePage=search.php&amp;IncludeSynonyms=Y&amp;SortBy=DESC&amp;SortOrder=Year" TargetMode="External"/><Relationship Id="rId5526" Type="http://schemas.openxmlformats.org/officeDocument/2006/relationships/hyperlink" Target="https://en.wikipedia.org/wiki/Yabea_microcarpa" TargetMode="External"/><Relationship Id="rId5733" Type="http://schemas.openxmlformats.org/officeDocument/2006/relationships/hyperlink" Target="http://www.burkemuseum.org/research-and-collections/botany-and-herbarium/collections/database/results.php?Genus=Erigeron&amp;Species=strigosus&amp;SourcePage=search.php&amp;IncludeSynonyms=Y&amp;SortBy=DESC&amp;SortOrder=Year" TargetMode="External"/><Relationship Id="rId5940" Type="http://schemas.openxmlformats.org/officeDocument/2006/relationships/hyperlink" Target="http://www.burkemuseum.org/research-and-collections/botany-and-herbarium/collections/database/results.php?Genus=Microseris&amp;Species=laciniata&amp;SourcePage=search.php&amp;IncludeSynonyms=Y&amp;SortBy=DESC&amp;SortOrder=Year" TargetMode="External"/><Relationship Id="rId1929" Type="http://schemas.openxmlformats.org/officeDocument/2006/relationships/hyperlink" Target="https://plants.usda.gov/core/profile?symbol=PODOS2" TargetMode="External"/><Relationship Id="rId2093" Type="http://schemas.openxmlformats.org/officeDocument/2006/relationships/hyperlink" Target="http://plants.usda.gov/java/profile?symbol=JUEN" TargetMode="External"/><Relationship Id="rId3491" Type="http://schemas.openxmlformats.org/officeDocument/2006/relationships/hyperlink" Target="http://www.burkemuseum.org/research-and-collections/botany-and-herbarium/collections/database/results.php?Genus=Dichelostemma&amp;Species=congestum&amp;SourcePage=search.php&amp;IncludeSynonyms=Y&amp;SortBy=DESC&amp;SortOrder=Year" TargetMode="External"/><Relationship Id="rId4335" Type="http://schemas.openxmlformats.org/officeDocument/2006/relationships/hyperlink" Target="https://plants.usda.gov/core/profile?symbol=RUPE" TargetMode="External"/><Relationship Id="rId4542" Type="http://schemas.openxmlformats.org/officeDocument/2006/relationships/hyperlink" Target="https://en.wikipedia.org/wiki/Adenocaulon_bicolor" TargetMode="External"/><Relationship Id="rId5800" Type="http://schemas.openxmlformats.org/officeDocument/2006/relationships/hyperlink" Target="http://www.burkemuseum.org/research-and-collections/botany-and-herbarium/collections/database/results.php?Genus=Heracleum&amp;Species=maximum&amp;SourcePage=search.php&amp;IncludeSynonyms=Y&amp;SortBy=DESC&amp;SortOrder=Year" TargetMode="External"/><Relationship Id="rId3144" Type="http://schemas.openxmlformats.org/officeDocument/2006/relationships/hyperlink" Target="http://www.burkemuseum.org/research-and-collections/botany-and-herbarium/collections/database/results.php?Genus=Microsteris&amp;Species=gracilis&amp;SourcePage=search.php&amp;IncludeSynonyms=Y&amp;SortBy=DESC&amp;SortOrder=Year" TargetMode="External"/><Relationship Id="rId3351" Type="http://schemas.openxmlformats.org/officeDocument/2006/relationships/hyperlink" Target="http://www.burkemuseum.org/research-and-collections/botany-and-herbarium/collections/database/results.php?Genus=Silene&amp;Species=menziesii&amp;SourcePage=search.php&amp;IncludeSynonyms=Y&amp;SortBy=DESC&amp;SortOrder=Year" TargetMode="External"/><Relationship Id="rId4402" Type="http://schemas.openxmlformats.org/officeDocument/2006/relationships/hyperlink" Target="https://plants.usda.gov/core/profile?symbol=SIHI3" TargetMode="External"/><Relationship Id="rId272" Type="http://schemas.openxmlformats.org/officeDocument/2006/relationships/hyperlink" Target="http://biology.burke.washington.edu/herbarium/imagecollection/taxon.php?Taxon=Lewisia%20columbiana" TargetMode="External"/><Relationship Id="rId2160" Type="http://schemas.openxmlformats.org/officeDocument/2006/relationships/hyperlink" Target="http://plants.usda.gov/java/profile?symbol=FERU2" TargetMode="External"/><Relationship Id="rId3004" Type="http://schemas.openxmlformats.org/officeDocument/2006/relationships/hyperlink" Target="http://www.burkemuseum.org/research-and-collections/botany-and-herbarium/collections/database/results.php?Genus=Galium&amp;Species=aparine&amp;SourcePage=search.php&amp;IncludeSynonyms=Y&amp;SortBy=DESC&amp;SortOrder=Year" TargetMode="External"/><Relationship Id="rId3211" Type="http://schemas.openxmlformats.org/officeDocument/2006/relationships/hyperlink" Target="http://www.burkemuseum.org/research-and-collections/botany-and-herbarium/collections/database/results.php?Genus=Plantago&amp;Species=macrocarpa&amp;SourcePage=search.php&amp;IncludeSynonyms=Y&amp;SortBy=DESC&amp;SortOrder=Year" TargetMode="External"/><Relationship Id="rId6367" Type="http://schemas.openxmlformats.org/officeDocument/2006/relationships/hyperlink" Target="http://biology.burke.washington.edu/herbarium/imagecollectionnew/taxon.php?Taxon=Anaphalis%20margaritacea" TargetMode="External"/><Relationship Id="rId6574" Type="http://schemas.openxmlformats.org/officeDocument/2006/relationships/hyperlink" Target="http://biology.burke.washington.edu/herbarium/imagecollection/taxon.php?Taxon=Maianthemum%20racemosum" TargetMode="External"/><Relationship Id="rId6781" Type="http://schemas.openxmlformats.org/officeDocument/2006/relationships/hyperlink" Target="http://biology.burke.washington.edu/herbarium/imagecollection/taxon.php?Taxon=Galium%20oreganum" TargetMode="External"/><Relationship Id="rId132" Type="http://schemas.openxmlformats.org/officeDocument/2006/relationships/hyperlink" Target="http://biology.burke.washington.edu/herbarium/imagecollection/taxon.php?Taxon=Platanthera%20orbiculata" TargetMode="External"/><Relationship Id="rId2020" Type="http://schemas.openxmlformats.org/officeDocument/2006/relationships/hyperlink" Target="http://plants.usda.gov/java/profile?symbol=MEPL" TargetMode="External"/><Relationship Id="rId5176" Type="http://schemas.openxmlformats.org/officeDocument/2006/relationships/hyperlink" Target="https://en.wikipedia.org/wiki/Oemleria_cerasiformis" TargetMode="External"/><Relationship Id="rId5383" Type="http://schemas.openxmlformats.org/officeDocument/2006/relationships/hyperlink" Target="https://en.wikipedia.org/wiki/Schoenoplectus_subterminalis" TargetMode="External"/><Relationship Id="rId5590" Type="http://schemas.openxmlformats.org/officeDocument/2006/relationships/hyperlink" Target="http://www.burkemuseum.org/research-and-collections/botany-and-herbarium/collections/database/results.php?Genus=Carex&amp;Species=mertensii&amp;SourcePage=search.php&amp;IncludeSynonyms=Y&amp;SortBy=DESC&amp;SortOrder=Year" TargetMode="External"/><Relationship Id="rId6227" Type="http://schemas.openxmlformats.org/officeDocument/2006/relationships/hyperlink" Target="http://www.burkemuseum.org/research-and-collections/botany-and-herbarium/collections/database/results.php?Genus=Spiranthes&amp;Species=romanzoffiana&amp;SourcePage=search.php&amp;IncludeSynonyms=Y&amp;SortBy=DESC&amp;SortOrder=Year" TargetMode="External"/><Relationship Id="rId6434" Type="http://schemas.openxmlformats.org/officeDocument/2006/relationships/hyperlink" Target="http://biology.burke.washington.edu/herbarium/imagecollectionnew/taxon.php?Taxon=Clarkia%20amoena" TargetMode="External"/><Relationship Id="rId6641" Type="http://schemas.openxmlformats.org/officeDocument/2006/relationships/hyperlink" Target="http://biology.burke.washington.edu/herbarium/imagecollectionnew/taxon.php?Taxon=Stachys%20mexicana" TargetMode="External"/><Relationship Id="rId1579" Type="http://schemas.openxmlformats.org/officeDocument/2006/relationships/hyperlink" Target="http://en.wikipedia.org/wiki/Bromus_carinatus" TargetMode="External"/><Relationship Id="rId2977" Type="http://schemas.openxmlformats.org/officeDocument/2006/relationships/hyperlink" Target="http://www.burkemuseum.org/research-and-collections/botany-and-herbarium/collections/database/results.php?Genus=Eriogonum&amp;Species=umbellatum&amp;SourcePage=search.php&amp;IncludeSynonyms=Y&amp;SortBy=DESC&amp;SortOrder=Year" TargetMode="External"/><Relationship Id="rId4192" Type="http://schemas.openxmlformats.org/officeDocument/2006/relationships/hyperlink" Target="https://plants.usda.gov/core/profile?symbol=PACI2" TargetMode="External"/><Relationship Id="rId5036" Type="http://schemas.openxmlformats.org/officeDocument/2006/relationships/hyperlink" Target="https://en.wikipedia.org/wiki/Hypericum_majus" TargetMode="External"/><Relationship Id="rId5243" Type="http://schemas.openxmlformats.org/officeDocument/2006/relationships/hyperlink" Target="https://en.wikipedia.org/wiki/Pleuropogon_refractus" TargetMode="External"/><Relationship Id="rId5450" Type="http://schemas.openxmlformats.org/officeDocument/2006/relationships/hyperlink" Target="https://en.wikipedia.org/wiki/Symphyotrichum_subspicatum" TargetMode="External"/><Relationship Id="rId949" Type="http://schemas.openxmlformats.org/officeDocument/2006/relationships/hyperlink" Target="http://en.wikipedia.org/wiki/Cardamine_oligosperma" TargetMode="External"/><Relationship Id="rId1786" Type="http://schemas.openxmlformats.org/officeDocument/2006/relationships/hyperlink" Target="https://plants.usda.gov/core/profile?symbol=STME" TargetMode="External"/><Relationship Id="rId1993" Type="http://schemas.openxmlformats.org/officeDocument/2006/relationships/hyperlink" Target="http://plants.usda.gov/java/profile?symbol=CHGR" TargetMode="External"/><Relationship Id="rId2837" Type="http://schemas.openxmlformats.org/officeDocument/2006/relationships/hyperlink" Target="http://www.burkemuseum.org/research-and-collections/botany-and-herbarium/collections/database/results.php?Genus=Carex&amp;Species=densa&amp;SourcePage=search.php&amp;IncludeSynonyms=Y&amp;SortBy=DESC&amp;SortOrder=Year" TargetMode="External"/><Relationship Id="rId4052" Type="http://schemas.openxmlformats.org/officeDocument/2006/relationships/hyperlink" Target="https://plants.usda.gov/core/profile?symbol=LAOC" TargetMode="External"/><Relationship Id="rId5103" Type="http://schemas.openxmlformats.org/officeDocument/2006/relationships/hyperlink" Target="https://en.wikipedia.org/wiki/Lupinus_oreganus" TargetMode="External"/><Relationship Id="rId6501" Type="http://schemas.openxmlformats.org/officeDocument/2006/relationships/hyperlink" Target="http://biology.burke.washington.edu/herbarium/imagecollection/taxon.php?Taxon=Fritillaria%20affinis" TargetMode="External"/><Relationship Id="rId78" Type="http://schemas.openxmlformats.org/officeDocument/2006/relationships/hyperlink" Target="http://biology.burke.washington.edu/herbarium/imagecollection/taxon.php?Taxon=Lathyrus%20torreyi" TargetMode="External"/><Relationship Id="rId809" Type="http://schemas.openxmlformats.org/officeDocument/2006/relationships/hyperlink" Target="https://en.wikipedia.org/wiki/Persicaria_hydropiperoides" TargetMode="External"/><Relationship Id="rId1439" Type="http://schemas.openxmlformats.org/officeDocument/2006/relationships/hyperlink" Target="http://biology.burke.washington.edu/herbarium/imagecollectionnew/taxon.php?Taxon=Carex%20lyngbyei" TargetMode="External"/><Relationship Id="rId1646" Type="http://schemas.openxmlformats.org/officeDocument/2006/relationships/hyperlink" Target="http://biology.burke.washington.edu/herbarium/imagecollection/taxon.php?Taxon=Salix%20sitchensis" TargetMode="External"/><Relationship Id="rId1853" Type="http://schemas.openxmlformats.org/officeDocument/2006/relationships/hyperlink" Target="http://plants.usda.gov/java/profile?symbol=SADE10" TargetMode="External"/><Relationship Id="rId2904" Type="http://schemas.openxmlformats.org/officeDocument/2006/relationships/hyperlink" Target="http://www.burkemuseum.org/research-and-collections/botany-and-herbarium/collections/database/results.php?Genus=Conyza&amp;Species=canadensis&amp;SourcePage=search.php&amp;IncludeSynonyms=Y&amp;SortBy=DESC&amp;SortOrder=Year" TargetMode="External"/><Relationship Id="rId5310" Type="http://schemas.openxmlformats.org/officeDocument/2006/relationships/hyperlink" Target="https://en.wikipedia.org/wiki/Rhododendron_macrophyllum" TargetMode="External"/><Relationship Id="rId7068" Type="http://schemas.openxmlformats.org/officeDocument/2006/relationships/hyperlink" Target="http://biology.burke.washington.edu/herbarium/imagecollectionnew/taxon.php?Taxon=Woodsia%20oregana" TargetMode="External"/><Relationship Id="rId1506" Type="http://schemas.openxmlformats.org/officeDocument/2006/relationships/hyperlink" Target="https://en.wikipedia.org/wiki/Rubus_ursinus" TargetMode="External"/><Relationship Id="rId1713" Type="http://schemas.openxmlformats.org/officeDocument/2006/relationships/hyperlink" Target="http://plants.usda.gov/java/profile?symbol=WOOR" TargetMode="External"/><Relationship Id="rId1920" Type="http://schemas.openxmlformats.org/officeDocument/2006/relationships/hyperlink" Target="http://plants.usda.gov/java/profile?symbol=POEP2" TargetMode="External"/><Relationship Id="rId4869" Type="http://schemas.openxmlformats.org/officeDocument/2006/relationships/hyperlink" Target="https://en.wikipedia.org/wiki/Cornus_sericea" TargetMode="External"/><Relationship Id="rId3678" Type="http://schemas.openxmlformats.org/officeDocument/2006/relationships/hyperlink" Target="https://plants.usda.gov/core/profile?symbol=ORCA2" TargetMode="External"/><Relationship Id="rId3885" Type="http://schemas.openxmlformats.org/officeDocument/2006/relationships/hyperlink" Target="https://plants.usda.gov/core/profile?symbol=DETR2" TargetMode="External"/><Relationship Id="rId4729" Type="http://schemas.openxmlformats.org/officeDocument/2006/relationships/hyperlink" Target="https://en.wikipedia.org/wiki/Berberis_aquifolium" TargetMode="External"/><Relationship Id="rId4936" Type="http://schemas.openxmlformats.org/officeDocument/2006/relationships/hyperlink" Target="https://en.wikipedia.org/wiki/Equisetum_hyemale" TargetMode="External"/><Relationship Id="rId6084" Type="http://schemas.openxmlformats.org/officeDocument/2006/relationships/hyperlink" Target="http://www.burkemuseum.org/research-and-collections/botany-and-herbarium/collections/database/results.php?Genus=Pseudognaphalium&amp;Species=thermale&amp;SourcePage=search.php&amp;IncludeSynonyms=Y&amp;SortBy=DESC&amp;SortOrder=Year" TargetMode="External"/><Relationship Id="rId6291" Type="http://schemas.openxmlformats.org/officeDocument/2006/relationships/hyperlink" Target="http://www.burkemuseum.org/research-and-collections/botany-and-herbarium/collections/database/results.php?Genus=Vaccinium&amp;Species=ovatum&amp;SourcePage=search.php&amp;IncludeSynonyms=Y&amp;SortBy=DESC&amp;SortOrder=Year" TargetMode="External"/><Relationship Id="rId7135" Type="http://schemas.openxmlformats.org/officeDocument/2006/relationships/hyperlink" Target="http://biology.burke.washington.edu/herbarium/imagecollectionnew/taxon.php?Taxon=Sidalcea%20hendersonii" TargetMode="External"/><Relationship Id="rId599" Type="http://schemas.openxmlformats.org/officeDocument/2006/relationships/hyperlink" Target="https://en.wikipedia.org/wiki/Sedum_lanceolatum" TargetMode="External"/><Relationship Id="rId2487" Type="http://schemas.openxmlformats.org/officeDocument/2006/relationships/hyperlink" Target="http://plants.usda.gov/java/profile?symbol=RIBR" TargetMode="External"/><Relationship Id="rId2694" Type="http://schemas.openxmlformats.org/officeDocument/2006/relationships/hyperlink" Target="http://biology.burke.washington.edu/herbarium/imagecollectionnew/taxon.php?Taxon=Sium%20suave" TargetMode="External"/><Relationship Id="rId3538" Type="http://schemas.openxmlformats.org/officeDocument/2006/relationships/hyperlink" Target="http://www.burkemuseum.org/research-and-collections/botany-and-herbarium/collections/database/results.php?Genus=Oenanthe&amp;Species=sarmentosa&amp;SourcePage=search.php&amp;IncludeSynonyms=Y&amp;SortBy=DESC&amp;SortOrder=Year" TargetMode="External"/><Relationship Id="rId3745" Type="http://schemas.openxmlformats.org/officeDocument/2006/relationships/hyperlink" Target="https://plants.usda.gov/core/profile?symbol=CAPA52" TargetMode="External"/><Relationship Id="rId6151" Type="http://schemas.openxmlformats.org/officeDocument/2006/relationships/hyperlink" Target="http://www.burkemuseum.org/research-and-collections/botany-and-herbarium/collections/database/results.php?Genus=Salix&amp;Species=cascadensis&amp;SourcePage=search.php&amp;IncludeSynonyms=Y&amp;SortBy=DESC&amp;SortOrder=Year" TargetMode="External"/><Relationship Id="rId7202" Type="http://schemas.openxmlformats.org/officeDocument/2006/relationships/hyperlink" Target="http://biology.burke.washington.edu/herbarium/imagecollection/taxon.php?Taxon=Rhododendron%20albiflorum" TargetMode="External"/><Relationship Id="rId459" Type="http://schemas.openxmlformats.org/officeDocument/2006/relationships/hyperlink" Target="http://biology.burke.washington.edu/herbarium/imagecollectionnew/taxon.php?Taxon=Utricularia%20gibba" TargetMode="External"/><Relationship Id="rId666" Type="http://schemas.openxmlformats.org/officeDocument/2006/relationships/hyperlink" Target="https://en.wikipedia.org/wiki/Ranunculus_alismifolius" TargetMode="External"/><Relationship Id="rId873" Type="http://schemas.openxmlformats.org/officeDocument/2006/relationships/hyperlink" Target="http://en.wikipedia.org/wiki/Lysichiton_americanus" TargetMode="External"/><Relationship Id="rId1089" Type="http://schemas.openxmlformats.org/officeDocument/2006/relationships/hyperlink" Target="https://en.wikipedia.org/wiki/Limosella_aquatica" TargetMode="External"/><Relationship Id="rId1296" Type="http://schemas.openxmlformats.org/officeDocument/2006/relationships/hyperlink" Target="http://biology.burke.washington.edu/herbarium/imagecollectionnew/taxon.php?Taxon=Sidalcea%20virgata" TargetMode="External"/><Relationship Id="rId2347" Type="http://schemas.openxmlformats.org/officeDocument/2006/relationships/hyperlink" Target="https://plants.usda.gov/core/profile?symbol=BRSI" TargetMode="External"/><Relationship Id="rId2554" Type="http://schemas.openxmlformats.org/officeDocument/2006/relationships/hyperlink" Target="https://plants.usda.gov/core/profile?symbol=GASH" TargetMode="External"/><Relationship Id="rId3952" Type="http://schemas.openxmlformats.org/officeDocument/2006/relationships/hyperlink" Target="https://plants.usda.gov/core/profile?symbol=EUMA9" TargetMode="External"/><Relationship Id="rId6011" Type="http://schemas.openxmlformats.org/officeDocument/2006/relationships/hyperlink" Target="http://www.burkemuseum.org/research-and-collections/botany-and-herbarium/collections/database/results.php?Genus=Persicaria&amp;Species=hydropiperoides&amp;SourcePage=search.php&amp;IncludeSynonyms=Y&amp;SortBy=DESC&amp;SortOrder=Year" TargetMode="External"/><Relationship Id="rId319" Type="http://schemas.openxmlformats.org/officeDocument/2006/relationships/hyperlink" Target="http://biology.burke.washington.edu/herbarium/imagecollectionnew/taxon.php?Taxon=Bidens%20vulgata" TargetMode="External"/><Relationship Id="rId526" Type="http://schemas.openxmlformats.org/officeDocument/2006/relationships/hyperlink" Target="https://en.wikipedia.org/wiki/Utricularia_vulgaris" TargetMode="External"/><Relationship Id="rId1156" Type="http://schemas.openxmlformats.org/officeDocument/2006/relationships/hyperlink" Target="https://en.wikipedia.org/wiki/Gilia_capitata" TargetMode="External"/><Relationship Id="rId1363" Type="http://schemas.openxmlformats.org/officeDocument/2006/relationships/hyperlink" Target="http://biology.burke.washington.edu/herbarium/imagecollection/taxon.php?Taxon=Isolepis%20cernua" TargetMode="External"/><Relationship Id="rId2207" Type="http://schemas.openxmlformats.org/officeDocument/2006/relationships/hyperlink" Target="http://plants.usda.gov/java/profile?symbol=DRFI2" TargetMode="External"/><Relationship Id="rId2761" Type="http://schemas.openxmlformats.org/officeDocument/2006/relationships/hyperlink" Target="http://www.burkemuseum.org/research-and-collections/botany-and-herbarium/collections/database/results.php?Genus=Aphyllon&amp;Species=pinorum&amp;SourcePage=search.php&amp;IncludeSynonyms=Y&amp;SortBy=DESC&amp;SortOrder=Year" TargetMode="External"/><Relationship Id="rId3605" Type="http://schemas.openxmlformats.org/officeDocument/2006/relationships/hyperlink" Target="http://www.burkemuseum.org/research-and-collections/botany-and-herbarium/collections/database/results.php?Genus=Tsuga&amp;Species=heterophylla&amp;SourcePage=search.php&amp;IncludeSynonyms=Y&amp;SortBy=DESC&amp;SortOrder=Year" TargetMode="External"/><Relationship Id="rId3812" Type="http://schemas.openxmlformats.org/officeDocument/2006/relationships/hyperlink" Target="https://plants.usda.gov/core/profile?symbol=CEVE" TargetMode="External"/><Relationship Id="rId6968" Type="http://schemas.openxmlformats.org/officeDocument/2006/relationships/hyperlink" Target="http://biology.burke.washington.edu/herbarium/imagecollection/taxon.php?Taxon=Helianthus%20annuus" TargetMode="External"/><Relationship Id="rId733" Type="http://schemas.openxmlformats.org/officeDocument/2006/relationships/hyperlink" Target="https://en.wikipedia.org/wiki/Dryopteris_expansa" TargetMode="External"/><Relationship Id="rId940" Type="http://schemas.openxmlformats.org/officeDocument/2006/relationships/hyperlink" Target="http://en.wikipedia.org/wiki/Carex_inops" TargetMode="External"/><Relationship Id="rId1016" Type="http://schemas.openxmlformats.org/officeDocument/2006/relationships/hyperlink" Target="http://en.wikipedia.org/wiki/Anemone_multifida" TargetMode="External"/><Relationship Id="rId1570" Type="http://schemas.openxmlformats.org/officeDocument/2006/relationships/hyperlink" Target="https://en.wikipedia.org/wiki/Carex_tumulicola" TargetMode="External"/><Relationship Id="rId2414" Type="http://schemas.openxmlformats.org/officeDocument/2006/relationships/hyperlink" Target="https://plants.usda.gov/core/profile?symbol=ALVI2" TargetMode="External"/><Relationship Id="rId2621" Type="http://schemas.openxmlformats.org/officeDocument/2006/relationships/hyperlink" Target="http://biology.burke.washington.edu/herbarium/imagecollectionnew/taxon.php?Taxon=Silene%20menziesii" TargetMode="External"/><Relationship Id="rId5777" Type="http://schemas.openxmlformats.org/officeDocument/2006/relationships/hyperlink" Target="http://www.burkemuseum.org/research-and-collections/botany-and-herbarium/collections/database/results.php?Genus=Gentianella&amp;Species=amarella&amp;SourcePage=search.php&amp;IncludeSynonyms=Y&amp;SortBy=DESC&amp;SortOrder=Year" TargetMode="External"/><Relationship Id="rId5984" Type="http://schemas.openxmlformats.org/officeDocument/2006/relationships/hyperlink" Target="http://www.burkemuseum.org/research-and-collections/botany-and-herbarium/collections/database/results.php?Genus=Osmorhiza&amp;Species=purpurea&amp;SourcePage=search.php&amp;IncludeSynonyms=Y&amp;SortBy=DESC&amp;SortOrder=Year" TargetMode="External"/><Relationship Id="rId6828" Type="http://schemas.openxmlformats.org/officeDocument/2006/relationships/hyperlink" Target="http://biology.burke.washington.edu/herbarium/imagecollectionnew/taxon.php?Taxon=Carex%20echinata" TargetMode="External"/><Relationship Id="rId800" Type="http://schemas.openxmlformats.org/officeDocument/2006/relationships/hyperlink" Target="https://en.wikipedia.org/wiki/Piperia_unalascensis" TargetMode="External"/><Relationship Id="rId1223" Type="http://schemas.openxmlformats.org/officeDocument/2006/relationships/hyperlink" Target="http://biology.burke.washington.edu/herbarium/imagecollection/taxon.php?Taxon=Salix%20melanopsis" TargetMode="External"/><Relationship Id="rId1430" Type="http://schemas.openxmlformats.org/officeDocument/2006/relationships/hyperlink" Target="http://biology.burke.washington.edu/herbarium/imagecollectionnew/taxon.php?Taxon=Mahonia%20repens" TargetMode="External"/><Relationship Id="rId4379" Type="http://schemas.openxmlformats.org/officeDocument/2006/relationships/hyperlink" Target="https://plants.usda.gov/core/profile?symbol=SAME7" TargetMode="External"/><Relationship Id="rId4586" Type="http://schemas.openxmlformats.org/officeDocument/2006/relationships/hyperlink" Target="http://www.burkemuseum.org/research-and-collections/botany-and-herbarium/collections/database/results.php?Genus=Actaea&amp;Species=rubra&amp;SourcePage=search.php&amp;IncludeSynonyms=Y&amp;SortBy=DESC&amp;SortOrder=Year" TargetMode="External"/><Relationship Id="rId4793" Type="http://schemas.openxmlformats.org/officeDocument/2006/relationships/hyperlink" Target="https://en.wikipedia.org/wiki/Carex_limosa" TargetMode="External"/><Relationship Id="rId5637" Type="http://schemas.openxmlformats.org/officeDocument/2006/relationships/hyperlink" Target="http://www.burkemuseum.org/research-and-collections/botany-and-herbarium/collections/database/results.php?Genus=Clarkia&amp;Species=amoena&amp;SourcePage=search.php&amp;IncludeSynonyms=Y&amp;SortBy=DESC&amp;SortOrder=Year" TargetMode="External"/><Relationship Id="rId5844" Type="http://schemas.openxmlformats.org/officeDocument/2006/relationships/hyperlink" Target="http://www.burkemuseum.org/research-and-collections/botany-and-herbarium/collections/database/results.php?Genus=Juncus&amp;Species=supiniformis&amp;SourcePage=search.php&amp;IncludeSynonyms=Y&amp;SortBy=DESC&amp;SortOrder=Year" TargetMode="External"/><Relationship Id="rId3188" Type="http://schemas.openxmlformats.org/officeDocument/2006/relationships/hyperlink" Target="http://www.burkemuseum.org/research-and-collections/botany-and-herbarium/collections/database/results.php?Genus=Paxistima&amp;Species=myrsinites&amp;SourcePage=search.php&amp;IncludeSynonyms=Y&amp;SortBy=DESC&amp;SortOrder=Year" TargetMode="External"/><Relationship Id="rId3395" Type="http://schemas.openxmlformats.org/officeDocument/2006/relationships/hyperlink" Target="http://www.burkemuseum.org/research-and-collections/botany-and-herbarium/collections/database/results.php?Genus=Toxicodendron&amp;Species=radicans&amp;SourcePage=search.php&amp;IncludeSynonyms=Y&amp;SortBy=DESC&amp;SortOrder=Year" TargetMode="External"/><Relationship Id="rId4239" Type="http://schemas.openxmlformats.org/officeDocument/2006/relationships/hyperlink" Target="https://plants.usda.gov/core/profile?symbol=PLRE2" TargetMode="External"/><Relationship Id="rId4446" Type="http://schemas.openxmlformats.org/officeDocument/2006/relationships/hyperlink" Target="https://plants.usda.gov/core/profile?symbol=SYEA2" TargetMode="External"/><Relationship Id="rId4653" Type="http://schemas.openxmlformats.org/officeDocument/2006/relationships/hyperlink" Target="http://www.burkemuseum.org/research-and-collections/botany-and-herbarium/collections/database/results.php?Genus=Asclepias&amp;Species=speciosa&amp;SourcePage=search.php&amp;IncludeSynonyms=Y&amp;SortBy=DESC&amp;SortOrder=Year" TargetMode="External"/><Relationship Id="rId4860" Type="http://schemas.openxmlformats.org/officeDocument/2006/relationships/hyperlink" Target="https://en.wikipedia.org/wiki/Collomia_heterophylla" TargetMode="External"/><Relationship Id="rId5704" Type="http://schemas.openxmlformats.org/officeDocument/2006/relationships/hyperlink" Target="http://www.burkemuseum.org/research-and-collections/botany-and-herbarium/collections/database/results.php?Genus=Dryopteris&amp;Species=arguta&amp;SourcePage=search.php&amp;IncludeSynonyms=Y&amp;SortBy=DESC&amp;SortOrder=Year" TargetMode="External"/><Relationship Id="rId5911" Type="http://schemas.openxmlformats.org/officeDocument/2006/relationships/hyperlink" Target="http://www.burkemuseum.org/research-and-collections/botany-and-herbarium/collections/database/results.php?Genus=Lysichiton&amp;Species=americanus&amp;SourcePage=search.php&amp;IncludeSynonyms=Y&amp;SortBy=DESC&amp;SortOrder=Year" TargetMode="External"/><Relationship Id="rId3048" Type="http://schemas.openxmlformats.org/officeDocument/2006/relationships/hyperlink" Target="http://www.burkemuseum.org/research-and-collections/botany-and-herbarium/collections/database/results.php?Genus=Hypericum&amp;Species=anagalloides&amp;SourcePage=search.php&amp;IncludeSynonyms=Y&amp;SortBy=DESC&amp;SortOrder=Year" TargetMode="External"/><Relationship Id="rId3255" Type="http://schemas.openxmlformats.org/officeDocument/2006/relationships/hyperlink" Target="http://www.burkemuseum.org/research-and-collections/botany-and-herbarium/collections/database/results.php?Genus=Pseudognaphalium&amp;Species=thermale&amp;SourcePage=search.php&amp;IncludeSynonyms=Y&amp;SortBy=DESC&amp;SortOrder=Year" TargetMode="External"/><Relationship Id="rId3462" Type="http://schemas.openxmlformats.org/officeDocument/2006/relationships/hyperlink" Target="http://www.burkemuseum.org/research-and-collections/botany-and-herbarium/collections/database/results.php?Genus=Arbutus&amp;Species=menziesii&amp;SourcePage=search.php&amp;IncludeSynonyms=Y&amp;SortBy=DESC&amp;SortOrder=Year" TargetMode="External"/><Relationship Id="rId4306" Type="http://schemas.openxmlformats.org/officeDocument/2006/relationships/hyperlink" Target="https://plants.usda.gov/core/profile?symbol=LECO8" TargetMode="External"/><Relationship Id="rId4513" Type="http://schemas.openxmlformats.org/officeDocument/2006/relationships/hyperlink" Target="https://plants.usda.gov/core/profile?symbol=VIGL" TargetMode="External"/><Relationship Id="rId4720" Type="http://schemas.openxmlformats.org/officeDocument/2006/relationships/hyperlink" Target="https://en.wikipedia.org/wiki/Aspidotis_densa" TargetMode="External"/><Relationship Id="rId176" Type="http://schemas.openxmlformats.org/officeDocument/2006/relationships/hyperlink" Target="http://biology.burke.washington.edu/herbarium/imagecollection/taxon.php?Taxon=Poa%20confinis" TargetMode="External"/><Relationship Id="rId383" Type="http://schemas.openxmlformats.org/officeDocument/2006/relationships/hyperlink" Target="http://biology.burke.washington.edu/herbarium/imagecollectionnew/taxon.php?Taxon=Crataegus%20douglasii" TargetMode="External"/><Relationship Id="rId590" Type="http://schemas.openxmlformats.org/officeDocument/2006/relationships/hyperlink" Target="https://en.wikipedia.org/wiki/Silene_menziesii" TargetMode="External"/><Relationship Id="rId2064" Type="http://schemas.openxmlformats.org/officeDocument/2006/relationships/hyperlink" Target="http://plants.usda.gov/java/profile?symbol=LIAQ" TargetMode="External"/><Relationship Id="rId2271" Type="http://schemas.openxmlformats.org/officeDocument/2006/relationships/hyperlink" Target="http://plants.usda.gov/java/profile?symbol=CIBR2" TargetMode="External"/><Relationship Id="rId3115" Type="http://schemas.openxmlformats.org/officeDocument/2006/relationships/hyperlink" Target="http://www.burkemuseum.org/research-and-collections/botany-and-herbarium/collections/database/results.php?Genus=Luzula&amp;Species=parviflora&amp;SourcePage=search.php&amp;IncludeSynonyms=Y&amp;SortBy=DESC&amp;SortOrder=Year" TargetMode="External"/><Relationship Id="rId3322" Type="http://schemas.openxmlformats.org/officeDocument/2006/relationships/hyperlink" Target="http://www.burkemuseum.org/research-and-collections/botany-and-herbarium/collections/database/results.php?Genus=Sanguisorba&amp;Species=menziesii&amp;SourcePage=search.php&amp;IncludeSynonyms=Y&amp;SortBy=DESC&amp;SortOrder=Year" TargetMode="External"/><Relationship Id="rId6478" Type="http://schemas.openxmlformats.org/officeDocument/2006/relationships/hyperlink" Target="http://biology.burke.washington.edu/herbarium/imagecollection/taxon.php?Taxon=Equisetum%20arvense" TargetMode="External"/><Relationship Id="rId6685" Type="http://schemas.openxmlformats.org/officeDocument/2006/relationships/hyperlink" Target="http://biology.burke.washington.edu/herbarium/imagecollection/taxon.php?Taxon=Polygonum%20spergulariiforme" TargetMode="External"/><Relationship Id="rId243" Type="http://schemas.openxmlformats.org/officeDocument/2006/relationships/hyperlink" Target="http://biology.burke.washington.edu/herbarium/imagecollection/taxon.php?Taxon=Pyrola%20chlorantha" TargetMode="External"/><Relationship Id="rId450" Type="http://schemas.openxmlformats.org/officeDocument/2006/relationships/hyperlink" Target="http://biology.burke.washington.edu/herbarium/imagecollectionnew/taxon.php?Taxon=Delphinium%20trolliifolium" TargetMode="External"/><Relationship Id="rId1080" Type="http://schemas.openxmlformats.org/officeDocument/2006/relationships/hyperlink" Target="https://en.wikipedia.org/wiki/Lonicera_ciliosa" TargetMode="External"/><Relationship Id="rId2131" Type="http://schemas.openxmlformats.org/officeDocument/2006/relationships/hyperlink" Target="http://plants.usda.gov/java/profile?symbol=GRNE" TargetMode="External"/><Relationship Id="rId5287" Type="http://schemas.openxmlformats.org/officeDocument/2006/relationships/hyperlink" Target="https://en.wikipedia.org/wiki/Psilocarphus_tenellus" TargetMode="External"/><Relationship Id="rId5494" Type="http://schemas.openxmlformats.org/officeDocument/2006/relationships/hyperlink" Target="https://en.wikipedia.org/wiki/Vaccinium_oxycoccos" TargetMode="External"/><Relationship Id="rId6338" Type="http://schemas.openxmlformats.org/officeDocument/2006/relationships/hyperlink" Target="http://biology.burke.washington.edu/herbarium/imagecollection/taxon.php?Taxon=Abies%20amabilis" TargetMode="External"/><Relationship Id="rId6892" Type="http://schemas.openxmlformats.org/officeDocument/2006/relationships/hyperlink" Target="http://biology.burke.washington.edu/herbarium/imagecollection/taxon.php?Taxon=Ruppia%20maritima" TargetMode="External"/><Relationship Id="rId103" Type="http://schemas.openxmlformats.org/officeDocument/2006/relationships/hyperlink" Target="http://biology.burke.washington.edu/herbarium/imagecollection/taxon.php?Taxon=Isoetes%20occidentalis" TargetMode="External"/><Relationship Id="rId310" Type="http://schemas.openxmlformats.org/officeDocument/2006/relationships/hyperlink" Target="http://biology.burke.washington.edu/herbarium/imagecollectionnew/taxon.php?Taxon=Azolla%20microphylla" TargetMode="External"/><Relationship Id="rId4096" Type="http://schemas.openxmlformats.org/officeDocument/2006/relationships/hyperlink" Target="https://plants.usda.gov/core/profile?symbol=LULA4" TargetMode="External"/><Relationship Id="rId5147" Type="http://schemas.openxmlformats.org/officeDocument/2006/relationships/hyperlink" Target="https://en.wikipedia.org/wiki/Moneses_uniflora" TargetMode="External"/><Relationship Id="rId6545" Type="http://schemas.openxmlformats.org/officeDocument/2006/relationships/hyperlink" Target="http://biology.burke.washington.edu/herbarium/imagecollection/taxon.php?Taxon=Larix%20occidentalis" TargetMode="External"/><Relationship Id="rId6752" Type="http://schemas.openxmlformats.org/officeDocument/2006/relationships/hyperlink" Target="http://biology.burke.washington.edu/herbarium/imagecollection/taxon.php?Taxon=Lasthenia%20glaberrima" TargetMode="External"/><Relationship Id="rId1897" Type="http://schemas.openxmlformats.org/officeDocument/2006/relationships/hyperlink" Target="http://plants.usda.gov/java/profile?symbol=PTAQ" TargetMode="External"/><Relationship Id="rId2948" Type="http://schemas.openxmlformats.org/officeDocument/2006/relationships/hyperlink" Target="http://www.burkemuseum.org/research-and-collections/botany-and-herbarium/collections/database/results.php?Genus=Dryopteris&amp;Species=expansa&amp;SourcePage=search.php&amp;IncludeSynonyms=Y&amp;SortBy=DESC&amp;SortOrder=Year" TargetMode="External"/><Relationship Id="rId5354" Type="http://schemas.openxmlformats.org/officeDocument/2006/relationships/hyperlink" Target="https://en.wikipedia.org/wiki/Salix_geyeriana" TargetMode="External"/><Relationship Id="rId5561" Type="http://schemas.openxmlformats.org/officeDocument/2006/relationships/hyperlink" Target="http://www.burkemuseum.org/research-and-collections/botany-and-herbarium/collections/database/results.php?Genus=Campanula&amp;Species=rotundifolia&amp;SourcePage=search.php&amp;IncludeSynonyms=Y&amp;SortBy=DESC&amp;SortOrder=Year" TargetMode="External"/><Relationship Id="rId6405" Type="http://schemas.openxmlformats.org/officeDocument/2006/relationships/hyperlink" Target="http://biology.burke.washington.edu/herbarium/imagecollectionnew/taxon.php?Taxon=Camassia%20quamash" TargetMode="External"/><Relationship Id="rId6612" Type="http://schemas.openxmlformats.org/officeDocument/2006/relationships/hyperlink" Target="http://biology.burke.washington.edu/herbarium/imagecollection/taxon.php?Taxon=Wyethia%20angustifolia" TargetMode="External"/><Relationship Id="rId1757" Type="http://schemas.openxmlformats.org/officeDocument/2006/relationships/hyperlink" Target="https://plants.usda.gov/core/profile?symbol=TRBI" TargetMode="External"/><Relationship Id="rId1964" Type="http://schemas.openxmlformats.org/officeDocument/2006/relationships/hyperlink" Target="http://plants.usda.gov/java/profile?symbol=PEAT3" TargetMode="External"/><Relationship Id="rId2808" Type="http://schemas.openxmlformats.org/officeDocument/2006/relationships/hyperlink" Target="http://www.burkemuseum.org/research-and-collections/botany-and-herbarium/collections/database/results.php?Genus=Bromus&amp;Species=sitchensis&amp;SourcePage=search.php&amp;IncludeSynonyms=Y&amp;SortBy=DESC&amp;SortOrder=Year" TargetMode="External"/><Relationship Id="rId4163" Type="http://schemas.openxmlformats.org/officeDocument/2006/relationships/hyperlink" Target="https://plants.usda.gov/core/profile?symbol=NAFL" TargetMode="External"/><Relationship Id="rId4370" Type="http://schemas.openxmlformats.org/officeDocument/2006/relationships/hyperlink" Target="https://plants.usda.gov/core/profile?symbol=SAME6" TargetMode="External"/><Relationship Id="rId5007" Type="http://schemas.openxmlformats.org/officeDocument/2006/relationships/hyperlink" Target="https://en.wikipedia.org/wiki/Helenium_autumnale" TargetMode="External"/><Relationship Id="rId5214" Type="http://schemas.openxmlformats.org/officeDocument/2006/relationships/hyperlink" Target="https://en.wikipedia.org/wiki/Persicaria_lapathifolia" TargetMode="External"/><Relationship Id="rId5421" Type="http://schemas.openxmlformats.org/officeDocument/2006/relationships/hyperlink" Target="https://en.wikipedia.org/wiki/Spergularia_canadensis" TargetMode="External"/><Relationship Id="rId49" Type="http://schemas.openxmlformats.org/officeDocument/2006/relationships/hyperlink" Target="http://biology.burke.washington.edu/herbarium/imagecollection/taxon.php?Taxon=Opuntia%20fragilis" TargetMode="External"/><Relationship Id="rId1617" Type="http://schemas.openxmlformats.org/officeDocument/2006/relationships/hyperlink" Target="https://en.wikipedia.org/wiki/Hydrophyllum_tenuipes" TargetMode="External"/><Relationship Id="rId1824" Type="http://schemas.openxmlformats.org/officeDocument/2006/relationships/hyperlink" Target="http://plants.usda.gov/java/profile?symbol=SCSU10" TargetMode="External"/><Relationship Id="rId4023" Type="http://schemas.openxmlformats.org/officeDocument/2006/relationships/hyperlink" Target="https://plants.usda.gov/core/profile?symbol=HYAN2" TargetMode="External"/><Relationship Id="rId4230" Type="http://schemas.openxmlformats.org/officeDocument/2006/relationships/hyperlink" Target="https://plants.usda.gov/core/profile?symbol=PLCH3" TargetMode="External"/><Relationship Id="rId7179" Type="http://schemas.openxmlformats.org/officeDocument/2006/relationships/hyperlink" Target="http://biology.burke.washington.edu/herbarium/imagecollection/taxon.php?Taxon=Rubus%20ursinus" TargetMode="External"/><Relationship Id="rId3789" Type="http://schemas.openxmlformats.org/officeDocument/2006/relationships/hyperlink" Target="https://plants.usda.gov/core/profile?symbol=CAPE42" TargetMode="External"/><Relationship Id="rId6195" Type="http://schemas.openxmlformats.org/officeDocument/2006/relationships/hyperlink" Target="http://www.burkemuseum.org/research-and-collections/botany-and-herbarium/collections/database/results.php?Genus=Selaginella&amp;Species=wallacei&amp;SourcePage=search.php&amp;IncludeSynonyms=Y&amp;SortBy=DESC&amp;SortOrder=Year" TargetMode="External"/><Relationship Id="rId7039" Type="http://schemas.openxmlformats.org/officeDocument/2006/relationships/hyperlink" Target="http://biology.burke.washington.edu/herbarium/imagecollectionnew/taxon.php?Taxon=Boykinia%20intermedia" TargetMode="External"/><Relationship Id="rId2598" Type="http://schemas.openxmlformats.org/officeDocument/2006/relationships/hyperlink" Target="http://plants.usda.gov/java/profile?symbol=ALCR4" TargetMode="External"/><Relationship Id="rId3996" Type="http://schemas.openxmlformats.org/officeDocument/2006/relationships/hyperlink" Target="https://plants.usda.gov/core/profile?symbol=HEAN3" TargetMode="External"/><Relationship Id="rId6055" Type="http://schemas.openxmlformats.org/officeDocument/2006/relationships/hyperlink" Target="http://www.burkemuseum.org/research-and-collections/botany-and-herbarium/collections/database/results.php?Genus=Polypodium&amp;Species=scouleri&amp;SourcePage=search.php&amp;IncludeSynonyms=Y&amp;SortBy=DESC&amp;SortOrder=Year" TargetMode="External"/><Relationship Id="rId6262" Type="http://schemas.openxmlformats.org/officeDocument/2006/relationships/hyperlink" Target="http://www.burkemuseum.org/research-and-collections/botany-and-herbarium/collections/database/results.php?Genus=Trautvetteria&amp;Species=caroliniensis&amp;SourcePage=search.php&amp;IncludeSynonyms=Y&amp;SortBy=DESC&amp;SortOrder=Year" TargetMode="External"/><Relationship Id="rId7106" Type="http://schemas.openxmlformats.org/officeDocument/2006/relationships/hyperlink" Target="http://biology.burke.washington.edu/herbarium/imagecollectionnew/taxon.php?Taxon=Oreopteris%20quelpaertensis" TargetMode="External"/><Relationship Id="rId3649" Type="http://schemas.openxmlformats.org/officeDocument/2006/relationships/hyperlink" Target="https://plants.usda.gov/core/profile?symbol=suca2" TargetMode="External"/><Relationship Id="rId3856" Type="http://schemas.openxmlformats.org/officeDocument/2006/relationships/hyperlink" Target="https://plants.usda.gov/core/profile?symbol=COSES" TargetMode="External"/><Relationship Id="rId4907" Type="http://schemas.openxmlformats.org/officeDocument/2006/relationships/hyperlink" Target="https://en.wikipedia.org/wiki/Dodecatheon_jeffreyi" TargetMode="External"/><Relationship Id="rId5071" Type="http://schemas.openxmlformats.org/officeDocument/2006/relationships/hyperlink" Target="https://en.wikipedia.org/wiki/Lemna_turionifera" TargetMode="External"/><Relationship Id="rId6122" Type="http://schemas.openxmlformats.org/officeDocument/2006/relationships/hyperlink" Target="http://www.burkemuseum.org/research-and-collections/botany-and-herbarium/collections/database/results.php?Genus=Ribes&amp;Species=oxyacanthoides&amp;SourcePage=search.php&amp;IncludeSynonyms=Y&amp;SortBy=DESC&amp;SortOrder=Year" TargetMode="External"/><Relationship Id="rId777" Type="http://schemas.openxmlformats.org/officeDocument/2006/relationships/hyperlink" Target="https://en.wikipedia.org/wiki/Populus_trichocarpa" TargetMode="External"/><Relationship Id="rId984" Type="http://schemas.openxmlformats.org/officeDocument/2006/relationships/hyperlink" Target="http://en.wikipedia.org/wiki/Balsamorhiza_deltoidea" TargetMode="External"/><Relationship Id="rId2458" Type="http://schemas.openxmlformats.org/officeDocument/2006/relationships/hyperlink" Target="http://plants.usda.gov/java/profile?symbol=THPL" TargetMode="External"/><Relationship Id="rId2665" Type="http://schemas.openxmlformats.org/officeDocument/2006/relationships/hyperlink" Target="http://biology.burke.washington.edu/herbarium/imagecollectionnew/taxon.php?Taxon=Persicaria%20hydropiperoides" TargetMode="External"/><Relationship Id="rId2872" Type="http://schemas.openxmlformats.org/officeDocument/2006/relationships/hyperlink" Target="http://www.burkemuseum.org/research-and-collections/botany-and-herbarium/collections/database/results.php?Genus=Ceratophyllum&amp;Species=demersum&amp;SourcePage=search.php&amp;IncludeSynonyms=Y&amp;SortBy=DESC&amp;SortOrder=Year" TargetMode="External"/><Relationship Id="rId3509" Type="http://schemas.openxmlformats.org/officeDocument/2006/relationships/hyperlink" Target="http://www.burkemuseum.org/research-and-collections/botany-and-herbarium/collections/database/results.php?Genus=Huperzia&amp;Species=miyoshiana&amp;SourcePage=search.php&amp;IncludeSynonyms=Y&amp;SortBy=DESC&amp;SortOrder=Year" TargetMode="External"/><Relationship Id="rId3716" Type="http://schemas.openxmlformats.org/officeDocument/2006/relationships/hyperlink" Target="https://plants.usda.gov/core/profile?symbol=MAAQ2" TargetMode="External"/><Relationship Id="rId3923" Type="http://schemas.openxmlformats.org/officeDocument/2006/relationships/hyperlink" Target="https://plants.usda.gov/core/profile?symbol=EQFL" TargetMode="External"/><Relationship Id="rId637" Type="http://schemas.openxmlformats.org/officeDocument/2006/relationships/hyperlink" Target="https://en.wikipedia.org/wiki/Sagina_decumbens" TargetMode="External"/><Relationship Id="rId844" Type="http://schemas.openxmlformats.org/officeDocument/2006/relationships/hyperlink" Target="https://en.wikipedia.org/wiki/Myosurus_minimus" TargetMode="External"/><Relationship Id="rId1267" Type="http://schemas.openxmlformats.org/officeDocument/2006/relationships/hyperlink" Target="http://biology.burke.washington.edu/herbarium/imagecollection/taxon.php?Taxon=Oenothera%20flava" TargetMode="External"/><Relationship Id="rId1474" Type="http://schemas.openxmlformats.org/officeDocument/2006/relationships/hyperlink" Target="https://en.wikipedia.org/wiki/Whipplea" TargetMode="External"/><Relationship Id="rId1681" Type="http://schemas.openxmlformats.org/officeDocument/2006/relationships/hyperlink" Target="http://biology.burke.washington.edu/herbarium/imagecollectionnew/taxon.php?Taxon=Amsinckia%20menziesii" TargetMode="External"/><Relationship Id="rId2318" Type="http://schemas.openxmlformats.org/officeDocument/2006/relationships/hyperlink" Target="http://plants.usda.gov/java/profile?symbol=CADE8" TargetMode="External"/><Relationship Id="rId2525" Type="http://schemas.openxmlformats.org/officeDocument/2006/relationships/hyperlink" Target="http://plants.usda.gov/java/profile?symbol=MAFU" TargetMode="External"/><Relationship Id="rId2732" Type="http://schemas.openxmlformats.org/officeDocument/2006/relationships/hyperlink" Target="http://www.burkemuseum.org/research-and-collections/botany-and-herbarium/collections/database/results.php?Genus=Agrostis&amp;Species=oregonensis&amp;SourcePage=search.php&amp;IncludeSynonyms=Y&amp;SortBy=DESC&amp;SortOrder=Year" TargetMode="External"/><Relationship Id="rId5888" Type="http://schemas.openxmlformats.org/officeDocument/2006/relationships/hyperlink" Target="http://www.burkemuseum.org/research-and-collections/botany-and-herbarium/collections/database/results.php?Genus=Lonicera&amp;Species=conjugialis&amp;SourcePage=search.php&amp;IncludeSynonyms=Y&amp;SortBy=DESC&amp;SortOrder=Year" TargetMode="External"/><Relationship Id="rId6939" Type="http://schemas.openxmlformats.org/officeDocument/2006/relationships/hyperlink" Target="http://biology.burke.washington.edu/herbarium/imagecollection/taxon.php?Taxon=Lycopodiella%20inundata" TargetMode="External"/><Relationship Id="rId704" Type="http://schemas.openxmlformats.org/officeDocument/2006/relationships/hyperlink" Target="https://en.wikipedia.org/wiki/Eriogonum_umbellatum" TargetMode="External"/><Relationship Id="rId911" Type="http://schemas.openxmlformats.org/officeDocument/2006/relationships/hyperlink" Target="http://en.wikipedia.org/wiki/Ceratophyllum_demersum" TargetMode="External"/><Relationship Id="rId1127" Type="http://schemas.openxmlformats.org/officeDocument/2006/relationships/hyperlink" Target="https://en.wikipedia.org/wiki/Iris_missouriensis" TargetMode="External"/><Relationship Id="rId1334" Type="http://schemas.openxmlformats.org/officeDocument/2006/relationships/hyperlink" Target="http://biology.burke.washington.edu/herbarium/imagecollectionnew/taxon.php?Taxon=Sambucus%20racemosa" TargetMode="External"/><Relationship Id="rId1541" Type="http://schemas.openxmlformats.org/officeDocument/2006/relationships/hyperlink" Target="https://en.wikipedia.org/wiki/Plectritis_congesta" TargetMode="External"/><Relationship Id="rId4697" Type="http://schemas.openxmlformats.org/officeDocument/2006/relationships/hyperlink" Target="https://en.wikipedia.org/wiki/Apocynum_androsaemifolium" TargetMode="External"/><Relationship Id="rId5748" Type="http://schemas.openxmlformats.org/officeDocument/2006/relationships/hyperlink" Target="http://www.burkemuseum.org/research-and-collections/botany-and-herbarium/collections/database/results.php?Genus=Erythronium&amp;Species=quinaultense&amp;SourcePage=search.php&amp;IncludeSynonyms=Y&amp;SortBy=DESC&amp;SortOrder=Year" TargetMode="External"/><Relationship Id="rId5955" Type="http://schemas.openxmlformats.org/officeDocument/2006/relationships/hyperlink" Target="http://www.burkemuseum.org/research-and-collections/botany-and-herbarium/collections/database/results.php?Genus=Myosurus&amp;Species=minimus&amp;SourcePage=search.php&amp;IncludeSynonyms=Y&amp;SortBy=DESC&amp;SortOrder=Year" TargetMode="External"/><Relationship Id="rId40" Type="http://schemas.openxmlformats.org/officeDocument/2006/relationships/hyperlink" Target="http://biology.burke.washington.edu/herbarium/imagecollection/taxon.php?Taxon=Madia%20glomerata" TargetMode="External"/><Relationship Id="rId1401" Type="http://schemas.openxmlformats.org/officeDocument/2006/relationships/hyperlink" Target="http://biology.burke.washington.edu/herbarium/imagecollection/taxon.php?Taxon=Lilium%20columbianum" TargetMode="External"/><Relationship Id="rId3299" Type="http://schemas.openxmlformats.org/officeDocument/2006/relationships/hyperlink" Target="http://www.burkemuseum.org/research-and-collections/botany-and-herbarium/collections/database/results.php?Genus=Sabulina&amp;Species=macra&amp;SourcePage=search.php&amp;IncludeSynonyms=Y&amp;SortBy=DESC&amp;SortOrder=Year" TargetMode="External"/><Relationship Id="rId4557" Type="http://schemas.openxmlformats.org/officeDocument/2006/relationships/hyperlink" Target="https://en.wikipedia.org/wiki/Allium_amplectens" TargetMode="External"/><Relationship Id="rId4764" Type="http://schemas.openxmlformats.org/officeDocument/2006/relationships/hyperlink" Target="https://en.wikipedia.org/wiki/Camassia_leichtlinii" TargetMode="External"/><Relationship Id="rId5608" Type="http://schemas.openxmlformats.org/officeDocument/2006/relationships/hyperlink" Target="http://www.burkemuseum.org/research-and-collections/botany-and-herbarium/collections/database/results.php?Genus=Carex&amp;Species=vulpinoidea&amp;SourcePage=search.php&amp;IncludeSynonyms=Y&amp;SortBy=DESC&amp;SortOrder=Year" TargetMode="External"/><Relationship Id="rId7170" Type="http://schemas.openxmlformats.org/officeDocument/2006/relationships/hyperlink" Target="http://biology.burke.washington.edu/herbarium/imagecollection/taxon.php?Taxon=Salix%20commutata" TargetMode="External"/><Relationship Id="rId3159" Type="http://schemas.openxmlformats.org/officeDocument/2006/relationships/hyperlink" Target="http://www.burkemuseum.org/research-and-collections/botany-and-herbarium/collections/database/results.php?Genus=Myriophyllum&amp;Species=quitense&amp;SourcePage=search.php&amp;IncludeSynonyms=Y&amp;SortBy=DESC&amp;SortOrder=Year" TargetMode="External"/><Relationship Id="rId3366" Type="http://schemas.openxmlformats.org/officeDocument/2006/relationships/hyperlink" Target="http://www.burkemuseum.org/research-and-collections/botany-and-herbarium/collections/database/results.php?Genus=Spiraea&amp;Species=lucida&amp;SourcePage=search.php&amp;IncludeSynonyms=Y&amp;SortBy=DESC&amp;SortOrder=Year" TargetMode="External"/><Relationship Id="rId3573" Type="http://schemas.openxmlformats.org/officeDocument/2006/relationships/hyperlink" Target="http://www.burkemuseum.org/research-and-collections/botany-and-herbarium/collections/database/results.php?Genus=Ribes&amp;Species=sanguineum&amp;SourcePage=search.php&amp;IncludeSynonyms=Y&amp;SortBy=DESC&amp;SortOrder=Year" TargetMode="External"/><Relationship Id="rId4417" Type="http://schemas.openxmlformats.org/officeDocument/2006/relationships/hyperlink" Target="https://plants.usda.gov/core/profile?symbol=SPEM2" TargetMode="External"/><Relationship Id="rId4971" Type="http://schemas.openxmlformats.org/officeDocument/2006/relationships/hyperlink" Target="https://en.wikipedia.org/wiki/Fragaria_vesca" TargetMode="External"/><Relationship Id="rId5815" Type="http://schemas.openxmlformats.org/officeDocument/2006/relationships/hyperlink" Target="http://www.burkemuseum.org/research-and-collections/botany-and-herbarium/collections/database/results.php?Genus=Hordeum&amp;Species=jubatum&amp;SourcePage=search.php&amp;IncludeSynonyms=Y&amp;SortBy=DESC&amp;SortOrder=Year" TargetMode="External"/><Relationship Id="rId7030" Type="http://schemas.openxmlformats.org/officeDocument/2006/relationships/hyperlink" Target="http://biology.burke.washington.edu/herbarium/imagecollectionnew/taxon.php?Taxon=Carex%20canescens" TargetMode="External"/><Relationship Id="rId287" Type="http://schemas.openxmlformats.org/officeDocument/2006/relationships/hyperlink" Target="http://biology.burke.washington.edu/herbarium/imagecollectionnew/taxon.php?Taxon=Agrostis%20oregonensis" TargetMode="External"/><Relationship Id="rId494" Type="http://schemas.openxmlformats.org/officeDocument/2006/relationships/hyperlink" Target="http://biology.burke.washington.edu/herbarium/imagecollectionnew/taxon.php?Taxon=Cyperus%20squarrosus" TargetMode="External"/><Relationship Id="rId2175" Type="http://schemas.openxmlformats.org/officeDocument/2006/relationships/hyperlink" Target="https://plants.usda.gov/core/profile?symbol=ERPE7" TargetMode="External"/><Relationship Id="rId2382" Type="http://schemas.openxmlformats.org/officeDocument/2006/relationships/hyperlink" Target="https://plants.usda.gov/core/profile?symbol=ARLO6" TargetMode="External"/><Relationship Id="rId3019" Type="http://schemas.openxmlformats.org/officeDocument/2006/relationships/hyperlink" Target="http://www.burkemuseum.org/research-and-collections/botany-and-herbarium/collections/database/results.php?Genus=Githopsis&amp;Species=specularioides&amp;SourcePage=search.php&amp;IncludeSynonyms=Y&amp;SortBy=DESC&amp;SortOrder=Year" TargetMode="External"/><Relationship Id="rId3226" Type="http://schemas.openxmlformats.org/officeDocument/2006/relationships/hyperlink" Target="http://www.burkemuseum.org/research-and-collections/botany-and-herbarium/collections/database/results.php?Genus=Polygonum&amp;Species=douglasii&amp;SourcePage=search.php&amp;IncludeSynonyms=Y&amp;SortBy=DESC&amp;SortOrder=Year" TargetMode="External"/><Relationship Id="rId3780" Type="http://schemas.openxmlformats.org/officeDocument/2006/relationships/hyperlink" Target="https://plants.usda.gov/core/profile?symbol=CALI7" TargetMode="External"/><Relationship Id="rId4624" Type="http://schemas.openxmlformats.org/officeDocument/2006/relationships/hyperlink" Target="http://www.burkemuseum.org/research-and-collections/botany-and-herbarium/collections/database/results.php?Genus=Angelica&amp;Species=lucida&amp;SourcePage=search.php&amp;IncludeSynonyms=Y&amp;SortBy=DESC&amp;SortOrder=Year" TargetMode="External"/><Relationship Id="rId4831" Type="http://schemas.openxmlformats.org/officeDocument/2006/relationships/hyperlink" Target="https://en.wikipedia.org/wiki/Chamaenerion_augustifolium" TargetMode="External"/><Relationship Id="rId147" Type="http://schemas.openxmlformats.org/officeDocument/2006/relationships/hyperlink" Target="http://biology.burke.washington.edu/herbarium/imagecollection/taxon.php?Taxon=Prosartes%20hookeri" TargetMode="External"/><Relationship Id="rId354" Type="http://schemas.openxmlformats.org/officeDocument/2006/relationships/hyperlink" Target="http://biology.burke.washington.edu/herbarium/imagecollectionnew/taxon.php?Taxon=Carex%20densa" TargetMode="External"/><Relationship Id="rId1191" Type="http://schemas.openxmlformats.org/officeDocument/2006/relationships/hyperlink" Target="http://biology.burke.washington.edu/herbarium/imagecollectionnew/taxon.php?Taxon=Trifolium%20microdon" TargetMode="External"/><Relationship Id="rId2035" Type="http://schemas.openxmlformats.org/officeDocument/2006/relationships/hyperlink" Target="http://plants.usda.gov/java/profile?symbol=LYTH2" TargetMode="External"/><Relationship Id="rId3433" Type="http://schemas.openxmlformats.org/officeDocument/2006/relationships/hyperlink" Target="http://www.burkemuseum.org/research-and-collections/botany-and-herbarium/collections/database/results.php?Genus=Viburnum&amp;Species=edule&amp;SourcePage=search.php&amp;IncludeSynonyms=Y&amp;SortBy=DESC&amp;SortOrder=Year" TargetMode="External"/><Relationship Id="rId3640" Type="http://schemas.openxmlformats.org/officeDocument/2006/relationships/hyperlink" Target="https://plants.usda.gov/core/profile?symbol=AGFO" TargetMode="External"/><Relationship Id="rId6589" Type="http://schemas.openxmlformats.org/officeDocument/2006/relationships/hyperlink" Target="http://biology.burke.washington.edu/herbarium/imagecollection/taxon.php?Taxon=Olsynium%20douglasii" TargetMode="External"/><Relationship Id="rId6796" Type="http://schemas.openxmlformats.org/officeDocument/2006/relationships/hyperlink" Target="http://biology.burke.washington.edu/herbarium/imagecollectionnew/taxon.php?Taxon=Dichanthelium%20acuminatum" TargetMode="External"/><Relationship Id="rId561" Type="http://schemas.openxmlformats.org/officeDocument/2006/relationships/hyperlink" Target="https://en.wikipedia.org/wiki/Symphoricarpos_albus" TargetMode="External"/><Relationship Id="rId2242" Type="http://schemas.openxmlformats.org/officeDocument/2006/relationships/hyperlink" Target="http://plants.usda.gov/java/profile?symbol=CRAQ" TargetMode="External"/><Relationship Id="rId3500" Type="http://schemas.openxmlformats.org/officeDocument/2006/relationships/hyperlink" Target="http://www.burkemuseum.org/research-and-collections/botany-and-herbarium/collections/database/results.php?Genus=Fraxinus&amp;Species=latifolia&amp;SourcePage=search.php&amp;IncludeSynonyms=Y&amp;SortBy=DESC&amp;SortOrder=Year" TargetMode="External"/><Relationship Id="rId5398" Type="http://schemas.openxmlformats.org/officeDocument/2006/relationships/hyperlink" Target="https://en.wikipedia.org/wiki/Sericocarpus_rigidus" TargetMode="External"/><Relationship Id="rId6449" Type="http://schemas.openxmlformats.org/officeDocument/2006/relationships/hyperlink" Target="http://biology.burke.washington.edu/herbarium/imagecollectionnew/taxon.php?Taxon=Cystopteris%20fragilis" TargetMode="External"/><Relationship Id="rId6656" Type="http://schemas.openxmlformats.org/officeDocument/2006/relationships/hyperlink" Target="http://biology.burke.washington.edu/herbarium/imagecollectionnew/taxon.php?Taxon=Saxifraga%20austromontana" TargetMode="External"/><Relationship Id="rId6863" Type="http://schemas.openxmlformats.org/officeDocument/2006/relationships/hyperlink" Target="http://biology.burke.washington.edu/herbarium/imagecollection/taxon.php?Taxon=Agrostis%20scabra" TargetMode="External"/><Relationship Id="rId214" Type="http://schemas.openxmlformats.org/officeDocument/2006/relationships/hyperlink" Target="https://en.wikipedia.org/wiki/Darmera" TargetMode="External"/><Relationship Id="rId421" Type="http://schemas.openxmlformats.org/officeDocument/2006/relationships/hyperlink" Target="http://biology.burke.washington.edu/herbarium/imagecollectionnew/taxon.php?Taxon=Chimaphila%20menziesii" TargetMode="External"/><Relationship Id="rId1051" Type="http://schemas.openxmlformats.org/officeDocument/2006/relationships/hyperlink" Target="https://en.wikipedia.org/wiki/Carex" TargetMode="External"/><Relationship Id="rId2102" Type="http://schemas.openxmlformats.org/officeDocument/2006/relationships/hyperlink" Target="https://plants.usda.gov/core/profile?symbol=ISNU" TargetMode="External"/><Relationship Id="rId5258" Type="http://schemas.openxmlformats.org/officeDocument/2006/relationships/hyperlink" Target="https://en.wikipedia.org/wiki/Polystichum_andersonii" TargetMode="External"/><Relationship Id="rId5465" Type="http://schemas.openxmlformats.org/officeDocument/2006/relationships/hyperlink" Target="https://en.wikipedia.org/wiki/Trichophorum_cespitosum" TargetMode="External"/><Relationship Id="rId5672" Type="http://schemas.openxmlformats.org/officeDocument/2006/relationships/hyperlink" Target="http://www.burkemuseum.org/research-and-collections/botany-and-herbarium/collections/database/results.php?Genus=Cryptogramma&amp;Species=acrostichoides&amp;SourcePage=search.php&amp;IncludeSynonyms=Y&amp;SortBy=DESC&amp;SortOrder=Year" TargetMode="External"/><Relationship Id="rId6309" Type="http://schemas.openxmlformats.org/officeDocument/2006/relationships/hyperlink" Target="http://www.burkemuseum.org/research-and-collections/botany-and-herbarium/collections/database/results.php?Genus=Viola&amp;Species=adunca&amp;SourcePage=search.php&amp;IncludeSynonyms=Y&amp;SortBy=DESC&amp;SortOrder=Year" TargetMode="External"/><Relationship Id="rId6516" Type="http://schemas.openxmlformats.org/officeDocument/2006/relationships/hyperlink" Target="http://biology.burke.washington.edu/herbarium/imagecollection/taxon.php?Taxon=Geum%20macrophyllum" TargetMode="External"/><Relationship Id="rId6723" Type="http://schemas.openxmlformats.org/officeDocument/2006/relationships/hyperlink" Target="http://biology.burke.washington.edu/herbarium/imagecollection/taxon.php?Taxon=Montia%20howellii" TargetMode="External"/><Relationship Id="rId6930" Type="http://schemas.openxmlformats.org/officeDocument/2006/relationships/hyperlink" Target="http://biology.burke.washington.edu/herbarium/imagecollection/taxon.php?Taxon=Moneses%20uniflora" TargetMode="External"/><Relationship Id="rId1868" Type="http://schemas.openxmlformats.org/officeDocument/2006/relationships/hyperlink" Target="http://plants.usda.gov/java/profile?symbol=RONU" TargetMode="External"/><Relationship Id="rId4067" Type="http://schemas.openxmlformats.org/officeDocument/2006/relationships/hyperlink" Target="https://plants.usda.gov/core/profile?symbol=levi3" TargetMode="External"/><Relationship Id="rId4274" Type="http://schemas.openxmlformats.org/officeDocument/2006/relationships/hyperlink" Target="https://plants.usda.gov/core/profile?symbol=POGR9" TargetMode="External"/><Relationship Id="rId4481" Type="http://schemas.openxmlformats.org/officeDocument/2006/relationships/hyperlink" Target="https://plants.usda.gov/core/profile?symbol=TSME" TargetMode="External"/><Relationship Id="rId5118" Type="http://schemas.openxmlformats.org/officeDocument/2006/relationships/hyperlink" Target="https://en.wikipedia.org/wiki/Madia_glomerata" TargetMode="External"/><Relationship Id="rId5325" Type="http://schemas.openxmlformats.org/officeDocument/2006/relationships/hyperlink" Target="https://en.wikipedia.org/wiki/Rorippa_curvisiliqua" TargetMode="External"/><Relationship Id="rId5532" Type="http://schemas.openxmlformats.org/officeDocument/2006/relationships/hyperlink" Target="https://en.wikipedia.org/wiki/Pseudotsuga_menziesii" TargetMode="External"/><Relationship Id="rId2919" Type="http://schemas.openxmlformats.org/officeDocument/2006/relationships/hyperlink" Target="http://www.burkemuseum.org/research-and-collections/botany-and-herbarium/collections/database/results.php?Genus=Cryptogramma&amp;Species=acrostichoides&amp;SourcePage=search.php&amp;IncludeSynonyms=Y&amp;SortBy=DESC&amp;SortOrder=Year" TargetMode="External"/><Relationship Id="rId3083" Type="http://schemas.openxmlformats.org/officeDocument/2006/relationships/hyperlink" Target="http://www.burkemuseum.org/research-and-collections/botany-and-herbarium/collections/database/results.php?Genus=Lemna&amp;Species=trisulca&amp;SourcePage=search.php&amp;IncludeSynonyms=Y&amp;SortBy=DESC&amp;SortOrder=Year" TargetMode="External"/><Relationship Id="rId3290" Type="http://schemas.openxmlformats.org/officeDocument/2006/relationships/hyperlink" Target="http://www.burkemuseum.org/research-and-collections/botany-and-herbarium/collections/database/results.php?Genus=Rubus&amp;Species=idaeus&amp;SourcePage=search.php&amp;IncludeSynonyms=Y&amp;SortBy=DESC&amp;SortOrder=Year" TargetMode="External"/><Relationship Id="rId4134" Type="http://schemas.openxmlformats.org/officeDocument/2006/relationships/hyperlink" Target="https://plants.usda.gov/core/profile?symbol=sain4" TargetMode="External"/><Relationship Id="rId4341" Type="http://schemas.openxmlformats.org/officeDocument/2006/relationships/hyperlink" Target="https://plants.usda.gov/core/profile?symbol=RUMA4" TargetMode="External"/><Relationship Id="rId1728" Type="http://schemas.openxmlformats.org/officeDocument/2006/relationships/hyperlink" Target="http://plants.usda.gov/java/profile?symbol=VEVI" TargetMode="External"/><Relationship Id="rId1935" Type="http://schemas.openxmlformats.org/officeDocument/2006/relationships/hyperlink" Target="http://plants.usda.gov/java/profile?symbol=POMA26" TargetMode="External"/><Relationship Id="rId3150" Type="http://schemas.openxmlformats.org/officeDocument/2006/relationships/hyperlink" Target="http://www.burkemuseum.org/research-and-collections/botany-and-herbarium/collections/database/results.php?Genus=Montia&amp;Species=dichotoma&amp;SourcePage=search.php&amp;IncludeSynonyms=Y&amp;SortBy=DESC&amp;SortOrder=Year" TargetMode="External"/><Relationship Id="rId4201" Type="http://schemas.openxmlformats.org/officeDocument/2006/relationships/hyperlink" Target="https://plants.usda.gov/core/profile?symbol=PEDA2" TargetMode="External"/><Relationship Id="rId6099" Type="http://schemas.openxmlformats.org/officeDocument/2006/relationships/hyperlink" Target="http://www.burkemuseum.org/research-and-collections/botany-and-herbarium/collections/database/results.php?Genus=Ranunculus&amp;Species=flammula&amp;SourcePage=search.php&amp;IncludeSynonyms=Y&amp;SortBy=DESC&amp;SortOrder=Year" TargetMode="External"/><Relationship Id="rId3010" Type="http://schemas.openxmlformats.org/officeDocument/2006/relationships/hyperlink" Target="http://www.burkemuseum.org/research-and-collections/botany-and-herbarium/collections/database/results.php?Genus=Gamochaeta&amp;Species=ustulata&amp;SourcePage=search.php&amp;IncludeSynonyms=Y&amp;SortBy=DESC&amp;SortOrder=Year" TargetMode="External"/><Relationship Id="rId6166" Type="http://schemas.openxmlformats.org/officeDocument/2006/relationships/hyperlink" Target="http://www.burkemuseum.org/research-and-collections/botany-and-herbarium/collections/database/results.php?Genus=Salix&amp;Species=sitchensis&amp;SourcePage=search.php&amp;IncludeSynonyms=Y&amp;SortBy=DESC&amp;SortOrder=Year" TargetMode="External"/><Relationship Id="rId3967" Type="http://schemas.openxmlformats.org/officeDocument/2006/relationships/hyperlink" Target="https://plants.usda.gov/core/profile?symbol=gabo2" TargetMode="External"/><Relationship Id="rId6373" Type="http://schemas.openxmlformats.org/officeDocument/2006/relationships/hyperlink" Target="http://biology.burke.washington.edu/herbarium/imagecollection/taxon.php?Taxon=Aquilegia%20formosa" TargetMode="External"/><Relationship Id="rId6580" Type="http://schemas.openxmlformats.org/officeDocument/2006/relationships/hyperlink" Target="http://biology.burke.washington.edu/herbarium/imagecollectionnew/taxon.php?Taxon=Micranthes%20occidentalis" TargetMode="External"/><Relationship Id="rId7217" Type="http://schemas.openxmlformats.org/officeDocument/2006/relationships/hyperlink" Target="http://biology.burke.washington.edu/herbarium/imagecollection/taxon.php?Taxon=Potentilla%20gracilis" TargetMode="External"/><Relationship Id="rId4" Type="http://schemas.openxmlformats.org/officeDocument/2006/relationships/hyperlink" Target="http://biology.burke.washington.edu/herbarium/imagecollection/taxon.php?Taxon=Lysichiton%20americanus" TargetMode="External"/><Relationship Id="rId888" Type="http://schemas.openxmlformats.org/officeDocument/2006/relationships/hyperlink" Target="https://en.wikipedia.org/wiki/Cochlearia_groenlandica" TargetMode="External"/><Relationship Id="rId2569" Type="http://schemas.openxmlformats.org/officeDocument/2006/relationships/hyperlink" Target="https://plants.usda.gov/core/profile?symbol=COUN" TargetMode="External"/><Relationship Id="rId2776" Type="http://schemas.openxmlformats.org/officeDocument/2006/relationships/hyperlink" Target="http://www.burkemuseum.org/research-and-collections/botany-and-herbarium/collections/database/results.php?Genus=Artemisia&amp;Species=ludoviciana&amp;SourcePage=search.php&amp;IncludeSynonyms=Y&amp;SortBy=DESC&amp;SortOrder=Year" TargetMode="External"/><Relationship Id="rId2983" Type="http://schemas.openxmlformats.org/officeDocument/2006/relationships/hyperlink" Target="http://www.burkemuseum.org/research-and-collections/botany-and-herbarium/collections/database/results.php?Genus=Erythranthe&amp;Species=alsinoides&amp;SourcePage=search.php&amp;IncludeSynonyms=Y&amp;SortBy=DESC&amp;SortOrder=Year" TargetMode="External"/><Relationship Id="rId3827" Type="http://schemas.openxmlformats.org/officeDocument/2006/relationships/hyperlink" Target="https://plants.usda.gov/core/profile?symbol=CIAL" TargetMode="External"/><Relationship Id="rId5182" Type="http://schemas.openxmlformats.org/officeDocument/2006/relationships/hyperlink" Target="https://en.wikipedia.org/wiki/Opuntia_fragilis" TargetMode="External"/><Relationship Id="rId6026" Type="http://schemas.openxmlformats.org/officeDocument/2006/relationships/hyperlink" Target="http://www.burkemuseum.org/research-and-collections/botany-and-herbarium/collections/database/results.php?Genus=Pityopus&amp;Species=californica&amp;SourcePage=search.php&amp;IncludeSynonyms=Y&amp;SortBy=DESC&amp;SortOrder=Year" TargetMode="External"/><Relationship Id="rId6233" Type="http://schemas.openxmlformats.org/officeDocument/2006/relationships/hyperlink" Target="http://www.burkemuseum.org/research-and-collections/botany-and-herbarium/collections/database/results.php?Genus=Stellaria&amp;Species=longifolia&amp;SourcePage=search.php&amp;IncludeSynonyms=Y&amp;SortBy=DESC&amp;SortOrder=Year" TargetMode="External"/><Relationship Id="rId6440" Type="http://schemas.openxmlformats.org/officeDocument/2006/relationships/hyperlink" Target="http://biology.burke.washington.edu/herbarium/imagecollectionnew/taxon.php?Taxon=Collomia%20grandiflora" TargetMode="External"/><Relationship Id="rId748" Type="http://schemas.openxmlformats.org/officeDocument/2006/relationships/hyperlink" Target="https://en.wikipedia.org/wiki/Dasiphora_fruticosa" TargetMode="External"/><Relationship Id="rId955" Type="http://schemas.openxmlformats.org/officeDocument/2006/relationships/hyperlink" Target="http://en.wikipedia.org/wiki/Campanula_rotundifolia" TargetMode="External"/><Relationship Id="rId1378" Type="http://schemas.openxmlformats.org/officeDocument/2006/relationships/hyperlink" Target="http://biology.burke.washington.edu/herbarium/imagecollection/taxon.php?Taxon=Rosa%20gymnocarpa" TargetMode="External"/><Relationship Id="rId1585" Type="http://schemas.openxmlformats.org/officeDocument/2006/relationships/hyperlink" Target="https://en.wikipedia.org/wiki/Asclepias_cordifolia" TargetMode="External"/><Relationship Id="rId1792" Type="http://schemas.openxmlformats.org/officeDocument/2006/relationships/hyperlink" Target="https://plants.usda.gov/core/profile?symbol=SPSA5" TargetMode="External"/><Relationship Id="rId2429" Type="http://schemas.openxmlformats.org/officeDocument/2006/relationships/hyperlink" Target="https://plants.usda.gov/core/profile?symbol=ADAL" TargetMode="External"/><Relationship Id="rId2636" Type="http://schemas.openxmlformats.org/officeDocument/2006/relationships/hyperlink" Target="http://biology.burke.washington.edu/herbarium/imagecollection/taxon.php?Taxon=Plantago%20macrocarpa" TargetMode="External"/><Relationship Id="rId2843" Type="http://schemas.openxmlformats.org/officeDocument/2006/relationships/hyperlink" Target="http://www.burkemuseum.org/research-and-collections/botany-and-herbarium/collections/database/results.php?Genus=Carex&amp;Species=lasiocarpa&amp;SourcePage=search.php&amp;IncludeSynonyms=Y&amp;SortBy=DESC&amp;SortOrder=Year" TargetMode="External"/><Relationship Id="rId5042" Type="http://schemas.openxmlformats.org/officeDocument/2006/relationships/hyperlink" Target="https://en.wikipedia.org/wiki/Isoetes_tenella" TargetMode="External"/><Relationship Id="rId5999" Type="http://schemas.openxmlformats.org/officeDocument/2006/relationships/hyperlink" Target="http://www.burkemuseum.org/research-and-collections/botany-and-herbarium/collections/database/results.php?Genus=Pedicularis&amp;Species=groenlandica&amp;SourcePage=search.php&amp;IncludeSynonyms=Y&amp;SortBy=DESC&amp;SortOrder=Year" TargetMode="External"/><Relationship Id="rId6300" Type="http://schemas.openxmlformats.org/officeDocument/2006/relationships/hyperlink" Target="http://www.burkemuseum.org/research-and-collections/botany-and-herbarium/collections/database/results.php?Genus=Verbena&amp;Species=hastata&amp;SourcePage=search.php&amp;IncludeSynonyms=Y&amp;SortBy=DESC&amp;SortOrder=Year" TargetMode="External"/><Relationship Id="rId84" Type="http://schemas.openxmlformats.org/officeDocument/2006/relationships/hyperlink" Target="http://biology.burke.washington.edu/herbarium/imagecollection/taxon.php?Taxon=Geranium%20oreganum" TargetMode="External"/><Relationship Id="rId608" Type="http://schemas.openxmlformats.org/officeDocument/2006/relationships/hyperlink" Target="https://en.wikipedia.org/wiki/Schoenoplectus_acutus" TargetMode="External"/><Relationship Id="rId815" Type="http://schemas.openxmlformats.org/officeDocument/2006/relationships/hyperlink" Target="https://en.wikipedia.org/wiki/Penstemon_attenuatus" TargetMode="External"/><Relationship Id="rId1238" Type="http://schemas.openxmlformats.org/officeDocument/2006/relationships/hyperlink" Target="https://en.wikipedia.org/wiki/Collinsia_sparsiflora" TargetMode="External"/><Relationship Id="rId1445" Type="http://schemas.openxmlformats.org/officeDocument/2006/relationships/hyperlink" Target="http://biology.burke.washington.edu/herbarium/imagecollectionnew/taxon.php?Taxon=Cornus%20unalaschkensis" TargetMode="External"/><Relationship Id="rId1652" Type="http://schemas.openxmlformats.org/officeDocument/2006/relationships/hyperlink" Target="http://biology.burke.washington.edu/herbarium/imagecollectionnew/taxon.php?Taxon=Stachys%20rigida" TargetMode="External"/><Relationship Id="rId1305" Type="http://schemas.openxmlformats.org/officeDocument/2006/relationships/hyperlink" Target="http://en.wikipedia.org/wiki/Allium_cernuum" TargetMode="External"/><Relationship Id="rId2703" Type="http://schemas.openxmlformats.org/officeDocument/2006/relationships/hyperlink" Target="http://biology.burke.washington.edu/herbarium/imagecollection/taxon.php?Taxon=Scutellaria%20lateriflora" TargetMode="External"/><Relationship Id="rId2910" Type="http://schemas.openxmlformats.org/officeDocument/2006/relationships/hyperlink" Target="http://www.burkemuseum.org/research-and-collections/botany-and-herbarium/collections/database/results.php?Genus=Cornus&amp;Species=sericea&amp;SourcePage=search.php&amp;IncludeSynonyms=Y&amp;SortBy=DESC&amp;SortOrder=Year" TargetMode="External"/><Relationship Id="rId5859" Type="http://schemas.openxmlformats.org/officeDocument/2006/relationships/hyperlink" Target="http://www.burkemuseum.org/research-and-collections/botany-and-herbarium/collections/database/results.php?Genus=Lathyrus&amp;Species=nevadensis&amp;SourcePage=search.php&amp;IncludeSynonyms=Y&amp;SortBy=DESC&amp;SortOrder=Year" TargetMode="External"/><Relationship Id="rId7074" Type="http://schemas.openxmlformats.org/officeDocument/2006/relationships/hyperlink" Target="http://biology.burke.washington.edu/herbarium/imagecollectionnew/taxon.php?Taxon=Viola%20glabella" TargetMode="External"/><Relationship Id="rId1512" Type="http://schemas.openxmlformats.org/officeDocument/2006/relationships/hyperlink" Target="https://en.wikipedia.org/wiki/Ribes_lobbii" TargetMode="External"/><Relationship Id="rId4668" Type="http://schemas.openxmlformats.org/officeDocument/2006/relationships/hyperlink" Target="http://www.burkemuseum.org/research-and-collections/botany-and-herbarium/collections/database/results.php?Genus=Asclepias&amp;Species=cordifolia&amp;SourcePage=search.php&amp;IncludeSynonyms=Y&amp;SortBy=DESC&amp;SortOrder=Year" TargetMode="External"/><Relationship Id="rId4875" Type="http://schemas.openxmlformats.org/officeDocument/2006/relationships/hyperlink" Target="https://en.wikipedia.org/wiki/Crassula_connata" TargetMode="External"/><Relationship Id="rId5719" Type="http://schemas.openxmlformats.org/officeDocument/2006/relationships/hyperlink" Target="http://www.burkemuseum.org/research-and-collections/botany-and-herbarium/collections/database/results.php?Genus=Epilobium&amp;Species=densiflorum&amp;SourcePage=search.php&amp;IncludeSynonyms=Y&amp;SortBy=DESC&amp;SortOrder=Year" TargetMode="External"/><Relationship Id="rId5926" Type="http://schemas.openxmlformats.org/officeDocument/2006/relationships/hyperlink" Target="http://www.burkemuseum.org/research-and-collections/botany-and-herbarium/collections/database/results.php?Genus=Matteuccia&amp;Species=struthiopteris&amp;SourcePage=search.php&amp;IncludeSynonyms=Y&amp;SortBy=DESC&amp;SortOrder=Year" TargetMode="External"/><Relationship Id="rId6090" Type="http://schemas.openxmlformats.org/officeDocument/2006/relationships/hyperlink" Target="http://www.burkemuseum.org/research-and-collections/botany-and-herbarium/collections/database/results.php?Genus=Puccinellia&amp;Species=nuttalliana&amp;SourcePage=search.php&amp;IncludeSynonyms=Y&amp;SortBy=DESC&amp;SortOrder=Year" TargetMode="External"/><Relationship Id="rId7141" Type="http://schemas.openxmlformats.org/officeDocument/2006/relationships/hyperlink" Target="http://biology.burke.washington.edu/herbarium/imagecollectionnew/taxon.php?Taxon=Selaginella%20oregana" TargetMode="External"/><Relationship Id="rId11" Type="http://schemas.openxmlformats.org/officeDocument/2006/relationships/hyperlink" Target="http://biology.burke.washington.edu/herbarium/imagecollection/taxon.php?Taxon=Lilaeopsis%20occidentalis" TargetMode="External"/><Relationship Id="rId398" Type="http://schemas.openxmlformats.org/officeDocument/2006/relationships/hyperlink" Target="http://biology.burke.washington.edu/herbarium/imagecollectionnew/taxon.php?Taxon=Collomia%20grandiflora" TargetMode="External"/><Relationship Id="rId2079" Type="http://schemas.openxmlformats.org/officeDocument/2006/relationships/hyperlink" Target="http://plants.usda.gov/java/profile?symbol=LANE3" TargetMode="External"/><Relationship Id="rId3477" Type="http://schemas.openxmlformats.org/officeDocument/2006/relationships/hyperlink" Target="http://www.burkemuseum.org/research-and-collections/botany-and-herbarium/collections/database/results.php?Genus=Carex&amp;Species=nudata&amp;SourcePage=search.php&amp;IncludeSynonyms=Y&amp;SortBy=DESC&amp;SortOrder=Year" TargetMode="External"/><Relationship Id="rId3684" Type="http://schemas.openxmlformats.org/officeDocument/2006/relationships/hyperlink" Target="https://plants.usda.gov/core/profile?symbol=ARHI" TargetMode="External"/><Relationship Id="rId3891" Type="http://schemas.openxmlformats.org/officeDocument/2006/relationships/hyperlink" Target="https://plants.usda.gov/core/profile?symbol=DICO19" TargetMode="External"/><Relationship Id="rId4528" Type="http://schemas.openxmlformats.org/officeDocument/2006/relationships/hyperlink" Target="https://plants.usda.gov/core/profile?symbol=CEMU2" TargetMode="External"/><Relationship Id="rId4735" Type="http://schemas.openxmlformats.org/officeDocument/2006/relationships/hyperlink" Target="https://en.wikipedia.org/wiki/Betula_pumila" TargetMode="External"/><Relationship Id="rId4942" Type="http://schemas.openxmlformats.org/officeDocument/2006/relationships/hyperlink" Target="https://en.wikipedia.org/wiki/Erigeron_speciosus" TargetMode="External"/><Relationship Id="rId2286" Type="http://schemas.openxmlformats.org/officeDocument/2006/relationships/hyperlink" Target="https://plants.usda.gov/core/profile?symbol=celar" TargetMode="External"/><Relationship Id="rId2493" Type="http://schemas.openxmlformats.org/officeDocument/2006/relationships/hyperlink" Target="http://plants.usda.gov/java/profile?symbol=QUGA4" TargetMode="External"/><Relationship Id="rId3337" Type="http://schemas.openxmlformats.org/officeDocument/2006/relationships/hyperlink" Target="http://www.burkemuseum.org/research-and-collections/botany-and-herbarium/collections/database/results.php?Genus=Scutellaria&amp;Species=galericulata&amp;SourcePage=search.php&amp;IncludeSynonyms=Y&amp;SortBy=DESC&amp;SortOrder=Year" TargetMode="External"/><Relationship Id="rId3544" Type="http://schemas.openxmlformats.org/officeDocument/2006/relationships/hyperlink" Target="http://www.burkemuseum.org/research-and-collections/botany-and-herbarium/collections/database/results.php?Genus=Penstemon&amp;Species=davidsonii&amp;SourcePage=search.php&amp;IncludeSynonyms=Y&amp;SortBy=DESC&amp;SortOrder=Year" TargetMode="External"/><Relationship Id="rId3751" Type="http://schemas.openxmlformats.org/officeDocument/2006/relationships/hyperlink" Target="https://plants.usda.gov/core/profile?symbol=CALES2" TargetMode="External"/><Relationship Id="rId4802" Type="http://schemas.openxmlformats.org/officeDocument/2006/relationships/hyperlink" Target="https://en.wikipedia.org/wiki/Carex_pellita" TargetMode="External"/><Relationship Id="rId7001" Type="http://schemas.openxmlformats.org/officeDocument/2006/relationships/hyperlink" Target="http://biology.burke.washington.edu/herbarium/imagecollectionnew/taxon.php?Taxon=Corallorhiza%20maculata" TargetMode="External"/><Relationship Id="rId258" Type="http://schemas.openxmlformats.org/officeDocument/2006/relationships/hyperlink" Target="http://biology.burke.washington.edu/herbarium/imagecollection/taxon.php?Taxon=Leptarrhena%20pyrolifolia" TargetMode="External"/><Relationship Id="rId465" Type="http://schemas.openxmlformats.org/officeDocument/2006/relationships/hyperlink" Target="http://biology.burke.washington.edu/herbarium/imagecollectionnew/taxon.php?Taxon=Vaccinium%20uliginosum" TargetMode="External"/><Relationship Id="rId672" Type="http://schemas.openxmlformats.org/officeDocument/2006/relationships/hyperlink" Target="https://en.wikipedia.org/wiki/Pterospora" TargetMode="External"/><Relationship Id="rId1095" Type="http://schemas.openxmlformats.org/officeDocument/2006/relationships/hyperlink" Target="https://species.wikimedia.org/wiki/Leptarrhena_pyrolifolia" TargetMode="External"/><Relationship Id="rId2146" Type="http://schemas.openxmlformats.org/officeDocument/2006/relationships/hyperlink" Target="https://plants.usda.gov/core/profile?symbol=GAUS" TargetMode="External"/><Relationship Id="rId2353" Type="http://schemas.openxmlformats.org/officeDocument/2006/relationships/hyperlink" Target="http://plants.usda.gov/java/profile?symbol=BOMI" TargetMode="External"/><Relationship Id="rId2560" Type="http://schemas.openxmlformats.org/officeDocument/2006/relationships/hyperlink" Target="https://plants.usda.gov/core/profile?symbol=MICA3" TargetMode="External"/><Relationship Id="rId3404" Type="http://schemas.openxmlformats.org/officeDocument/2006/relationships/hyperlink" Target="http://www.burkemuseum.org/research-and-collections/botany-and-herbarium/collections/database/results.php?Genus=Trifolium&amp;Species=wormskioldii&amp;SourcePage=search.php&amp;IncludeSynonyms=Y&amp;SortBy=DESC&amp;SortOrder=Year" TargetMode="External"/><Relationship Id="rId3611" Type="http://schemas.openxmlformats.org/officeDocument/2006/relationships/hyperlink" Target="http://www.burkemuseum.org/research-and-collections/botany-and-herbarium/collections/database/results.php?Genus=Viola&amp;Species=glabella&amp;SourcePage=search.php&amp;IncludeSynonyms=Y&amp;SortBy=DESC&amp;SortOrder=Year" TargetMode="External"/><Relationship Id="rId6767" Type="http://schemas.openxmlformats.org/officeDocument/2006/relationships/hyperlink" Target="http://biology.burke.washington.edu/herbarium/imagecollection/taxon.php?Taxon=Hordeum%20depressum" TargetMode="External"/><Relationship Id="rId6974" Type="http://schemas.openxmlformats.org/officeDocument/2006/relationships/hyperlink" Target="http://biology.burke.washington.edu/herbarium/imagecollection/taxon.php?Taxon=Gentianella%20amarella" TargetMode="External"/><Relationship Id="rId118" Type="http://schemas.openxmlformats.org/officeDocument/2006/relationships/hyperlink" Target="http://biology.burke.washington.edu/herbarium/imagecollection/taxon.php?Taxon=Pinus%20albicaulis" TargetMode="External"/><Relationship Id="rId325" Type="http://schemas.openxmlformats.org/officeDocument/2006/relationships/hyperlink" Target="http://biology.burke.washington.edu/herbarium/imagecollectionnew/taxon.php?Taxon=Sceptridium%20multifidum" TargetMode="External"/><Relationship Id="rId532" Type="http://schemas.openxmlformats.org/officeDocument/2006/relationships/hyperlink" Target="https://en.wikipedia.org/wiki/Typha_angustifolia" TargetMode="External"/><Relationship Id="rId1162" Type="http://schemas.openxmlformats.org/officeDocument/2006/relationships/hyperlink" Target="https://en.wikipedia.org/wiki/Gratiola_ebracteata" TargetMode="External"/><Relationship Id="rId2006" Type="http://schemas.openxmlformats.org/officeDocument/2006/relationships/hyperlink" Target="https://plants.usda.gov/core/profile?symbol=MOUN3" TargetMode="External"/><Relationship Id="rId2213" Type="http://schemas.openxmlformats.org/officeDocument/2006/relationships/hyperlink" Target="http://plants.usda.gov/java/profile?symbol=DOPU" TargetMode="External"/><Relationship Id="rId2420" Type="http://schemas.openxmlformats.org/officeDocument/2006/relationships/hyperlink" Target="http://plants.usda.gov/java/profile?symbol=AGPA8" TargetMode="External"/><Relationship Id="rId5369" Type="http://schemas.openxmlformats.org/officeDocument/2006/relationships/hyperlink" Target="https://en.wikipedia.org/wiki/Samolus_parviflorus" TargetMode="External"/><Relationship Id="rId5576" Type="http://schemas.openxmlformats.org/officeDocument/2006/relationships/hyperlink" Target="http://www.burkemuseum.org/research-and-collections/botany-and-herbarium/collections/database/results.php?Genus=Carex&amp;Species=comosa&amp;SourcePage=search.php&amp;IncludeSynonyms=Y&amp;SortBy=DESC&amp;SortOrder=Year" TargetMode="External"/><Relationship Id="rId5783" Type="http://schemas.openxmlformats.org/officeDocument/2006/relationships/hyperlink" Target="http://www.burkemuseum.org/research-and-collections/botany-and-herbarium/collections/database/results.php?Genus=Gilia&amp;Species=capitata&amp;SourcePage=search.php&amp;IncludeSynonyms=Y&amp;SortBy=DESC&amp;SortOrder=Year" TargetMode="External"/><Relationship Id="rId6627" Type="http://schemas.openxmlformats.org/officeDocument/2006/relationships/hyperlink" Target="http://biology.burke.washington.edu/herbarium/imagecollectionnew/taxon.php?Taxon=Trifolium%20microdon" TargetMode="External"/><Relationship Id="rId1022" Type="http://schemas.openxmlformats.org/officeDocument/2006/relationships/hyperlink" Target="http://en.wikipedia.org/wiki/Amsinckia_menziesii" TargetMode="External"/><Relationship Id="rId4178" Type="http://schemas.openxmlformats.org/officeDocument/2006/relationships/hyperlink" Target="https://plants.usda.gov/core/profile?symbol=OPHO" TargetMode="External"/><Relationship Id="rId4385" Type="http://schemas.openxmlformats.org/officeDocument/2006/relationships/hyperlink" Target="https://plants.usda.gov/core/profile?symbol=SCAT4" TargetMode="External"/><Relationship Id="rId4592" Type="http://schemas.openxmlformats.org/officeDocument/2006/relationships/hyperlink" Target="http://www.burkemuseum.org/research-and-collections/botany-and-herbarium/collections/database/results.php?Genus=Agoseris&amp;Species=elata&amp;SourcePage=search.php&amp;IncludeSynonyms=Y&amp;SortBy=DESC&amp;SortOrder=Year" TargetMode="External"/><Relationship Id="rId5229" Type="http://schemas.openxmlformats.org/officeDocument/2006/relationships/hyperlink" Target="https://en.wikipedia.org/wiki/Plagiobothrys_figuratus" TargetMode="External"/><Relationship Id="rId5436" Type="http://schemas.openxmlformats.org/officeDocument/2006/relationships/hyperlink" Target="https://en.wikipedia.org/wiki/Stellaria_nitens" TargetMode="External"/><Relationship Id="rId5990" Type="http://schemas.openxmlformats.org/officeDocument/2006/relationships/hyperlink" Target="http://www.burkemuseum.org/research-and-collections/botany-and-herbarium/collections/database/results.php?Genus=Oxytropis&amp;Species=campestris&amp;SourcePage=search.php&amp;IncludeSynonyms=Y&amp;SortBy=DESC&amp;SortOrder=Year" TargetMode="External"/><Relationship Id="rId6834" Type="http://schemas.openxmlformats.org/officeDocument/2006/relationships/hyperlink" Target="http://biology.burke.washington.edu/herbarium/imagecollectionnew/taxon.php?Taxon=Cardamine%20pensylvanica" TargetMode="External"/><Relationship Id="rId1979" Type="http://schemas.openxmlformats.org/officeDocument/2006/relationships/hyperlink" Target="https://plants.usda.gov/core/profile?symbol=ORSE" TargetMode="External"/><Relationship Id="rId3194" Type="http://schemas.openxmlformats.org/officeDocument/2006/relationships/hyperlink" Target="http://www.burkemuseum.org/research-and-collections/botany-and-herbarium/collections/database/results.php?Genus=Perideridia&amp;Species=montana&amp;SourcePage=search.php&amp;IncludeSynonyms=Y&amp;SortBy=DESC&amp;SortOrder=Year" TargetMode="External"/><Relationship Id="rId4038" Type="http://schemas.openxmlformats.org/officeDocument/2006/relationships/hyperlink" Target="https://plants.usda.gov/core/profile?symbol=JUBR4" TargetMode="External"/><Relationship Id="rId4245" Type="http://schemas.openxmlformats.org/officeDocument/2006/relationships/hyperlink" Target="https://plants.usda.gov/core/profile?symbol=POUN" TargetMode="External"/><Relationship Id="rId5643" Type="http://schemas.openxmlformats.org/officeDocument/2006/relationships/hyperlink" Target="http://www.burkemuseum.org/research-and-collections/botany-and-herbarium/collections/database/results.php?Genus=Claytonia&amp;Species=rubra&amp;SourcePage=search.php&amp;IncludeSynonyms=Y&amp;SortBy=DESC&amp;SortOrder=Year" TargetMode="External"/><Relationship Id="rId5850" Type="http://schemas.openxmlformats.org/officeDocument/2006/relationships/hyperlink" Target="http://www.burkemuseum.org/research-and-collections/botany-and-herbarium/collections/database/results.php?Genus=Koeleria&amp;Species=macrantha&amp;SourcePage=search.php&amp;IncludeSynonyms=Y&amp;SortBy=DESC&amp;SortOrder=Year" TargetMode="External"/><Relationship Id="rId6901" Type="http://schemas.openxmlformats.org/officeDocument/2006/relationships/hyperlink" Target="http://biology.burke.washington.edu/herbarium/imagecollection/taxon.php?Taxon=Potamogeton%20zosteriformis" TargetMode="External"/><Relationship Id="rId1839" Type="http://schemas.openxmlformats.org/officeDocument/2006/relationships/hyperlink" Target="http://plants.usda.gov/core/profile?symbol=SAPR3" TargetMode="External"/><Relationship Id="rId3054" Type="http://schemas.openxmlformats.org/officeDocument/2006/relationships/hyperlink" Target="http://www.burkemuseum.org/research-and-collections/botany-and-herbarium/collections/database/results.php?Genus=Isoetes&amp;Species=nuttallii&amp;SourcePage=search.php&amp;IncludeSynonyms=Y&amp;SortBy=DESC&amp;SortOrder=Year" TargetMode="External"/><Relationship Id="rId4452" Type="http://schemas.openxmlformats.org/officeDocument/2006/relationships/hyperlink" Target="https://plants.usda.gov/core/profile?symbol=TABI" TargetMode="External"/><Relationship Id="rId5503" Type="http://schemas.openxmlformats.org/officeDocument/2006/relationships/hyperlink" Target="https://en.wikipedia.org/wiki/Veronica_americana" TargetMode="External"/><Relationship Id="rId5710" Type="http://schemas.openxmlformats.org/officeDocument/2006/relationships/hyperlink" Target="http://www.burkemuseum.org/research-and-collections/botany-and-herbarium/collections/database/results.php?Genus=Eleocharis&amp;Species=acicularis&amp;SourcePage=search.php&amp;IncludeSynonyms=Y&amp;SortBy=DESC&amp;SortOrder=Year" TargetMode="External"/><Relationship Id="rId182" Type="http://schemas.openxmlformats.org/officeDocument/2006/relationships/hyperlink" Target="http://biology.burke.washington.edu/herbarium/imagecollection/taxon.php?Taxon=Festuca%20occidentalis" TargetMode="External"/><Relationship Id="rId1906" Type="http://schemas.openxmlformats.org/officeDocument/2006/relationships/hyperlink" Target="http://plants.usda.gov/java/profile?symbol=COPA28" TargetMode="External"/><Relationship Id="rId3261" Type="http://schemas.openxmlformats.org/officeDocument/2006/relationships/hyperlink" Target="http://www.burkemuseum.org/research-and-collections/botany-and-herbarium/collections/database/results.php?Genus=Puccinellia&amp;Species=nuttalliana&amp;SourcePage=search.php&amp;IncludeSynonyms=Y&amp;SortBy=DESC&amp;SortOrder=Year" TargetMode="External"/><Relationship Id="rId4105" Type="http://schemas.openxmlformats.org/officeDocument/2006/relationships/hyperlink" Target="https://plants.usda.gov/core/profile?symbol=LUPA4" TargetMode="External"/><Relationship Id="rId4312" Type="http://schemas.openxmlformats.org/officeDocument/2006/relationships/hyperlink" Target="https://plants.usda.gov/core/profile?symbol=RHGL" TargetMode="External"/><Relationship Id="rId2070" Type="http://schemas.openxmlformats.org/officeDocument/2006/relationships/hyperlink" Target="https://plants.usda.gov/core/profile?symbol=LEPY" TargetMode="External"/><Relationship Id="rId3121" Type="http://schemas.openxmlformats.org/officeDocument/2006/relationships/hyperlink" Target="http://www.burkemuseum.org/research-and-collections/botany-and-herbarium/collections/database/results.php?Genus=Lysimachia&amp;Species=thyrsiflora&amp;SourcePage=search.php&amp;IncludeSynonyms=Y&amp;SortBy=DESC&amp;SortOrder=Year" TargetMode="External"/><Relationship Id="rId6277" Type="http://schemas.openxmlformats.org/officeDocument/2006/relationships/hyperlink" Target="http://www.burkemuseum.org/research-and-collections/botany-and-herbarium/collections/database/results.php?Genus=Triteleia&amp;Species=hyacinthina&amp;SourcePage=search.php&amp;IncludeSynonyms=Y&amp;SortBy=DESC&amp;SortOrder=Year" TargetMode="External"/><Relationship Id="rId6484" Type="http://schemas.openxmlformats.org/officeDocument/2006/relationships/hyperlink" Target="http://biology.burke.washington.edu/herbarium/imagecollection/taxon.php?Taxon=Erigeron%20strigosus" TargetMode="External"/><Relationship Id="rId6691" Type="http://schemas.openxmlformats.org/officeDocument/2006/relationships/hyperlink" Target="http://biology.burke.washington.edu/herbarium/imagecollection/taxon.php?Taxon=Pleuricospora%20fimbriolata" TargetMode="External"/><Relationship Id="rId999" Type="http://schemas.openxmlformats.org/officeDocument/2006/relationships/hyperlink" Target="https://en.wikipedia.org/wiki/Arnica_cordifolia" TargetMode="External"/><Relationship Id="rId2887" Type="http://schemas.openxmlformats.org/officeDocument/2006/relationships/hyperlink" Target="http://www.burkemuseum.org/research-and-collections/botany-and-herbarium/collections/database/results.php?Genus=Clarkia&amp;Species=amoena&amp;SourcePage=search.php&amp;IncludeSynonyms=Y&amp;SortBy=DESC&amp;SortOrder=Year" TargetMode="External"/><Relationship Id="rId5086" Type="http://schemas.openxmlformats.org/officeDocument/2006/relationships/hyperlink" Target="https://en.wikipedia.org/wiki/Lomatium_dissectum" TargetMode="External"/><Relationship Id="rId5293" Type="http://schemas.openxmlformats.org/officeDocument/2006/relationships/hyperlink" Target="https://en.wikipedia.org/wiki/Pyrola_chlorantha" TargetMode="External"/><Relationship Id="rId6137" Type="http://schemas.openxmlformats.org/officeDocument/2006/relationships/hyperlink" Target="http://www.burkemuseum.org/research-and-collections/botany-and-herbarium/collections/database/results.php?Genus=Rubus&amp;Species=ursinus&amp;SourcePage=search.php&amp;IncludeSynonyms=Y&amp;SortBy=DESC&amp;SortOrder=Year" TargetMode="External"/><Relationship Id="rId6344" Type="http://schemas.openxmlformats.org/officeDocument/2006/relationships/hyperlink" Target="http://biology.burke.washington.edu/herbarium/imagecollection/taxon.php?Taxon=Acer%20macrophyllum" TargetMode="External"/><Relationship Id="rId6551" Type="http://schemas.openxmlformats.org/officeDocument/2006/relationships/hyperlink" Target="http://biology.burke.washington.edu/herbarium/imagecollection/taxon.php?Taxon=Lilium%20columbianum" TargetMode="External"/><Relationship Id="rId859" Type="http://schemas.openxmlformats.org/officeDocument/2006/relationships/hyperlink" Target="https://en.wikipedia.org/wiki/Micranthes_integrifolia" TargetMode="External"/><Relationship Id="rId1489" Type="http://schemas.openxmlformats.org/officeDocument/2006/relationships/hyperlink" Target="https://en.wikipedia.org/wiki/Stachys_rigida" TargetMode="External"/><Relationship Id="rId1696" Type="http://schemas.openxmlformats.org/officeDocument/2006/relationships/hyperlink" Target="http://biology.burke.washington.edu/herbarium/imagecollectionnew/taxon.php?Taxon=Huperzia%20miyoshiana" TargetMode="External"/><Relationship Id="rId3938" Type="http://schemas.openxmlformats.org/officeDocument/2006/relationships/hyperlink" Target="https://plants.usda.gov/core/profile?symbol=ERCA14" TargetMode="External"/><Relationship Id="rId5153" Type="http://schemas.openxmlformats.org/officeDocument/2006/relationships/hyperlink" Target="https://en.wikipedia.org/wiki/Montia_howellii" TargetMode="External"/><Relationship Id="rId5360" Type="http://schemas.openxmlformats.org/officeDocument/2006/relationships/hyperlink" Target="https://en.wikipedia.org/wiki/Salix_melanopsis" TargetMode="External"/><Relationship Id="rId6204" Type="http://schemas.openxmlformats.org/officeDocument/2006/relationships/hyperlink" Target="http://www.burkemuseum.org/research-and-collections/botany-and-herbarium/collections/database/results.php?Genus=Sidalcea&amp;Species=virgata&amp;SourcePage=search.php&amp;IncludeSynonyms=Y&amp;SortBy=DESC&amp;SortOrder=Year" TargetMode="External"/><Relationship Id="rId6411" Type="http://schemas.openxmlformats.org/officeDocument/2006/relationships/hyperlink" Target="http://biology.burke.washington.edu/herbarium/imagecollectionnew/taxon.php?Taxon=Carex%20lyngbyei" TargetMode="External"/><Relationship Id="rId1349" Type="http://schemas.openxmlformats.org/officeDocument/2006/relationships/hyperlink" Target="http://biology.burke.washington.edu/herbarium/imagecollection/taxon.php?Taxon=Hosackia%20rosea" TargetMode="External"/><Relationship Id="rId2747" Type="http://schemas.openxmlformats.org/officeDocument/2006/relationships/hyperlink" Target="http://www.burkemuseum.org/research-and-collections/botany-and-herbarium/collections/database/results.php?Genus=Andromeda&amp;Species=polifolia&amp;SourcePage=search.php&amp;IncludeSynonyms=Y&amp;SortBy=DESC&amp;SortOrder=Year" TargetMode="External"/><Relationship Id="rId2954" Type="http://schemas.openxmlformats.org/officeDocument/2006/relationships/hyperlink" Target="http://www.burkemuseum.org/research-and-collections/botany-and-herbarium/collections/database/results.php?Genus=Eleocharis&amp;Species=palustris&amp;SourcePage=search.php&amp;IncludeSynonyms=Y&amp;SortBy=DESC&amp;SortOrder=Year" TargetMode="External"/><Relationship Id="rId5013" Type="http://schemas.openxmlformats.org/officeDocument/2006/relationships/hyperlink" Target="https://en.wikipedia.org/wiki/Heterotheca_villosa" TargetMode="External"/><Relationship Id="rId5220" Type="http://schemas.openxmlformats.org/officeDocument/2006/relationships/hyperlink" Target="https://en.wikipedia.org/wiki/Phlox_diffusa" TargetMode="External"/><Relationship Id="rId719" Type="http://schemas.openxmlformats.org/officeDocument/2006/relationships/hyperlink" Target="https://en.wikipedia.org/wiki/Epilobium_densiflorum" TargetMode="External"/><Relationship Id="rId926" Type="http://schemas.openxmlformats.org/officeDocument/2006/relationships/hyperlink" Target="http://en.wikipedia.org/wiki/Carex_vesicaria" TargetMode="External"/><Relationship Id="rId1556" Type="http://schemas.openxmlformats.org/officeDocument/2006/relationships/hyperlink" Target="https://en.wikipedia.org/wiki/Olsynium_douglasii" TargetMode="External"/><Relationship Id="rId1763" Type="http://schemas.openxmlformats.org/officeDocument/2006/relationships/hyperlink" Target="https://plants.usda.gov/core/profile?symbol=THMO6" TargetMode="External"/><Relationship Id="rId1970" Type="http://schemas.openxmlformats.org/officeDocument/2006/relationships/hyperlink" Target="https://plants.usda.gov/core/profile?symbol=PACI2" TargetMode="External"/><Relationship Id="rId2607" Type="http://schemas.openxmlformats.org/officeDocument/2006/relationships/hyperlink" Target="http://plants.usda.gov/java/profile?symbol=PLST4" TargetMode="External"/><Relationship Id="rId2814" Type="http://schemas.openxmlformats.org/officeDocument/2006/relationships/hyperlink" Target="http://www.burkemuseum.org/research-and-collections/botany-and-herbarium/collections/database/results.php?Genus=Callitriche&amp;Species=palustris&amp;SourcePage=search.php&amp;IncludeSynonyms=Y&amp;SortBy=DESC&amp;SortOrder=Year" TargetMode="External"/><Relationship Id="rId7185" Type="http://schemas.openxmlformats.org/officeDocument/2006/relationships/hyperlink" Target="http://biology.burke.washington.edu/herbarium/imagecollection/taxon.php?Taxon=Rosa%20nutkana" TargetMode="External"/><Relationship Id="rId55" Type="http://schemas.openxmlformats.org/officeDocument/2006/relationships/hyperlink" Target="http://biology.burke.washington.edu/herbarium/imagecollection/taxon.php?Taxon=Githopsis%20specularioides" TargetMode="External"/><Relationship Id="rId1209" Type="http://schemas.openxmlformats.org/officeDocument/2006/relationships/hyperlink" Target="http://biology.burke.washington.edu/herbarium/imagecollection/taxon.php?Taxon=Erythranthe%20alsinoides" TargetMode="External"/><Relationship Id="rId1416" Type="http://schemas.openxmlformats.org/officeDocument/2006/relationships/hyperlink" Target="http://biology.burke.washington.edu/herbarium/imagecollection/taxon.php?Taxon=Nothochelone%20nemorosa" TargetMode="External"/><Relationship Id="rId1623" Type="http://schemas.openxmlformats.org/officeDocument/2006/relationships/hyperlink" Target="https://en.wikipedia.org/wiki/Grindelia_hirsutula" TargetMode="External"/><Relationship Id="rId1830" Type="http://schemas.openxmlformats.org/officeDocument/2006/relationships/hyperlink" Target="https://plants.usda.gov/core/profile?symbol=SAPE11" TargetMode="External"/><Relationship Id="rId4779" Type="http://schemas.openxmlformats.org/officeDocument/2006/relationships/hyperlink" Target="https://en.wikipedia.org/wiki/Carex_athrostachya" TargetMode="External"/><Relationship Id="rId4986" Type="http://schemas.openxmlformats.org/officeDocument/2006/relationships/hyperlink" Target="https://en.wikipedia.org/wiki/Gayophytum_diffusum" TargetMode="External"/><Relationship Id="rId3588" Type="http://schemas.openxmlformats.org/officeDocument/2006/relationships/hyperlink" Target="http://www.burkemuseum.org/research-and-collections/botany-and-herbarium/collections/database/results.php?Genus=Sedum&amp;Species=spathulifolium&amp;SourcePage=search.php&amp;IncludeSynonyms=Y&amp;SortBy=DESC&amp;SortOrder=Year" TargetMode="External"/><Relationship Id="rId3795" Type="http://schemas.openxmlformats.org/officeDocument/2006/relationships/hyperlink" Target="https://plants.usda.gov/core/profile?symbol=CAST10" TargetMode="External"/><Relationship Id="rId4639" Type="http://schemas.openxmlformats.org/officeDocument/2006/relationships/hyperlink" Target="http://www.burkemuseum.org/research-and-collections/botany-and-herbarium/collections/database/results.php?Genus=Arctostaphylos&amp;Species=columbiana&amp;SourcePage=search.php&amp;IncludeSynonyms=Y&amp;SortBy=DESC&amp;SortOrder=Year" TargetMode="External"/><Relationship Id="rId4846" Type="http://schemas.openxmlformats.org/officeDocument/2006/relationships/hyperlink" Target="https://en.wikipedia.org/wiki/Clarkia_purpurea" TargetMode="External"/><Relationship Id="rId7045" Type="http://schemas.openxmlformats.org/officeDocument/2006/relationships/hyperlink" Target="http://biology.burke.washington.edu/herbarium/imagecollectionnew/taxon.php?Taxon=Athysanus%20pusillus" TargetMode="External"/><Relationship Id="rId2397" Type="http://schemas.openxmlformats.org/officeDocument/2006/relationships/hyperlink" Target="https://www.plants.usda.gov/core/profile?symbol=ANHO" TargetMode="External"/><Relationship Id="rId3448" Type="http://schemas.openxmlformats.org/officeDocument/2006/relationships/hyperlink" Target="http://www.burkemuseum.org/research-and-collections/botany-and-herbarium/collections/database/results.php?Genus=Zannichellia&amp;Species=palustris&amp;SourcePage=search.php&amp;IncludeSynonyms=Y&amp;SortBy=DESC&amp;SortOrder=Year" TargetMode="External"/><Relationship Id="rId3655" Type="http://schemas.openxmlformats.org/officeDocument/2006/relationships/hyperlink" Target="https://plants.usda.gov/core/profile?symbol=ALINT" TargetMode="External"/><Relationship Id="rId3862" Type="http://schemas.openxmlformats.org/officeDocument/2006/relationships/hyperlink" Target="https://plants.usda.gov/core/profile?symbol=CRAQ" TargetMode="External"/><Relationship Id="rId4706" Type="http://schemas.openxmlformats.org/officeDocument/2006/relationships/hyperlink" Target="https://en.wikipedia.org/wiki/Arctostaphylos_uva-ursi" TargetMode="External"/><Relationship Id="rId6061" Type="http://schemas.openxmlformats.org/officeDocument/2006/relationships/hyperlink" Target="http://www.burkemuseum.org/research-and-collections/botany-and-herbarium/collections/database/results.php?Genus=Populus&amp;Species=trichocarpa&amp;SourcePage=search.php&amp;IncludeSynonyms=Y&amp;SortBy=DESC&amp;SortOrder=Year" TargetMode="External"/><Relationship Id="rId7112" Type="http://schemas.openxmlformats.org/officeDocument/2006/relationships/hyperlink" Target="http://biology.burke.washington.edu/herbarium/imagecollectionnew/taxon.php?Taxon=Symphyotrichum%20hallii" TargetMode="External"/><Relationship Id="rId369" Type="http://schemas.openxmlformats.org/officeDocument/2006/relationships/hyperlink" Target="http://biology.burke.washington.edu/herbarium/imagecollectionnew/taxon.php?Taxon=Carex%20rossii" TargetMode="External"/><Relationship Id="rId576" Type="http://schemas.openxmlformats.org/officeDocument/2006/relationships/hyperlink" Target="https://en.wikipedia.org/wiki/Spiraea" TargetMode="External"/><Relationship Id="rId783" Type="http://schemas.openxmlformats.org/officeDocument/2006/relationships/hyperlink" Target="https://en.wikipedia.org/wiki/Polypodium_hesperium" TargetMode="External"/><Relationship Id="rId990" Type="http://schemas.openxmlformats.org/officeDocument/2006/relationships/hyperlink" Target="http://en.wikipedia.org/wiki/Asplenium_trichomanes" TargetMode="External"/><Relationship Id="rId2257" Type="http://schemas.openxmlformats.org/officeDocument/2006/relationships/hyperlink" Target="http://plants.usda.gov/java/profile?symbol=COPA3" TargetMode="External"/><Relationship Id="rId2464" Type="http://schemas.openxmlformats.org/officeDocument/2006/relationships/hyperlink" Target="http://plants.usda.gov/java/profile?symbol=SPDO" TargetMode="External"/><Relationship Id="rId2671" Type="http://schemas.openxmlformats.org/officeDocument/2006/relationships/hyperlink" Target="http://biology.burke.washington.edu/herbarium/imagecollectionnew/taxon.php?Taxon=Lonicera%20conjugialis" TargetMode="External"/><Relationship Id="rId3308" Type="http://schemas.openxmlformats.org/officeDocument/2006/relationships/hyperlink" Target="http://www.burkemuseum.org/research-and-collections/botany-and-herbarium/collections/database/results.php?Genus=Salix&amp;Species=commutata&amp;SourcePage=search.php&amp;IncludeSynonyms=Y&amp;SortBy=DESC&amp;SortOrder=Year" TargetMode="External"/><Relationship Id="rId3515" Type="http://schemas.openxmlformats.org/officeDocument/2006/relationships/hyperlink" Target="http://www.burkemuseum.org/research-and-collections/botany-and-herbarium/collections/database/results.php?Genus=Juniperus&amp;Species=maritima&amp;SourcePage=search.php&amp;IncludeSynonyms=Y&amp;SortBy=DESC&amp;SortOrder=Year" TargetMode="External"/><Relationship Id="rId4913" Type="http://schemas.openxmlformats.org/officeDocument/2006/relationships/hyperlink" Target="https://en.wikipedia.org/wiki/Dryopteris_carthusiana" TargetMode="External"/><Relationship Id="rId229" Type="http://schemas.openxmlformats.org/officeDocument/2006/relationships/hyperlink" Target="http://biology.burke.washington.edu/herbarium/imagecollection/taxon.php?Taxon=Ranunculus%20californicus" TargetMode="External"/><Relationship Id="rId436" Type="http://schemas.openxmlformats.org/officeDocument/2006/relationships/hyperlink" Target="http://biology.burke.washington.edu/herbarium/imagecollectionnew/taxon.php?Taxon=Castilleja%20ambigua" TargetMode="External"/><Relationship Id="rId643" Type="http://schemas.openxmlformats.org/officeDocument/2006/relationships/hyperlink" Target="https://en.wikipedia.org/wiki/Rudbeckia_hirta" TargetMode="External"/><Relationship Id="rId1066" Type="http://schemas.openxmlformats.org/officeDocument/2006/relationships/hyperlink" Target="https://en.wikipedia.org/wiki/Lycopodiella_inundata" TargetMode="External"/><Relationship Id="rId1273" Type="http://schemas.openxmlformats.org/officeDocument/2006/relationships/hyperlink" Target="https://en.wikipedia.org/wiki/Parnassia" TargetMode="External"/><Relationship Id="rId1480" Type="http://schemas.openxmlformats.org/officeDocument/2006/relationships/hyperlink" Target="https://en.wikipedia.org/wiki/Triteleia_hyacinthina" TargetMode="External"/><Relationship Id="rId2117" Type="http://schemas.openxmlformats.org/officeDocument/2006/relationships/hyperlink" Target="http://plants.usda.gov/java/profile?symbol=HIHI" TargetMode="External"/><Relationship Id="rId2324" Type="http://schemas.openxmlformats.org/officeDocument/2006/relationships/hyperlink" Target="https://plants.usda.gov/core/profile?symbol=CAAQ" TargetMode="External"/><Relationship Id="rId3722" Type="http://schemas.openxmlformats.org/officeDocument/2006/relationships/hyperlink" Target="https://plants.usda.gov/core/profile?symbol=bepu4" TargetMode="External"/><Relationship Id="rId6878" Type="http://schemas.openxmlformats.org/officeDocument/2006/relationships/hyperlink" Target="http://biology.burke.washington.edu/herbarium/imagecollectionnew/taxon.php?Taxon=Subularia%20aquatica" TargetMode="External"/><Relationship Id="rId850" Type="http://schemas.openxmlformats.org/officeDocument/2006/relationships/hyperlink" Target="http://en.wikipedia.org/wiki/Monotropa_uniflora" TargetMode="External"/><Relationship Id="rId1133" Type="http://schemas.openxmlformats.org/officeDocument/2006/relationships/hyperlink" Target="https://en.wikipedia.org/wiki/Hydrocotyle_ranunculoides" TargetMode="External"/><Relationship Id="rId2531" Type="http://schemas.openxmlformats.org/officeDocument/2006/relationships/hyperlink" Target="http://plants.usda.gov/java/profile?symbol=LUPE" TargetMode="External"/><Relationship Id="rId4289" Type="http://schemas.openxmlformats.org/officeDocument/2006/relationships/hyperlink" Target="https://plants.usda.gov/core/profile?symbol=PYCO2" TargetMode="External"/><Relationship Id="rId5687" Type="http://schemas.openxmlformats.org/officeDocument/2006/relationships/hyperlink" Target="http://www.burkemuseum.org/research-and-collections/botany-and-herbarium/collections/database/results.php?Genus=Delphinium&amp;Species=menziesii&amp;SourcePage=search.php&amp;IncludeSynonyms=Y&amp;SortBy=DESC&amp;SortOrder=Year" TargetMode="External"/><Relationship Id="rId5894" Type="http://schemas.openxmlformats.org/officeDocument/2006/relationships/hyperlink" Target="http://www.burkemuseum.org/research-and-collections/botany-and-herbarium/collections/database/results.php?Genus=Luetkea&amp;Species=pectinata&amp;SourcePage=search.php&amp;IncludeSynonyms=Y&amp;SortBy=DESC&amp;SortOrder=Year" TargetMode="External"/><Relationship Id="rId6738" Type="http://schemas.openxmlformats.org/officeDocument/2006/relationships/hyperlink" Target="http://biology.burke.washington.edu/herbarium/imagecollectionnew/taxon.php?Taxon=Lysimachia%20europaea" TargetMode="External"/><Relationship Id="rId6945" Type="http://schemas.openxmlformats.org/officeDocument/2006/relationships/hyperlink" Target="http://biology.burke.washington.edu/herbarium/imagecollection/taxon.php?Taxon=Lilaeopsis%20occidentalis" TargetMode="External"/><Relationship Id="rId503" Type="http://schemas.openxmlformats.org/officeDocument/2006/relationships/hyperlink" Target="https://en.wikipedia.org/wiki/Woodsia_oregana" TargetMode="External"/><Relationship Id="rId710" Type="http://schemas.openxmlformats.org/officeDocument/2006/relationships/hyperlink" Target="https://en.wikipedia.org/wiki/Equisetum_palustre" TargetMode="External"/><Relationship Id="rId1340" Type="http://schemas.openxmlformats.org/officeDocument/2006/relationships/hyperlink" Target="https://en.wikipedia.org/wiki/Trifolium_bifidum" TargetMode="External"/><Relationship Id="rId3098" Type="http://schemas.openxmlformats.org/officeDocument/2006/relationships/hyperlink" Target="http://www.burkemuseum.org/research-and-collections/botany-and-herbarium/collections/database/results.php?Genus=Lobelia&amp;Species=dortmanna&amp;SourcePage=search.php&amp;IncludeSynonyms=Y&amp;SortBy=DESC&amp;SortOrder=Year" TargetMode="External"/><Relationship Id="rId4496" Type="http://schemas.openxmlformats.org/officeDocument/2006/relationships/hyperlink" Target="https://plants.usda.gov/core/profile?symbol=VAUL" TargetMode="External"/><Relationship Id="rId5547" Type="http://schemas.openxmlformats.org/officeDocument/2006/relationships/hyperlink" Target="http://www.burkemuseum.org/research-and-collections/botany-and-herbarium/collections/database/results.php?Genus=Calamagrostis&amp;Species=canadensis&amp;SourcePage=search.php&amp;IncludeSynonyms=Y&amp;SortBy=DESC&amp;SortOrder=Year" TargetMode="External"/><Relationship Id="rId5754" Type="http://schemas.openxmlformats.org/officeDocument/2006/relationships/hyperlink" Target="http://www.burkemuseum.org/research-and-collections/botany-and-herbarium/collections/database/results.php?Genus=Festuca&amp;Species=idahoensis&amp;SourcePage=search.php&amp;IncludeSynonyms=Y&amp;SortBy=DESC&amp;SortOrder=Year" TargetMode="External"/><Relationship Id="rId5961" Type="http://schemas.openxmlformats.org/officeDocument/2006/relationships/hyperlink" Target="http://www.burkemuseum.org/research-and-collections/botany-and-herbarium/collections/database/results.php?Genus=Myriophyllum&amp;Species=verticillatum&amp;SourcePage=search.php&amp;IncludeSynonyms=Y&amp;SortBy=DESC&amp;SortOrder=Year" TargetMode="External"/><Relationship Id="rId6805" Type="http://schemas.openxmlformats.org/officeDocument/2006/relationships/hyperlink" Target="http://biology.burke.washington.edu/herbarium/imagecollectionnew/taxon.php?Taxon=Corydalis%20aquae-gelidae" TargetMode="External"/><Relationship Id="rId1200" Type="http://schemas.openxmlformats.org/officeDocument/2006/relationships/hyperlink" Target="http://biology.burke.washington.edu/herbarium/imagecollectionnew/taxon.php?Taxon=Taxus%20brevifolia" TargetMode="External"/><Relationship Id="rId4149" Type="http://schemas.openxmlformats.org/officeDocument/2006/relationships/hyperlink" Target="https://plants.usda.gov/core/profile?symbol=MOFO" TargetMode="External"/><Relationship Id="rId4356" Type="http://schemas.openxmlformats.org/officeDocument/2006/relationships/hyperlink" Target="https://plants.usda.gov/core/profile?symbol=SAHO" TargetMode="External"/><Relationship Id="rId4563" Type="http://schemas.openxmlformats.org/officeDocument/2006/relationships/hyperlink" Target="https://en.wikipedia.org/wiki/Alnus_rubra" TargetMode="External"/><Relationship Id="rId4770" Type="http://schemas.openxmlformats.org/officeDocument/2006/relationships/hyperlink" Target="https://en.wikipedia.org/wiki/Cardamine_angulata" TargetMode="External"/><Relationship Id="rId5407" Type="http://schemas.openxmlformats.org/officeDocument/2006/relationships/hyperlink" Target="https://en.wikipedia.org/wiki/Silene_menziesii" TargetMode="External"/><Relationship Id="rId5614" Type="http://schemas.openxmlformats.org/officeDocument/2006/relationships/hyperlink" Target="http://www.burkemuseum.org/research-and-collections/botany-and-herbarium/collections/database/results.php?Genus=Castilleja&amp;Species=miniata&amp;SourcePage=search.php&amp;IncludeSynonyms=Y&amp;SortBy=DESC&amp;SortOrder=Year" TargetMode="External"/><Relationship Id="rId5821" Type="http://schemas.openxmlformats.org/officeDocument/2006/relationships/hyperlink" Target="http://www.burkemuseum.org/research-and-collections/botany-and-herbarium/collections/database/results.php?Genus=Huperzia&amp;Species=occidentalis&amp;SourcePage=search.php&amp;IncludeSynonyms=Y&amp;SortBy=DESC&amp;SortOrder=Year" TargetMode="External"/><Relationship Id="rId3165" Type="http://schemas.openxmlformats.org/officeDocument/2006/relationships/hyperlink" Target="http://www.burkemuseum.org/research-and-collections/botany-and-herbarium/collections/database/results.php?Genus=Navarretia&amp;Species=intertexta&amp;SourcePage=search.php&amp;IncludeSynonyms=Y&amp;SortBy=DESC&amp;SortOrder=Year" TargetMode="External"/><Relationship Id="rId3372" Type="http://schemas.openxmlformats.org/officeDocument/2006/relationships/hyperlink" Target="http://www.burkemuseum.org/research-and-collections/botany-and-herbarium/collections/database/results.php?Genus=Stellaria&amp;Species=crispa&amp;SourcePage=search.php&amp;IncludeSynonyms=Y&amp;SortBy=DESC&amp;SortOrder=Year" TargetMode="External"/><Relationship Id="rId4009" Type="http://schemas.openxmlformats.org/officeDocument/2006/relationships/hyperlink" Target="https://plants.usda.gov/core/profile?symbol=HIVU2" TargetMode="External"/><Relationship Id="rId4216" Type="http://schemas.openxmlformats.org/officeDocument/2006/relationships/hyperlink" Target="https://plants.usda.gov/core/profile?symbol=PHDI3" TargetMode="External"/><Relationship Id="rId4423" Type="http://schemas.openxmlformats.org/officeDocument/2006/relationships/hyperlink" Target="https://plants.usda.gov/core/profile?symbol=SPSPS" TargetMode="External"/><Relationship Id="rId4630" Type="http://schemas.openxmlformats.org/officeDocument/2006/relationships/hyperlink" Target="http://www.burkemuseum.org/research-and-collections/botany-and-herbarium/collections/database/results.php?Genus=Aphyllon&amp;Species=fasciculata&amp;SourcePage=search.php&amp;IncludeSynonyms=Y&amp;SortBy=DESC&amp;SortOrder=Year" TargetMode="External"/><Relationship Id="rId293" Type="http://schemas.openxmlformats.org/officeDocument/2006/relationships/hyperlink" Target="http://biology.burke.washington.edu/herbarium/imagecollectionnew/taxon.php?Taxon=Angelica%20genuflexa" TargetMode="External"/><Relationship Id="rId2181" Type="http://schemas.openxmlformats.org/officeDocument/2006/relationships/hyperlink" Target="http://plants.usda.gov/java/profile?symbol=ERSP4" TargetMode="External"/><Relationship Id="rId3025" Type="http://schemas.openxmlformats.org/officeDocument/2006/relationships/hyperlink" Target="http://www.burkemuseum.org/research-and-collections/botany-and-herbarium/collections/database/results.php?Genus=Gratiola&amp;Species=neglecta&amp;SourcePage=search.php&amp;IncludeSynonyms=Y&amp;SortBy=DESC&amp;SortOrder=Year" TargetMode="External"/><Relationship Id="rId3232" Type="http://schemas.openxmlformats.org/officeDocument/2006/relationships/hyperlink" Target="http://www.burkemuseum.org/research-and-collections/botany-and-herbarium/collections/database/results.php?Genus=Polystichum&amp;Species=setiferum&amp;SourcePage=search.php&amp;IncludeSynonyms=Y&amp;SortBy=DESC&amp;SortOrder=Year" TargetMode="External"/><Relationship Id="rId6388" Type="http://schemas.openxmlformats.org/officeDocument/2006/relationships/hyperlink" Target="http://biology.burke.washington.edu/herbarium/imagecollectionnew/taxon.php?Taxon=Mahonia%20aquifolium" TargetMode="External"/><Relationship Id="rId6595" Type="http://schemas.openxmlformats.org/officeDocument/2006/relationships/hyperlink" Target="http://biology.burke.washington.edu/herbarium/imagecollectionnew/taxon.php?Taxon=Ozomelis%20trifida" TargetMode="External"/><Relationship Id="rId153" Type="http://schemas.openxmlformats.org/officeDocument/2006/relationships/hyperlink" Target="http://biology.burke.washington.edu/herbarium/imagecollection/taxon.php?Taxon=Abronia%20latifolia" TargetMode="External"/><Relationship Id="rId360" Type="http://schemas.openxmlformats.org/officeDocument/2006/relationships/hyperlink" Target="http://biology.burke.washington.edu/herbarium/imagecollectionnew/taxon.php?Taxon=Carex%20lasiocarpa" TargetMode="External"/><Relationship Id="rId2041" Type="http://schemas.openxmlformats.org/officeDocument/2006/relationships/hyperlink" Target="http://plants.usda.gov/java/profile?symbol=LUPA4" TargetMode="External"/><Relationship Id="rId5197" Type="http://schemas.openxmlformats.org/officeDocument/2006/relationships/hyperlink" Target="https://en.wikipedia.org/wiki/Parnassia_palustris" TargetMode="External"/><Relationship Id="rId6248" Type="http://schemas.openxmlformats.org/officeDocument/2006/relationships/hyperlink" Target="http://www.burkemuseum.org/research-and-collections/botany-and-herbarium/collections/database/results.php?Genus=Symphyotrichum&amp;Species=lateriflorum&amp;SourcePage=search.php&amp;IncludeSynonyms=Y&amp;SortBy=DESC&amp;SortOrder=Year" TargetMode="External"/><Relationship Id="rId6455" Type="http://schemas.openxmlformats.org/officeDocument/2006/relationships/hyperlink" Target="http://biology.burke.washington.edu/herbarium/imagecollectionnew/taxon.php?Taxon=Dasiphora%20fruticosa" TargetMode="External"/><Relationship Id="rId220" Type="http://schemas.openxmlformats.org/officeDocument/2006/relationships/hyperlink" Target="http://biology.burke.washington.edu/herbarium/imagecollection/taxon.php?Taxon=Orthocarpus%20bracteosus" TargetMode="External"/><Relationship Id="rId2998" Type="http://schemas.openxmlformats.org/officeDocument/2006/relationships/hyperlink" Target="http://www.burkemuseum.org/research-and-collections/botany-and-herbarium/collections/database/results.php?Genus=Fragaria&amp;Species=chiloensis&amp;SourcePage=search.php&amp;IncludeSynonyms=Y&amp;SortBy=DESC&amp;SortOrder=Year" TargetMode="External"/><Relationship Id="rId5057" Type="http://schemas.openxmlformats.org/officeDocument/2006/relationships/hyperlink" Target="https://en.wikipedia.org/wiki/Kopsiopsis_hookeri" TargetMode="External"/><Relationship Id="rId5264" Type="http://schemas.openxmlformats.org/officeDocument/2006/relationships/hyperlink" Target="https://en.wikipedia.org/wiki/Populus_trichocarpa" TargetMode="External"/><Relationship Id="rId6108" Type="http://schemas.openxmlformats.org/officeDocument/2006/relationships/hyperlink" Target="http://www.burkemuseum.org/research-and-collections/botany-and-herbarium/collections/database/results.php?Genus=Rhododendron&amp;Species=columbianum&amp;SourcePage=search.php&amp;IncludeSynonyms=Y&amp;SortBy=DESC&amp;SortOrder=Year" TargetMode="External"/><Relationship Id="rId6662" Type="http://schemas.openxmlformats.org/officeDocument/2006/relationships/hyperlink" Target="http://biology.burke.washington.edu/herbarium/imagecollection/taxon.php?Taxon=Rumex%20persicarioides" TargetMode="External"/><Relationship Id="rId2858" Type="http://schemas.openxmlformats.org/officeDocument/2006/relationships/hyperlink" Target="http://www.burkemuseum.org/research-and-collections/botany-and-herbarium/collections/database/results.php?Genus=Carex&amp;Species=viridula&amp;SourcePage=search.php&amp;IncludeSynonyms=Y&amp;SortBy=DESC&amp;SortOrder=Year" TargetMode="External"/><Relationship Id="rId3909" Type="http://schemas.openxmlformats.org/officeDocument/2006/relationships/hyperlink" Target="https://plants.usda.gov/core/profile?symbol=elpa3" TargetMode="External"/><Relationship Id="rId4073" Type="http://schemas.openxmlformats.org/officeDocument/2006/relationships/hyperlink" Target="https://plants.usda.gov/core/profile?symbol=LIAP" TargetMode="External"/><Relationship Id="rId5471" Type="http://schemas.openxmlformats.org/officeDocument/2006/relationships/hyperlink" Target="https://en.wikipedia.org/wiki/Trifolium_wormskioldii" TargetMode="External"/><Relationship Id="rId6315" Type="http://schemas.openxmlformats.org/officeDocument/2006/relationships/hyperlink" Target="http://www.burkemuseum.org/research-and-collections/botany-and-herbarium/collections/database/results.php?Genus=Viola&amp;Species=palustris&amp;SourcePage=search.php&amp;IncludeSynonyms=Y&amp;SortBy=DESC&amp;SortOrder=Year" TargetMode="External"/><Relationship Id="rId6522" Type="http://schemas.openxmlformats.org/officeDocument/2006/relationships/hyperlink" Target="http://biology.burke.washington.edu/herbarium/imagecollection/taxon.php?Taxon=Grindelia%20hirsutula" TargetMode="External"/><Relationship Id="rId99" Type="http://schemas.openxmlformats.org/officeDocument/2006/relationships/hyperlink" Target="http://biology.burke.washington.edu/herbarium/imagecollection/taxon.php?Taxon=Phegopteris%20connectilis" TargetMode="External"/><Relationship Id="rId1667" Type="http://schemas.openxmlformats.org/officeDocument/2006/relationships/hyperlink" Target="http://biology.burke.washington.edu/herbarium/imagecollection/taxon.php?Taxon=Oxytropis%20campestris" TargetMode="External"/><Relationship Id="rId1874" Type="http://schemas.openxmlformats.org/officeDocument/2006/relationships/hyperlink" Target="http://plants.usda.gov/java/profile?symbol=RILA" TargetMode="External"/><Relationship Id="rId2718" Type="http://schemas.openxmlformats.org/officeDocument/2006/relationships/hyperlink" Target="http://www.burkemuseum.org/research-and-collections/botany-and-herbarium/collections/database/results.php?Genus=Acer&amp;Species=macrophyllum&amp;SourcePage=search.php&amp;IncludeSynonyms=Y&amp;SortBy=DESC&amp;SortOrder=Year" TargetMode="External"/><Relationship Id="rId2925" Type="http://schemas.openxmlformats.org/officeDocument/2006/relationships/hyperlink" Target="http://www.burkemuseum.org/research-and-collections/botany-and-herbarium/collections/database/results.php?Genus=Cystopteris&amp;Species=fragilis&amp;SourcePage=search.php&amp;IncludeSynonyms=Y&amp;SortBy=DESC&amp;SortOrder=Year" TargetMode="External"/><Relationship Id="rId4280" Type="http://schemas.openxmlformats.org/officeDocument/2006/relationships/hyperlink" Target="https://plants.usda.gov/core/profile?symbol=PRVID" TargetMode="External"/><Relationship Id="rId5124" Type="http://schemas.openxmlformats.org/officeDocument/2006/relationships/hyperlink" Target="https://en.wikipedia.org/wiki/Malaxis_monophyllos" TargetMode="External"/><Relationship Id="rId5331" Type="http://schemas.openxmlformats.org/officeDocument/2006/relationships/hyperlink" Target="https://en.wikipedia.org/wiki/Rubus_idaeus" TargetMode="External"/><Relationship Id="rId1527" Type="http://schemas.openxmlformats.org/officeDocument/2006/relationships/hyperlink" Target="https://en.wikipedia.org/wiki/Euonymus_occidentalis" TargetMode="External"/><Relationship Id="rId1734" Type="http://schemas.openxmlformats.org/officeDocument/2006/relationships/hyperlink" Target="http://plants.usda.gov/java/profile?symbol=VAOV" TargetMode="External"/><Relationship Id="rId1941" Type="http://schemas.openxmlformats.org/officeDocument/2006/relationships/hyperlink" Target="http://plants.usda.gov/java/profile?symbol=PIEL4" TargetMode="External"/><Relationship Id="rId4140" Type="http://schemas.openxmlformats.org/officeDocument/2006/relationships/hyperlink" Target="https://plants.usda.gov/core/profile?symbol=MIGR" TargetMode="External"/><Relationship Id="rId7089" Type="http://schemas.openxmlformats.org/officeDocument/2006/relationships/hyperlink" Target="http://biology.burke.washington.edu/herbarium/imagecollectionnew/taxon.php?Taxon=Vaccinium%20ovalifolium" TargetMode="External"/><Relationship Id="rId26" Type="http://schemas.openxmlformats.org/officeDocument/2006/relationships/hyperlink" Target="http://biology.burke.washington.edu/herbarium/imagecollection/taxon.php?Taxon=Madia%20sativa" TargetMode="External"/><Relationship Id="rId3699" Type="http://schemas.openxmlformats.org/officeDocument/2006/relationships/hyperlink" Target="https://plants.usda.gov/core/profile?symbol=ARDO3" TargetMode="External"/><Relationship Id="rId4000" Type="http://schemas.openxmlformats.org/officeDocument/2006/relationships/hyperlink" Target="https://plants.usda.gov/core/profile?symbol=HEOR2" TargetMode="External"/><Relationship Id="rId7156" Type="http://schemas.openxmlformats.org/officeDocument/2006/relationships/hyperlink" Target="http://biology.burke.washington.edu/herbarium/imagecollection/taxon.php?Taxon=Salix%20sitchensis" TargetMode="External"/><Relationship Id="rId1801" Type="http://schemas.openxmlformats.org/officeDocument/2006/relationships/hyperlink" Target="http://plants.usda.gov/java/profile?symbol=SOCA6" TargetMode="External"/><Relationship Id="rId3559" Type="http://schemas.openxmlformats.org/officeDocument/2006/relationships/hyperlink" Target="http://www.burkemuseum.org/research-and-collections/botany-and-herbarium/collections/database/results.php?Genus=Polypodium&amp;Species=scouleri&amp;SourcePage=search.php&amp;IncludeSynonyms=Y&amp;SortBy=DESC&amp;SortOrder=Year" TargetMode="External"/><Relationship Id="rId4957" Type="http://schemas.openxmlformats.org/officeDocument/2006/relationships/hyperlink" Target="https://en.wikipedia.org/wiki/Erythronium_oregonum" TargetMode="External"/><Relationship Id="rId6172" Type="http://schemas.openxmlformats.org/officeDocument/2006/relationships/hyperlink" Target="http://www.burkemuseum.org/research-and-collections/botany-and-herbarium/collections/database/results.php?Genus=Sanicula&amp;Species=arctopoides&amp;SourcePage=search.php&amp;IncludeSynonyms=Y&amp;SortBy=DESC&amp;SortOrder=Year" TargetMode="External"/><Relationship Id="rId7016" Type="http://schemas.openxmlformats.org/officeDocument/2006/relationships/hyperlink" Target="http://biology.burke.washington.edu/herbarium/imagecollectionnew/taxon.php?Taxon=Carex%20tumulicola" TargetMode="External"/><Relationship Id="rId7223" Type="http://schemas.openxmlformats.org/officeDocument/2006/relationships/hyperlink" Target="http://biology.burke.washington.edu/herbarium/imagecollection/taxon.php?Taxon=Populus%20trichocarpa" TargetMode="External"/><Relationship Id="rId687" Type="http://schemas.openxmlformats.org/officeDocument/2006/relationships/hyperlink" Target="https://en.wikipedia.org/wiki/Festuca_rubra" TargetMode="External"/><Relationship Id="rId2368" Type="http://schemas.openxmlformats.org/officeDocument/2006/relationships/hyperlink" Target="https://plants.usda.gov/core/profile?symbol=BACCH" TargetMode="External"/><Relationship Id="rId3766" Type="http://schemas.openxmlformats.org/officeDocument/2006/relationships/hyperlink" Target="https://plants.usda.gov/core/profile?symbol=CAAT3" TargetMode="External"/><Relationship Id="rId3973" Type="http://schemas.openxmlformats.org/officeDocument/2006/relationships/hyperlink" Target="https://plants.usda.gov/core/profile?symbol=GASH" TargetMode="External"/><Relationship Id="rId4817" Type="http://schemas.openxmlformats.org/officeDocument/2006/relationships/hyperlink" Target="https://en.wikipedia.org/wiki/Castilleja_chambersii" TargetMode="External"/><Relationship Id="rId6032" Type="http://schemas.openxmlformats.org/officeDocument/2006/relationships/hyperlink" Target="http://www.burkemuseum.org/research-and-collections/botany-and-herbarium/collections/database/results.php?Genus=Platanthera&amp;Species=chorisiana&amp;SourcePage=search.php&amp;IncludeSynonyms=Y&amp;SortBy=DESC&amp;SortOrder=Year" TargetMode="External"/><Relationship Id="rId894" Type="http://schemas.openxmlformats.org/officeDocument/2006/relationships/hyperlink" Target="http://en.wikipedia.org/wiki/Claytonia_parviflora" TargetMode="External"/><Relationship Id="rId1177" Type="http://schemas.openxmlformats.org/officeDocument/2006/relationships/hyperlink" Target="http://plants.usda.gov/java/profile?symbol=VIED" TargetMode="External"/><Relationship Id="rId2575" Type="http://schemas.openxmlformats.org/officeDocument/2006/relationships/hyperlink" Target="http://plants.usda.gov/java/profile?symbol=CAUN3" TargetMode="External"/><Relationship Id="rId2782" Type="http://schemas.openxmlformats.org/officeDocument/2006/relationships/hyperlink" Target="http://www.burkemuseum.org/research-and-collections/botany-and-herbarium/collections/database/results.php?Genus=Asplenium&amp;Species=trichomanes&amp;SourcePage=search.php&amp;IncludeSynonyms=Y&amp;SortBy=DESC&amp;SortOrder=Year" TargetMode="External"/><Relationship Id="rId3419" Type="http://schemas.openxmlformats.org/officeDocument/2006/relationships/hyperlink" Target="http://www.burkemuseum.org/research-and-collections/botany-and-herbarium/collections/database/results.php?Genus=Utricularia&amp;Species=minor&amp;SourcePage=search.php&amp;IncludeSynonyms=Y&amp;SortBy=DESC&amp;SortOrder=Year" TargetMode="External"/><Relationship Id="rId3626" Type="http://schemas.openxmlformats.org/officeDocument/2006/relationships/hyperlink" Target="https://plants.usda.gov/core/profile?symbol=ABPR" TargetMode="External"/><Relationship Id="rId3833" Type="http://schemas.openxmlformats.org/officeDocument/2006/relationships/hyperlink" Target="https://plants.usda.gov/core/profile?symbol=CLPU2" TargetMode="External"/><Relationship Id="rId6989" Type="http://schemas.openxmlformats.org/officeDocument/2006/relationships/hyperlink" Target="http://biology.burke.washington.edu/herbarium/imagecollection/taxon.php?Taxon=Elodea%20canadensis" TargetMode="External"/><Relationship Id="rId547" Type="http://schemas.openxmlformats.org/officeDocument/2006/relationships/hyperlink" Target="https://en.wikipedia.org/wiki/Trautvetteria" TargetMode="External"/><Relationship Id="rId754" Type="http://schemas.openxmlformats.org/officeDocument/2006/relationships/hyperlink" Target="https://en.wikipedia.org/wiki/Cypripedium_montanum" TargetMode="External"/><Relationship Id="rId961" Type="http://schemas.openxmlformats.org/officeDocument/2006/relationships/hyperlink" Target="http://en.wikipedia.org/wiki/Callitriche_palustris" TargetMode="External"/><Relationship Id="rId1384" Type="http://schemas.openxmlformats.org/officeDocument/2006/relationships/hyperlink" Target="http://biology.burke.washington.edu/herbarium/imagecollection/taxon.php?Taxon=Polystichum%20imbricans" TargetMode="External"/><Relationship Id="rId1591" Type="http://schemas.openxmlformats.org/officeDocument/2006/relationships/hyperlink" Target="http://en.wikipedia.org/wiki/Allium_amplectens" TargetMode="External"/><Relationship Id="rId2228" Type="http://schemas.openxmlformats.org/officeDocument/2006/relationships/hyperlink" Target="http://plants.usda.gov/java/profile?symbol=DASP2" TargetMode="External"/><Relationship Id="rId2435" Type="http://schemas.openxmlformats.org/officeDocument/2006/relationships/hyperlink" Target="https://plants.usda.gov/core/profile?symbol=acma3" TargetMode="External"/><Relationship Id="rId2642" Type="http://schemas.openxmlformats.org/officeDocument/2006/relationships/hyperlink" Target="http://biology.burke.washington.edu/herbarium/imagecollectionnew/taxon.php?Taxon=Juncus%20brevicaudatus" TargetMode="External"/><Relationship Id="rId3900" Type="http://schemas.openxmlformats.org/officeDocument/2006/relationships/hyperlink" Target="https://plants.usda.gov/core/profile?symbol=DRAR3" TargetMode="External"/><Relationship Id="rId5798" Type="http://schemas.openxmlformats.org/officeDocument/2006/relationships/hyperlink" Target="http://www.burkemuseum.org/research-and-collections/botany-and-herbarium/collections/database/results.php?Genus=Hemitomes&amp;Species=congestum&amp;SourcePage=search.php&amp;IncludeSynonyms=Y&amp;SortBy=DESC&amp;SortOrder=Year" TargetMode="External"/><Relationship Id="rId6849" Type="http://schemas.openxmlformats.org/officeDocument/2006/relationships/hyperlink" Target="http://biology.burke.washington.edu/herbarium/imagecollectionnew/taxon.php?Taxon=Artemisia%20michauxiana" TargetMode="External"/><Relationship Id="rId90" Type="http://schemas.openxmlformats.org/officeDocument/2006/relationships/hyperlink" Target="http://biology.burke.washington.edu/herbarium/imagecollection/taxon.php?Taxon=Myriophyllum%20verticillatum" TargetMode="External"/><Relationship Id="rId407" Type="http://schemas.openxmlformats.org/officeDocument/2006/relationships/hyperlink" Target="http://biology.burke.washington.edu/herbarium/imagecollectionnew/taxon.php?Taxon=Claytonia%20lanceolata" TargetMode="External"/><Relationship Id="rId614" Type="http://schemas.openxmlformats.org/officeDocument/2006/relationships/hyperlink" Target="https://en.wikipedia.org/wiki/Sanicula_arctopoides" TargetMode="External"/><Relationship Id="rId821" Type="http://schemas.openxmlformats.org/officeDocument/2006/relationships/hyperlink" Target="https://en.wikipedia.org/wiki/Osmorhiza_berteroi" TargetMode="External"/><Relationship Id="rId1037" Type="http://schemas.openxmlformats.org/officeDocument/2006/relationships/hyperlink" Target="https://en.wikipedia.org/wiki/Adiantum_pedatum" TargetMode="External"/><Relationship Id="rId1244" Type="http://schemas.openxmlformats.org/officeDocument/2006/relationships/hyperlink" Target="http://biology.burke.washington.edu/herbarium/imagecollectionnew/taxon.php?Taxon=Draba%20cana" TargetMode="External"/><Relationship Id="rId1451" Type="http://schemas.openxmlformats.org/officeDocument/2006/relationships/hyperlink" Target="http://biology.burke.washington.edu/herbarium/imagecollectionnew/taxon.php?Taxon=Dryopteris%20arguta" TargetMode="External"/><Relationship Id="rId2502" Type="http://schemas.openxmlformats.org/officeDocument/2006/relationships/hyperlink" Target="http://plants.usda.gov/java/profile?symbol=PLCH3" TargetMode="External"/><Relationship Id="rId5658" Type="http://schemas.openxmlformats.org/officeDocument/2006/relationships/hyperlink" Target="http://www.burkemuseum.org/research-and-collections/botany-and-herbarium/collections/database/results.php?Genus=Corallorhiza&amp;Species=maculata&amp;SourcePage=search.php&amp;IncludeSynonyms=Y&amp;SortBy=DESC&amp;SortOrder=Year" TargetMode="External"/><Relationship Id="rId5865" Type="http://schemas.openxmlformats.org/officeDocument/2006/relationships/hyperlink" Target="http://www.burkemuseum.org/research-and-collections/botany-and-herbarium/collections/database/results.php?Genus=Lemna&amp;Species=minor&amp;SourcePage=search.php&amp;IncludeSynonyms=Y&amp;SortBy=DESC&amp;SortOrder=Year" TargetMode="External"/><Relationship Id="rId6709" Type="http://schemas.openxmlformats.org/officeDocument/2006/relationships/hyperlink" Target="http://biology.burke.washington.edu/herbarium/imagecollection/taxon.php?Taxon=Oenothera%20flava" TargetMode="External"/><Relationship Id="rId6916" Type="http://schemas.openxmlformats.org/officeDocument/2006/relationships/hyperlink" Target="http://biology.burke.washington.edu/herbarium/imagecollectionnew/taxon.php?Taxon=Pectiantia%20ovalis" TargetMode="External"/><Relationship Id="rId1104" Type="http://schemas.openxmlformats.org/officeDocument/2006/relationships/hyperlink" Target="https://en.wikipedia.org/wiki/Lathyrus_nevadensis" TargetMode="External"/><Relationship Id="rId1311" Type="http://schemas.openxmlformats.org/officeDocument/2006/relationships/hyperlink" Target="https://plants.usda.gov/core/profile?symbol=Syla4" TargetMode="External"/><Relationship Id="rId4467" Type="http://schemas.openxmlformats.org/officeDocument/2006/relationships/hyperlink" Target="https://plants.usda.gov/core/profile?symbol=TROL" TargetMode="External"/><Relationship Id="rId4674" Type="http://schemas.openxmlformats.org/officeDocument/2006/relationships/hyperlink" Target="http://www.burkemuseum.org/research-and-collections/botany-and-herbarium/collections/database/results.php?Genus=Bidens&amp;Species=vulgata&amp;SourcePage=search.php&amp;IncludeSynonyms=Y&amp;SortBy=DESC&amp;SortOrder=Year" TargetMode="External"/><Relationship Id="rId4881" Type="http://schemas.openxmlformats.org/officeDocument/2006/relationships/hyperlink" Target="https://en.wikipedia.org/wiki/Cyperus_bipartitus" TargetMode="External"/><Relationship Id="rId5518" Type="http://schemas.openxmlformats.org/officeDocument/2006/relationships/hyperlink" Target="https://en.wikipedia.org/wiki/Viola_praemorsa" TargetMode="External"/><Relationship Id="rId5725" Type="http://schemas.openxmlformats.org/officeDocument/2006/relationships/hyperlink" Target="http://www.burkemuseum.org/research-and-collections/botany-and-herbarium/collections/database/results.php?Genus=Equisetum&amp;Species=fluviatile&amp;SourcePage=search.php&amp;IncludeSynonyms=Y&amp;SortBy=DESC&amp;SortOrder=Year" TargetMode="External"/><Relationship Id="rId7080" Type="http://schemas.openxmlformats.org/officeDocument/2006/relationships/hyperlink" Target="http://biology.burke.washington.edu/herbarium/imagecollectionnew/taxon.php?Taxon=Viburnum%20edule" TargetMode="External"/><Relationship Id="rId3069" Type="http://schemas.openxmlformats.org/officeDocument/2006/relationships/hyperlink" Target="http://www.burkemuseum.org/research-and-collections/botany-and-herbarium/collections/database/results.php?Genus=Juniperus&amp;Species=scopulorum&amp;SourcePage=search.php&amp;IncludeSynonyms=Y&amp;SortBy=DESC&amp;SortOrder=Year" TargetMode="External"/><Relationship Id="rId3276" Type="http://schemas.openxmlformats.org/officeDocument/2006/relationships/hyperlink" Target="http://www.burkemuseum.org/research-and-collections/botany-and-herbarium/collections/database/results.php?Genus=Rhododendron&amp;Species=occidentale&amp;SourcePage=search.php&amp;IncludeSynonyms=Y&amp;SortBy=DESC&amp;SortOrder=Year" TargetMode="External"/><Relationship Id="rId3483" Type="http://schemas.openxmlformats.org/officeDocument/2006/relationships/hyperlink" Target="http://www.burkemuseum.org/research-and-collections/botany-and-herbarium/collections/database/results.php?Genus=Ceanothus&amp;Species=prostratus&amp;SourcePage=search.php&amp;IncludeSynonyms=Y&amp;SortBy=DESC&amp;SortOrder=Year" TargetMode="External"/><Relationship Id="rId3690" Type="http://schemas.openxmlformats.org/officeDocument/2006/relationships/hyperlink" Target="https://plants.usda.gov/core/profile?symbol=ARME7" TargetMode="External"/><Relationship Id="rId4327" Type="http://schemas.openxmlformats.org/officeDocument/2006/relationships/hyperlink" Target="https://plants.usda.gov/core/profile?symbol=ROGY" TargetMode="External"/><Relationship Id="rId4534" Type="http://schemas.openxmlformats.org/officeDocument/2006/relationships/hyperlink" Target="https://en.wikipedia.org/wiki/Abronia_umbellata" TargetMode="External"/><Relationship Id="rId5932" Type="http://schemas.openxmlformats.org/officeDocument/2006/relationships/hyperlink" Target="http://www.burkemuseum.org/research-and-collections/botany-and-herbarium/collections/database/results.php?Genus=Mertensia&amp;Species=platyphylla&amp;SourcePage=search.php&amp;IncludeSynonyms=Y&amp;SortBy=DESC&amp;SortOrder=Year" TargetMode="External"/><Relationship Id="rId197" Type="http://schemas.openxmlformats.org/officeDocument/2006/relationships/hyperlink" Target="http://biology.burke.washington.edu/herbarium/imagecollection/taxon.php?Taxon=Persicaria%20lapathifolia" TargetMode="External"/><Relationship Id="rId2085" Type="http://schemas.openxmlformats.org/officeDocument/2006/relationships/hyperlink" Target="https://plants.usda.gov/core/profile?symbol=LABI" TargetMode="External"/><Relationship Id="rId2292" Type="http://schemas.openxmlformats.org/officeDocument/2006/relationships/hyperlink" Target="http://plants.usda.gov/java/profile?symbol=CAHI9" TargetMode="External"/><Relationship Id="rId3136" Type="http://schemas.openxmlformats.org/officeDocument/2006/relationships/hyperlink" Target="http://www.burkemuseum.org/research-and-collections/botany-and-herbarium/collections/database/results.php?Genus=Metasequoia&amp;Species=glyptostroboides&amp;SourcePage=search.php&amp;IncludeSynonyms=Y&amp;SortBy=DESC&amp;SortOrder=Year" TargetMode="External"/><Relationship Id="rId3343" Type="http://schemas.openxmlformats.org/officeDocument/2006/relationships/hyperlink" Target="http://www.burkemuseum.org/research-and-collections/botany-and-herbarium/collections/database/results.php?Genus=Sericocarpus&amp;Species=rigidus&amp;SourcePage=search.php&amp;IncludeSynonyms=Y&amp;SortBy=DESC&amp;SortOrder=Year" TargetMode="External"/><Relationship Id="rId4741" Type="http://schemas.openxmlformats.org/officeDocument/2006/relationships/hyperlink" Target="https://en.wikipedia.org/wiki/Bolandra_oregana" TargetMode="External"/><Relationship Id="rId6499" Type="http://schemas.openxmlformats.org/officeDocument/2006/relationships/hyperlink" Target="http://biology.burke.washington.edu/herbarium/imagecollection/taxon.php?Taxon=Festuca%20idahoensis" TargetMode="External"/><Relationship Id="rId264" Type="http://schemas.openxmlformats.org/officeDocument/2006/relationships/hyperlink" Target="http://biology.burke.washington.edu/herbarium/imagecollection/taxon.php?Taxon=Ranunculus%20alismifolius" TargetMode="External"/><Relationship Id="rId471" Type="http://schemas.openxmlformats.org/officeDocument/2006/relationships/hyperlink" Target="http://biology.burke.washington.edu/herbarium/imagecollectionnew/taxon.php?Taxon=Veronica%20americana" TargetMode="External"/><Relationship Id="rId2152" Type="http://schemas.openxmlformats.org/officeDocument/2006/relationships/hyperlink" Target="http://plants.usda.gov/java/profile?symbol=GAAP2" TargetMode="External"/><Relationship Id="rId3550" Type="http://schemas.openxmlformats.org/officeDocument/2006/relationships/hyperlink" Target="http://www.burkemuseum.org/research-and-collections/botany-and-herbarium/collections/database/results.php?Genus=Philadelphus&amp;Species=lewisii&amp;SourcePage=search.php&amp;IncludeSynonyms=Y&amp;SortBy=DESC&amp;SortOrder=Year" TargetMode="External"/><Relationship Id="rId4601" Type="http://schemas.openxmlformats.org/officeDocument/2006/relationships/hyperlink" Target="http://www.burkemuseum.org/research-and-collections/botany-and-herbarium/collections/database/results.php?Genus=Allium&amp;Species=amplectens&amp;SourcePage=search.php&amp;IncludeSynonyms=Y&amp;SortBy=DESC&amp;SortOrder=Year" TargetMode="External"/><Relationship Id="rId124" Type="http://schemas.openxmlformats.org/officeDocument/2006/relationships/hyperlink" Target="http://biology.burke.washington.edu/herbarium/imagecollection/taxon.php?Taxon=Acer%20glabrum" TargetMode="External"/><Relationship Id="rId3203" Type="http://schemas.openxmlformats.org/officeDocument/2006/relationships/hyperlink" Target="http://www.burkemuseum.org/research-and-collections/botany-and-herbarium/collections/database/results.php?Genus=Picea&amp;Species=engelmannii&amp;SourcePage=search.php&amp;IncludeSynonyms=Y&amp;SortBy=DESC&amp;SortOrder=Year" TargetMode="External"/><Relationship Id="rId3410" Type="http://schemas.openxmlformats.org/officeDocument/2006/relationships/hyperlink" Target="http://www.burkemuseum.org/research-and-collections/botany-and-herbarium/collections/database/results.php?Genus=Triphysaria&amp;Species=pusilla&amp;SourcePage=search.php&amp;IncludeSynonyms=Y&amp;SortBy=DESC&amp;SortOrder=Year" TargetMode="External"/><Relationship Id="rId6359" Type="http://schemas.openxmlformats.org/officeDocument/2006/relationships/hyperlink" Target="http://biology.burke.washington.edu/herbarium/imagecollectionnew/taxon.php?Taxon=Allium%20schoenoprasum" TargetMode="External"/><Relationship Id="rId6566" Type="http://schemas.openxmlformats.org/officeDocument/2006/relationships/hyperlink" Target="http://biology.burke.washington.edu/herbarium/imagecollection/taxon.php?Taxon=Lupinus%20rivularis" TargetMode="External"/><Relationship Id="rId6773" Type="http://schemas.openxmlformats.org/officeDocument/2006/relationships/hyperlink" Target="http://biology.burke.washington.edu/herbarium/imagecollection/taxon.php?Taxon=Hemizonella%20minima" TargetMode="External"/><Relationship Id="rId6980" Type="http://schemas.openxmlformats.org/officeDocument/2006/relationships/hyperlink" Target="http://biology.burke.washington.edu/herbarium/imagecollection/taxon.php?Taxon=Eutrochium%20maculatum" TargetMode="External"/><Relationship Id="rId331" Type="http://schemas.openxmlformats.org/officeDocument/2006/relationships/hyperlink" Target="http://biology.burke.washington.edu/herbarium/imagecollectionnew/taxon.php?Taxon=Cardamine%20nuttallii" TargetMode="External"/><Relationship Id="rId2012" Type="http://schemas.openxmlformats.org/officeDocument/2006/relationships/hyperlink" Target="http://plants.usda.gov/java/profile?symbol=MILA" TargetMode="External"/><Relationship Id="rId2969" Type="http://schemas.openxmlformats.org/officeDocument/2006/relationships/hyperlink" Target="http://www.burkemuseum.org/research-and-collections/botany-and-herbarium/collections/database/results.php?Genus=Equisetum&amp;Species=fluviatile&amp;SourcePage=search.php&amp;IncludeSynonyms=Y&amp;SortBy=DESC&amp;SortOrder=Year" TargetMode="External"/><Relationship Id="rId5168" Type="http://schemas.openxmlformats.org/officeDocument/2006/relationships/hyperlink" Target="https://en.wikipedia.org/wiki/Navarretia_squarrosa" TargetMode="External"/><Relationship Id="rId5375" Type="http://schemas.openxmlformats.org/officeDocument/2006/relationships/hyperlink" Target="https://en.wikipedia.org/wiki/Sanicula_graveolens" TargetMode="External"/><Relationship Id="rId5582" Type="http://schemas.openxmlformats.org/officeDocument/2006/relationships/hyperlink" Target="http://www.burkemuseum.org/research-and-collections/botany-and-herbarium/collections/database/results.php?Genus=Carex&amp;Species=hendersonii&amp;SourcePage=search.php&amp;IncludeSynonyms=Y&amp;SortBy=DESC&amp;SortOrder=Year" TargetMode="External"/><Relationship Id="rId6219" Type="http://schemas.openxmlformats.org/officeDocument/2006/relationships/hyperlink" Target="http://www.burkemuseum.org/research-and-collections/botany-and-herbarium/collections/database/results.php?Genus=Sparganium&amp;Species=natans&amp;SourcePage=search.php&amp;IncludeSynonyms=Y&amp;SortBy=DESC&amp;SortOrder=Year" TargetMode="External"/><Relationship Id="rId6426" Type="http://schemas.openxmlformats.org/officeDocument/2006/relationships/hyperlink" Target="http://biology.burke.washington.edu/herbarium/imagecollectionnew/taxon.php?Taxon=Celtis%20reticulata" TargetMode="External"/><Relationship Id="rId6633" Type="http://schemas.openxmlformats.org/officeDocument/2006/relationships/hyperlink" Target="http://biology.burke.washington.edu/herbarium/imagecollectionnew/taxon.php?Taxon=Synthyris%20reniformis" TargetMode="External"/><Relationship Id="rId6840" Type="http://schemas.openxmlformats.org/officeDocument/2006/relationships/hyperlink" Target="http://biology.burke.washington.edu/herbarium/imagecollectionnew/taxon.php?Taxon=Calystegia%20soldanella" TargetMode="External"/><Relationship Id="rId1778" Type="http://schemas.openxmlformats.org/officeDocument/2006/relationships/hyperlink" Target="https://plants.usda.gov/core/profile?symbol=STFIF" TargetMode="External"/><Relationship Id="rId1985" Type="http://schemas.openxmlformats.org/officeDocument/2006/relationships/hyperlink" Target="https://plants.usda.gov/core/profile?symbol=NUTE" TargetMode="External"/><Relationship Id="rId2829" Type="http://schemas.openxmlformats.org/officeDocument/2006/relationships/hyperlink" Target="http://www.burkemuseum.org/research-and-collections/botany-and-herbarium/collections/database/results.php?Genus=Carex&amp;Species=amplifolia&amp;SourcePage=search.php&amp;IncludeSynonyms=Y&amp;SortBy=DESC&amp;SortOrder=Year" TargetMode="External"/><Relationship Id="rId4184" Type="http://schemas.openxmlformats.org/officeDocument/2006/relationships/hyperlink" Target="https://plants.usda.gov/core/profile?symbol=OXOR" TargetMode="External"/><Relationship Id="rId4391" Type="http://schemas.openxmlformats.org/officeDocument/2006/relationships/hyperlink" Target="https://plants.usda.gov/core/profile?symbol=SELA" TargetMode="External"/><Relationship Id="rId5028" Type="http://schemas.openxmlformats.org/officeDocument/2006/relationships/hyperlink" Target="https://en.wikipedia.org/wiki/Hosackia_pinnata" TargetMode="External"/><Relationship Id="rId5235" Type="http://schemas.openxmlformats.org/officeDocument/2006/relationships/hyperlink" Target="https://en.wikipedia.org/wiki/Platanthera_dilatata" TargetMode="External"/><Relationship Id="rId5442" Type="http://schemas.openxmlformats.org/officeDocument/2006/relationships/hyperlink" Target="https://en.wikipedia.org/wiki/Subularia_aquatica" TargetMode="External"/><Relationship Id="rId6700" Type="http://schemas.openxmlformats.org/officeDocument/2006/relationships/hyperlink" Target="http://biology.burke.washington.edu/herbarium/imagecollection/taxon.php?Taxon=Persicaria%20lapathifolia" TargetMode="External"/><Relationship Id="rId1638" Type="http://schemas.openxmlformats.org/officeDocument/2006/relationships/hyperlink" Target="http://biology.burke.washington.edu/herbarium/imagecollection/taxon.php?Taxon=Salix%20sessilifolia" TargetMode="External"/><Relationship Id="rId4044" Type="http://schemas.openxmlformats.org/officeDocument/2006/relationships/hyperlink" Target="https://plants.usda.gov/core/profile?symbol=JUSU3" TargetMode="External"/><Relationship Id="rId4251" Type="http://schemas.openxmlformats.org/officeDocument/2006/relationships/hyperlink" Target="https://plants.usda.gov/core/profile?symbol=POGL8" TargetMode="External"/><Relationship Id="rId5302" Type="http://schemas.openxmlformats.org/officeDocument/2006/relationships/hyperlink" Target="https://en.wikipedia.org/wiki/Ranunculus_orthorhynchus" TargetMode="External"/><Relationship Id="rId1845" Type="http://schemas.openxmlformats.org/officeDocument/2006/relationships/hyperlink" Target="http://plants.usda.gov/core/profile?symbol=SAGO" TargetMode="External"/><Relationship Id="rId3060" Type="http://schemas.openxmlformats.org/officeDocument/2006/relationships/hyperlink" Target="http://www.burkemuseum.org/research-and-collections/botany-and-herbarium/collections/database/results.php?Genus=Juncus&amp;Species=bolanderi&amp;SourcePage=search.php&amp;IncludeSynonyms=Y&amp;SortBy=DESC&amp;SortOrder=Year" TargetMode="External"/><Relationship Id="rId4111" Type="http://schemas.openxmlformats.org/officeDocument/2006/relationships/hyperlink" Target="https://plants.usda.gov/core/profile?symbol=TREU" TargetMode="External"/><Relationship Id="rId1705" Type="http://schemas.openxmlformats.org/officeDocument/2006/relationships/hyperlink" Target="http://biology.burke.washington.edu/herbarium/imagecollection/taxon.php?Taxon=Petasites%20frigidus" TargetMode="External"/><Relationship Id="rId1912" Type="http://schemas.openxmlformats.org/officeDocument/2006/relationships/hyperlink" Target="http://plants.usda.gov/java/profile?symbol=PORI2" TargetMode="External"/><Relationship Id="rId6076" Type="http://schemas.openxmlformats.org/officeDocument/2006/relationships/hyperlink" Target="http://www.burkemuseum.org/research-and-collections/botany-and-herbarium/collections/database/results.php?Genus=Potentilla&amp;Species=gracilis&amp;SourcePage=search.php&amp;IncludeSynonyms=Y&amp;SortBy=DESC&amp;SortOrder=Year" TargetMode="External"/><Relationship Id="rId6283" Type="http://schemas.openxmlformats.org/officeDocument/2006/relationships/hyperlink" Target="http://www.burkemuseum.org/research-and-collections/botany-and-herbarium/collections/database/results.php?Genus=Urtica&amp;Species=dioica&amp;SourcePage=search.php&amp;IncludeSynonyms=Y&amp;SortBy=DESC&amp;SortOrder=Year" TargetMode="External"/><Relationship Id="rId7127" Type="http://schemas.openxmlformats.org/officeDocument/2006/relationships/hyperlink" Target="http://biology.burke.washington.edu/herbarium/imagecollectionnew/taxon.php?Taxon=Sparganium%20angustifolium" TargetMode="External"/><Relationship Id="rId3877" Type="http://schemas.openxmlformats.org/officeDocument/2006/relationships/hyperlink" Target="https://plants.usda.gov/core/profile?symbol=DACA5" TargetMode="External"/><Relationship Id="rId4928" Type="http://schemas.openxmlformats.org/officeDocument/2006/relationships/hyperlink" Target="https://en.wikipedia.org/wiki/Epilobium_brachycarpum" TargetMode="External"/><Relationship Id="rId5092" Type="http://schemas.openxmlformats.org/officeDocument/2006/relationships/hyperlink" Target="https://en.wikipedia.org/wiki/Lonicera_involucrata" TargetMode="External"/><Relationship Id="rId6490" Type="http://schemas.openxmlformats.org/officeDocument/2006/relationships/hyperlink" Target="http://biology.burke.washington.edu/herbarium/imagecollection/taxon.php?Taxon=Erythranthe%20guttata" TargetMode="External"/><Relationship Id="rId798" Type="http://schemas.openxmlformats.org/officeDocument/2006/relationships/hyperlink" Target="https://en.wikipedia.org/wiki/Plagiobothrys_scouleri" TargetMode="External"/><Relationship Id="rId2479" Type="http://schemas.openxmlformats.org/officeDocument/2006/relationships/hyperlink" Target="http://plants.usda.gov/java/profile?symbol=RUUR" TargetMode="External"/><Relationship Id="rId2686" Type="http://schemas.openxmlformats.org/officeDocument/2006/relationships/hyperlink" Target="http://biology.burke.washington.edu/herbarium/imagecollectionnew/taxon.php?Taxon=Symphyotrichum%20bracteolatum" TargetMode="External"/><Relationship Id="rId2893" Type="http://schemas.openxmlformats.org/officeDocument/2006/relationships/hyperlink" Target="http://www.burkemuseum.org/research-and-collections/botany-and-herbarium/collections/database/results.php?Genus=Claytonia&amp;Species=rubra&amp;SourcePage=search.php&amp;IncludeSynonyms=Y&amp;SortBy=DESC&amp;SortOrder=Year" TargetMode="External"/><Relationship Id="rId3737" Type="http://schemas.openxmlformats.org/officeDocument/2006/relationships/hyperlink" Target="https://plants.usda.gov/core/profile?symbol=BRCA5" TargetMode="External"/><Relationship Id="rId3944" Type="http://schemas.openxmlformats.org/officeDocument/2006/relationships/hyperlink" Target="https://plants.usda.gov/core/profile?symbol=MIMO3" TargetMode="External"/><Relationship Id="rId6143" Type="http://schemas.openxmlformats.org/officeDocument/2006/relationships/hyperlink" Target="http://www.burkemuseum.org/research-and-collections/botany-and-herbarium/collections/database/results.php?Genus=Sabulina&amp;Species=macra&amp;SourcePage=search.php&amp;IncludeSynonyms=Y&amp;SortBy=DESC&amp;SortOrder=Year" TargetMode="External"/><Relationship Id="rId6350" Type="http://schemas.openxmlformats.org/officeDocument/2006/relationships/hyperlink" Target="http://biology.burke.washington.edu/herbarium/imagecollection/taxon.php?Taxon=Adiantum%20aleuticum" TargetMode="External"/><Relationship Id="rId658" Type="http://schemas.openxmlformats.org/officeDocument/2006/relationships/hyperlink" Target="https://en.wikipedia.org/wiki/Rhododendron_groenlandicum" TargetMode="External"/><Relationship Id="rId865" Type="http://schemas.openxmlformats.org/officeDocument/2006/relationships/hyperlink" Target="http://en.wikipedia.org/wiki/Meconella_oregana" TargetMode="External"/><Relationship Id="rId1288" Type="http://schemas.openxmlformats.org/officeDocument/2006/relationships/hyperlink" Target="https://en.wikipedia.org/wiki/Ribes_oxyacanthoides" TargetMode="External"/><Relationship Id="rId1495" Type="http://schemas.openxmlformats.org/officeDocument/2006/relationships/hyperlink" Target="https://en.wikipedia.org/wiki/Selaginella_oregana" TargetMode="External"/><Relationship Id="rId2339" Type="http://schemas.openxmlformats.org/officeDocument/2006/relationships/hyperlink" Target="https://plants.usda.gov/core/profile?symbol=capa5" TargetMode="External"/><Relationship Id="rId2546" Type="http://schemas.openxmlformats.org/officeDocument/2006/relationships/hyperlink" Target="http://plants.usda.gov/java/profile?symbol=HUOC" TargetMode="External"/><Relationship Id="rId2753" Type="http://schemas.openxmlformats.org/officeDocument/2006/relationships/hyperlink" Target="http://www.burkemuseum.org/research-and-collections/botany-and-herbarium/collections/database/results.php?Genus=Angelica&amp;Species=genuflexa&amp;SourcePage=search.php&amp;IncludeSynonyms=Y&amp;SortBy=DESC&amp;SortOrder=Year" TargetMode="External"/><Relationship Id="rId2960" Type="http://schemas.openxmlformats.org/officeDocument/2006/relationships/hyperlink" Target="http://www.burkemuseum.org/research-and-collections/botany-and-herbarium/collections/database/results.php?Genus=Empetrum&amp;Species=nigrum&amp;SourcePage=search.php&amp;IncludeSynonyms=Y&amp;SortBy=DESC&amp;SortOrder=Year" TargetMode="External"/><Relationship Id="rId3804" Type="http://schemas.openxmlformats.org/officeDocument/2006/relationships/hyperlink" Target="https://plants.usda.gov/core/profile?symbol=CAHI9" TargetMode="External"/><Relationship Id="rId6003" Type="http://schemas.openxmlformats.org/officeDocument/2006/relationships/hyperlink" Target="http://www.burkemuseum.org/research-and-collections/botany-and-herbarium/collections/database/results.php?Genus=Penstemon&amp;Species=hesperius&amp;SourcePage=search.php&amp;IncludeSynonyms=Y&amp;SortBy=DESC&amp;SortOrder=Year" TargetMode="External"/><Relationship Id="rId6210" Type="http://schemas.openxmlformats.org/officeDocument/2006/relationships/hyperlink" Target="http://www.burkemuseum.org/research-and-collections/botany-and-herbarium/collections/database/results.php?Genus=Sium&amp;Species=suave&amp;SourcePage=search.php&amp;IncludeSynonyms=Y&amp;SortBy=DESC&amp;SortOrder=Year" TargetMode="External"/><Relationship Id="rId518" Type="http://schemas.openxmlformats.org/officeDocument/2006/relationships/hyperlink" Target="https://en.wikipedia.org/wiki/Veratrum_viride" TargetMode="External"/><Relationship Id="rId725" Type="http://schemas.openxmlformats.org/officeDocument/2006/relationships/hyperlink" Target="https://en.wikipedia.org/wiki/Elodea_canadensis" TargetMode="External"/><Relationship Id="rId932" Type="http://schemas.openxmlformats.org/officeDocument/2006/relationships/hyperlink" Target="http://en.wikipedia.org/wiki/Carex_pachystachya" TargetMode="External"/><Relationship Id="rId1148" Type="http://schemas.openxmlformats.org/officeDocument/2006/relationships/hyperlink" Target="https://en.wikipedia.org/wiki/Gaillardia_aristata" TargetMode="External"/><Relationship Id="rId1355" Type="http://schemas.openxmlformats.org/officeDocument/2006/relationships/hyperlink" Target="http://biology.burke.washington.edu/herbarium/imagecollection/taxon.php?Taxon=Lomatium%20utriculatum" TargetMode="External"/><Relationship Id="rId1562" Type="http://schemas.openxmlformats.org/officeDocument/2006/relationships/hyperlink" Target="http://en.wikipedia.org/wiki/Pyrus_fusca" TargetMode="External"/><Relationship Id="rId2406" Type="http://schemas.openxmlformats.org/officeDocument/2006/relationships/hyperlink" Target="https://plants.usda.gov/core/profile?symbol=ANPO" TargetMode="External"/><Relationship Id="rId2613" Type="http://schemas.openxmlformats.org/officeDocument/2006/relationships/hyperlink" Target="http://biology.burke.washington.edu/herbarium/imagecollectionnew/taxon.php?Taxon=Triodanis%20perfoliata" TargetMode="External"/><Relationship Id="rId5769" Type="http://schemas.openxmlformats.org/officeDocument/2006/relationships/hyperlink" Target="http://www.burkemuseum.org/research-and-collections/botany-and-herbarium/collections/database/results.php?Genus=Galium&amp;Species=oreganum&amp;SourcePage=search.php&amp;IncludeSynonyms=Y&amp;SortBy=DESC&amp;SortOrder=Year" TargetMode="External"/><Relationship Id="rId1008" Type="http://schemas.openxmlformats.org/officeDocument/2006/relationships/hyperlink" Target="http://en.wikipedia.org/wiki/Apocynum_cannabinum" TargetMode="External"/><Relationship Id="rId1215" Type="http://schemas.openxmlformats.org/officeDocument/2006/relationships/hyperlink" Target="http://biology.burke.washington.edu/herbarium/imagecollection/taxon.php?Taxon=Listera%20cordata" TargetMode="External"/><Relationship Id="rId1422" Type="http://schemas.openxmlformats.org/officeDocument/2006/relationships/hyperlink" Target="http://biology.burke.washington.edu/herbarium/imagecollection/taxon.php?Taxon=Lomatium%20nudicaule" TargetMode="External"/><Relationship Id="rId2820" Type="http://schemas.openxmlformats.org/officeDocument/2006/relationships/hyperlink" Target="http://www.burkemuseum.org/research-and-collections/botany-and-herbarium/collections/database/results.php?Genus=Campanula&amp;Species=rotundifolia&amp;SourcePage=search.php&amp;IncludeSynonyms=Y&amp;SortBy=DESC&amp;SortOrder=Year" TargetMode="External"/><Relationship Id="rId4578" Type="http://schemas.openxmlformats.org/officeDocument/2006/relationships/hyperlink" Target="http://www.burkemuseum.org/research-and-collections/botany-and-herbarium/collections/database/results.php?Genus=Abronia&amp;Species=umbellata&amp;SourcePage=search.php&amp;IncludeSynonyms=Y&amp;SortBy=DESC&amp;SortOrder=Year" TargetMode="External"/><Relationship Id="rId5976" Type="http://schemas.openxmlformats.org/officeDocument/2006/relationships/hyperlink" Target="http://www.burkemuseum.org/research-and-collections/botany-and-herbarium/collections/database/results.php?Genus=Oenothera&amp;Species=flava&amp;SourcePage=search.php&amp;IncludeSynonyms=Y&amp;SortBy=DESC&amp;SortOrder=Year" TargetMode="External"/><Relationship Id="rId7191" Type="http://schemas.openxmlformats.org/officeDocument/2006/relationships/hyperlink" Target="http://biology.burke.washington.edu/herbarium/imagecollection/taxon.php?Taxon=Ribes%20lacustre" TargetMode="External"/><Relationship Id="rId61" Type="http://schemas.openxmlformats.org/officeDocument/2006/relationships/hyperlink" Target="http://biology.burke.washington.edu/herbarium/imagecollection/taxon.php?Taxon=Polystichum%20munitum" TargetMode="External"/><Relationship Id="rId3387" Type="http://schemas.openxmlformats.org/officeDocument/2006/relationships/hyperlink" Target="http://www.burkemuseum.org/research-and-collections/botany-and-herbarium/collections/database/results.php?Genus=Synthyris&amp;Species=reniformis&amp;SourcePage=search.php&amp;IncludeSynonyms=Y&amp;SortBy=DESC&amp;SortOrder=Year" TargetMode="External"/><Relationship Id="rId4785" Type="http://schemas.openxmlformats.org/officeDocument/2006/relationships/hyperlink" Target="https://en.wikipedia.org/wiki/Carex_cusickii" TargetMode="External"/><Relationship Id="rId4992" Type="http://schemas.openxmlformats.org/officeDocument/2006/relationships/hyperlink" Target="https://en.wikipedia.org/wiki/Geum_triflorum" TargetMode="External"/><Relationship Id="rId5629" Type="http://schemas.openxmlformats.org/officeDocument/2006/relationships/hyperlink" Target="http://www.burkemuseum.org/research-and-collections/botany-and-herbarium/collections/database/results.php?Genus=Chrysosplenium&amp;Species=glechomifolium&amp;SourcePage=search.php&amp;IncludeSynonyms=Y&amp;SortBy=DESC&amp;SortOrder=Year" TargetMode="External"/><Relationship Id="rId5836" Type="http://schemas.openxmlformats.org/officeDocument/2006/relationships/hyperlink" Target="http://www.burkemuseum.org/research-and-collections/botany-and-herbarium/collections/database/results.php?Genus=Juncus&amp;Species=alpinoarticulatus&amp;SourcePage=search.php&amp;IncludeSynonyms=Y&amp;SortBy=DESC&amp;SortOrder=Year" TargetMode="External"/><Relationship Id="rId7051" Type="http://schemas.openxmlformats.org/officeDocument/2006/relationships/hyperlink" Target="http://biology.burke.washington.edu/herbarium/imagecollection/taxon.php?Taxon=Apocynum%20androsaemifolium" TargetMode="External"/><Relationship Id="rId2196" Type="http://schemas.openxmlformats.org/officeDocument/2006/relationships/hyperlink" Target="https://plants.usda.gov/core/profile?symbol=EMNI" TargetMode="External"/><Relationship Id="rId3594" Type="http://schemas.openxmlformats.org/officeDocument/2006/relationships/hyperlink" Target="http://www.burkemuseum.org/research-and-collections/botany-and-herbarium/collections/database/results.php?Genus=Stachys&amp;Species=cooleyae&amp;SourcePage=search.php&amp;IncludeSynonyms=Y&amp;SortBy=DESC&amp;SortOrder=Year" TargetMode="External"/><Relationship Id="rId4438" Type="http://schemas.openxmlformats.org/officeDocument/2006/relationships/hyperlink" Target="https://plants.usda.gov/core/profile?symbol=STAM2" TargetMode="External"/><Relationship Id="rId4645" Type="http://schemas.openxmlformats.org/officeDocument/2006/relationships/hyperlink" Target="http://www.burkemuseum.org/research-and-collections/botany-and-herbarium/collections/database/results.php?Genus=Arnica&amp;Species=longifolia&amp;SourcePage=search.php&amp;IncludeSynonyms=Y&amp;SortBy=DESC&amp;SortOrder=Year" TargetMode="External"/><Relationship Id="rId4852" Type="http://schemas.openxmlformats.org/officeDocument/2006/relationships/hyperlink" Target="https://en.wikipedia.org/wiki/Clematis_ligusticifolia" TargetMode="External"/><Relationship Id="rId5903" Type="http://schemas.openxmlformats.org/officeDocument/2006/relationships/hyperlink" Target="http://www.burkemuseum.org/research-and-collections/botany-and-herbarium/collections/database/results.php?Genus=Lupinus&amp;Species=rivularis&amp;SourcePage=search.php&amp;IncludeSynonyms=Y&amp;SortBy=DESC&amp;SortOrder=Year" TargetMode="External"/><Relationship Id="rId168" Type="http://schemas.openxmlformats.org/officeDocument/2006/relationships/hyperlink" Target="http://biology.burke.washington.edu/herbarium/imagecollection/taxon.php?Taxon=Plantago%20elongata" TargetMode="External"/><Relationship Id="rId3247" Type="http://schemas.openxmlformats.org/officeDocument/2006/relationships/hyperlink" Target="http://www.burkemuseum.org/research-and-collections/botany-and-herbarium/collections/database/results.php?Genus=Potentilla&amp;Species=anserina&amp;SourcePage=search.php&amp;IncludeSynonyms=Y&amp;SortBy=DESC&amp;SortOrder=Year" TargetMode="External"/><Relationship Id="rId3454" Type="http://schemas.openxmlformats.org/officeDocument/2006/relationships/hyperlink" Target="http://www.burkemuseum.org/research-and-collections/botany-and-herbarium/collections/database/results.php?Genus=Acer&amp;Species=circinatum&amp;SourcePage=search.php&amp;IncludeSynonyms=Y&amp;SortBy=DESC&amp;SortOrder=Year" TargetMode="External"/><Relationship Id="rId3661" Type="http://schemas.openxmlformats.org/officeDocument/2006/relationships/hyperlink" Target="https://plants.usda.gov/core/profile?symbol=AMLY" TargetMode="External"/><Relationship Id="rId4505" Type="http://schemas.openxmlformats.org/officeDocument/2006/relationships/hyperlink" Target="https://plants.usda.gov/core/profile?symbol=VESC2" TargetMode="External"/><Relationship Id="rId4712" Type="http://schemas.openxmlformats.org/officeDocument/2006/relationships/hyperlink" Target="https://en.wikipedia.org/wiki/Artemisia_douglasiana" TargetMode="External"/><Relationship Id="rId375" Type="http://schemas.openxmlformats.org/officeDocument/2006/relationships/hyperlink" Target="http://biology.burke.washington.edu/herbarium/imagecollectionnew/taxon.php?Taxon=Carex%20vulpinoidea" TargetMode="External"/><Relationship Id="rId582" Type="http://schemas.openxmlformats.org/officeDocument/2006/relationships/hyperlink" Target="https://en.wikipedia.org/wiki/Sparganium_emersum" TargetMode="External"/><Relationship Id="rId2056" Type="http://schemas.openxmlformats.org/officeDocument/2006/relationships/hyperlink" Target="http://plants.usda.gov/java/profile?symbol=LODI" TargetMode="External"/><Relationship Id="rId2263" Type="http://schemas.openxmlformats.org/officeDocument/2006/relationships/hyperlink" Target="http://plants.usda.gov/java/profile?symbol=CLPE" TargetMode="External"/><Relationship Id="rId2470" Type="http://schemas.openxmlformats.org/officeDocument/2006/relationships/hyperlink" Target="http://plants.usda.gov/java/profile?symbol=SEOR" TargetMode="External"/><Relationship Id="rId3107" Type="http://schemas.openxmlformats.org/officeDocument/2006/relationships/hyperlink" Target="http://www.burkemuseum.org/research-and-collections/botany-and-herbarium/collections/database/results.php?Genus=Ludwigia&amp;Species=palustris&amp;SourcePage=search.php&amp;IncludeSynonyms=Y&amp;SortBy=DESC&amp;SortOrder=Year" TargetMode="External"/><Relationship Id="rId3314" Type="http://schemas.openxmlformats.org/officeDocument/2006/relationships/hyperlink" Target="http://www.burkemuseum.org/research-and-collections/botany-and-herbarium/collections/database/results.php?Genus=Salix&amp;Species=melanopsis&amp;SourcePage=search.php&amp;IncludeSynonyms=Y&amp;SortBy=DESC&amp;SortOrder=Year" TargetMode="External"/><Relationship Id="rId3521" Type="http://schemas.openxmlformats.org/officeDocument/2006/relationships/hyperlink" Target="http://www.burkemuseum.org/research-and-collections/botany-and-herbarium/collections/database/results.php?Genus=Lomatium&amp;Species=nudicaule&amp;SourcePage=search.php&amp;IncludeSynonyms=Y&amp;SortBy=DESC&amp;SortOrder=Year" TargetMode="External"/><Relationship Id="rId6677" Type="http://schemas.openxmlformats.org/officeDocument/2006/relationships/hyperlink" Target="http://biology.burke.washington.edu/herbarium/imagecollectionnew/taxon.php?Taxon=Psilocarphus%20elatior" TargetMode="External"/><Relationship Id="rId6884" Type="http://schemas.openxmlformats.org/officeDocument/2006/relationships/hyperlink" Target="http://biology.burke.washington.edu/herbarium/imagecollectionnew/taxon.php?Taxon=Scutellaria%20galericulata" TargetMode="External"/><Relationship Id="rId235" Type="http://schemas.openxmlformats.org/officeDocument/2006/relationships/hyperlink" Target="http://biology.burke.washington.edu/herbarium/imagecollection/taxon.php?Taxon=Potamogeton%20natans" TargetMode="External"/><Relationship Id="rId442" Type="http://schemas.openxmlformats.org/officeDocument/2006/relationships/hyperlink" Target="http://biology.burke.washington.edu/herbarium/imagecollectionnew/taxon.php?Taxon=Drosera%20rotundifolia" TargetMode="External"/><Relationship Id="rId1072" Type="http://schemas.openxmlformats.org/officeDocument/2006/relationships/hyperlink" Target="https://en.wikipedia.org/wiki/Lupinus_lepidus" TargetMode="External"/><Relationship Id="rId2123" Type="http://schemas.openxmlformats.org/officeDocument/2006/relationships/hyperlink" Target="http://plants.usda.gov/java/profile?symbol=HERAC" TargetMode="External"/><Relationship Id="rId2330" Type="http://schemas.openxmlformats.org/officeDocument/2006/relationships/hyperlink" Target="http://plants.usda.gov/java/profile?symbol=CANU17" TargetMode="External"/><Relationship Id="rId5279" Type="http://schemas.openxmlformats.org/officeDocument/2006/relationships/hyperlink" Target="https://en.wikipedia.org/wiki/Potentilla_palustris" TargetMode="External"/><Relationship Id="rId5486" Type="http://schemas.openxmlformats.org/officeDocument/2006/relationships/hyperlink" Target="https://en.wikipedia.org/wiki/Utricularia_gibba" TargetMode="External"/><Relationship Id="rId5693" Type="http://schemas.openxmlformats.org/officeDocument/2006/relationships/hyperlink" Target="http://www.burkemuseum.org/research-and-collections/botany-and-herbarium/collections/database/results.php?Genus=Dicentra&amp;Species=formosa&amp;SourcePage=search.php&amp;IncludeSynonyms=Y&amp;SortBy=DESC&amp;SortOrder=Year" TargetMode="External"/><Relationship Id="rId6537" Type="http://schemas.openxmlformats.org/officeDocument/2006/relationships/hyperlink" Target="http://biology.burke.washington.edu/herbarium/imagecollection/taxon.php?Taxon=Juncus%20effusus" TargetMode="External"/><Relationship Id="rId6744" Type="http://schemas.openxmlformats.org/officeDocument/2006/relationships/hyperlink" Target="http://biology.burke.washington.edu/herbarium/imagecollection/taxon.php?Taxon=Lotus%20uliginosus" TargetMode="External"/><Relationship Id="rId302" Type="http://schemas.openxmlformats.org/officeDocument/2006/relationships/hyperlink" Target="http://biology.burke.washington.edu/herbarium/imagecollectionnew/taxon.php?Taxon=Arctostaphylos%20columbiana" TargetMode="External"/><Relationship Id="rId4088" Type="http://schemas.openxmlformats.org/officeDocument/2006/relationships/hyperlink" Target="https://plants.usda.gov/core/profile?symbol=LOHI2" TargetMode="External"/><Relationship Id="rId4295" Type="http://schemas.openxmlformats.org/officeDocument/2006/relationships/hyperlink" Target="https://plants.usda.gov/core/profile?symbol=RAAQ" TargetMode="External"/><Relationship Id="rId5139" Type="http://schemas.openxmlformats.org/officeDocument/2006/relationships/hyperlink" Target="https://en.wikipedia.org/wiki/Micranthes_oregana" TargetMode="External"/><Relationship Id="rId5346" Type="http://schemas.openxmlformats.org/officeDocument/2006/relationships/hyperlink" Target="https://en.wikipedia.org/wiki/Sagittaria_latifolia" TargetMode="External"/><Relationship Id="rId5553" Type="http://schemas.openxmlformats.org/officeDocument/2006/relationships/hyperlink" Target="http://www.burkemuseum.org/research-and-collections/botany-and-herbarium/collections/database/results.php?Genus=Callitropsis&amp;Species=nootkatensis&amp;SourcePage=search.php&amp;IncludeSynonyms=Y&amp;SortBy=DESC&amp;SortOrder=Year" TargetMode="External"/><Relationship Id="rId6951" Type="http://schemas.openxmlformats.org/officeDocument/2006/relationships/hyperlink" Target="http://biology.burke.washington.edu/herbarium/imagecollection/taxon.php?Taxon=Leersia%20oryzoides" TargetMode="External"/><Relationship Id="rId1889" Type="http://schemas.openxmlformats.org/officeDocument/2006/relationships/hyperlink" Target="http://plants.usda.gov/java/profile?symbol=RAAQ" TargetMode="External"/><Relationship Id="rId4155" Type="http://schemas.openxmlformats.org/officeDocument/2006/relationships/hyperlink" Target="https://plants.usda.gov/core/profile?symbol=MOCA6" TargetMode="External"/><Relationship Id="rId4362" Type="http://schemas.openxmlformats.org/officeDocument/2006/relationships/hyperlink" Target="https://plants.usda.gov/core/profile?symbol=SAPL2" TargetMode="External"/><Relationship Id="rId5206" Type="http://schemas.openxmlformats.org/officeDocument/2006/relationships/hyperlink" Target="https://en.wikipedia.org/wiki/Penstemon_ovatus" TargetMode="External"/><Relationship Id="rId5760" Type="http://schemas.openxmlformats.org/officeDocument/2006/relationships/hyperlink" Target="http://www.burkemuseum.org/research-and-collections/botany-and-herbarium/collections/database/results.php?Genus=Fragaria&amp;Species=vesca&amp;SourcePage=search.php&amp;IncludeSynonyms=Y&amp;SortBy=DESC&amp;SortOrder=Year" TargetMode="External"/><Relationship Id="rId6604" Type="http://schemas.openxmlformats.org/officeDocument/2006/relationships/hyperlink" Target="http://biology.burke.washington.edu/herbarium/imagecollection/taxon.php?Taxon=Pentagramma%20triangularis" TargetMode="External"/><Relationship Id="rId6811" Type="http://schemas.openxmlformats.org/officeDocument/2006/relationships/hyperlink" Target="http://biology.burke.washington.edu/herbarium/imagecollectionnew/taxon.php?Taxon=Collinsia%20sparsiflora" TargetMode="External"/><Relationship Id="rId1749" Type="http://schemas.openxmlformats.org/officeDocument/2006/relationships/hyperlink" Target="https://plants.usda.gov/core/profile?symbol=TRALP" TargetMode="External"/><Relationship Id="rId1956" Type="http://schemas.openxmlformats.org/officeDocument/2006/relationships/hyperlink" Target="http://plants.usda.gov/java/profile?symbol=PEFR5" TargetMode="External"/><Relationship Id="rId3171" Type="http://schemas.openxmlformats.org/officeDocument/2006/relationships/hyperlink" Target="http://www.burkemuseum.org/research-and-collections/botany-and-herbarium/collections/database/results.php?Genus=Nymphaea&amp;Species=tetragona&amp;SourcePage=search.php&amp;IncludeSynonyms=Y&amp;SortBy=DESC&amp;SortOrder=Year" TargetMode="External"/><Relationship Id="rId4015" Type="http://schemas.openxmlformats.org/officeDocument/2006/relationships/hyperlink" Target="https://plants.usda.gov/core/profile?symbol=LOCR" TargetMode="External"/><Relationship Id="rId5413" Type="http://schemas.openxmlformats.org/officeDocument/2006/relationships/hyperlink" Target="https://en.wikipedia.org/wiki/Solidago_simplex" TargetMode="External"/><Relationship Id="rId5620" Type="http://schemas.openxmlformats.org/officeDocument/2006/relationships/hyperlink" Target="http://www.burkemuseum.org/research-and-collections/botany-and-herbarium/collections/database/results.php?Genus=Celtis&amp;Species=reticulata&amp;SourcePage=search.php&amp;IncludeSynonyms=Y&amp;SortBy=DESC&amp;SortOrder=Year" TargetMode="External"/><Relationship Id="rId1609" Type="http://schemas.openxmlformats.org/officeDocument/2006/relationships/hyperlink" Target="https://en.wikipedia.org/wiki/Ligusticum_apiifolium" TargetMode="External"/><Relationship Id="rId1816" Type="http://schemas.openxmlformats.org/officeDocument/2006/relationships/hyperlink" Target="http://plants.usda.gov/java/profile?symbol=SEWA" TargetMode="External"/><Relationship Id="rId4222" Type="http://schemas.openxmlformats.org/officeDocument/2006/relationships/hyperlink" Target="https://plants.usda.gov/core/profile?symbol=PIMO3" TargetMode="External"/><Relationship Id="rId3031" Type="http://schemas.openxmlformats.org/officeDocument/2006/relationships/hyperlink" Target="http://www.burkemuseum.org/research-and-collections/botany-and-herbarium/collections/database/results.php?Genus=Hemitomes&amp;Species=congestum&amp;SourcePage=search.php&amp;IncludeSynonyms=Y&amp;SortBy=DESC&amp;SortOrder=Year" TargetMode="External"/><Relationship Id="rId3988" Type="http://schemas.openxmlformats.org/officeDocument/2006/relationships/hyperlink" Target="https://plants.usda.gov/core/profile?symbol=GOOB2" TargetMode="External"/><Relationship Id="rId6187" Type="http://schemas.openxmlformats.org/officeDocument/2006/relationships/hyperlink" Target="http://www.burkemuseum.org/research-and-collections/botany-and-herbarium/collections/database/results.php?Genus=Scrophularia&amp;Species=lanceolata&amp;SourcePage=search.php&amp;IncludeSynonyms=Y&amp;SortBy=DESC&amp;SortOrder=Year" TargetMode="External"/><Relationship Id="rId6394" Type="http://schemas.openxmlformats.org/officeDocument/2006/relationships/hyperlink" Target="http://biology.burke.washington.edu/herbarium/imagecollectionnew/taxon.php?Taxon=Betula%20pumila" TargetMode="External"/><Relationship Id="rId7238" Type="http://schemas.openxmlformats.org/officeDocument/2006/relationships/hyperlink" Target="http://biology.burke.washington.edu/herbarium/imagecollection/taxon.php?Taxon=Pinus%20albicaulis" TargetMode="External"/><Relationship Id="rId2797" Type="http://schemas.openxmlformats.org/officeDocument/2006/relationships/hyperlink" Target="http://www.burkemuseum.org/research-and-collections/botany-and-herbarium/collections/database/results.php?Genus=Bidens&amp;Species=vulgata&amp;SourcePage=search.php&amp;IncludeSynonyms=Y&amp;SortBy=DESC&amp;SortOrder=Year" TargetMode="External"/><Relationship Id="rId3848" Type="http://schemas.openxmlformats.org/officeDocument/2006/relationships/hyperlink" Target="https://plants.usda.gov/core/profile?symbol=COHE2" TargetMode="External"/><Relationship Id="rId6047" Type="http://schemas.openxmlformats.org/officeDocument/2006/relationships/hyperlink" Target="http://www.burkemuseum.org/research-and-collections/botany-and-herbarium/collections/database/results.php?Genus=Poa&amp;Species=unilateralis&amp;SourcePage=search.php&amp;IncludeSynonyms=Y&amp;SortBy=DESC&amp;SortOrder=Year" TargetMode="External"/><Relationship Id="rId6254" Type="http://schemas.openxmlformats.org/officeDocument/2006/relationships/hyperlink" Target="http://www.burkemuseum.org/research-and-collections/botany-and-herbarium/collections/database/results.php?Genus=Thelypteris&amp;Species=quelpaertensis&amp;SourcePage=search.php&amp;IncludeSynonyms=Y&amp;SortBy=DESC&amp;SortOrder=Year" TargetMode="External"/><Relationship Id="rId6461" Type="http://schemas.openxmlformats.org/officeDocument/2006/relationships/hyperlink" Target="http://biology.burke.washington.edu/herbarium/imagecollection/taxon.php?Taxon=Eucephalus%20engelmannii" TargetMode="External"/><Relationship Id="rId769" Type="http://schemas.openxmlformats.org/officeDocument/2006/relationships/hyperlink" Target="https://en.wikipedia.org/wiki/Potamogeton_obtusifolius" TargetMode="External"/><Relationship Id="rId976" Type="http://schemas.openxmlformats.org/officeDocument/2006/relationships/hyperlink" Target="https://en.wikipedia.org/wiki/Bidens_vulgata" TargetMode="External"/><Relationship Id="rId1399" Type="http://schemas.openxmlformats.org/officeDocument/2006/relationships/hyperlink" Target="http://biology.burke.washington.edu/herbarium/imagecollection/taxon.php?Taxon=Olsynium%20douglasii" TargetMode="External"/><Relationship Id="rId2657" Type="http://schemas.openxmlformats.org/officeDocument/2006/relationships/hyperlink" Target="http://biology.burke.washington.edu/herbarium/imagecollectionnew/taxon.php?Taxon=Sparganium%20eurycarpum" TargetMode="External"/><Relationship Id="rId5063" Type="http://schemas.openxmlformats.org/officeDocument/2006/relationships/hyperlink" Target="https://en.wikipedia.org/wiki/Lathyrus_japonicus" TargetMode="External"/><Relationship Id="rId5270" Type="http://schemas.openxmlformats.org/officeDocument/2006/relationships/hyperlink" Target="https://en.wikipedia.org/wiki/Potamogeton_natans" TargetMode="External"/><Relationship Id="rId6114" Type="http://schemas.openxmlformats.org/officeDocument/2006/relationships/hyperlink" Target="http://www.burkemuseum.org/research-and-collections/botany-and-herbarium/collections/database/results.php?Genus=Ribes&amp;Species=acerifolium&amp;SourcePage=search.php&amp;IncludeSynonyms=Y&amp;SortBy=DESC&amp;SortOrder=Year" TargetMode="External"/><Relationship Id="rId6321" Type="http://schemas.openxmlformats.org/officeDocument/2006/relationships/hyperlink" Target="http://www.burkemuseum.org/research-and-collections/botany-and-herbarium/collections/database/results.php?Genus=Wyethia&amp;Species=angustifolia&amp;SourcePage=search.php&amp;IncludeSynonyms=Y&amp;SortBy=DESC&amp;SortOrder=Year" TargetMode="External"/><Relationship Id="rId629" Type="http://schemas.openxmlformats.org/officeDocument/2006/relationships/hyperlink" Target="https://en.wikipedia.org/wiki/Salix_commutata" TargetMode="External"/><Relationship Id="rId1259" Type="http://schemas.openxmlformats.org/officeDocument/2006/relationships/hyperlink" Target="https://en.wikipedia.org/wiki/Malaxis_monophyllos" TargetMode="External"/><Relationship Id="rId1466" Type="http://schemas.openxmlformats.org/officeDocument/2006/relationships/hyperlink" Target="https://en.wikipedia.org/wiki/Zeltnera_muehlenbergii" TargetMode="External"/><Relationship Id="rId2864" Type="http://schemas.openxmlformats.org/officeDocument/2006/relationships/hyperlink" Target="http://www.burkemuseum.org/research-and-collections/botany-and-herbarium/collections/database/results.php?Genus=Castilleja&amp;Species=levisecta&amp;SourcePage=search.php&amp;IncludeSynonyms=Y&amp;SortBy=DESC&amp;SortOrder=Year" TargetMode="External"/><Relationship Id="rId3708" Type="http://schemas.openxmlformats.org/officeDocument/2006/relationships/hyperlink" Target="https://plants.usda.gov/core/profile?symbol=ASTR2" TargetMode="External"/><Relationship Id="rId3915" Type="http://schemas.openxmlformats.org/officeDocument/2006/relationships/hyperlink" Target="https://plants.usda.gov/core/profile?symbol=EMNI" TargetMode="External"/><Relationship Id="rId5130" Type="http://schemas.openxmlformats.org/officeDocument/2006/relationships/hyperlink" Target="https://en.wikipedia.org/wiki/Melica_subulata" TargetMode="External"/><Relationship Id="rId836" Type="http://schemas.openxmlformats.org/officeDocument/2006/relationships/hyperlink" Target="https://en.wikipedia.org/wiki/Navarretia_intertexta" TargetMode="External"/><Relationship Id="rId1119" Type="http://schemas.openxmlformats.org/officeDocument/2006/relationships/hyperlink" Target="https://en.wikipedia.org/wiki/Juncus_effusus" TargetMode="External"/><Relationship Id="rId1673" Type="http://schemas.openxmlformats.org/officeDocument/2006/relationships/hyperlink" Target="http://biology.burke.washington.edu/herbarium/imagecollectionnew/taxon.php?Taxon=Asclepias%20speciosa" TargetMode="External"/><Relationship Id="rId1880" Type="http://schemas.openxmlformats.org/officeDocument/2006/relationships/hyperlink" Target="https://plants.usda.gov/core/profile?symbol=rhoc" TargetMode="External"/><Relationship Id="rId2517" Type="http://schemas.openxmlformats.org/officeDocument/2006/relationships/hyperlink" Target="http://plants.usda.gov/java/profile?symbol=OLDO" TargetMode="External"/><Relationship Id="rId2724" Type="http://schemas.openxmlformats.org/officeDocument/2006/relationships/hyperlink" Target="http://www.burkemuseum.org/research-and-collections/botany-and-herbarium/collections/database/results.php?Genus=Adiantum&amp;Species=aleuticum&amp;SourcePage=search.php&amp;IncludeSynonyms=Y&amp;SortBy=DESC&amp;SortOrder=Year" TargetMode="External"/><Relationship Id="rId2931" Type="http://schemas.openxmlformats.org/officeDocument/2006/relationships/hyperlink" Target="http://www.burkemuseum.org/research-and-collections/botany-and-herbarium/collections/database/results.php?Genus=Datura&amp;Species=wrightii&amp;SourcePage=search.php&amp;IncludeSynonyms=Y&amp;SortBy=DESC&amp;SortOrder=Year" TargetMode="External"/><Relationship Id="rId7095" Type="http://schemas.openxmlformats.org/officeDocument/2006/relationships/hyperlink" Target="http://biology.burke.washington.edu/herbarium/imagecollectionnew/taxon.php?Taxon=Tsuga%20heterophylla" TargetMode="External"/><Relationship Id="rId903" Type="http://schemas.openxmlformats.org/officeDocument/2006/relationships/hyperlink" Target="http://en.wikipedia.org/wiki/Cicuta_douglasii" TargetMode="External"/><Relationship Id="rId1326" Type="http://schemas.openxmlformats.org/officeDocument/2006/relationships/hyperlink" Target="http://biology.burke.washington.edu/herbarium/imagecollectionnew/taxon.php?Taxon=Spiraea%20splendens" TargetMode="External"/><Relationship Id="rId1533" Type="http://schemas.openxmlformats.org/officeDocument/2006/relationships/hyperlink" Target="https://en.wikipedia.org/wiki/Dodecatheon_hendersonii" TargetMode="External"/><Relationship Id="rId1740" Type="http://schemas.openxmlformats.org/officeDocument/2006/relationships/hyperlink" Target="http://plants.usda.gov/java/profile?symbol=URDI" TargetMode="External"/><Relationship Id="rId4689" Type="http://schemas.openxmlformats.org/officeDocument/2006/relationships/hyperlink" Target="https://en.wikipedia.org/wiki/Angelica_lucida" TargetMode="External"/><Relationship Id="rId4896" Type="http://schemas.openxmlformats.org/officeDocument/2006/relationships/hyperlink" Target="https://en.wikipedia.org/wiki/Delphinium_nuttallii" TargetMode="External"/><Relationship Id="rId5947" Type="http://schemas.openxmlformats.org/officeDocument/2006/relationships/hyperlink" Target="http://www.burkemuseum.org/research-and-collections/botany-and-herbarium/collections/database/results.php?Genus=Monotropa&amp;Species=uniflora&amp;SourcePage=search.php&amp;IncludeSynonyms=Y&amp;SortBy=DESC&amp;SortOrder=Year" TargetMode="External"/><Relationship Id="rId32" Type="http://schemas.openxmlformats.org/officeDocument/2006/relationships/hyperlink" Target="http://biology.burke.washington.edu/herbarium/imagecollection/taxon.php?Taxon=Helianthus%20annuus" TargetMode="External"/><Relationship Id="rId1600" Type="http://schemas.openxmlformats.org/officeDocument/2006/relationships/hyperlink" Target="https://en.wikipedia.org/wiki/Lupinus_littoralis" TargetMode="External"/><Relationship Id="rId3498" Type="http://schemas.openxmlformats.org/officeDocument/2006/relationships/hyperlink" Target="http://www.burkemuseum.org/research-and-collections/botany-and-herbarium/collections/database/results.php?Genus=Euonymus&amp;Species=occidentalis&amp;SourcePage=search.php&amp;IncludeSynonyms=Y&amp;SortBy=DESC&amp;SortOrder=Year" TargetMode="External"/><Relationship Id="rId4549" Type="http://schemas.openxmlformats.org/officeDocument/2006/relationships/hyperlink" Target="https://en.wikipedia.org/wiki/Agoseris_grandiflora" TargetMode="External"/><Relationship Id="rId4756" Type="http://schemas.openxmlformats.org/officeDocument/2006/relationships/hyperlink" Target="https://en.wikipedia.org/wiki/Calandrinia_ciliata" TargetMode="External"/><Relationship Id="rId4963" Type="http://schemas.openxmlformats.org/officeDocument/2006/relationships/hyperlink" Target="https://en.wikipedia.org/wiki/Festuca_occidentalis" TargetMode="External"/><Relationship Id="rId5807" Type="http://schemas.openxmlformats.org/officeDocument/2006/relationships/hyperlink" Target="http://www.burkemuseum.org/research-and-collections/botany-and-herbarium/collections/database/results.php?Genus=Hieracium&amp;Species=albiflorum&amp;SourcePage=search.php&amp;IncludeSynonyms=Y&amp;SortBy=DESC&amp;SortOrder=Year" TargetMode="External"/><Relationship Id="rId7162" Type="http://schemas.openxmlformats.org/officeDocument/2006/relationships/hyperlink" Target="http://biology.burke.washington.edu/herbarium/imagecollection/taxon.php?Taxon=Salix%20melanopsis" TargetMode="External"/><Relationship Id="rId3358" Type="http://schemas.openxmlformats.org/officeDocument/2006/relationships/hyperlink" Target="http://www.burkemuseum.org/research-and-collections/botany-and-herbarium/collections/database/results.php?Genus=Sparganium&amp;Species=angustifolium&amp;SourcePage=search.php&amp;IncludeSynonyms=Y&amp;SortBy=DESC&amp;SortOrder=Year" TargetMode="External"/><Relationship Id="rId3565" Type="http://schemas.openxmlformats.org/officeDocument/2006/relationships/hyperlink" Target="http://www.burkemuseum.org/research-and-collections/botany-and-herbarium/collections/database/results.php?Genus=Rhamnus&amp;Species=purshiana&amp;SourcePage=search.php&amp;IncludeSynonyms=Y&amp;SortBy=DESC&amp;SortOrder=Year" TargetMode="External"/><Relationship Id="rId3772" Type="http://schemas.openxmlformats.org/officeDocument/2006/relationships/hyperlink" Target="https://plants.usda.gov/core/profile?symbol=CADE9" TargetMode="External"/><Relationship Id="rId4409" Type="http://schemas.openxmlformats.org/officeDocument/2006/relationships/hyperlink" Target="https://plants.usda.gov/core/profile?symbol=SICA8" TargetMode="External"/><Relationship Id="rId4616" Type="http://schemas.openxmlformats.org/officeDocument/2006/relationships/hyperlink" Target="http://www.burkemuseum.org/research-and-collections/botany-and-herbarium/collections/database/results.php?Genus=Andromeda&amp;Species=polifolia&amp;SourcePage=search.php&amp;IncludeSynonyms=Y&amp;SortBy=DESC&amp;SortOrder=Year" TargetMode="External"/><Relationship Id="rId4823" Type="http://schemas.openxmlformats.org/officeDocument/2006/relationships/hyperlink" Target="https://en.wikipedia.org/wiki/Ceanothus_prostratus" TargetMode="External"/><Relationship Id="rId7022" Type="http://schemas.openxmlformats.org/officeDocument/2006/relationships/hyperlink" Target="http://biology.burke.washington.edu/herbarium/imagecollectionnew/taxon.php?Taxon=Carex%20macrocephala" TargetMode="External"/><Relationship Id="rId279" Type="http://schemas.openxmlformats.org/officeDocument/2006/relationships/hyperlink" Target="http://biology.burke.washington.edu/herbarium/imagecollection/taxon.php?Taxon=Erythronium%20grandiflorum" TargetMode="External"/><Relationship Id="rId486" Type="http://schemas.openxmlformats.org/officeDocument/2006/relationships/hyperlink" Target="http://biology.burke.washington.edu/herbarium/imagecollectionnew/taxon.php?Taxon=Xerophyllum%20tenax" TargetMode="External"/><Relationship Id="rId693" Type="http://schemas.openxmlformats.org/officeDocument/2006/relationships/hyperlink" Target="https://en.wikipedia.org/wiki/Erythronium_revolutum" TargetMode="External"/><Relationship Id="rId2167" Type="http://schemas.openxmlformats.org/officeDocument/2006/relationships/hyperlink" Target="https://plants.usda.gov/core/profile?symbol=ERQU4" TargetMode="External"/><Relationship Id="rId2374" Type="http://schemas.openxmlformats.org/officeDocument/2006/relationships/hyperlink" Target="http://plants.usda.gov/java/profile?symbol=ASDE6" TargetMode="External"/><Relationship Id="rId2581" Type="http://schemas.openxmlformats.org/officeDocument/2006/relationships/hyperlink" Target="http://plants.usda.gov/java/profile?symbol=CALY3" TargetMode="External"/><Relationship Id="rId3218" Type="http://schemas.openxmlformats.org/officeDocument/2006/relationships/hyperlink" Target="http://www.burkemuseum.org/research-and-collections/botany-and-herbarium/collections/database/results.php?Genus=Pleuricospora&amp;Species=fimbriolata&amp;SourcePage=search.php&amp;IncludeSynonyms=Y&amp;SortBy=DESC&amp;SortOrder=Year" TargetMode="External"/><Relationship Id="rId3425" Type="http://schemas.openxmlformats.org/officeDocument/2006/relationships/hyperlink" Target="http://www.burkemuseum.org/research-and-collections/botany-and-herbarium/collections/database/results.php?Genus=Valeriana&amp;Species=scouleri&amp;SourcePage=search.php&amp;IncludeSynonyms=Y&amp;SortBy=DESC&amp;SortOrder=Year" TargetMode="External"/><Relationship Id="rId3632" Type="http://schemas.openxmlformats.org/officeDocument/2006/relationships/hyperlink" Target="https://plants.usda.gov/core/profile?symbol=ACMI2" TargetMode="External"/><Relationship Id="rId6788" Type="http://schemas.openxmlformats.org/officeDocument/2006/relationships/hyperlink" Target="http://biology.burke.washington.edu/herbarium/imagecollection/taxon.php?Taxon=Equisetum%20palustre" TargetMode="External"/><Relationship Id="rId139" Type="http://schemas.openxmlformats.org/officeDocument/2006/relationships/hyperlink" Target="http://biology.burke.washington.edu/herbarium/imagecollection/taxon.php?Taxon=Juncus%20mertensianus" TargetMode="External"/><Relationship Id="rId346" Type="http://schemas.openxmlformats.org/officeDocument/2006/relationships/hyperlink" Target="http://biology.burke.washington.edu/herbarium/imagecollectionnew/taxon.php?Taxon=Calamagrostis%20stricta" TargetMode="External"/><Relationship Id="rId553" Type="http://schemas.openxmlformats.org/officeDocument/2006/relationships/hyperlink" Target="https://en.wikipedia.org/wiki/Tellima" TargetMode="External"/><Relationship Id="rId760" Type="http://schemas.openxmlformats.org/officeDocument/2006/relationships/hyperlink" Target="https://en.wikipedia.org/wiki/Crocidium_multicaule" TargetMode="External"/><Relationship Id="rId1183" Type="http://schemas.openxmlformats.org/officeDocument/2006/relationships/hyperlink" Target="http://biology.burke.washington.edu/herbarium/imagecollectionnew/taxon.php?Taxon=Tsuga%20mertensiana" TargetMode="External"/><Relationship Id="rId1390" Type="http://schemas.openxmlformats.org/officeDocument/2006/relationships/hyperlink" Target="http://biology.burke.washington.edu/herbarium/imagecollection/taxon.php?Taxon=Picea%20sitchensis" TargetMode="External"/><Relationship Id="rId2027" Type="http://schemas.openxmlformats.org/officeDocument/2006/relationships/hyperlink" Target="https://plants.usda.gov/core/profile?symbol=MAMO9" TargetMode="External"/><Relationship Id="rId2234" Type="http://schemas.openxmlformats.org/officeDocument/2006/relationships/hyperlink" Target="http://plants.usda.gov/java/profile?symbol=CYER2" TargetMode="External"/><Relationship Id="rId2441" Type="http://schemas.openxmlformats.org/officeDocument/2006/relationships/hyperlink" Target="https://plants.usda.gov/core/profile?symbol=CEMU2" TargetMode="External"/><Relationship Id="rId5597" Type="http://schemas.openxmlformats.org/officeDocument/2006/relationships/hyperlink" Target="http://www.burkemuseum.org/research-and-collections/botany-and-herbarium/collections/database/results.php?Genus=Carex&amp;Species=pluriflora&amp;SourcePage=search.php&amp;IncludeSynonyms=Y&amp;SortBy=DESC&amp;SortOrder=Year" TargetMode="External"/><Relationship Id="rId6995" Type="http://schemas.openxmlformats.org/officeDocument/2006/relationships/hyperlink" Target="http://biology.burke.washington.edu/herbarium/imagecollectionnew/taxon.php?Taxon=Delphinium%20nuttallii" TargetMode="External"/><Relationship Id="rId206" Type="http://schemas.openxmlformats.org/officeDocument/2006/relationships/hyperlink" Target="http://biology.burke.washington.edu/herbarium/imagecollection/taxon.php?Taxon=Comarum%20palustre" TargetMode="External"/><Relationship Id="rId413" Type="http://schemas.openxmlformats.org/officeDocument/2006/relationships/hyperlink" Target="http://biology.burke.washington.edu/herbarium/imagecollectionnew/taxon.php?Taxon=Cirsium%20brevistylum" TargetMode="External"/><Relationship Id="rId1043" Type="http://schemas.openxmlformats.org/officeDocument/2006/relationships/hyperlink" Target="https://plants.usda.gov/core/profile?symbol=ACMI2" TargetMode="External"/><Relationship Id="rId4199" Type="http://schemas.openxmlformats.org/officeDocument/2006/relationships/hyperlink" Target="https://plants.usda.gov/core/profile?symbol=PEAT3" TargetMode="External"/><Relationship Id="rId6648" Type="http://schemas.openxmlformats.org/officeDocument/2006/relationships/hyperlink" Target="http://biology.burke.washington.edu/herbarium/imagecollectionnew/taxon.php?Taxon=Silene%20antirrhina" TargetMode="External"/><Relationship Id="rId6855" Type="http://schemas.openxmlformats.org/officeDocument/2006/relationships/hyperlink" Target="http://biology.burke.washington.edu/herbarium/imagecollection/taxon.php?Taxon=Apocynum%20cannabinum" TargetMode="External"/><Relationship Id="rId620" Type="http://schemas.openxmlformats.org/officeDocument/2006/relationships/hyperlink" Target="https://en.wikipedia.org/wiki/Salix_prolixa" TargetMode="External"/><Relationship Id="rId1250" Type="http://schemas.openxmlformats.org/officeDocument/2006/relationships/hyperlink" Target="http://biology.burke.washington.edu/herbarium/imagecollectionnew/taxon.php?Taxon=Filipendula%20occidentalis" TargetMode="External"/><Relationship Id="rId2301" Type="http://schemas.openxmlformats.org/officeDocument/2006/relationships/hyperlink" Target="http://plants.usda.gov/core/profile?symbol=CAST5" TargetMode="External"/><Relationship Id="rId4059" Type="http://schemas.openxmlformats.org/officeDocument/2006/relationships/hyperlink" Target="https://plants.usda.gov/core/profile?symbol=LAPA4" TargetMode="External"/><Relationship Id="rId5457" Type="http://schemas.openxmlformats.org/officeDocument/2006/relationships/hyperlink" Target="https://en.wikipedia.org/wiki/Thermopsis_montana" TargetMode="External"/><Relationship Id="rId5664" Type="http://schemas.openxmlformats.org/officeDocument/2006/relationships/hyperlink" Target="http://www.burkemuseum.org/research-and-collections/botany-and-herbarium/collections/database/results.php?Genus=Corydalis&amp;Species=aquae-gelidae&amp;SourcePage=search.php&amp;IncludeSynonyms=Y&amp;SortBy=DESC&amp;SortOrder=Year" TargetMode="External"/><Relationship Id="rId5871" Type="http://schemas.openxmlformats.org/officeDocument/2006/relationships/hyperlink" Target="http://www.burkemuseum.org/research-and-collections/botany-and-herbarium/collections/database/results.php?Genus=Lewisia&amp;Species=columbiana&amp;SourcePage=search.php&amp;IncludeSynonyms=Y&amp;SortBy=DESC&amp;SortOrder=Year" TargetMode="External"/><Relationship Id="rId6508" Type="http://schemas.openxmlformats.org/officeDocument/2006/relationships/hyperlink" Target="http://biology.burke.washington.edu/herbarium/imagecollection/taxon.php?Taxon=Nothochelone%20nemorosa" TargetMode="External"/><Relationship Id="rId6715" Type="http://schemas.openxmlformats.org/officeDocument/2006/relationships/hyperlink" Target="http://biology.burke.washington.edu/herbarium/imagecollection/taxon.php?Taxon=Najas%20flexilis" TargetMode="External"/><Relationship Id="rId6922" Type="http://schemas.openxmlformats.org/officeDocument/2006/relationships/hyperlink" Target="http://biology.burke.washington.edu/herbarium/imagecollection/taxon.php?Taxon=Orthilia%20secunda" TargetMode="External"/><Relationship Id="rId1110" Type="http://schemas.openxmlformats.org/officeDocument/2006/relationships/hyperlink" Target="https://en.wikipedia.org/wiki/Boschniakia" TargetMode="External"/><Relationship Id="rId4266" Type="http://schemas.openxmlformats.org/officeDocument/2006/relationships/hyperlink" Target="https://plants.usda.gov/core/profile?symbol=PONO2" TargetMode="External"/><Relationship Id="rId4473" Type="http://schemas.openxmlformats.org/officeDocument/2006/relationships/hyperlink" Target="https://plants.usda.gov/core/profile?symbol=TROV2" TargetMode="External"/><Relationship Id="rId4680" Type="http://schemas.openxmlformats.org/officeDocument/2006/relationships/hyperlink" Target="http://www.burkemuseum.org/research-and-collections/botany-and-herbarium/collections/database/results.php?Genus=Botrychium&amp;Species=virginianum&amp;SourcePage=search.php&amp;IncludeSynonyms=Y&amp;SortBy=DESC&amp;SortOrder=Year" TargetMode="External"/><Relationship Id="rId5317" Type="http://schemas.openxmlformats.org/officeDocument/2006/relationships/hyperlink" Target="https://en.wikipedia.org/wiki/Ribes_bracteosum" TargetMode="External"/><Relationship Id="rId5524" Type="http://schemas.openxmlformats.org/officeDocument/2006/relationships/hyperlink" Target="https://en.wikipedia.org/wiki/Xanthium_strumarium" TargetMode="External"/><Relationship Id="rId5731" Type="http://schemas.openxmlformats.org/officeDocument/2006/relationships/hyperlink" Target="http://www.burkemuseum.org/research-and-collections/botany-and-herbarium/collections/database/results.php?Genus=Erigeron&amp;Species=philadelphicus&amp;SourcePage=search.php&amp;IncludeSynonyms=Y&amp;SortBy=DESC&amp;SortOrder=Year" TargetMode="External"/><Relationship Id="rId1927" Type="http://schemas.openxmlformats.org/officeDocument/2006/relationships/hyperlink" Target="http://plants.usda.gov/java/profile?symbol=POAN2" TargetMode="External"/><Relationship Id="rId3075" Type="http://schemas.openxmlformats.org/officeDocument/2006/relationships/hyperlink" Target="http://www.burkemuseum.org/research-and-collections/botany-and-herbarium/collections/database/results.php?Genus=Lathyrus&amp;Species=holochlorus&amp;SourcePage=search.php&amp;IncludeSynonyms=Y&amp;SortBy=DESC&amp;SortOrder=Year" TargetMode="External"/><Relationship Id="rId3282" Type="http://schemas.openxmlformats.org/officeDocument/2006/relationships/hyperlink" Target="http://www.burkemuseum.org/research-and-collections/botany-and-herbarium/collections/database/results.php?Genus=Ribes&amp;Species=lacustre&amp;SourcePage=search.php&amp;IncludeSynonyms=Y&amp;SortBy=DESC&amp;SortOrder=Year" TargetMode="External"/><Relationship Id="rId4126" Type="http://schemas.openxmlformats.org/officeDocument/2006/relationships/hyperlink" Target="https://plants.usda.gov/core/profile?symbol=MEOR" TargetMode="External"/><Relationship Id="rId4333" Type="http://schemas.openxmlformats.org/officeDocument/2006/relationships/hyperlink" Target="https://plants.usda.gov/core/profile?symbol=RULE" TargetMode="External"/><Relationship Id="rId4540" Type="http://schemas.openxmlformats.org/officeDocument/2006/relationships/hyperlink" Target="https://en.wikipedia.org/wiki/Actaea_elata" TargetMode="External"/><Relationship Id="rId2091" Type="http://schemas.openxmlformats.org/officeDocument/2006/relationships/hyperlink" Target="http://plants.usda.gov/java/profile?symbol=JUOX" TargetMode="External"/><Relationship Id="rId3142" Type="http://schemas.openxmlformats.org/officeDocument/2006/relationships/hyperlink" Target="http://www.burkemuseum.org/research-and-collections/botany-and-herbarium/collections/database/results.php?Genus=Microseris&amp;Species=borealis&amp;SourcePage=search.php&amp;IncludeSynonyms=Y&amp;SortBy=DESC&amp;SortOrder=Year" TargetMode="External"/><Relationship Id="rId4400" Type="http://schemas.openxmlformats.org/officeDocument/2006/relationships/hyperlink" Target="https://plants.usda.gov/core/profile?symbol=SICA2" TargetMode="External"/><Relationship Id="rId6298" Type="http://schemas.openxmlformats.org/officeDocument/2006/relationships/hyperlink" Target="http://www.burkemuseum.org/research-and-collections/botany-and-herbarium/collections/database/results.php?Genus=Veratrum&amp;Species=californicum&amp;SourcePage=search.php&amp;IncludeSynonyms=Y&amp;SortBy=DESC&amp;SortOrder=Year" TargetMode="External"/><Relationship Id="rId270" Type="http://schemas.openxmlformats.org/officeDocument/2006/relationships/hyperlink" Target="http://biology.burke.washington.edu/herbarium/imagecollection/taxon.php?Taxon=Glyceria%20striata" TargetMode="External"/><Relationship Id="rId3002" Type="http://schemas.openxmlformats.org/officeDocument/2006/relationships/hyperlink" Target="http://www.burkemuseum.org/research-and-collections/botany-and-herbarium/collections/database/results.php?Genus=Fritillaria&amp;Species=pudica&amp;SourcePage=search.php&amp;IncludeSynonyms=Y&amp;SortBy=DESC&amp;SortOrder=Year" TargetMode="External"/><Relationship Id="rId6158" Type="http://schemas.openxmlformats.org/officeDocument/2006/relationships/hyperlink" Target="http://www.burkemuseum.org/research-and-collections/botany-and-herbarium/collections/database/results.php?Genus=Salix&amp;Species=lasiolepis&amp;SourcePage=search.php&amp;IncludeSynonyms=Y&amp;SortBy=DESC&amp;SortOrder=Year" TargetMode="External"/><Relationship Id="rId6365" Type="http://schemas.openxmlformats.org/officeDocument/2006/relationships/hyperlink" Target="http://biology.burke.washington.edu/herbarium/imagecollectionnew/taxon.php?Taxon=Amelanchier%20alnifolia" TargetMode="External"/><Relationship Id="rId6572" Type="http://schemas.openxmlformats.org/officeDocument/2006/relationships/hyperlink" Target="http://biology.burke.washington.edu/herbarium/imagecollection/taxon.php?Taxon=Madia%20exigua" TargetMode="External"/><Relationship Id="rId7209" Type="http://schemas.openxmlformats.org/officeDocument/2006/relationships/hyperlink" Target="http://biology.burke.washington.edu/herbarium/imagecollection/taxon.php?Taxon=Pteridium%20aquilinum" TargetMode="External"/><Relationship Id="rId130" Type="http://schemas.openxmlformats.org/officeDocument/2006/relationships/hyperlink" Target="http://biology.burke.washington.edu/herbarium/imagecollection/taxon.php?Taxon=Platanthera%20dilatata" TargetMode="External"/><Relationship Id="rId3959" Type="http://schemas.openxmlformats.org/officeDocument/2006/relationships/hyperlink" Target="https://plants.usda.gov/core/profile?symbol=FRVE" TargetMode="External"/><Relationship Id="rId5174" Type="http://schemas.openxmlformats.org/officeDocument/2006/relationships/hyperlink" Target="https://en.wikipedia.org/wiki/Nuttallanthus_texanus" TargetMode="External"/><Relationship Id="rId5381" Type="http://schemas.openxmlformats.org/officeDocument/2006/relationships/hyperlink" Target="https://en.wikipedia.org/wiki/Schoenoplectus_acutus" TargetMode="External"/><Relationship Id="rId6018" Type="http://schemas.openxmlformats.org/officeDocument/2006/relationships/hyperlink" Target="http://www.burkemuseum.org/research-and-collections/botany-and-herbarium/collections/database/results.php?Genus=Phlox&amp;Species=diffusa&amp;SourcePage=search.php&amp;IncludeSynonyms=Y&amp;SortBy=DESC&amp;SortOrder=Year" TargetMode="External"/><Relationship Id="rId6225" Type="http://schemas.openxmlformats.org/officeDocument/2006/relationships/hyperlink" Target="http://www.burkemuseum.org/research-and-collections/botany-and-herbarium/collections/database/results.php?Genus=Spiraea&amp;Species=pyramidata&amp;SourcePage=search.php&amp;IncludeSynonyms=Y&amp;SortBy=DESC&amp;SortOrder=Year" TargetMode="External"/><Relationship Id="rId2768" Type="http://schemas.openxmlformats.org/officeDocument/2006/relationships/hyperlink" Target="http://www.burkemuseum.org/research-and-collections/botany-and-herbarium/collections/database/results.php?Genus=Arctostaphylos&amp;Species=columbiana&amp;SourcePage=search.php&amp;IncludeSynonyms=Y&amp;SortBy=DESC&amp;SortOrder=Year" TargetMode="External"/><Relationship Id="rId2975" Type="http://schemas.openxmlformats.org/officeDocument/2006/relationships/hyperlink" Target="http://www.burkemuseum.org/research-and-collections/botany-and-herbarium/collections/database/results.php?Genus=Erigeron&amp;Species=speciosus&amp;SourcePage=search.php&amp;IncludeSynonyms=Y&amp;SortBy=DESC&amp;SortOrder=Year" TargetMode="External"/><Relationship Id="rId3819" Type="http://schemas.openxmlformats.org/officeDocument/2006/relationships/hyperlink" Target="https://plants.usda.gov/core/profile?symbol=CHBE4" TargetMode="External"/><Relationship Id="rId5034" Type="http://schemas.openxmlformats.org/officeDocument/2006/relationships/hyperlink" Target="https://en.wikipedia.org/wiki/Hydrophyllum_tenuipes" TargetMode="External"/><Relationship Id="rId6432" Type="http://schemas.openxmlformats.org/officeDocument/2006/relationships/hyperlink" Target="http://biology.burke.washington.edu/herbarium/imagecollectionnew/taxon.php?Taxon=Cicuta%20douglasii" TargetMode="External"/><Relationship Id="rId947" Type="http://schemas.openxmlformats.org/officeDocument/2006/relationships/hyperlink" Target="https://en.wikipedia.org/wiki/Cardionema_ramosissimum" TargetMode="External"/><Relationship Id="rId1577" Type="http://schemas.openxmlformats.org/officeDocument/2006/relationships/hyperlink" Target="http://en.wikipedia.org/wiki/Callitropsis_nootkatensis" TargetMode="External"/><Relationship Id="rId1784" Type="http://schemas.openxmlformats.org/officeDocument/2006/relationships/hyperlink" Target="http://plants.usda.gov/java/profile?symbol=STCR2" TargetMode="External"/><Relationship Id="rId1991" Type="http://schemas.openxmlformats.org/officeDocument/2006/relationships/hyperlink" Target="http://plants.usda.gov/java/profile?symbol=NAFL" TargetMode="External"/><Relationship Id="rId2628" Type="http://schemas.openxmlformats.org/officeDocument/2006/relationships/hyperlink" Target="http://biology.burke.washington.edu/herbarium/imagecollectionnew/taxon.php?Taxon=Pseudognaphalium%20stramineum" TargetMode="External"/><Relationship Id="rId2835" Type="http://schemas.openxmlformats.org/officeDocument/2006/relationships/hyperlink" Target="http://www.burkemuseum.org/research-and-collections/botany-and-herbarium/collections/database/results.php?Genus=Carex&amp;Species=comosa&amp;SourcePage=search.php&amp;IncludeSynonyms=Y&amp;SortBy=DESC&amp;SortOrder=Year" TargetMode="External"/><Relationship Id="rId4190" Type="http://schemas.openxmlformats.org/officeDocument/2006/relationships/hyperlink" Target="https://plants.usda.gov/core/profile?symbol=MITRT" TargetMode="External"/><Relationship Id="rId5241" Type="http://schemas.openxmlformats.org/officeDocument/2006/relationships/hyperlink" Target="https://en.wikipedia.org/wiki/Plectritis_congesta" TargetMode="External"/><Relationship Id="rId76" Type="http://schemas.openxmlformats.org/officeDocument/2006/relationships/hyperlink" Target="http://biology.burke.washington.edu/herbarium/imagecollection/taxon.php?Taxon=Lathyrus%20nevadensis" TargetMode="External"/><Relationship Id="rId807" Type="http://schemas.openxmlformats.org/officeDocument/2006/relationships/hyperlink" Target="https://en.wikipedia.org/wiki/Phlox_diffusa" TargetMode="External"/><Relationship Id="rId1437" Type="http://schemas.openxmlformats.org/officeDocument/2006/relationships/hyperlink" Target="http://biology.burke.washington.edu/herbarium/imagecollectionnew/taxon.php?Taxon=Calamagrostis%20nutkaensis" TargetMode="External"/><Relationship Id="rId1644" Type="http://schemas.openxmlformats.org/officeDocument/2006/relationships/hyperlink" Target="http://biology.burke.washington.edu/herbarium/imagecollectionnew/taxon.php?Taxon=Alnus%20rubra" TargetMode="External"/><Relationship Id="rId1851" Type="http://schemas.openxmlformats.org/officeDocument/2006/relationships/hyperlink" Target="https://plants.usda.gov/core/profile?symbol=saba3" TargetMode="External"/><Relationship Id="rId2902" Type="http://schemas.openxmlformats.org/officeDocument/2006/relationships/hyperlink" Target="http://www.burkemuseum.org/research-and-collections/botany-and-herbarium/collections/database/results.php?Genus=Collomia&amp;Species=linearis&amp;SourcePage=search.php&amp;IncludeSynonyms=Y&amp;SortBy=DESC&amp;SortOrder=Year" TargetMode="External"/><Relationship Id="rId4050" Type="http://schemas.openxmlformats.org/officeDocument/2006/relationships/hyperlink" Target="https://plants.usda.gov/core/profile?symbol=KOMA" TargetMode="External"/><Relationship Id="rId5101" Type="http://schemas.openxmlformats.org/officeDocument/2006/relationships/hyperlink" Target="https://en.wikipedia.org/wiki/Lupinus_littoralis" TargetMode="External"/><Relationship Id="rId1504" Type="http://schemas.openxmlformats.org/officeDocument/2006/relationships/hyperlink" Target="https://en.wikipedia.org/wiki/Salix_lasiolepis" TargetMode="External"/><Relationship Id="rId1711" Type="http://schemas.openxmlformats.org/officeDocument/2006/relationships/hyperlink" Target="http://plants.usda.gov/java/profile?symbol=XAST" TargetMode="External"/><Relationship Id="rId4867" Type="http://schemas.openxmlformats.org/officeDocument/2006/relationships/hyperlink" Target="https://en.wikipedia.org/wiki/Corallorhiza_trifida" TargetMode="External"/><Relationship Id="rId7066" Type="http://schemas.openxmlformats.org/officeDocument/2006/relationships/hyperlink" Target="http://biology.burke.washington.edu/herbarium/imagecollectionnew/taxon.php?Taxon=Xerophyllum%20tenax" TargetMode="External"/><Relationship Id="rId3469" Type="http://schemas.openxmlformats.org/officeDocument/2006/relationships/hyperlink" Target="http://www.burkemuseum.org/research-and-collections/botany-and-herbarium/collections/database/results.php?Genus=Boykinia&amp;Species=occidentalis&amp;SourcePage=search.php&amp;IncludeSynonyms=Y&amp;SortBy=DESC&amp;SortOrder=Year" TargetMode="External"/><Relationship Id="rId3676" Type="http://schemas.openxmlformats.org/officeDocument/2006/relationships/hyperlink" Target="https://plants.usda.gov/core/profile?symbol=ANRA" TargetMode="External"/><Relationship Id="rId5918" Type="http://schemas.openxmlformats.org/officeDocument/2006/relationships/hyperlink" Target="http://www.burkemuseum.org/research-and-collections/botany-and-herbarium/collections/database/results.php?Genus=Madia&amp;Species=gracilis&amp;SourcePage=search.php&amp;IncludeSynonyms=Y&amp;SortBy=DESC&amp;SortOrder=Year" TargetMode="External"/><Relationship Id="rId6082" Type="http://schemas.openxmlformats.org/officeDocument/2006/relationships/hyperlink" Target="http://www.burkemuseum.org/research-and-collections/botany-and-herbarium/collections/database/results.php?Genus=Prunus&amp;Species=virginiana&amp;SourcePage=search.php&amp;IncludeSynonyms=Y&amp;SortBy=DESC&amp;SortOrder=Year" TargetMode="External"/><Relationship Id="rId7133" Type="http://schemas.openxmlformats.org/officeDocument/2006/relationships/hyperlink" Target="http://biology.burke.washington.edu/herbarium/imagecollectionnew/taxon.php?Taxon=Sisyrinchium%20californicum" TargetMode="External"/><Relationship Id="rId597" Type="http://schemas.openxmlformats.org/officeDocument/2006/relationships/hyperlink" Target="https://en.wikipedia.org/wiki/Sequoia_sempervirens" TargetMode="External"/><Relationship Id="rId2278" Type="http://schemas.openxmlformats.org/officeDocument/2006/relationships/hyperlink" Target="https://plants.usda.gov/core/profile?symbol=CHUM" TargetMode="External"/><Relationship Id="rId2485" Type="http://schemas.openxmlformats.org/officeDocument/2006/relationships/hyperlink" Target="http://plants.usda.gov/java/profile?symbol=RILO" TargetMode="External"/><Relationship Id="rId3329" Type="http://schemas.openxmlformats.org/officeDocument/2006/relationships/hyperlink" Target="http://www.burkemuseum.org/research-and-collections/botany-and-herbarium/collections/database/results.php?Genus=Scheuchzeria&amp;Species=palustris&amp;SourcePage=search.php&amp;IncludeSynonyms=Y&amp;SortBy=DESC&amp;SortOrder=Year" TargetMode="External"/><Relationship Id="rId3883" Type="http://schemas.openxmlformats.org/officeDocument/2006/relationships/hyperlink" Target="https://plants.usda.gov/core/profile?symbol=DEME" TargetMode="External"/><Relationship Id="rId4727" Type="http://schemas.openxmlformats.org/officeDocument/2006/relationships/hyperlink" Target="https://en.wikipedia.org/wiki/Balsamorhiza_deltoidea" TargetMode="External"/><Relationship Id="rId4934" Type="http://schemas.openxmlformats.org/officeDocument/2006/relationships/hyperlink" Target="https://en.wikipedia.org/wiki/Epipactis_gigantea" TargetMode="External"/><Relationship Id="rId7200" Type="http://schemas.openxmlformats.org/officeDocument/2006/relationships/hyperlink" Target="http://biology.burke.washington.edu/herbarium/imagecollection/taxon.php?Taxon=Rhododendron%20groenlandicum" TargetMode="External"/><Relationship Id="rId457" Type="http://schemas.openxmlformats.org/officeDocument/2006/relationships/hyperlink" Target="http://biology.burke.washington.edu/herbarium/imagecollectionnew/taxon.php?Taxon=Danthonia%20intermedia" TargetMode="External"/><Relationship Id="rId1087" Type="http://schemas.openxmlformats.org/officeDocument/2006/relationships/hyperlink" Target="https://en.wikipedia.org/wiki/Linnaea" TargetMode="External"/><Relationship Id="rId1294" Type="http://schemas.openxmlformats.org/officeDocument/2006/relationships/hyperlink" Target="https://en.wikipedia.org/wiki/Sidalcea" TargetMode="External"/><Relationship Id="rId2138" Type="http://schemas.openxmlformats.org/officeDocument/2006/relationships/hyperlink" Target="https://plants.usda.gov/core/profile?symbol=GICA5" TargetMode="External"/><Relationship Id="rId2692" Type="http://schemas.openxmlformats.org/officeDocument/2006/relationships/hyperlink" Target="http://biology.burke.washington.edu/herbarium/imagecollectionnew/taxon.php?Taxon=Solidago%20simplex" TargetMode="External"/><Relationship Id="rId3536" Type="http://schemas.openxmlformats.org/officeDocument/2006/relationships/hyperlink" Target="http://www.burkemuseum.org/research-and-collections/botany-and-herbarium/collections/database/results.php?Genus=Nothochelone&amp;Species=nemorosa&amp;SourcePage=search.php&amp;IncludeSynonyms=Y&amp;SortBy=DESC&amp;SortOrder=Year" TargetMode="External"/><Relationship Id="rId3743" Type="http://schemas.openxmlformats.org/officeDocument/2006/relationships/hyperlink" Target="https://plants.usda.gov/core/profile?symbol=CACI2" TargetMode="External"/><Relationship Id="rId3950" Type="http://schemas.openxmlformats.org/officeDocument/2006/relationships/hyperlink" Target="https://plants.usda.gov/core/profile?symbol=EUOC8" TargetMode="External"/><Relationship Id="rId6899" Type="http://schemas.openxmlformats.org/officeDocument/2006/relationships/hyperlink" Target="http://biology.burke.washington.edu/herbarium/imagecollection/taxon.php?Taxon=Pterospora%20andromedea" TargetMode="External"/><Relationship Id="rId664" Type="http://schemas.openxmlformats.org/officeDocument/2006/relationships/hyperlink" Target="https://en.wikipedia.org/wiki/Ranunculus_cymbalaria" TargetMode="External"/><Relationship Id="rId871" Type="http://schemas.openxmlformats.org/officeDocument/2006/relationships/hyperlink" Target="http://en.wikipedia.org/wiki/Madia_exigua" TargetMode="External"/><Relationship Id="rId2345" Type="http://schemas.openxmlformats.org/officeDocument/2006/relationships/hyperlink" Target="http://plants.usda.gov/java/profile?symbol=CACA4" TargetMode="External"/><Relationship Id="rId2552" Type="http://schemas.openxmlformats.org/officeDocument/2006/relationships/hyperlink" Target="http://plants.usda.gov/java/profile?symbol=GLLI" TargetMode="External"/><Relationship Id="rId3603" Type="http://schemas.openxmlformats.org/officeDocument/2006/relationships/hyperlink" Target="http://www.burkemuseum.org/research-and-collections/botany-and-herbarium/collections/database/results.php?Genus=Trientalis&amp;Species=latifolia&amp;SourcePage=search.php&amp;IncludeSynonyms=Y&amp;SortBy=DESC&amp;SortOrder=Year" TargetMode="External"/><Relationship Id="rId3810" Type="http://schemas.openxmlformats.org/officeDocument/2006/relationships/hyperlink" Target="https://plants.usda.gov/core/profile?symbol=CEPR" TargetMode="External"/><Relationship Id="rId6759" Type="http://schemas.openxmlformats.org/officeDocument/2006/relationships/hyperlink" Target="http://biology.burke.washington.edu/herbarium/imagecollection/taxon.php?Taxon=Jaumea%20carnosa" TargetMode="External"/><Relationship Id="rId6966" Type="http://schemas.openxmlformats.org/officeDocument/2006/relationships/hyperlink" Target="http://biology.burke.washington.edu/herbarium/imagecollection/taxon.php?Taxon=Heterotheca%20oregona" TargetMode="External"/><Relationship Id="rId317" Type="http://schemas.openxmlformats.org/officeDocument/2006/relationships/hyperlink" Target="http://biology.burke.washington.edu/herbarium/imagecollectionnew/taxon.php?Taxon=Bidens%20cernua" TargetMode="External"/><Relationship Id="rId524" Type="http://schemas.openxmlformats.org/officeDocument/2006/relationships/hyperlink" Target="https://en.wikipedia.org/wiki/Vaccinium_ovalifolium" TargetMode="External"/><Relationship Id="rId731" Type="http://schemas.openxmlformats.org/officeDocument/2006/relationships/hyperlink" Target="https://en.wikipedia.org/wiki/Dulichium_arundinaceum" TargetMode="External"/><Relationship Id="rId1154" Type="http://schemas.openxmlformats.org/officeDocument/2006/relationships/hyperlink" Target="https://en.wikipedia.org/wiki/Geum_macrophyllum" TargetMode="External"/><Relationship Id="rId1361" Type="http://schemas.openxmlformats.org/officeDocument/2006/relationships/hyperlink" Target="http://biology.burke.washington.edu/herbarium/imagecollection/taxon.php?Taxon=Symphoricarpos%20mollis" TargetMode="External"/><Relationship Id="rId2205" Type="http://schemas.openxmlformats.org/officeDocument/2006/relationships/hyperlink" Target="http://plants.usda.gov/java/profile?symbol=ELAC" TargetMode="External"/><Relationship Id="rId2412" Type="http://schemas.openxmlformats.org/officeDocument/2006/relationships/hyperlink" Target="http://plants.usda.gov/java/profile?symbol=ALVIS" TargetMode="External"/><Relationship Id="rId5568" Type="http://schemas.openxmlformats.org/officeDocument/2006/relationships/hyperlink" Target="http://www.burkemuseum.org/research-and-collections/botany-and-herbarium/collections/database/results.php?Genus=Cardamine&amp;Species=pensylvanica&amp;SourcePage=search.php&amp;IncludeSynonyms=Y&amp;SortBy=DESC&amp;SortOrder=Year" TargetMode="External"/><Relationship Id="rId5775" Type="http://schemas.openxmlformats.org/officeDocument/2006/relationships/hyperlink" Target="http://www.burkemuseum.org/research-and-collections/botany-and-herbarium/collections/database/results.php?Genus=Gayophytum&amp;Species=diffusum&amp;SourcePage=search.php&amp;IncludeSynonyms=Y&amp;SortBy=DESC&amp;SortOrder=Year" TargetMode="External"/><Relationship Id="rId5982" Type="http://schemas.openxmlformats.org/officeDocument/2006/relationships/hyperlink" Target="http://www.burkemuseum.org/research-and-collections/botany-and-herbarium/collections/database/results.php?Genus=Orthocarpus&amp;Species=bracteosus&amp;SourcePage=search.php&amp;IncludeSynonyms=Y&amp;SortBy=DESC&amp;SortOrder=Year" TargetMode="External"/><Relationship Id="rId6619" Type="http://schemas.openxmlformats.org/officeDocument/2006/relationships/hyperlink" Target="http://biology.burke.washington.edu/herbarium/imagecollectionnew/taxon.php?Taxon=Turritis%20glabra" TargetMode="External"/><Relationship Id="rId6826" Type="http://schemas.openxmlformats.org/officeDocument/2006/relationships/hyperlink" Target="http://biology.burke.washington.edu/herbarium/imagecollectionnew/taxon.php?Taxon=Carex%20leptopoda" TargetMode="External"/><Relationship Id="rId1014" Type="http://schemas.openxmlformats.org/officeDocument/2006/relationships/hyperlink" Target="http://en.wikipedia.org/wiki/Angelica_arguta" TargetMode="External"/><Relationship Id="rId1221" Type="http://schemas.openxmlformats.org/officeDocument/2006/relationships/hyperlink" Target="http://biology.burke.washington.edu/herbarium/imagecollectionnew/taxon.php?Taxon=Moehringia%20lateriflora" TargetMode="External"/><Relationship Id="rId4377" Type="http://schemas.openxmlformats.org/officeDocument/2006/relationships/hyperlink" Target="https://plants.usda.gov/core/profile?symbol=sabr6" TargetMode="External"/><Relationship Id="rId4584" Type="http://schemas.openxmlformats.org/officeDocument/2006/relationships/hyperlink" Target="http://www.burkemuseum.org/research-and-collections/botany-and-herbarium/collections/database/results.php?Genus=Aconitum&amp;Species=columbianum&amp;SourcePage=search.php&amp;IncludeSynonyms=Y&amp;SortBy=DESC&amp;SortOrder=Year" TargetMode="External"/><Relationship Id="rId4791" Type="http://schemas.openxmlformats.org/officeDocument/2006/relationships/hyperlink" Target="https://en.wikipedia.org/wiki/Carex_lasiocarpa" TargetMode="External"/><Relationship Id="rId5428" Type="http://schemas.openxmlformats.org/officeDocument/2006/relationships/hyperlink" Target="https://en.wikipedia.org/wiki/Spiranthes_romanzoffiana" TargetMode="External"/><Relationship Id="rId5635" Type="http://schemas.openxmlformats.org/officeDocument/2006/relationships/hyperlink" Target="http://www.burkemuseum.org/research-and-collections/botany-and-herbarium/collections/database/results.php?Genus=Cirsium&amp;Species=edule&amp;SourcePage=search.php&amp;IncludeSynonyms=Y&amp;SortBy=DESC&amp;SortOrder=Year" TargetMode="External"/><Relationship Id="rId5842" Type="http://schemas.openxmlformats.org/officeDocument/2006/relationships/hyperlink" Target="http://www.burkemuseum.org/research-and-collections/botany-and-herbarium/collections/database/results.php?Genus=Juncus&amp;Species=oxymeris&amp;SourcePage=search.php&amp;IncludeSynonyms=Y&amp;SortBy=DESC&amp;SortOrder=Year" TargetMode="External"/><Relationship Id="rId3186" Type="http://schemas.openxmlformats.org/officeDocument/2006/relationships/hyperlink" Target="http://www.burkemuseum.org/research-and-collections/botany-and-herbarium/collections/database/results.php?Genus=Parnassia&amp;Species=fimbriata&amp;SourcePage=search.php&amp;IncludeSynonyms=Y&amp;SortBy=DESC&amp;SortOrder=Year" TargetMode="External"/><Relationship Id="rId3393" Type="http://schemas.openxmlformats.org/officeDocument/2006/relationships/hyperlink" Target="http://www.burkemuseum.org/research-and-collections/botany-and-herbarium/collections/database/results.php?Genus=Thermopsis&amp;Species=montana&amp;SourcePage=search.php&amp;IncludeSynonyms=Y&amp;SortBy=DESC&amp;SortOrder=Year" TargetMode="External"/><Relationship Id="rId4237" Type="http://schemas.openxmlformats.org/officeDocument/2006/relationships/hyperlink" Target="https://plants.usda.gov/core/profile?symbol=PLCO4" TargetMode="External"/><Relationship Id="rId4444" Type="http://schemas.openxmlformats.org/officeDocument/2006/relationships/hyperlink" Target="https://plants.usda.gov/core/profile?symbol=SYHE" TargetMode="External"/><Relationship Id="rId4651" Type="http://schemas.openxmlformats.org/officeDocument/2006/relationships/hyperlink" Target="http://www.burkemuseum.org/research-and-collections/botany-and-herbarium/collections/database/results.php?Genus=Aruncus&amp;Species=dioicus&amp;SourcePage=search.php&amp;IncludeSynonyms=Y&amp;SortBy=DESC&amp;SortOrder=Year" TargetMode="External"/><Relationship Id="rId3046" Type="http://schemas.openxmlformats.org/officeDocument/2006/relationships/hyperlink" Target="http://www.burkemuseum.org/research-and-collections/botany-and-herbarium/collections/database/results.php?Genus=Howellia&amp;Species=aquatilis&amp;SourcePage=search.php&amp;IncludeSynonyms=Y&amp;SortBy=DESC&amp;SortOrder=Year" TargetMode="External"/><Relationship Id="rId3253" Type="http://schemas.openxmlformats.org/officeDocument/2006/relationships/hyperlink" Target="http://www.burkemuseum.org/research-and-collections/botany-and-herbarium/collections/database/results.php?Genus=Prunus&amp;Species=emarginata&amp;SourcePage=search.php&amp;IncludeSynonyms=Y&amp;SortBy=DESC&amp;SortOrder=Year" TargetMode="External"/><Relationship Id="rId3460" Type="http://schemas.openxmlformats.org/officeDocument/2006/relationships/hyperlink" Target="http://www.burkemuseum.org/research-and-collections/botany-and-herbarium/collections/database/results.php?Genus=Ambrosia&amp;Species=chamissonis&amp;SourcePage=search.php&amp;IncludeSynonyms=Y&amp;SortBy=DESC&amp;SortOrder=Year" TargetMode="External"/><Relationship Id="rId4304" Type="http://schemas.openxmlformats.org/officeDocument/2006/relationships/hyperlink" Target="https://plants.usda.gov/core/profile?symbol=RHMI13" TargetMode="External"/><Relationship Id="rId5702" Type="http://schemas.openxmlformats.org/officeDocument/2006/relationships/hyperlink" Target="http://www.burkemuseum.org/research-and-collections/botany-and-herbarium/collections/database/results.php?Genus=Drosera&amp;Species=rotundifolia&amp;SourcePage=search.php&amp;IncludeSynonyms=Y&amp;SortBy=DESC&amp;SortOrder=Year" TargetMode="External"/><Relationship Id="rId174" Type="http://schemas.openxmlformats.org/officeDocument/2006/relationships/hyperlink" Target="http://biology.burke.washington.edu/herbarium/imagecollection/taxon.php?Taxon=Glyceria%20elata" TargetMode="External"/><Relationship Id="rId381" Type="http://schemas.openxmlformats.org/officeDocument/2006/relationships/hyperlink" Target="http://biology.burke.washington.edu/herbarium/imagecollectionnew/taxon.php?Taxon=Cryptantha%20intermedia" TargetMode="External"/><Relationship Id="rId2062" Type="http://schemas.openxmlformats.org/officeDocument/2006/relationships/hyperlink" Target="https://plants.usda.gov/core/profile?symbol=LIBO3" TargetMode="External"/><Relationship Id="rId3113" Type="http://schemas.openxmlformats.org/officeDocument/2006/relationships/hyperlink" Target="http://www.burkemuseum.org/research-and-collections/botany-and-herbarium/collections/database/results.php?Genus=Luzula&amp;Species=comosa&amp;SourcePage=search.php&amp;IncludeSynonyms=Y&amp;SortBy=DESC&amp;SortOrder=Year" TargetMode="External"/><Relationship Id="rId4511" Type="http://schemas.openxmlformats.org/officeDocument/2006/relationships/hyperlink" Target="https://plants.usda.gov/core/profile?symbol=VIAD" TargetMode="External"/><Relationship Id="rId6269" Type="http://schemas.openxmlformats.org/officeDocument/2006/relationships/hyperlink" Target="http://www.burkemuseum.org/research-and-collections/botany-and-herbarium/collections/database/results.php?Genus=Trifolium&amp;Species=wormskioldii&amp;SourcePage=search.php&amp;IncludeSynonyms=Y&amp;SortBy=DESC&amp;SortOrder=Year" TargetMode="External"/><Relationship Id="rId241" Type="http://schemas.openxmlformats.org/officeDocument/2006/relationships/hyperlink" Target="http://biology.burke.washington.edu/herbarium/imagecollection/taxon.php?Taxon=Hemitomes%20congestum" TargetMode="External"/><Relationship Id="rId3320" Type="http://schemas.openxmlformats.org/officeDocument/2006/relationships/hyperlink" Target="http://www.burkemuseum.org/research-and-collections/botany-and-herbarium/collections/database/results.php?Genus=Sambucus&amp;Species=racemosa&amp;SourcePage=search.php&amp;IncludeSynonyms=Y&amp;SortBy=DESC&amp;SortOrder=Year" TargetMode="External"/><Relationship Id="rId5078" Type="http://schemas.openxmlformats.org/officeDocument/2006/relationships/hyperlink" Target="https://en.wikipedia.org/wiki/Ligusticum_apiifolium" TargetMode="External"/><Relationship Id="rId6476" Type="http://schemas.openxmlformats.org/officeDocument/2006/relationships/hyperlink" Target="http://biology.burke.washington.edu/herbarium/imagecollection/taxon.php?Taxon=Elymus%20glaucus" TargetMode="External"/><Relationship Id="rId6683" Type="http://schemas.openxmlformats.org/officeDocument/2006/relationships/hyperlink" Target="http://biology.burke.washington.edu/herbarium/imagecollection/taxon.php?Taxon=Potamogeton%20gramineus" TargetMode="External"/><Relationship Id="rId6890" Type="http://schemas.openxmlformats.org/officeDocument/2006/relationships/hyperlink" Target="http://biology.burke.washington.edu/herbarium/imagecollectionnew/taxon.php?Taxon=Sanguisorba%20menziesii" TargetMode="External"/><Relationship Id="rId2879" Type="http://schemas.openxmlformats.org/officeDocument/2006/relationships/hyperlink" Target="http://www.burkemuseum.org/research-and-collections/botany-and-herbarium/collections/database/results.php?Genus=Chrysosplenium&amp;Species=glechomifolium&amp;SourcePage=search.php&amp;IncludeSynonyms=Y&amp;SortBy=DESC&amp;SortOrder=Year" TargetMode="External"/><Relationship Id="rId5285" Type="http://schemas.openxmlformats.org/officeDocument/2006/relationships/hyperlink" Target="https://en.wikipedia.org/wiki/Pseudognaphalium_thermale" TargetMode="External"/><Relationship Id="rId5492" Type="http://schemas.openxmlformats.org/officeDocument/2006/relationships/hyperlink" Target="https://en.wikipedia.org/wiki/Vaccinium_ovalifolium" TargetMode="External"/><Relationship Id="rId6129" Type="http://schemas.openxmlformats.org/officeDocument/2006/relationships/hyperlink" Target="http://www.burkemuseum.org/research-and-collections/botany-and-herbarium/collections/database/results.php?Genus=Rosa&amp;Species=pisocarpa&amp;SourcePage=search.php&amp;IncludeSynonyms=Y&amp;SortBy=DESC&amp;SortOrder=Year" TargetMode="External"/><Relationship Id="rId6336" Type="http://schemas.openxmlformats.org/officeDocument/2006/relationships/hyperlink" Target="https://plants.usda.gov/core/profile?symbol=rhoc" TargetMode="External"/><Relationship Id="rId6543" Type="http://schemas.openxmlformats.org/officeDocument/2006/relationships/hyperlink" Target="http://biology.burke.washington.edu/herbarium/imagecollection/taxon.php?Taxon=Juniperus%20scopulorum" TargetMode="External"/><Relationship Id="rId6750" Type="http://schemas.openxmlformats.org/officeDocument/2006/relationships/hyperlink" Target="http://biology.burke.washington.edu/herbarium/imagecollection/taxon.php?Taxon=Lathyrus%20torreyi" TargetMode="External"/><Relationship Id="rId101" Type="http://schemas.openxmlformats.org/officeDocument/2006/relationships/hyperlink" Target="http://biology.burke.washington.edu/herbarium/imagecollection/taxon.php?Taxon=Polystichum%20californicum" TargetMode="External"/><Relationship Id="rId1688" Type="http://schemas.openxmlformats.org/officeDocument/2006/relationships/hyperlink" Target="http://biology.burke.washington.edu/herbarium/imagecollection/taxon.php?Taxon=Erythranthe%20alsinoides" TargetMode="External"/><Relationship Id="rId1895" Type="http://schemas.openxmlformats.org/officeDocument/2006/relationships/hyperlink" Target="https://plants.usda.gov/core/profile?symbol=PUNU2" TargetMode="External"/><Relationship Id="rId2739" Type="http://schemas.openxmlformats.org/officeDocument/2006/relationships/hyperlink" Target="http://www.burkemuseum.org/research-and-collections/botany-and-herbarium/collections/database/results.php?Genus=Allotropa&amp;Species=virgata&amp;SourcePage=search.php&amp;IncludeSynonyms=Y&amp;SortBy=DESC&amp;SortOrder=Year" TargetMode="External"/><Relationship Id="rId2946" Type="http://schemas.openxmlformats.org/officeDocument/2006/relationships/hyperlink" Target="http://www.burkemuseum.org/research-and-collections/botany-and-herbarium/collections/database/results.php?Genus=Drymocallis&amp;Species=glandulosa&amp;SourcePage=search.php&amp;IncludeSynonyms=Y&amp;SortBy=DESC&amp;SortOrder=Year" TargetMode="External"/><Relationship Id="rId4094" Type="http://schemas.openxmlformats.org/officeDocument/2006/relationships/hyperlink" Target="https://plants.usda.gov/core/profile?symbol=LUAL3" TargetMode="External"/><Relationship Id="rId5145" Type="http://schemas.openxmlformats.org/officeDocument/2006/relationships/hyperlink" Target="https://en.wikipedia.org/wiki/Moehringia_lateriflora" TargetMode="External"/><Relationship Id="rId5352" Type="http://schemas.openxmlformats.org/officeDocument/2006/relationships/hyperlink" Target="https://en.wikipedia.org/wiki/Salix_commutata" TargetMode="External"/><Relationship Id="rId6403" Type="http://schemas.openxmlformats.org/officeDocument/2006/relationships/hyperlink" Target="http://biology.burke.washington.edu/herbarium/imagecollectionnew/taxon.php?Taxon=Caltha%20leptosepala" TargetMode="External"/><Relationship Id="rId6610" Type="http://schemas.openxmlformats.org/officeDocument/2006/relationships/hyperlink" Target="http://biology.burke.washington.edu/herbarium/imagecollectionnew/taxon.php?Taxon=Yabea%20microcarpa" TargetMode="External"/><Relationship Id="rId918" Type="http://schemas.openxmlformats.org/officeDocument/2006/relationships/hyperlink" Target="http://en.wikipedia.org/wiki/Castilleja_levisecta" TargetMode="External"/><Relationship Id="rId1548" Type="http://schemas.openxmlformats.org/officeDocument/2006/relationships/hyperlink" Target="https://en.wikipedia.org/wiki/Pentagramma_triangularis" TargetMode="External"/><Relationship Id="rId1755" Type="http://schemas.openxmlformats.org/officeDocument/2006/relationships/hyperlink" Target="http://plants.usda.gov/java/profile?symbol=TROL" TargetMode="External"/><Relationship Id="rId4161" Type="http://schemas.openxmlformats.org/officeDocument/2006/relationships/hyperlink" Target="https://plants.usda.gov/core/profile?symbol=CHGR" TargetMode="External"/><Relationship Id="rId5005" Type="http://schemas.openxmlformats.org/officeDocument/2006/relationships/hyperlink" Target="https://en.wikipedia.org/wiki/Gymnocarpium_dryopteris" TargetMode="External"/><Relationship Id="rId5212" Type="http://schemas.openxmlformats.org/officeDocument/2006/relationships/hyperlink" Target="https://en.wikipedia.org/wiki/Persicaria_amphibia" TargetMode="External"/><Relationship Id="rId1408" Type="http://schemas.openxmlformats.org/officeDocument/2006/relationships/hyperlink" Target="http://biology.burke.washington.edu/herbarium/imagecollection/taxon.php?Taxon=Penstemon%20davidsonii" TargetMode="External"/><Relationship Id="rId1962" Type="http://schemas.openxmlformats.org/officeDocument/2006/relationships/hyperlink" Target="https://plants.usda.gov/core/profile?symbol=PERYR" TargetMode="External"/><Relationship Id="rId2806" Type="http://schemas.openxmlformats.org/officeDocument/2006/relationships/hyperlink" Target="http://www.burkemuseum.org/research-and-collections/botany-and-herbarium/collections/database/results.php?Genus=Brasenia&amp;Species=schreberi&amp;SourcePage=search.php&amp;IncludeSynonyms=Y&amp;SortBy=DESC&amp;SortOrder=Year" TargetMode="External"/><Relationship Id="rId4021" Type="http://schemas.openxmlformats.org/officeDocument/2006/relationships/hyperlink" Target="https://plants.usda.gov/core/profile?symbol=HYRA" TargetMode="External"/><Relationship Id="rId7177" Type="http://schemas.openxmlformats.org/officeDocument/2006/relationships/hyperlink" Target="http://biology.burke.washington.edu/herbarium/imagecollection/taxon.php?Taxon=Rudbeckia%20occidentalis" TargetMode="External"/><Relationship Id="rId47" Type="http://schemas.openxmlformats.org/officeDocument/2006/relationships/hyperlink" Target="http://biology.burke.washington.edu/herbarium/imagecollection/taxon.php?Taxon=Erysimum%20capitatum" TargetMode="External"/><Relationship Id="rId1615" Type="http://schemas.openxmlformats.org/officeDocument/2006/relationships/hyperlink" Target="https://en.wikipedia.org/wiki/Isolepis_cernua" TargetMode="External"/><Relationship Id="rId1822" Type="http://schemas.openxmlformats.org/officeDocument/2006/relationships/hyperlink" Target="https://plants.usda.gov/core/profile?symbol=SCAT4" TargetMode="External"/><Relationship Id="rId4978" Type="http://schemas.openxmlformats.org/officeDocument/2006/relationships/hyperlink" Target="https://en.wikipedia.org/wiki/Galium_aparine" TargetMode="External"/><Relationship Id="rId6193" Type="http://schemas.openxmlformats.org/officeDocument/2006/relationships/hyperlink" Target="http://www.burkemuseum.org/research-and-collections/botany-and-herbarium/collections/database/results.php?Genus=Sedum&amp;Species=spathulifolium&amp;SourcePage=search.php&amp;IncludeSynonyms=Y&amp;SortBy=DESC&amp;SortOrder=Year" TargetMode="External"/><Relationship Id="rId7037" Type="http://schemas.openxmlformats.org/officeDocument/2006/relationships/hyperlink" Target="http://biology.burke.washington.edu/herbarium/imagecollectionnew/taxon.php?Taxon=Bromus%20sitchensis" TargetMode="External"/><Relationship Id="rId7244" Type="http://schemas.openxmlformats.org/officeDocument/2006/relationships/hyperlink" Target="http://biology.burke.washington.edu/herbarium/imagecollectionnew/taxon.php?Taxon=Sabulina%20macra" TargetMode="External"/><Relationship Id="rId3787" Type="http://schemas.openxmlformats.org/officeDocument/2006/relationships/hyperlink" Target="https://plants.usda.gov/core/profile?symbol=capa16" TargetMode="External"/><Relationship Id="rId3994" Type="http://schemas.openxmlformats.org/officeDocument/2006/relationships/hyperlink" Target="https://plants.usda.gov/core/profile?symbol=RACY" TargetMode="External"/><Relationship Id="rId4838" Type="http://schemas.openxmlformats.org/officeDocument/2006/relationships/hyperlink" Target="https://en.wikipedia.org/wiki/Cicuta_douglasii" TargetMode="External"/><Relationship Id="rId6053" Type="http://schemas.openxmlformats.org/officeDocument/2006/relationships/hyperlink" Target="http://www.burkemuseum.org/research-and-collections/botany-and-herbarium/collections/database/results.php?Genus=Polypodium&amp;Species=glycyrrhiza&amp;SourcePage=search.php&amp;IncludeSynonyms=Y&amp;SortBy=DESC&amp;SortOrder=Year" TargetMode="External"/><Relationship Id="rId2389" Type="http://schemas.openxmlformats.org/officeDocument/2006/relationships/hyperlink" Target="http://plants.usda.gov/java/profile?symbol=AQFO" TargetMode="External"/><Relationship Id="rId2596" Type="http://schemas.openxmlformats.org/officeDocument/2006/relationships/hyperlink" Target="http://plants.usda.gov/java/profile?symbol=ALRU2" TargetMode="External"/><Relationship Id="rId3647" Type="http://schemas.openxmlformats.org/officeDocument/2006/relationships/hyperlink" Target="https://plants.usda.gov/core/profile?symbol=AGPA8" TargetMode="External"/><Relationship Id="rId3854" Type="http://schemas.openxmlformats.org/officeDocument/2006/relationships/hyperlink" Target="https://plants.usda.gov/core/profile?symbol=cotr18" TargetMode="External"/><Relationship Id="rId4905" Type="http://schemas.openxmlformats.org/officeDocument/2006/relationships/hyperlink" Target="https://en.wikipedia.org/wiki/Dodecatheon_austrofrigidum" TargetMode="External"/><Relationship Id="rId6260" Type="http://schemas.openxmlformats.org/officeDocument/2006/relationships/hyperlink" Target="http://www.burkemuseum.org/research-and-collections/botany-and-herbarium/collections/database/results.php?Genus=Toxicodendron&amp;Species=diversilobum&amp;SourcePage=search.php&amp;IncludeSynonyms=Y&amp;SortBy=DESC&amp;SortOrder=Year" TargetMode="External"/><Relationship Id="rId7104" Type="http://schemas.openxmlformats.org/officeDocument/2006/relationships/hyperlink" Target="http://biology.burke.washington.edu/herbarium/imagecollectionnew/taxon.php?Taxon=Thuja%20plicata" TargetMode="External"/><Relationship Id="rId568" Type="http://schemas.openxmlformats.org/officeDocument/2006/relationships/hyperlink" Target="https://en.wikipedia.org/wiki/Stellaria_nitens" TargetMode="External"/><Relationship Id="rId775" Type="http://schemas.openxmlformats.org/officeDocument/2006/relationships/hyperlink" Target="https://en.wikipedia.org/wiki/Potamogeton_epihydrus" TargetMode="External"/><Relationship Id="rId982" Type="http://schemas.openxmlformats.org/officeDocument/2006/relationships/hyperlink" Target="http://en.wikipedia.org/wiki/Mahonia_nervosa" TargetMode="External"/><Relationship Id="rId1198" Type="http://schemas.openxmlformats.org/officeDocument/2006/relationships/hyperlink" Target="http://biology.burke.washington.edu/herbarium/imagecollectionnew/taxon.php?Taxon=Thalictrum%20occidentale" TargetMode="External"/><Relationship Id="rId2249" Type="http://schemas.openxmlformats.org/officeDocument/2006/relationships/hyperlink" Target="http://plants.usda.gov/java/profile?symbol=COLA3" TargetMode="External"/><Relationship Id="rId2456" Type="http://schemas.openxmlformats.org/officeDocument/2006/relationships/hyperlink" Target="http://plants.usda.gov/java/profile?symbol=TOME" TargetMode="External"/><Relationship Id="rId2663" Type="http://schemas.openxmlformats.org/officeDocument/2006/relationships/hyperlink" Target="http://biology.burke.washington.edu/herbarium/imagecollectionnew/taxon.php?Taxon=Sanguisorba%20menziesii" TargetMode="External"/><Relationship Id="rId2870" Type="http://schemas.openxmlformats.org/officeDocument/2006/relationships/hyperlink" Target="http://www.burkemuseum.org/research-and-collections/botany-and-herbarium/collections/database/results.php?Genus=Cephalanthera&amp;Species=austiniae&amp;SourcePage=search.php&amp;IncludeSynonyms=Y&amp;SortBy=DESC&amp;SortOrder=Year" TargetMode="External"/><Relationship Id="rId3507" Type="http://schemas.openxmlformats.org/officeDocument/2006/relationships/hyperlink" Target="http://www.burkemuseum.org/research-and-collections/botany-and-herbarium/collections/database/results.php?Genus=Heuchera&amp;Species=glabra&amp;SourcePage=search.php&amp;IncludeSynonyms=Y&amp;SortBy=DESC&amp;SortOrder=Year" TargetMode="External"/><Relationship Id="rId3714" Type="http://schemas.openxmlformats.org/officeDocument/2006/relationships/hyperlink" Target="https://plants.usda.gov/core/profile?symbol=BADE2" TargetMode="External"/><Relationship Id="rId3921" Type="http://schemas.openxmlformats.org/officeDocument/2006/relationships/hyperlink" Target="https://plants.usda.gov/core/profile?symbol=EPTO4" TargetMode="External"/><Relationship Id="rId6120" Type="http://schemas.openxmlformats.org/officeDocument/2006/relationships/hyperlink" Target="http://www.burkemuseum.org/research-and-collections/botany-and-herbarium/collections/database/results.php?Genus=Ribes&amp;Species=laxiflorum&amp;SourcePage=search.php&amp;IncludeSynonyms=Y&amp;SortBy=DESC&amp;SortOrder=Year" TargetMode="External"/><Relationship Id="rId428" Type="http://schemas.openxmlformats.org/officeDocument/2006/relationships/hyperlink" Target="http://biology.burke.washington.edu/herbarium/imagecollectionnew/taxon.php?Taxon=Cephalanthera%20austiniae" TargetMode="External"/><Relationship Id="rId635" Type="http://schemas.openxmlformats.org/officeDocument/2006/relationships/hyperlink" Target="https://en.wikipedia.org/wiki/Sagittaria_latifolia" TargetMode="External"/><Relationship Id="rId842" Type="http://schemas.openxmlformats.org/officeDocument/2006/relationships/hyperlink" Target="https://en.wikipedia.org/wiki/Myriophyllum" TargetMode="External"/><Relationship Id="rId1058" Type="http://schemas.openxmlformats.org/officeDocument/2006/relationships/hyperlink" Target="https://en.wikipedia.org/wiki/Crassula_connata" TargetMode="External"/><Relationship Id="rId1265" Type="http://schemas.openxmlformats.org/officeDocument/2006/relationships/hyperlink" Target="https://en.wikipedia.org/wiki/Nymphaea" TargetMode="External"/><Relationship Id="rId1472" Type="http://schemas.openxmlformats.org/officeDocument/2006/relationships/hyperlink" Target="https://en.wikipedia.org/wiki/Viola_(plant)" TargetMode="External"/><Relationship Id="rId2109" Type="http://schemas.openxmlformats.org/officeDocument/2006/relationships/hyperlink" Target="http://plants.usda.gov/java/profile?symbol=HYRA" TargetMode="External"/><Relationship Id="rId2316" Type="http://schemas.openxmlformats.org/officeDocument/2006/relationships/hyperlink" Target="https://plants.usda.gov/core/profile?symbol=CAEC" TargetMode="External"/><Relationship Id="rId2523" Type="http://schemas.openxmlformats.org/officeDocument/2006/relationships/hyperlink" Target="http://plants.usda.gov/core/profile?symbol=MICA5" TargetMode="External"/><Relationship Id="rId2730" Type="http://schemas.openxmlformats.org/officeDocument/2006/relationships/hyperlink" Target="http://www.burkemuseum.org/research-and-collections/botany-and-herbarium/collections/database/results.php?Genus=Agoseris&amp;Species=heterophylla&amp;SourcePage=search.php&amp;IncludeSynonyms=Y&amp;SortBy=DESC&amp;SortOrder=Year" TargetMode="External"/><Relationship Id="rId5679" Type="http://schemas.openxmlformats.org/officeDocument/2006/relationships/hyperlink" Target="http://www.burkemuseum.org/research-and-collections/botany-and-herbarium/collections/database/results.php?Genus=Danthonia&amp;Species=californica&amp;SourcePage=search.php&amp;IncludeSynonyms=Y&amp;SortBy=DESC&amp;SortOrder=Year" TargetMode="External"/><Relationship Id="rId5886" Type="http://schemas.openxmlformats.org/officeDocument/2006/relationships/hyperlink" Target="http://www.burkemuseum.org/research-and-collections/botany-and-herbarium/collections/database/results.php?Genus=Lomatium&amp;Species=utriculatum&amp;SourcePage=search.php&amp;IncludeSynonyms=Y&amp;SortBy=DESC&amp;SortOrder=Year" TargetMode="External"/><Relationship Id="rId702" Type="http://schemas.openxmlformats.org/officeDocument/2006/relationships/hyperlink" Target="https://en.wikipedia.org/wiki/Eriophorum_gracile" TargetMode="External"/><Relationship Id="rId1125" Type="http://schemas.openxmlformats.org/officeDocument/2006/relationships/hyperlink" Target="https://en.wikipedia.org/wiki/Isoetes" TargetMode="External"/><Relationship Id="rId1332" Type="http://schemas.openxmlformats.org/officeDocument/2006/relationships/hyperlink" Target="http://biology.burke.washington.edu/herbarium/imagecollectionnew/taxon.php?Taxon=Aruncus%20dioicus" TargetMode="External"/><Relationship Id="rId4488" Type="http://schemas.openxmlformats.org/officeDocument/2006/relationships/hyperlink" Target="https://plants.usda.gov/core/profile?symbol=UTMI" TargetMode="External"/><Relationship Id="rId4695" Type="http://schemas.openxmlformats.org/officeDocument/2006/relationships/hyperlink" Target="https://en.wikipedia.org/wiki/Aphyllon_fasciculata" TargetMode="External"/><Relationship Id="rId5539" Type="http://schemas.openxmlformats.org/officeDocument/2006/relationships/hyperlink" Target="https://en.wikipedia.org/wiki/Juncus_ensifolius" TargetMode="External"/><Relationship Id="rId6937" Type="http://schemas.openxmlformats.org/officeDocument/2006/relationships/hyperlink" Target="http://biology.burke.washington.edu/herbarium/imagecollection/taxon.php?Taxon=Madia%20glomerata" TargetMode="External"/><Relationship Id="rId3297" Type="http://schemas.openxmlformats.org/officeDocument/2006/relationships/hyperlink" Target="http://www.burkemuseum.org/research-and-collections/botany-and-herbarium/collections/database/results.php?Genus=Rumex&amp;Species=persicarioides&amp;SourcePage=search.php&amp;IncludeSynonyms=Y&amp;SortBy=DESC&amp;SortOrder=Year" TargetMode="External"/><Relationship Id="rId4348" Type="http://schemas.openxmlformats.org/officeDocument/2006/relationships/hyperlink" Target="https://plants.usda.gov/core/profile?symbol=SAAM2" TargetMode="External"/><Relationship Id="rId5746" Type="http://schemas.openxmlformats.org/officeDocument/2006/relationships/hyperlink" Target="http://www.burkemuseum.org/research-and-collections/botany-and-herbarium/collections/database/results.php?Genus=Erythronium&amp;Species=grandiflorum&amp;SourcePage=search.php&amp;IncludeSynonyms=Y&amp;SortBy=DESC&amp;SortOrder=Year" TargetMode="External"/><Relationship Id="rId5953" Type="http://schemas.openxmlformats.org/officeDocument/2006/relationships/hyperlink" Target="http://www.burkemuseum.org/research-and-collections/botany-and-herbarium/collections/database/results.php?Genus=Montia&amp;Species=parvifolia&amp;SourcePage=search.php&amp;IncludeSynonyms=Y&amp;SortBy=DESC&amp;SortOrder=Year" TargetMode="External"/><Relationship Id="rId3157" Type="http://schemas.openxmlformats.org/officeDocument/2006/relationships/hyperlink" Target="http://www.burkemuseum.org/research-and-collections/botany-and-herbarium/collections/database/results.php?Genus=Myrica&amp;Species=gale&amp;SourcePage=search.php&amp;IncludeSynonyms=Y&amp;SortBy=DESC&amp;SortOrder=Year" TargetMode="External"/><Relationship Id="rId4555" Type="http://schemas.openxmlformats.org/officeDocument/2006/relationships/hyperlink" Target="https://en.wikipedia.org/wiki/Agrostis_scabra" TargetMode="External"/><Relationship Id="rId4762" Type="http://schemas.openxmlformats.org/officeDocument/2006/relationships/hyperlink" Target="https://en.wikipedia.org/wiki/Calypso_bulbosa" TargetMode="External"/><Relationship Id="rId5606" Type="http://schemas.openxmlformats.org/officeDocument/2006/relationships/hyperlink" Target="http://www.burkemuseum.org/research-and-collections/botany-and-herbarium/collections/database/results.php?Genus=Carex&amp;Species=vesicaria&amp;SourcePage=search.php&amp;IncludeSynonyms=Y&amp;SortBy=DESC&amp;SortOrder=Year" TargetMode="External"/><Relationship Id="rId5813" Type="http://schemas.openxmlformats.org/officeDocument/2006/relationships/hyperlink" Target="http://www.burkemuseum.org/research-and-collections/botany-and-herbarium/collections/database/results.php?Genus=Hordeum&amp;Species=brachyantherum&amp;SourcePage=search.php&amp;IncludeSynonyms=Y&amp;SortBy=DESC&amp;SortOrder=Year" TargetMode="External"/><Relationship Id="rId285" Type="http://schemas.openxmlformats.org/officeDocument/2006/relationships/hyperlink" Target="https://plants.usda.gov/core/profile?symbol=adpe" TargetMode="External"/><Relationship Id="rId3364" Type="http://schemas.openxmlformats.org/officeDocument/2006/relationships/hyperlink" Target="http://www.burkemuseum.org/research-and-collections/botany-and-herbarium/collections/database/results.php?Genus=Spergularia&amp;Species=salina&amp;SourcePage=search.php&amp;IncludeSynonyms=Y&amp;SortBy=DESC&amp;SortOrder=Year" TargetMode="External"/><Relationship Id="rId3571" Type="http://schemas.openxmlformats.org/officeDocument/2006/relationships/hyperlink" Target="http://www.burkemuseum.org/research-and-collections/botany-and-herbarium/collections/database/results.php?Genus=Ribes&amp;Species=divaricatum&amp;SourcePage=search.php&amp;IncludeSynonyms=Y&amp;SortBy=DESC&amp;SortOrder=Year" TargetMode="External"/><Relationship Id="rId4208" Type="http://schemas.openxmlformats.org/officeDocument/2006/relationships/hyperlink" Target="https://plants.usda.gov/core/profile?symbol=POAME" TargetMode="External"/><Relationship Id="rId4415" Type="http://schemas.openxmlformats.org/officeDocument/2006/relationships/hyperlink" Target="https://plants.usda.gov/core/profile?symbol=SOSIS2" TargetMode="External"/><Relationship Id="rId4622" Type="http://schemas.openxmlformats.org/officeDocument/2006/relationships/hyperlink" Target="http://www.burkemuseum.org/research-and-collections/botany-and-herbarium/collections/database/results.php?Genus=Angelica&amp;Species=genuflexa&amp;SourcePage=search.php&amp;IncludeSynonyms=Y&amp;SortBy=DESC&amp;SortOrder=Year" TargetMode="External"/><Relationship Id="rId492" Type="http://schemas.openxmlformats.org/officeDocument/2006/relationships/hyperlink" Target="http://biology.burke.washington.edu/herbarium/imagecollectionnew/taxon.php?Taxon=Eleocharis%20engelmannii" TargetMode="External"/><Relationship Id="rId2173" Type="http://schemas.openxmlformats.org/officeDocument/2006/relationships/hyperlink" Target="https://plants.usda.gov/core/profile?symbol=MIAL3" TargetMode="External"/><Relationship Id="rId2380" Type="http://schemas.openxmlformats.org/officeDocument/2006/relationships/hyperlink" Target="https://plants.usda.gov/core/profile?symbol=ARDO3" TargetMode="External"/><Relationship Id="rId3017" Type="http://schemas.openxmlformats.org/officeDocument/2006/relationships/hyperlink" Target="http://www.burkemuseum.org/research-and-collections/botany-and-herbarium/collections/database/results.php?Genus=Geum&amp;Species=triflorum&amp;SourcePage=search.php&amp;IncludeSynonyms=Y&amp;SortBy=DESC&amp;SortOrder=Year" TargetMode="External"/><Relationship Id="rId3224" Type="http://schemas.openxmlformats.org/officeDocument/2006/relationships/hyperlink" Target="http://www.burkemuseum.org/research-and-collections/botany-and-herbarium/collections/database/results.php?Genus=Polemonium&amp;Species=carneum&amp;SourcePage=search.php&amp;IncludeSynonyms=Y&amp;SortBy=DESC&amp;SortOrder=Year" TargetMode="External"/><Relationship Id="rId3431" Type="http://schemas.openxmlformats.org/officeDocument/2006/relationships/hyperlink" Target="http://www.burkemuseum.org/research-and-collections/botany-and-herbarium/collections/database/results.php?Genus=Veronica&amp;Species=peregrina&amp;SourcePage=search.php&amp;IncludeSynonyms=Y&amp;SortBy=DESC&amp;SortOrder=Year" TargetMode="External"/><Relationship Id="rId6587" Type="http://schemas.openxmlformats.org/officeDocument/2006/relationships/hyperlink" Target="http://biology.burke.washington.edu/herbarium/imagecollection/taxon.php?Taxon=Oemleria%20cerasiformis" TargetMode="External"/><Relationship Id="rId6794" Type="http://schemas.openxmlformats.org/officeDocument/2006/relationships/hyperlink" Target="http://biology.burke.washington.edu/herbarium/imagecollectionnew/taxon.php?Taxon=Dulichium%20arundinaceum" TargetMode="External"/><Relationship Id="rId145" Type="http://schemas.openxmlformats.org/officeDocument/2006/relationships/hyperlink" Target="http://biology.burke.washington.edu/herbarium/imagecollection/taxon.php?Taxon=Juncus%20bolanderi" TargetMode="External"/><Relationship Id="rId352" Type="http://schemas.openxmlformats.org/officeDocument/2006/relationships/hyperlink" Target="http://biology.burke.washington.edu/herbarium/imagecollectionnew/taxon.php?Taxon=Carex%20comosa" TargetMode="External"/><Relationship Id="rId2033" Type="http://schemas.openxmlformats.org/officeDocument/2006/relationships/hyperlink" Target="http://plants.usda.gov/java/profile?symbol=MAEX" TargetMode="External"/><Relationship Id="rId2240" Type="http://schemas.openxmlformats.org/officeDocument/2006/relationships/hyperlink" Target="http://plants.usda.gov/java/profile?symbol=CRDO2" TargetMode="External"/><Relationship Id="rId5189" Type="http://schemas.openxmlformats.org/officeDocument/2006/relationships/hyperlink" Target="https://en.wikipedia.org/wiki/Oxalis_trilliifolia" TargetMode="External"/><Relationship Id="rId5396" Type="http://schemas.openxmlformats.org/officeDocument/2006/relationships/hyperlink" Target="https://en.wikipedia.org/wiki/Sequoia_sempervirens" TargetMode="External"/><Relationship Id="rId6447" Type="http://schemas.openxmlformats.org/officeDocument/2006/relationships/hyperlink" Target="http://biology.burke.washington.edu/herbarium/imagecollectionnew/taxon.php?Taxon=Cryptogramma%20acrostichoides" TargetMode="External"/><Relationship Id="rId6654" Type="http://schemas.openxmlformats.org/officeDocument/2006/relationships/hyperlink" Target="http://biology.burke.washington.edu/herbarium/imagecollectionnew/taxon.php?Taxon=Schoenoplectus%20pungens" TargetMode="External"/><Relationship Id="rId6861" Type="http://schemas.openxmlformats.org/officeDocument/2006/relationships/hyperlink" Target="http://biology.burke.washington.edu/herbarium/imagecollectionnew/taxon.php?Taxon=Angelica%20hendersonii" TargetMode="External"/><Relationship Id="rId212" Type="http://schemas.openxmlformats.org/officeDocument/2006/relationships/hyperlink" Target="http://biology.burke.washington.edu/herbarium/imagecollection/taxon.php?Taxon=Potentilla%20drummondii" TargetMode="External"/><Relationship Id="rId1799" Type="http://schemas.openxmlformats.org/officeDocument/2006/relationships/hyperlink" Target="http://plants.usda.gov/core/profile?symbol=SOSIS2" TargetMode="External"/><Relationship Id="rId2100" Type="http://schemas.openxmlformats.org/officeDocument/2006/relationships/hyperlink" Target="https://plants.usda.gov/core/profile?symbol=ISBR4" TargetMode="External"/><Relationship Id="rId5049" Type="http://schemas.openxmlformats.org/officeDocument/2006/relationships/hyperlink" Target="https://en.wikipedia.org/wiki/Juncus_patens" TargetMode="External"/><Relationship Id="rId5256" Type="http://schemas.openxmlformats.org/officeDocument/2006/relationships/hyperlink" Target="https://en.wikipedia.org/wiki/Polypodium_hesperium" TargetMode="External"/><Relationship Id="rId5463" Type="http://schemas.openxmlformats.org/officeDocument/2006/relationships/hyperlink" Target="https://en.wikipedia.org/wiki/Toxicodendron_radicans" TargetMode="External"/><Relationship Id="rId5670" Type="http://schemas.openxmlformats.org/officeDocument/2006/relationships/hyperlink" Target="http://www.burkemuseum.org/research-and-collections/botany-and-herbarium/collections/database/results.php?Genus=Crocidium&amp;Species=multicaule&amp;SourcePage=search.php&amp;IncludeSynonyms=Y&amp;SortBy=DESC&amp;SortOrder=Year" TargetMode="External"/><Relationship Id="rId6307" Type="http://schemas.openxmlformats.org/officeDocument/2006/relationships/hyperlink" Target="http://www.burkemuseum.org/research-and-collections/botany-and-herbarium/collections/database/results.php?Genus=Vicia&amp;Species=americana&amp;SourcePage=search.php&amp;IncludeSynonyms=Y&amp;SortBy=DESC&amp;SortOrder=Year" TargetMode="External"/><Relationship Id="rId6514" Type="http://schemas.openxmlformats.org/officeDocument/2006/relationships/hyperlink" Target="http://biology.burke.washington.edu/herbarium/imagecollection/taxon.php?Taxon=Gaillardia%20aristata" TargetMode="External"/><Relationship Id="rId4065" Type="http://schemas.openxmlformats.org/officeDocument/2006/relationships/hyperlink" Target="https://plants.usda.gov/core/profile?symbol=LETR" TargetMode="External"/><Relationship Id="rId4272" Type="http://schemas.openxmlformats.org/officeDocument/2006/relationships/hyperlink" Target="https://plants.usda.gov/core/profile?symbol=ARAN7" TargetMode="External"/><Relationship Id="rId5116" Type="http://schemas.openxmlformats.org/officeDocument/2006/relationships/hyperlink" Target="https://en.wikipedia.org/wiki/Madia_elegans" TargetMode="External"/><Relationship Id="rId5323" Type="http://schemas.openxmlformats.org/officeDocument/2006/relationships/hyperlink" Target="https://en.wikipedia.org/wiki/Ribes_sanguineum" TargetMode="External"/><Relationship Id="rId6721" Type="http://schemas.openxmlformats.org/officeDocument/2006/relationships/hyperlink" Target="http://biology.burke.washington.edu/herbarium/imagecollection/taxon.php?Taxon=Myosotis%20laxa" TargetMode="External"/><Relationship Id="rId1659" Type="http://schemas.openxmlformats.org/officeDocument/2006/relationships/hyperlink" Target="https://en.wikipedia.org/wiki/Poa" TargetMode="External"/><Relationship Id="rId1866" Type="http://schemas.openxmlformats.org/officeDocument/2006/relationships/hyperlink" Target="https://plants.usda.gov/core/profile?symbol=RUID" TargetMode="External"/><Relationship Id="rId2917" Type="http://schemas.openxmlformats.org/officeDocument/2006/relationships/hyperlink" Target="http://www.burkemuseum.org/research-and-collections/botany-and-herbarium/collections/database/results.php?Genus=Crocidium&amp;Species=multicaule&amp;SourcePage=search.php&amp;IncludeSynonyms=Y&amp;SortBy=DESC&amp;SortOrder=Year" TargetMode="External"/><Relationship Id="rId3081" Type="http://schemas.openxmlformats.org/officeDocument/2006/relationships/hyperlink" Target="http://www.burkemuseum.org/research-and-collections/botany-and-herbarium/collections/database/results.php?Genus=Leersia&amp;Species=oryzoides&amp;SourcePage=search.php&amp;IncludeSynonyms=Y&amp;SortBy=DESC&amp;SortOrder=Year" TargetMode="External"/><Relationship Id="rId4132" Type="http://schemas.openxmlformats.org/officeDocument/2006/relationships/hyperlink" Target="https://en.wikipedia.org/wiki/Metasequoia_glyptostroboides" TargetMode="External"/><Relationship Id="rId5530" Type="http://schemas.openxmlformats.org/officeDocument/2006/relationships/hyperlink" Target="https://en.wikipedia.org/wiki/Ribes_laxiflorum" TargetMode="External"/><Relationship Id="rId1519" Type="http://schemas.openxmlformats.org/officeDocument/2006/relationships/hyperlink" Target="https://en.wikipedia.org/wiki/Rhamnus_purshiana" TargetMode="External"/><Relationship Id="rId1726" Type="http://schemas.openxmlformats.org/officeDocument/2006/relationships/hyperlink" Target="http://plants.usda.gov/java/profile?symbol=VEAM2" TargetMode="External"/><Relationship Id="rId1933" Type="http://schemas.openxmlformats.org/officeDocument/2006/relationships/hyperlink" Target="https://plants.usda.gov/core/profile?symbol=POUN" TargetMode="External"/><Relationship Id="rId6097" Type="http://schemas.openxmlformats.org/officeDocument/2006/relationships/hyperlink" Target="http://www.burkemuseum.org/research-and-collections/botany-and-herbarium/collections/database/results.php?Genus=Ranunculus&amp;Species=aquatilis&amp;SourcePage=search.php&amp;IncludeSynonyms=Y&amp;SortBy=DESC&amp;SortOrder=Year" TargetMode="External"/><Relationship Id="rId18" Type="http://schemas.openxmlformats.org/officeDocument/2006/relationships/hyperlink" Target="http://biology.burke.washington.edu/herbarium/imagecollection/taxon.php?Taxon=Erigeron%20strigosus" TargetMode="External"/><Relationship Id="rId3898" Type="http://schemas.openxmlformats.org/officeDocument/2006/relationships/hyperlink" Target="https://plants.usda.gov/core/profile?symbol=DRRO" TargetMode="External"/><Relationship Id="rId4949" Type="http://schemas.openxmlformats.org/officeDocument/2006/relationships/hyperlink" Target="https://en.wikipedia.org/wiki/Erysimum_capitatum" TargetMode="External"/><Relationship Id="rId7148" Type="http://schemas.openxmlformats.org/officeDocument/2006/relationships/hyperlink" Target="http://biology.burke.washington.edu/herbarium/imagecollectionnew/taxon.php?Taxon=Scirpus%20microcarpus" TargetMode="External"/><Relationship Id="rId3758" Type="http://schemas.openxmlformats.org/officeDocument/2006/relationships/hyperlink" Target="https://plants.usda.gov/core/profile?symbol=CABR6" TargetMode="External"/><Relationship Id="rId3965" Type="http://schemas.openxmlformats.org/officeDocument/2006/relationships/hyperlink" Target="https://plants.usda.gov/core/profile?symbol=gaar" TargetMode="External"/><Relationship Id="rId4809" Type="http://schemas.openxmlformats.org/officeDocument/2006/relationships/hyperlink" Target="https://en.wikipedia.org/wiki/Carex_tumulicola" TargetMode="External"/><Relationship Id="rId6164" Type="http://schemas.openxmlformats.org/officeDocument/2006/relationships/hyperlink" Target="http://www.burkemuseum.org/research-and-collections/botany-and-herbarium/collections/database/results.php?Genus=Salix&amp;Species=scouleriana&amp;SourcePage=search.php&amp;IncludeSynonyms=Y&amp;SortBy=DESC&amp;SortOrder=Year" TargetMode="External"/><Relationship Id="rId6371" Type="http://schemas.openxmlformats.org/officeDocument/2006/relationships/hyperlink" Target="http://biology.burke.washington.edu/herbarium/imagecollectionnew/taxon.php?Taxon=Angelica%20arguta" TargetMode="External"/><Relationship Id="rId7008" Type="http://schemas.openxmlformats.org/officeDocument/2006/relationships/hyperlink" Target="http://biology.burke.washington.edu/herbarium/imagecollectionnew/taxon.php?Taxon=Clarkia%20purpurea" TargetMode="External"/><Relationship Id="rId7215" Type="http://schemas.openxmlformats.org/officeDocument/2006/relationships/hyperlink" Target="http://biology.burke.washington.edu/herbarium/imagecollection/taxon.php?Taxon=Prosartes%20hookeri" TargetMode="External"/><Relationship Id="rId679" Type="http://schemas.openxmlformats.org/officeDocument/2006/relationships/hyperlink" Target="https://en.wikipedia.org/wiki/Prunus_emarginata" TargetMode="External"/><Relationship Id="rId886" Type="http://schemas.openxmlformats.org/officeDocument/2006/relationships/hyperlink" Target="http://en.wikipedia.org/wiki/Collomia_grandiflora" TargetMode="External"/><Relationship Id="rId2567" Type="http://schemas.openxmlformats.org/officeDocument/2006/relationships/hyperlink" Target="https://plants.usda.gov/core/profile?symbol=DENU3" TargetMode="External"/><Relationship Id="rId2774" Type="http://schemas.openxmlformats.org/officeDocument/2006/relationships/hyperlink" Target="http://www.burkemuseum.org/research-and-collections/botany-and-herbarium/collections/database/results.php?Genus=Artemisia&amp;Species=campestris&amp;SourcePage=search.php&amp;IncludeSynonyms=Y&amp;SortBy=DESC&amp;SortOrder=Year" TargetMode="External"/><Relationship Id="rId3618" Type="http://schemas.openxmlformats.org/officeDocument/2006/relationships/hyperlink" Target="http://www.burkemuseum.org/research-and-collections/botany-and-herbarium/collections/database/results.php?Genus=Poa&amp;Species=laxiflora&amp;SourcePage=search.php&amp;IncludeSynonyms=Y&amp;SortBy=DESC&amp;SortOrder=Year" TargetMode="External"/><Relationship Id="rId5180" Type="http://schemas.openxmlformats.org/officeDocument/2006/relationships/hyperlink" Target="https://en.wikipedia.org/wiki/Ophioglossum_pusillum" TargetMode="External"/><Relationship Id="rId6024" Type="http://schemas.openxmlformats.org/officeDocument/2006/relationships/hyperlink" Target="http://www.burkemuseum.org/research-and-collections/botany-and-herbarium/collections/database/results.php?Genus=Pinus&amp;Species=monticola&amp;SourcePage=search.php&amp;IncludeSynonyms=Y&amp;SortBy=DESC&amp;SortOrder=Year" TargetMode="External"/><Relationship Id="rId6231" Type="http://schemas.openxmlformats.org/officeDocument/2006/relationships/hyperlink" Target="http://www.burkemuseum.org/research-and-collections/botany-and-herbarium/collections/database/results.php?Genus=Stellaria&amp;Species=borealis&amp;SourcePage=search.php&amp;IncludeSynonyms=Y&amp;SortBy=DESC&amp;SortOrder=Year" TargetMode="External"/><Relationship Id="rId2" Type="http://schemas.openxmlformats.org/officeDocument/2006/relationships/hyperlink" Target="http://biology.burke.washington.edu/herbarium/imagecollection/taxon.php?Taxon=Suaeda%20calceoliformis" TargetMode="External"/><Relationship Id="rId539" Type="http://schemas.openxmlformats.org/officeDocument/2006/relationships/hyperlink" Target="https://en.wikipedia.org/wiki/Trillium_albidum" TargetMode="External"/><Relationship Id="rId746" Type="http://schemas.openxmlformats.org/officeDocument/2006/relationships/hyperlink" Target="https://en.wikipedia.org/wiki/Daucus_pusillus" TargetMode="External"/><Relationship Id="rId1169" Type="http://schemas.openxmlformats.org/officeDocument/2006/relationships/hyperlink" Target="https://en.wikipedia.org/wiki/Hemizonella" TargetMode="External"/><Relationship Id="rId1376" Type="http://schemas.openxmlformats.org/officeDocument/2006/relationships/hyperlink" Target="http://biology.burke.washington.edu/herbarium/imagecollection/taxon.php?Taxon=Ribes%20lobbii" TargetMode="External"/><Relationship Id="rId1583" Type="http://schemas.openxmlformats.org/officeDocument/2006/relationships/hyperlink" Target="http://en.wikipedia.org/wiki/Mahonia_repens" TargetMode="External"/><Relationship Id="rId2427" Type="http://schemas.openxmlformats.org/officeDocument/2006/relationships/hyperlink" Target="https://plants.usda.gov/core/profile?symbol=AGFO" TargetMode="External"/><Relationship Id="rId2981" Type="http://schemas.openxmlformats.org/officeDocument/2006/relationships/hyperlink" Target="http://www.burkemuseum.org/research-and-collections/botany-and-herbarium/collections/database/results.php?Genus=Eryngium&amp;Species=petiolatum&amp;SourcePage=search.php&amp;IncludeSynonyms=Y&amp;SortBy=DESC&amp;SortOrder=Year" TargetMode="External"/><Relationship Id="rId3825" Type="http://schemas.openxmlformats.org/officeDocument/2006/relationships/hyperlink" Target="https://plants.usda.gov/core/profile?symbol=CIDO" TargetMode="External"/><Relationship Id="rId5040" Type="http://schemas.openxmlformats.org/officeDocument/2006/relationships/hyperlink" Target="https://en.wikipedia.org/wiki/Iris_missouriensis" TargetMode="External"/><Relationship Id="rId953" Type="http://schemas.openxmlformats.org/officeDocument/2006/relationships/hyperlink" Target="https://en.wikipedia.org/wiki/Canadanthus" TargetMode="External"/><Relationship Id="rId1029" Type="http://schemas.openxmlformats.org/officeDocument/2006/relationships/hyperlink" Target="http://en.wikipedia.org/wiki/Allium_acuminatum" TargetMode="External"/><Relationship Id="rId1236" Type="http://schemas.openxmlformats.org/officeDocument/2006/relationships/hyperlink" Target="http://biology.burke.washington.edu/herbarium/imagecollectionnew/taxon.php?Taxon=Castilleja%20victoriae" TargetMode="External"/><Relationship Id="rId1790" Type="http://schemas.openxmlformats.org/officeDocument/2006/relationships/hyperlink" Target="https://plants.usda.gov/core/profile?symbol=SPLU5" TargetMode="External"/><Relationship Id="rId2634" Type="http://schemas.openxmlformats.org/officeDocument/2006/relationships/hyperlink" Target="http://biology.burke.washington.edu/herbarium/imagecollection/taxon.php?Taxon=Platanthera%20transversa" TargetMode="External"/><Relationship Id="rId2841" Type="http://schemas.openxmlformats.org/officeDocument/2006/relationships/hyperlink" Target="http://www.burkemuseum.org/research-and-collections/botany-and-herbarium/collections/database/results.php?Genus=Carex&amp;Species=inops&amp;SourcePage=search.php&amp;IncludeSynonyms=Y&amp;SortBy=DESC&amp;SortOrder=Year" TargetMode="External"/><Relationship Id="rId5997" Type="http://schemas.openxmlformats.org/officeDocument/2006/relationships/hyperlink" Target="http://www.burkemuseum.org/research-and-collections/botany-and-herbarium/collections/database/results.php?Genus=Pectiantia&amp;Species=breweri&amp;SourcePage=search.php&amp;IncludeSynonyms=Y&amp;SortBy=DESC&amp;SortOrder=Year" TargetMode="External"/><Relationship Id="rId82" Type="http://schemas.openxmlformats.org/officeDocument/2006/relationships/hyperlink" Target="http://biology.burke.washington.edu/herbarium/imagecollection/taxon.php?Taxon=Ribes%20lacustre" TargetMode="External"/><Relationship Id="rId606" Type="http://schemas.openxmlformats.org/officeDocument/2006/relationships/hyperlink" Target="https://en.wikipedia.org/wiki/Schoenoplectus_subterminalis" TargetMode="External"/><Relationship Id="rId813" Type="http://schemas.openxmlformats.org/officeDocument/2006/relationships/hyperlink" Target="https://en.wikipedia.org/wiki/Perideridia_gairdneri" TargetMode="External"/><Relationship Id="rId1443" Type="http://schemas.openxmlformats.org/officeDocument/2006/relationships/hyperlink" Target="http://biology.burke.washington.edu/herbarium/imagecollectionnew/taxon.php?Taxon=Carex%20tumulicola" TargetMode="External"/><Relationship Id="rId1650" Type="http://schemas.openxmlformats.org/officeDocument/2006/relationships/hyperlink" Target="http://biology.burke.washington.edu/herbarium/imagecollectionnew/taxon.php?Taxon=Sorbus%20scopulina" TargetMode="External"/><Relationship Id="rId2701" Type="http://schemas.openxmlformats.org/officeDocument/2006/relationships/hyperlink" Target="http://biology.burke.washington.edu/herbarium/imagecollectionnew/taxon.php?Taxon=Selaginella%20oregana" TargetMode="External"/><Relationship Id="rId4599" Type="http://schemas.openxmlformats.org/officeDocument/2006/relationships/hyperlink" Target="http://www.burkemuseum.org/research-and-collections/botany-and-herbarium/collections/database/results.php?Genus=Alisma&amp;Species=triviale&amp;SourcePage=search.php&amp;IncludeSynonyms=Y&amp;SortBy=DESC&amp;SortOrder=Year" TargetMode="External"/><Relationship Id="rId5857" Type="http://schemas.openxmlformats.org/officeDocument/2006/relationships/hyperlink" Target="http://www.burkemuseum.org/research-and-collections/botany-and-herbarium/collections/database/results.php?Genus=Lathyrus&amp;Species=japonicus&amp;SourcePage=search.php&amp;IncludeSynonyms=Y&amp;SortBy=DESC&amp;SortOrder=Year" TargetMode="External"/><Relationship Id="rId6908" Type="http://schemas.openxmlformats.org/officeDocument/2006/relationships/hyperlink" Target="http://biology.burke.washington.edu/herbarium/imagecollection/taxon.php?Taxon=Poa%20macrantha" TargetMode="External"/><Relationship Id="rId7072" Type="http://schemas.openxmlformats.org/officeDocument/2006/relationships/hyperlink" Target="http://biology.burke.washington.edu/herbarium/imagecollectionnew/taxon.php?Taxon=Viola%20orbiculata" TargetMode="External"/><Relationship Id="rId1303" Type="http://schemas.openxmlformats.org/officeDocument/2006/relationships/hyperlink" Target="https://en.wikipedia.org/wiki/Utricularia_intermedia" TargetMode="External"/><Relationship Id="rId1510" Type="http://schemas.openxmlformats.org/officeDocument/2006/relationships/hyperlink" Target="https://en.wikipedia.org/wiki/Rosa_gymnocarpa" TargetMode="External"/><Relationship Id="rId4459" Type="http://schemas.openxmlformats.org/officeDocument/2006/relationships/hyperlink" Target="https://plants.usda.gov/core/profile?symbol=TITR" TargetMode="External"/><Relationship Id="rId4666" Type="http://schemas.openxmlformats.org/officeDocument/2006/relationships/hyperlink" Target="http://www.burkemuseum.org/research-and-collections/botany-and-herbarium/collections/database/results.php?Genus=Betula&amp;Species=occidentalis&amp;SourcePage=search.php&amp;IncludeSynonyms=Y&amp;SortBy=DESC&amp;SortOrder=Year" TargetMode="External"/><Relationship Id="rId4873" Type="http://schemas.openxmlformats.org/officeDocument/2006/relationships/hyperlink" Target="https://en.wikipedia.org/wiki/Corylus_cornuta" TargetMode="External"/><Relationship Id="rId5717" Type="http://schemas.openxmlformats.org/officeDocument/2006/relationships/hyperlink" Target="http://www.burkemuseum.org/research-and-collections/botany-and-herbarium/collections/database/results.php?Genus=Epilobium&amp;Species=brachycarpum&amp;SourcePage=search.php&amp;IncludeSynonyms=Y&amp;SortBy=DESC&amp;SortOrder=Year" TargetMode="External"/><Relationship Id="rId5924" Type="http://schemas.openxmlformats.org/officeDocument/2006/relationships/hyperlink" Target="http://www.burkemuseum.org/research-and-collections/botany-and-herbarium/collections/database/results.php?Genus=Malus&amp;Species=fusca&amp;SourcePage=search.php&amp;IncludeSynonyms=Y&amp;SortBy=DESC&amp;SortOrder=Year" TargetMode="External"/><Relationship Id="rId3268" Type="http://schemas.openxmlformats.org/officeDocument/2006/relationships/hyperlink" Target="http://www.burkemuseum.org/research-and-collections/botany-and-herbarium/collections/database/results.php?Genus=Ranunculus&amp;Species=californicus&amp;SourcePage=search.php&amp;IncludeSynonyms=Y&amp;SortBy=DESC&amp;SortOrder=Year" TargetMode="External"/><Relationship Id="rId3475" Type="http://schemas.openxmlformats.org/officeDocument/2006/relationships/hyperlink" Target="http://www.burkemuseum.org/research-and-collections/botany-and-herbarium/collections/database/results.php?Genus=Carex&amp;Species=lyngbyei&amp;SourcePage=search.php&amp;IncludeSynonyms=Y&amp;SortBy=DESC&amp;SortOrder=Year" TargetMode="External"/><Relationship Id="rId3682" Type="http://schemas.openxmlformats.org/officeDocument/2006/relationships/hyperlink" Target="https://plants.usda.gov/core/profile?symbol=APCA" TargetMode="External"/><Relationship Id="rId4319" Type="http://schemas.openxmlformats.org/officeDocument/2006/relationships/hyperlink" Target="https://plants.usda.gov/core/profile?symbol=RILA" TargetMode="External"/><Relationship Id="rId4526" Type="http://schemas.openxmlformats.org/officeDocument/2006/relationships/hyperlink" Target="https://plants.usda.gov/core/profile?symbol=YAMI" TargetMode="External"/><Relationship Id="rId4733" Type="http://schemas.openxmlformats.org/officeDocument/2006/relationships/hyperlink" Target="https://en.wikipedia.org/wiki/Betula_occidentalis" TargetMode="External"/><Relationship Id="rId4940" Type="http://schemas.openxmlformats.org/officeDocument/2006/relationships/hyperlink" Target="https://en.wikipedia.org/wiki/Erigeron_compositus" TargetMode="External"/><Relationship Id="rId189" Type="http://schemas.openxmlformats.org/officeDocument/2006/relationships/hyperlink" Target="http://biology.burke.washington.edu/herbarium/imagecollection/taxon.php?Taxon=Navarretia%20intertexta" TargetMode="External"/><Relationship Id="rId396" Type="http://schemas.openxmlformats.org/officeDocument/2006/relationships/hyperlink" Target="http://biology.burke.washington.edu/herbarium/imagecollectionnew/taxon.php?Taxon=Collomia%20linearis" TargetMode="External"/><Relationship Id="rId2077" Type="http://schemas.openxmlformats.org/officeDocument/2006/relationships/hyperlink" Target="http://plants.usda.gov/java/profile?symbol=LATO" TargetMode="External"/><Relationship Id="rId2284" Type="http://schemas.openxmlformats.org/officeDocument/2006/relationships/hyperlink" Target="http://plants.usda.gov/java/profile?symbol=CEAR4" TargetMode="External"/><Relationship Id="rId2491" Type="http://schemas.openxmlformats.org/officeDocument/2006/relationships/hyperlink" Target="http://plants.usda.gov/java/profile?symbol=FRPU7" TargetMode="External"/><Relationship Id="rId3128" Type="http://schemas.openxmlformats.org/officeDocument/2006/relationships/hyperlink" Target="http://www.burkemuseum.org/research-and-collections/botany-and-herbarium/collections/database/results.php?Genus=Maianthemum&amp;Species=stellatum&amp;SourcePage=search.php&amp;IncludeSynonyms=Y&amp;SortBy=DESC&amp;SortOrder=Year" TargetMode="External"/><Relationship Id="rId3335" Type="http://schemas.openxmlformats.org/officeDocument/2006/relationships/hyperlink" Target="http://www.burkemuseum.org/research-and-collections/botany-and-herbarium/collections/database/results.php?Genus=Scirpus&amp;Species=microcarpus&amp;SourcePage=search.php&amp;IncludeSynonyms=Y&amp;SortBy=DESC&amp;SortOrder=Year" TargetMode="External"/><Relationship Id="rId3542" Type="http://schemas.openxmlformats.org/officeDocument/2006/relationships/hyperlink" Target="http://www.burkemuseum.org/research-and-collections/botany-and-herbarium/collections/database/results.php?Genus=Ozomelis&amp;Species=trifida&amp;SourcePage=search.php&amp;IncludeSynonyms=Y&amp;SortBy=DESC&amp;SortOrder=Year" TargetMode="External"/><Relationship Id="rId6698" Type="http://schemas.openxmlformats.org/officeDocument/2006/relationships/hyperlink" Target="http://biology.burke.washington.edu/herbarium/imagecollection/taxon.php?Taxon=Plagiobothrys%20figuratus" TargetMode="External"/><Relationship Id="rId256" Type="http://schemas.openxmlformats.org/officeDocument/2006/relationships/hyperlink" Target="http://biology.burke.washington.edu/herbarium/imagecollection/taxon.php?Taxon=Actaea%20elata" TargetMode="External"/><Relationship Id="rId463" Type="http://schemas.openxmlformats.org/officeDocument/2006/relationships/hyperlink" Target="http://biology.burke.washington.edu/herbarium/imagecollectionnew/taxon.php?Taxon=Vaccinium%20ovalifolium" TargetMode="External"/><Relationship Id="rId670" Type="http://schemas.openxmlformats.org/officeDocument/2006/relationships/hyperlink" Target="https://en.wikipedia.org/wiki/Pyracantha_coccinea" TargetMode="External"/><Relationship Id="rId1093" Type="http://schemas.openxmlformats.org/officeDocument/2006/relationships/hyperlink" Target="https://en.wikipedia.org/wiki/Lewisia_columbiana" TargetMode="External"/><Relationship Id="rId2144" Type="http://schemas.openxmlformats.org/officeDocument/2006/relationships/hyperlink" Target="http://plants.usda.gov/java/profile?symbol=GEAM3" TargetMode="External"/><Relationship Id="rId2351" Type="http://schemas.openxmlformats.org/officeDocument/2006/relationships/hyperlink" Target="https://plants.usda.gov/core/profile?symbol=bovi" TargetMode="External"/><Relationship Id="rId3402" Type="http://schemas.openxmlformats.org/officeDocument/2006/relationships/hyperlink" Target="http://www.burkemuseum.org/research-and-collections/botany-and-herbarium/collections/database/results.php?Genus=Trifolium&amp;Species=variegatum&amp;SourcePage=search.php&amp;IncludeSynonyms=Y&amp;SortBy=DESC&amp;SortOrder=Year" TargetMode="External"/><Relationship Id="rId4800" Type="http://schemas.openxmlformats.org/officeDocument/2006/relationships/hyperlink" Target="https://en.wikipedia.org/wiki/Carex_pansa" TargetMode="External"/><Relationship Id="rId6558" Type="http://schemas.openxmlformats.org/officeDocument/2006/relationships/hyperlink" Target="http://biology.burke.washington.edu/herbarium/imagecollection/taxon.php?Taxon=Lonicera%20hispidula" TargetMode="External"/><Relationship Id="rId116" Type="http://schemas.openxmlformats.org/officeDocument/2006/relationships/hyperlink" Target="http://biology.burke.washington.edu/herbarium/imagecollection/taxon.php?Taxon=Pinus%20monticola" TargetMode="External"/><Relationship Id="rId323" Type="http://schemas.openxmlformats.org/officeDocument/2006/relationships/hyperlink" Target="http://biology.burke.washington.edu/herbarium/imagecollectionnew/taxon.php?Taxon=Boykinia%20intermedia" TargetMode="External"/><Relationship Id="rId530" Type="http://schemas.openxmlformats.org/officeDocument/2006/relationships/hyperlink" Target="https://en.wikipedia.org/wiki/Typha_latifolia" TargetMode="External"/><Relationship Id="rId1160" Type="http://schemas.openxmlformats.org/officeDocument/2006/relationships/hyperlink" Target="https://en.wikipedia.org/wiki/Glyceria_striata" TargetMode="External"/><Relationship Id="rId2004" Type="http://schemas.openxmlformats.org/officeDocument/2006/relationships/hyperlink" Target="http://plants.usda.gov/java/profile?symbol=MODI3" TargetMode="External"/><Relationship Id="rId2211" Type="http://schemas.openxmlformats.org/officeDocument/2006/relationships/hyperlink" Target="http://plants.usda.gov/java/profile?symbol=DRRO" TargetMode="External"/><Relationship Id="rId5367" Type="http://schemas.openxmlformats.org/officeDocument/2006/relationships/hyperlink" Target="https://en.wikipedia.org/wiki/Sambucus_nigra" TargetMode="External"/><Relationship Id="rId6765" Type="http://schemas.openxmlformats.org/officeDocument/2006/relationships/hyperlink" Target="http://biology.burke.washington.edu/herbarium/imagecollection/taxon.php?Taxon=Hosackia%20crassifolia" TargetMode="External"/><Relationship Id="rId6972" Type="http://schemas.openxmlformats.org/officeDocument/2006/relationships/hyperlink" Target="http://biology.burke.washington.edu/herbarium/imagecollection/taxon.php?Taxon=Glehnia%20leiocarpa" TargetMode="External"/><Relationship Id="rId4176" Type="http://schemas.openxmlformats.org/officeDocument/2006/relationships/hyperlink" Target="https://plants.usda.gov/core/profile?symbol=OLDO" TargetMode="External"/><Relationship Id="rId5574" Type="http://schemas.openxmlformats.org/officeDocument/2006/relationships/hyperlink" Target="http://www.burkemuseum.org/research-and-collections/botany-and-herbarium/collections/database/results.php?Genus=Carex&amp;Species=canescens&amp;SourcePage=search.php&amp;IncludeSynonyms=Y&amp;SortBy=DESC&amp;SortOrder=Year" TargetMode="External"/><Relationship Id="rId5781" Type="http://schemas.openxmlformats.org/officeDocument/2006/relationships/hyperlink" Target="http://www.burkemuseum.org/research-and-collections/botany-and-herbarium/collections/database/results.php?Genus=Geum&amp;Species=macrophyllum&amp;SourcePage=search.php&amp;IncludeSynonyms=Y&amp;SortBy=DESC&amp;SortOrder=Year" TargetMode="External"/><Relationship Id="rId6418" Type="http://schemas.openxmlformats.org/officeDocument/2006/relationships/hyperlink" Target="http://biology.burke.washington.edu/herbarium/imagecollectionnew/taxon.php?Taxon=Carex%20unilateralis" TargetMode="External"/><Relationship Id="rId6625" Type="http://schemas.openxmlformats.org/officeDocument/2006/relationships/hyperlink" Target="http://biology.burke.washington.edu/herbarium/imagecollectionnew/taxon.php?Taxon=Trifolium%20variegatum" TargetMode="External"/><Relationship Id="rId6832" Type="http://schemas.openxmlformats.org/officeDocument/2006/relationships/hyperlink" Target="http://biology.burke.washington.edu/herbarium/imagecollectionnew/taxon.php?Taxon=Carex%20anthoxanthea" TargetMode="External"/><Relationship Id="rId1020" Type="http://schemas.openxmlformats.org/officeDocument/2006/relationships/hyperlink" Target="http://en.wikipedia.org/wiki/Anaphalis_margaritacea" TargetMode="External"/><Relationship Id="rId1977" Type="http://schemas.openxmlformats.org/officeDocument/2006/relationships/hyperlink" Target="http://plants.usda.gov/java/profile?symbol=OSBE" TargetMode="External"/><Relationship Id="rId4383" Type="http://schemas.openxmlformats.org/officeDocument/2006/relationships/hyperlink" Target="https://plants.usda.gov/core/profile?symbol=SCSU10" TargetMode="External"/><Relationship Id="rId4590" Type="http://schemas.openxmlformats.org/officeDocument/2006/relationships/hyperlink" Target="http://www.burkemuseum.org/research-and-collections/botany-and-herbarium/collections/database/results.php?Genus=Agastache&amp;Species=urticifolia&amp;SourcePage=search.php&amp;IncludeSynonyms=Y&amp;SortBy=DESC&amp;SortOrder=Year" TargetMode="External"/><Relationship Id="rId5227" Type="http://schemas.openxmlformats.org/officeDocument/2006/relationships/hyperlink" Target="https://en.wikipedia.org/wiki/Pinus_ponderosa" TargetMode="External"/><Relationship Id="rId5434" Type="http://schemas.openxmlformats.org/officeDocument/2006/relationships/hyperlink" Target="https://en.wikipedia.org/wiki/Stellaria_longifolia" TargetMode="External"/><Relationship Id="rId5641" Type="http://schemas.openxmlformats.org/officeDocument/2006/relationships/hyperlink" Target="http://www.burkemuseum.org/research-and-collections/botany-and-herbarium/collections/database/results.php?Genus=Claytonia&amp;Species=parviflora&amp;SourcePage=search.php&amp;IncludeSynonyms=Y&amp;SortBy=DESC&amp;SortOrder=Year" TargetMode="External"/><Relationship Id="rId1837" Type="http://schemas.openxmlformats.org/officeDocument/2006/relationships/hyperlink" Target="http://plants.usda.gov/java/profile?symbol=SANIC5" TargetMode="External"/><Relationship Id="rId3192" Type="http://schemas.openxmlformats.org/officeDocument/2006/relationships/hyperlink" Target="http://www.burkemuseum.org/research-and-collections/botany-and-herbarium/collections/database/results.php?Genus=Penstemon&amp;Species=cardwellii&amp;SourcePage=search.php&amp;IncludeSynonyms=Y&amp;SortBy=DESC&amp;SortOrder=Year" TargetMode="External"/><Relationship Id="rId4036" Type="http://schemas.openxmlformats.org/officeDocument/2006/relationships/hyperlink" Target="https://plants.usda.gov/core/profile?symbol=JUAL4" TargetMode="External"/><Relationship Id="rId4243" Type="http://schemas.openxmlformats.org/officeDocument/2006/relationships/hyperlink" Target="https://plants.usda.gov/core/profile?symbol=POMA26" TargetMode="External"/><Relationship Id="rId4450" Type="http://schemas.openxmlformats.org/officeDocument/2006/relationships/hyperlink" Target="https://plants.usda.gov/core/profile?symbol=SYSU4" TargetMode="External"/><Relationship Id="rId5501" Type="http://schemas.openxmlformats.org/officeDocument/2006/relationships/hyperlink" Target="https://en.wikipedia.org/wiki/Veratrum_viride" TargetMode="External"/><Relationship Id="rId3052" Type="http://schemas.openxmlformats.org/officeDocument/2006/relationships/hyperlink" Target="http://www.burkemuseum.org/research-and-collections/botany-and-herbarium/collections/database/results.php?Genus=Impatiens&amp;Species=noli-tangere&amp;SourcePage=search.php&amp;IncludeSynonyms=Y&amp;SortBy=DESC&amp;SortOrder=Year" TargetMode="External"/><Relationship Id="rId4103" Type="http://schemas.openxmlformats.org/officeDocument/2006/relationships/hyperlink" Target="https://plants.usda.gov/core/profile?symbol=LUCO6" TargetMode="External"/><Relationship Id="rId4310" Type="http://schemas.openxmlformats.org/officeDocument/2006/relationships/hyperlink" Target="https://plants.usda.gov/core/profile?symbol=MEFE" TargetMode="External"/><Relationship Id="rId180" Type="http://schemas.openxmlformats.org/officeDocument/2006/relationships/hyperlink" Target="http://biology.burke.washington.edu/herbarium/imagecollection/taxon.php?Taxon=Hordeum%20brachyantherum" TargetMode="External"/><Relationship Id="rId1904" Type="http://schemas.openxmlformats.org/officeDocument/2006/relationships/hyperlink" Target="http://plants.usda.gov/java/profile?symbol=PRVU" TargetMode="External"/><Relationship Id="rId6068" Type="http://schemas.openxmlformats.org/officeDocument/2006/relationships/hyperlink" Target="http://www.burkemuseum.org/research-and-collections/botany-and-herbarium/collections/database/results.php?Genus=Potamogeton&amp;Species=nodosus&amp;SourcePage=search.php&amp;IncludeSynonyms=Y&amp;SortBy=DESC&amp;SortOrder=Year" TargetMode="External"/><Relationship Id="rId6275" Type="http://schemas.openxmlformats.org/officeDocument/2006/relationships/hyperlink" Target="http://www.burkemuseum.org/research-and-collections/botany-and-herbarium/collections/database/results.php?Genus=Triphysaria&amp;Species=pusilla&amp;SourcePage=search.php&amp;IncludeSynonyms=Y&amp;SortBy=DESC&amp;SortOrder=Year" TargetMode="External"/><Relationship Id="rId6482" Type="http://schemas.openxmlformats.org/officeDocument/2006/relationships/hyperlink" Target="http://biology.burke.washington.edu/herbarium/imagecollection/taxon.php?Taxon=Erigeron%20philadelphicus" TargetMode="External"/><Relationship Id="rId7119" Type="http://schemas.openxmlformats.org/officeDocument/2006/relationships/hyperlink" Target="http://biology.burke.washington.edu/herbarium/imagecollectionnew/taxon.php?Taxon=Stachys%20\cooleyae" TargetMode="External"/><Relationship Id="rId3869" Type="http://schemas.openxmlformats.org/officeDocument/2006/relationships/hyperlink" Target="https://plants.usda.gov/core/profile?symbol=cybi6" TargetMode="External"/><Relationship Id="rId5084" Type="http://schemas.openxmlformats.org/officeDocument/2006/relationships/hyperlink" Target="https://en.wikipedia.org/wiki/Lobelia_dortmanna" TargetMode="External"/><Relationship Id="rId5291" Type="http://schemas.openxmlformats.org/officeDocument/2006/relationships/hyperlink" Target="https://en.wikipedia.org/wiki/Pyracantha_coccinea" TargetMode="External"/><Relationship Id="rId6135" Type="http://schemas.openxmlformats.org/officeDocument/2006/relationships/hyperlink" Target="http://www.burkemuseum.org/research-and-collections/botany-and-herbarium/collections/database/results.php?Genus=Rubus&amp;Species=pedatus&amp;SourcePage=search.php&amp;IncludeSynonyms=Y&amp;SortBy=DESC&amp;SortOrder=Year" TargetMode="External"/><Relationship Id="rId6342" Type="http://schemas.openxmlformats.org/officeDocument/2006/relationships/hyperlink" Target="http://biology.burke.washington.edu/herbarium/imagecollection/taxon.php?Taxon=Acer%20circinatum" TargetMode="External"/><Relationship Id="rId997" Type="http://schemas.openxmlformats.org/officeDocument/2006/relationships/hyperlink" Target="https://en.wikipedia.org/wiki/Artemisia_campestris" TargetMode="External"/><Relationship Id="rId2678" Type="http://schemas.openxmlformats.org/officeDocument/2006/relationships/hyperlink" Target="http://biology.burke.washington.edu/herbarium/imagecollectionnew/taxon.php?Taxon=Artemisia%20suksdorfii" TargetMode="External"/><Relationship Id="rId2885" Type="http://schemas.openxmlformats.org/officeDocument/2006/relationships/hyperlink" Target="http://www.burkemuseum.org/research-and-collections/botany-and-herbarium/collections/database/results.php?Genus=Cirsium&amp;Species=edule&amp;SourcePage=search.php&amp;IncludeSynonyms=Y&amp;SortBy=DESC&amp;SortOrder=Year" TargetMode="External"/><Relationship Id="rId3729" Type="http://schemas.openxmlformats.org/officeDocument/2006/relationships/hyperlink" Target="https://plants.usda.gov/core/profile?symbol=BOMA7" TargetMode="External"/><Relationship Id="rId3936" Type="http://schemas.openxmlformats.org/officeDocument/2006/relationships/hyperlink" Target="https://plants.usda.gov/core/profile?symbol=ERLA6" TargetMode="External"/><Relationship Id="rId5151" Type="http://schemas.openxmlformats.org/officeDocument/2006/relationships/hyperlink" Target="https://en.wikipedia.org/wiki/Montia_diffusa" TargetMode="External"/><Relationship Id="rId857" Type="http://schemas.openxmlformats.org/officeDocument/2006/relationships/hyperlink" Target="https://en.wikipedia.org/wiki/Micranthes_oregana" TargetMode="External"/><Relationship Id="rId1487" Type="http://schemas.openxmlformats.org/officeDocument/2006/relationships/hyperlink" Target="https://en.wikipedia.org/wiki/Symphyotrichum_chilense" TargetMode="External"/><Relationship Id="rId1694" Type="http://schemas.openxmlformats.org/officeDocument/2006/relationships/hyperlink" Target="https://en.wikipedia.org/wiki/Nothochelone" TargetMode="External"/><Relationship Id="rId2538" Type="http://schemas.openxmlformats.org/officeDocument/2006/relationships/hyperlink" Target="http://plants.usda.gov/java/profile?symbol=LAPO3" TargetMode="External"/><Relationship Id="rId2745" Type="http://schemas.openxmlformats.org/officeDocument/2006/relationships/hyperlink" Target="http://www.burkemuseum.org/research-and-collections/botany-and-herbarium/collections/database/results.php?Genus=Amsinckia&amp;Species=spectabilis&amp;SourcePage=search.php&amp;IncludeSynonyms=Y&amp;SortBy=DESC&amp;SortOrder=Year" TargetMode="External"/><Relationship Id="rId2952" Type="http://schemas.openxmlformats.org/officeDocument/2006/relationships/hyperlink" Target="http://www.burkemuseum.org/research-and-collections/botany-and-herbarium/collections/database/results.php?Genus=Eleocharis&amp;Species=engelmannii&amp;SourcePage=search.php&amp;IncludeSynonyms=Y&amp;SortBy=DESC&amp;SortOrder=Year" TargetMode="External"/><Relationship Id="rId6202" Type="http://schemas.openxmlformats.org/officeDocument/2006/relationships/hyperlink" Target="http://www.burkemuseum.org/research-and-collections/botany-and-herbarium/collections/database/results.php?Genus=Sidalcea&amp;Species=nelsoniana&amp;SourcePage=search.php&amp;IncludeSynonyms=Y&amp;SortBy=DESC&amp;SortOrder=Year" TargetMode="External"/><Relationship Id="rId717" Type="http://schemas.openxmlformats.org/officeDocument/2006/relationships/hyperlink" Target="https://en.wikipedia.org/wiki/Epilobium_glaberrimum" TargetMode="External"/><Relationship Id="rId924" Type="http://schemas.openxmlformats.org/officeDocument/2006/relationships/hyperlink" Target="https://en.wikipedia.org/wiki/Carex" TargetMode="External"/><Relationship Id="rId1347" Type="http://schemas.openxmlformats.org/officeDocument/2006/relationships/hyperlink" Target="http://biology.burke.washington.edu/herbarium/imagecollectionnew/taxon.php?Taxon=Rumex%20occidentalis" TargetMode="External"/><Relationship Id="rId1554" Type="http://schemas.openxmlformats.org/officeDocument/2006/relationships/hyperlink" Target="https://en.wikipedia.org/wiki/Oxalis_oregana" TargetMode="External"/><Relationship Id="rId1761" Type="http://schemas.openxmlformats.org/officeDocument/2006/relationships/hyperlink" Target="https://plants.usda.gov/core/profile?symbol=TORY" TargetMode="External"/><Relationship Id="rId2605" Type="http://schemas.openxmlformats.org/officeDocument/2006/relationships/hyperlink" Target="https://plants.usda.gov/core/profile?symbol=POLA3" TargetMode="External"/><Relationship Id="rId2812" Type="http://schemas.openxmlformats.org/officeDocument/2006/relationships/hyperlink" Target="http://www.burkemuseum.org/research-and-collections/botany-and-herbarium/collections/database/results.php?Genus=Calandrinia&amp;Species=ciliata&amp;SourcePage=search.php&amp;IncludeSynonyms=Y&amp;SortBy=DESC&amp;SortOrder=Year" TargetMode="External"/><Relationship Id="rId5011" Type="http://schemas.openxmlformats.org/officeDocument/2006/relationships/hyperlink" Target="https://en.wikipedia.org/wiki/Heracleum_maximum" TargetMode="External"/><Relationship Id="rId5968" Type="http://schemas.openxmlformats.org/officeDocument/2006/relationships/hyperlink" Target="http://www.burkemuseum.org/research-and-collections/botany-and-herbarium/collections/database/results.php?Genus=Nemophila&amp;Species=pedunculata&amp;SourcePage=search.php&amp;IncludeSynonyms=Y&amp;SortBy=DESC&amp;SortOrder=Year" TargetMode="External"/><Relationship Id="rId53" Type="http://schemas.openxmlformats.org/officeDocument/2006/relationships/hyperlink" Target="http://biology.burke.washington.edu/herbarium/imagecollection/taxon.php?Taxon=Lobelia%20dortmanna" TargetMode="External"/><Relationship Id="rId1207" Type="http://schemas.openxmlformats.org/officeDocument/2006/relationships/hyperlink" Target="http://biology.burke.washington.edu/herbarium/imagecollection/taxon.php?Taxon=Erigeron%20speciosus" TargetMode="External"/><Relationship Id="rId1414" Type="http://schemas.openxmlformats.org/officeDocument/2006/relationships/hyperlink" Target="http://biology.burke.washington.edu/herbarium/imagecollection/taxon.php?Taxon=Heuchera%20micrantha" TargetMode="External"/><Relationship Id="rId1621" Type="http://schemas.openxmlformats.org/officeDocument/2006/relationships/hyperlink" Target="https://en.wikipedia.org/wiki/Gentiana_sceptrum" TargetMode="External"/><Relationship Id="rId4777" Type="http://schemas.openxmlformats.org/officeDocument/2006/relationships/hyperlink" Target="https://en.wikipedia.org/wiki/Carex_anthoxanthea" TargetMode="External"/><Relationship Id="rId4984" Type="http://schemas.openxmlformats.org/officeDocument/2006/relationships/hyperlink" Target="https://en.wikipedia.org/wiki/Gamochaeta_ustulata" TargetMode="External"/><Relationship Id="rId5828" Type="http://schemas.openxmlformats.org/officeDocument/2006/relationships/hyperlink" Target="http://www.burkemuseum.org/research-and-collections/botany-and-herbarium/collections/database/results.php?Genus=Impatiens&amp;Species=noli-tangere&amp;SourcePage=search.php&amp;IncludeSynonyms=Y&amp;SortBy=DESC&amp;SortOrder=Year" TargetMode="External"/><Relationship Id="rId7183" Type="http://schemas.openxmlformats.org/officeDocument/2006/relationships/hyperlink" Target="http://biology.burke.washington.edu/herbarium/imagecollection/taxon.php?Taxon=Rubus%20leucodermis" TargetMode="External"/><Relationship Id="rId3379" Type="http://schemas.openxmlformats.org/officeDocument/2006/relationships/hyperlink" Target="http://www.burkemuseum.org/research-and-collections/botany-and-herbarium/collections/database/results.php?Genus=Stuckenia&amp;Species=pectinata&amp;SourcePage=search.php&amp;IncludeSynonyms=Y&amp;SortBy=DESC&amp;SortOrder=Year" TargetMode="External"/><Relationship Id="rId3586" Type="http://schemas.openxmlformats.org/officeDocument/2006/relationships/hyperlink" Target="http://www.burkemuseum.org/research-and-collections/botany-and-herbarium/collections/database/results.php?Genus=Sedum&amp;Species=divergens&amp;SourcePage=search.php&amp;IncludeSynonyms=Y&amp;SortBy=DESC&amp;SortOrder=Year" TargetMode="External"/><Relationship Id="rId3793" Type="http://schemas.openxmlformats.org/officeDocument/2006/relationships/hyperlink" Target="https://plants.usda.gov/core/profile?symbol=CARO6" TargetMode="External"/><Relationship Id="rId4637" Type="http://schemas.openxmlformats.org/officeDocument/2006/relationships/hyperlink" Target="http://www.burkemuseum.org/research-and-collections/botany-and-herbarium/collections/database/results.php?Genus=Arceuthobium&amp;Species=campylopodum&amp;SourcePage=search.php&amp;IncludeSynonyms=Y&amp;SortBy=DESC&amp;SortOrder=Year" TargetMode="External"/><Relationship Id="rId7043" Type="http://schemas.openxmlformats.org/officeDocument/2006/relationships/hyperlink" Target="http://biology.burke.washington.edu/herbarium/imagecollectionnew/taxon.php?Taxon=Barbarea%20orthoceras" TargetMode="External"/><Relationship Id="rId2188" Type="http://schemas.openxmlformats.org/officeDocument/2006/relationships/hyperlink" Target="http://plants.usda.gov/java/profile?symbol=EQAR" TargetMode="External"/><Relationship Id="rId2395" Type="http://schemas.openxmlformats.org/officeDocument/2006/relationships/hyperlink" Target="http://plants.usda.gov/core/profile?symbol=STOC" TargetMode="External"/><Relationship Id="rId3239" Type="http://schemas.openxmlformats.org/officeDocument/2006/relationships/hyperlink" Target="http://www.burkemuseum.org/research-and-collections/botany-and-herbarium/collections/database/results.php?Genus=Potamogeton&amp;Species=illinoensis&amp;SourcePage=search.php&amp;IncludeSynonyms=Y&amp;SortBy=DESC&amp;SortOrder=Year" TargetMode="External"/><Relationship Id="rId3446" Type="http://schemas.openxmlformats.org/officeDocument/2006/relationships/hyperlink" Target="http://www.burkemuseum.org/research-and-collections/botany-and-herbarium/collections/database/results.php?Genus=Xerophyllum&amp;Species=tenax&amp;SourcePage=search.php&amp;IncludeSynonyms=Y&amp;SortBy=DESC&amp;SortOrder=Year" TargetMode="External"/><Relationship Id="rId4844" Type="http://schemas.openxmlformats.org/officeDocument/2006/relationships/hyperlink" Target="https://en.wikipedia.org/wiki/Clarkia_amoena" TargetMode="External"/><Relationship Id="rId7110" Type="http://schemas.openxmlformats.org/officeDocument/2006/relationships/hyperlink" Target="http://biology.burke.washington.edu/herbarium/imagecollectionnew/taxon.php?Taxon=Symphyotrichum%20subspicatum" TargetMode="External"/><Relationship Id="rId367" Type="http://schemas.openxmlformats.org/officeDocument/2006/relationships/hyperlink" Target="http://biology.burke.washington.edu/herbarium/imagecollectionnew/taxon.php?Taxon=Carex%20pluriflora" TargetMode="External"/><Relationship Id="rId574" Type="http://schemas.openxmlformats.org/officeDocument/2006/relationships/hyperlink" Target="https://en.wikipedia.org/wiki/Spiranthes_romanzoffiana" TargetMode="External"/><Relationship Id="rId2048" Type="http://schemas.openxmlformats.org/officeDocument/2006/relationships/hyperlink" Target="http://plants.usda.gov/java/profile?symbol=LUBI" TargetMode="External"/><Relationship Id="rId2255" Type="http://schemas.openxmlformats.org/officeDocument/2006/relationships/hyperlink" Target="http://plants.usda.gov/java/profile?symbol=COGR4" TargetMode="External"/><Relationship Id="rId3653" Type="http://schemas.openxmlformats.org/officeDocument/2006/relationships/hyperlink" Target="https://plants.usda.gov/core/profile?symbol=ALSC" TargetMode="External"/><Relationship Id="rId3860" Type="http://schemas.openxmlformats.org/officeDocument/2006/relationships/hyperlink" Target="https://plants.usda.gov/core/profile?symbol=COCAA" TargetMode="External"/><Relationship Id="rId4704" Type="http://schemas.openxmlformats.org/officeDocument/2006/relationships/hyperlink" Target="https://en.wikipedia.org/wiki/Arctostaphylos_columbiana" TargetMode="External"/><Relationship Id="rId4911" Type="http://schemas.openxmlformats.org/officeDocument/2006/relationships/hyperlink" Target="https://en.wikipedia.org/wiki/Drymocallis_glandulosa" TargetMode="External"/><Relationship Id="rId227" Type="http://schemas.openxmlformats.org/officeDocument/2006/relationships/hyperlink" Target="http://biology.burke.washington.edu/herbarium/imagecollection/taxon.php?Taxon=Ranunculus%20macounii" TargetMode="External"/><Relationship Id="rId781" Type="http://schemas.openxmlformats.org/officeDocument/2006/relationships/hyperlink" Target="https://en.wikipedia.org/wiki/Polystichum_imbricans" TargetMode="External"/><Relationship Id="rId2462" Type="http://schemas.openxmlformats.org/officeDocument/2006/relationships/hyperlink" Target="http://plants.usda.gov/java/profile?symbol=STRI" TargetMode="External"/><Relationship Id="rId3306" Type="http://schemas.openxmlformats.org/officeDocument/2006/relationships/hyperlink" Target="http://www.burkemuseum.org/research-and-collections/botany-and-herbarium/collections/database/results.php?Genus=Salix&amp;Species=bebbiana&amp;SourcePage=search.php&amp;IncludeSynonyms=Y&amp;SortBy=DESC&amp;SortOrder=Year" TargetMode="External"/><Relationship Id="rId3513" Type="http://schemas.openxmlformats.org/officeDocument/2006/relationships/hyperlink" Target="http://www.burkemuseum.org/research-and-collections/botany-and-herbarium/collections/database/results.php?Genus=Isolepis&amp;Species=cernua&amp;SourcePage=search.php&amp;IncludeSynonyms=Y&amp;SortBy=DESC&amp;SortOrder=Year" TargetMode="External"/><Relationship Id="rId3720" Type="http://schemas.openxmlformats.org/officeDocument/2006/relationships/hyperlink" Target="https://plants.usda.gov/core/profile?symbol=BEOC2" TargetMode="External"/><Relationship Id="rId6669" Type="http://schemas.openxmlformats.org/officeDocument/2006/relationships/hyperlink" Target="http://biology.burke.washington.edu/herbarium/imagecollection/taxon.php?Taxon=Ranunculus%20orthorhynchus" TargetMode="External"/><Relationship Id="rId6876" Type="http://schemas.openxmlformats.org/officeDocument/2006/relationships/hyperlink" Target="http://biology.burke.washington.edu/herbarium/imagecollectionnew/taxon.php?Taxon=Trifolium%20wormskioldii" TargetMode="External"/><Relationship Id="rId434" Type="http://schemas.openxmlformats.org/officeDocument/2006/relationships/hyperlink" Target="http://biology.burke.washington.edu/herbarium/imagecollectionnew/taxon.php?Taxon=Castilleja%20hispida" TargetMode="External"/><Relationship Id="rId641" Type="http://schemas.openxmlformats.org/officeDocument/2006/relationships/hyperlink" Target="https://en.wikipedia.org/wiki/Rumex" TargetMode="External"/><Relationship Id="rId1064" Type="http://schemas.openxmlformats.org/officeDocument/2006/relationships/hyperlink" Target="https://en.wikipedia.org/wiki/Lycopus_americanus" TargetMode="External"/><Relationship Id="rId1271" Type="http://schemas.openxmlformats.org/officeDocument/2006/relationships/hyperlink" Target="https://en.wikipedia.org/wiki/Oxytropis" TargetMode="External"/><Relationship Id="rId2115" Type="http://schemas.openxmlformats.org/officeDocument/2006/relationships/hyperlink" Target="http://plants.usda.gov/java/profile?symbol=HODI" TargetMode="External"/><Relationship Id="rId2322" Type="http://schemas.openxmlformats.org/officeDocument/2006/relationships/hyperlink" Target="https://plants.usda.gov/core/profile?symbol=CACA11" TargetMode="External"/><Relationship Id="rId5478" Type="http://schemas.openxmlformats.org/officeDocument/2006/relationships/hyperlink" Target="https://en.wikipedia.org/wiki/Trisetum_canescens" TargetMode="External"/><Relationship Id="rId5685" Type="http://schemas.openxmlformats.org/officeDocument/2006/relationships/hyperlink" Target="http://www.burkemuseum.org/research-and-collections/botany-and-herbarium/collections/database/results.php?Genus=Daucus&amp;Species=pusillus&amp;SourcePage=search.php&amp;IncludeSynonyms=Y&amp;SortBy=DESC&amp;SortOrder=Year" TargetMode="External"/><Relationship Id="rId5892" Type="http://schemas.openxmlformats.org/officeDocument/2006/relationships/hyperlink" Target="http://www.burkemuseum.org/research-and-collections/botany-and-herbarium/collections/database/results.php?Genus=Lotus&amp;Species=uliginousus&amp;SourcePage=search.php&amp;IncludeSynonyms=Y&amp;SortBy=DESC&amp;SortOrder=Year" TargetMode="External"/><Relationship Id="rId6529" Type="http://schemas.openxmlformats.org/officeDocument/2006/relationships/hyperlink" Target="http://biology.burke.washington.edu/herbarium/imagecollection/taxon.php?Taxon=Hieracium%20albiflorum" TargetMode="External"/><Relationship Id="rId6736" Type="http://schemas.openxmlformats.org/officeDocument/2006/relationships/hyperlink" Target="http://biology.burke.washington.edu/herbarium/imagecollection/taxon.php?Taxon=Madia%20gracilis" TargetMode="External"/><Relationship Id="rId6943" Type="http://schemas.openxmlformats.org/officeDocument/2006/relationships/hyperlink" Target="http://biology.burke.washington.edu/herbarium/imagecollection/taxon.php?Taxon=Lithophragma%20parviflorum" TargetMode="External"/><Relationship Id="rId501" Type="http://schemas.openxmlformats.org/officeDocument/2006/relationships/hyperlink" Target="https://en.wikipedia.org/wiki/Xanthium_strumarium" TargetMode="External"/><Relationship Id="rId1131" Type="http://schemas.openxmlformats.org/officeDocument/2006/relationships/hyperlink" Target="https://en.wikipedia.org/wiki/Hypericum_anagalloides" TargetMode="External"/><Relationship Id="rId4287" Type="http://schemas.openxmlformats.org/officeDocument/2006/relationships/hyperlink" Target="https://plants.usda.gov/core/profile?symbol=PTAN2" TargetMode="External"/><Relationship Id="rId4494" Type="http://schemas.openxmlformats.org/officeDocument/2006/relationships/hyperlink" Target="https://plants.usda.gov/core/profile?symbol=VAOX" TargetMode="External"/><Relationship Id="rId5338" Type="http://schemas.openxmlformats.org/officeDocument/2006/relationships/hyperlink" Target="https://en.wikipedia.org/wiki/Rudbeckia_hirta" TargetMode="External"/><Relationship Id="rId5545" Type="http://schemas.openxmlformats.org/officeDocument/2006/relationships/hyperlink" Target="http://www.burkemuseum.org/research-and-collections/botany-and-herbarium/collections/database/results.php?Genus=Bromus&amp;Species=sitchensis&amp;SourcePage=search.php&amp;IncludeSynonyms=Y&amp;SortBy=DESC&amp;SortOrder=Year" TargetMode="External"/><Relationship Id="rId5752" Type="http://schemas.openxmlformats.org/officeDocument/2006/relationships/hyperlink" Target="http://www.burkemuseum.org/research-and-collections/botany-and-herbarium/collections/database/results.php?Genus=Euthamia&amp;Species=occidentalis&amp;SourcePage=search.php&amp;IncludeSynonyms=Y&amp;SortBy=DESC&amp;SortOrder=Year" TargetMode="External"/><Relationship Id="rId6803" Type="http://schemas.openxmlformats.org/officeDocument/2006/relationships/hyperlink" Target="http://biology.burke.washington.edu/herbarium/imagecollectionnew/taxon.php?Taxon=Crassula%20connata" TargetMode="External"/><Relationship Id="rId3096" Type="http://schemas.openxmlformats.org/officeDocument/2006/relationships/hyperlink" Target="http://www.burkemuseum.org/research-and-collections/botany-and-herbarium/collections/database/results.php?Genus=Neottia&amp;Species=cordata&amp;SourcePage=search.php&amp;IncludeSynonyms=Y&amp;SortBy=DESC&amp;SortOrder=Year" TargetMode="External"/><Relationship Id="rId4147" Type="http://schemas.openxmlformats.org/officeDocument/2006/relationships/hyperlink" Target="https://plants.usda.gov/core/profile?symbol=MODI2" TargetMode="External"/><Relationship Id="rId4354" Type="http://schemas.openxmlformats.org/officeDocument/2006/relationships/hyperlink" Target="https://plants.usda.gov/core/profile?symbol=SAGE2" TargetMode="External"/><Relationship Id="rId4561" Type="http://schemas.openxmlformats.org/officeDocument/2006/relationships/hyperlink" Target="https://en.wikipedia.org/wiki/Allotropa" TargetMode="External"/><Relationship Id="rId5405" Type="http://schemas.openxmlformats.org/officeDocument/2006/relationships/hyperlink" Target="https://en.wikipedia.org/wiki/Sidalcea_virgata" TargetMode="External"/><Relationship Id="rId5612" Type="http://schemas.openxmlformats.org/officeDocument/2006/relationships/hyperlink" Target="http://www.burkemuseum.org/research-and-collections/botany-and-herbarium/collections/database/results.php?Genus=Castilleja&amp;Species=hispida&amp;SourcePage=search.php&amp;IncludeSynonyms=Y&amp;SortBy=DESC&amp;SortOrder=Year" TargetMode="External"/><Relationship Id="rId1948" Type="http://schemas.openxmlformats.org/officeDocument/2006/relationships/hyperlink" Target="https://plants.usda.gov/core/profile?symbol=PICA9" TargetMode="External"/><Relationship Id="rId3163" Type="http://schemas.openxmlformats.org/officeDocument/2006/relationships/hyperlink" Target="http://www.burkemuseum.org/research-and-collections/botany-and-herbarium/collections/database/results.php?Genus=Nabalus&amp;Species=alatus&amp;SourcePage=search.php&amp;IncludeSynonyms=Y&amp;SortBy=DESC&amp;SortOrder=Year" TargetMode="External"/><Relationship Id="rId3370" Type="http://schemas.openxmlformats.org/officeDocument/2006/relationships/hyperlink" Target="http://www.burkemuseum.org/research-and-collections/botany-and-herbarium/collections/database/results.php?Genus=Stachys&amp;Species=mexicana&amp;SourcePage=search.php&amp;IncludeSynonyms=Y&amp;SortBy=DESC&amp;SortOrder=Year" TargetMode="External"/><Relationship Id="rId4007" Type="http://schemas.openxmlformats.org/officeDocument/2006/relationships/hyperlink" Target="https://plants.usda.gov/core/profile?symbol=HISC2" TargetMode="External"/><Relationship Id="rId4214" Type="http://schemas.openxmlformats.org/officeDocument/2006/relationships/hyperlink" Target="https://plants.usda.gov/core/profile?symbol=PHCO24" TargetMode="External"/><Relationship Id="rId4421" Type="http://schemas.openxmlformats.org/officeDocument/2006/relationships/hyperlink" Target="https://plants.usda.gov/core/profile?symbol=SPCA3" TargetMode="External"/><Relationship Id="rId291" Type="http://schemas.openxmlformats.org/officeDocument/2006/relationships/hyperlink" Target="http://biology.burke.washington.edu/herbarium/imagecollectionnew/taxon.php?Taxon=Anemone%20deltoidea" TargetMode="External"/><Relationship Id="rId1808" Type="http://schemas.openxmlformats.org/officeDocument/2006/relationships/hyperlink" Target="https://plants.usda.gov/core/profile?symbol=SINE2" TargetMode="External"/><Relationship Id="rId3023" Type="http://schemas.openxmlformats.org/officeDocument/2006/relationships/hyperlink" Target="http://www.burkemuseum.org/research-and-collections/botany-and-herbarium/collections/database/results.php?Genus=Goodyera&amp;Species=oblongifolia&amp;SourcePage=search.php&amp;IncludeSynonyms=Y&amp;SortBy=DESC&amp;SortOrder=Year" TargetMode="External"/><Relationship Id="rId6179" Type="http://schemas.openxmlformats.org/officeDocument/2006/relationships/hyperlink" Target="http://www.burkemuseum.org/research-and-collections/botany-and-herbarium/collections/database/results.php?Genus=Saxifraga&amp;Species=mertensiana&amp;SourcePage=search.php&amp;IncludeSynonyms=Y&amp;SortBy=DESC&amp;SortOrder=Year" TargetMode="External"/><Relationship Id="rId6386" Type="http://schemas.openxmlformats.org/officeDocument/2006/relationships/hyperlink" Target="http://biology.burke.washington.edu/herbarium/imagecollectionnew/taxon.php?Taxon=Athyrium%20filix-femina" TargetMode="External"/><Relationship Id="rId151" Type="http://schemas.openxmlformats.org/officeDocument/2006/relationships/hyperlink" Target="http://biology.burke.washington.edu/herbarium/imagecollection/taxon.php?Taxon=Lycopus%20americanus" TargetMode="External"/><Relationship Id="rId3230" Type="http://schemas.openxmlformats.org/officeDocument/2006/relationships/hyperlink" Target="http://www.burkemuseum.org/research-and-collections/botany-and-herbarium/collections/database/results.php?Genus=Polystichum&amp;Species=californicum&amp;SourcePage=search.php&amp;IncludeSynonyms=Y&amp;SortBy=DESC&amp;SortOrder=Year" TargetMode="External"/><Relationship Id="rId5195" Type="http://schemas.openxmlformats.org/officeDocument/2006/relationships/hyperlink" Target="https://en.wikipedia.org/wiki/Parnassia_cirrata" TargetMode="External"/><Relationship Id="rId6039" Type="http://schemas.openxmlformats.org/officeDocument/2006/relationships/hyperlink" Target="http://www.burkemuseum.org/research-and-collections/botany-and-herbarium/collections/database/results.php?Genus=Plectritis&amp;Species=congesta&amp;SourcePage=search.php&amp;IncludeSynonyms=Y&amp;SortBy=DESC&amp;SortOrder=Year" TargetMode="External"/><Relationship Id="rId6593" Type="http://schemas.openxmlformats.org/officeDocument/2006/relationships/hyperlink" Target="http://biology.burke.washington.edu/herbarium/imagecollection/taxon.php?Taxon=Oxalis%20oregana" TargetMode="External"/><Relationship Id="rId2789" Type="http://schemas.openxmlformats.org/officeDocument/2006/relationships/hyperlink" Target="http://www.burkemuseum.org/research-and-collections/botany-and-herbarium/collections/database/results.php?Genus=Barbarea&amp;Species=orthoceras&amp;SourcePage=search.php&amp;IncludeSynonyms=Y&amp;SortBy=DESC&amp;SortOrder=Year" TargetMode="External"/><Relationship Id="rId2996" Type="http://schemas.openxmlformats.org/officeDocument/2006/relationships/hyperlink" Target="http://www.burkemuseum.org/research-and-collections/botany-and-herbarium/collections/database/results.php?Genus=Festuca&amp;Species=rubra&amp;SourcePage=search.php&amp;IncludeSynonyms=Y&amp;SortBy=DESC&amp;SortOrder=Year" TargetMode="External"/><Relationship Id="rId6246" Type="http://schemas.openxmlformats.org/officeDocument/2006/relationships/hyperlink" Target="http://www.burkemuseum.org/research-and-collections/botany-and-herbarium/collections/database/results.php?Genus=Symphyotrichum&amp;Species=chilense&amp;SourcePage=search.php&amp;IncludeSynonyms=Y&amp;SortBy=DESC&amp;SortOrder=Year" TargetMode="External"/><Relationship Id="rId6453" Type="http://schemas.openxmlformats.org/officeDocument/2006/relationships/hyperlink" Target="https://en.wikipedia.org/wiki/Darmera" TargetMode="External"/><Relationship Id="rId6660" Type="http://schemas.openxmlformats.org/officeDocument/2006/relationships/hyperlink" Target="http://biology.burke.washington.edu/herbarium/imagecollection/taxon.php?Taxon=Sagina%20decumbens" TargetMode="External"/><Relationship Id="rId968" Type="http://schemas.openxmlformats.org/officeDocument/2006/relationships/hyperlink" Target="http://en.wikipedia.org/wiki/Brodiaea_coronaria" TargetMode="External"/><Relationship Id="rId1598" Type="http://schemas.openxmlformats.org/officeDocument/2006/relationships/hyperlink" Target="https://en.wikipedia.org/wiki/Mitella_caulescens" TargetMode="External"/><Relationship Id="rId2649" Type="http://schemas.openxmlformats.org/officeDocument/2006/relationships/hyperlink" Target="http://biology.burke.washington.edu/herbarium/imagecollectionnew/taxon.php?Taxon=Artemisia%20campestris" TargetMode="External"/><Relationship Id="rId2856" Type="http://schemas.openxmlformats.org/officeDocument/2006/relationships/hyperlink" Target="http://www.burkemuseum.org/research-and-collections/botany-and-herbarium/collections/database/results.php?Genus=Carex&amp;Species=utriculata&amp;SourcePage=search.php&amp;IncludeSynonyms=Y&amp;SortBy=DESC&amp;SortOrder=Year" TargetMode="External"/><Relationship Id="rId3907" Type="http://schemas.openxmlformats.org/officeDocument/2006/relationships/hyperlink" Target="https://plants.usda.gov/core/profile?symbol=ELEN" TargetMode="External"/><Relationship Id="rId5055" Type="http://schemas.openxmlformats.org/officeDocument/2006/relationships/hyperlink" Target="https://en.wikipedia.org/wiki/Juniperus_scopulorum" TargetMode="External"/><Relationship Id="rId5262" Type="http://schemas.openxmlformats.org/officeDocument/2006/relationships/hyperlink" Target="https://en.wikipedia.org/wiki/Polystichum_setiferum" TargetMode="External"/><Relationship Id="rId6106" Type="http://schemas.openxmlformats.org/officeDocument/2006/relationships/hyperlink" Target="http://www.burkemuseum.org/research-and-collections/botany-and-herbarium/collections/database/results.php?Genus=Rhinanthus&amp;Species=minor&amp;SourcePage=search.php&amp;IncludeSynonyms=Y&amp;SortBy=DESC&amp;SortOrder=Year" TargetMode="External"/><Relationship Id="rId6313" Type="http://schemas.openxmlformats.org/officeDocument/2006/relationships/hyperlink" Target="http://www.burkemuseum.org/research-and-collections/botany-and-herbarium/collections/database/results.php?Genus=Viola&amp;Species=langsdorfii&amp;SourcePage=search.php&amp;IncludeSynonyms=Y&amp;SortBy=DESC&amp;SortOrder=Year" TargetMode="External"/><Relationship Id="rId6520" Type="http://schemas.openxmlformats.org/officeDocument/2006/relationships/hyperlink" Target="http://biology.burke.washington.edu/herbarium/imagecollection/taxon.php?Taxon=Glyceria%20striata" TargetMode="External"/><Relationship Id="rId97" Type="http://schemas.openxmlformats.org/officeDocument/2006/relationships/hyperlink" Target="http://biology.burke.washington.edu/herbarium/imagecollection/taxon.php?Taxon=Polypodium%20hesperium" TargetMode="External"/><Relationship Id="rId828" Type="http://schemas.openxmlformats.org/officeDocument/2006/relationships/hyperlink" Target="https://en.wikipedia.org/wiki/Opuntia_fragilis" TargetMode="External"/><Relationship Id="rId1458" Type="http://schemas.openxmlformats.org/officeDocument/2006/relationships/hyperlink" Target="http://biology.burke.washington.edu/herbarium/imagecollectionnew/taxon.php?Taxon=Vaccinium%20parvifolium" TargetMode="External"/><Relationship Id="rId1665" Type="http://schemas.openxmlformats.org/officeDocument/2006/relationships/hyperlink" Target="http://biology.burke.washington.edu/herbarium/imagecollection/taxon.php?Taxon=Microseris%20laciniata" TargetMode="External"/><Relationship Id="rId1872" Type="http://schemas.openxmlformats.org/officeDocument/2006/relationships/hyperlink" Target="https://plants.usda.gov/core/profile?symbol=RIOX" TargetMode="External"/><Relationship Id="rId2509" Type="http://schemas.openxmlformats.org/officeDocument/2006/relationships/hyperlink" Target="http://plants.usda.gov/java/profile?symbol=PESE5" TargetMode="External"/><Relationship Id="rId2716" Type="http://schemas.openxmlformats.org/officeDocument/2006/relationships/hyperlink" Target="http://www.burkemuseum.org/research-and-collections/botany-and-herbarium/collections/database/results.php?Genus=Abronia&amp;Species=umbellata&amp;SourcePage=search.php&amp;IncludeSynonyms=Y&amp;SortBy=DESC&amp;SortOrder=Year" TargetMode="External"/><Relationship Id="rId4071" Type="http://schemas.openxmlformats.org/officeDocument/2006/relationships/hyperlink" Target="https://plants.usda.gov/core/profile?symbol=LERE7" TargetMode="External"/><Relationship Id="rId5122" Type="http://schemas.openxmlformats.org/officeDocument/2006/relationships/hyperlink" Target="https://en.wikipedia.org/wiki/Maianthemum_racemosum" TargetMode="External"/><Relationship Id="rId1318" Type="http://schemas.openxmlformats.org/officeDocument/2006/relationships/hyperlink" Target="http://biology.burke.washington.edu/herbarium/imagecollection/taxon.php?Taxon=Salix%20cascadensis" TargetMode="External"/><Relationship Id="rId1525" Type="http://schemas.openxmlformats.org/officeDocument/2006/relationships/hyperlink" Target="https://en.wikipedia.org/wiki/Fraxinus_latifolia" TargetMode="External"/><Relationship Id="rId2923" Type="http://schemas.openxmlformats.org/officeDocument/2006/relationships/hyperlink" Target="http://www.burkemuseum.org/research-and-collections/botany-and-herbarium/collections/database/results.php?Genus=Cyperus&amp;Species=squarrosus&amp;SourcePage=search.php&amp;IncludeSynonyms=Y&amp;SortBy=DESC&amp;SortOrder=Year" TargetMode="External"/><Relationship Id="rId7087" Type="http://schemas.openxmlformats.org/officeDocument/2006/relationships/hyperlink" Target="http://biology.burke.washington.edu/herbarium/imagecollectionnew/taxon.php?Taxon=Vaccinium%20oxycoccos" TargetMode="External"/><Relationship Id="rId1732" Type="http://schemas.openxmlformats.org/officeDocument/2006/relationships/hyperlink" Target="http://plants.usda.gov/java/profile?symbol=VAUL" TargetMode="External"/><Relationship Id="rId4888" Type="http://schemas.openxmlformats.org/officeDocument/2006/relationships/hyperlink" Target="https://en.wikipedia.org/wiki/Danthonia_spicata" TargetMode="External"/><Relationship Id="rId5939" Type="http://schemas.openxmlformats.org/officeDocument/2006/relationships/hyperlink" Target="http://www.burkemuseum.org/research-and-collections/botany-and-herbarium/collections/database/results.php?Genus=Microseris&amp;Species=borealis&amp;SourcePage=search.php&amp;IncludeSynonyms=Y&amp;SortBy=DESC&amp;SortOrder=Year" TargetMode="External"/><Relationship Id="rId7154" Type="http://schemas.openxmlformats.org/officeDocument/2006/relationships/hyperlink" Target="http://biology.burke.washington.edu/herbarium/imagecollectionnew/taxon.php?Taxon=Sambucus%20racemosa" TargetMode="External"/><Relationship Id="rId24" Type="http://schemas.openxmlformats.org/officeDocument/2006/relationships/hyperlink" Target="http://biology.burke.washington.edu/herbarium/imagecollection/taxon.php?Taxon=Heterotheca%20villosa" TargetMode="External"/><Relationship Id="rId2299" Type="http://schemas.openxmlformats.org/officeDocument/2006/relationships/hyperlink" Target="https://plants.usda.gov/core/profile?symbol=CAUT" TargetMode="External"/><Relationship Id="rId3697" Type="http://schemas.openxmlformats.org/officeDocument/2006/relationships/hyperlink" Target="https://plants.usda.gov/core/profile?symbol=ARLO6" TargetMode="External"/><Relationship Id="rId4748" Type="http://schemas.openxmlformats.org/officeDocument/2006/relationships/hyperlink" Target="https://en.wikipedia.org/wiki/Brasenia_schreberi" TargetMode="External"/><Relationship Id="rId4955" Type="http://schemas.openxmlformats.org/officeDocument/2006/relationships/hyperlink" Target="https://en.wikipedia.org/wiki/Erythranthe_moschata" TargetMode="External"/><Relationship Id="rId7014" Type="http://schemas.openxmlformats.org/officeDocument/2006/relationships/hyperlink" Target="http://biology.burke.washington.edu/herbarium/imagecollectionnew/taxon.php?Taxon=Castilleja%20levisecta" TargetMode="External"/><Relationship Id="rId3557" Type="http://schemas.openxmlformats.org/officeDocument/2006/relationships/hyperlink" Target="http://www.burkemuseum.org/research-and-collections/botany-and-herbarium/collections/database/results.php?Genus=Polygonum&amp;Species=paronychia&amp;SourcePage=search.php&amp;IncludeSynonyms=Y&amp;SortBy=DESC&amp;SortOrder=Year" TargetMode="External"/><Relationship Id="rId3764" Type="http://schemas.openxmlformats.org/officeDocument/2006/relationships/hyperlink" Target="https://plants.usda.gov/core/profile?symbol=CAAN10" TargetMode="External"/><Relationship Id="rId3971" Type="http://schemas.openxmlformats.org/officeDocument/2006/relationships/hyperlink" Target="https://plants.usda.gov/core/profile?symbol=GATR3" TargetMode="External"/><Relationship Id="rId4608" Type="http://schemas.openxmlformats.org/officeDocument/2006/relationships/hyperlink" Target="http://www.burkemuseum.org/research-and-collections/botany-and-herbarium/collections/database/results.php?Genus=Alnus&amp;Species=rubra&amp;SourcePage=search.php&amp;IncludeSynonyms=Y&amp;SortBy=DESC&amp;SortOrder=Year" TargetMode="External"/><Relationship Id="rId4815" Type="http://schemas.openxmlformats.org/officeDocument/2006/relationships/hyperlink" Target="https://en.wikipedia.org/wiki/Castilleja_ambigua" TargetMode="External"/><Relationship Id="rId6170" Type="http://schemas.openxmlformats.org/officeDocument/2006/relationships/hyperlink" Target="http://www.burkemuseum.org/research-and-collections/botany-and-herbarium/collections/database/results.php?Genus=Sanguisorba&amp;Species=menziesii&amp;SourcePage=search.php&amp;IncludeSynonyms=Y&amp;SortBy=DESC&amp;SortOrder=Year" TargetMode="External"/><Relationship Id="rId7221" Type="http://schemas.openxmlformats.org/officeDocument/2006/relationships/hyperlink" Target="http://biology.burke.washington.edu/herbarium/imagecollection/taxon.php?Taxon=Potamogeton%20natans" TargetMode="External"/><Relationship Id="rId478" Type="http://schemas.openxmlformats.org/officeDocument/2006/relationships/hyperlink" Target="http://biology.burke.washington.edu/herbarium/imagecollectionnew/taxon.php?Taxon=Viola%20adunca" TargetMode="External"/><Relationship Id="rId685" Type="http://schemas.openxmlformats.org/officeDocument/2006/relationships/hyperlink" Target="https://en.wikipedia.org/wiki/Fragaria_vesca" TargetMode="External"/><Relationship Id="rId892" Type="http://schemas.openxmlformats.org/officeDocument/2006/relationships/hyperlink" Target="http://en.wikipedia.org/wiki/Claytonia_rubra" TargetMode="External"/><Relationship Id="rId2159" Type="http://schemas.openxmlformats.org/officeDocument/2006/relationships/hyperlink" Target="https://plants.usda.gov/core/profile?symbol=FIOC" TargetMode="External"/><Relationship Id="rId2366" Type="http://schemas.openxmlformats.org/officeDocument/2006/relationships/hyperlink" Target="http://plants.usda.gov/java/profile?symbol=BAOR" TargetMode="External"/><Relationship Id="rId2573" Type="http://schemas.openxmlformats.org/officeDocument/2006/relationships/hyperlink" Target="http://plants.usda.gov/core/profile?symbol=CEPR" TargetMode="External"/><Relationship Id="rId2780" Type="http://schemas.openxmlformats.org/officeDocument/2006/relationships/hyperlink" Target="http://www.burkemuseum.org/research-and-collections/botany-and-herbarium/collections/database/results.php?Genus=Asarum&amp;Species=caudatum&amp;SourcePage=search.php&amp;IncludeSynonyms=Y&amp;SortBy=DESC&amp;SortOrder=Year" TargetMode="External"/><Relationship Id="rId3417" Type="http://schemas.openxmlformats.org/officeDocument/2006/relationships/hyperlink" Target="http://www.burkemuseum.org/research-and-collections/botany-and-herbarium/collections/database/results.php?Genus=Utricularia&amp;Species=gibba&amp;SourcePage=search.php&amp;IncludeSynonyms=Y&amp;SortBy=DESC&amp;SortOrder=Year" TargetMode="External"/><Relationship Id="rId3624" Type="http://schemas.openxmlformats.org/officeDocument/2006/relationships/hyperlink" Target="https://plants.usda.gov/core/profile?symbol=ABGR" TargetMode="External"/><Relationship Id="rId3831" Type="http://schemas.openxmlformats.org/officeDocument/2006/relationships/hyperlink" Target="https://plants.usda.gov/core/profile?symbol=CLAM" TargetMode="External"/><Relationship Id="rId6030" Type="http://schemas.openxmlformats.org/officeDocument/2006/relationships/hyperlink" Target="http://www.burkemuseum.org/research-and-collections/botany-and-herbarium/collections/database/results.php?Genus=Plantago&amp;Species=macrocarpa&amp;SourcePage=search.php&amp;IncludeSynonyms=Y&amp;SortBy=DESC&amp;SortOrder=Year" TargetMode="External"/><Relationship Id="rId6987" Type="http://schemas.openxmlformats.org/officeDocument/2006/relationships/hyperlink" Target="http://biology.burke.washington.edu/herbarium/imagecollection/taxon.php?Taxon=Epilobium%20minutum" TargetMode="External"/><Relationship Id="rId338" Type="http://schemas.openxmlformats.org/officeDocument/2006/relationships/hyperlink" Target="http://biology.burke.washington.edu/herbarium/imagecollectionnew/taxon.php?Taxon=Camassia%20quamash" TargetMode="External"/><Relationship Id="rId545" Type="http://schemas.openxmlformats.org/officeDocument/2006/relationships/hyperlink" Target="https://en.wikipedia.org/wiki/Trientalis_europaea" TargetMode="External"/><Relationship Id="rId752" Type="http://schemas.openxmlformats.org/officeDocument/2006/relationships/hyperlink" Target="https://en.wikipedia.org/wiki/Danthonia_californica" TargetMode="External"/><Relationship Id="rId1175" Type="http://schemas.openxmlformats.org/officeDocument/2006/relationships/hyperlink" Target="https://en.wikipedia.org/wiki/Heuchera_micrantha" TargetMode="External"/><Relationship Id="rId1382" Type="http://schemas.openxmlformats.org/officeDocument/2006/relationships/hyperlink" Target="http://biology.burke.washington.edu/herbarium/imagecollection/taxon.php?Taxon=Iris%20tenax" TargetMode="External"/><Relationship Id="rId2019" Type="http://schemas.openxmlformats.org/officeDocument/2006/relationships/hyperlink" Target="https://en.wikipedia.org/wiki/Metasequoia_glyptostroboides" TargetMode="External"/><Relationship Id="rId2226" Type="http://schemas.openxmlformats.org/officeDocument/2006/relationships/hyperlink" Target="https://plants.usda.gov/core/profile?symbol=DAFR6" TargetMode="External"/><Relationship Id="rId2433" Type="http://schemas.openxmlformats.org/officeDocument/2006/relationships/hyperlink" Target="https://plants.usda.gov/core/profile?symbol=acco4" TargetMode="External"/><Relationship Id="rId2640" Type="http://schemas.openxmlformats.org/officeDocument/2006/relationships/hyperlink" Target="http://biology.burke.washington.edu/herbarium/imagecollectionnew/taxon.php?Taxon=Lupinus%20microcarpus" TargetMode="External"/><Relationship Id="rId5589" Type="http://schemas.openxmlformats.org/officeDocument/2006/relationships/hyperlink" Target="http://www.burkemuseum.org/research-and-collections/botany-and-herbarium/collections/database/results.php?Genus=Carex&amp;Species=macrocephala&amp;SourcePage=search.php&amp;IncludeSynonyms=Y&amp;SortBy=DESC&amp;SortOrder=Year" TargetMode="External"/><Relationship Id="rId5796" Type="http://schemas.openxmlformats.org/officeDocument/2006/relationships/hyperlink" Target="http://www.burkemuseum.org/research-and-collections/botany-and-herbarium/collections/database/results.php?Genus=Helenium&amp;Species=autumnale&amp;SourcePage=search.php&amp;IncludeSynonyms=Y&amp;SortBy=DESC&amp;SortOrder=Year" TargetMode="External"/><Relationship Id="rId6847" Type="http://schemas.openxmlformats.org/officeDocument/2006/relationships/hyperlink" Target="http://biology.burke.washington.edu/herbarium/imagecollectionnew/taxon.php?Taxon=Bidens%20vulgata" TargetMode="External"/><Relationship Id="rId405" Type="http://schemas.openxmlformats.org/officeDocument/2006/relationships/hyperlink" Target="http://biology.burke.washington.edu/herbarium/imagecollectionnew/taxon.php?Taxon=Claytonia%20perfoliata" TargetMode="External"/><Relationship Id="rId612" Type="http://schemas.openxmlformats.org/officeDocument/2006/relationships/hyperlink" Target="https://en.wikipedia.org/wiki/Sarcocornia_perennis" TargetMode="External"/><Relationship Id="rId1035" Type="http://schemas.openxmlformats.org/officeDocument/2006/relationships/hyperlink" Target="https://en.wikipedia.org/wiki/Agoseris_apargioides" TargetMode="External"/><Relationship Id="rId1242" Type="http://schemas.openxmlformats.org/officeDocument/2006/relationships/hyperlink" Target="http://biology.burke.washington.edu/herbarium/imagecollectionnew/taxon.php?Taxon=Dendrolycopodium%20dendroideum" TargetMode="External"/><Relationship Id="rId2500" Type="http://schemas.openxmlformats.org/officeDocument/2006/relationships/hyperlink" Target="http://plants.usda.gov/java/profile?symbol=PLRE2" TargetMode="External"/><Relationship Id="rId4398" Type="http://schemas.openxmlformats.org/officeDocument/2006/relationships/hyperlink" Target="https://plants.usda.gov/core/profile?symbol=SERI4" TargetMode="External"/><Relationship Id="rId5449" Type="http://schemas.openxmlformats.org/officeDocument/2006/relationships/hyperlink" Target="https://en.wikipedia.org/wiki/Symphyotrichum_lateriflorum" TargetMode="External"/><Relationship Id="rId5656" Type="http://schemas.openxmlformats.org/officeDocument/2006/relationships/hyperlink" Target="http://www.burkemuseum.org/research-and-collections/botany-and-herbarium/collections/database/results.php?Genus=Coptis&amp;Species=aspleniifolia&amp;SourcePage=search.php&amp;IncludeSynonyms=Y&amp;SortBy=DESC&amp;SortOrder=Year" TargetMode="External"/><Relationship Id="rId1102" Type="http://schemas.openxmlformats.org/officeDocument/2006/relationships/hyperlink" Target="https://en.wikipedia.org/wiki/Lathyrus_torreyi" TargetMode="External"/><Relationship Id="rId4258" Type="http://schemas.openxmlformats.org/officeDocument/2006/relationships/hyperlink" Target="https://plants.usda.gov/core/profile?symbol=POSE5" TargetMode="External"/><Relationship Id="rId4465" Type="http://schemas.openxmlformats.org/officeDocument/2006/relationships/hyperlink" Target="https://plants.usda.gov/core/profile?symbol=TRCE3" TargetMode="External"/><Relationship Id="rId5309" Type="http://schemas.openxmlformats.org/officeDocument/2006/relationships/hyperlink" Target="https://en.wikipedia.org/wiki/Rhododendron_groenlandicum" TargetMode="External"/><Relationship Id="rId5863" Type="http://schemas.openxmlformats.org/officeDocument/2006/relationships/hyperlink" Target="http://www.burkemuseum.org/research-and-collections/botany-and-herbarium/collections/database/results.php?Genus=Lathyrus&amp;Species=vestitus&amp;SourcePage=search.php&amp;IncludeSynonyms=Y&amp;SortBy=DESC&amp;SortOrder=Year" TargetMode="External"/><Relationship Id="rId6707" Type="http://schemas.openxmlformats.org/officeDocument/2006/relationships/hyperlink" Target="http://biology.burke.washington.edu/herbarium/imagecollection/taxon.php?Taxon=Oxalis%20suksdorfii" TargetMode="External"/><Relationship Id="rId6914" Type="http://schemas.openxmlformats.org/officeDocument/2006/relationships/hyperlink" Target="http://biology.burke.washington.edu/herbarium/imagecollection/taxon.php?Taxon=Phlox%20diffusa" TargetMode="External"/><Relationship Id="rId3067" Type="http://schemas.openxmlformats.org/officeDocument/2006/relationships/hyperlink" Target="http://www.burkemuseum.org/research-and-collections/botany-and-herbarium/collections/database/results.php?Genus=Juncus&amp;Species=tenuis&amp;SourcePage=search.php&amp;IncludeSynonyms=Y&amp;SortBy=DESC&amp;SortOrder=Year" TargetMode="External"/><Relationship Id="rId3274" Type="http://schemas.openxmlformats.org/officeDocument/2006/relationships/hyperlink" Target="http://www.burkemuseum.org/research-and-collections/botany-and-herbarium/collections/database/results.php?Genus=Rhinanthus&amp;Species=minor&amp;SourcePage=search.php&amp;IncludeSynonyms=Y&amp;SortBy=DESC&amp;SortOrder=Year" TargetMode="External"/><Relationship Id="rId4118" Type="http://schemas.openxmlformats.org/officeDocument/2006/relationships/hyperlink" Target="https://plants.usda.gov/core/profile?symbol=MASA" TargetMode="External"/><Relationship Id="rId4672" Type="http://schemas.openxmlformats.org/officeDocument/2006/relationships/hyperlink" Target="http://www.burkemuseum.org/research-and-collections/botany-and-herbarium/collections/database/results.php?Genus=Bidens&amp;Species=cernua&amp;SourcePage=search.php&amp;IncludeSynonyms=Y&amp;SortBy=DESC&amp;SortOrder=Year" TargetMode="External"/><Relationship Id="rId5516" Type="http://schemas.openxmlformats.org/officeDocument/2006/relationships/hyperlink" Target="https://en.wikipedia.org/wiki/Viola_orbiculata" TargetMode="External"/><Relationship Id="rId5723" Type="http://schemas.openxmlformats.org/officeDocument/2006/relationships/hyperlink" Target="http://www.burkemuseum.org/research-and-collections/botany-and-herbarium/collections/database/results.php?Genus=Epipactis&amp;Species=gigantea&amp;SourcePage=search.php&amp;IncludeSynonyms=Y&amp;SortBy=DESC&amp;SortOrder=Year" TargetMode="External"/><Relationship Id="rId5930" Type="http://schemas.openxmlformats.org/officeDocument/2006/relationships/hyperlink" Target="http://www.burkemuseum.org/research-and-collections/botany-and-herbarium/collections/database/results.php?Genus=Mentha&amp;Species=spicata&amp;SourcePage=search.php&amp;IncludeSynonyms=Y&amp;SortBy=DESC&amp;SortOrder=Year" TargetMode="External"/><Relationship Id="rId195" Type="http://schemas.openxmlformats.org/officeDocument/2006/relationships/hyperlink" Target="http://biology.burke.washington.edu/herbarium/imagecollection/taxon.php?Taxon=Montia%20fontana" TargetMode="External"/><Relationship Id="rId1919" Type="http://schemas.openxmlformats.org/officeDocument/2006/relationships/hyperlink" Target="http://plants.usda.gov/java/profile?symbol=POFO3" TargetMode="External"/><Relationship Id="rId3481" Type="http://schemas.openxmlformats.org/officeDocument/2006/relationships/hyperlink" Target="http://www.burkemuseum.org/research-and-collections/botany-and-herbarium/collections/database/results.php?Genus=Carex&amp;Species=unilateralis&amp;SourcePage=search.php&amp;IncludeSynonyms=Y&amp;SortBy=DESC&amp;SortOrder=Year" TargetMode="External"/><Relationship Id="rId4325" Type="http://schemas.openxmlformats.org/officeDocument/2006/relationships/hyperlink" Target="https://plants.usda.gov/core/profile?symbol=ROCU" TargetMode="External"/><Relationship Id="rId4532" Type="http://schemas.openxmlformats.org/officeDocument/2006/relationships/hyperlink" Target="https://en.wikipedia.org/wiki/Abies_procera" TargetMode="External"/><Relationship Id="rId2083" Type="http://schemas.openxmlformats.org/officeDocument/2006/relationships/hyperlink" Target="https://plants.usda.gov/core/profile?symbol=LAGL3" TargetMode="External"/><Relationship Id="rId2290" Type="http://schemas.openxmlformats.org/officeDocument/2006/relationships/hyperlink" Target="https://plants.usda.gov/core/profile?symbol=cami12" TargetMode="External"/><Relationship Id="rId3134" Type="http://schemas.openxmlformats.org/officeDocument/2006/relationships/hyperlink" Target="http://www.burkemuseum.org/research-and-collections/botany-and-herbarium/collections/database/results.php?Genus=Menyanthes&amp;Species=trifoliata&amp;SourcePage=search.php&amp;IncludeSynonyms=Y&amp;SortBy=DESC&amp;SortOrder=Year" TargetMode="External"/><Relationship Id="rId3341" Type="http://schemas.openxmlformats.org/officeDocument/2006/relationships/hyperlink" Target="http://www.burkemuseum.org/research-and-collections/botany-and-herbarium/collections/database/results.php?Genus=Sequoia&amp;Species=sempervirens&amp;SourcePage=search.php&amp;IncludeSynonyms=Y&amp;SortBy=DESC&amp;SortOrder=Year" TargetMode="External"/><Relationship Id="rId6497" Type="http://schemas.openxmlformats.org/officeDocument/2006/relationships/hyperlink" Target="http://biology.burke.washington.edu/herbarium/imagecollection/taxon.php?Taxon=Festuca%20rubra" TargetMode="External"/><Relationship Id="rId262" Type="http://schemas.openxmlformats.org/officeDocument/2006/relationships/hyperlink" Target="http://biology.burke.washington.edu/herbarium/imagecollection/taxon.php?Taxon=Madia%20elegans" TargetMode="External"/><Relationship Id="rId2150" Type="http://schemas.openxmlformats.org/officeDocument/2006/relationships/hyperlink" Target="http://plants.usda.gov/java/profile?symbol=GAOR" TargetMode="External"/><Relationship Id="rId3201" Type="http://schemas.openxmlformats.org/officeDocument/2006/relationships/hyperlink" Target="http://www.burkemuseum.org/research-and-collections/botany-and-herbarium/collections/database/results.php?Genus=Phegopteris&amp;Species=connectilis&amp;SourcePage=search.php&amp;IncludeSynonyms=Y&amp;SortBy=DESC&amp;SortOrder=Year" TargetMode="External"/><Relationship Id="rId5099" Type="http://schemas.openxmlformats.org/officeDocument/2006/relationships/hyperlink" Target="https://en.wikipedia.org/wiki/Lupinus_latifolius" TargetMode="External"/><Relationship Id="rId6357" Type="http://schemas.openxmlformats.org/officeDocument/2006/relationships/hyperlink" Target="http://biology.burke.washington.edu/herbarium/imagecollectionnew/taxon.php?Taxon=Allium%20cernuum" TargetMode="External"/><Relationship Id="rId6564" Type="http://schemas.openxmlformats.org/officeDocument/2006/relationships/hyperlink" Target="http://biology.burke.washington.edu/herbarium/imagecollection/taxon.php?Taxon=Lupinus%20littoralis" TargetMode="External"/><Relationship Id="rId6771" Type="http://schemas.openxmlformats.org/officeDocument/2006/relationships/hyperlink" Target="http://biology.burke.washington.edu/herbarium/imagecollection/taxon.php?Taxon=Hieracium%20scouleri" TargetMode="External"/><Relationship Id="rId122" Type="http://schemas.openxmlformats.org/officeDocument/2006/relationships/hyperlink" Target="http://biology.burke.washington.edu/herbarium/imagecollection/taxon.php?Taxon=Abies%20lasiocarpa" TargetMode="External"/><Relationship Id="rId2010" Type="http://schemas.openxmlformats.org/officeDocument/2006/relationships/hyperlink" Target="https://plants.usda.gov/core/profile?symbol=MOLA6" TargetMode="External"/><Relationship Id="rId5166" Type="http://schemas.openxmlformats.org/officeDocument/2006/relationships/hyperlink" Target="https://en.wikipedia.org/wiki/Najas_flexilis" TargetMode="External"/><Relationship Id="rId5373" Type="http://schemas.openxmlformats.org/officeDocument/2006/relationships/hyperlink" Target="https://en.wikipedia.org/wiki/Sanicula_bipinnatifida" TargetMode="External"/><Relationship Id="rId5580" Type="http://schemas.openxmlformats.org/officeDocument/2006/relationships/hyperlink" Target="http://www.burkemuseum.org/research-and-collections/botany-and-herbarium/collections/database/results.php?Genus=Carex&amp;Species=echinata&amp;SourcePage=search.php&amp;IncludeSynonyms=Y&amp;SortBy=DESC&amp;SortOrder=Year" TargetMode="External"/><Relationship Id="rId6217" Type="http://schemas.openxmlformats.org/officeDocument/2006/relationships/hyperlink" Target="http://www.burkemuseum.org/research-and-collections/botany-and-herbarium/collections/database/results.php?Genus=Sparganium&amp;Species=eurycarpum&amp;SourcePage=search.php&amp;IncludeSynonyms=Y&amp;SortBy=DESC&amp;SortOrder=Year" TargetMode="External"/><Relationship Id="rId6424" Type="http://schemas.openxmlformats.org/officeDocument/2006/relationships/hyperlink" Target="http://biology.burke.washington.edu/herbarium/imagecollectionnew/taxon.php?Taxon=Ceanothus%20sanguineus" TargetMode="External"/><Relationship Id="rId6631" Type="http://schemas.openxmlformats.org/officeDocument/2006/relationships/hyperlink" Target="http://biology.burke.washington.edu/herbarium/imagecollectionnew/taxon.php?Taxon=Torreyochloa%20pallida" TargetMode="External"/><Relationship Id="rId1569" Type="http://schemas.openxmlformats.org/officeDocument/2006/relationships/hyperlink" Target="http://en.wikipedia.org/wiki/Carex_unilateralis" TargetMode="External"/><Relationship Id="rId2967" Type="http://schemas.openxmlformats.org/officeDocument/2006/relationships/hyperlink" Target="http://www.burkemuseum.org/research-and-collections/botany-and-herbarium/collections/database/results.php?Genus=Epipactis&amp;Species=gigantea&amp;SourcePage=search.php&amp;IncludeSynonyms=Y&amp;SortBy=DESC&amp;SortOrder=Year" TargetMode="External"/><Relationship Id="rId4182" Type="http://schemas.openxmlformats.org/officeDocument/2006/relationships/hyperlink" Target="https://plants.usda.gov/core/profile?symbol=OSBE" TargetMode="External"/><Relationship Id="rId5026" Type="http://schemas.openxmlformats.org/officeDocument/2006/relationships/hyperlink" Target="https://en.wikipedia.org/wiki/Hordeum_jubatum" TargetMode="External"/><Relationship Id="rId5233" Type="http://schemas.openxmlformats.org/officeDocument/2006/relationships/hyperlink" Target="https://en.wikipedia.org/wiki/Plantago_maritima" TargetMode="External"/><Relationship Id="rId5440" Type="http://schemas.openxmlformats.org/officeDocument/2006/relationships/hyperlink" Target="https://en.wikipedia.org/wiki/Stuckenia_pectinata" TargetMode="External"/><Relationship Id="rId939" Type="http://schemas.openxmlformats.org/officeDocument/2006/relationships/hyperlink" Target="https://en.wikipedia.org/wiki/Carex_lasiocarpa" TargetMode="External"/><Relationship Id="rId1776" Type="http://schemas.openxmlformats.org/officeDocument/2006/relationships/hyperlink" Target="https://plants.usda.gov/core/profile?symbol=suca2" TargetMode="External"/><Relationship Id="rId1983" Type="http://schemas.openxmlformats.org/officeDocument/2006/relationships/hyperlink" Target="https://plants.usda.gov/core/profile?symbol=OEFL" TargetMode="External"/><Relationship Id="rId2827" Type="http://schemas.openxmlformats.org/officeDocument/2006/relationships/hyperlink" Target="http://www.burkemuseum.org/research-and-collections/botany-and-herbarium/collections/database/results.php?Genus=Cardamine&amp;Species=pensylvanica&amp;SourcePage=search.php&amp;IncludeSynonyms=Y&amp;SortBy=DESC&amp;SortOrder=Year" TargetMode="External"/><Relationship Id="rId4042" Type="http://schemas.openxmlformats.org/officeDocument/2006/relationships/hyperlink" Target="https://plants.usda.gov/core/profile?symbol=JUOX" TargetMode="External"/><Relationship Id="rId7198" Type="http://schemas.openxmlformats.org/officeDocument/2006/relationships/hyperlink" Target="http://biology.burke.washington.edu/herbarium/imagecollection/taxon.php?Taxon=Rhododendron%20menziesii" TargetMode="External"/><Relationship Id="rId68" Type="http://schemas.openxmlformats.org/officeDocument/2006/relationships/hyperlink" Target="http://biology.burke.washington.edu/herbarium/imagecollection/taxon.php?Taxon=Equisetum%20fluviatile" TargetMode="External"/><Relationship Id="rId1429" Type="http://schemas.openxmlformats.org/officeDocument/2006/relationships/hyperlink" Target="http://biology.burke.washington.edu/herbarium/imagecollectionnew/taxon.php?Taxon=Arbutus%20menziesii" TargetMode="External"/><Relationship Id="rId1636" Type="http://schemas.openxmlformats.org/officeDocument/2006/relationships/hyperlink" Target="http://biology.burke.washington.edu/herbarium/waflora/checklist.php?Family=Sarraceniaceae&amp;view=list" TargetMode="External"/><Relationship Id="rId1843" Type="http://schemas.openxmlformats.org/officeDocument/2006/relationships/hyperlink" Target="http://plants.usda.gov/core/profile?symbol=SALE" TargetMode="External"/><Relationship Id="rId4999" Type="http://schemas.openxmlformats.org/officeDocument/2006/relationships/hyperlink" Target="https://en.wikipedia.org/wiki/Glyceria_striata" TargetMode="External"/><Relationship Id="rId5300" Type="http://schemas.openxmlformats.org/officeDocument/2006/relationships/hyperlink" Target="https://en.wikipedia.org/wiki/Ranunculus_macounii" TargetMode="External"/><Relationship Id="rId7058" Type="http://schemas.openxmlformats.org/officeDocument/2006/relationships/hyperlink" Target="http://biology.burke.washington.edu/herbarium/imagecollectionnew/taxon.php?Taxon=Allotropa%20virgata" TargetMode="External"/><Relationship Id="rId1703" Type="http://schemas.openxmlformats.org/officeDocument/2006/relationships/hyperlink" Target="http://biology.burke.washington.edu/herbarium/imagecollection/taxon.php?Taxon=Perideridia%20montana" TargetMode="External"/><Relationship Id="rId1910" Type="http://schemas.openxmlformats.org/officeDocument/2006/relationships/hyperlink" Target="http://plants.usda.gov/java/profile?symbol=POZO" TargetMode="External"/><Relationship Id="rId4859" Type="http://schemas.openxmlformats.org/officeDocument/2006/relationships/hyperlink" Target="https://en.wikipedia.org/wiki/Collomia_grandiflora" TargetMode="External"/><Relationship Id="rId3668" Type="http://schemas.openxmlformats.org/officeDocument/2006/relationships/hyperlink" Target="https://plants.usda.gov/core/profile?symbol=ANMU" TargetMode="External"/><Relationship Id="rId3875" Type="http://schemas.openxmlformats.org/officeDocument/2006/relationships/hyperlink" Target="https://plants.usda.gov/core/profile?symbol=DAIN" TargetMode="External"/><Relationship Id="rId4719" Type="http://schemas.openxmlformats.org/officeDocument/2006/relationships/hyperlink" Target="https://en.wikipedia.org/wiki/Asclepias_speciosa" TargetMode="External"/><Relationship Id="rId4926" Type="http://schemas.openxmlformats.org/officeDocument/2006/relationships/hyperlink" Target="https://en.wikipedia.org/wiki/Elymus_glaucus" TargetMode="External"/><Relationship Id="rId6074" Type="http://schemas.openxmlformats.org/officeDocument/2006/relationships/hyperlink" Target="http://www.burkemuseum.org/research-and-collections/botany-and-herbarium/collections/database/results.php?Genus=Potentilla&amp;Species=anserina&amp;SourcePage=search.php&amp;IncludeSynonyms=Y&amp;SortBy=DESC&amp;SortOrder=Year" TargetMode="External"/><Relationship Id="rId6281" Type="http://schemas.openxmlformats.org/officeDocument/2006/relationships/hyperlink" Target="http://www.burkemuseum.org/research-and-collections/botany-and-herbarium/collections/database/results.php?Genus=Typha&amp;Species=angustifolia&amp;SourcePage=search.php&amp;IncludeSynonyms=Y&amp;SortBy=DESC&amp;SortOrder=Year" TargetMode="External"/><Relationship Id="rId7125" Type="http://schemas.openxmlformats.org/officeDocument/2006/relationships/hyperlink" Target="http://biology.burke.washington.edu/herbarium/imagecollectionnew/taxon.php?Taxon=Sparganium%20emersum" TargetMode="External"/><Relationship Id="rId589" Type="http://schemas.openxmlformats.org/officeDocument/2006/relationships/hyperlink" Target="https://en.wikipedia.org/wiki/Silene_scouleri" TargetMode="External"/><Relationship Id="rId796" Type="http://schemas.openxmlformats.org/officeDocument/2006/relationships/hyperlink" Target="https://species.wikimedia.org/wiki/Plantago_macrocarpa" TargetMode="External"/><Relationship Id="rId2477" Type="http://schemas.openxmlformats.org/officeDocument/2006/relationships/hyperlink" Target="http://plants.usda.gov/core/profile?symbol=SALA6" TargetMode="External"/><Relationship Id="rId2684" Type="http://schemas.openxmlformats.org/officeDocument/2006/relationships/hyperlink" Target="http://biology.burke.washington.edu/herbarium/imagecollectionnew/taxon.php?Taxon=Alisma%20triviale" TargetMode="External"/><Relationship Id="rId3528" Type="http://schemas.openxmlformats.org/officeDocument/2006/relationships/hyperlink" Target="http://www.burkemuseum.org/research-and-collections/botany-and-herbarium/collections/database/results.php?Genus=Lupinus&amp;Species=littoralis&amp;SourcePage=search.php&amp;IncludeSynonyms=Y&amp;SortBy=DESC&amp;SortOrder=Year" TargetMode="External"/><Relationship Id="rId3735" Type="http://schemas.openxmlformats.org/officeDocument/2006/relationships/hyperlink" Target="https://plants.usda.gov/core/profile?symbol=BRSC" TargetMode="External"/><Relationship Id="rId5090" Type="http://schemas.openxmlformats.org/officeDocument/2006/relationships/hyperlink" Target="https://en.wikipedia.org/wiki/Lonicera_conjugialis" TargetMode="External"/><Relationship Id="rId6141" Type="http://schemas.openxmlformats.org/officeDocument/2006/relationships/hyperlink" Target="http://www.burkemuseum.org/research-and-collections/botany-and-herbarium/collections/database/results.php?Genus=Rumex&amp;Species=persicarioides&amp;SourcePage=search.php&amp;IncludeSynonyms=Y&amp;SortBy=DESC&amp;SortOrder=Year" TargetMode="External"/><Relationship Id="rId449" Type="http://schemas.openxmlformats.org/officeDocument/2006/relationships/hyperlink" Target="http://biology.burke.washington.edu/herbarium/imagecollectionnew/taxon.php?Taxon=Deschampsia%20cespitosa" TargetMode="External"/><Relationship Id="rId656" Type="http://schemas.openxmlformats.org/officeDocument/2006/relationships/hyperlink" Target="https://en.wikipedia.org/wiki/Rhus_glabra" TargetMode="External"/><Relationship Id="rId863" Type="http://schemas.openxmlformats.org/officeDocument/2006/relationships/hyperlink" Target="https://en.wikipedia.org/wiki/Melica_subulata" TargetMode="External"/><Relationship Id="rId1079" Type="http://schemas.openxmlformats.org/officeDocument/2006/relationships/hyperlink" Target="https://en.wikipedia.org/wiki/Lonicera_involucrata" TargetMode="External"/><Relationship Id="rId1286" Type="http://schemas.openxmlformats.org/officeDocument/2006/relationships/hyperlink" Target="https://en.wikipedia.org/wiki/Ranunculus_californicus" TargetMode="External"/><Relationship Id="rId1493" Type="http://schemas.openxmlformats.org/officeDocument/2006/relationships/hyperlink" Target="https://en.wikipedia.org/wiki/Sisyrinchium_californicum" TargetMode="External"/><Relationship Id="rId2337" Type="http://schemas.openxmlformats.org/officeDocument/2006/relationships/hyperlink" Target="http://plants.usda.gov/java/profile?symbol=CAQU2" TargetMode="External"/><Relationship Id="rId2544" Type="http://schemas.openxmlformats.org/officeDocument/2006/relationships/hyperlink" Target="http://plants.usda.gov/java/profile?symbol=IRTE" TargetMode="External"/><Relationship Id="rId2891" Type="http://schemas.openxmlformats.org/officeDocument/2006/relationships/hyperlink" Target="http://www.burkemuseum.org/research-and-collections/botany-and-herbarium/collections/database/results.php?Genus=Claytonia&amp;Species=parviflora&amp;SourcePage=search.php&amp;IncludeSynonyms=Y&amp;SortBy=DESC&amp;SortOrder=Year" TargetMode="External"/><Relationship Id="rId3942" Type="http://schemas.openxmlformats.org/officeDocument/2006/relationships/hyperlink" Target="https://plants.usda.gov/core/profile?symbol=ERCH7" TargetMode="External"/><Relationship Id="rId6001" Type="http://schemas.openxmlformats.org/officeDocument/2006/relationships/hyperlink" Target="http://www.burkemuseum.org/research-and-collections/botany-and-herbarium/collections/database/results.php?Genus=Penstemon&amp;Species=cardwellii&amp;SourcePage=search.php&amp;IncludeSynonyms=Y&amp;SortBy=DESC&amp;SortOrder=Year" TargetMode="External"/><Relationship Id="rId309" Type="http://schemas.openxmlformats.org/officeDocument/2006/relationships/hyperlink" Target="http://biology.burke.washington.edu/herbarium/imagecollectionnew/taxon.php?Taxon=Azolla%20filiculoides" TargetMode="External"/><Relationship Id="rId516" Type="http://schemas.openxmlformats.org/officeDocument/2006/relationships/hyperlink" Target="https://en.wikipedia.org/wiki/Veronica_americana" TargetMode="External"/><Relationship Id="rId1146" Type="http://schemas.openxmlformats.org/officeDocument/2006/relationships/hyperlink" Target="https://en.wikipedia.org/wiki/Galium_boreale" TargetMode="External"/><Relationship Id="rId2751" Type="http://schemas.openxmlformats.org/officeDocument/2006/relationships/hyperlink" Target="http://www.burkemuseum.org/research-and-collections/botany-and-herbarium/collections/database/results.php?Genus=Anemone&amp;Species=oregana&amp;SourcePage=search.php&amp;IncludeSynonyms=Y&amp;SortBy=DESC&amp;SortOrder=Year" TargetMode="External"/><Relationship Id="rId3802" Type="http://schemas.openxmlformats.org/officeDocument/2006/relationships/hyperlink" Target="https://plants.usda.gov/core/profile?symbol=CAAT25" TargetMode="External"/><Relationship Id="rId6958" Type="http://schemas.openxmlformats.org/officeDocument/2006/relationships/hyperlink" Target="http://biology.burke.washington.edu/herbarium/imagecollection/taxon.php?Taxon=Juncus%20tenuis" TargetMode="External"/><Relationship Id="rId723" Type="http://schemas.openxmlformats.org/officeDocument/2006/relationships/hyperlink" Target="https://en.wikipedia.org/wiki/Elymus_elymoides" TargetMode="External"/><Relationship Id="rId930" Type="http://schemas.openxmlformats.org/officeDocument/2006/relationships/hyperlink" Target="http://en.wikipedia.org/wiki/Carex_pellita" TargetMode="External"/><Relationship Id="rId1006" Type="http://schemas.openxmlformats.org/officeDocument/2006/relationships/hyperlink" Target="https://en.wikipedia.org/wiki/Arabis_hirsuta" TargetMode="External"/><Relationship Id="rId1353" Type="http://schemas.openxmlformats.org/officeDocument/2006/relationships/hyperlink" Target="http://biology.burke.washington.edu/herbarium/imagecollection/taxon.php?Taxon=Maianthemum%20dilatatum" TargetMode="External"/><Relationship Id="rId1560" Type="http://schemas.openxmlformats.org/officeDocument/2006/relationships/hyperlink" Target="https://en.wikipedia.org/wiki/Montia_parvifolia" TargetMode="External"/><Relationship Id="rId2404" Type="http://schemas.openxmlformats.org/officeDocument/2006/relationships/hyperlink" Target="http://plants.usda.gov/java/profile?symbol=ANDR" TargetMode="External"/><Relationship Id="rId2611" Type="http://schemas.openxmlformats.org/officeDocument/2006/relationships/hyperlink" Target="https://en.wikipedia.org/wiki/Potentilla_drummondii" TargetMode="External"/><Relationship Id="rId5767" Type="http://schemas.openxmlformats.org/officeDocument/2006/relationships/hyperlink" Target="http://www.burkemuseum.org/research-and-collections/botany-and-herbarium/collections/database/results.php?Genus=Galium&amp;Species=aparine&amp;SourcePage=search.php&amp;IncludeSynonyms=Y&amp;SortBy=DESC&amp;SortOrder=Year" TargetMode="External"/><Relationship Id="rId5974" Type="http://schemas.openxmlformats.org/officeDocument/2006/relationships/hyperlink" Target="http://www.burkemuseum.org/research-and-collections/botany-and-herbarium/collections/database/results.php?Genus=Oemleria&amp;Species=cerasiformis&amp;SourcePage=search.php&amp;IncludeSynonyms=Y&amp;SortBy=DESC&amp;SortOrder=Year" TargetMode="External"/><Relationship Id="rId6818" Type="http://schemas.openxmlformats.org/officeDocument/2006/relationships/hyperlink" Target="http://biology.burke.washington.edu/herbarium/imagecollectionnew/taxon.php?Taxon=Castilleja%20victoriae" TargetMode="External"/><Relationship Id="rId1213" Type="http://schemas.openxmlformats.org/officeDocument/2006/relationships/hyperlink" Target="http://biology.burke.washington.edu/herbarium/imagecollection/taxon.php?Taxon=Lathyrus%20holochlorus" TargetMode="External"/><Relationship Id="rId1420" Type="http://schemas.openxmlformats.org/officeDocument/2006/relationships/hyperlink" Target="http://biology.burke.washington.edu/herbarium/imagecollection/taxon.php?Taxon=Rhododendron%20columbianum" TargetMode="External"/><Relationship Id="rId4369" Type="http://schemas.openxmlformats.org/officeDocument/2006/relationships/hyperlink" Target="https://plants.usda.gov/core/profile?symbol=SAVAP" TargetMode="External"/><Relationship Id="rId4576" Type="http://schemas.openxmlformats.org/officeDocument/2006/relationships/hyperlink" Target="http://www.burkemuseum.org/research-and-collections/botany-and-herbarium/collections/database/results.php?Genus=Abies&amp;Species=procera&amp;SourcePage=search.php&amp;IncludeSynonyms=Y&amp;SortBy=DESC&amp;SortOrder=Year" TargetMode="External"/><Relationship Id="rId4783" Type="http://schemas.openxmlformats.org/officeDocument/2006/relationships/hyperlink" Target="https://en.wikipedia.org/wiki/Carex_densa" TargetMode="External"/><Relationship Id="rId4990" Type="http://schemas.openxmlformats.org/officeDocument/2006/relationships/hyperlink" Target="https://en.wikipedia.org/wiki/Geranium_oreganum" TargetMode="External"/><Relationship Id="rId5627" Type="http://schemas.openxmlformats.org/officeDocument/2006/relationships/hyperlink" Target="http://www.burkemuseum.org/research-and-collections/botany-and-herbarium/collections/database/results.php?Genus=Chimaphila&amp;Species=umbellata&amp;SourcePage=search.php&amp;IncludeSynonyms=Y&amp;SortBy=DESC&amp;SortOrder=Year" TargetMode="External"/><Relationship Id="rId5834" Type="http://schemas.openxmlformats.org/officeDocument/2006/relationships/hyperlink" Target="http://www.burkemuseum.org/research-and-collections/botany-and-herbarium/collections/database/results.php?Genus=Jaumea&amp;Species=carnosa&amp;SourcePage=search.php&amp;IncludeSynonyms=Y&amp;SortBy=DESC&amp;SortOrder=Year" TargetMode="External"/><Relationship Id="rId3178" Type="http://schemas.openxmlformats.org/officeDocument/2006/relationships/hyperlink" Target="http://www.burkemuseum.org/research-and-collections/botany-and-herbarium/collections/database/results.php?Genus=Osmorhiza&amp;Species=berteroi&amp;SourcePage=search.php&amp;IncludeSynonyms=Y&amp;SortBy=DESC&amp;SortOrder=Year" TargetMode="External"/><Relationship Id="rId3385" Type="http://schemas.openxmlformats.org/officeDocument/2006/relationships/hyperlink" Target="http://www.burkemuseum.org/research-and-collections/botany-and-herbarium/collections/database/results.php?Genus=Symphyotrichum&amp;Species=hallii&amp;SourcePage=search.php&amp;IncludeSynonyms=Y&amp;SortBy=DESC&amp;SortOrder=Year" TargetMode="External"/><Relationship Id="rId3592" Type="http://schemas.openxmlformats.org/officeDocument/2006/relationships/hyperlink" Target="http://www.burkemuseum.org/research-and-collections/botany-and-herbarium/collections/database/results.php?Genus=Sorbus&amp;Species=scopulina&amp;SourcePage=search.php&amp;IncludeSynonyms=Y&amp;SortBy=DESC&amp;SortOrder=Year" TargetMode="External"/><Relationship Id="rId4229" Type="http://schemas.openxmlformats.org/officeDocument/2006/relationships/hyperlink" Target="https://plants.usda.gov/core/profile?symbol=PLMA3" TargetMode="External"/><Relationship Id="rId4436" Type="http://schemas.openxmlformats.org/officeDocument/2006/relationships/hyperlink" Target="https://plants.usda.gov/core/profile?symbol=STNI" TargetMode="External"/><Relationship Id="rId4643" Type="http://schemas.openxmlformats.org/officeDocument/2006/relationships/hyperlink" Target="http://www.burkemuseum.org/research-and-collections/botany-and-herbarium/collections/database/results.php?Genus=Arnica&amp;Species=cordifolia&amp;SourcePage=search.php&amp;IncludeSynonyms=Y&amp;SortBy=DESC&amp;SortOrder=Year" TargetMode="External"/><Relationship Id="rId4850" Type="http://schemas.openxmlformats.org/officeDocument/2006/relationships/hyperlink" Target="https://en.wikipedia.org/wiki/Claytonia_rubra" TargetMode="External"/><Relationship Id="rId5901" Type="http://schemas.openxmlformats.org/officeDocument/2006/relationships/hyperlink" Target="http://www.burkemuseum.org/research-and-collections/botany-and-herbarium/collections/database/results.php?Genus=Lupinus&amp;Species=oreganus&amp;SourcePage=search.php&amp;IncludeSynonyms=Y&amp;SortBy=DESC&amp;SortOrder=Year" TargetMode="External"/><Relationship Id="rId2194" Type="http://schemas.openxmlformats.org/officeDocument/2006/relationships/hyperlink" Target="https://plants.usda.gov/core/profile?symbol=EPCI" TargetMode="External"/><Relationship Id="rId3038" Type="http://schemas.openxmlformats.org/officeDocument/2006/relationships/hyperlink" Target="http://www.burkemuseum.org/research-and-collections/botany-and-herbarium/collections/database/results.php?Genus=Hieracium&amp;Species=scouleri&amp;SourcePage=search.php&amp;IncludeSynonyms=Y&amp;SortBy=DESC&amp;SortOrder=Year" TargetMode="External"/><Relationship Id="rId3245" Type="http://schemas.openxmlformats.org/officeDocument/2006/relationships/hyperlink" Target="http://www.burkemuseum.org/research-and-collections/botany-and-herbarium/collections/database/results.php?Genus=Potamogeton&amp;Species=robbinsii&amp;SourcePage=search.php&amp;IncludeSynonyms=Y&amp;SortBy=DESC&amp;SortOrder=Year" TargetMode="External"/><Relationship Id="rId3452" Type="http://schemas.openxmlformats.org/officeDocument/2006/relationships/hyperlink" Target="http://www.burkemuseum.org/research-and-collections/botany-and-herbarium/collections/database/results.php?Genus=Abies&amp;Species=grandis&amp;SourcePage=search.php&amp;IncludeSynonyms=Y&amp;SortBy=DESC&amp;SortOrder=Year" TargetMode="External"/><Relationship Id="rId4503" Type="http://schemas.openxmlformats.org/officeDocument/2006/relationships/hyperlink" Target="https://plants.usda.gov/core/profile?symbol=VEAM2" TargetMode="External"/><Relationship Id="rId4710" Type="http://schemas.openxmlformats.org/officeDocument/2006/relationships/hyperlink" Target="https://en.wikipedia.org/wiki/Arnica_longifolia" TargetMode="External"/><Relationship Id="rId166" Type="http://schemas.openxmlformats.org/officeDocument/2006/relationships/hyperlink" Target="http://biology.burke.washington.edu/herbarium/imagecollection/taxon.php?Taxon=Nuttallanthus%20texanus" TargetMode="External"/><Relationship Id="rId373" Type="http://schemas.openxmlformats.org/officeDocument/2006/relationships/hyperlink" Target="http://biology.burke.washington.edu/herbarium/imagecollectionnew/taxon.php?Taxon=Carex%20vesicaria" TargetMode="External"/><Relationship Id="rId580" Type="http://schemas.openxmlformats.org/officeDocument/2006/relationships/hyperlink" Target="https://en.wikipedia.org/wiki/Spergularia_canadensis" TargetMode="External"/><Relationship Id="rId2054" Type="http://schemas.openxmlformats.org/officeDocument/2006/relationships/hyperlink" Target="http://plants.usda.gov/java/profile?symbol=LOIN5" TargetMode="External"/><Relationship Id="rId2261" Type="http://schemas.openxmlformats.org/officeDocument/2006/relationships/hyperlink" Target="http://plants.usda.gov/java/profile?symbol=CLLI2" TargetMode="External"/><Relationship Id="rId3105" Type="http://schemas.openxmlformats.org/officeDocument/2006/relationships/hyperlink" Target="http://www.burkemuseum.org/research-and-collections/botany-and-herbarium/collections/database/results.php?Genus=Lotus&amp;Species=crassifolius&amp;SourcePage=search.php&amp;IncludeSynonyms=Y&amp;SortBy=DESC&amp;SortOrder=Year" TargetMode="External"/><Relationship Id="rId3312" Type="http://schemas.openxmlformats.org/officeDocument/2006/relationships/hyperlink" Target="http://www.burkemuseum.org/research-and-collections/botany-and-herbarium/collections/database/results.php?Genus=Salix&amp;Species=lasiandra&amp;SourcePage=search.php&amp;IncludeSynonyms=Y&amp;SortBy=DESC&amp;SortOrder=Year" TargetMode="External"/><Relationship Id="rId6468" Type="http://schemas.openxmlformats.org/officeDocument/2006/relationships/hyperlink" Target="http://biology.burke.washington.edu/herbarium/imagecollectionnew/taxon.php?Taxon=Drymocallis%20glandulosa" TargetMode="External"/><Relationship Id="rId6675" Type="http://schemas.openxmlformats.org/officeDocument/2006/relationships/hyperlink" Target="http://biology.burke.washington.edu/herbarium/imagecollection/taxon.php?Taxon=Puccinellia%20nuttalliana" TargetMode="External"/><Relationship Id="rId233" Type="http://schemas.openxmlformats.org/officeDocument/2006/relationships/hyperlink" Target="http://biology.burke.washington.edu/herbarium/imagecollection/taxon.php?Taxon=Potamogeton%20gramineus" TargetMode="External"/><Relationship Id="rId440" Type="http://schemas.openxmlformats.org/officeDocument/2006/relationships/hyperlink" Target="http://biology.burke.washington.edu/herbarium/imagecollectionnew/taxon.php?Taxon=Dryopteris%20expansa" TargetMode="External"/><Relationship Id="rId1070" Type="http://schemas.openxmlformats.org/officeDocument/2006/relationships/hyperlink" Target="https://en.wikipedia.org/wiki/Lupinus_polyphyllus" TargetMode="External"/><Relationship Id="rId2121" Type="http://schemas.openxmlformats.org/officeDocument/2006/relationships/hyperlink" Target="http://plants.usda.gov/java/profile?symbol=HEVI4" TargetMode="External"/><Relationship Id="rId5277" Type="http://schemas.openxmlformats.org/officeDocument/2006/relationships/hyperlink" Target="https://en.wikipedia.org/wiki/Potentilla_drummondii" TargetMode="External"/><Relationship Id="rId5484" Type="http://schemas.openxmlformats.org/officeDocument/2006/relationships/hyperlink" Target="https://en.wikipedia.org/wiki/Typha_latifolia" TargetMode="External"/><Relationship Id="rId6328" Type="http://schemas.openxmlformats.org/officeDocument/2006/relationships/hyperlink" Target="http://www.burkemuseum.org/research-and-collections/botany-and-herbarium/collections/database/results.php?Genus=Synthyris&amp;Species=reniformis&amp;SourcePage=search.php&amp;IncludeSynonyms=Y&amp;SortBy=DESC&amp;SortOrder=Year" TargetMode="External"/><Relationship Id="rId6882" Type="http://schemas.openxmlformats.org/officeDocument/2006/relationships/hyperlink" Target="http://biology.burke.washington.edu/herbarium/imagecollectionnew/taxon.php?Taxon=Spiranthes%20romanzoffiana" TargetMode="External"/><Relationship Id="rId300" Type="http://schemas.openxmlformats.org/officeDocument/2006/relationships/hyperlink" Target="http://biology.burke.washington.edu/herbarium/imagecollectionnew/taxon.php?Taxon=Arceuthobium%20campylopodum" TargetMode="External"/><Relationship Id="rId4086" Type="http://schemas.openxmlformats.org/officeDocument/2006/relationships/hyperlink" Target="https://plants.usda.gov/core/profile?symbol=LOUT" TargetMode="External"/><Relationship Id="rId5137" Type="http://schemas.openxmlformats.org/officeDocument/2006/relationships/hyperlink" Target="https://en.wikipedia.org/wiki/Lysimachia_latifolia" TargetMode="External"/><Relationship Id="rId5691" Type="http://schemas.openxmlformats.org/officeDocument/2006/relationships/hyperlink" Target="http://www.burkemuseum.org/research-and-collections/botany-and-herbarium/collections/database/results.php?Genus=Deschampsia&amp;Species=cespitosa&amp;SourcePage=search.php&amp;IncludeSynonyms=Y&amp;SortBy=DESC&amp;SortOrder=Year" TargetMode="External"/><Relationship Id="rId6535" Type="http://schemas.openxmlformats.org/officeDocument/2006/relationships/hyperlink" Target="http://biology.burke.washington.edu/herbarium/imagecollection/taxon.php?Taxon=Isoetes%20occidentalis" TargetMode="External"/><Relationship Id="rId6742" Type="http://schemas.openxmlformats.org/officeDocument/2006/relationships/hyperlink" Target="http://biology.burke.washington.edu/herbarium/imagecollectionnew/taxon.php?Taxon=Lupinus%20microcarpus" TargetMode="External"/><Relationship Id="rId1887" Type="http://schemas.openxmlformats.org/officeDocument/2006/relationships/hyperlink" Target="http://plants.usda.gov/java/profile?symbol=RAFL2" TargetMode="External"/><Relationship Id="rId2938" Type="http://schemas.openxmlformats.org/officeDocument/2006/relationships/hyperlink" Target="http://www.burkemuseum.org/research-and-collections/botany-and-herbarium/collections/database/results.php?Genus=Deschampsia&amp;Species=elongata&amp;SourcePage=search.php&amp;IncludeSynonyms=Y&amp;SortBy=DESC&amp;SortOrder=Year" TargetMode="External"/><Relationship Id="rId4293" Type="http://schemas.openxmlformats.org/officeDocument/2006/relationships/hyperlink" Target="https://plants.usda.gov/core/profile?symbol=QUGA4" TargetMode="External"/><Relationship Id="rId5344" Type="http://schemas.openxmlformats.org/officeDocument/2006/relationships/hyperlink" Target="https://en.wikipedia.org/wiki/Sagina_decumbens" TargetMode="External"/><Relationship Id="rId5551" Type="http://schemas.openxmlformats.org/officeDocument/2006/relationships/hyperlink" Target="http://www.burkemuseum.org/research-and-collections/botany-and-herbarium/collections/database/results.php?Genus=Callitriche&amp;Species=heterophylla&amp;SourcePage=search.php&amp;IncludeSynonyms=Y&amp;SortBy=DESC&amp;SortOrder=Year" TargetMode="External"/><Relationship Id="rId6602" Type="http://schemas.openxmlformats.org/officeDocument/2006/relationships/hyperlink" Target="http://biology.burke.washington.edu/herbarium/imagecollection/taxon.php?Taxon=Penstemon%20richardsonii" TargetMode="External"/><Relationship Id="rId1747" Type="http://schemas.openxmlformats.org/officeDocument/2006/relationships/hyperlink" Target="http://plants.usda.gov/java/profile?symbol=TRPE4" TargetMode="External"/><Relationship Id="rId1954" Type="http://schemas.openxmlformats.org/officeDocument/2006/relationships/hyperlink" Target="https://plants.usda.gov/core/profile?symbol=PHCO24" TargetMode="External"/><Relationship Id="rId4153" Type="http://schemas.openxmlformats.org/officeDocument/2006/relationships/hyperlink" Target="https://plants.usda.gov/core/profile?symbol=MYLA" TargetMode="External"/><Relationship Id="rId4360" Type="http://schemas.openxmlformats.org/officeDocument/2006/relationships/hyperlink" Target="https://plants.usda.gov/core/profile?symbol=SAME2" TargetMode="External"/><Relationship Id="rId5204" Type="http://schemas.openxmlformats.org/officeDocument/2006/relationships/hyperlink" Target="https://en.wikipedia.org/wiki/Penstemon_davidsonii" TargetMode="External"/><Relationship Id="rId5411" Type="http://schemas.openxmlformats.org/officeDocument/2006/relationships/hyperlink" Target="https://en.wikipedia.org/wiki/Sium_suave" TargetMode="External"/><Relationship Id="rId39" Type="http://schemas.openxmlformats.org/officeDocument/2006/relationships/hyperlink" Target="http://biology.burke.washington.edu/herbarium/imagecollection/taxon.php?Taxon=Madia%20exigua" TargetMode="External"/><Relationship Id="rId1607" Type="http://schemas.openxmlformats.org/officeDocument/2006/relationships/hyperlink" Target="https://en.wikipedia.org/wiki/Lomatium_nudicaule" TargetMode="External"/><Relationship Id="rId1814" Type="http://schemas.openxmlformats.org/officeDocument/2006/relationships/hyperlink" Target="http://plants.usda.gov/core/profile?symbol=SEGI2" TargetMode="External"/><Relationship Id="rId4013" Type="http://schemas.openxmlformats.org/officeDocument/2006/relationships/hyperlink" Target="https://plants.usda.gov/core/profile?symbol=HODE2" TargetMode="External"/><Relationship Id="rId4220" Type="http://schemas.openxmlformats.org/officeDocument/2006/relationships/hyperlink" Target="https://plants.usda.gov/core/profile?symbol=PIAL" TargetMode="External"/><Relationship Id="rId7169" Type="http://schemas.openxmlformats.org/officeDocument/2006/relationships/hyperlink" Target="http://biology.burke.washington.edu/herbarium/imagecollection/taxon.php?Taxon=Salix%20exigua" TargetMode="External"/><Relationship Id="rId3779" Type="http://schemas.openxmlformats.org/officeDocument/2006/relationships/hyperlink" Target="https://plants.usda.gov/core/profile?symbol=CALE24" TargetMode="External"/><Relationship Id="rId6185" Type="http://schemas.openxmlformats.org/officeDocument/2006/relationships/hyperlink" Target="http://www.burkemuseum.org/research-and-collections/botany-and-herbarium/collections/database/results.php?Genus=Scirpus&amp;Species=atrocinctus&amp;SourcePage=search.php&amp;IncludeSynonyms=Y&amp;SortBy=DESC&amp;SortOrder=Year" TargetMode="External"/><Relationship Id="rId6392" Type="http://schemas.openxmlformats.org/officeDocument/2006/relationships/hyperlink" Target="http://biology.burke.washington.edu/herbarium/imagecollectionnew/taxon.php?Taxon=Betula%20occidentalis" TargetMode="External"/><Relationship Id="rId7029" Type="http://schemas.openxmlformats.org/officeDocument/2006/relationships/hyperlink" Target="http://biology.burke.washington.edu/herbarium/imagecollectionnew/taxon.php?Taxon=Carex%20comosa" TargetMode="External"/><Relationship Id="rId7236" Type="http://schemas.openxmlformats.org/officeDocument/2006/relationships/hyperlink" Target="http://biology.burke.washington.edu/herbarium/imagecollection/taxon.php?Taxon=Pinus%20monticola" TargetMode="External"/><Relationship Id="rId2588" Type="http://schemas.openxmlformats.org/officeDocument/2006/relationships/hyperlink" Target="https://plants.usda.gov/core/profile?symbol=bepu4" TargetMode="External"/><Relationship Id="rId3986" Type="http://schemas.openxmlformats.org/officeDocument/2006/relationships/hyperlink" Target="https://plants.usda.gov/core/profile?symbol=GLGR" TargetMode="External"/><Relationship Id="rId6045" Type="http://schemas.openxmlformats.org/officeDocument/2006/relationships/hyperlink" Target="http://www.burkemuseum.org/research-and-collections/botany-and-herbarium/collections/database/results.php?Genus=Poa&amp;Species=macrantha&amp;SourcePage=search.php&amp;IncludeSynonyms=Y&amp;SortBy=DESC&amp;SortOrder=Year" TargetMode="External"/><Relationship Id="rId6252" Type="http://schemas.openxmlformats.org/officeDocument/2006/relationships/hyperlink" Target="http://www.burkemuseum.org/research-and-collections/botany-and-herbarium/collections/database/results.php?Genus=Tellima&amp;Species=grandiflora&amp;SourcePage=search.php&amp;IncludeSynonyms=Y&amp;SortBy=DESC&amp;SortOrder=Year" TargetMode="External"/><Relationship Id="rId1397" Type="http://schemas.openxmlformats.org/officeDocument/2006/relationships/hyperlink" Target="http://biology.burke.washington.edu/herbarium/imagecollection/taxon.php?Taxon=Juniperus%20occidentalis" TargetMode="External"/><Relationship Id="rId2795" Type="http://schemas.openxmlformats.org/officeDocument/2006/relationships/hyperlink" Target="http://www.burkemuseum.org/research-and-collections/botany-and-herbarium/collections/database/results.php?Genus=Bidens&amp;Species=cernua&amp;SourcePage=search.php&amp;IncludeSynonyms=Y&amp;SortBy=DESC&amp;SortOrder=Year" TargetMode="External"/><Relationship Id="rId3639" Type="http://schemas.openxmlformats.org/officeDocument/2006/relationships/hyperlink" Target="https://plants.usda.gov/core/profile?symbol=adpe" TargetMode="External"/><Relationship Id="rId3846" Type="http://schemas.openxmlformats.org/officeDocument/2006/relationships/hyperlink" Target="https://plants.usda.gov/core/profile?symbol=COGR4" TargetMode="External"/><Relationship Id="rId5061" Type="http://schemas.openxmlformats.org/officeDocument/2006/relationships/hyperlink" Target="https://en.wikipedia.org/wiki/Lasthenia_maritima" TargetMode="External"/><Relationship Id="rId6112" Type="http://schemas.openxmlformats.org/officeDocument/2006/relationships/hyperlink" Target="http://www.burkemuseum.org/research-and-collections/botany-and-herbarium/collections/database/results.php?Genus=Rhus&amp;Species=glabra&amp;SourcePage=search.php&amp;IncludeSynonyms=Y&amp;SortBy=DESC&amp;SortOrder=Year" TargetMode="External"/><Relationship Id="rId767" Type="http://schemas.openxmlformats.org/officeDocument/2006/relationships/hyperlink" Target="https://en.wikipedia.org/wiki/Potamogeton_richardsonii" TargetMode="External"/><Relationship Id="rId974" Type="http://schemas.openxmlformats.org/officeDocument/2006/relationships/hyperlink" Target="http://en.wikipedia.org/wiki/Bolboschoenus_maritimus" TargetMode="External"/><Relationship Id="rId2448" Type="http://schemas.openxmlformats.org/officeDocument/2006/relationships/hyperlink" Target="http://plants.usda.gov/java/profile?symbol=VAHE" TargetMode="External"/><Relationship Id="rId2655" Type="http://schemas.openxmlformats.org/officeDocument/2006/relationships/hyperlink" Target="http://biology.burke.washington.edu/herbarium/imagecollectionnew/taxon.php?Taxon=Stellaria%20longipes" TargetMode="External"/><Relationship Id="rId2862" Type="http://schemas.openxmlformats.org/officeDocument/2006/relationships/hyperlink" Target="http://www.burkemuseum.org/research-and-collections/botany-and-herbarium/collections/database/results.php?Genus=Castilleja&amp;Species=chambersii&amp;SourcePage=search.php&amp;IncludeSynonyms=Y&amp;SortBy=DESC&amp;SortOrder=Year" TargetMode="External"/><Relationship Id="rId3706" Type="http://schemas.openxmlformats.org/officeDocument/2006/relationships/hyperlink" Target="https://plants.usda.gov/core/profile?symbol=ASSP" TargetMode="External"/><Relationship Id="rId3913" Type="http://schemas.openxmlformats.org/officeDocument/2006/relationships/hyperlink" Target="https://plants.usda.gov/core/profile?symbol=ELEL5" TargetMode="External"/><Relationship Id="rId627" Type="http://schemas.openxmlformats.org/officeDocument/2006/relationships/hyperlink" Target="https://en.wikipedia.org/wiki/Salix_geyeriana" TargetMode="External"/><Relationship Id="rId834" Type="http://schemas.openxmlformats.org/officeDocument/2006/relationships/hyperlink" Target="https://en.wikipedia.org/wiki/Nemophila_parviflora" TargetMode="External"/><Relationship Id="rId1257" Type="http://schemas.openxmlformats.org/officeDocument/2006/relationships/hyperlink" Target="https://en.wikipedia.org/wiki/Lupinus" TargetMode="External"/><Relationship Id="rId1464" Type="http://schemas.openxmlformats.org/officeDocument/2006/relationships/hyperlink" Target="http://biology.burke.washington.edu/herbarium/imagecollectionnew/taxon.php?Taxon=Viola%20nuttallii" TargetMode="External"/><Relationship Id="rId1671" Type="http://schemas.openxmlformats.org/officeDocument/2006/relationships/hyperlink" Target="https://en.wikipedia.org/wiki/Agrostis_pallens" TargetMode="External"/><Relationship Id="rId2308" Type="http://schemas.openxmlformats.org/officeDocument/2006/relationships/hyperlink" Target="http://plants.usda.gov/java/profile?symbol=CAPA14" TargetMode="External"/><Relationship Id="rId2515" Type="http://schemas.openxmlformats.org/officeDocument/2006/relationships/hyperlink" Target="http://plants.usda.gov/java/profile?symbol=OXTR" TargetMode="External"/><Relationship Id="rId2722" Type="http://schemas.openxmlformats.org/officeDocument/2006/relationships/hyperlink" Target="http://www.burkemuseum.org/research-and-collections/botany-and-herbarium/collections/database/results.php?Genus=Actaea&amp;Species=rubra&amp;SourcePage=search.php&amp;IncludeSynonyms=Y&amp;SortBy=DESC&amp;SortOrder=Year" TargetMode="External"/><Relationship Id="rId5878" Type="http://schemas.openxmlformats.org/officeDocument/2006/relationships/hyperlink" Target="http://www.burkemuseum.org/research-and-collections/botany-and-herbarium/collections/database/results.php?Genus=Lindernia&amp;Species=dubia&amp;SourcePage=search.php&amp;IncludeSynonyms=Y&amp;SortBy=DESC&amp;SortOrder=Year" TargetMode="External"/><Relationship Id="rId6929" Type="http://schemas.openxmlformats.org/officeDocument/2006/relationships/hyperlink" Target="http://biology.burke.washington.edu/herbarium/imagecollection/taxon.php?Taxon=Monotropa%20hypopitys" TargetMode="External"/><Relationship Id="rId901" Type="http://schemas.openxmlformats.org/officeDocument/2006/relationships/hyperlink" Target="http://en.wikipedia.org/wiki/Cinna_latifolia" TargetMode="External"/><Relationship Id="rId1117" Type="http://schemas.openxmlformats.org/officeDocument/2006/relationships/hyperlink" Target="https://en.wikipedia.org/wiki/Juncus_oxymeris" TargetMode="External"/><Relationship Id="rId1324" Type="http://schemas.openxmlformats.org/officeDocument/2006/relationships/hyperlink" Target="http://biology.burke.washington.edu/herbarium/imagecollection/taxon.php?Taxon=Salix%20pedicellaris" TargetMode="External"/><Relationship Id="rId1531" Type="http://schemas.openxmlformats.org/officeDocument/2006/relationships/hyperlink" Target="https://en.wikipedia.org/wiki/Echinacea_purpurea" TargetMode="External"/><Relationship Id="rId4687" Type="http://schemas.openxmlformats.org/officeDocument/2006/relationships/hyperlink" Target="https://en.wikipedia.org/wiki/Angelica_genuflexa" TargetMode="External"/><Relationship Id="rId4894" Type="http://schemas.openxmlformats.org/officeDocument/2006/relationships/hyperlink" Target="https://en.wikipedia.org/wiki/Delphinium_glaucum" TargetMode="External"/><Relationship Id="rId5738" Type="http://schemas.openxmlformats.org/officeDocument/2006/relationships/hyperlink" Target="http://www.burkemuseum.org/research-and-collections/botany-and-herbarium/collections/database/results.php?Genus=Eryngium&amp;Species=petiolatum&amp;SourcePage=search.php&amp;IncludeSynonyms=Y&amp;SortBy=DESC&amp;SortOrder=Year" TargetMode="External"/><Relationship Id="rId5945" Type="http://schemas.openxmlformats.org/officeDocument/2006/relationships/hyperlink" Target="http://www.burkemuseum.org/research-and-collections/botany-and-herbarium/collections/database/results.php?Genus=Moneses&amp;Species=uniflora&amp;SourcePage=search.php&amp;IncludeSynonyms=Y&amp;SortBy=DESC&amp;SortOrder=Year" TargetMode="External"/><Relationship Id="rId7093" Type="http://schemas.openxmlformats.org/officeDocument/2006/relationships/hyperlink" Target="http://biology.burke.washington.edu/herbarium/imagecollectionnew/taxon.php?Taxon=Typha%20latifolia" TargetMode="External"/><Relationship Id="rId30" Type="http://schemas.openxmlformats.org/officeDocument/2006/relationships/hyperlink" Target="http://biology.burke.washington.edu/herbarium/imagecollection/taxon.php?Taxon=Agoseris%20heterophylla" TargetMode="External"/><Relationship Id="rId3289" Type="http://schemas.openxmlformats.org/officeDocument/2006/relationships/hyperlink" Target="http://www.burkemuseum.org/research-and-collections/botany-and-herbarium/collections/database/results.php?Genus=Rotala&amp;Species=ramosior&amp;SourcePage=search.php&amp;IncludeSynonyms=Y&amp;SortBy=DESC&amp;SortOrder=Year" TargetMode="External"/><Relationship Id="rId3496" Type="http://schemas.openxmlformats.org/officeDocument/2006/relationships/hyperlink" Target="http://www.burkemuseum.org/research-and-collections/botany-and-herbarium/collections/database/results.php?Genus=Erythranthe&amp;Species=cardinalis&amp;SourcePage=search.php&amp;IncludeSynonyms=Y&amp;SortBy=DESC&amp;SortOrder=Year" TargetMode="External"/><Relationship Id="rId4547" Type="http://schemas.openxmlformats.org/officeDocument/2006/relationships/hyperlink" Target="https://en.wikipedia.org/wiki/Agoseris_glauca" TargetMode="External"/><Relationship Id="rId4754" Type="http://schemas.openxmlformats.org/officeDocument/2006/relationships/hyperlink" Target="https://en.wikipedia.org/wiki/Calamagrostis_nutkaensis" TargetMode="External"/><Relationship Id="rId7160" Type="http://schemas.openxmlformats.org/officeDocument/2006/relationships/hyperlink" Target="http://biology.burke.washington.edu/herbarium/imagecollection/taxon.php?Taxon=Salix%20planifolia" TargetMode="External"/><Relationship Id="rId2098" Type="http://schemas.openxmlformats.org/officeDocument/2006/relationships/hyperlink" Target="http://plants.usda.gov/java/profile?symbol=JUAC" TargetMode="External"/><Relationship Id="rId3149" Type="http://schemas.openxmlformats.org/officeDocument/2006/relationships/hyperlink" Target="http://www.burkemuseum.org/research-and-collections/botany-and-herbarium/collections/database/results.php?Genus=Monotropa&amp;Species=uniflora&amp;SourcePage=search.php&amp;IncludeSynonyms=Y&amp;SortBy=DESC&amp;SortOrder=Year" TargetMode="External"/><Relationship Id="rId3356" Type="http://schemas.openxmlformats.org/officeDocument/2006/relationships/hyperlink" Target="http://www.burkemuseum.org/research-and-collections/botany-and-herbarium/collections/database/results.php?Genus=Solidago&amp;Species=simplex&amp;SourcePage=search.php&amp;IncludeSynonyms=Y&amp;SortBy=DESC&amp;SortOrder=Year" TargetMode="External"/><Relationship Id="rId3563" Type="http://schemas.openxmlformats.org/officeDocument/2006/relationships/hyperlink" Target="http://www.burkemuseum.org/research-and-collections/botany-and-herbarium/collections/database/results.php?Genus=Quercus&amp;Species=garryana&amp;SourcePage=search.php&amp;IncludeSynonyms=Y&amp;SortBy=DESC&amp;SortOrder=Year" TargetMode="External"/><Relationship Id="rId4407" Type="http://schemas.openxmlformats.org/officeDocument/2006/relationships/hyperlink" Target="https://plants.usda.gov/core/profile?symbol=SIME" TargetMode="External"/><Relationship Id="rId4961" Type="http://schemas.openxmlformats.org/officeDocument/2006/relationships/hyperlink" Target="https://en.wikipedia.org/wiki/Euonymus_occidentalis" TargetMode="External"/><Relationship Id="rId5805" Type="http://schemas.openxmlformats.org/officeDocument/2006/relationships/hyperlink" Target="http://www.burkemuseum.org/research-and-collections/botany-and-herbarium/collections/database/results.php?Genus=Heuchera&amp;Species=glabra&amp;SourcePage=search.php&amp;IncludeSynonyms=Y&amp;SortBy=DESC&amp;SortOrder=Year" TargetMode="External"/><Relationship Id="rId7020" Type="http://schemas.openxmlformats.org/officeDocument/2006/relationships/hyperlink" Target="http://biology.burke.washington.edu/herbarium/imagecollectionnew/taxon.php?Taxon=Carex%20pauciflora" TargetMode="External"/><Relationship Id="rId277" Type="http://schemas.openxmlformats.org/officeDocument/2006/relationships/hyperlink" Target="http://biology.burke.washington.edu/herbarium/imagecollection/taxon.php?Taxon=Luzula%20parviflora" TargetMode="External"/><Relationship Id="rId484" Type="http://schemas.openxmlformats.org/officeDocument/2006/relationships/hyperlink" Target="http://biology.burke.washington.edu/herbarium/imagecollectionnew/taxon.php?Taxon=Woodsia%20oregana" TargetMode="External"/><Relationship Id="rId2165" Type="http://schemas.openxmlformats.org/officeDocument/2006/relationships/hyperlink" Target="https://plants.usda.gov/core/profile?symbol=EUEN" TargetMode="External"/><Relationship Id="rId3009" Type="http://schemas.openxmlformats.org/officeDocument/2006/relationships/hyperlink" Target="http://www.burkemuseum.org/research-and-collections/botany-and-herbarium/collections/database/results.php?Genus=Galium&amp;Species=triflorum&amp;SourcePage=search.php&amp;IncludeSynonyms=Y&amp;SortBy=DESC&amp;SortOrder=Year" TargetMode="External"/><Relationship Id="rId3216" Type="http://schemas.openxmlformats.org/officeDocument/2006/relationships/hyperlink" Target="http://www.burkemuseum.org/research-and-collections/botany-and-herbarium/collections/database/results.php?Genus=Platanthera&amp;Species=transversa&amp;SourcePage=search.php&amp;IncludeSynonyms=Y&amp;SortBy=DESC&amp;SortOrder=Year" TargetMode="External"/><Relationship Id="rId3770" Type="http://schemas.openxmlformats.org/officeDocument/2006/relationships/hyperlink" Target="https://plants.usda.gov/core/profile?symbol=CACU5" TargetMode="External"/><Relationship Id="rId4614" Type="http://schemas.openxmlformats.org/officeDocument/2006/relationships/hyperlink" Target="http://www.burkemuseum.org/research-and-collections/botany-and-herbarium/collections/database/results.php?Genus=Amsinckia&amp;Species=spectabilis&amp;SourcePage=search.php&amp;IncludeSynonyms=Y&amp;SortBy=DESC&amp;SortOrder=Year" TargetMode="External"/><Relationship Id="rId4821" Type="http://schemas.openxmlformats.org/officeDocument/2006/relationships/hyperlink" Target="https://en.wikipedia.org/wiki/Castilleja_victoriae" TargetMode="External"/><Relationship Id="rId137" Type="http://schemas.openxmlformats.org/officeDocument/2006/relationships/hyperlink" Target="http://biology.burke.washington.edu/herbarium/imagecollection/taxon.php?Taxon=Elodea%20canadensis" TargetMode="External"/><Relationship Id="rId344" Type="http://schemas.openxmlformats.org/officeDocument/2006/relationships/hyperlink" Target="http://biology.burke.washington.edu/herbarium/imagecollectionnew/taxon.php?Taxon=Calamagrostis%20canadensis" TargetMode="External"/><Relationship Id="rId691" Type="http://schemas.openxmlformats.org/officeDocument/2006/relationships/hyperlink" Target="https://en.wikipedia.org/wiki/Euthamia_occidentalis" TargetMode="External"/><Relationship Id="rId2025" Type="http://schemas.openxmlformats.org/officeDocument/2006/relationships/hyperlink" Target="http://plants.usda.gov/java/profile?symbol=MEOR" TargetMode="External"/><Relationship Id="rId2372" Type="http://schemas.openxmlformats.org/officeDocument/2006/relationships/hyperlink" Target="http://plants.usda.gov/java/profile?symbol=ATFI" TargetMode="External"/><Relationship Id="rId3423" Type="http://schemas.openxmlformats.org/officeDocument/2006/relationships/hyperlink" Target="http://www.burkemuseum.org/research-and-collections/botany-and-herbarium/collections/database/results.php?Genus=Vaccinium&amp;Species=oxycoccos&amp;SourcePage=search.php&amp;IncludeSynonyms=Y&amp;SortBy=DESC&amp;SortOrder=Year" TargetMode="External"/><Relationship Id="rId3630" Type="http://schemas.openxmlformats.org/officeDocument/2006/relationships/hyperlink" Target="https://plants.usda.gov/core/profile?symbol=ACGL" TargetMode="External"/><Relationship Id="rId6579" Type="http://schemas.openxmlformats.org/officeDocument/2006/relationships/hyperlink" Target="https://en.wikipedia.org/wiki/Metasequoia_glyptostroboides" TargetMode="External"/><Relationship Id="rId6786" Type="http://schemas.openxmlformats.org/officeDocument/2006/relationships/hyperlink" Target="http://biology.burke.washington.edu/herbarium/imagecollectionnew/taxon.php?Taxon=Eryngium%20petiolatum" TargetMode="External"/><Relationship Id="rId6993" Type="http://schemas.openxmlformats.org/officeDocument/2006/relationships/hyperlink" Target="http://biology.burke.washington.edu/herbarium/imagecollectionnew/taxon.php?Taxon=Dodecatheon%20jeffreyi" TargetMode="External"/><Relationship Id="rId551" Type="http://schemas.openxmlformats.org/officeDocument/2006/relationships/hyperlink" Target="https://en.wikipedia.org/wiki/Thelypteris" TargetMode="External"/><Relationship Id="rId1181" Type="http://schemas.openxmlformats.org/officeDocument/2006/relationships/hyperlink" Target="http://biology.burke.washington.edu/herbarium/imagecollectionnew/taxon.php?Taxon=Triglochin%20maritima" TargetMode="External"/><Relationship Id="rId2232" Type="http://schemas.openxmlformats.org/officeDocument/2006/relationships/hyperlink" Target="https://plants.usda.gov/core/profile?symbol=CYMO2" TargetMode="External"/><Relationship Id="rId5388" Type="http://schemas.openxmlformats.org/officeDocument/2006/relationships/hyperlink" Target="https://en.wikipedia.org/wiki/Scutellaria_galericulata" TargetMode="External"/><Relationship Id="rId5595" Type="http://schemas.openxmlformats.org/officeDocument/2006/relationships/hyperlink" Target="http://www.burkemuseum.org/research-and-collections/botany-and-herbarium/collections/database/results.php?Genus=Carex&amp;Species=pauciflora&amp;SourcePage=search.php&amp;IncludeSynonyms=Y&amp;SortBy=DESC&amp;SortOrder=Year" TargetMode="External"/><Relationship Id="rId6439" Type="http://schemas.openxmlformats.org/officeDocument/2006/relationships/hyperlink" Target="http://biology.burke.washington.edu/herbarium/imagecollectionnew/taxon.php?Taxon=Collinsia%20parviflora" TargetMode="External"/><Relationship Id="rId6646" Type="http://schemas.openxmlformats.org/officeDocument/2006/relationships/hyperlink" Target="http://biology.burke.washington.edu/herbarium/imagecollectionnew/taxon.php?Taxon=Silene%20scouleri" TargetMode="External"/><Relationship Id="rId6853" Type="http://schemas.openxmlformats.org/officeDocument/2006/relationships/hyperlink" Target="http://biology.burke.washington.edu/herbarium/imagecollectionnew/taxon.php?Taxon=Arceuthobium%20campylopodum" TargetMode="External"/><Relationship Id="rId204" Type="http://schemas.openxmlformats.org/officeDocument/2006/relationships/hyperlink" Target="http://biology.burke.washington.edu/herbarium/imagecollection/taxon.php?Taxon=potentilla%20anserina" TargetMode="External"/><Relationship Id="rId411" Type="http://schemas.openxmlformats.org/officeDocument/2006/relationships/hyperlink" Target="http://biology.burke.washington.edu/herbarium/imagecollectionnew/taxon.php?Taxon=Cirsium%20remotifolium" TargetMode="External"/><Relationship Id="rId1041" Type="http://schemas.openxmlformats.org/officeDocument/2006/relationships/hyperlink" Target="https://en.wikipedia.org/wiki/Actaea_elata" TargetMode="External"/><Relationship Id="rId1998" Type="http://schemas.openxmlformats.org/officeDocument/2006/relationships/hyperlink" Target="http://plants.usda.gov/java/profile?symbol=MYGA" TargetMode="External"/><Relationship Id="rId4197" Type="http://schemas.openxmlformats.org/officeDocument/2006/relationships/hyperlink" Target="https://plants.usda.gov/core/profile?symbol=MIOV" TargetMode="External"/><Relationship Id="rId5248" Type="http://schemas.openxmlformats.org/officeDocument/2006/relationships/hyperlink" Target="https://en.wikipedia.org/wiki/Poa_paucispicula" TargetMode="External"/><Relationship Id="rId5455" Type="http://schemas.openxmlformats.org/officeDocument/2006/relationships/hyperlink" Target="https://en.wikipedia.org/wiki/Thalictrum_occidentale" TargetMode="External"/><Relationship Id="rId5662" Type="http://schemas.openxmlformats.org/officeDocument/2006/relationships/hyperlink" Target="http://www.burkemuseum.org/research-and-collections/botany-and-herbarium/collections/database/results.php?Genus=Cornus&amp;Species=sericea&amp;SourcePage=search.php&amp;IncludeSynonyms=Y&amp;SortBy=DESC&amp;SortOrder=Year" TargetMode="External"/><Relationship Id="rId6506" Type="http://schemas.openxmlformats.org/officeDocument/2006/relationships/hyperlink" Target="http://biology.burke.washington.edu/herbarium/imagecollection/taxon.php?Taxon=Lupinus%20albicaulis" TargetMode="External"/><Relationship Id="rId6713" Type="http://schemas.openxmlformats.org/officeDocument/2006/relationships/hyperlink" Target="http://biology.burke.washington.edu/herbarium/imagecollection/taxon.php?Taxon=Neottia%20cordata" TargetMode="External"/><Relationship Id="rId6920" Type="http://schemas.openxmlformats.org/officeDocument/2006/relationships/hyperlink" Target="http://biology.burke.washington.edu/herbarium/imagecollection/taxon.php?Taxon=Oxytropis%20campestris" TargetMode="External"/><Relationship Id="rId1858" Type="http://schemas.openxmlformats.org/officeDocument/2006/relationships/hyperlink" Target="http://plants.usda.gov/java/profile?symbol=RUMA5" TargetMode="External"/><Relationship Id="rId4057" Type="http://schemas.openxmlformats.org/officeDocument/2006/relationships/hyperlink" Target="https://plants.usda.gov/core/profile?symbol=lali2" TargetMode="External"/><Relationship Id="rId4264" Type="http://schemas.openxmlformats.org/officeDocument/2006/relationships/hyperlink" Target="https://plants.usda.gov/core/profile?symbol=POIL" TargetMode="External"/><Relationship Id="rId4471" Type="http://schemas.openxmlformats.org/officeDocument/2006/relationships/hyperlink" Target="https://plants.usda.gov/core/profile?symbol=TRBI" TargetMode="External"/><Relationship Id="rId5108" Type="http://schemas.openxmlformats.org/officeDocument/2006/relationships/hyperlink" Target="https://en.wikipedia.org/wiki/Luzula_parviflora" TargetMode="External"/><Relationship Id="rId5315" Type="http://schemas.openxmlformats.org/officeDocument/2006/relationships/hyperlink" Target="https://en.wikipedia.org/wiki/Ribes_acerifolium" TargetMode="External"/><Relationship Id="rId5522" Type="http://schemas.openxmlformats.org/officeDocument/2006/relationships/hyperlink" Target="https://en.wikipedia.org/wiki/Woodwardia_fimbriata" TargetMode="External"/><Relationship Id="rId2909" Type="http://schemas.openxmlformats.org/officeDocument/2006/relationships/hyperlink" Target="http://www.burkemuseum.org/research-and-collections/botany-and-herbarium/collections/database/results.php?Genus=Corallorhiza&amp;Species=trifida&amp;SourcePage=search.php&amp;IncludeSynonyms=Y&amp;SortBy=DESC&amp;SortOrder=Year" TargetMode="External"/><Relationship Id="rId3073" Type="http://schemas.openxmlformats.org/officeDocument/2006/relationships/hyperlink" Target="http://www.burkemuseum.org/research-and-collections/botany-and-herbarium/collections/database/results.php?Genus=Lasthenia&amp;Species=glaberrima&amp;SourcePage=search.php&amp;IncludeSynonyms=Y&amp;SortBy=DESC&amp;SortOrder=Year" TargetMode="External"/><Relationship Id="rId3280" Type="http://schemas.openxmlformats.org/officeDocument/2006/relationships/hyperlink" Target="http://www.burkemuseum.org/research-and-collections/botany-and-herbarium/collections/database/results.php?Genus=Ribes&amp;Species=aureum&amp;SourcePage=search.php&amp;IncludeSynonyms=Y&amp;SortBy=DESC&amp;SortOrder=Year" TargetMode="External"/><Relationship Id="rId4124" Type="http://schemas.openxmlformats.org/officeDocument/2006/relationships/hyperlink" Target="https://plants.usda.gov/core/profile?symbol=MAOR3" TargetMode="External"/><Relationship Id="rId4331" Type="http://schemas.openxmlformats.org/officeDocument/2006/relationships/hyperlink" Target="https://plants.usda.gov/core/profile?symbol=RUID" TargetMode="External"/><Relationship Id="rId1718" Type="http://schemas.openxmlformats.org/officeDocument/2006/relationships/hyperlink" Target="http://plants.usda.gov/java/profile?symbol=VICAR" TargetMode="External"/><Relationship Id="rId1925" Type="http://schemas.openxmlformats.org/officeDocument/2006/relationships/hyperlink" Target="http://plants.usda.gov/java/profile?symbol=POMU" TargetMode="External"/><Relationship Id="rId3140" Type="http://schemas.openxmlformats.org/officeDocument/2006/relationships/hyperlink" Target="http://www.burkemuseum.org/research-and-collections/botany-and-herbarium/collections/database/results.php?Genus=Micranthes&amp;Species=oregana&amp;SourcePage=search.php&amp;IncludeSynonyms=Y&amp;SortBy=DESC&amp;SortOrder=Year" TargetMode="External"/><Relationship Id="rId6089" Type="http://schemas.openxmlformats.org/officeDocument/2006/relationships/hyperlink" Target="http://www.burkemuseum.org/research-and-collections/botany-and-herbarium/collections/database/results.php?Genus=Pterospora&amp;Species=andromedea&amp;SourcePage=search.php&amp;IncludeSynonyms=Y&amp;SortBy=DESC&amp;SortOrder=Year" TargetMode="External"/><Relationship Id="rId6296" Type="http://schemas.openxmlformats.org/officeDocument/2006/relationships/hyperlink" Target="http://www.burkemuseum.org/research-and-collections/botany-and-herbarium/collections/database/results.php?Genus=Valeriana&amp;Species=sitchensis&amp;SourcePage=search.php&amp;IncludeSynonyms=Y&amp;SortBy=DESC&amp;SortOrder=Year" TargetMode="External"/><Relationship Id="rId6156" Type="http://schemas.openxmlformats.org/officeDocument/2006/relationships/hyperlink" Target="http://www.burkemuseum.org/research-and-collections/botany-and-herbarium/collections/database/results.php?Genus=Salix&amp;Species=hookeriana&amp;SourcePage=search.php&amp;IncludeSynonyms=Y&amp;SortBy=DESC&amp;SortOrder=Year" TargetMode="External"/><Relationship Id="rId2699" Type="http://schemas.openxmlformats.org/officeDocument/2006/relationships/hyperlink" Target="http://biology.burke.washington.edu/herbarium/imagecollectionnew/taxon.php?Taxon=Sidalcea%20campestris" TargetMode="External"/><Relationship Id="rId3000" Type="http://schemas.openxmlformats.org/officeDocument/2006/relationships/hyperlink" Target="http://www.burkemuseum.org/research-and-collections/botany-and-herbarium/collections/database/results.php?Genus=Fragaria&amp;Species=virginiana&amp;SourcePage=search.php&amp;IncludeSynonyms=Y&amp;SortBy=DESC&amp;SortOrder=Year" TargetMode="External"/><Relationship Id="rId3957" Type="http://schemas.openxmlformats.org/officeDocument/2006/relationships/hyperlink" Target="https://plants.usda.gov/core/profile?symbol=FIOC" TargetMode="External"/><Relationship Id="rId6363" Type="http://schemas.openxmlformats.org/officeDocument/2006/relationships/hyperlink" Target="http://biology.burke.washington.edu/herbarium/imagecollectionnew/taxon.php?Taxon=Alnus%20viridis" TargetMode="External"/><Relationship Id="rId6570" Type="http://schemas.openxmlformats.org/officeDocument/2006/relationships/hyperlink" Target="http://biology.burke.washington.edu/herbarium/imagecollection/taxon.php?Taxon=Lycopodium%20clavatum" TargetMode="External"/><Relationship Id="rId7207" Type="http://schemas.openxmlformats.org/officeDocument/2006/relationships/hyperlink" Target="http://biology.burke.washington.edu/herbarium/imagecollection/taxon.php?Taxon=Pyrola%20picta" TargetMode="External"/><Relationship Id="rId878" Type="http://schemas.openxmlformats.org/officeDocument/2006/relationships/hyperlink" Target="https://en.wikipedia.org/wiki/Corallorhiza_trifida" TargetMode="External"/><Relationship Id="rId2559" Type="http://schemas.openxmlformats.org/officeDocument/2006/relationships/hyperlink" Target="http://plants.usda.gov/java/profile?symbol=EROR4" TargetMode="External"/><Relationship Id="rId2766" Type="http://schemas.openxmlformats.org/officeDocument/2006/relationships/hyperlink" Target="http://www.burkemuseum.org/research-and-collections/botany-and-herbarium/collections/database/results.php?Genus=Arceuthobium&amp;Species=campylopodum&amp;SourcePage=search.php&amp;IncludeSynonyms=Y&amp;SortBy=DESC&amp;SortOrder=Year" TargetMode="External"/><Relationship Id="rId2973" Type="http://schemas.openxmlformats.org/officeDocument/2006/relationships/hyperlink" Target="http://www.burkemuseum.org/research-and-collections/botany-and-herbarium/collections/database/results.php?Genus=Erigeron&amp;Species=compositus&amp;SourcePage=search.php&amp;IncludeSynonyms=Y&amp;SortBy=DESC&amp;SortOrder=Year" TargetMode="External"/><Relationship Id="rId3817" Type="http://schemas.openxmlformats.org/officeDocument/2006/relationships/hyperlink" Target="https://plants.usda.gov/core/profile?symbol=chla" TargetMode="External"/><Relationship Id="rId5172" Type="http://schemas.openxmlformats.org/officeDocument/2006/relationships/hyperlink" Target="https://en.wikipedia.org/wiki/Nothochelone_nemorosa" TargetMode="External"/><Relationship Id="rId6016" Type="http://schemas.openxmlformats.org/officeDocument/2006/relationships/hyperlink" Target="http://www.burkemuseum.org/research-and-collections/botany-and-herbarium/collections/database/results.php?Genus=Phegopteris&amp;Species=connectilis&amp;SourcePage=search.php&amp;IncludeSynonyms=Y&amp;SortBy=DESC&amp;SortOrder=Year" TargetMode="External"/><Relationship Id="rId6223" Type="http://schemas.openxmlformats.org/officeDocument/2006/relationships/hyperlink" Target="http://www.burkemuseum.org/research-and-collections/botany-and-herbarium/collections/database/results.php?Genus=Spiraea&amp;Species=douglasii&amp;SourcePage=search.php&amp;IncludeSynonyms=Y&amp;SortBy=DESC&amp;SortOrder=Year" TargetMode="External"/><Relationship Id="rId6430" Type="http://schemas.openxmlformats.org/officeDocument/2006/relationships/hyperlink" Target="http://biology.burke.washington.edu/herbarium/imagecollectionnew/taxon.php?Taxon=Chimaphila%20umbellata" TargetMode="External"/><Relationship Id="rId738" Type="http://schemas.openxmlformats.org/officeDocument/2006/relationships/hyperlink" Target="https://en.wikipedia.org/wiki/Dodecatheon_austrofrigidum" TargetMode="External"/><Relationship Id="rId945" Type="http://schemas.openxmlformats.org/officeDocument/2006/relationships/hyperlink" Target="https://en.wikipedia.org/wiki/Carex_aquatilis" TargetMode="External"/><Relationship Id="rId1368" Type="http://schemas.openxmlformats.org/officeDocument/2006/relationships/hyperlink" Target="http://biology.burke.washington.edu/herbarium/imagecollection/taxon.php?Taxon=Lupinus%20rivularis" TargetMode="External"/><Relationship Id="rId1575" Type="http://schemas.openxmlformats.org/officeDocument/2006/relationships/hyperlink" Target="https://en.wikipedia.org/wiki/Carex" TargetMode="External"/><Relationship Id="rId1782" Type="http://schemas.openxmlformats.org/officeDocument/2006/relationships/hyperlink" Target="https://plants.usda.gov/core/profile?symbol=stlo2" TargetMode="External"/><Relationship Id="rId2419" Type="http://schemas.openxmlformats.org/officeDocument/2006/relationships/hyperlink" Target="http://plants.usda.gov/java/profile?symbol=AGSC5" TargetMode="External"/><Relationship Id="rId2626" Type="http://schemas.openxmlformats.org/officeDocument/2006/relationships/hyperlink" Target="http://biology.burke.washington.edu/herbarium/imagecollectionnew/taxon.php?Taxon=Sanicula%20arctopoides" TargetMode="External"/><Relationship Id="rId2833" Type="http://schemas.openxmlformats.org/officeDocument/2006/relationships/hyperlink" Target="http://www.burkemuseum.org/research-and-collections/botany-and-herbarium/collections/database/results.php?Genus=Carex&amp;Species=canescens&amp;SourcePage=search.php&amp;IncludeSynonyms=Y&amp;SortBy=DESC&amp;SortOrder=Year" TargetMode="External"/><Relationship Id="rId5032" Type="http://schemas.openxmlformats.org/officeDocument/2006/relationships/hyperlink" Target="https://en.wikipedia.org/wiki/Huperzia_occidentalis" TargetMode="External"/><Relationship Id="rId5989" Type="http://schemas.openxmlformats.org/officeDocument/2006/relationships/hyperlink" Target="http://www.burkemuseum.org/research-and-collections/botany-and-herbarium/collections/database/results.php?Genus=Oxytropis&amp;Species=borealis&amp;SourcePage=search.php&amp;IncludeSynonyms=Y&amp;SortBy=DESC&amp;SortOrder=Year" TargetMode="External"/><Relationship Id="rId74" Type="http://schemas.openxmlformats.org/officeDocument/2006/relationships/hyperlink" Target="http://biology.burke.washington.edu/herbarium/imagecollection/taxon.php?Taxon=Lupinus%20lepidus" TargetMode="External"/><Relationship Id="rId805" Type="http://schemas.openxmlformats.org/officeDocument/2006/relationships/hyperlink" Target="https://en.wikipedia.org/wiki/Pinus_albicaulis" TargetMode="External"/><Relationship Id="rId1228" Type="http://schemas.openxmlformats.org/officeDocument/2006/relationships/hyperlink" Target="https://en.wikipedia.org/wiki/Baccharis_pilularis" TargetMode="External"/><Relationship Id="rId1435" Type="http://schemas.openxmlformats.org/officeDocument/2006/relationships/hyperlink" Target="http://biology.burke.washington.edu/herbarium/imagecollectionnew/taxon.php?Taxon=Camassia%20leichtlinii" TargetMode="External"/><Relationship Id="rId4798" Type="http://schemas.openxmlformats.org/officeDocument/2006/relationships/hyperlink" Target="https://en.wikipedia.org/wiki/Carex_obnupta" TargetMode="External"/><Relationship Id="rId1642" Type="http://schemas.openxmlformats.org/officeDocument/2006/relationships/hyperlink" Target="http://biology.burke.washington.edu/herbarium/imagecollectionnew/taxon.php?Taxon=Symphyotrichum%20chilense" TargetMode="External"/><Relationship Id="rId2900" Type="http://schemas.openxmlformats.org/officeDocument/2006/relationships/hyperlink" Target="http://www.burkemuseum.org/research-and-collections/botany-and-herbarium/collections/database/results.php?Genus=Collomia&amp;Species=grandiflora&amp;SourcePage=search.php&amp;IncludeSynonyms=Y&amp;SortBy=DESC&amp;SortOrder=Year" TargetMode="External"/><Relationship Id="rId5849" Type="http://schemas.openxmlformats.org/officeDocument/2006/relationships/hyperlink" Target="http://www.burkemuseum.org/research-and-collections/botany-and-herbarium/collections/database/results.php?Genus=Juniperus&amp;Species=scopulorum&amp;SourcePage=search.php&amp;IncludeSynonyms=Y&amp;SortBy=DESC&amp;SortOrder=Year" TargetMode="External"/><Relationship Id="rId7064" Type="http://schemas.openxmlformats.org/officeDocument/2006/relationships/hyperlink" Target="http://biology.burke.washington.edu/herbarium/imagecollection/taxon.php?Taxon=Abronia%20latifolia" TargetMode="External"/><Relationship Id="rId1502" Type="http://schemas.openxmlformats.org/officeDocument/2006/relationships/hyperlink" Target="https://en.wikipedia.org/wiki/Salix_sitchensis" TargetMode="External"/><Relationship Id="rId4658" Type="http://schemas.openxmlformats.org/officeDocument/2006/relationships/hyperlink" Target="http://www.burkemuseum.org/research-and-collections/botany-and-herbarium/collections/database/results.php?Genus=Azolla&amp;Species=mexicana&amp;SourcePage=search.php&amp;IncludeSynonyms=Y&amp;SortBy=DESC&amp;SortOrder=Year" TargetMode="External"/><Relationship Id="rId4865" Type="http://schemas.openxmlformats.org/officeDocument/2006/relationships/hyperlink" Target="https://en.wikipedia.org/wiki/Corallorhiza_maculata" TargetMode="External"/><Relationship Id="rId5709" Type="http://schemas.openxmlformats.org/officeDocument/2006/relationships/hyperlink" Target="http://www.burkemuseum.org/research-and-collections/botany-and-herbarium/collections/database/results.php?Genus=Echinacea&amp;Species=purpurea&amp;SourcePage=search.php&amp;IncludeSynonyms=Y&amp;SortBy=DESC&amp;SortOrder=Year" TargetMode="External"/><Relationship Id="rId5916" Type="http://schemas.openxmlformats.org/officeDocument/2006/relationships/hyperlink" Target="http://www.burkemuseum.org/research-and-collections/botany-and-herbarium/collections/database/results.php?Genus=Madia&amp;Species=exigua&amp;SourcePage=search.php&amp;IncludeSynonyms=Y&amp;SortBy=DESC&amp;SortOrder=Year" TargetMode="External"/><Relationship Id="rId6080" Type="http://schemas.openxmlformats.org/officeDocument/2006/relationships/hyperlink" Target="http://www.burkemuseum.org/research-and-collections/botany-and-herbarium/collections/database/results.php?Genus=Prunella&amp;Species=vulgaris&amp;SourcePage=search.php&amp;IncludeSynonyms=Y&amp;SortBy=DESC&amp;SortOrder=Year" TargetMode="External"/><Relationship Id="rId7131" Type="http://schemas.openxmlformats.org/officeDocument/2006/relationships/hyperlink" Target="http://biology.burke.washington.edu/herbarium/imagecollectionnew/taxon.php?Taxon=Sium%20suave" TargetMode="External"/><Relationship Id="rId388" Type="http://schemas.openxmlformats.org/officeDocument/2006/relationships/hyperlink" Target="http://biology.burke.washington.edu/herbarium/imagecollectionnew/taxon.php?Taxon=Cornus%20stolonifera" TargetMode="External"/><Relationship Id="rId2069" Type="http://schemas.openxmlformats.org/officeDocument/2006/relationships/hyperlink" Target="http://plants.usda.gov/java/profile?symbol=LEBI8" TargetMode="External"/><Relationship Id="rId3467" Type="http://schemas.openxmlformats.org/officeDocument/2006/relationships/hyperlink" Target="http://www.burkemuseum.org/research-and-collections/botany-and-herbarium/collections/database/results.php?Genus=Betula&amp;Species=occidentalis&amp;SourcePage=search.php&amp;IncludeSynonyms=Y&amp;SortBy=DESC&amp;SortOrder=Year" TargetMode="External"/><Relationship Id="rId3674" Type="http://schemas.openxmlformats.org/officeDocument/2006/relationships/hyperlink" Target="https://plants.usda.gov/core/profile?symbol=ANMA26" TargetMode="External"/><Relationship Id="rId3881" Type="http://schemas.openxmlformats.org/officeDocument/2006/relationships/hyperlink" Target="https://plants.usda.gov/core/profile?symbol=DAPU3" TargetMode="External"/><Relationship Id="rId4518" Type="http://schemas.openxmlformats.org/officeDocument/2006/relationships/hyperlink" Target="https://plants.usda.gov/core/profile?symbol=VIPRP" TargetMode="External"/><Relationship Id="rId4725" Type="http://schemas.openxmlformats.org/officeDocument/2006/relationships/hyperlink" Target="https://en.wikipedia.org/wiki/Azolla_mexicana" TargetMode="External"/><Relationship Id="rId4932" Type="http://schemas.openxmlformats.org/officeDocument/2006/relationships/hyperlink" Target="https://en.wikipedia.org/wiki/Epilobium_minutum" TargetMode="External"/><Relationship Id="rId595" Type="http://schemas.openxmlformats.org/officeDocument/2006/relationships/hyperlink" Target="https://en.wikipedia.org/wiki/Sericocarpus_rigidus" TargetMode="External"/><Relationship Id="rId2276" Type="http://schemas.openxmlformats.org/officeDocument/2006/relationships/hyperlink" Target="http://plants.usda.gov/java/profile?symbol=CHGL5" TargetMode="External"/><Relationship Id="rId2483" Type="http://schemas.openxmlformats.org/officeDocument/2006/relationships/hyperlink" Target="http://plants.usda.gov/java/profile?symbol=ROGY" TargetMode="External"/><Relationship Id="rId2690" Type="http://schemas.openxmlformats.org/officeDocument/2006/relationships/hyperlink" Target="http://biology.burke.washington.edu/herbarium/imagecollectionnew/taxon.php?Taxon=Sorbus%20sitchensis" TargetMode="External"/><Relationship Id="rId3327" Type="http://schemas.openxmlformats.org/officeDocument/2006/relationships/hyperlink" Target="http://www.burkemuseum.org/research-and-collections/botany-and-herbarium/collections/database/results.php?Genus=Saxifraga&amp;Species=bronchialis&amp;SourcePage=search.php&amp;IncludeSynonyms=Y&amp;SortBy=DESC&amp;SortOrder=Year" TargetMode="External"/><Relationship Id="rId3534" Type="http://schemas.openxmlformats.org/officeDocument/2006/relationships/hyperlink" Target="http://www.burkemuseum.org/research-and-collections/botany-and-herbarium/collections/database/results.php?Genus=Montia&amp;Species=parvifolia&amp;SourcePage=search.php&amp;IncludeSynonyms=Y&amp;SortBy=DESC&amp;SortOrder=Year" TargetMode="External"/><Relationship Id="rId3741" Type="http://schemas.openxmlformats.org/officeDocument/2006/relationships/hyperlink" Target="https://plants.usda.gov/core/profile?symbol=CANU" TargetMode="External"/><Relationship Id="rId6897" Type="http://schemas.openxmlformats.org/officeDocument/2006/relationships/hyperlink" Target="http://biology.burke.washington.edu/herbarium/imagecollection/taxon.php?Taxon=Ranunculus%20aquatilis" TargetMode="External"/><Relationship Id="rId248" Type="http://schemas.openxmlformats.org/officeDocument/2006/relationships/hyperlink" Target="http://biology.burke.washington.edu/herbarium/imagecollection/taxon.php?Taxon=Galium%20trifidum" TargetMode="External"/><Relationship Id="rId455" Type="http://schemas.openxmlformats.org/officeDocument/2006/relationships/hyperlink" Target="http://biology.burke.washington.edu/herbarium/imagecollectionnew/taxon.php?Taxon=Dasiphora%20fruticosa" TargetMode="External"/><Relationship Id="rId662" Type="http://schemas.openxmlformats.org/officeDocument/2006/relationships/hyperlink" Target="https://en.wikipedia.org/wiki/Ranunculus_macounii" TargetMode="External"/><Relationship Id="rId1085" Type="http://schemas.openxmlformats.org/officeDocument/2006/relationships/hyperlink" Target="https://en.wikipedia.org/wiki/Neottia_cordata" TargetMode="External"/><Relationship Id="rId1292" Type="http://schemas.openxmlformats.org/officeDocument/2006/relationships/hyperlink" Target="http://biology.burke.washington.edu/herbarium/imagecollection/taxon.php?Taxon=Samolus%20parviflorus" TargetMode="External"/><Relationship Id="rId2136" Type="http://schemas.openxmlformats.org/officeDocument/2006/relationships/hyperlink" Target="https://plants.usda.gov/core/profile?symbol=GLST" TargetMode="External"/><Relationship Id="rId2343" Type="http://schemas.openxmlformats.org/officeDocument/2006/relationships/hyperlink" Target="http://plants.usda.gov/java/profile?symbol=CACI2" TargetMode="External"/><Relationship Id="rId2550" Type="http://schemas.openxmlformats.org/officeDocument/2006/relationships/hyperlink" Target="http://plants.usda.gov/java/profile?symbol=HECH" TargetMode="External"/><Relationship Id="rId3601" Type="http://schemas.openxmlformats.org/officeDocument/2006/relationships/hyperlink" Target="http://www.burkemuseum.org/research-and-collections/botany-and-herbarium/collections/database/results.php?Genus=Tolmiea&amp;Species=menziesii&amp;SourcePage=search.php&amp;IncludeSynonyms=Y&amp;SortBy=DESC&amp;SortOrder=Year" TargetMode="External"/><Relationship Id="rId5499" Type="http://schemas.openxmlformats.org/officeDocument/2006/relationships/hyperlink" Target="https://en.wikipedia.org/wiki/Vancouveria_hexandra" TargetMode="External"/><Relationship Id="rId6757" Type="http://schemas.openxmlformats.org/officeDocument/2006/relationships/hyperlink" Target="http://biology.burke.washington.edu/herbarium/imagecollection/taxon.php?Taxon=Juncus%20bolanderi" TargetMode="External"/><Relationship Id="rId6964" Type="http://schemas.openxmlformats.org/officeDocument/2006/relationships/hyperlink" Target="http://biology.burke.washington.edu/herbarium/imagecollection/taxon.php?Taxon=Huperzia%20occidentalis" TargetMode="External"/><Relationship Id="rId108" Type="http://schemas.openxmlformats.org/officeDocument/2006/relationships/hyperlink" Target="http://biology.burke.washington.edu/herbarium/imagecollection/taxon.php?Taxon=Nemophila%20parviflora" TargetMode="External"/><Relationship Id="rId315" Type="http://schemas.openxmlformats.org/officeDocument/2006/relationships/hyperlink" Target="http://biology.burke.washington.edu/herbarium/imagecollectionnew/taxon.php?Taxon=Betula%20papyrifera" TargetMode="External"/><Relationship Id="rId522" Type="http://schemas.openxmlformats.org/officeDocument/2006/relationships/hyperlink" Target="https://en.wikipedia.org/wiki/Vaccinium_uliginosum" TargetMode="External"/><Relationship Id="rId1152" Type="http://schemas.openxmlformats.org/officeDocument/2006/relationships/hyperlink" Target="https://en.wikipedia.org/wiki/Geranium_carolinianum" TargetMode="External"/><Relationship Id="rId2203" Type="http://schemas.openxmlformats.org/officeDocument/2006/relationships/hyperlink" Target="http://plants.usda.gov/java/profile?symbol=ELOV" TargetMode="External"/><Relationship Id="rId2410" Type="http://schemas.openxmlformats.org/officeDocument/2006/relationships/hyperlink" Target="https://plants.usda.gov/core/profile?symbol=AMLY" TargetMode="External"/><Relationship Id="rId5359" Type="http://schemas.openxmlformats.org/officeDocument/2006/relationships/hyperlink" Target="https://en.wikipedia.org/wiki/Salix_lemmonii" TargetMode="External"/><Relationship Id="rId5566" Type="http://schemas.openxmlformats.org/officeDocument/2006/relationships/hyperlink" Target="http://www.burkemuseum.org/research-and-collections/botany-and-herbarium/collections/database/results.php?Genus=Cardamine&amp;Species=nuttallii&amp;SourcePage=search.php&amp;IncludeSynonyms=Y&amp;SortBy=DESC&amp;SortOrder=Year" TargetMode="External"/><Relationship Id="rId5773" Type="http://schemas.openxmlformats.org/officeDocument/2006/relationships/hyperlink" Target="http://www.burkemuseum.org/research-and-collections/botany-and-herbarium/collections/database/results.php?Genus=Gamochaeta&amp;Species=ustulata&amp;SourcePage=search.php&amp;IncludeSynonyms=Y&amp;SortBy=DESC&amp;SortOrder=Year" TargetMode="External"/><Relationship Id="rId6617" Type="http://schemas.openxmlformats.org/officeDocument/2006/relationships/hyperlink" Target="http://biology.burke.washington.edu/herbarium/imagecollectionnew/taxon.php?Taxon=Utricularia%20minor" TargetMode="External"/><Relationship Id="rId1012" Type="http://schemas.openxmlformats.org/officeDocument/2006/relationships/hyperlink" Target="http://en.wikipedia.org/wiki/Angelica_hendersonii" TargetMode="External"/><Relationship Id="rId4168" Type="http://schemas.openxmlformats.org/officeDocument/2006/relationships/hyperlink" Target="https://plants.usda.gov/core/profile?symbol=LICO6" TargetMode="External"/><Relationship Id="rId4375" Type="http://schemas.openxmlformats.org/officeDocument/2006/relationships/hyperlink" Target="https://plants.usda.gov/core/profile?symbol=SAGR5" TargetMode="External"/><Relationship Id="rId5219" Type="http://schemas.openxmlformats.org/officeDocument/2006/relationships/hyperlink" Target="https://en.wikipedia.org/wiki/Philadelphus_lewisii" TargetMode="External"/><Relationship Id="rId5426" Type="http://schemas.openxmlformats.org/officeDocument/2006/relationships/hyperlink" Target="https://en.wikipedia.org/wiki/Spiraea_pyramidata" TargetMode="External"/><Relationship Id="rId5980" Type="http://schemas.openxmlformats.org/officeDocument/2006/relationships/hyperlink" Target="http://www.burkemuseum.org/research-and-collections/botany-and-herbarium/collections/database/results.php?Genus=Opuntia&amp;Species=fragilis&amp;SourcePage=search.php&amp;IncludeSynonyms=Y&amp;SortBy=DESC&amp;SortOrder=Year" TargetMode="External"/><Relationship Id="rId6824" Type="http://schemas.openxmlformats.org/officeDocument/2006/relationships/hyperlink" Target="http://biology.burke.washington.edu/herbarium/imagecollectionnew/taxon.php?Taxon=Carex%20rossii" TargetMode="External"/><Relationship Id="rId1969" Type="http://schemas.openxmlformats.org/officeDocument/2006/relationships/hyperlink" Target="https://plants.usda.gov/core/profile?symbol=PAFI3" TargetMode="External"/><Relationship Id="rId3184" Type="http://schemas.openxmlformats.org/officeDocument/2006/relationships/hyperlink" Target="http://www.burkemuseum.org/research-and-collections/botany-and-herbarium/collections/database/results.php?Genus=Packera&amp;Species=bolanderi&amp;SourcePage=search.php&amp;IncludeSynonyms=Y&amp;SortBy=DESC&amp;SortOrder=Year" TargetMode="External"/><Relationship Id="rId4028" Type="http://schemas.openxmlformats.org/officeDocument/2006/relationships/hyperlink" Target="https://plants.usda.gov/core/profile?symbol=IRMI" TargetMode="External"/><Relationship Id="rId4235" Type="http://schemas.openxmlformats.org/officeDocument/2006/relationships/hyperlink" Target="https://plants.usda.gov/core/profile?symbol=PITR3" TargetMode="External"/><Relationship Id="rId4582" Type="http://schemas.openxmlformats.org/officeDocument/2006/relationships/hyperlink" Target="http://www.burkemuseum.org/research-and-collections/botany-and-herbarium/collections/database/results.php?Genus=Achillea&amp;Species=millefolium&amp;SourcePage=search.php&amp;IncludeSynonyms=Y&amp;SortBy=DESC&amp;SortOrder=Year" TargetMode="External"/><Relationship Id="rId5633" Type="http://schemas.openxmlformats.org/officeDocument/2006/relationships/hyperlink" Target="http://www.burkemuseum.org/research-and-collections/botany-and-herbarium/collections/database/results.php?Genus=Circaea&amp;Species=alpina&amp;SourcePage=search.php&amp;IncludeSynonyms=Y&amp;SortBy=DESC&amp;SortOrder=Year" TargetMode="External"/><Relationship Id="rId5840" Type="http://schemas.openxmlformats.org/officeDocument/2006/relationships/hyperlink" Target="http://www.burkemuseum.org/research-and-collections/botany-and-herbarium/collections/database/results.php?Genus=Juncus&amp;Species=ensifolius&amp;SourcePage=search.php&amp;IncludeSynonyms=Y&amp;SortBy=DESC&amp;SortOrder=Year" TargetMode="External"/><Relationship Id="rId1829" Type="http://schemas.openxmlformats.org/officeDocument/2006/relationships/hyperlink" Target="https://plants.usda.gov/core/profile?symbol=sabr6" TargetMode="External"/><Relationship Id="rId3391" Type="http://schemas.openxmlformats.org/officeDocument/2006/relationships/hyperlink" Target="http://www.burkemuseum.org/research-and-collections/botany-and-herbarium/collections/database/results.php?Genus=Thalictrum&amp;Species=occidentale&amp;SourcePage=search.php&amp;IncludeSynonyms=Y&amp;SortBy=DESC&amp;SortOrder=Year" TargetMode="External"/><Relationship Id="rId4442" Type="http://schemas.openxmlformats.org/officeDocument/2006/relationships/hyperlink" Target="https://plants.usda.gov/core/profile?symbol=SUAQ" TargetMode="External"/><Relationship Id="rId5700" Type="http://schemas.openxmlformats.org/officeDocument/2006/relationships/hyperlink" Target="http://www.burkemuseum.org/research-and-collections/botany-and-herbarium/collections/database/results.php?Genus=Dodecatheon&amp;Species=pulchellum&amp;SourcePage=search.php&amp;IncludeSynonyms=Y&amp;SortBy=DESC&amp;SortOrder=Year" TargetMode="External"/><Relationship Id="rId3044" Type="http://schemas.openxmlformats.org/officeDocument/2006/relationships/hyperlink" Target="http://www.burkemuseum.org/research-and-collections/botany-and-herbarium/collections/database/results.php?Genus=Hordeum&amp;Species=depressum&amp;SourcePage=search.php&amp;IncludeSynonyms=Y&amp;SortBy=DESC&amp;SortOrder=Year" TargetMode="External"/><Relationship Id="rId3251" Type="http://schemas.openxmlformats.org/officeDocument/2006/relationships/hyperlink" Target="http://www.burkemuseum.org/research-and-collections/botany-and-herbarium/collections/database/results.php?Genus=Prosartes&amp;Species=hookeri&amp;SourcePage=search.php&amp;IncludeSynonyms=Y&amp;SortBy=DESC&amp;SortOrder=Year" TargetMode="External"/><Relationship Id="rId4302" Type="http://schemas.openxmlformats.org/officeDocument/2006/relationships/hyperlink" Target="https://plants.usda.gov/core/profile?symbol=RAUN" TargetMode="External"/><Relationship Id="rId172" Type="http://schemas.openxmlformats.org/officeDocument/2006/relationships/hyperlink" Target="http://biology.burke.washington.edu/herbarium/imagecollection/taxon.php?Taxon=Glyceria%20grandis" TargetMode="External"/><Relationship Id="rId2060" Type="http://schemas.openxmlformats.org/officeDocument/2006/relationships/hyperlink" Target="https://plants.usda.gov/core/profile?symbol=LICO6" TargetMode="External"/><Relationship Id="rId3111" Type="http://schemas.openxmlformats.org/officeDocument/2006/relationships/hyperlink" Target="http://www.burkemuseum.org/research-and-collections/botany-and-herbarium/collections/database/results.php?Genus=Lupinus&amp;Species=oreganus&amp;SourcePage=search.php&amp;IncludeSynonyms=Y&amp;SortBy=DESC&amp;SortOrder=Year" TargetMode="External"/><Relationship Id="rId6267" Type="http://schemas.openxmlformats.org/officeDocument/2006/relationships/hyperlink" Target="http://www.burkemuseum.org/research-and-collections/botany-and-herbarium/collections/database/results.php?Genus=Trifolium&amp;Species=variegatum&amp;SourcePage=search.php&amp;IncludeSynonyms=Y&amp;SortBy=DESC&amp;SortOrder=Year" TargetMode="External"/><Relationship Id="rId6474" Type="http://schemas.openxmlformats.org/officeDocument/2006/relationships/hyperlink" Target="http://biology.burke.washington.edu/herbarium/imagecollectionnew/taxon.php?Taxon=Eleocharis%20ovata" TargetMode="External"/><Relationship Id="rId6681" Type="http://schemas.openxmlformats.org/officeDocument/2006/relationships/hyperlink" Target="http://biology.burke.washington.edu/herbarium/imagecollection/taxon.php?Taxon=Potamogeton%20nodosus" TargetMode="External"/><Relationship Id="rId989" Type="http://schemas.openxmlformats.org/officeDocument/2006/relationships/hyperlink" Target="http://en.wikipedia.org/wiki/Athyrium_filix-femina" TargetMode="External"/><Relationship Id="rId2877" Type="http://schemas.openxmlformats.org/officeDocument/2006/relationships/hyperlink" Target="http://www.burkemuseum.org/research-and-collections/botany-and-herbarium/collections/database/results.php?Genus=Chimaphila&amp;Species=umbellata&amp;SourcePage=search.php&amp;IncludeSynonyms=Y&amp;SortBy=DESC&amp;SortOrder=Year" TargetMode="External"/><Relationship Id="rId5076" Type="http://schemas.openxmlformats.org/officeDocument/2006/relationships/hyperlink" Target="https://en.wikipedia.org/wiki/Lewisia_rediviva" TargetMode="External"/><Relationship Id="rId5283" Type="http://schemas.openxmlformats.org/officeDocument/2006/relationships/hyperlink" Target="https://en.wikipedia.org/wiki/Prunus_emarginata" TargetMode="External"/><Relationship Id="rId5490" Type="http://schemas.openxmlformats.org/officeDocument/2006/relationships/hyperlink" Target="https://en.wikipedia.org/wiki/Vaccinium_deliciosum" TargetMode="External"/><Relationship Id="rId6127" Type="http://schemas.openxmlformats.org/officeDocument/2006/relationships/hyperlink" Target="http://www.burkemuseum.org/research-and-collections/botany-and-herbarium/collections/database/results.php?Genus=Rosa&amp;Species=gymnocarpa&amp;SourcePage=search.php&amp;IncludeSynonyms=Y&amp;SortBy=DESC&amp;SortOrder=Year" TargetMode="External"/><Relationship Id="rId6334" Type="http://schemas.openxmlformats.org/officeDocument/2006/relationships/hyperlink" Target="https://plants.usda.gov/core/profile?symbol=DAPE" TargetMode="External"/><Relationship Id="rId6541" Type="http://schemas.openxmlformats.org/officeDocument/2006/relationships/hyperlink" Target="https://en.wikipedia.org/wiki/Juniperus_maritima" TargetMode="External"/><Relationship Id="rId849" Type="http://schemas.openxmlformats.org/officeDocument/2006/relationships/hyperlink" Target="http://en.wikipedia.org/wiki/Montia_diffusa" TargetMode="External"/><Relationship Id="rId1479" Type="http://schemas.openxmlformats.org/officeDocument/2006/relationships/hyperlink" Target="https://en.wikipedia.org/wiki/Tsuga_heterophylla" TargetMode="External"/><Relationship Id="rId1686" Type="http://schemas.openxmlformats.org/officeDocument/2006/relationships/hyperlink" Target="http://biology.burke.washington.edu/herbarium/imagecollectionnew/taxon.php?Taxon=Drymocallis%20glandulosa" TargetMode="External"/><Relationship Id="rId3928" Type="http://schemas.openxmlformats.org/officeDocument/2006/relationships/hyperlink" Target="https://plants.usda.gov/core/profile?symbol=EQVA" TargetMode="External"/><Relationship Id="rId4092" Type="http://schemas.openxmlformats.org/officeDocument/2006/relationships/hyperlink" Target="https://plants.usda.gov/core/profile?symbol=LUPA" TargetMode="External"/><Relationship Id="rId5143" Type="http://schemas.openxmlformats.org/officeDocument/2006/relationships/hyperlink" Target="https://en.wikipedia.org/wiki/Microsteris_gracilis" TargetMode="External"/><Relationship Id="rId5350" Type="http://schemas.openxmlformats.org/officeDocument/2006/relationships/hyperlink" Target="https://en.wikipedia.org/wiki/Salix_bebbiana" TargetMode="External"/><Relationship Id="rId6401" Type="http://schemas.openxmlformats.org/officeDocument/2006/relationships/hyperlink" Target="http://biology.burke.washington.edu/herbarium/imagecollectionnew/taxon.php?Taxon=Calamagrostis%20nutkaensis" TargetMode="External"/><Relationship Id="rId1339" Type="http://schemas.openxmlformats.org/officeDocument/2006/relationships/hyperlink" Target="http://biology.burke.washington.edu/herbarium/imagecollection/taxon.php?Taxon=Heuchera%20cylindrica" TargetMode="External"/><Relationship Id="rId1893" Type="http://schemas.openxmlformats.org/officeDocument/2006/relationships/hyperlink" Target="https://plants.usda.gov/core/profile?symbol=PYAS" TargetMode="External"/><Relationship Id="rId2737" Type="http://schemas.openxmlformats.org/officeDocument/2006/relationships/hyperlink" Target="http://www.burkemuseum.org/research-and-collections/botany-and-herbarium/collections/database/results.php?Genus=Allium&amp;Species=cernuum&amp;SourcePage=search.php&amp;IncludeSynonyms=Y&amp;SortBy=DESC&amp;SortOrder=Year" TargetMode="External"/><Relationship Id="rId2944" Type="http://schemas.openxmlformats.org/officeDocument/2006/relationships/hyperlink" Target="http://www.burkemuseum.org/research-and-collections/botany-and-herbarium/collections/database/results.php?Genus=Draba&amp;Species=cana&amp;SourcePage=search.php&amp;IncludeSynonyms=Y&amp;SortBy=DESC&amp;SortOrder=Year" TargetMode="External"/><Relationship Id="rId5003" Type="http://schemas.openxmlformats.org/officeDocument/2006/relationships/hyperlink" Target="https://en.wikipedia.org/wiki/Grindelia_hirsutula" TargetMode="External"/><Relationship Id="rId5210" Type="http://schemas.openxmlformats.org/officeDocument/2006/relationships/hyperlink" Target="https://en.wikipedia.org/wiki/Perideridia_montana" TargetMode="External"/><Relationship Id="rId709" Type="http://schemas.openxmlformats.org/officeDocument/2006/relationships/hyperlink" Target="https://en.wikipedia.org/wiki/Equisetum_variegatum" TargetMode="External"/><Relationship Id="rId916" Type="http://schemas.openxmlformats.org/officeDocument/2006/relationships/hyperlink" Target="http://en.wikipedia.org/wiki/Ceanothus_sanguineus" TargetMode="External"/><Relationship Id="rId1546" Type="http://schemas.openxmlformats.org/officeDocument/2006/relationships/hyperlink" Target="https://en.wikipedia.org/wiki/Phacelia_nemoralis" TargetMode="External"/><Relationship Id="rId1753" Type="http://schemas.openxmlformats.org/officeDocument/2006/relationships/hyperlink" Target="http://plants.usda.gov/java/profile?symbol=TRWI3" TargetMode="External"/><Relationship Id="rId1960" Type="http://schemas.openxmlformats.org/officeDocument/2006/relationships/hyperlink" Target="https://plants.usda.gov/core/profile?symbol=PEOR6" TargetMode="External"/><Relationship Id="rId2804" Type="http://schemas.openxmlformats.org/officeDocument/2006/relationships/hyperlink" Target="http://www.burkemuseum.org/research-and-collections/botany-and-herbarium/collections/database/results.php?Genus=Botrychium&amp;Species=virginianum&amp;SourcePage=search.php&amp;IncludeSynonyms=Y&amp;SortBy=DESC&amp;SortOrder=Year" TargetMode="External"/><Relationship Id="rId7175" Type="http://schemas.openxmlformats.org/officeDocument/2006/relationships/hyperlink" Target="http://biology.burke.washington.edu/herbarium/imagecollection/taxon.php?Taxon=Sagittaria%20latifolia" TargetMode="External"/><Relationship Id="rId45" Type="http://schemas.openxmlformats.org/officeDocument/2006/relationships/hyperlink" Target="http://biology.burke.washington.edu/herbarium/imagecollection/taxon.php?Taxon=Myosotis%20laxa" TargetMode="External"/><Relationship Id="rId1406" Type="http://schemas.openxmlformats.org/officeDocument/2006/relationships/hyperlink" Target="http://biology.burke.washington.edu/herbarium/imagecollection/taxon.php?Taxon=Penstemon%20serrulatus" TargetMode="External"/><Relationship Id="rId1613" Type="http://schemas.openxmlformats.org/officeDocument/2006/relationships/hyperlink" Target="https://en.wikipedia.org/wiki/Juniperus_maritima" TargetMode="External"/><Relationship Id="rId1820" Type="http://schemas.openxmlformats.org/officeDocument/2006/relationships/hyperlink" Target="http://plants.usda.gov/java/profile?symbol=SCLA" TargetMode="External"/><Relationship Id="rId4769" Type="http://schemas.openxmlformats.org/officeDocument/2006/relationships/hyperlink" Target="https://en.wikipedia.org/wiki/Canadanthus_modestus" TargetMode="External"/><Relationship Id="rId4976" Type="http://schemas.openxmlformats.org/officeDocument/2006/relationships/hyperlink" Target="https://en.wikipedia.org/wiki/Fritillaria_pudica" TargetMode="External"/><Relationship Id="rId3578" Type="http://schemas.openxmlformats.org/officeDocument/2006/relationships/hyperlink" Target="http://www.burkemuseum.org/research-and-collections/botany-and-herbarium/collections/database/results.php?Genus=Rubus&amp;Species=ursinus&amp;SourcePage=search.php&amp;IncludeSynonyms=Y&amp;SortBy=DESC&amp;SortOrder=Year" TargetMode="External"/><Relationship Id="rId3785" Type="http://schemas.openxmlformats.org/officeDocument/2006/relationships/hyperlink" Target="https://plants.usda.gov/core/profile?symbol=CAOB3" TargetMode="External"/><Relationship Id="rId3992" Type="http://schemas.openxmlformats.org/officeDocument/2006/relationships/hyperlink" Target="https://plants.usda.gov/core/profile?symbol=GRIN" TargetMode="External"/><Relationship Id="rId4629" Type="http://schemas.openxmlformats.org/officeDocument/2006/relationships/hyperlink" Target="http://www.burkemuseum.org/research-and-collections/botany-and-herbarium/collections/database/results.php?Genus=Aphyllon&amp;Species=californicum&amp;SourcePage=search.php&amp;IncludeSynonyms=Y&amp;SortBy=DESC&amp;SortOrder=Year" TargetMode="External"/><Relationship Id="rId4836" Type="http://schemas.openxmlformats.org/officeDocument/2006/relationships/hyperlink" Target="https://en.wikipedia.org/wiki/Chrysosplenium_glechomifolium" TargetMode="External"/><Relationship Id="rId6191" Type="http://schemas.openxmlformats.org/officeDocument/2006/relationships/hyperlink" Target="http://www.burkemuseum.org/research-and-collections/botany-and-herbarium/collections/database/results.php?Genus=Sedum&amp;Species=lanceolatum&amp;SourcePage=search.php&amp;IncludeSynonyms=Y&amp;SortBy=DESC&amp;SortOrder=Year" TargetMode="External"/><Relationship Id="rId7035" Type="http://schemas.openxmlformats.org/officeDocument/2006/relationships/hyperlink" Target="http://biology.burke.washington.edu/herbarium/imagecollectionnew/taxon.php?Taxon=Calamagrostis%20canadensis" TargetMode="External"/><Relationship Id="rId7242" Type="http://schemas.openxmlformats.org/officeDocument/2006/relationships/hyperlink" Target="http://biology.burke.washington.edu/herbarium/imagecollection/taxon.php?Taxon=Philadelphus%20lewisii" TargetMode="External"/><Relationship Id="rId499" Type="http://schemas.openxmlformats.org/officeDocument/2006/relationships/hyperlink" Target="http://en.wikipedia.org/wiki/Asclepias_fascicularis" TargetMode="External"/><Relationship Id="rId2387" Type="http://schemas.openxmlformats.org/officeDocument/2006/relationships/hyperlink" Target="http://plants.usda.gov/java/profile?symbol=ARCA3" TargetMode="External"/><Relationship Id="rId2594" Type="http://schemas.openxmlformats.org/officeDocument/2006/relationships/hyperlink" Target="https://plants.usda.gov/core/profile?symbol=ANMA26" TargetMode="External"/><Relationship Id="rId3438" Type="http://schemas.openxmlformats.org/officeDocument/2006/relationships/hyperlink" Target="http://www.burkemuseum.org/research-and-collections/botany-and-herbarium/collections/database/results.php?Genus=Viola&amp;Species=canadensis&amp;SourcePage=search.php&amp;IncludeSynonyms=Y&amp;SortBy=DESC&amp;SortOrder=Year" TargetMode="External"/><Relationship Id="rId3645" Type="http://schemas.openxmlformats.org/officeDocument/2006/relationships/hyperlink" Target="https://plants.usda.gov/core/profile?symbol=AGEX" TargetMode="External"/><Relationship Id="rId3852" Type="http://schemas.openxmlformats.org/officeDocument/2006/relationships/hyperlink" Target="https://plants.usda.gov/core/profile?symbol=COMA25" TargetMode="External"/><Relationship Id="rId6051" Type="http://schemas.openxmlformats.org/officeDocument/2006/relationships/hyperlink" Target="http://www.burkemuseum.org/research-and-collections/botany-and-herbarium/collections/database/results.php?Genus=Polygonum&amp;Species=paronychia&amp;SourcePage=search.php&amp;IncludeSynonyms=Y&amp;SortBy=DESC&amp;SortOrder=Year" TargetMode="External"/><Relationship Id="rId7102" Type="http://schemas.openxmlformats.org/officeDocument/2006/relationships/hyperlink" Target="http://biology.burke.washington.edu/herbarium/imagecollectionnew/taxon.php?Taxon=Tolmiea%20menziesii" TargetMode="External"/><Relationship Id="rId359" Type="http://schemas.openxmlformats.org/officeDocument/2006/relationships/hyperlink" Target="http://biology.burke.washington.edu/herbarium/imagecollectionnew/taxon.php?Taxon=Carex%20interrupta" TargetMode="External"/><Relationship Id="rId566" Type="http://schemas.openxmlformats.org/officeDocument/2006/relationships/hyperlink" Target="https://en.wikipedia.org/wiki/Streptopus_amplexifolius" TargetMode="External"/><Relationship Id="rId773" Type="http://schemas.openxmlformats.org/officeDocument/2006/relationships/hyperlink" Target="https://en.wikipedia.org/wiki/Potamogeton_gramineus" TargetMode="External"/><Relationship Id="rId1196" Type="http://schemas.openxmlformats.org/officeDocument/2006/relationships/hyperlink" Target="http://biology.burke.washington.edu/herbarium/imagecollectionnew/taxon.php?Taxon=Thuja%20plicata" TargetMode="External"/><Relationship Id="rId2247" Type="http://schemas.openxmlformats.org/officeDocument/2006/relationships/hyperlink" Target="http://plants.usda.gov/java/profile?symbol=COST19" TargetMode="External"/><Relationship Id="rId2454" Type="http://schemas.openxmlformats.org/officeDocument/2006/relationships/hyperlink" Target="http://plants.usda.gov/java/profile?symbol=TRBOL" TargetMode="External"/><Relationship Id="rId3505" Type="http://schemas.openxmlformats.org/officeDocument/2006/relationships/hyperlink" Target="http://www.burkemuseum.org/research-and-collections/botany-and-herbarium/collections/database/results.php?Genus=Grindelia&amp;Species=hirsutula&amp;SourcePage=search.php&amp;IncludeSynonyms=Y&amp;SortBy=DESC&amp;SortOrder=Year" TargetMode="External"/><Relationship Id="rId4903" Type="http://schemas.openxmlformats.org/officeDocument/2006/relationships/hyperlink" Target="https://en.wikipedia.org/wiki/Dichelostemma_congestum" TargetMode="External"/><Relationship Id="rId219" Type="http://schemas.openxmlformats.org/officeDocument/2006/relationships/hyperlink" Target="http://biology.burke.washington.edu/herbarium/imagecollection/taxon.php?Taxon=Lindernia%20dubia" TargetMode="External"/><Relationship Id="rId426" Type="http://schemas.openxmlformats.org/officeDocument/2006/relationships/hyperlink" Target="http://biology.burke.washington.edu/herbarium/imagecollectionnew/taxon.php?Taxon=Ceratophyllum%20demersum" TargetMode="External"/><Relationship Id="rId633" Type="http://schemas.openxmlformats.org/officeDocument/2006/relationships/hyperlink" Target="https://en.wikipedia.org/wiki/Salix_barclayi" TargetMode="External"/><Relationship Id="rId980" Type="http://schemas.openxmlformats.org/officeDocument/2006/relationships/hyperlink" Target="http://en.wikipedia.org/wiki/Betula_papyrifera" TargetMode="External"/><Relationship Id="rId1056" Type="http://schemas.openxmlformats.org/officeDocument/2006/relationships/hyperlink" Target="https://en.wikipedia.org/wiki/Corallorhiza_striata" TargetMode="External"/><Relationship Id="rId1263" Type="http://schemas.openxmlformats.org/officeDocument/2006/relationships/hyperlink" Target="http://biology.burke.washington.edu/herbarium/imagecollection/taxon.php?Taxon=Microseris%20borealis" TargetMode="External"/><Relationship Id="rId2107" Type="http://schemas.openxmlformats.org/officeDocument/2006/relationships/hyperlink" Target="https://plants.usda.gov/core/profile?symbol=HYMA2" TargetMode="External"/><Relationship Id="rId2314" Type="http://schemas.openxmlformats.org/officeDocument/2006/relationships/hyperlink" Target="http://plants.usda.gov/java/profile?symbol=CAIN9" TargetMode="External"/><Relationship Id="rId2661" Type="http://schemas.openxmlformats.org/officeDocument/2006/relationships/hyperlink" Target="http://biology.burke.washington.edu/herbarium/imagecollectionnew/taxon.php?Taxon=Sanicula%20graveolens" TargetMode="External"/><Relationship Id="rId3712" Type="http://schemas.openxmlformats.org/officeDocument/2006/relationships/hyperlink" Target="https://plants.usda.gov/core/profile?symbol=AZME" TargetMode="External"/><Relationship Id="rId6868" Type="http://schemas.openxmlformats.org/officeDocument/2006/relationships/hyperlink" Target="http://biology.burke.washington.edu/herbarium/imagecollectionnew/taxon.php?Taxon=Zannichellia%20palustris" TargetMode="External"/><Relationship Id="rId840" Type="http://schemas.openxmlformats.org/officeDocument/2006/relationships/hyperlink" Target="https://en.wikipedia.org/wiki/Myriophyllum_sibiricum" TargetMode="External"/><Relationship Id="rId1470" Type="http://schemas.openxmlformats.org/officeDocument/2006/relationships/hyperlink" Target="https://en.wikipedia.org/wiki/Viola_sempervirens" TargetMode="External"/><Relationship Id="rId2521" Type="http://schemas.openxmlformats.org/officeDocument/2006/relationships/hyperlink" Target="http://plants.usda.gov/java/profile?symbol=MOCA6" TargetMode="External"/><Relationship Id="rId4279" Type="http://schemas.openxmlformats.org/officeDocument/2006/relationships/hyperlink" Target="https://plants.usda.gov/core/profile?symbol=PREM" TargetMode="External"/><Relationship Id="rId5677" Type="http://schemas.openxmlformats.org/officeDocument/2006/relationships/hyperlink" Target="http://www.burkemuseum.org/research-and-collections/botany-and-herbarium/collections/database/results.php?Genus=Cypripedium&amp;Species=montanum&amp;SourcePage=search.php&amp;IncludeSynonyms=Y&amp;SortBy=DESC&amp;SortOrder=Year" TargetMode="External"/><Relationship Id="rId5884" Type="http://schemas.openxmlformats.org/officeDocument/2006/relationships/hyperlink" Target="http://www.burkemuseum.org/research-and-collections/botany-and-herbarium/collections/database/results.php?Genus=Lomatium&amp;Species=dissectum&amp;SourcePage=search.php&amp;IncludeSynonyms=Y&amp;SortBy=DESC&amp;SortOrder=Year" TargetMode="External"/><Relationship Id="rId6728" Type="http://schemas.openxmlformats.org/officeDocument/2006/relationships/hyperlink" Target="http://biology.burke.washington.edu/herbarium/imagecollection/taxon.php?Taxon=Microseris%20laciniata" TargetMode="External"/><Relationship Id="rId6935" Type="http://schemas.openxmlformats.org/officeDocument/2006/relationships/hyperlink" Target="http://biology.burke.washington.edu/herbarium/imagecollection/taxon.php?Taxon=Mentha%20spicata" TargetMode="External"/><Relationship Id="rId700" Type="http://schemas.openxmlformats.org/officeDocument/2006/relationships/hyperlink" Target="https://en.wikipedia.org/wiki/Erysimum_capitatum" TargetMode="External"/><Relationship Id="rId1123" Type="http://schemas.openxmlformats.org/officeDocument/2006/relationships/hyperlink" Target="https://en.wikipedia.org/wiki/Juncus_acuminatus" TargetMode="External"/><Relationship Id="rId1330" Type="http://schemas.openxmlformats.org/officeDocument/2006/relationships/hyperlink" Target="https://en.wikipedia.org/wiki/Metasequoia_glyptostroboides" TargetMode="External"/><Relationship Id="rId3088" Type="http://schemas.openxmlformats.org/officeDocument/2006/relationships/hyperlink" Target="http://www.burkemuseum.org/research-and-collections/botany-and-herbarium/collections/database/results.php?Genus=Lewisia&amp;Species=columbiana&amp;SourcePage=search.php&amp;IncludeSynonyms=Y&amp;SortBy=DESC&amp;SortOrder=Year" TargetMode="External"/><Relationship Id="rId4486" Type="http://schemas.openxmlformats.org/officeDocument/2006/relationships/hyperlink" Target="https://plants.usda.gov/core/profile?symbol=utgi" TargetMode="External"/><Relationship Id="rId4693" Type="http://schemas.openxmlformats.org/officeDocument/2006/relationships/hyperlink" Target="https://en.wikipedia.org/wiki/Anticlea_occidentalis" TargetMode="External"/><Relationship Id="rId5537" Type="http://schemas.openxmlformats.org/officeDocument/2006/relationships/hyperlink" Target="https://en.wikipedia.org/wiki/Lathyrus_torreyi" TargetMode="External"/><Relationship Id="rId5744" Type="http://schemas.openxmlformats.org/officeDocument/2006/relationships/hyperlink" Target="http://www.burkemuseum.org/research-and-collections/botany-and-herbarium/collections/database/results.php?Genus=Erythranthe&amp;Species=lewisii&amp;SourcePage=search.php&amp;IncludeSynonyms=Y&amp;SortBy=DESC&amp;SortOrder=Year" TargetMode="External"/><Relationship Id="rId5951" Type="http://schemas.openxmlformats.org/officeDocument/2006/relationships/hyperlink" Target="http://www.burkemuseum.org/research-and-collections/botany-and-herbarium/collections/database/results.php?Genus=Montia&amp;Species=howellii&amp;SourcePage=search.php&amp;IncludeSynonyms=Y&amp;SortBy=DESC&amp;SortOrder=Year" TargetMode="External"/><Relationship Id="rId3295" Type="http://schemas.openxmlformats.org/officeDocument/2006/relationships/hyperlink" Target="http://www.burkemuseum.org/research-and-collections/botany-and-herbarium/collections/database/results.php?Genus=Rudbeckia&amp;Species=occidentalis&amp;SourcePage=search.php&amp;IncludeSynonyms=Y&amp;SortBy=DESC&amp;SortOrder=Year" TargetMode="External"/><Relationship Id="rId4139" Type="http://schemas.openxmlformats.org/officeDocument/2006/relationships/hyperlink" Target="https://plants.usda.gov/core/profile?symbol=MILA" TargetMode="External"/><Relationship Id="rId4346" Type="http://schemas.openxmlformats.org/officeDocument/2006/relationships/hyperlink" Target="https://plants.usda.gov/core/profile?symbol=SALA2" TargetMode="External"/><Relationship Id="rId4553" Type="http://schemas.openxmlformats.org/officeDocument/2006/relationships/hyperlink" Target="https://en.wikipedia.org/wiki/Agrostis_pallens" TargetMode="External"/><Relationship Id="rId4760" Type="http://schemas.openxmlformats.org/officeDocument/2006/relationships/hyperlink" Target="https://en.wikipedia.org/wiki/Caltha_leptosepala" TargetMode="External"/><Relationship Id="rId5604" Type="http://schemas.openxmlformats.org/officeDocument/2006/relationships/hyperlink" Target="http://www.burkemuseum.org/research-and-collections/botany-and-herbarium/collections/database/results.php?Genus=Carex&amp;Species=unilateralis&amp;SourcePage=search.php&amp;IncludeSynonyms=Y&amp;SortBy=DESC&amp;SortOrder=Year" TargetMode="External"/><Relationship Id="rId5811" Type="http://schemas.openxmlformats.org/officeDocument/2006/relationships/hyperlink" Target="http://www.burkemuseum.org/research-and-collections/botany-and-herbarium/collections/database/results.php?Genus=Holodiscus&amp;Species=discolor&amp;SourcePage=search.php&amp;IncludeSynonyms=Y&amp;SortBy=DESC&amp;SortOrder=Year" TargetMode="External"/><Relationship Id="rId3155" Type="http://schemas.openxmlformats.org/officeDocument/2006/relationships/hyperlink" Target="http://www.burkemuseum.org/research-and-collections/botany-and-herbarium/collections/database/results.php?Genus=Myosotis&amp;Species=laxa&amp;SourcePage=search.php&amp;IncludeSynonyms=Y&amp;SortBy=DESC&amp;SortOrder=Year" TargetMode="External"/><Relationship Id="rId3362" Type="http://schemas.openxmlformats.org/officeDocument/2006/relationships/hyperlink" Target="http://www.burkemuseum.org/research-and-collections/botany-and-herbarium/collections/database/results.php?Genus=Sparganium&amp;Species=natans&amp;SourcePage=search.php&amp;IncludeSynonyms=Y&amp;SortBy=DESC&amp;SortOrder=Year" TargetMode="External"/><Relationship Id="rId4206" Type="http://schemas.openxmlformats.org/officeDocument/2006/relationships/hyperlink" Target="https://plants.usda.gov/core/profile?symbol=PETR7" TargetMode="External"/><Relationship Id="rId4413" Type="http://schemas.openxmlformats.org/officeDocument/2006/relationships/hyperlink" Target="https://plants.usda.gov/core/profile?symbol=SOSI3" TargetMode="External"/><Relationship Id="rId4620" Type="http://schemas.openxmlformats.org/officeDocument/2006/relationships/hyperlink" Target="http://www.burkemuseum.org/research-and-collections/botany-and-herbarium/collections/database/results.php?Genus=Anemone&amp;Species=oregana&amp;SourcePage=search.php&amp;IncludeSynonyms=Y&amp;SortBy=DESC&amp;SortOrder=Year" TargetMode="External"/><Relationship Id="rId283" Type="http://schemas.openxmlformats.org/officeDocument/2006/relationships/hyperlink" Target="http://biology.burke.washington.edu/herbarium/imagecollection/taxon.php?Taxon=Aconitum%20columbianum" TargetMode="External"/><Relationship Id="rId490" Type="http://schemas.openxmlformats.org/officeDocument/2006/relationships/hyperlink" Target="http://biology.burke.washington.edu/herbarium/imagecollection/taxon.php?Taxon=Epilobium%20torreyi" TargetMode="External"/><Relationship Id="rId2171" Type="http://schemas.openxmlformats.org/officeDocument/2006/relationships/hyperlink" Target="https://plants.usda.gov/core/profile?symbol=MIGU" TargetMode="External"/><Relationship Id="rId3015" Type="http://schemas.openxmlformats.org/officeDocument/2006/relationships/hyperlink" Target="http://www.burkemuseum.org/research-and-collections/botany-and-herbarium/collections/database/results.php?Genus=Geranium&amp;Species=oreganum&amp;SourcePage=search.php&amp;IncludeSynonyms=Y&amp;SortBy=DESC&amp;SortOrder=Year" TargetMode="External"/><Relationship Id="rId3222" Type="http://schemas.openxmlformats.org/officeDocument/2006/relationships/hyperlink" Target="http://www.burkemuseum.org/research-and-collections/botany-and-herbarium/collections/database/results.php?Genus=Poa&amp;Species=paucispicula&amp;SourcePage=search.php&amp;IncludeSynonyms=Y&amp;SortBy=DESC&amp;SortOrder=Year" TargetMode="External"/><Relationship Id="rId6378" Type="http://schemas.openxmlformats.org/officeDocument/2006/relationships/hyperlink" Target="http://biology.burke.washington.edu/herbarium/imagecollectionnew/taxon.php?Taxon=Armeria%20maritima" TargetMode="External"/><Relationship Id="rId6585" Type="http://schemas.openxmlformats.org/officeDocument/2006/relationships/hyperlink" Target="http://biology.burke.washington.edu/herbarium/imagecollectionnew/taxon.php?Taxon=Myriopteris%20gracillima" TargetMode="External"/><Relationship Id="rId143" Type="http://schemas.openxmlformats.org/officeDocument/2006/relationships/hyperlink" Target="http://biology.burke.washington.edu/herbarium/imagecollection/taxon.php?Taxon=Luzula%20multiflora" TargetMode="External"/><Relationship Id="rId350" Type="http://schemas.openxmlformats.org/officeDocument/2006/relationships/hyperlink" Target="http://biology.burke.washington.edu/herbarium/imagecollectionnew/taxon.php?Taxon=Carex%20athrostachya" TargetMode="External"/><Relationship Id="rId2031" Type="http://schemas.openxmlformats.org/officeDocument/2006/relationships/hyperlink" Target="http://plants.usda.gov/java/profile?symbol=MAGR3" TargetMode="External"/><Relationship Id="rId5187" Type="http://schemas.openxmlformats.org/officeDocument/2006/relationships/hyperlink" Target="https://en.wikipedia.org/wiki/Oxalis_oregana" TargetMode="External"/><Relationship Id="rId5394" Type="http://schemas.openxmlformats.org/officeDocument/2006/relationships/hyperlink" Target="https://en.wikipedia.org/wiki/Selaginella_oregana" TargetMode="External"/><Relationship Id="rId6238" Type="http://schemas.openxmlformats.org/officeDocument/2006/relationships/hyperlink" Target="http://www.burkemuseum.org/research-and-collections/botany-and-herbarium/collections/database/results.php?Genus=Stuckenia&amp;Species=filiformis&amp;SourcePage=search.php&amp;IncludeSynonyms=Y&amp;SortBy=DESC&amp;SortOrder=Year" TargetMode="External"/><Relationship Id="rId6445" Type="http://schemas.openxmlformats.org/officeDocument/2006/relationships/hyperlink" Target="http://biology.burke.washington.edu/herbarium/imagecollectionnew/taxon.php?Taxon=Corylus%20cornuta" TargetMode="External"/><Relationship Id="rId6792" Type="http://schemas.openxmlformats.org/officeDocument/2006/relationships/hyperlink" Target="http://biology.burke.washington.edu/herbarium/imagecollection/taxon.php?Taxon=Elodea%20nuttallii" TargetMode="External"/><Relationship Id="rId9" Type="http://schemas.openxmlformats.org/officeDocument/2006/relationships/hyperlink" Target="http://biology.burke.washington.edu/herbarium/imagecollection/taxon.php?Taxon=Osmorhiza%20berteroi" TargetMode="External"/><Relationship Id="rId210" Type="http://schemas.openxmlformats.org/officeDocument/2006/relationships/hyperlink" Target="http://biology.burke.washington.edu/herbarium/imagecollection/taxon.php?Taxon=Galium%20boreale" TargetMode="External"/><Relationship Id="rId2988" Type="http://schemas.openxmlformats.org/officeDocument/2006/relationships/hyperlink" Target="http://www.burkemuseum.org/research-and-collections/botany-and-herbarium/collections/database/results.php?Genus=Erythronium&amp;Species=grandiflorum&amp;SourcePage=search.php&amp;IncludeSynonyms=Y&amp;SortBy=DESC&amp;SortOrder=Year" TargetMode="External"/><Relationship Id="rId5047" Type="http://schemas.openxmlformats.org/officeDocument/2006/relationships/hyperlink" Target="https://en.wikipedia.org/wiki/Juncus_bolanderi" TargetMode="External"/><Relationship Id="rId5254" Type="http://schemas.openxmlformats.org/officeDocument/2006/relationships/hyperlink" Target="https://en.wikipedia.org/wiki/Polygonum_spergulariiforme" TargetMode="External"/><Relationship Id="rId6652" Type="http://schemas.openxmlformats.org/officeDocument/2006/relationships/hyperlink" Target="http://biology.burke.washington.edu/herbarium/imagecollectionnew/taxon.php?Taxon=Sericocarpus%20rigidus" TargetMode="External"/><Relationship Id="rId1797" Type="http://schemas.openxmlformats.org/officeDocument/2006/relationships/hyperlink" Target="http://plants.usda.gov/java/profile?symbol=SPEM2" TargetMode="External"/><Relationship Id="rId2848" Type="http://schemas.openxmlformats.org/officeDocument/2006/relationships/hyperlink" Target="http://www.burkemuseum.org/research-and-collections/botany-and-herbarium/collections/database/results.php?Genus=Carex&amp;Species=pauciflora&amp;SourcePage=search.php&amp;IncludeSynonyms=Y&amp;SortBy=DESC&amp;SortOrder=Year" TargetMode="External"/><Relationship Id="rId5461" Type="http://schemas.openxmlformats.org/officeDocument/2006/relationships/hyperlink" Target="https://en.wikipedia.org/wiki/Torreyochloa_pallida" TargetMode="External"/><Relationship Id="rId6305" Type="http://schemas.openxmlformats.org/officeDocument/2006/relationships/hyperlink" Target="http://www.burkemuseum.org/research-and-collections/botany-and-herbarium/collections/database/results.php?Genus=Viburnum&amp;Species=ellipticum&amp;SourcePage=search.php&amp;IncludeSynonyms=Y&amp;SortBy=DESC&amp;SortOrder=Year" TargetMode="External"/><Relationship Id="rId6512" Type="http://schemas.openxmlformats.org/officeDocument/2006/relationships/hyperlink" Target="http://biology.burke.washington.edu/herbarium/imagecollection/taxon.php?Taxon=Gaillardia%20aristata" TargetMode="External"/><Relationship Id="rId89" Type="http://schemas.openxmlformats.org/officeDocument/2006/relationships/hyperlink" Target="http://biology.burke.washington.edu/herbarium/imagecollection/taxon.php?Taxon=Myriophyllum%20quitense" TargetMode="External"/><Relationship Id="rId1657" Type="http://schemas.openxmlformats.org/officeDocument/2006/relationships/hyperlink" Target="http://biology.burke.washington.edu/herbarium/imagecollectionnew/taxon.php?Taxon=Sedum%20oreganum" TargetMode="External"/><Relationship Id="rId1864" Type="http://schemas.openxmlformats.org/officeDocument/2006/relationships/hyperlink" Target="http://plants.usda.gov/java/profile?symbol=RUPA" TargetMode="External"/><Relationship Id="rId2708" Type="http://schemas.openxmlformats.org/officeDocument/2006/relationships/hyperlink" Target="http://biology.burke.washington.edu/herbarium/imagecollectionnew/taxon.php?Taxon=Saxifraga%20mertensiana" TargetMode="External"/><Relationship Id="rId2915" Type="http://schemas.openxmlformats.org/officeDocument/2006/relationships/hyperlink" Target="http://www.burkemuseum.org/research-and-collections/botany-and-herbarium/collections/database/results.php?Genus=Crassula&amp;Species=connata&amp;SourcePage=search.php&amp;IncludeSynonyms=Y&amp;SortBy=DESC&amp;SortOrder=Year" TargetMode="External"/><Relationship Id="rId4063" Type="http://schemas.openxmlformats.org/officeDocument/2006/relationships/hyperlink" Target="https://plants.usda.gov/core/profile?symbol=LEOR" TargetMode="External"/><Relationship Id="rId4270" Type="http://schemas.openxmlformats.org/officeDocument/2006/relationships/hyperlink" Target="https://plants.usda.gov/core/profile?symbol=PORO2" TargetMode="External"/><Relationship Id="rId5114" Type="http://schemas.openxmlformats.org/officeDocument/2006/relationships/hyperlink" Target="https://en.wikipedia.org/wiki/Lysimachia_europaea" TargetMode="External"/><Relationship Id="rId5321" Type="http://schemas.openxmlformats.org/officeDocument/2006/relationships/hyperlink" Target="https://en.wikipedia.org/wiki/Ribes_lobbii" TargetMode="External"/><Relationship Id="rId1517" Type="http://schemas.openxmlformats.org/officeDocument/2006/relationships/hyperlink" Target="https://en.wikipedia.org/wiki/Rhododendron_columbianum" TargetMode="External"/><Relationship Id="rId1724" Type="http://schemas.openxmlformats.org/officeDocument/2006/relationships/hyperlink" Target="http://plants.usda.gov/java/profile?symbol=VESC2" TargetMode="External"/><Relationship Id="rId4130" Type="http://schemas.openxmlformats.org/officeDocument/2006/relationships/hyperlink" Target="https://plants.usda.gov/core/profile?symbol=METR3" TargetMode="External"/><Relationship Id="rId7079" Type="http://schemas.openxmlformats.org/officeDocument/2006/relationships/hyperlink" Target="http://biology.burke.washington.edu/herbarium/imagecollectionnew/taxon.php?Taxon=Viburnum%20ellipticum" TargetMode="External"/><Relationship Id="rId16" Type="http://schemas.openxmlformats.org/officeDocument/2006/relationships/hyperlink" Target="http://biology.burke.washington.edu/herbarium/imagecollection/taxon.php?Taxon=Eriophyllum%20lanatum" TargetMode="External"/><Relationship Id="rId1931" Type="http://schemas.openxmlformats.org/officeDocument/2006/relationships/hyperlink" Target="https://plants.usda.gov/core/profile?symbol=popu3" TargetMode="External"/><Relationship Id="rId3689" Type="http://schemas.openxmlformats.org/officeDocument/2006/relationships/hyperlink" Target="https://plants.usda.gov/core/profile?symbol=ARCO3" TargetMode="External"/><Relationship Id="rId3896" Type="http://schemas.openxmlformats.org/officeDocument/2006/relationships/hyperlink" Target="https://plants.usda.gov/core/profile?symbol=DOPU" TargetMode="External"/><Relationship Id="rId6095" Type="http://schemas.openxmlformats.org/officeDocument/2006/relationships/hyperlink" Target="http://www.burkemuseum.org/research-and-collections/botany-and-herbarium/collections/database/results.php?Genus=Quercus&amp;Species=garryana&amp;SourcePage=search.php&amp;IncludeSynonyms=Y&amp;SortBy=DESC&amp;SortOrder=Year" TargetMode="External"/><Relationship Id="rId7146" Type="http://schemas.openxmlformats.org/officeDocument/2006/relationships/hyperlink" Target="http://biology.burke.washington.edu/herbarium/imagecollection/taxon.php?Taxon=Scutellaria%20lateriflora" TargetMode="External"/><Relationship Id="rId2498" Type="http://schemas.openxmlformats.org/officeDocument/2006/relationships/hyperlink" Target="http://plants.usda.gov/java/profile?symbol=POGL8" TargetMode="External"/><Relationship Id="rId3549" Type="http://schemas.openxmlformats.org/officeDocument/2006/relationships/hyperlink" Target="http://www.burkemuseum.org/research-and-collections/botany-and-herbarium/collections/database/results.php?Genus=Phacelia&amp;Species=nemoralis&amp;SourcePage=search.php&amp;IncludeSynonyms=Y&amp;SortBy=DESC&amp;SortOrder=Year" TargetMode="External"/><Relationship Id="rId4947" Type="http://schemas.openxmlformats.org/officeDocument/2006/relationships/hyperlink" Target="https://en.wikipedia.org/wiki/Eriophyllum_lanatum" TargetMode="External"/><Relationship Id="rId6162" Type="http://schemas.openxmlformats.org/officeDocument/2006/relationships/hyperlink" Target="http://www.burkemuseum.org/research-and-collections/botany-and-herbarium/collections/database/results.php?Genus=Salix&amp;Species=planifolia&amp;SourcePage=search.php&amp;IncludeSynonyms=Y&amp;SortBy=DESC&amp;SortOrder=Year" TargetMode="External"/><Relationship Id="rId7006" Type="http://schemas.openxmlformats.org/officeDocument/2006/relationships/hyperlink" Target="http://biology.burke.washington.edu/herbarium/imagecollectionnew/taxon.php?Taxon=Claytonia%20lanceolata" TargetMode="External"/><Relationship Id="rId7213" Type="http://schemas.openxmlformats.org/officeDocument/2006/relationships/hyperlink" Target="http://biology.burke.washington.edu/herbarium/imagecollection/taxon.php?Taxon=Prunella%20vulgaris" TargetMode="External"/><Relationship Id="rId677" Type="http://schemas.openxmlformats.org/officeDocument/2006/relationships/hyperlink" Target="https://en.wikipedia.org/wiki/Pseudognaphalium" TargetMode="External"/><Relationship Id="rId2358" Type="http://schemas.openxmlformats.org/officeDocument/2006/relationships/hyperlink" Target="https://plants.usda.gov/core/profile?symbol=BIVU" TargetMode="External"/><Relationship Id="rId3756" Type="http://schemas.openxmlformats.org/officeDocument/2006/relationships/hyperlink" Target="https://plants.usda.gov/core/profile?symbol=CAMO32" TargetMode="External"/><Relationship Id="rId3963" Type="http://schemas.openxmlformats.org/officeDocument/2006/relationships/hyperlink" Target="https://plants.usda.gov/core/profile?symbol=FRCA5" TargetMode="External"/><Relationship Id="rId4807" Type="http://schemas.openxmlformats.org/officeDocument/2006/relationships/hyperlink" Target="https://en.wikipedia.org/wiki/Carex_stipata" TargetMode="External"/><Relationship Id="rId6022" Type="http://schemas.openxmlformats.org/officeDocument/2006/relationships/hyperlink" Target="http://www.burkemuseum.org/research-and-collections/botany-and-herbarium/collections/database/results.php?Genus=Pinus&amp;Species=albicaulis&amp;SourcePage=search.php&amp;IncludeSynonyms=Y&amp;SortBy=DESC&amp;SortOrder=Year" TargetMode="External"/><Relationship Id="rId884" Type="http://schemas.openxmlformats.org/officeDocument/2006/relationships/hyperlink" Target="https://en.wikipedia.org/wiki/Collomia_linearis" TargetMode="External"/><Relationship Id="rId2565" Type="http://schemas.openxmlformats.org/officeDocument/2006/relationships/hyperlink" Target="http://plants.usda.gov/java/profile?symbol=DICO19" TargetMode="External"/><Relationship Id="rId2772" Type="http://schemas.openxmlformats.org/officeDocument/2006/relationships/hyperlink" Target="http://www.burkemuseum.org/research-and-collections/botany-and-herbarium/collections/database/results.php?Genus=Arnica&amp;Species=cordifolia&amp;SourcePage=search.php&amp;IncludeSynonyms=Y&amp;SortBy=DESC&amp;SortOrder=Year" TargetMode="External"/><Relationship Id="rId3409" Type="http://schemas.openxmlformats.org/officeDocument/2006/relationships/hyperlink" Target="http://www.burkemuseum.org/research-and-collections/botany-and-herbarium/collections/database/results.php?Genus=Triodanis&amp;Species=perfoliata&amp;SourcePage=search.php&amp;IncludeSynonyms=Y&amp;SortBy=DESC&amp;SortOrder=Year" TargetMode="External"/><Relationship Id="rId3616" Type="http://schemas.openxmlformats.org/officeDocument/2006/relationships/hyperlink" Target="http://www.burkemuseum.org/research-and-collections/botany-and-herbarium/collections/database/results.php?Genus=Zeltnera&amp;Species=muehlenbergii&amp;SourcePage=search.php&amp;IncludeSynonyms=Y&amp;SortBy=DESC&amp;SortOrder=Year" TargetMode="External"/><Relationship Id="rId3823" Type="http://schemas.openxmlformats.org/officeDocument/2006/relationships/hyperlink" Target="https://plants.usda.gov/core/profile?symbol=CHGL5" TargetMode="External"/><Relationship Id="rId6979" Type="http://schemas.openxmlformats.org/officeDocument/2006/relationships/hyperlink" Target="http://biology.burke.washington.edu/herbarium/imagecollection/taxon.php?Taxon=Fritillaria%20camschatcensis" TargetMode="External"/><Relationship Id="rId537" Type="http://schemas.openxmlformats.org/officeDocument/2006/relationships/hyperlink" Target="https://en.wikipedia.org/wiki/Triodanis_biflora" TargetMode="External"/><Relationship Id="rId744" Type="http://schemas.openxmlformats.org/officeDocument/2006/relationships/hyperlink" Target="https://en.wikipedia.org/wiki/Delphinium_leucophaeum" TargetMode="External"/><Relationship Id="rId951" Type="http://schemas.openxmlformats.org/officeDocument/2006/relationships/hyperlink" Target="https://en.wikipedia.org/wiki/Cardamine_breweri" TargetMode="External"/><Relationship Id="rId1167" Type="http://schemas.openxmlformats.org/officeDocument/2006/relationships/hyperlink" Target="https://en.wikipedia.org/wiki/Helianthus_annuus" TargetMode="External"/><Relationship Id="rId1374" Type="http://schemas.openxmlformats.org/officeDocument/2006/relationships/hyperlink" Target="http://biology.burke.washington.edu/herbarium/imagecollection/taxon.php?Taxon=Ribes%20bracteosum" TargetMode="External"/><Relationship Id="rId1581" Type="http://schemas.openxmlformats.org/officeDocument/2006/relationships/hyperlink" Target="https://en.wikipedia.org/wiki/Betula_pumila" TargetMode="External"/><Relationship Id="rId2218" Type="http://schemas.openxmlformats.org/officeDocument/2006/relationships/hyperlink" Target="http://plants.usda.gov/java/profile?symbol=DEEL" TargetMode="External"/><Relationship Id="rId2425" Type="http://schemas.openxmlformats.org/officeDocument/2006/relationships/hyperlink" Target="https://plants.usda.gov/core/profile?symbol=AGEL" TargetMode="External"/><Relationship Id="rId2632" Type="http://schemas.openxmlformats.org/officeDocument/2006/relationships/hyperlink" Target="http://biology.burke.washington.edu/herbarium/imagecollection/taxon.php?Taxon=Polygonum%20douglasii" TargetMode="External"/><Relationship Id="rId5788" Type="http://schemas.openxmlformats.org/officeDocument/2006/relationships/hyperlink" Target="http://www.burkemuseum.org/research-and-collections/botany-and-herbarium/collections/database/results.php?Genus=Glyceria&amp;Species=striata&amp;SourcePage=search.php&amp;IncludeSynonyms=Y&amp;SortBy=DESC&amp;SortOrder=Year" TargetMode="External"/><Relationship Id="rId5995" Type="http://schemas.openxmlformats.org/officeDocument/2006/relationships/hyperlink" Target="http://www.burkemuseum.org/research-and-collections/botany-and-herbarium/collections/database/results.php?Genus=Parnassia&amp;Species=palustris&amp;SourcePage=search.php&amp;IncludeSynonyms=Y&amp;SortBy=DESC&amp;SortOrder=Year" TargetMode="External"/><Relationship Id="rId6839" Type="http://schemas.openxmlformats.org/officeDocument/2006/relationships/hyperlink" Target="http://biology.burke.washington.edu/herbarium/imagecollectionnew/taxon.php?Taxon=Camissonia%20contorta" TargetMode="External"/><Relationship Id="rId80" Type="http://schemas.openxmlformats.org/officeDocument/2006/relationships/hyperlink" Target="http://biology.burke.washington.edu/herbarium/imagecollection/taxon.php?Taxon=Ribes%20triste" TargetMode="External"/><Relationship Id="rId604" Type="http://schemas.openxmlformats.org/officeDocument/2006/relationships/hyperlink" Target="https://en.wikipedia.org/wiki/Scirpus_microcarpus" TargetMode="External"/><Relationship Id="rId811" Type="http://schemas.openxmlformats.org/officeDocument/2006/relationships/hyperlink" Target="https://en.wikipedia.org/wiki/Petasites_frigidus" TargetMode="External"/><Relationship Id="rId1027" Type="http://schemas.openxmlformats.org/officeDocument/2006/relationships/hyperlink" Target="https://en.wikipedia.org/wiki/Allotropa" TargetMode="External"/><Relationship Id="rId1234" Type="http://schemas.openxmlformats.org/officeDocument/2006/relationships/hyperlink" Target="https://en.wikipedia.org/wiki/Castilleja" TargetMode="External"/><Relationship Id="rId1441" Type="http://schemas.openxmlformats.org/officeDocument/2006/relationships/hyperlink" Target="http://biology.burke.washington.edu/herbarium/imagecollectionnew/taxon.php?Taxon=Carex%20nudata" TargetMode="External"/><Relationship Id="rId4597" Type="http://schemas.openxmlformats.org/officeDocument/2006/relationships/hyperlink" Target="http://www.burkemuseum.org/research-and-collections/botany-and-herbarium/collections/database/results.php?Genus=Agrostis&amp;Species=pallens&amp;SourcePage=search.php&amp;IncludeSynonyms=Y&amp;SortBy=DESC&amp;SortOrder=Year" TargetMode="External"/><Relationship Id="rId5648" Type="http://schemas.openxmlformats.org/officeDocument/2006/relationships/hyperlink" Target="http://www.burkemuseum.org/research-and-collections/botany-and-herbarium/collections/database/results.php?Genus=Cochlearia&amp;Species=groenlandica&amp;SourcePage=search.php&amp;IncludeSynonyms=Y&amp;SortBy=DESC&amp;SortOrder=Year" TargetMode="External"/><Relationship Id="rId5855" Type="http://schemas.openxmlformats.org/officeDocument/2006/relationships/hyperlink" Target="http://www.burkemuseum.org/research-and-collections/botany-and-herbarium/collections/database/results.php?Genus=Lasthenia&amp;Species=maritima&amp;SourcePage=search.php&amp;IncludeSynonyms=Y&amp;SortBy=DESC&amp;SortOrder=Year" TargetMode="External"/><Relationship Id="rId6906" Type="http://schemas.openxmlformats.org/officeDocument/2006/relationships/hyperlink" Target="http://biology.burke.washington.edu/herbarium/imagecollection/taxon.php?Taxon=Polemonium%20carneum" TargetMode="External"/><Relationship Id="rId1301" Type="http://schemas.openxmlformats.org/officeDocument/2006/relationships/hyperlink" Target="https://en.wikipedia.org/wiki/Spiranthes_porrifolia" TargetMode="External"/><Relationship Id="rId3199" Type="http://schemas.openxmlformats.org/officeDocument/2006/relationships/hyperlink" Target="http://www.burkemuseum.org/research-and-collections/botany-and-herbarium/collections/database/results.php?Genus=Petasites&amp;Species=frigilus&amp;SourcePage=search.php&amp;IncludeSynonyms=Y&amp;SortBy=DESC&amp;SortOrder=Year" TargetMode="External"/><Relationship Id="rId4457" Type="http://schemas.openxmlformats.org/officeDocument/2006/relationships/hyperlink" Target="https://plants.usda.gov/core/profile?symbol=THMO6" TargetMode="External"/><Relationship Id="rId4664" Type="http://schemas.openxmlformats.org/officeDocument/2006/relationships/hyperlink" Target="http://www.burkemuseum.org/research-and-collections/botany-and-herbarium/collections/database/results.php?Genus=Berberis&amp;Species=repens&amp;SourcePage=search.php&amp;IncludeSynonyms=Y&amp;SortBy=DESC&amp;SortOrder=Year" TargetMode="External"/><Relationship Id="rId5508" Type="http://schemas.openxmlformats.org/officeDocument/2006/relationships/hyperlink" Target="https://en.wikipedia.org/wiki/Viburnum_opulus" TargetMode="External"/><Relationship Id="rId5715" Type="http://schemas.openxmlformats.org/officeDocument/2006/relationships/hyperlink" Target="http://www.burkemuseum.org/research-and-collections/botany-and-herbarium/collections/database/results.php?Genus=Elodea&amp;Species=canadensis&amp;SourcePage=search.php&amp;IncludeSynonyms=Y&amp;SortBy=DESC&amp;SortOrder=Year" TargetMode="External"/><Relationship Id="rId7070" Type="http://schemas.openxmlformats.org/officeDocument/2006/relationships/hyperlink" Target="http://biology.burke.washington.edu/herbarium/imagecollectionnew/taxon.php?Taxon=Viola%20nuttallii" TargetMode="External"/><Relationship Id="rId3059" Type="http://schemas.openxmlformats.org/officeDocument/2006/relationships/hyperlink" Target="http://www.burkemuseum.org/research-and-collections/botany-and-herbarium/collections/database/results.php?Genus=Juncus&amp;Species=alpinoarticulatus&amp;SourcePage=search.php&amp;IncludeSynonyms=Y&amp;SortBy=DESC&amp;SortOrder=Year" TargetMode="External"/><Relationship Id="rId3266" Type="http://schemas.openxmlformats.org/officeDocument/2006/relationships/hyperlink" Target="http://www.burkemuseum.org/research-and-collections/botany-and-herbarium/collections/database/results.php?Genus=Ranunculus&amp;Species=alismifolius&amp;SourcePage=search.php&amp;IncludeSynonyms=Y&amp;SortBy=DESC&amp;SortOrder=Year" TargetMode="External"/><Relationship Id="rId3473" Type="http://schemas.openxmlformats.org/officeDocument/2006/relationships/hyperlink" Target="http://www.burkemuseum.org/research-and-collections/botany-and-herbarium/collections/database/results.php?Genus=Camassia&amp;Species=leichtlinii&amp;SourcePage=search.php&amp;IncludeSynonyms=Y&amp;SortBy=DESC&amp;SortOrder=Year" TargetMode="External"/><Relationship Id="rId4317" Type="http://schemas.openxmlformats.org/officeDocument/2006/relationships/hyperlink" Target="https://plants.usda.gov/core/profile?symbol=RICE" TargetMode="External"/><Relationship Id="rId4524" Type="http://schemas.openxmlformats.org/officeDocument/2006/relationships/hyperlink" Target="https://plants.usda.gov/core/profile?symbol=XAST" TargetMode="External"/><Relationship Id="rId4871" Type="http://schemas.openxmlformats.org/officeDocument/2006/relationships/hyperlink" Target="https://en.wikipedia.org/wiki/Corydalis_aquae-gelidae" TargetMode="External"/><Relationship Id="rId5922" Type="http://schemas.openxmlformats.org/officeDocument/2006/relationships/hyperlink" Target="http://www.burkemuseum.org/research-and-collections/botany-and-herbarium/collections/database/results.php?Genus=Maianthemum&amp;Species=stellatum&amp;SourcePage=search.php&amp;IncludeSynonyms=Y&amp;SortBy=DESC&amp;SortOrder=Year" TargetMode="External"/><Relationship Id="rId187" Type="http://schemas.openxmlformats.org/officeDocument/2006/relationships/hyperlink" Target="http://biology.burke.washington.edu/herbarium/imagecollection/taxon.php?Taxon=Heracleum%20maximum" TargetMode="External"/><Relationship Id="rId394" Type="http://schemas.openxmlformats.org/officeDocument/2006/relationships/hyperlink" Target="http://biology.burke.washington.edu/herbarium/imagecollectionnew/taxon.php?Taxon=Conyza%20canadensis" TargetMode="External"/><Relationship Id="rId2075" Type="http://schemas.openxmlformats.org/officeDocument/2006/relationships/hyperlink" Target="https://plants.usda.gov/core/profile?symbol=LEOR" TargetMode="External"/><Relationship Id="rId2282" Type="http://schemas.openxmlformats.org/officeDocument/2006/relationships/hyperlink" Target="https://plants.usda.gov/core/profile?symbol=chla" TargetMode="External"/><Relationship Id="rId3126" Type="http://schemas.openxmlformats.org/officeDocument/2006/relationships/hyperlink" Target="http://www.burkemuseum.org/research-and-collections/botany-and-herbarium/collections/database/results.php?Genus=Madia&amp;Species=sativa&amp;SourcePage=search.php&amp;IncludeSynonyms=Y&amp;SortBy=DESC&amp;SortOrder=Year" TargetMode="External"/><Relationship Id="rId3680" Type="http://schemas.openxmlformats.org/officeDocument/2006/relationships/hyperlink" Target="https://plants.usda.gov/core/profile?symbol=ORPI2" TargetMode="External"/><Relationship Id="rId4731" Type="http://schemas.openxmlformats.org/officeDocument/2006/relationships/hyperlink" Target="https://en.wikipedia.org/wiki/Berberis_repens" TargetMode="External"/><Relationship Id="rId6489" Type="http://schemas.openxmlformats.org/officeDocument/2006/relationships/hyperlink" Target="http://biology.burke.washington.edu/herbarium/imagecollection/taxon.php?Taxon=Erythranthe%20alsinoides" TargetMode="External"/><Relationship Id="rId254" Type="http://schemas.openxmlformats.org/officeDocument/2006/relationships/hyperlink" Target="http://biology.burke.washington.edu/herbarium/imagecollection/taxon.php?Taxon=Euthamia%20occidentalis" TargetMode="External"/><Relationship Id="rId1091" Type="http://schemas.openxmlformats.org/officeDocument/2006/relationships/hyperlink" Target="https://en.wikipedia.org/wiki/Leymus_mollis" TargetMode="External"/><Relationship Id="rId3333" Type="http://schemas.openxmlformats.org/officeDocument/2006/relationships/hyperlink" Target="http://www.burkemuseum.org/research-and-collections/botany-and-herbarium/collections/database/results.php?Genus=Schoenoplectus&amp;Species=tabernaemontani&amp;SourcePage=search.php&amp;IncludeSynonyms=Y&amp;SortBy=DESC&amp;SortOrder=Year" TargetMode="External"/><Relationship Id="rId3540" Type="http://schemas.openxmlformats.org/officeDocument/2006/relationships/hyperlink" Target="http://www.burkemuseum.org/research-and-collections/botany-and-herbarium/collections/database/results.php?Genus=Oxalis&amp;Species=oregana&amp;SourcePage=search.php&amp;IncludeSynonyms=Y&amp;SortBy=DESC&amp;SortOrder=Year" TargetMode="External"/><Relationship Id="rId5298" Type="http://schemas.openxmlformats.org/officeDocument/2006/relationships/hyperlink" Target="https://en.wikipedia.org/wiki/Ranunculus_californicus" TargetMode="External"/><Relationship Id="rId6696" Type="http://schemas.openxmlformats.org/officeDocument/2006/relationships/hyperlink" Target="http://biology.burke.washington.edu/herbarium/imagecollection/taxon.php?Taxon=Plantago%20elongata" TargetMode="External"/><Relationship Id="rId114" Type="http://schemas.openxmlformats.org/officeDocument/2006/relationships/hyperlink" Target="http://biology.burke.washington.edu/herbarium/imagecollection/taxon.php?Taxon=Salix%20barclayi" TargetMode="External"/><Relationship Id="rId461" Type="http://schemas.openxmlformats.org/officeDocument/2006/relationships/hyperlink" Target="http://biology.burke.washington.edu/herbarium/imagecollectionnew/taxon.php?Taxon=Utricularia%20vulgaris" TargetMode="External"/><Relationship Id="rId2142" Type="http://schemas.openxmlformats.org/officeDocument/2006/relationships/hyperlink" Target="http://plants.usda.gov/java/profile?symbol=GECA5" TargetMode="External"/><Relationship Id="rId3400" Type="http://schemas.openxmlformats.org/officeDocument/2006/relationships/hyperlink" Target="http://www.burkemuseum.org/research-and-collections/botany-and-herbarium/collections/database/results.php?Genus=Trifolium&amp;Species=microdon&amp;SourcePage=search.php&amp;IncludeSynonyms=Y&amp;SortBy=DESC&amp;SortOrder=Year" TargetMode="External"/><Relationship Id="rId6349" Type="http://schemas.openxmlformats.org/officeDocument/2006/relationships/hyperlink" Target="http://biology.burke.washington.edu/herbarium/imagecollection/taxon.php?Taxon=Adenocaulon%20bicolor" TargetMode="External"/><Relationship Id="rId6556" Type="http://schemas.openxmlformats.org/officeDocument/2006/relationships/hyperlink" Target="http://biology.burke.washington.edu/herbarium/imagecollection/taxon.php?Taxon=Lomatium%20utriculatum" TargetMode="External"/><Relationship Id="rId6763" Type="http://schemas.openxmlformats.org/officeDocument/2006/relationships/hyperlink" Target="http://biology.burke.washington.edu/herbarium/imagecollection/taxon.php?Taxon=Hosackia%20rosea" TargetMode="External"/><Relationship Id="rId6970" Type="http://schemas.openxmlformats.org/officeDocument/2006/relationships/hyperlink" Target="http://biology.burke.washington.edu/herbarium/imagecollection/taxon.php?Taxon=Grindelia%20integrifolia" TargetMode="External"/><Relationship Id="rId321" Type="http://schemas.openxmlformats.org/officeDocument/2006/relationships/hyperlink" Target="http://biology.burke.washington.edu/herbarium/imagecollectionnew/taxon.php?Taxon=Bromus%20sitchensis" TargetMode="External"/><Relationship Id="rId2002" Type="http://schemas.openxmlformats.org/officeDocument/2006/relationships/hyperlink" Target="http://plants.usda.gov/java/profile?symbol=MOHO" TargetMode="External"/><Relationship Id="rId2959" Type="http://schemas.openxmlformats.org/officeDocument/2006/relationships/hyperlink" Target="http://www.burkemuseum.org/research-and-collections/botany-and-herbarium/collections/database/results.php?Genus=Elymus&amp;Species=glaucus&amp;SourcePage=search.php&amp;IncludeSynonyms=Y&amp;SortBy=DESC&amp;SortOrder=Year" TargetMode="External"/><Relationship Id="rId5158" Type="http://schemas.openxmlformats.org/officeDocument/2006/relationships/hyperlink" Target="https://en.wikipedia.org/wiki/Myrica_californica" TargetMode="External"/><Relationship Id="rId5365" Type="http://schemas.openxmlformats.org/officeDocument/2006/relationships/hyperlink" Target="https://en.wikipedia.org/wiki/Salix_sessilifolia" TargetMode="External"/><Relationship Id="rId5572" Type="http://schemas.openxmlformats.org/officeDocument/2006/relationships/hyperlink" Target="http://www.burkemuseum.org/research-and-collections/botany-and-herbarium/collections/database/results.php?Genus=Carex&amp;Species=aquatilis&amp;SourcePage=search.php&amp;IncludeSynonyms=Y&amp;SortBy=DESC&amp;SortOrder=Year" TargetMode="External"/><Relationship Id="rId6209" Type="http://schemas.openxmlformats.org/officeDocument/2006/relationships/hyperlink" Target="http://www.burkemuseum.org/research-and-collections/botany-and-herbarium/collections/database/results.php?Genus=Sisyrinchium&amp;Species=idahoense&amp;SourcePage=search.php&amp;IncludeSynonyms=Y&amp;SortBy=DESC&amp;SortOrder=Year" TargetMode="External"/><Relationship Id="rId6416" Type="http://schemas.openxmlformats.org/officeDocument/2006/relationships/hyperlink" Target="http://biology.burke.washington.edu/herbarium/imagecollectionnew/taxon.php?Taxon=Carex%20pellita" TargetMode="External"/><Relationship Id="rId6623" Type="http://schemas.openxmlformats.org/officeDocument/2006/relationships/hyperlink" Target="http://biology.burke.washington.edu/herbarium/imagecollectionnew/taxon.php?Taxon=Trifolium%20willdenovii" TargetMode="External"/><Relationship Id="rId6830" Type="http://schemas.openxmlformats.org/officeDocument/2006/relationships/hyperlink" Target="http://biology.burke.washington.edu/herbarium/imagecollectionnew/taxon.php?Taxon=Carex%20circinata" TargetMode="External"/><Relationship Id="rId1768" Type="http://schemas.openxmlformats.org/officeDocument/2006/relationships/hyperlink" Target="https://plants.usda.gov/core/profile?symbol=TABI" TargetMode="External"/><Relationship Id="rId2819" Type="http://schemas.openxmlformats.org/officeDocument/2006/relationships/hyperlink" Target="http://www.burkemuseum.org/research-and-collections/botany-and-herbarium/collections/database/results.php?Genus=Camissonia&amp;Species=contorta&amp;SourcePage=search.php&amp;IncludeSynonyms=Y&amp;SortBy=DESC&amp;SortOrder=Year" TargetMode="External"/><Relationship Id="rId4174" Type="http://schemas.openxmlformats.org/officeDocument/2006/relationships/hyperlink" Target="https://plants.usda.gov/core/profile?symbol=OESA" TargetMode="External"/><Relationship Id="rId4381" Type="http://schemas.openxmlformats.org/officeDocument/2006/relationships/hyperlink" Target="https://plants.usda.gov/core/profile?symbol=SCACO2" TargetMode="External"/><Relationship Id="rId5018" Type="http://schemas.openxmlformats.org/officeDocument/2006/relationships/hyperlink" Target="https://en.wikipedia.org/wiki/Hieracium_albiflorum" TargetMode="External"/><Relationship Id="rId5225" Type="http://schemas.openxmlformats.org/officeDocument/2006/relationships/hyperlink" Target="https://en.wikipedia.org/wiki/Pinus_contorta" TargetMode="External"/><Relationship Id="rId5432" Type="http://schemas.openxmlformats.org/officeDocument/2006/relationships/hyperlink" Target="https://en.wikipedia.org/wiki/Stellaria_borealis" TargetMode="External"/><Relationship Id="rId1628" Type="http://schemas.openxmlformats.org/officeDocument/2006/relationships/hyperlink" Target="http://biology.burke.washington.edu/herbarium/imagecollectionnew/taxon.php?Taxon=Tsuga%20heterophylla" TargetMode="External"/><Relationship Id="rId1975" Type="http://schemas.openxmlformats.org/officeDocument/2006/relationships/hyperlink" Target="https://plants.usda.gov/core/profile?symbol=OXSU" TargetMode="External"/><Relationship Id="rId3190" Type="http://schemas.openxmlformats.org/officeDocument/2006/relationships/hyperlink" Target="http://www.burkemuseum.org/research-and-collections/botany-and-herbarium/collections/database/results.php?Genus=Pedicularis&amp;Species=groenlandica&amp;SourcePage=search.php&amp;IncludeSynonyms=Y&amp;SortBy=DESC&amp;SortOrder=Year" TargetMode="External"/><Relationship Id="rId4034" Type="http://schemas.openxmlformats.org/officeDocument/2006/relationships/hyperlink" Target="https://plants.usda.gov/core/profile?symbol=JACA4" TargetMode="External"/><Relationship Id="rId4241" Type="http://schemas.openxmlformats.org/officeDocument/2006/relationships/hyperlink" Target="https://plants.usda.gov/core/profile?symbol=POLA3" TargetMode="External"/><Relationship Id="rId1835" Type="http://schemas.openxmlformats.org/officeDocument/2006/relationships/hyperlink" Target="https://plants.usda.gov/core/profile?symbol=SAVAP" TargetMode="External"/><Relationship Id="rId3050" Type="http://schemas.openxmlformats.org/officeDocument/2006/relationships/hyperlink" Target="http://www.burkemuseum.org/research-and-collections/botany-and-herbarium/collections/database/results.php?Genus=Hypericum&amp;Species=scouleri&amp;SourcePage=search.php&amp;IncludeSynonyms=Y&amp;SortBy=DESC&amp;SortOrder=Year" TargetMode="External"/><Relationship Id="rId4101" Type="http://schemas.openxmlformats.org/officeDocument/2006/relationships/hyperlink" Target="https://plants.usda.gov/core/profile?symbol=LUPO2" TargetMode="External"/><Relationship Id="rId1902" Type="http://schemas.openxmlformats.org/officeDocument/2006/relationships/hyperlink" Target="https://plants.usda.gov/core/profile?symbol=PSST7" TargetMode="External"/><Relationship Id="rId6066" Type="http://schemas.openxmlformats.org/officeDocument/2006/relationships/hyperlink" Target="http://www.burkemuseum.org/research-and-collections/botany-and-herbarium/collections/database/results.php?Genus=Potamogeton&amp;Species=illinoensis&amp;SourcePage=search.php&amp;IncludeSynonyms=Y&amp;SortBy=DESC&amp;SortOrder=Year" TargetMode="External"/><Relationship Id="rId7117" Type="http://schemas.openxmlformats.org/officeDocument/2006/relationships/hyperlink" Target="http://biology.burke.washington.edu/herbarium/imagecollection/taxon.php?Taxon=Streptopus%20amplexifolius" TargetMode="External"/><Relationship Id="rId3867" Type="http://schemas.openxmlformats.org/officeDocument/2006/relationships/hyperlink" Target="https://plants.usda.gov/core/profile?symbol=CRAC3" TargetMode="External"/><Relationship Id="rId4918" Type="http://schemas.openxmlformats.org/officeDocument/2006/relationships/hyperlink" Target="https://en.wikipedia.org/wiki/Eleocharis_acicularis" TargetMode="External"/><Relationship Id="rId6273" Type="http://schemas.openxmlformats.org/officeDocument/2006/relationships/hyperlink" Target="http://www.burkemuseum.org/research-and-collections/botany-and-herbarium/collections/database/results.php?Genus=Triodanis&amp;Species=biflora&amp;SourcePage=search.php&amp;IncludeSynonyms=Y&amp;SortBy=DESC&amp;SortOrder=Year" TargetMode="External"/><Relationship Id="rId6480" Type="http://schemas.openxmlformats.org/officeDocument/2006/relationships/hyperlink" Target="http://biology.burke.washington.edu/herbarium/imagecollection/taxon.php?Taxon=Equisetum%20telmateia" TargetMode="External"/><Relationship Id="rId788" Type="http://schemas.openxmlformats.org/officeDocument/2006/relationships/hyperlink" Target="https://en.wikipedia.org/wiki/Polemonium_carneum" TargetMode="External"/><Relationship Id="rId995" Type="http://schemas.openxmlformats.org/officeDocument/2006/relationships/hyperlink" Target="https://en.wikipedia.org/wiki/Artemisia_ludoviciana" TargetMode="External"/><Relationship Id="rId2469" Type="http://schemas.openxmlformats.org/officeDocument/2006/relationships/hyperlink" Target="http://plants.usda.gov/java/profile?symbol=SESP" TargetMode="External"/><Relationship Id="rId2676" Type="http://schemas.openxmlformats.org/officeDocument/2006/relationships/hyperlink" Target="http://biology.burke.washington.edu/herbarium/imagecollectionnew/taxon.php?Taxon=Barbarea%20orthoceras" TargetMode="External"/><Relationship Id="rId2883" Type="http://schemas.openxmlformats.org/officeDocument/2006/relationships/hyperlink" Target="http://www.burkemuseum.org/research-and-collections/botany-and-herbarium/collections/database/results.php?Genus=Circaea&amp;Species=alpina&amp;SourcePage=search.php&amp;IncludeSynonyms=Y&amp;SortBy=DESC&amp;SortOrder=Year" TargetMode="External"/><Relationship Id="rId3727" Type="http://schemas.openxmlformats.org/officeDocument/2006/relationships/hyperlink" Target="https://plants.usda.gov/core/profile?symbol=BLSP" TargetMode="External"/><Relationship Id="rId3934" Type="http://schemas.openxmlformats.org/officeDocument/2006/relationships/hyperlink" Target="https://plants.usda.gov/core/profile?symbol=ERCH7" TargetMode="External"/><Relationship Id="rId5082" Type="http://schemas.openxmlformats.org/officeDocument/2006/relationships/hyperlink" Target="https://en.wikipedia.org/wiki/Linum_lewisii" TargetMode="External"/><Relationship Id="rId6133" Type="http://schemas.openxmlformats.org/officeDocument/2006/relationships/hyperlink" Target="http://www.burkemuseum.org/research-and-collections/botany-and-herbarium/collections/database/results.php?Genus=Rubus&amp;Species=leucodermis&amp;SourcePage=search.php&amp;IncludeSynonyms=Y&amp;SortBy=DESC&amp;SortOrder=Year" TargetMode="External"/><Relationship Id="rId6340" Type="http://schemas.openxmlformats.org/officeDocument/2006/relationships/hyperlink" Target="http://biology.burke.washington.edu/herbarium/imagecollection/taxon.php?Taxon=Abies%20lasiocarpa" TargetMode="External"/><Relationship Id="rId648" Type="http://schemas.openxmlformats.org/officeDocument/2006/relationships/hyperlink" Target="https://en.wikipedia.org/wiki/Rorippa_curvisiliqua" TargetMode="External"/><Relationship Id="rId855" Type="http://schemas.openxmlformats.org/officeDocument/2006/relationships/hyperlink" Target="https://en.wikipedia.org/wiki/Microsteris" TargetMode="External"/><Relationship Id="rId1278" Type="http://schemas.openxmlformats.org/officeDocument/2006/relationships/hyperlink" Target="http://biology.burke.washington.edu/herbarium/imagecollection/taxon.php?Taxon=Perideridia%20oregana" TargetMode="External"/><Relationship Id="rId1485" Type="http://schemas.openxmlformats.org/officeDocument/2006/relationships/hyperlink" Target="https://en.wikipedia.org/wiki/Thuja_plicata" TargetMode="External"/><Relationship Id="rId1692" Type="http://schemas.openxmlformats.org/officeDocument/2006/relationships/hyperlink" Target="https://en.wikipedia.org/wiki/Fritillaria_pudica" TargetMode="External"/><Relationship Id="rId2329" Type="http://schemas.openxmlformats.org/officeDocument/2006/relationships/hyperlink" Target="http://plants.usda.gov/java/profile?symbol=CAOL" TargetMode="External"/><Relationship Id="rId2536" Type="http://schemas.openxmlformats.org/officeDocument/2006/relationships/hyperlink" Target="http://plants.usda.gov/java/profile?symbol=LICO" TargetMode="External"/><Relationship Id="rId2743" Type="http://schemas.openxmlformats.org/officeDocument/2006/relationships/hyperlink" Target="http://www.burkemuseum.org/research-and-collections/botany-and-herbarium/collections/database/results.php?Genus=Amsinckia&amp;Species=lycopsoides&amp;SourcePage=search.php&amp;IncludeSynonyms=Y&amp;SortBy=DESC&amp;SortOrder=Year" TargetMode="External"/><Relationship Id="rId5899" Type="http://schemas.openxmlformats.org/officeDocument/2006/relationships/hyperlink" Target="http://www.burkemuseum.org/research-and-collections/botany-and-herbarium/collections/database/results.php?Genus=Lupinus&amp;Species=littoralis&amp;SourcePage=search.php&amp;IncludeSynonyms=Y&amp;SortBy=DESC&amp;SortOrder=Year" TargetMode="External"/><Relationship Id="rId6200" Type="http://schemas.openxmlformats.org/officeDocument/2006/relationships/hyperlink" Target="http://www.burkemuseum.org/research-and-collections/botany-and-herbarium/collections/database/results.php?Genus=Sidalcea&amp;Species=hendersonii&amp;SourcePage=search.php&amp;IncludeSynonyms=Y&amp;SortBy=DESC&amp;SortOrder=Year" TargetMode="External"/><Relationship Id="rId508" Type="http://schemas.openxmlformats.org/officeDocument/2006/relationships/hyperlink" Target="https://en.wikipedia.org/wiki/Viola_canadensis" TargetMode="External"/><Relationship Id="rId715" Type="http://schemas.openxmlformats.org/officeDocument/2006/relationships/hyperlink" Target="https://en.wikipedia.org/wiki/Epilobium_torreyi" TargetMode="External"/><Relationship Id="rId922" Type="http://schemas.openxmlformats.org/officeDocument/2006/relationships/hyperlink" Target="https://en.wikipedia.org/wiki/Carex" TargetMode="External"/><Relationship Id="rId1138" Type="http://schemas.openxmlformats.org/officeDocument/2006/relationships/hyperlink" Target="https://en.wikipedia.org/wiki/Honckenya" TargetMode="External"/><Relationship Id="rId1345" Type="http://schemas.openxmlformats.org/officeDocument/2006/relationships/hyperlink" Target="http://biology.burke.washington.edu/herbarium/imagecollectionnew/taxon.php?Taxon=Torreyochloa%20pallida" TargetMode="External"/><Relationship Id="rId1552" Type="http://schemas.openxmlformats.org/officeDocument/2006/relationships/hyperlink" Target="https://en.wikipedia.org/wiki/Mitella_ovalis" TargetMode="External"/><Relationship Id="rId2603" Type="http://schemas.openxmlformats.org/officeDocument/2006/relationships/hyperlink" Target="http://plants.usda.gov/java/profile?symbol=ABGR" TargetMode="External"/><Relationship Id="rId2950" Type="http://schemas.openxmlformats.org/officeDocument/2006/relationships/hyperlink" Target="http://www.burkemuseum.org/research-and-collections/botany-and-herbarium/collections/database/results.php?Genus=Dulichium&amp;Species=arundinaceum&amp;SourcePage=search.php&amp;IncludeSynonyms=Y&amp;SortBy=DESC&amp;SortOrder=Year" TargetMode="External"/><Relationship Id="rId5759" Type="http://schemas.openxmlformats.org/officeDocument/2006/relationships/hyperlink" Target="http://www.burkemuseum.org/research-and-collections/botany-and-herbarium/collections/database/results.php?Genus=Fragaria&amp;Species=chiloensis&amp;SourcePage=search.php&amp;IncludeSynonyms=Y&amp;SortBy=DESC&amp;SortOrder=Year" TargetMode="External"/><Relationship Id="rId1205" Type="http://schemas.openxmlformats.org/officeDocument/2006/relationships/hyperlink" Target="http://biology.burke.washington.edu/herbarium/imagecollectionnew/taxon.php?Taxon=Carex%20rostrata" TargetMode="External"/><Relationship Id="rId2810" Type="http://schemas.openxmlformats.org/officeDocument/2006/relationships/hyperlink" Target="http://www.burkemuseum.org/research-and-collections/botany-and-herbarium/collections/database/results.php?Genus=Calamagrostis&amp;Species=canadensis&amp;SourcePage=search.php&amp;IncludeSynonyms=Y&amp;SortBy=DESC&amp;SortOrder=Year" TargetMode="External"/><Relationship Id="rId4568" Type="http://schemas.openxmlformats.org/officeDocument/2006/relationships/hyperlink" Target="https://en.wikipedia.org/wiki/Amsinckia_lycopsoides" TargetMode="External"/><Relationship Id="rId5966" Type="http://schemas.openxmlformats.org/officeDocument/2006/relationships/hyperlink" Target="http://www.burkemuseum.org/research-and-collections/botany-and-herbarium/collections/database/results.php?Genus=Navarretia&amp;Species=squarrosa&amp;SourcePage=search.php&amp;IncludeSynonyms=Y&amp;SortBy=DESC&amp;SortOrder=Year" TargetMode="External"/><Relationship Id="rId7181" Type="http://schemas.openxmlformats.org/officeDocument/2006/relationships/hyperlink" Target="http://biology.burke.washington.edu/herbarium/imagecollection/taxon.php?Taxon=Rubus%20pedatus" TargetMode="External"/><Relationship Id="rId51" Type="http://schemas.openxmlformats.org/officeDocument/2006/relationships/hyperlink" Target="http://biology.burke.washington.edu/herbarium/imagecollection/taxon.php?Taxon=Symphoricarpos%20albus" TargetMode="External"/><Relationship Id="rId1412" Type="http://schemas.openxmlformats.org/officeDocument/2006/relationships/hyperlink" Target="http://biology.burke.washington.edu/herbarium/imagecollection/taxon.php?Taxon=Polygonum%20paronychia" TargetMode="External"/><Relationship Id="rId3377" Type="http://schemas.openxmlformats.org/officeDocument/2006/relationships/hyperlink" Target="http://www.burkemuseum.org/research-and-collections/botany-and-herbarium/collections/database/results.php?Genus=Streptopus&amp;Species=amplexifolius&amp;SourcePage=search.php&amp;IncludeSynonyms=Y&amp;SortBy=DESC&amp;SortOrder=Year" TargetMode="External"/><Relationship Id="rId4775" Type="http://schemas.openxmlformats.org/officeDocument/2006/relationships/hyperlink" Target="https://en.wikipedia.org/wiki/Cardionema_ramosissima" TargetMode="External"/><Relationship Id="rId4982" Type="http://schemas.openxmlformats.org/officeDocument/2006/relationships/hyperlink" Target="https://en.wikipedia.org/wiki/Galium_trifidum" TargetMode="External"/><Relationship Id="rId5619" Type="http://schemas.openxmlformats.org/officeDocument/2006/relationships/hyperlink" Target="http://www.burkemuseum.org/research-and-collections/botany-and-herbarium/collections/database/results.php?Genus=Ceanothus&amp;Species=velutinus&amp;SourcePage=search.php&amp;IncludeSynonyms=Y&amp;SortBy=DESC&amp;SortOrder=Year" TargetMode="External"/><Relationship Id="rId5826" Type="http://schemas.openxmlformats.org/officeDocument/2006/relationships/hyperlink" Target="http://www.burkemuseum.org/research-and-collections/botany-and-herbarium/collections/database/results.php?Genus=Hypericum&amp;Species=scouleri&amp;SourcePage=search.php&amp;IncludeSynonyms=Y&amp;SortBy=DESC&amp;SortOrder=Year" TargetMode="External"/><Relationship Id="rId7041" Type="http://schemas.openxmlformats.org/officeDocument/2006/relationships/hyperlink" Target="http://biology.burke.washington.edu/herbarium/imagecollectionnew/taxon.php?Taxon=Bidens%20cernua" TargetMode="External"/><Relationship Id="rId298" Type="http://schemas.openxmlformats.org/officeDocument/2006/relationships/hyperlink" Target="http://biology.burke.washington.edu/herbarium/imagecollection/taxon.php?Taxon=Aquilegia%20formosa" TargetMode="External"/><Relationship Id="rId3584" Type="http://schemas.openxmlformats.org/officeDocument/2006/relationships/hyperlink" Target="http://www.burkemuseum.org/research-and-collections/botany-and-herbarium/collections/database/results.php?Genus=Sanicula&amp;Species=crassicaulis&amp;SourcePage=search.php&amp;IncludeSynonyms=Y&amp;SortBy=DESC&amp;SortOrder=Year" TargetMode="External"/><Relationship Id="rId3791" Type="http://schemas.openxmlformats.org/officeDocument/2006/relationships/hyperlink" Target="https://plants.usda.gov/core/profile?symbol=CAPR7" TargetMode="External"/><Relationship Id="rId4428" Type="http://schemas.openxmlformats.org/officeDocument/2006/relationships/hyperlink" Target="https://plants.usda.gov/core/profile?symbol=SPRO" TargetMode="External"/><Relationship Id="rId4635" Type="http://schemas.openxmlformats.org/officeDocument/2006/relationships/hyperlink" Target="http://www.burkemuseum.org/research-and-collections/botany-and-herbarium/collections/database/results.php?Genus=Arabis&amp;Species=eschscholtziana&amp;SourcePage=search.php&amp;IncludeSynonyms=Y&amp;SortBy=DESC&amp;SortOrder=Year" TargetMode="External"/><Relationship Id="rId4842" Type="http://schemas.openxmlformats.org/officeDocument/2006/relationships/hyperlink" Target="https://en.wikipedia.org/wiki/Cirsium_edule" TargetMode="External"/><Relationship Id="rId158" Type="http://schemas.openxmlformats.org/officeDocument/2006/relationships/hyperlink" Target="http://biology.burke.washington.edu/herbarium/imagecollection/taxon.php?Taxon=Penstemon%20attenuatus" TargetMode="External"/><Relationship Id="rId2186" Type="http://schemas.openxmlformats.org/officeDocument/2006/relationships/hyperlink" Target="http://plants.usda.gov/java/profile?symbol=EQHY" TargetMode="External"/><Relationship Id="rId2393" Type="http://schemas.openxmlformats.org/officeDocument/2006/relationships/hyperlink" Target="http://plants.usda.gov/java/profile?symbol=ORFA" TargetMode="External"/><Relationship Id="rId3237" Type="http://schemas.openxmlformats.org/officeDocument/2006/relationships/hyperlink" Target="http://www.burkemuseum.org/research-and-collections/botany-and-herbarium/collections/database/results.php?Genus=Potamogeton&amp;Species=foliosus&amp;SourcePage=search.php&amp;IncludeSynonyms=Y&amp;SortBy=DESC&amp;SortOrder=Year" TargetMode="External"/><Relationship Id="rId3444" Type="http://schemas.openxmlformats.org/officeDocument/2006/relationships/hyperlink" Target="http://www.burkemuseum.org/research-and-collections/botany-and-herbarium/collections/database/results.php?Genus=Wyethia&amp;Species=angustifolia&amp;SourcePage=search.php&amp;IncludeSynonyms=Y&amp;SortBy=DESC&amp;SortOrder=Year" TargetMode="External"/><Relationship Id="rId3651" Type="http://schemas.openxmlformats.org/officeDocument/2006/relationships/hyperlink" Target="https://plants.usda.gov/core/profile?symbol=ALCE2" TargetMode="External"/><Relationship Id="rId4702" Type="http://schemas.openxmlformats.org/officeDocument/2006/relationships/hyperlink" Target="https://en.wikipedia.org/wiki/Arceuthobium_campylopodum" TargetMode="External"/><Relationship Id="rId365" Type="http://schemas.openxmlformats.org/officeDocument/2006/relationships/hyperlink" Target="http://biology.burke.washington.edu/herbarium/imagecollectionnew/taxon.php?Taxon=Carex%20pauciflora" TargetMode="External"/><Relationship Id="rId572" Type="http://schemas.openxmlformats.org/officeDocument/2006/relationships/hyperlink" Target="https://en.wikipedia.org/wiki/Stellaria_borealis" TargetMode="External"/><Relationship Id="rId2046" Type="http://schemas.openxmlformats.org/officeDocument/2006/relationships/hyperlink" Target="https://plants.usda.gov/core/profile?symbol=LUDED" TargetMode="External"/><Relationship Id="rId2253" Type="http://schemas.openxmlformats.org/officeDocument/2006/relationships/hyperlink" Target="https://plants.usda.gov/core/profile?symbol=coli2" TargetMode="External"/><Relationship Id="rId2460" Type="http://schemas.openxmlformats.org/officeDocument/2006/relationships/hyperlink" Target="https://plants.usda.gov/core/profile?symbol=SYCH4" TargetMode="External"/><Relationship Id="rId3304" Type="http://schemas.openxmlformats.org/officeDocument/2006/relationships/hyperlink" Target="http://www.burkemuseum.org/research-and-collections/botany-and-herbarium/collections/database/results.php?Genus=Salix&amp;Species=amygdaloides&amp;SourcePage=search.php&amp;IncludeSynonyms=Y&amp;SortBy=DESC&amp;SortOrder=Year" TargetMode="External"/><Relationship Id="rId3511" Type="http://schemas.openxmlformats.org/officeDocument/2006/relationships/hyperlink" Target="http://www.burkemuseum.org/research-and-collections/botany-and-herbarium/collections/database/results.php?Genus=Hydrophyllum&amp;Species=tenuipes&amp;SourcePage=search.php&amp;IncludeSynonyms=Y&amp;SortBy=DESC&amp;SortOrder=Year" TargetMode="External"/><Relationship Id="rId6667" Type="http://schemas.openxmlformats.org/officeDocument/2006/relationships/hyperlink" Target="http://biology.burke.washington.edu/herbarium/imagecollection/taxon.php?Taxon=Ribes%20laxiflorum" TargetMode="External"/><Relationship Id="rId6874" Type="http://schemas.openxmlformats.org/officeDocument/2006/relationships/hyperlink" Target="http://biology.burke.washington.edu/herbarium/imagecollectionnew/taxon.php?Taxon=Utricularia%20gibba" TargetMode="External"/><Relationship Id="rId225" Type="http://schemas.openxmlformats.org/officeDocument/2006/relationships/hyperlink" Target="http://biology.burke.washington.edu/herbarium/imagecollection/taxon.php?Taxon=Ranunculus%20sceleratus" TargetMode="External"/><Relationship Id="rId432" Type="http://schemas.openxmlformats.org/officeDocument/2006/relationships/hyperlink" Target="http://biology.burke.washington.edu/herbarium/imagecollectionnew/taxon.php?Taxon=Castilleja%20miniata" TargetMode="External"/><Relationship Id="rId1062" Type="http://schemas.openxmlformats.org/officeDocument/2006/relationships/hyperlink" Target="https://en.wikipedia.org/wiki/Mentha_arvensis" TargetMode="External"/><Relationship Id="rId2113" Type="http://schemas.openxmlformats.org/officeDocument/2006/relationships/hyperlink" Target="http://plants.usda.gov/java/profile?symbol=HOBR2" TargetMode="External"/><Relationship Id="rId2320" Type="http://schemas.openxmlformats.org/officeDocument/2006/relationships/hyperlink" Target="http://plants.usda.gov/java/profile?symbol=CACO8" TargetMode="External"/><Relationship Id="rId5269" Type="http://schemas.openxmlformats.org/officeDocument/2006/relationships/hyperlink" Target="https://en.wikipedia.org/wiki/Potamogeton_illinoensis" TargetMode="External"/><Relationship Id="rId5476" Type="http://schemas.openxmlformats.org/officeDocument/2006/relationships/hyperlink" Target="https://en.wikipedia.org/wiki/Triodanis_perfoliata" TargetMode="External"/><Relationship Id="rId5683" Type="http://schemas.openxmlformats.org/officeDocument/2006/relationships/hyperlink" Target="http://www.burkemuseum.org/research-and-collections/botany-and-herbarium/collections/database/results.php?Genus=Dasiphora&amp;Species=fruticosa&amp;SourcePage=search.php&amp;IncludeSynonyms=Y&amp;SortBy=DESC&amp;SortOrder=Year" TargetMode="External"/><Relationship Id="rId6527" Type="http://schemas.openxmlformats.org/officeDocument/2006/relationships/hyperlink" Target="http://biology.burke.washington.edu/herbarium/imagecollection/taxon.php?Taxon=Heuchera%20glabra" TargetMode="External"/><Relationship Id="rId6734" Type="http://schemas.openxmlformats.org/officeDocument/2006/relationships/hyperlink" Target="http://biology.burke.washington.edu/herbarium/imagecollectionnew/taxon.php?Taxon=Malaxis%20monophyllos" TargetMode="External"/><Relationship Id="rId4078" Type="http://schemas.openxmlformats.org/officeDocument/2006/relationships/hyperlink" Target="https://plants.usda.gov/core/profile?symbol=LIBO3" TargetMode="External"/><Relationship Id="rId4285" Type="http://schemas.openxmlformats.org/officeDocument/2006/relationships/hyperlink" Target="https://plants.usda.gov/core/profile?symbol=PSTE" TargetMode="External"/><Relationship Id="rId4492" Type="http://schemas.openxmlformats.org/officeDocument/2006/relationships/hyperlink" Target="https://plants.usda.gov/core/profile?symbol=VAOV" TargetMode="External"/><Relationship Id="rId5129" Type="http://schemas.openxmlformats.org/officeDocument/2006/relationships/hyperlink" Target="https://en.wikipedia.org/wiki/Melica_smithii" TargetMode="External"/><Relationship Id="rId5336" Type="http://schemas.openxmlformats.org/officeDocument/2006/relationships/hyperlink" Target="https://en.wikipedia.org/wiki/Rubus_spectabilis" TargetMode="External"/><Relationship Id="rId5543" Type="http://schemas.openxmlformats.org/officeDocument/2006/relationships/hyperlink" Target="https://en.wikipedia.org/wiki/Isoetes_occidentalis" TargetMode="External"/><Relationship Id="rId5890" Type="http://schemas.openxmlformats.org/officeDocument/2006/relationships/hyperlink" Target="http://www.burkemuseum.org/research-and-collections/botany-and-herbarium/collections/database/results.php?Genus=Lonicera&amp;Species=involucrata&amp;SourcePage=search.php&amp;IncludeSynonyms=Y&amp;SortBy=DESC&amp;SortOrder=Year" TargetMode="External"/><Relationship Id="rId6941" Type="http://schemas.openxmlformats.org/officeDocument/2006/relationships/hyperlink" Target="http://biology.burke.washington.edu/herbarium/imagecollectionnew/taxon.php?Taxon=Lonicera%20conjugialis" TargetMode="External"/><Relationship Id="rId1879" Type="http://schemas.openxmlformats.org/officeDocument/2006/relationships/hyperlink" Target="https://plants.usda.gov/core/profile?symbol=RHGL" TargetMode="External"/><Relationship Id="rId3094" Type="http://schemas.openxmlformats.org/officeDocument/2006/relationships/hyperlink" Target="http://www.burkemuseum.org/research-and-collections/botany-and-herbarium/collections/database/results.php?Genus=Linnaea&amp;Species=borealis&amp;SourcePage=search.php&amp;IncludeSynonyms=Y&amp;SortBy=DESC&amp;SortOrder=Year" TargetMode="External"/><Relationship Id="rId4145" Type="http://schemas.openxmlformats.org/officeDocument/2006/relationships/hyperlink" Target="https://plants.usda.gov/core/profile?symbol=MOHY3" TargetMode="External"/><Relationship Id="rId5750" Type="http://schemas.openxmlformats.org/officeDocument/2006/relationships/hyperlink" Target="http://www.burkemuseum.org/research-and-collections/botany-and-herbarium/collections/database/results.php?Genus=Eucephalus&amp;Species=engelmannii&amp;SourcePage=search.php&amp;IncludeSynonyms=Y&amp;SortBy=DESC&amp;SortOrder=Year" TargetMode="External"/><Relationship Id="rId6801" Type="http://schemas.openxmlformats.org/officeDocument/2006/relationships/hyperlink" Target="http://biology.burke.washington.edu/herbarium/imagecollectionnew/taxon.php?Taxon=Cuscuta%20cephalanthi" TargetMode="External"/><Relationship Id="rId1739" Type="http://schemas.openxmlformats.org/officeDocument/2006/relationships/hyperlink" Target="https://plants.usda.gov/core/profile?symbol=utgi" TargetMode="External"/><Relationship Id="rId1946" Type="http://schemas.openxmlformats.org/officeDocument/2006/relationships/hyperlink" Target="https://plants.usda.gov/core/profile?symbol=PLSC2" TargetMode="External"/><Relationship Id="rId4005" Type="http://schemas.openxmlformats.org/officeDocument/2006/relationships/hyperlink" Target="https://plants.usda.gov/core/profile?symbol=HEMIM2" TargetMode="External"/><Relationship Id="rId4352" Type="http://schemas.openxmlformats.org/officeDocument/2006/relationships/hyperlink" Target="https://plants.usda.gov/core/profile?symbol=SACO2" TargetMode="External"/><Relationship Id="rId5403" Type="http://schemas.openxmlformats.org/officeDocument/2006/relationships/hyperlink" Target="https://en.wikipedia.org/wiki/Sidalcea_nelsoniana" TargetMode="External"/><Relationship Id="rId5610" Type="http://schemas.openxmlformats.org/officeDocument/2006/relationships/hyperlink" Target="http://www.burkemuseum.org/research-and-collections/botany-and-herbarium/collections/database/results.php?Genus=Castilleja&amp;Species=attenuata&amp;SourcePage=search.php&amp;IncludeSynonyms=Y&amp;SortBy=DESC&amp;SortOrder=Year" TargetMode="External"/><Relationship Id="rId1806" Type="http://schemas.openxmlformats.org/officeDocument/2006/relationships/hyperlink" Target="http://plants.usda.gov/java/profile?symbol=SIAN2" TargetMode="External"/><Relationship Id="rId3161" Type="http://schemas.openxmlformats.org/officeDocument/2006/relationships/hyperlink" Target="http://www.burkemuseum.org/research-and-collections/botany-and-herbarium/collections/database/results.php?Genus=Myriophyllum&amp;Species=verticillatum&amp;SourcePage=search.php&amp;IncludeSynonyms=Y&amp;SortBy=DESC&amp;SortOrder=Year" TargetMode="External"/><Relationship Id="rId4212" Type="http://schemas.openxmlformats.org/officeDocument/2006/relationships/hyperlink" Target="https://plants.usda.gov/core/profile?symbol=PHHE2" TargetMode="External"/><Relationship Id="rId3021" Type="http://schemas.openxmlformats.org/officeDocument/2006/relationships/hyperlink" Target="http://www.burkemuseum.org/research-and-collections/botany-and-herbarium/collections/database/results.php?Genus=Glyceria&amp;Species=grandis&amp;SourcePage=search.php&amp;IncludeSynonyms=Y&amp;SortBy=DESC&amp;SortOrder=Year" TargetMode="External"/><Relationship Id="rId3978" Type="http://schemas.openxmlformats.org/officeDocument/2006/relationships/hyperlink" Target="https://plants.usda.gov/core/profile?symbol=GECA5" TargetMode="External"/><Relationship Id="rId6177" Type="http://schemas.openxmlformats.org/officeDocument/2006/relationships/hyperlink" Target="http://www.burkemuseum.org/research-and-collections/botany-and-herbarium/collections/database/results.php?Genus=Saxifraga&amp;Species=bronchialis&amp;SourcePage=search.php&amp;IncludeSynonyms=Y&amp;SortBy=DESC&amp;SortOrder=Year" TargetMode="External"/><Relationship Id="rId6384" Type="http://schemas.openxmlformats.org/officeDocument/2006/relationships/hyperlink" Target="http://biology.burke.washington.edu/herbarium/imagecollectionnew/taxon.php?Taxon=Aspidotis%20densa" TargetMode="External"/><Relationship Id="rId6591" Type="http://schemas.openxmlformats.org/officeDocument/2006/relationships/hyperlink" Target="http://biology.burke.washington.edu/herbarium/imagecollection/taxon.php?Taxon=Opuntia%20fragilis" TargetMode="External"/><Relationship Id="rId7228" Type="http://schemas.openxmlformats.org/officeDocument/2006/relationships/hyperlink" Target="http://biology.burke.washington.edu/herbarium/imagecollection/taxon.php?Taxon=Polypodium%20scouleri" TargetMode="External"/><Relationship Id="rId899" Type="http://schemas.openxmlformats.org/officeDocument/2006/relationships/hyperlink" Target="https://en.wikipedia.org/wiki/Cirsium_remotifolium" TargetMode="External"/><Relationship Id="rId2787" Type="http://schemas.openxmlformats.org/officeDocument/2006/relationships/hyperlink" Target="http://www.burkemuseum.org/research-and-collections/botany-and-herbarium/collections/database/results.php?Genus=Baccharis&amp;Species=pilularis&amp;SourcePage=search.php&amp;IncludeSynonyms=Y&amp;SortBy=DESC&amp;SortOrder=Year" TargetMode="External"/><Relationship Id="rId3838" Type="http://schemas.openxmlformats.org/officeDocument/2006/relationships/hyperlink" Target="https://plants.usda.gov/core/profile?symbol=CLSIS" TargetMode="External"/><Relationship Id="rId5193" Type="http://schemas.openxmlformats.org/officeDocument/2006/relationships/hyperlink" Target="https://en.wikipedia.org/wiki/Ozomelis_trifida" TargetMode="External"/><Relationship Id="rId6037" Type="http://schemas.openxmlformats.org/officeDocument/2006/relationships/hyperlink" Target="http://www.burkemuseum.org/research-and-collections/botany-and-herbarium/collections/database/results.php?Genus=Platanthera&amp;Species=transversa&amp;SourcePage=search.php&amp;IncludeSynonyms=Y&amp;SortBy=DESC&amp;SortOrder=Year" TargetMode="External"/><Relationship Id="rId6244" Type="http://schemas.openxmlformats.org/officeDocument/2006/relationships/hyperlink" Target="http://www.burkemuseum.org/research-and-collections/botany-and-herbarium/collections/database/results.php?Genus=Symphyotrichum&amp;Species=boreale&amp;SourcePage=search.php&amp;IncludeSynonyms=Y&amp;SortBy=DESC&amp;SortOrder=Year" TargetMode="External"/><Relationship Id="rId6451" Type="http://schemas.openxmlformats.org/officeDocument/2006/relationships/hyperlink" Target="http://biology.burke.washington.edu/herbarium/imagecollectionnew/taxon.php?Taxon=Danthonia%20intermedia" TargetMode="External"/><Relationship Id="rId759" Type="http://schemas.openxmlformats.org/officeDocument/2006/relationships/hyperlink" Target="https://en.wikipedia.org/wiki/Cryptantha_intermedia" TargetMode="External"/><Relationship Id="rId966" Type="http://schemas.openxmlformats.org/officeDocument/2006/relationships/hyperlink" Target="https://en.wikipedia.org/wiki/Cakile_edentula" TargetMode="External"/><Relationship Id="rId1389" Type="http://schemas.openxmlformats.org/officeDocument/2006/relationships/hyperlink" Target="http://biology.burke.washington.edu/herbarium/imagecollection/taxon.php?Taxon=Pinus%20contorta" TargetMode="External"/><Relationship Id="rId1596" Type="http://schemas.openxmlformats.org/officeDocument/2006/relationships/hyperlink" Target="https://en.wikipedia.org/wiki/Carex" TargetMode="External"/><Relationship Id="rId2647" Type="http://schemas.openxmlformats.org/officeDocument/2006/relationships/hyperlink" Target="http://biology.burke.washington.edu/herbarium/imagecollectionnew/taxon.php?Taxon=Gamochaeta%20ustulata" TargetMode="External"/><Relationship Id="rId2994" Type="http://schemas.openxmlformats.org/officeDocument/2006/relationships/hyperlink" Target="http://www.burkemuseum.org/research-and-collections/botany-and-herbarium/collections/database/results.php?Genus=Festuca&amp;Species=idahoensis&amp;SourcePage=search.php&amp;IncludeSynonyms=Y&amp;SortBy=DESC&amp;SortOrder=Year" TargetMode="External"/><Relationship Id="rId5053" Type="http://schemas.openxmlformats.org/officeDocument/2006/relationships/hyperlink" Target="https://en.wikipedia.org/wiki/Juniperus_maritima" TargetMode="External"/><Relationship Id="rId5260" Type="http://schemas.openxmlformats.org/officeDocument/2006/relationships/hyperlink" Target="https://en.wikipedia.org/wiki/Polystichum_imbricans" TargetMode="External"/><Relationship Id="rId6104" Type="http://schemas.openxmlformats.org/officeDocument/2006/relationships/hyperlink" Target="http://www.burkemuseum.org/research-and-collections/botany-and-herbarium/collections/database/results.php?Genus=Ranunculus&amp;Species=uncinatus&amp;SourcePage=search.php&amp;IncludeSynonyms=Y&amp;SortBy=DESC&amp;SortOrder=Year" TargetMode="External"/><Relationship Id="rId6311" Type="http://schemas.openxmlformats.org/officeDocument/2006/relationships/hyperlink" Target="http://www.burkemuseum.org/research-and-collections/botany-and-herbarium/collections/database/results.php?Genus=Viola&amp;Species=glabella&amp;SourcePage=search.php&amp;IncludeSynonyms=Y&amp;SortBy=DESC&amp;SortOrder=Year" TargetMode="External"/><Relationship Id="rId619" Type="http://schemas.openxmlformats.org/officeDocument/2006/relationships/hyperlink" Target="https://en.wikipedia.org/wiki/Salix_scouleriana" TargetMode="External"/><Relationship Id="rId1249" Type="http://schemas.openxmlformats.org/officeDocument/2006/relationships/hyperlink" Target="https://en.wikipedia.org/wiki/Erythronium_quinaultense" TargetMode="External"/><Relationship Id="rId2854" Type="http://schemas.openxmlformats.org/officeDocument/2006/relationships/hyperlink" Target="http://www.burkemuseum.org/research-and-collections/botany-and-herbarium/collections/database/results.php?Genus=Carex&amp;Species=stipata&amp;SourcePage=search.php&amp;IncludeSynonyms=Y&amp;SortBy=DESC&amp;SortOrder=Year" TargetMode="External"/><Relationship Id="rId3905" Type="http://schemas.openxmlformats.org/officeDocument/2006/relationships/hyperlink" Target="https://plants.usda.gov/core/profile?symbol=ecpu" TargetMode="External"/><Relationship Id="rId5120" Type="http://schemas.openxmlformats.org/officeDocument/2006/relationships/hyperlink" Target="https://en.wikipedia.org/wiki/Madia_sativa" TargetMode="External"/><Relationship Id="rId95" Type="http://schemas.openxmlformats.org/officeDocument/2006/relationships/hyperlink" Target="http://biology.burke.washington.edu/herbarium/imagecollection/taxon.php?Taxon=Rubus%20leucodermis" TargetMode="External"/><Relationship Id="rId826" Type="http://schemas.openxmlformats.org/officeDocument/2006/relationships/hyperlink" Target="https://en.wikipedia.org/wiki/Orobanche_californica" TargetMode="External"/><Relationship Id="rId1109" Type="http://schemas.openxmlformats.org/officeDocument/2006/relationships/hyperlink" Target="https://en.wikipedia.org/wiki/Lactuca_biennis" TargetMode="External"/><Relationship Id="rId1456" Type="http://schemas.openxmlformats.org/officeDocument/2006/relationships/hyperlink" Target="http://biology.burke.washington.edu/herbarium/imagecollectionnew/taxon.php?Taxon=Vaccinium%20deliciosum" TargetMode="External"/><Relationship Id="rId1663" Type="http://schemas.openxmlformats.org/officeDocument/2006/relationships/hyperlink" Target="http://biology.burke.washington.edu/herbarium/imagecollection/taxon.php?Taxon=Platanthera%20stricta" TargetMode="External"/><Relationship Id="rId1870" Type="http://schemas.openxmlformats.org/officeDocument/2006/relationships/hyperlink" Target="http://plants.usda.gov/java/profile?symbol=ROCU" TargetMode="External"/><Relationship Id="rId2507" Type="http://schemas.openxmlformats.org/officeDocument/2006/relationships/hyperlink" Target="http://plants.usda.gov/java/profile?symbol=PHNE2" TargetMode="External"/><Relationship Id="rId2714" Type="http://schemas.openxmlformats.org/officeDocument/2006/relationships/hyperlink" Target="http://www.burkemuseum.org/research-and-collections/botany-and-herbarium/collections/database/results.php?Genus=Abies&amp;Species=lasiocarpa&amp;SourcePage=search.php&amp;IncludeSynonyms=Y&amp;SortBy=DESC&amp;SortOrder=Year" TargetMode="External"/><Relationship Id="rId2921" Type="http://schemas.openxmlformats.org/officeDocument/2006/relationships/hyperlink" Target="http://www.burkemuseum.org/research-and-collections/botany-and-herbarium/collections/database/results.php?Genus=Cyperus&amp;Species=bipartitus&amp;SourcePage=search.php&amp;IncludeSynonyms=Y&amp;SortBy=DESC&amp;SortOrder=Year" TargetMode="External"/><Relationship Id="rId7085" Type="http://schemas.openxmlformats.org/officeDocument/2006/relationships/hyperlink" Target="http://biology.burke.washington.edu/herbarium/imagecollectionnew/taxon.php?Taxon=Vaccinium%20uliginosum" TargetMode="External"/><Relationship Id="rId1316" Type="http://schemas.openxmlformats.org/officeDocument/2006/relationships/hyperlink" Target="http://biology.burke.washington.edu/herbarium/imagecollection/taxon.php?Taxon=Salix%20planifolia" TargetMode="External"/><Relationship Id="rId1523" Type="http://schemas.openxmlformats.org/officeDocument/2006/relationships/hyperlink" Target="https://en.wikipedia.org/wiki/Prosartes_smithii" TargetMode="External"/><Relationship Id="rId1730" Type="http://schemas.openxmlformats.org/officeDocument/2006/relationships/hyperlink" Target="http://plants.usda.gov/java/profile?symbol=VASI" TargetMode="External"/><Relationship Id="rId4679" Type="http://schemas.openxmlformats.org/officeDocument/2006/relationships/hyperlink" Target="http://www.burkemuseum.org/research-and-collections/botany-and-herbarium/collections/database/results.php?Genus=Botrychium&amp;Species=multifidum&amp;SourcePage=search.php&amp;IncludeSynonyms=Y&amp;SortBy=DESC&amp;SortOrder=Year" TargetMode="External"/><Relationship Id="rId4886" Type="http://schemas.openxmlformats.org/officeDocument/2006/relationships/hyperlink" Target="https://en.wikipedia.org/wiki/Danthonia_californica" TargetMode="External"/><Relationship Id="rId5937" Type="http://schemas.openxmlformats.org/officeDocument/2006/relationships/hyperlink" Target="http://www.burkemuseum.org/research-and-collections/botany-and-herbarium/collections/database/results.php?Genus=Micranthes&amp;Species=oregana&amp;SourcePage=search.php&amp;IncludeSynonyms=Y&amp;SortBy=DESC&amp;SortOrder=Year" TargetMode="External"/><Relationship Id="rId22" Type="http://schemas.openxmlformats.org/officeDocument/2006/relationships/hyperlink" Target="http://biology.burke.washington.edu/herbarium/imagecollection/taxon.php?Taxon=Adenocaulon%20bicolor" TargetMode="External"/><Relationship Id="rId3488" Type="http://schemas.openxmlformats.org/officeDocument/2006/relationships/hyperlink" Target="http://www.burkemuseum.org/research-and-collections/botany-and-herbarium/collections/database/results.php?Genus=Darlingtonia&amp;Species=californica&amp;SourcePage=search.php&amp;IncludeSynonyms=Y&amp;SortBy=DESC&amp;SortOrder=Year" TargetMode="External"/><Relationship Id="rId3695" Type="http://schemas.openxmlformats.org/officeDocument/2006/relationships/hyperlink" Target="https://plants.usda.gov/core/profile?symbol=ARCO9" TargetMode="External"/><Relationship Id="rId4539" Type="http://schemas.openxmlformats.org/officeDocument/2006/relationships/hyperlink" Target="https://en.wikipedia.org/wiki/Aconitum_columbianum" TargetMode="External"/><Relationship Id="rId4746" Type="http://schemas.openxmlformats.org/officeDocument/2006/relationships/hyperlink" Target="https://en.wikipedia.org/wiki/Boykinia_intermedia" TargetMode="External"/><Relationship Id="rId4953" Type="http://schemas.openxmlformats.org/officeDocument/2006/relationships/hyperlink" Target="https://en.wikipedia.org/wiki/Erythranthe_guttata" TargetMode="External"/><Relationship Id="rId7152" Type="http://schemas.openxmlformats.org/officeDocument/2006/relationships/hyperlink" Target="http://biology.burke.washington.edu/herbarium/imagecollectionnew/taxon.php?Taxon=Sanicula%20crassicaulis" TargetMode="External"/><Relationship Id="rId2297" Type="http://schemas.openxmlformats.org/officeDocument/2006/relationships/hyperlink" Target="http://plants.usda.gov/java/profile?symbol=CAVI5" TargetMode="External"/><Relationship Id="rId3348" Type="http://schemas.openxmlformats.org/officeDocument/2006/relationships/hyperlink" Target="http://www.burkemuseum.org/research-and-collections/botany-and-herbarium/collections/database/results.php?Genus=Sidalcea&amp;Species=nelsoniana&amp;SourcePage=search.php&amp;IncludeSynonyms=Y&amp;SortBy=DESC&amp;SortOrder=Year" TargetMode="External"/><Relationship Id="rId3555" Type="http://schemas.openxmlformats.org/officeDocument/2006/relationships/hyperlink" Target="http://www.burkemuseum.org/research-and-collections/botany-and-herbarium/collections/database/results.php?Genus=Plectritis&amp;Species=congesta&amp;SourcePage=search.php&amp;IncludeSynonyms=Y&amp;SortBy=DESC&amp;SortOrder=Year" TargetMode="External"/><Relationship Id="rId3762" Type="http://schemas.openxmlformats.org/officeDocument/2006/relationships/hyperlink" Target="https://plants.usda.gov/core/profile?symbol=CARA3" TargetMode="External"/><Relationship Id="rId4606" Type="http://schemas.openxmlformats.org/officeDocument/2006/relationships/hyperlink" Target="http://www.burkemuseum.org/research-and-collections/botany-and-herbarium/collections/database/results.php?Genus=Alnus&amp;Species=incana&amp;SourcePage=search.php&amp;IncludeSynonyms=Y&amp;SortBy=DESC&amp;SortOrder=Year" TargetMode="External"/><Relationship Id="rId4813" Type="http://schemas.openxmlformats.org/officeDocument/2006/relationships/hyperlink" Target="https://en.wikipedia.org/wiki/Carex_viridula" TargetMode="External"/><Relationship Id="rId7012" Type="http://schemas.openxmlformats.org/officeDocument/2006/relationships/hyperlink" Target="http://biology.burke.washington.edu/herbarium/imagecollectionnew/taxon.php?Taxon=Cicuta%20bulbifera" TargetMode="External"/><Relationship Id="rId269" Type="http://schemas.openxmlformats.org/officeDocument/2006/relationships/hyperlink" Target="http://biology.burke.washington.edu/herbarium/imagecollection/taxon.php?Taxon=Hordeum%20depressum" TargetMode="External"/><Relationship Id="rId476" Type="http://schemas.openxmlformats.org/officeDocument/2006/relationships/hyperlink" Target="http://biology.burke.washington.edu/herbarium/imagecollectionnew/taxon.php?Taxon=Viburnum%20opulus" TargetMode="External"/><Relationship Id="rId683" Type="http://schemas.openxmlformats.org/officeDocument/2006/relationships/hyperlink" Target="https://en.wikipedia.org/wiki/Fritillaria_pudica" TargetMode="External"/><Relationship Id="rId890" Type="http://schemas.openxmlformats.org/officeDocument/2006/relationships/hyperlink" Target="https://en.wikipedia.org/wiki/Clinopodium" TargetMode="External"/><Relationship Id="rId2157" Type="http://schemas.openxmlformats.org/officeDocument/2006/relationships/hyperlink" Target="http://plants.usda.gov/java/profile?symbol=FRVE" TargetMode="External"/><Relationship Id="rId2364" Type="http://schemas.openxmlformats.org/officeDocument/2006/relationships/hyperlink" Target="http://plants.usda.gov/java/profile?symbol=MANE2" TargetMode="External"/><Relationship Id="rId2571" Type="http://schemas.openxmlformats.org/officeDocument/2006/relationships/hyperlink" Target="http://plants.usda.gov/java/profile?symbol=COGR2" TargetMode="External"/><Relationship Id="rId3208" Type="http://schemas.openxmlformats.org/officeDocument/2006/relationships/hyperlink" Target="http://www.burkemuseum.org/research-and-collections/botany-and-herbarium/collections/database/results.php?Genus=Plagiobothrys&amp;Species=figuratus&amp;SourcePage=search.php&amp;IncludeSynonyms=Y&amp;SortBy=DESC&amp;SortOrder=Year" TargetMode="External"/><Relationship Id="rId3415" Type="http://schemas.openxmlformats.org/officeDocument/2006/relationships/hyperlink" Target="http://www.burkemuseum.org/research-and-collections/botany-and-herbarium/collections/database/results.php?Genus=Typha&amp;Species=latifolia&amp;SourcePage=search.php&amp;IncludeSynonyms=Y&amp;SortBy=DESC&amp;SortOrder=Year" TargetMode="External"/><Relationship Id="rId6778" Type="http://schemas.openxmlformats.org/officeDocument/2006/relationships/hyperlink" Target="http://biology.burke.washington.edu/herbarium/imagecollection/taxon.php?Taxon=Geranium%20bicknellii" TargetMode="External"/><Relationship Id="rId129" Type="http://schemas.openxmlformats.org/officeDocument/2006/relationships/hyperlink" Target="http://biology.burke.washington.edu/herbarium/imagecollection/taxon.php?Taxon=Goodyera%20oblongifolia" TargetMode="External"/><Relationship Id="rId336" Type="http://schemas.openxmlformats.org/officeDocument/2006/relationships/hyperlink" Target="http://biology.burke.washington.edu/herbarium/imagecollectionnew/taxon.php?Taxon=Campanula%20rotundifolia" TargetMode="External"/><Relationship Id="rId543" Type="http://schemas.openxmlformats.org/officeDocument/2006/relationships/hyperlink" Target="https://en.wikipedia.org/wiki/Trifolium_variegatum" TargetMode="External"/><Relationship Id="rId1173" Type="http://schemas.openxmlformats.org/officeDocument/2006/relationships/hyperlink" Target="https://en.wikipedia.org/wiki/Heuchera_cylindrica" TargetMode="External"/><Relationship Id="rId1380" Type="http://schemas.openxmlformats.org/officeDocument/2006/relationships/hyperlink" Target="http://biology.burke.washington.edu/herbarium/imagecollection/taxon.php?Taxon=Rubus%20ursinus" TargetMode="External"/><Relationship Id="rId2017" Type="http://schemas.openxmlformats.org/officeDocument/2006/relationships/hyperlink" Target="https://plants.usda.gov/core/profile?symbol=sain4" TargetMode="External"/><Relationship Id="rId2224" Type="http://schemas.openxmlformats.org/officeDocument/2006/relationships/hyperlink" Target="http://plants.usda.gov/java/profile?symbol=DAPU3" TargetMode="External"/><Relationship Id="rId3622" Type="http://schemas.openxmlformats.org/officeDocument/2006/relationships/hyperlink" Target="https://en.wikipedia.org/wiki/Abies_lasiocarpa" TargetMode="External"/><Relationship Id="rId5587" Type="http://schemas.openxmlformats.org/officeDocument/2006/relationships/hyperlink" Target="http://www.burkemuseum.org/research-and-collections/botany-and-herbarium/collections/database/results.php?Genus=Carex&amp;Species=limosa&amp;SourcePage=search.php&amp;IncludeSynonyms=Y&amp;SortBy=DESC&amp;SortOrder=Year" TargetMode="External"/><Relationship Id="rId6985" Type="http://schemas.openxmlformats.org/officeDocument/2006/relationships/hyperlink" Target="http://biology.burke.washington.edu/herbarium/imagecollection/taxon.php?Taxon=Epipactis%20gigantea" TargetMode="External"/><Relationship Id="rId403" Type="http://schemas.openxmlformats.org/officeDocument/2006/relationships/hyperlink" Target="http://biology.burke.washington.edu/herbarium/imagecollectionnew/taxon.php?Taxon=Clematis%20ligusticifolia" TargetMode="External"/><Relationship Id="rId750" Type="http://schemas.openxmlformats.org/officeDocument/2006/relationships/hyperlink" Target="https://en.wikipedia.org/wiki/Danthonia_spicata" TargetMode="External"/><Relationship Id="rId1033" Type="http://schemas.openxmlformats.org/officeDocument/2006/relationships/hyperlink" Target="https://en.wikipedia.org/wiki/Agoseris_grandiflora" TargetMode="External"/><Relationship Id="rId2431" Type="http://schemas.openxmlformats.org/officeDocument/2006/relationships/hyperlink" Target="http://plants.usda.gov/java/profile?symbol=ACRU2" TargetMode="External"/><Relationship Id="rId4189" Type="http://schemas.openxmlformats.org/officeDocument/2006/relationships/hyperlink" Target="https://plants.usda.gov/core/profile?symbol=OXCA4" TargetMode="External"/><Relationship Id="rId5794" Type="http://schemas.openxmlformats.org/officeDocument/2006/relationships/hyperlink" Target="http://www.burkemuseum.org/research-and-collections/botany-and-herbarium/collections/database/results.php?Genus=Gymnocarpium&amp;Species=dryopteris&amp;SourcePage=search.php&amp;IncludeSynonyms=Y&amp;SortBy=DESC&amp;SortOrder=Year" TargetMode="External"/><Relationship Id="rId6638" Type="http://schemas.openxmlformats.org/officeDocument/2006/relationships/hyperlink" Target="http://biology.burke.washington.edu/herbarium/imagecollectionnew/taxon.php?Taxon=Stellaria%20nitens" TargetMode="External"/><Relationship Id="rId6845" Type="http://schemas.openxmlformats.org/officeDocument/2006/relationships/hyperlink" Target="http://biology.burke.washington.edu/herbarium/imagecollectionnew/taxon.php?Taxon=Bolboschoenus%20maritimus" TargetMode="External"/><Relationship Id="rId610" Type="http://schemas.openxmlformats.org/officeDocument/2006/relationships/hyperlink" Target="https://en.wikipedia.org/wiki/Saxifraga_cespitosa" TargetMode="External"/><Relationship Id="rId1240" Type="http://schemas.openxmlformats.org/officeDocument/2006/relationships/hyperlink" Target="http://biology.burke.washington.edu/herbarium/imagecollectionnew/taxon.php?Taxon=Corydalis%20aquae-gelidae" TargetMode="External"/><Relationship Id="rId4049" Type="http://schemas.openxmlformats.org/officeDocument/2006/relationships/hyperlink" Target="https://plants.usda.gov/core/profile?symbol=JUSC2" TargetMode="External"/><Relationship Id="rId4396" Type="http://schemas.openxmlformats.org/officeDocument/2006/relationships/hyperlink" Target="https://plants.usda.gov/core/profile?symbol=SESE3" TargetMode="External"/><Relationship Id="rId5447" Type="http://schemas.openxmlformats.org/officeDocument/2006/relationships/hyperlink" Target="https://en.wikipedia.org/wiki/Symphyotrichum_chilense" TargetMode="External"/><Relationship Id="rId5654" Type="http://schemas.openxmlformats.org/officeDocument/2006/relationships/hyperlink" Target="http://www.burkemuseum.org/research-and-collections/botany-and-herbarium/collections/database/results.php?Genus=Collomia&amp;Species=linearis&amp;SourcePage=search.php&amp;IncludeSynonyms=Y&amp;SortBy=DESC&amp;SortOrder=Year" TargetMode="External"/><Relationship Id="rId5861" Type="http://schemas.openxmlformats.org/officeDocument/2006/relationships/hyperlink" Target="http://www.burkemuseum.org/research-and-collections/botany-and-herbarium/collections/database/results.php?Genus=Lathyrus&amp;Species=polyphyllus&amp;SourcePage=search.php&amp;IncludeSynonyms=Y&amp;SortBy=DESC&amp;SortOrder=Year" TargetMode="External"/><Relationship Id="rId6705" Type="http://schemas.openxmlformats.org/officeDocument/2006/relationships/hyperlink" Target="http://biology.burke.washington.edu/herbarium/imagecollection/taxon.php?Taxon=Oxytropis%20borealis" TargetMode="External"/><Relationship Id="rId6912" Type="http://schemas.openxmlformats.org/officeDocument/2006/relationships/hyperlink" Target="http://biology.burke.washington.edu/herbarium/imagecollection/taxon.php?Taxon=Platanthera%20chorisiana" TargetMode="External"/><Relationship Id="rId1100" Type="http://schemas.openxmlformats.org/officeDocument/2006/relationships/hyperlink" Target="https://en.wikipedia.org/wiki/Leersia_oryzoides" TargetMode="External"/><Relationship Id="rId4256" Type="http://schemas.openxmlformats.org/officeDocument/2006/relationships/hyperlink" Target="https://plants.usda.gov/core/profile?symbol=POIM" TargetMode="External"/><Relationship Id="rId4463" Type="http://schemas.openxmlformats.org/officeDocument/2006/relationships/hyperlink" Target="https://plants.usda.gov/core/profile?symbol=TORY" TargetMode="External"/><Relationship Id="rId4670" Type="http://schemas.openxmlformats.org/officeDocument/2006/relationships/hyperlink" Target="http://www.burkemuseum.org/research-and-collections/botany-and-herbarium/collections/database/results.php?Genus=Betula&amp;Species=pumila&amp;SourcePage=search.php&amp;IncludeSynonyms=Y&amp;SortBy=DESC&amp;SortOrder=Year" TargetMode="External"/><Relationship Id="rId5307" Type="http://schemas.openxmlformats.org/officeDocument/2006/relationships/hyperlink" Target="https://en.wikipedia.org/wiki/Rhododendron_albiflorum" TargetMode="External"/><Relationship Id="rId5514" Type="http://schemas.openxmlformats.org/officeDocument/2006/relationships/hyperlink" Target="https://en.wikipedia.org/wiki/Viola_howellii" TargetMode="External"/><Relationship Id="rId5721" Type="http://schemas.openxmlformats.org/officeDocument/2006/relationships/hyperlink" Target="http://www.burkemuseum.org/research-and-collections/botany-and-herbarium/collections/database/results.php?Genus=Epilobium&amp;Species=minutum&amp;SourcePage=search.php&amp;IncludeSynonyms=Y&amp;SortBy=DESC&amp;SortOrder=Year" TargetMode="External"/><Relationship Id="rId1917" Type="http://schemas.openxmlformats.org/officeDocument/2006/relationships/hyperlink" Target="http://plants.usda.gov/java/profile?symbol=POIL" TargetMode="External"/><Relationship Id="rId3065" Type="http://schemas.openxmlformats.org/officeDocument/2006/relationships/hyperlink" Target="http://www.burkemuseum.org/research-and-collections/botany-and-herbarium/collections/database/results.php?Genus=Juncus&amp;Species=oxymeris&amp;SourcePage=search.php&amp;IncludeSynonyms=Y&amp;SortBy=DESC&amp;SortOrder=Year" TargetMode="External"/><Relationship Id="rId3272" Type="http://schemas.openxmlformats.org/officeDocument/2006/relationships/hyperlink" Target="http://www.burkemuseum.org/research-and-collections/botany-and-herbarium/collections/database/results.php?Genus=Ranunculus&amp;Species=sceleratus&amp;SourcePage=search.php&amp;IncludeSynonyms=Y&amp;SortBy=DESC&amp;SortOrder=Year" TargetMode="External"/><Relationship Id="rId4116" Type="http://schemas.openxmlformats.org/officeDocument/2006/relationships/hyperlink" Target="https://plants.usda.gov/core/profile?symbol=MAGL2" TargetMode="External"/><Relationship Id="rId4323" Type="http://schemas.openxmlformats.org/officeDocument/2006/relationships/hyperlink" Target="https://plants.usda.gov/core/profile?symbol=RISA" TargetMode="External"/><Relationship Id="rId4530" Type="http://schemas.openxmlformats.org/officeDocument/2006/relationships/hyperlink" Target="https://plants.usda.gov/core/profile?symbol=BOHO" TargetMode="External"/><Relationship Id="rId193" Type="http://schemas.openxmlformats.org/officeDocument/2006/relationships/hyperlink" Target="http://biology.burke.washington.edu/herbarium/imagecollection/taxon.php?Taxon=Montia%20howellii" TargetMode="External"/><Relationship Id="rId2081" Type="http://schemas.openxmlformats.org/officeDocument/2006/relationships/hyperlink" Target="https://plants.usda.gov/core/profile?symbol=LAHO2" TargetMode="External"/><Relationship Id="rId3132" Type="http://schemas.openxmlformats.org/officeDocument/2006/relationships/hyperlink" Target="http://www.burkemuseum.org/research-and-collections/botany-and-herbarium/collections/database/results.php?Genus=Melica&amp;Species=subulata&amp;SourcePage=search.php&amp;IncludeSynonyms=Y&amp;SortBy=DESC&amp;SortOrder=Year" TargetMode="External"/><Relationship Id="rId6288" Type="http://schemas.openxmlformats.org/officeDocument/2006/relationships/hyperlink" Target="http://www.burkemuseum.org/research-and-collections/botany-and-herbarium/collections/database/results.php?Genus=Vaccinium&amp;Species=deliciosum&amp;SourcePage=search.php&amp;IncludeSynonyms=Y&amp;SortBy=DESC&amp;SortOrder=Year" TargetMode="External"/><Relationship Id="rId6495" Type="http://schemas.openxmlformats.org/officeDocument/2006/relationships/hyperlink" Target="http://biology.burke.washington.edu/herbarium/imagecollection/taxon.php?Taxon=Euonymus%20occidentalis" TargetMode="External"/><Relationship Id="rId260" Type="http://schemas.openxmlformats.org/officeDocument/2006/relationships/hyperlink" Target="http://biology.burke.washington.edu/herbarium/imagecollection/taxon.php?Taxon=Eucephalus%20engelmannii" TargetMode="External"/><Relationship Id="rId5097" Type="http://schemas.openxmlformats.org/officeDocument/2006/relationships/hyperlink" Target="https://en.wikipedia.org/wiki/Lupinus_albicaulis" TargetMode="External"/><Relationship Id="rId6148" Type="http://schemas.openxmlformats.org/officeDocument/2006/relationships/hyperlink" Target="http://www.burkemuseum.org/research-and-collections/botany-and-herbarium/collections/database/results.php?Genus=Salix&amp;Species=amygdaloides&amp;SourcePage=search.php&amp;IncludeSynonyms=Y&amp;SortBy=DESC&amp;SortOrder=Year" TargetMode="External"/><Relationship Id="rId6355" Type="http://schemas.openxmlformats.org/officeDocument/2006/relationships/hyperlink" Target="http://biology.burke.washington.edu/herbarium/imagecollectionnew/taxon.php?Taxon=Allium%20acuminatum" TargetMode="External"/><Relationship Id="rId120" Type="http://schemas.openxmlformats.org/officeDocument/2006/relationships/hyperlink" Target="http://biology.burke.washington.edu/herbarium/imagecollection/taxon.php?Taxon=Picea%20engelmannii" TargetMode="External"/><Relationship Id="rId2898" Type="http://schemas.openxmlformats.org/officeDocument/2006/relationships/hyperlink" Target="http://www.burkemuseum.org/research-and-collections/botany-and-herbarium/collections/database/results.php?Genus=Collinsia&amp;Species=parviflora&amp;SourcePage=search.php&amp;IncludeSynonyms=Y&amp;SortBy=DESC&amp;SortOrder=Year" TargetMode="External"/><Relationship Id="rId3949" Type="http://schemas.openxmlformats.org/officeDocument/2006/relationships/hyperlink" Target="https://plants.usda.gov/core/profile?symbol=EUEN" TargetMode="External"/><Relationship Id="rId5164" Type="http://schemas.openxmlformats.org/officeDocument/2006/relationships/hyperlink" Target="https://en.wikipedia.org/wiki/Myriopteris_gracillima" TargetMode="External"/><Relationship Id="rId6008" Type="http://schemas.openxmlformats.org/officeDocument/2006/relationships/hyperlink" Target="http://www.burkemuseum.org/research-and-collections/botany-and-herbarium/collections/database/results.php?Genus=Perideridia&amp;Species=montana&amp;SourcePage=search.php&amp;IncludeSynonyms=Y&amp;SortBy=DESC&amp;SortOrder=Year" TargetMode="External"/><Relationship Id="rId6215" Type="http://schemas.openxmlformats.org/officeDocument/2006/relationships/hyperlink" Target="http://www.burkemuseum.org/research-and-collections/botany-and-herbarium/collections/database/results.php?Genus=Sparganium&amp;Species=angustifolium&amp;SourcePage=search.php&amp;IncludeSynonyms=Y&amp;SortBy=DESC&amp;SortOrder=Year" TargetMode="External"/><Relationship Id="rId6562" Type="http://schemas.openxmlformats.org/officeDocument/2006/relationships/hyperlink" Target="http://biology.burke.washington.edu/herbarium/imagecollection/taxon.php?Taxon=Lupinus%20latifolius" TargetMode="External"/><Relationship Id="rId2758" Type="http://schemas.openxmlformats.org/officeDocument/2006/relationships/hyperlink" Target="http://www.burkemuseum.org/research-and-collections/botany-and-herbarium/collections/database/results.php?Genus=Anticlea&amp;Species=occidentalis&amp;SourcePage=search.php&amp;IncludeSynonyms=Y&amp;SortBy=DESC&amp;SortOrder=Year" TargetMode="External"/><Relationship Id="rId2965" Type="http://schemas.openxmlformats.org/officeDocument/2006/relationships/hyperlink" Target="http://www.burkemuseum.org/research-and-collections/botany-and-herbarium/collections/database/results.php?Genus=Epilobium&amp;Species=minutum&amp;SourcePage=search.php&amp;IncludeSynonyms=Y&amp;SortBy=DESC&amp;SortOrder=Year" TargetMode="External"/><Relationship Id="rId3809" Type="http://schemas.openxmlformats.org/officeDocument/2006/relationships/hyperlink" Target="https://plants.usda.gov/core/profile?symbol=CEIN3" TargetMode="External"/><Relationship Id="rId5024" Type="http://schemas.openxmlformats.org/officeDocument/2006/relationships/hyperlink" Target="https://en.wikipedia.org/wiki/Hordeum_brachyantherum" TargetMode="External"/><Relationship Id="rId5371" Type="http://schemas.openxmlformats.org/officeDocument/2006/relationships/hyperlink" Target="https://en.wikipedia.org/wiki/Sanguisorba_officinalis" TargetMode="External"/><Relationship Id="rId6422" Type="http://schemas.openxmlformats.org/officeDocument/2006/relationships/hyperlink" Target="http://biology.burke.washington.edu/herbarium/imagecollectionnew/taxon.php?Taxon=Ceanothus%20integerrimus" TargetMode="External"/><Relationship Id="rId937" Type="http://schemas.openxmlformats.org/officeDocument/2006/relationships/hyperlink" Target="https://en.wikipedia.org/wiki/Carex" TargetMode="External"/><Relationship Id="rId1567" Type="http://schemas.openxmlformats.org/officeDocument/2006/relationships/hyperlink" Target="https://en.wikipedia.org/wiki/Claytonia_sibirica" TargetMode="External"/><Relationship Id="rId1774" Type="http://schemas.openxmlformats.org/officeDocument/2006/relationships/hyperlink" Target="http://plants.usda.gov/java/profile?symbol=SYAL" TargetMode="External"/><Relationship Id="rId1981" Type="http://schemas.openxmlformats.org/officeDocument/2006/relationships/hyperlink" Target="http://plants.usda.gov/java/profile?symbol=OPHO" TargetMode="External"/><Relationship Id="rId2618" Type="http://schemas.openxmlformats.org/officeDocument/2006/relationships/hyperlink" Target="http://biology.burke.washington.edu/herbarium/imagecollectionnew/taxon.php?Taxon=Stachys%20mexicana" TargetMode="External"/><Relationship Id="rId2825" Type="http://schemas.openxmlformats.org/officeDocument/2006/relationships/hyperlink" Target="http://www.burkemuseum.org/research-and-collections/botany-and-herbarium/collections/database/results.php?Genus=Cardamine&amp;Species=nuttallii&amp;SourcePage=search.php&amp;IncludeSynonyms=Y&amp;SortBy=DESC&amp;SortOrder=Year" TargetMode="External"/><Relationship Id="rId4180" Type="http://schemas.openxmlformats.org/officeDocument/2006/relationships/hyperlink" Target="https://plants.usda.gov/core/profile?symbol=ORSE" TargetMode="External"/><Relationship Id="rId5231" Type="http://schemas.openxmlformats.org/officeDocument/2006/relationships/hyperlink" Target="https://en.wikipedia.org/wiki/Plantago_elongata" TargetMode="External"/><Relationship Id="rId66" Type="http://schemas.openxmlformats.org/officeDocument/2006/relationships/hyperlink" Target="http://biology.burke.washington.edu/herbarium/imagecollection/taxon.php?Taxon=Rhynchospora%20alba" TargetMode="External"/><Relationship Id="rId1427" Type="http://schemas.openxmlformats.org/officeDocument/2006/relationships/hyperlink" Target="http://en.wikipedia.org/wiki/Allium_crenulatum" TargetMode="External"/><Relationship Id="rId1634" Type="http://schemas.openxmlformats.org/officeDocument/2006/relationships/hyperlink" Target="http://biology.burke.washington.edu/herbarium/imagecollectionnew/taxon.php?Taxon=Thuja%20plicata" TargetMode="External"/><Relationship Id="rId1841" Type="http://schemas.openxmlformats.org/officeDocument/2006/relationships/hyperlink" Target="http://plants.usda.gov/core/profile?symbol=SAPE2" TargetMode="External"/><Relationship Id="rId4040" Type="http://schemas.openxmlformats.org/officeDocument/2006/relationships/hyperlink" Target="https://plants.usda.gov/core/profile?symbol=JUEN" TargetMode="External"/><Relationship Id="rId4997" Type="http://schemas.openxmlformats.org/officeDocument/2006/relationships/hyperlink" Target="https://en.wikipedia.org/wiki/Glyceria_elata" TargetMode="External"/><Relationship Id="rId7196" Type="http://schemas.openxmlformats.org/officeDocument/2006/relationships/hyperlink" Target="http://biology.burke.washington.edu/herbarium/imagecollection/taxon.php?Taxon=Ribes%20acerifolium" TargetMode="External"/><Relationship Id="rId3599" Type="http://schemas.openxmlformats.org/officeDocument/2006/relationships/hyperlink" Target="http://www.burkemuseum.org/research-and-collections/botany-and-herbarium/collections/database/results.php?Genus=Thuja&amp;Species=plicata&amp;SourcePage=search.php&amp;IncludeSynonyms=Y&amp;SortBy=DESC&amp;SortOrder=Year" TargetMode="External"/><Relationship Id="rId4857" Type="http://schemas.openxmlformats.org/officeDocument/2006/relationships/hyperlink" Target="https://en.wikipedia.org/wiki/Collinsia_parviflora" TargetMode="External"/><Relationship Id="rId7056" Type="http://schemas.openxmlformats.org/officeDocument/2006/relationships/hyperlink" Target="http://biology.burke.washington.edu/herbarium/imagecollectionnew/taxon.php?Taxon=Amsinckia%20spectabilis" TargetMode="External"/><Relationship Id="rId1701" Type="http://schemas.openxmlformats.org/officeDocument/2006/relationships/hyperlink" Target="http://biology.burke.washington.edu/herbarium/imagecollectionnew/taxon.php?Taxon=Ozomelis%20trifida" TargetMode="External"/><Relationship Id="rId3459" Type="http://schemas.openxmlformats.org/officeDocument/2006/relationships/hyperlink" Target="http://www.burkemuseum.org/research-and-collections/botany-and-herbarium/collections/database/results.php?Genus=Alnus&amp;Species=rubra&amp;SourcePage=search.php&amp;IncludeSynonyms=Y&amp;SortBy=DESC&amp;SortOrder=Year" TargetMode="External"/><Relationship Id="rId3666" Type="http://schemas.openxmlformats.org/officeDocument/2006/relationships/hyperlink" Target="https://plants.usda.gov/core/profile?symbol=ANDE3" TargetMode="External"/><Relationship Id="rId5908" Type="http://schemas.openxmlformats.org/officeDocument/2006/relationships/hyperlink" Target="http://www.burkemuseum.org/research-and-collections/botany-and-herbarium/collections/database/results.php?Genus=Lycopodium&amp;Species=clavatum&amp;SourcePage=search.php&amp;IncludeSynonyms=Y&amp;SortBy=DESC&amp;SortOrder=Year" TargetMode="External"/><Relationship Id="rId6072" Type="http://schemas.openxmlformats.org/officeDocument/2006/relationships/hyperlink" Target="http://www.burkemuseum.org/research-and-collections/botany-and-herbarium/collections/database/results.php?Genus=Potamogeton&amp;Species=robbinsii&amp;SourcePage=search.php&amp;IncludeSynonyms=Y&amp;SortBy=DESC&amp;SortOrder=Year" TargetMode="External"/><Relationship Id="rId7123" Type="http://schemas.openxmlformats.org/officeDocument/2006/relationships/hyperlink" Target="http://biology.burke.washington.edu/herbarium/imagecollectionnew/taxon.php?Taxon=Spiraea%20splendens" TargetMode="External"/><Relationship Id="rId587" Type="http://schemas.openxmlformats.org/officeDocument/2006/relationships/hyperlink" Target="https://en.wikipedia.org/wiki/Sium_suave" TargetMode="External"/><Relationship Id="rId2268" Type="http://schemas.openxmlformats.org/officeDocument/2006/relationships/hyperlink" Target="http://plants.usda.gov/java/profile?symbol=CLAM" TargetMode="External"/><Relationship Id="rId3319" Type="http://schemas.openxmlformats.org/officeDocument/2006/relationships/hyperlink" Target="http://www.burkemuseum.org/research-and-collections/botany-and-herbarium/collections/database/results.php?Genus=Sambucus&amp;Species=nigra&amp;SourcePage=search.php&amp;IncludeSynonyms=Y&amp;SortBy=DESC&amp;SortOrder=Year" TargetMode="External"/><Relationship Id="rId3873" Type="http://schemas.openxmlformats.org/officeDocument/2006/relationships/hyperlink" Target="https://plants.usda.gov/core/profile?symbol=CYFR2" TargetMode="External"/><Relationship Id="rId4717" Type="http://schemas.openxmlformats.org/officeDocument/2006/relationships/hyperlink" Target="https://en.wikipedia.org/wiki/Asarum_caudatum" TargetMode="External"/><Relationship Id="rId4924" Type="http://schemas.openxmlformats.org/officeDocument/2006/relationships/hyperlink" Target="https://en.wikipedia.org/wiki/Elodea_nuttalli" TargetMode="External"/><Relationship Id="rId447" Type="http://schemas.openxmlformats.org/officeDocument/2006/relationships/hyperlink" Target="http://biology.burke.washington.edu/herbarium/imagecollectionnew/taxon.php?Taxon=Dichanthelium%20acuminatum" TargetMode="External"/><Relationship Id="rId794" Type="http://schemas.openxmlformats.org/officeDocument/2006/relationships/hyperlink" Target="https://en.wikipedia.org/wiki/Platanthera" TargetMode="External"/><Relationship Id="rId1077" Type="http://schemas.openxmlformats.org/officeDocument/2006/relationships/hyperlink" Target="https://en.wikipedia.org/wiki/Hosackia_rosea" TargetMode="External"/><Relationship Id="rId2128" Type="http://schemas.openxmlformats.org/officeDocument/2006/relationships/hyperlink" Target="http://plants.usda.gov/java/profile?symbol=RACY" TargetMode="External"/><Relationship Id="rId2475" Type="http://schemas.openxmlformats.org/officeDocument/2006/relationships/hyperlink" Target="http://plants.usda.gov/core/profile?symbol=SASI2" TargetMode="External"/><Relationship Id="rId2682" Type="http://schemas.openxmlformats.org/officeDocument/2006/relationships/hyperlink" Target="http://biology.burke.washington.edu/herbarium/imagecollectionnew/taxon.php?Taxon=Anemone%20lyallii" TargetMode="External"/><Relationship Id="rId3526" Type="http://schemas.openxmlformats.org/officeDocument/2006/relationships/hyperlink" Target="http://www.burkemuseum.org/research-and-collections/botany-and-herbarium/collections/database/results.php?Genus=Lupinus&amp;Species=albicaulis&amp;SourcePage=search.php&amp;IncludeSynonyms=Y&amp;SortBy=DESC&amp;SortOrder=Year" TargetMode="External"/><Relationship Id="rId3733" Type="http://schemas.openxmlformats.org/officeDocument/2006/relationships/hyperlink" Target="https://plants.usda.gov/core/profile?symbol=BOIN4" TargetMode="External"/><Relationship Id="rId3940" Type="http://schemas.openxmlformats.org/officeDocument/2006/relationships/hyperlink" Target="https://plants.usda.gov/core/profile?symbol=MICA3" TargetMode="External"/><Relationship Id="rId6889" Type="http://schemas.openxmlformats.org/officeDocument/2006/relationships/hyperlink" Target="http://biology.burke.washington.edu/herbarium/imagecollectionnew/taxon.php?Taxon=Sanguisorba%20officinalis" TargetMode="External"/><Relationship Id="rId654" Type="http://schemas.openxmlformats.org/officeDocument/2006/relationships/hyperlink" Target="https://en.wikipedia.org/wiki/Ribes_aureum" TargetMode="External"/><Relationship Id="rId861" Type="http://schemas.openxmlformats.org/officeDocument/2006/relationships/hyperlink" Target="http://en.wikipedia.org/wiki/Mertensia" TargetMode="External"/><Relationship Id="rId1284" Type="http://schemas.openxmlformats.org/officeDocument/2006/relationships/hyperlink" Target="http://biology.burke.washington.edu/herbarium/imagecollection/taxon.php?Taxon=Poa%20unilateralis" TargetMode="External"/><Relationship Id="rId1491" Type="http://schemas.openxmlformats.org/officeDocument/2006/relationships/hyperlink" Target="https://en.wikipedia.org/wiki/Spiraea_douglasii" TargetMode="External"/><Relationship Id="rId2335" Type="http://schemas.openxmlformats.org/officeDocument/2006/relationships/hyperlink" Target="http://plants.usda.gov/java/profile?symbol=CARO2" TargetMode="External"/><Relationship Id="rId2542" Type="http://schemas.openxmlformats.org/officeDocument/2006/relationships/hyperlink" Target="https://plants.usda.gov/core/profile?symbol=JUPA2" TargetMode="External"/><Relationship Id="rId3800" Type="http://schemas.openxmlformats.org/officeDocument/2006/relationships/hyperlink" Target="https://plants.usda.gov/core/profile?symbol=CAVU2" TargetMode="External"/><Relationship Id="rId5698" Type="http://schemas.openxmlformats.org/officeDocument/2006/relationships/hyperlink" Target="http://www.burkemuseum.org/research-and-collections/botany-and-herbarium/collections/database/results.php?Genus=Dodecatheon&amp;Species=hendersonii&amp;SourcePage=search.php&amp;IncludeSynonyms=Y&amp;SortBy=DESC&amp;SortOrder=Year" TargetMode="External"/><Relationship Id="rId6749" Type="http://schemas.openxmlformats.org/officeDocument/2006/relationships/hyperlink" Target="http://biology.burke.washington.edu/herbarium/imagecollection/taxon.php?Taxon=Lemna%20trisulca" TargetMode="External"/><Relationship Id="rId6956" Type="http://schemas.openxmlformats.org/officeDocument/2006/relationships/hyperlink" Target="http://biology.burke.washington.edu/herbarium/imagecollection/taxon.php?Taxon=Lactuca%20biennis" TargetMode="External"/><Relationship Id="rId307" Type="http://schemas.openxmlformats.org/officeDocument/2006/relationships/hyperlink" Target="http://biology.burke.washington.edu/herbarium/imagecollectionnew/taxon.php?Taxon=Arnica%20cordifolia" TargetMode="External"/><Relationship Id="rId514" Type="http://schemas.openxmlformats.org/officeDocument/2006/relationships/hyperlink" Target="https://en.wikipedia.org/wiki/Veronica_scutellata" TargetMode="External"/><Relationship Id="rId721" Type="http://schemas.openxmlformats.org/officeDocument/2006/relationships/hyperlink" Target="https://en.wikipedia.org/wiki/Empetrum_nigrum" TargetMode="External"/><Relationship Id="rId1144" Type="http://schemas.openxmlformats.org/officeDocument/2006/relationships/hyperlink" Target="https://en.wikipedia.org/wiki/Galium_palustre" TargetMode="External"/><Relationship Id="rId1351" Type="http://schemas.openxmlformats.org/officeDocument/2006/relationships/hyperlink" Target="http://biology.burke.washington.edu/herbarium/imagecollection/taxon.php?Taxon=Lotus%20uliginosus" TargetMode="External"/><Relationship Id="rId2402" Type="http://schemas.openxmlformats.org/officeDocument/2006/relationships/hyperlink" Target="http://plants.usda.gov/java/profile?symbol=ANOR" TargetMode="External"/><Relationship Id="rId5558" Type="http://schemas.openxmlformats.org/officeDocument/2006/relationships/hyperlink" Target="http://www.burkemuseum.org/research-and-collections/botany-and-herbarium/collections/database/results.php?Genus=Camassia&amp;Species=leichtlinii&amp;SourcePage=search.php&amp;IncludeSynonyms=Y&amp;SortBy=DESC&amp;SortOrder=Year" TargetMode="External"/><Relationship Id="rId5765" Type="http://schemas.openxmlformats.org/officeDocument/2006/relationships/hyperlink" Target="http://www.burkemuseum.org/research-and-collections/botany-and-herbarium/collections/database/results.php?Genus=Fritillaria&amp;Species=pudica&amp;SourcePage=search.php&amp;IncludeSynonyms=Y&amp;SortBy=DESC&amp;SortOrder=Year" TargetMode="External"/><Relationship Id="rId5972" Type="http://schemas.openxmlformats.org/officeDocument/2006/relationships/hyperlink" Target="http://www.burkemuseum.org/research-and-collections/botany-and-herbarium/collections/database/results.php?Genus=Nuttallanthus&amp;Species=texanus&amp;SourcePage=search.php&amp;IncludeSynonyms=Y&amp;SortBy=DESC&amp;SortOrder=Year" TargetMode="External"/><Relationship Id="rId6609" Type="http://schemas.openxmlformats.org/officeDocument/2006/relationships/hyperlink" Target="http://biology.burke.washington.edu/herbarium/imagecollection/taxon.php?Taxon=Phacelia%20heterophylla" TargetMode="External"/><Relationship Id="rId6816" Type="http://schemas.openxmlformats.org/officeDocument/2006/relationships/hyperlink" Target="http://biology.burke.washington.edu/herbarium/imagecollectionnew/taxon.php?Taxon=Ceratophyllum%20demersum" TargetMode="External"/><Relationship Id="rId1004" Type="http://schemas.openxmlformats.org/officeDocument/2006/relationships/hyperlink" Target="https://en.wikipedia.org/wiki/Arceuthobium" TargetMode="External"/><Relationship Id="rId1211" Type="http://schemas.openxmlformats.org/officeDocument/2006/relationships/hyperlink" Target="http://biology.burke.washington.edu/herbarium/imagecollection/taxon.php?Taxon=Geum%20macrophyllum" TargetMode="External"/><Relationship Id="rId4367" Type="http://schemas.openxmlformats.org/officeDocument/2006/relationships/hyperlink" Target="https://plants.usda.gov/core/profile?symbol=SANIC5" TargetMode="External"/><Relationship Id="rId4574" Type="http://schemas.openxmlformats.org/officeDocument/2006/relationships/hyperlink" Target="https://species.wikimedia.org/wiki/Anemone_lyallii" TargetMode="External"/><Relationship Id="rId4781" Type="http://schemas.openxmlformats.org/officeDocument/2006/relationships/hyperlink" Target="https://en.wikipedia.org/wiki/Carex_circinata" TargetMode="External"/><Relationship Id="rId5418" Type="http://schemas.openxmlformats.org/officeDocument/2006/relationships/hyperlink" Target="https://en.wikipedia.org/wiki/Sparganium_eurycarpum" TargetMode="External"/><Relationship Id="rId5625" Type="http://schemas.openxmlformats.org/officeDocument/2006/relationships/hyperlink" Target="http://www.burkemuseum.org/research-and-collections/botany-and-herbarium/collections/database/results.php?Genus=Chenopodium&amp;Species=berlandieri&amp;SourcePage=search.php&amp;IncludeSynonyms=Y&amp;SortBy=DESC&amp;SortOrder=Year" TargetMode="External"/><Relationship Id="rId5832" Type="http://schemas.openxmlformats.org/officeDocument/2006/relationships/hyperlink" Target="http://www.burkemuseum.org/research-and-collections/botany-and-herbarium/collections/database/results.php?Genus=Isoetes&amp;Species=tenella&amp;SourcePage=search.php&amp;IncludeSynonyms=Y&amp;SortBy=DESC&amp;SortOrder=Year" TargetMode="External"/><Relationship Id="rId3176" Type="http://schemas.openxmlformats.org/officeDocument/2006/relationships/hyperlink" Target="http://www.burkemuseum.org/research-and-collections/botany-and-herbarium/collections/database/results.php?Genus=Orthilia&amp;Species=secunda&amp;SourcePage=search.php&amp;IncludeSynonyms=Y&amp;SortBy=DESC&amp;SortOrder=Year" TargetMode="External"/><Relationship Id="rId3383" Type="http://schemas.openxmlformats.org/officeDocument/2006/relationships/hyperlink" Target="http://www.burkemuseum.org/research-and-collections/botany-and-herbarium/collections/database/results.php?Genus=Symphyotrichum&amp;Species=boreale&amp;SourcePage=search.php&amp;IncludeSynonyms=Y&amp;SortBy=DESC&amp;SortOrder=Year" TargetMode="External"/><Relationship Id="rId3590" Type="http://schemas.openxmlformats.org/officeDocument/2006/relationships/hyperlink" Target="http://www.burkemuseum.org/research-and-collections/botany-and-herbarium/collections/database/results.php?Genus=Sidalcea&amp;Species=oregana&amp;SourcePage=search.php&amp;IncludeSynonyms=Y&amp;SortBy=DESC&amp;SortOrder=Year" TargetMode="External"/><Relationship Id="rId4227" Type="http://schemas.openxmlformats.org/officeDocument/2006/relationships/hyperlink" Target="https://plants.usda.gov/core/profile?symbol=PLEL" TargetMode="External"/><Relationship Id="rId4434" Type="http://schemas.openxmlformats.org/officeDocument/2006/relationships/hyperlink" Target="https://plants.usda.gov/core/profile?symbol=STLO" TargetMode="External"/><Relationship Id="rId2192" Type="http://schemas.openxmlformats.org/officeDocument/2006/relationships/hyperlink" Target="http://plants.usda.gov/java/profile?symbol=EPGL" TargetMode="External"/><Relationship Id="rId3036" Type="http://schemas.openxmlformats.org/officeDocument/2006/relationships/hyperlink" Target="http://www.burkemuseum.org/research-and-collections/botany-and-herbarium/collections/database/results.php?Genus=Heuchera&amp;Species=cylindrica&amp;SourcePage=search.php&amp;IncludeSynonyms=Y&amp;SortBy=DESC&amp;SortOrder=Year" TargetMode="External"/><Relationship Id="rId3243" Type="http://schemas.openxmlformats.org/officeDocument/2006/relationships/hyperlink" Target="http://www.burkemuseum.org/research-and-collections/botany-and-herbarium/collections/database/results.php?Genus=Potamogeton&amp;Species=pusillus&amp;SourcePage=search.php&amp;IncludeSynonyms=Y&amp;SortBy=DESC&amp;SortOrder=Year" TargetMode="External"/><Relationship Id="rId4641" Type="http://schemas.openxmlformats.org/officeDocument/2006/relationships/hyperlink" Target="http://www.burkemuseum.org/research-and-collections/botany-and-herbarium/collections/database/results.php?Genus=Arctostaphylos&amp;Species=uva-ursi&amp;SourcePage=search.php&amp;IncludeSynonyms=Y&amp;SortBy=DESC&amp;SortOrder=Year" TargetMode="External"/><Relationship Id="rId6399" Type="http://schemas.openxmlformats.org/officeDocument/2006/relationships/hyperlink" Target="http://biology.burke.washington.edu/herbarium/imagecollectionnew/taxon.php?Taxon=Boykinia%20occidentalis" TargetMode="External"/><Relationship Id="rId164" Type="http://schemas.openxmlformats.org/officeDocument/2006/relationships/hyperlink" Target="http://biology.burke.washington.edu/herbarium/imagecollection/taxon.php?Taxon=Epilobium%20brachycarpum" TargetMode="External"/><Relationship Id="rId371" Type="http://schemas.openxmlformats.org/officeDocument/2006/relationships/hyperlink" Target="http://biology.burke.washington.edu/herbarium/imagecollectionnew/taxon.php?Taxon=Carex%20stylosa" TargetMode="External"/><Relationship Id="rId2052" Type="http://schemas.openxmlformats.org/officeDocument/2006/relationships/hyperlink" Target="http://plants.usda.gov/java/profile?symbol=LOAB" TargetMode="External"/><Relationship Id="rId3450" Type="http://schemas.openxmlformats.org/officeDocument/2006/relationships/hyperlink" Target="http://biology.burke.washington.edu/herbarium/imagecollection/browse.php?Genus=Hosackia" TargetMode="External"/><Relationship Id="rId4501" Type="http://schemas.openxmlformats.org/officeDocument/2006/relationships/hyperlink" Target="https://plants.usda.gov/core/profile?symbol=VEVI" TargetMode="External"/><Relationship Id="rId6259" Type="http://schemas.openxmlformats.org/officeDocument/2006/relationships/hyperlink" Target="http://www.burkemuseum.org/research-and-collections/botany-and-herbarium/collections/database/results.php?Genus=Torreyochloa&amp;Species=pallida&amp;SourcePage=search.php&amp;IncludeSynonyms=Y&amp;SortBy=DESC&amp;SortOrder=Year" TargetMode="External"/><Relationship Id="rId3103" Type="http://schemas.openxmlformats.org/officeDocument/2006/relationships/hyperlink" Target="http://www.burkemuseum.org/research-and-collections/botany-and-herbarium/collections/database/results.php?Genus=Lonicera&amp;Species=utahensis&amp;SourcePage=search.php&amp;IncludeSynonyms=Y&amp;SortBy=DESC&amp;SortOrder=Year" TargetMode="External"/><Relationship Id="rId3310" Type="http://schemas.openxmlformats.org/officeDocument/2006/relationships/hyperlink" Target="http://www.burkemuseum.org/research-and-collections/botany-and-herbarium/collections/database/results.php?Genus=Salix&amp;Species=geyeriana&amp;SourcePage=search.php&amp;IncludeSynonyms=Y&amp;SortBy=DESC&amp;SortOrder=Year" TargetMode="External"/><Relationship Id="rId5068" Type="http://schemas.openxmlformats.org/officeDocument/2006/relationships/hyperlink" Target="https://en.wikipedia.org/wiki/Leersia_oryzoides" TargetMode="External"/><Relationship Id="rId6466" Type="http://schemas.openxmlformats.org/officeDocument/2006/relationships/hyperlink" Target="http://biology.burke.washington.edu/herbarium/imagecollectionnew/taxon.php?Taxon=Dodecatheon%20hendersonii" TargetMode="External"/><Relationship Id="rId6673" Type="http://schemas.openxmlformats.org/officeDocument/2006/relationships/hyperlink" Target="http://biology.burke.washington.edu/herbarium/imagecollection/taxon.php?Taxon=Ranunculus%20alismifolius" TargetMode="External"/><Relationship Id="rId6880" Type="http://schemas.openxmlformats.org/officeDocument/2006/relationships/hyperlink" Target="http://biology.burke.washington.edu/herbarium/imagecollectionnew/taxon.php?Taxon=Stellaria%20longipes" TargetMode="External"/><Relationship Id="rId231" Type="http://schemas.openxmlformats.org/officeDocument/2006/relationships/hyperlink" Target="http://biology.burke.washington.edu/herbarium/imagecollection/taxon.php?Taxon=Stuckenia%20pectinata" TargetMode="External"/><Relationship Id="rId2869" Type="http://schemas.openxmlformats.org/officeDocument/2006/relationships/hyperlink" Target="http://www.burkemuseum.org/research-and-collections/botany-and-herbarium/collections/database/results.php?Genus=Celtis&amp;Species=reticulata&amp;SourcePage=search.php&amp;IncludeSynonyms=Y&amp;SortBy=DESC&amp;SortOrder=Year" TargetMode="External"/><Relationship Id="rId5275" Type="http://schemas.openxmlformats.org/officeDocument/2006/relationships/hyperlink" Target="https://en.wikipedia.org/wiki/Potamogeton_zosteriformis" TargetMode="External"/><Relationship Id="rId5482" Type="http://schemas.openxmlformats.org/officeDocument/2006/relationships/hyperlink" Target="https://en.wikipedia.org/wiki/Turritis_glabra" TargetMode="External"/><Relationship Id="rId6119" Type="http://schemas.openxmlformats.org/officeDocument/2006/relationships/hyperlink" Target="http://www.burkemuseum.org/research-and-collections/botany-and-herbarium/collections/database/results.php?Genus=Ribes&amp;Species=lacustre&amp;SourcePage=search.php&amp;IncludeSynonyms=Y&amp;SortBy=DESC&amp;SortOrder=Year" TargetMode="External"/><Relationship Id="rId6326" Type="http://schemas.openxmlformats.org/officeDocument/2006/relationships/hyperlink" Target="http://www.burkemuseum.org/research-and-collections/botany-and-herbarium/collections/database/results.php?Genus=Zeltnera&amp;Species=muehlenbergii&amp;SourcePage=search.php&amp;IncludeSynonyms=Y&amp;SortBy=DESC&amp;SortOrder=Year" TargetMode="External"/><Relationship Id="rId6533" Type="http://schemas.openxmlformats.org/officeDocument/2006/relationships/hyperlink" Target="http://biology.burke.washington.edu/herbarium/imagecollection/taxon.php?Taxon=Iris%20missouriensis" TargetMode="External"/><Relationship Id="rId6740" Type="http://schemas.openxmlformats.org/officeDocument/2006/relationships/hyperlink" Target="http://biology.burke.washington.edu/herbarium/imagecollection/taxon.php?Taxon=Lycopus%20americanus" TargetMode="External"/><Relationship Id="rId1678" Type="http://schemas.openxmlformats.org/officeDocument/2006/relationships/hyperlink" Target="http://biology.burke.washington.edu/herbarium/imagecollectionnew/taxon.php?Taxon=Allium%20schoenoprasum" TargetMode="External"/><Relationship Id="rId1885" Type="http://schemas.openxmlformats.org/officeDocument/2006/relationships/hyperlink" Target="http://plants.usda.gov/java/profile?symbol=RAORO" TargetMode="External"/><Relationship Id="rId2729" Type="http://schemas.openxmlformats.org/officeDocument/2006/relationships/hyperlink" Target="http://www.burkemuseum.org/research-and-collections/botany-and-herbarium/collections/database/results.php?Genus=Agoseris&amp;Species=grandiflora&amp;SourcePage=search.php&amp;IncludeSynonyms=Y&amp;SortBy=DESC&amp;SortOrder=Year" TargetMode="External"/><Relationship Id="rId2936" Type="http://schemas.openxmlformats.org/officeDocument/2006/relationships/hyperlink" Target="http://www.burkemuseum.org/research-and-collections/botany-and-herbarium/collections/database/results.php?Genus=Dendrolycopodium&amp;Species=dendroideum&amp;SourcePage=search.php&amp;IncludeSynonyms=Y&amp;SortBy=DESC&amp;SortOrder=Year" TargetMode="External"/><Relationship Id="rId4084" Type="http://schemas.openxmlformats.org/officeDocument/2006/relationships/hyperlink" Target="https://plants.usda.gov/core/profile?symbol=LONU2" TargetMode="External"/><Relationship Id="rId4291" Type="http://schemas.openxmlformats.org/officeDocument/2006/relationships/hyperlink" Target="https://plants.usda.gov/core/profile?symbol=PYCH" TargetMode="External"/><Relationship Id="rId5135" Type="http://schemas.openxmlformats.org/officeDocument/2006/relationships/hyperlink" Target="https://en.wikipedia.org/wiki/Micranthes_ferruginea" TargetMode="External"/><Relationship Id="rId5342" Type="http://schemas.openxmlformats.org/officeDocument/2006/relationships/hyperlink" Target="https://en.wikipedia.org/wiki/Ruppia_maritima" TargetMode="External"/><Relationship Id="rId6600" Type="http://schemas.openxmlformats.org/officeDocument/2006/relationships/hyperlink" Target="http://biology.burke.washington.edu/herbarium/imagecollection/taxon.php?Taxon=Penstemon%20davidsonii" TargetMode="External"/><Relationship Id="rId908" Type="http://schemas.openxmlformats.org/officeDocument/2006/relationships/hyperlink" Target="http://en.wikipedia.org/wiki/Chenopodium_rubrum" TargetMode="External"/><Relationship Id="rId1538" Type="http://schemas.openxmlformats.org/officeDocument/2006/relationships/hyperlink" Target="https://en.wikipedia.org/wiki/Polypodium_scouleri" TargetMode="External"/><Relationship Id="rId4151" Type="http://schemas.openxmlformats.org/officeDocument/2006/relationships/hyperlink" Target="https://plants.usda.gov/core/profile?symbol=moli4" TargetMode="External"/><Relationship Id="rId5202" Type="http://schemas.openxmlformats.org/officeDocument/2006/relationships/hyperlink" Target="https://en.wikipedia.org/wiki/Penstemon_attenuatus" TargetMode="External"/><Relationship Id="rId1745" Type="http://schemas.openxmlformats.org/officeDocument/2006/relationships/hyperlink" Target="http://plants.usda.gov/java/profile?symbol=TRCA21" TargetMode="External"/><Relationship Id="rId1952" Type="http://schemas.openxmlformats.org/officeDocument/2006/relationships/hyperlink" Target="http://plants.usda.gov/java/profile?symbol=PIENE" TargetMode="External"/><Relationship Id="rId4011" Type="http://schemas.openxmlformats.org/officeDocument/2006/relationships/hyperlink" Target="https://plants.usda.gov/core/profile?symbol=HOPE" TargetMode="External"/><Relationship Id="rId7167" Type="http://schemas.openxmlformats.org/officeDocument/2006/relationships/hyperlink" Target="https://en.wikipedia.org/wiki/Salix_gooddingii" TargetMode="External"/><Relationship Id="rId37" Type="http://schemas.openxmlformats.org/officeDocument/2006/relationships/hyperlink" Target="http://biology.burke.washington.edu/herbarium/imagecollection/taxon.php?Taxon=Lactuca%20biennis" TargetMode="External"/><Relationship Id="rId1605" Type="http://schemas.openxmlformats.org/officeDocument/2006/relationships/hyperlink" Target="https://en.wikipedia.org/wiki/Lonicera_conjugialis" TargetMode="External"/><Relationship Id="rId1812" Type="http://schemas.openxmlformats.org/officeDocument/2006/relationships/hyperlink" Target="http://plants.usda.gov/java/profile?symbol=SHCA" TargetMode="External"/><Relationship Id="rId4968" Type="http://schemas.openxmlformats.org/officeDocument/2006/relationships/hyperlink" Target="https://en.wikipedia.org/wiki/Festuca_rubra" TargetMode="External"/><Relationship Id="rId6183" Type="http://schemas.openxmlformats.org/officeDocument/2006/relationships/hyperlink" Target="http://www.burkemuseum.org/research-and-collections/botany-and-herbarium/collections/database/results.php?Genus=Schoenoplectus&amp;Species=subterminalis&amp;SourcePage=search.php&amp;IncludeSynonyms=Y&amp;SortBy=DESC&amp;SortOrder=Year" TargetMode="External"/><Relationship Id="rId7027" Type="http://schemas.openxmlformats.org/officeDocument/2006/relationships/hyperlink" Target="http://biology.burke.washington.edu/herbarium/imagecollectionnew/taxon.php?Taxon=Carex%20feta" TargetMode="External"/><Relationship Id="rId7234" Type="http://schemas.openxmlformats.org/officeDocument/2006/relationships/hyperlink" Target="http://biology.burke.washington.edu/herbarium/imagecollection/taxon.php?Taxon=Plectritis%20congesta" TargetMode="External"/><Relationship Id="rId3777" Type="http://schemas.openxmlformats.org/officeDocument/2006/relationships/hyperlink" Target="https://plants.usda.gov/core/profile?symbol=CAIN17" TargetMode="External"/><Relationship Id="rId3984" Type="http://schemas.openxmlformats.org/officeDocument/2006/relationships/hyperlink" Target="https://plants.usda.gov/core/profile?symbol=GLLI" TargetMode="External"/><Relationship Id="rId4828" Type="http://schemas.openxmlformats.org/officeDocument/2006/relationships/hyperlink" Target="https://en.wikipedia.org/wiki/Cerastium_arvense" TargetMode="External"/><Relationship Id="rId6390" Type="http://schemas.openxmlformats.org/officeDocument/2006/relationships/hyperlink" Target="http://biology.burke.washington.edu/herbarium/imagecollectionnew/taxon.php?Taxon=Mahonia%20repens" TargetMode="External"/><Relationship Id="rId698" Type="http://schemas.openxmlformats.org/officeDocument/2006/relationships/hyperlink" Target="https://en.wikipedia.org/wiki/Erythranthe_dentata" TargetMode="External"/><Relationship Id="rId2379" Type="http://schemas.openxmlformats.org/officeDocument/2006/relationships/hyperlink" Target="https://plants.usda.gov/core/profile?symbol=ARLU" TargetMode="External"/><Relationship Id="rId2586" Type="http://schemas.openxmlformats.org/officeDocument/2006/relationships/hyperlink" Target="http://plants.usda.gov/java/profile?symbol=BRCA5" TargetMode="External"/><Relationship Id="rId2793" Type="http://schemas.openxmlformats.org/officeDocument/2006/relationships/hyperlink" Target="http://www.burkemuseum.org/research-and-collections/botany-and-herbarium/collections/database/results.php?Genus=Betula&amp;Species=papyrifera&amp;SourcePage=search.php&amp;IncludeSynonyms=Y&amp;SortBy=DESC&amp;SortOrder=Year" TargetMode="External"/><Relationship Id="rId3637" Type="http://schemas.openxmlformats.org/officeDocument/2006/relationships/hyperlink" Target="https://plants.usda.gov/core/profile?symbol=ADBI" TargetMode="External"/><Relationship Id="rId3844" Type="http://schemas.openxmlformats.org/officeDocument/2006/relationships/hyperlink" Target="https://plants.usda.gov/core/profile?symbol=COPA3" TargetMode="External"/><Relationship Id="rId6043" Type="http://schemas.openxmlformats.org/officeDocument/2006/relationships/hyperlink" Target="http://www.burkemuseum.org/research-and-collections/botany-and-herbarium/collections/database/results.php?Genus=Poa&amp;Species=laxiflora&amp;SourcePage=search.php&amp;IncludeSynonyms=Y&amp;SortBy=DESC&amp;SortOrder=Year" TargetMode="External"/><Relationship Id="rId6250" Type="http://schemas.openxmlformats.org/officeDocument/2006/relationships/hyperlink" Target="http://www.burkemuseum.org/research-and-collections/botany-and-herbarium/collections/database/results.php?Genus=Tanacetum&amp;Species=bipinnatum&amp;SourcePage=search.php&amp;IncludeSynonyms=Y&amp;SortBy=DESC&amp;SortOrder=Year" TargetMode="External"/><Relationship Id="rId558" Type="http://schemas.openxmlformats.org/officeDocument/2006/relationships/hyperlink" Target="https://en.wikipedia.org/wiki/List_of_Symphyotrichum_species" TargetMode="External"/><Relationship Id="rId765" Type="http://schemas.openxmlformats.org/officeDocument/2006/relationships/hyperlink" Target="https://en.wikipedia.org/wiki/Potamogeton_robbinsii" TargetMode="External"/><Relationship Id="rId972" Type="http://schemas.openxmlformats.org/officeDocument/2006/relationships/hyperlink" Target="http://en.wikipedia.org/wiki/Botrychium_multifidum" TargetMode="External"/><Relationship Id="rId1188" Type="http://schemas.openxmlformats.org/officeDocument/2006/relationships/hyperlink" Target="http://biology.burke.washington.edu/herbarium/imagecollectionnew/taxon.php?Taxon=Trifolium%20willdenovii" TargetMode="External"/><Relationship Id="rId1395" Type="http://schemas.openxmlformats.org/officeDocument/2006/relationships/hyperlink" Target="http://biology.burke.washington.edu/herbarium/imagecollection/taxon.php?Taxon=Frangula%20purshiana" TargetMode="External"/><Relationship Id="rId2239" Type="http://schemas.openxmlformats.org/officeDocument/2006/relationships/hyperlink" Target="http://plants.usda.gov/java/profile?symbol=CRMU" TargetMode="External"/><Relationship Id="rId2446" Type="http://schemas.openxmlformats.org/officeDocument/2006/relationships/hyperlink" Target="http://plants.usda.gov/java/profile?symbol=VIGL" TargetMode="External"/><Relationship Id="rId2653" Type="http://schemas.openxmlformats.org/officeDocument/2006/relationships/hyperlink" Target="http://biology.burke.washington.edu/herbarium/imagecollectionnew/taxon.php?Taxon=Angelica%20hendersonii" TargetMode="External"/><Relationship Id="rId2860" Type="http://schemas.openxmlformats.org/officeDocument/2006/relationships/hyperlink" Target="http://www.burkemuseum.org/research-and-collections/botany-and-herbarium/collections/database/results.php?Genus=Castilleja&amp;Species=ambigua&amp;SourcePage=search.php&amp;IncludeSynonyms=Y&amp;SortBy=DESC&amp;SortOrder=Year" TargetMode="External"/><Relationship Id="rId3704" Type="http://schemas.openxmlformats.org/officeDocument/2006/relationships/hyperlink" Target="https://plants.usda.gov/core/profile?symbol=ASCA2" TargetMode="External"/><Relationship Id="rId6110" Type="http://schemas.openxmlformats.org/officeDocument/2006/relationships/hyperlink" Target="http://www.burkemuseum.org/research-and-collections/botany-and-herbarium/collections/database/results.php?Genus=Rhododendron&amp;Species=macrophyllum&amp;SourcePage=search.php&amp;IncludeSynonyms=Y&amp;SortBy=DESC&amp;SortOrder=Year" TargetMode="External"/><Relationship Id="rId418" Type="http://schemas.openxmlformats.org/officeDocument/2006/relationships/hyperlink" Target="http://biology.burke.washington.edu/herbarium/imagecollectionnew/taxon.php?Taxon=Chrysosplenium%20glechomifolium" TargetMode="External"/><Relationship Id="rId625" Type="http://schemas.openxmlformats.org/officeDocument/2006/relationships/hyperlink" Target="https://en.wikipedia.org/wiki/Salix_lucida" TargetMode="External"/><Relationship Id="rId832" Type="http://schemas.openxmlformats.org/officeDocument/2006/relationships/hyperlink" Target="https://en.wikipedia.org/wiki/Nuphar_lutea" TargetMode="External"/><Relationship Id="rId1048" Type="http://schemas.openxmlformats.org/officeDocument/2006/relationships/hyperlink" Target="https://en.wikipedia.org/wiki/Allium_acuminatum" TargetMode="External"/><Relationship Id="rId1255" Type="http://schemas.openxmlformats.org/officeDocument/2006/relationships/hyperlink" Target="https://en.wikipedia.org/wiki/Lasthenia_glaberrima" TargetMode="External"/><Relationship Id="rId1462" Type="http://schemas.openxmlformats.org/officeDocument/2006/relationships/hyperlink" Target="http://biology.burke.washington.edu/herbarium/imagecollectionnew/taxon.php?Taxon=Viola%20howellii" TargetMode="External"/><Relationship Id="rId2306" Type="http://schemas.openxmlformats.org/officeDocument/2006/relationships/hyperlink" Target="http://plants.usda.gov/java/profile?symbol=CAPE42" TargetMode="External"/><Relationship Id="rId2513" Type="http://schemas.openxmlformats.org/officeDocument/2006/relationships/hyperlink" Target="https://plants.usda.gov/core/profile?symbol=MIOV" TargetMode="External"/><Relationship Id="rId3911" Type="http://schemas.openxmlformats.org/officeDocument/2006/relationships/hyperlink" Target="https://plants.usda.gov/core/profile?symbol=ELCA7" TargetMode="External"/><Relationship Id="rId5669" Type="http://schemas.openxmlformats.org/officeDocument/2006/relationships/hyperlink" Target="http://www.burkemuseum.org/research-and-collections/botany-and-herbarium/collections/database/results.php?Genus=Crataegus&amp;Species=douglasii&amp;SourcePage=search.php&amp;IncludeSynonyms=Y&amp;SortBy=DESC&amp;SortOrder=Year" TargetMode="External"/><Relationship Id="rId5876" Type="http://schemas.openxmlformats.org/officeDocument/2006/relationships/hyperlink" Target="http://www.burkemuseum.org/research-and-collections/botany-and-herbarium/collections/database/results.php?Genus=Lilium&amp;Species=columbianum&amp;SourcePage=search.php&amp;IncludeSynonyms=Y&amp;SortBy=DESC&amp;SortOrder=Year" TargetMode="External"/><Relationship Id="rId1115" Type="http://schemas.openxmlformats.org/officeDocument/2006/relationships/hyperlink" Target="https://en.wikipedia.org/wiki/Juncus_patens" TargetMode="External"/><Relationship Id="rId1322" Type="http://schemas.openxmlformats.org/officeDocument/2006/relationships/hyperlink" Target="http://biology.burke.washington.edu/herbarium/imagecollection/taxon.php?Taxon=Salix%20prolixa" TargetMode="External"/><Relationship Id="rId2720" Type="http://schemas.openxmlformats.org/officeDocument/2006/relationships/hyperlink" Target="http://www.burkemuseum.org/research-and-collections/botany-and-herbarium/collections/database/results.php?Genus=Aconitum&amp;Species=columbianum&amp;SourcePage=search.php&amp;IncludeSynonyms=Y&amp;SortBy=DESC&amp;SortOrder=Year" TargetMode="External"/><Relationship Id="rId4478" Type="http://schemas.openxmlformats.org/officeDocument/2006/relationships/hyperlink" Target="https://plants.usda.gov/core/profile?symbol=TRCA21" TargetMode="External"/><Relationship Id="rId5529" Type="http://schemas.openxmlformats.org/officeDocument/2006/relationships/hyperlink" Target="https://en.wikipedia.org/wiki/Zygadenus_venenosus" TargetMode="External"/><Relationship Id="rId6927" Type="http://schemas.openxmlformats.org/officeDocument/2006/relationships/hyperlink" Target="http://biology.burke.washington.edu/herbarium/imagecollection/taxon.php?Taxon=Montia%20fontana" TargetMode="External"/><Relationship Id="rId7091" Type="http://schemas.openxmlformats.org/officeDocument/2006/relationships/hyperlink" Target="http://biology.burke.washington.edu/herbarium/imagecollectionnew/taxon.php?Taxon=Vaccinium%20deliciosum" TargetMode="External"/><Relationship Id="rId3287" Type="http://schemas.openxmlformats.org/officeDocument/2006/relationships/hyperlink" Target="http://www.burkemuseum.org/research-and-collections/botany-and-herbarium/collections/database/results.php?Genus=Rorippa&amp;Species=palustris&amp;SourcePage=search.php&amp;IncludeSynonyms=Y&amp;SortBy=DESC&amp;SortOrder=Year" TargetMode="External"/><Relationship Id="rId4338" Type="http://schemas.openxmlformats.org/officeDocument/2006/relationships/hyperlink" Target="https://plants.usda.gov/core/profile?symbol=ruhi2" TargetMode="External"/><Relationship Id="rId4685" Type="http://schemas.openxmlformats.org/officeDocument/2006/relationships/hyperlink" Target="https://en.wikipedia.org/wiki/Anemone_oregana" TargetMode="External"/><Relationship Id="rId4892" Type="http://schemas.openxmlformats.org/officeDocument/2006/relationships/hyperlink" Target="https://en.wikipedia.org/wiki/Datura_wrightii" TargetMode="External"/><Relationship Id="rId5736" Type="http://schemas.openxmlformats.org/officeDocument/2006/relationships/hyperlink" Target="http://www.burkemuseum.org/research-and-collections/botany-and-herbarium/collections/database/results.php?Genus=Eriophorum&amp;Species=gracile&amp;SourcePage=search.php&amp;IncludeSynonyms=Y&amp;SortBy=DESC&amp;SortOrder=Year" TargetMode="External"/><Relationship Id="rId5943" Type="http://schemas.openxmlformats.org/officeDocument/2006/relationships/hyperlink" Target="http://www.burkemuseum.org/research-and-collections/botany-and-herbarium/collections/database/results.php?Genus=Moehringia&amp;Species=lateriflora&amp;SourcePage=search.php&amp;IncludeSynonyms=Y&amp;SortBy=DESC&amp;SortOrder=Year" TargetMode="External"/><Relationship Id="rId2096" Type="http://schemas.openxmlformats.org/officeDocument/2006/relationships/hyperlink" Target="http://plants.usda.gov/java/profile?symbol=JUBO" TargetMode="External"/><Relationship Id="rId3494" Type="http://schemas.openxmlformats.org/officeDocument/2006/relationships/hyperlink" Target="http://www.burkemuseum.org/research-and-collections/botany-and-herbarium/collections/database/results.php?Genus=Echinacea&amp;Species=purpurea&amp;SourcePage=search.php&amp;IncludeSynonyms=Y&amp;SortBy=DESC&amp;SortOrder=Year" TargetMode="External"/><Relationship Id="rId4545" Type="http://schemas.openxmlformats.org/officeDocument/2006/relationships/hyperlink" Target="https://en.wikipedia.org/wiki/Agastache" TargetMode="External"/><Relationship Id="rId4752" Type="http://schemas.openxmlformats.org/officeDocument/2006/relationships/hyperlink" Target="https://en.wikipedia.org/wiki/Cakile_edentula" TargetMode="External"/><Relationship Id="rId5803" Type="http://schemas.openxmlformats.org/officeDocument/2006/relationships/hyperlink" Target="http://www.burkemuseum.org/research-and-collections/botany-and-herbarium/collections/database/results.php?Genus=Heuchera&amp;Species=chlorantha&amp;SourcePage=search.php&amp;IncludeSynonyms=Y&amp;SortBy=DESC&amp;SortOrder=Year" TargetMode="External"/><Relationship Id="rId3147" Type="http://schemas.openxmlformats.org/officeDocument/2006/relationships/hyperlink" Target="http://www.burkemuseum.org/research-and-collections/botany-and-herbarium/collections/database/results.php?Genus=Moneses&amp;Species=uniflora&amp;SourcePage=search.php&amp;IncludeSynonyms=Y&amp;SortBy=DESC&amp;SortOrder=Year" TargetMode="External"/><Relationship Id="rId3354" Type="http://schemas.openxmlformats.org/officeDocument/2006/relationships/hyperlink" Target="http://www.burkemuseum.org/research-and-collections/botany-and-herbarium/collections/database/results.php?Genus=Sium&amp;Species=suave&amp;SourcePage=search.php&amp;IncludeSynonyms=Y&amp;SortBy=DESC&amp;SortOrder=Year" TargetMode="External"/><Relationship Id="rId3561" Type="http://schemas.openxmlformats.org/officeDocument/2006/relationships/hyperlink" Target="http://www.burkemuseum.org/research-and-collections/botany-and-herbarium/collections/database/results.php?Genus=Prosartes&amp;Species=smithii&amp;SourcePage=search.php&amp;IncludeSynonyms=Y&amp;SortBy=DESC&amp;SortOrder=Year" TargetMode="External"/><Relationship Id="rId4405" Type="http://schemas.openxmlformats.org/officeDocument/2006/relationships/hyperlink" Target="https://plants.usda.gov/core/profile?symbol=SIMAV" TargetMode="External"/><Relationship Id="rId4612" Type="http://schemas.openxmlformats.org/officeDocument/2006/relationships/hyperlink" Target="http://www.burkemuseum.org/research-and-collections/botany-and-herbarium/collections/database/results.php?Genus=Amsinckia&amp;Species=lycopsoides&amp;SourcePage=search.php&amp;IncludeSynonyms=Y&amp;SortBy=DESC&amp;SortOrder=Year" TargetMode="External"/><Relationship Id="rId275" Type="http://schemas.openxmlformats.org/officeDocument/2006/relationships/hyperlink" Target="http://biology.burke.washington.edu/herbarium/imagecollection/taxon.php?Taxon=Howellia%20aquatilis" TargetMode="External"/><Relationship Id="rId482" Type="http://schemas.openxmlformats.org/officeDocument/2006/relationships/hyperlink" Target="http://biology.burke.washington.edu/herbarium/imagecollectionnew/taxon.php?Taxon=Viola%20palustris" TargetMode="External"/><Relationship Id="rId2163" Type="http://schemas.openxmlformats.org/officeDocument/2006/relationships/hyperlink" Target="https://plants.usda.gov/core/profile?symbol=EUMA9" TargetMode="External"/><Relationship Id="rId2370" Type="http://schemas.openxmlformats.org/officeDocument/2006/relationships/hyperlink" Target="http://plants.usda.gov/java/profile?symbol=AZFI" TargetMode="External"/><Relationship Id="rId3007" Type="http://schemas.openxmlformats.org/officeDocument/2006/relationships/hyperlink" Target="http://www.burkemuseum.org/research-and-collections/botany-and-herbarium/collections/database/results.php?Genus=Galium&amp;Species=palustre&amp;SourcePage=search.php&amp;IncludeSynonyms=Y&amp;SortBy=DESC&amp;SortOrder=Year" TargetMode="External"/><Relationship Id="rId3214" Type="http://schemas.openxmlformats.org/officeDocument/2006/relationships/hyperlink" Target="http://www.burkemuseum.org/research-and-collections/botany-and-herbarium/collections/database/results.php?Genus=Platanthera&amp;Species=elongata&amp;SourcePage=search.php&amp;IncludeSynonyms=Y&amp;SortBy=DESC&amp;SortOrder=Year" TargetMode="External"/><Relationship Id="rId3421" Type="http://schemas.openxmlformats.org/officeDocument/2006/relationships/hyperlink" Target="http://www.burkemuseum.org/research-and-collections/botany-and-herbarium/collections/database/results.php?Genus=Vaccinium&amp;Species=membranaceum&amp;SourcePage=search.php&amp;IncludeSynonyms=Y&amp;SortBy=DESC&amp;SortOrder=Year" TargetMode="External"/><Relationship Id="rId6577" Type="http://schemas.openxmlformats.org/officeDocument/2006/relationships/hyperlink" Target="http://biology.burke.washington.edu/herbarium/imagecollectionnew/taxon.php?Taxon=Marah%20oregana" TargetMode="External"/><Relationship Id="rId6784" Type="http://schemas.openxmlformats.org/officeDocument/2006/relationships/hyperlink" Target="http://biology.burke.washington.edu/herbarium/imagecollectionnew/taxon.php?Taxon=Erythronium%20quinaultense" TargetMode="External"/><Relationship Id="rId6991" Type="http://schemas.openxmlformats.org/officeDocument/2006/relationships/hyperlink" Target="http://biology.burke.washington.edu/herbarium/imagecollectionnew/taxon.php?Taxon=Eleocharis%20palustris" TargetMode="External"/><Relationship Id="rId135" Type="http://schemas.openxmlformats.org/officeDocument/2006/relationships/hyperlink" Target="http://biology.burke.washington.edu/herbarium/imagecollection/taxon.php?Taxon=Juncus%20acuminatus" TargetMode="External"/><Relationship Id="rId342" Type="http://schemas.openxmlformats.org/officeDocument/2006/relationships/hyperlink" Target="http://biology.burke.washington.edu/herbarium/imagecollectionnew/taxon.php?Taxon=Callitriche%20heterophylla" TargetMode="External"/><Relationship Id="rId2023" Type="http://schemas.openxmlformats.org/officeDocument/2006/relationships/hyperlink" Target="http://plants.usda.gov/java/profile?symbol=MESU" TargetMode="External"/><Relationship Id="rId2230" Type="http://schemas.openxmlformats.org/officeDocument/2006/relationships/hyperlink" Target="http://plants.usda.gov/java/profile?symbol=DACA3" TargetMode="External"/><Relationship Id="rId5179" Type="http://schemas.openxmlformats.org/officeDocument/2006/relationships/hyperlink" Target="https://en.wikipedia.org/wiki/Olsynium_douglasii" TargetMode="External"/><Relationship Id="rId5386" Type="http://schemas.openxmlformats.org/officeDocument/2006/relationships/hyperlink" Target="https://en.wikipedia.org/wiki/Scirpus_microcarpus" TargetMode="External"/><Relationship Id="rId5593" Type="http://schemas.openxmlformats.org/officeDocument/2006/relationships/hyperlink" Target="http://www.burkemuseum.org/research-and-collections/botany-and-herbarium/collections/database/results.php?Genus=Carex&amp;Species=pachystachya&amp;SourcePage=search.php&amp;IncludeSynonyms=Y&amp;SortBy=DESC&amp;SortOrder=Year" TargetMode="External"/><Relationship Id="rId6437" Type="http://schemas.openxmlformats.org/officeDocument/2006/relationships/hyperlink" Target="http://biology.burke.washington.edu/herbarium/imagecollectionnew/taxon.php?Taxon=Clematis%20ligusticifolia" TargetMode="External"/><Relationship Id="rId6644" Type="http://schemas.openxmlformats.org/officeDocument/2006/relationships/hyperlink" Target="http://biology.burke.washington.edu/herbarium/imagecollectionnew/taxon.php?Taxon=Sparganium%20natans" TargetMode="External"/><Relationship Id="rId202" Type="http://schemas.openxmlformats.org/officeDocument/2006/relationships/hyperlink" Target="http://biology.burke.washington.edu/herbarium/imagecollection/taxon.php?Taxon=Fragaria%20virginiana" TargetMode="External"/><Relationship Id="rId4195" Type="http://schemas.openxmlformats.org/officeDocument/2006/relationships/hyperlink" Target="https://plants.usda.gov/core/profile?symbol=PAMY" TargetMode="External"/><Relationship Id="rId5039" Type="http://schemas.openxmlformats.org/officeDocument/2006/relationships/hyperlink" Target="https://en.wikipedia.org/wiki/Impatiens_noli-tangere" TargetMode="External"/><Relationship Id="rId5246" Type="http://schemas.openxmlformats.org/officeDocument/2006/relationships/hyperlink" Target="https://en.wikipedia.org/wiki/Poa_leptocoma" TargetMode="External"/><Relationship Id="rId5453" Type="http://schemas.openxmlformats.org/officeDocument/2006/relationships/hyperlink" Target="https://en.wikipedia.org/wiki/Taxus_brevifolia" TargetMode="External"/><Relationship Id="rId6504" Type="http://schemas.openxmlformats.org/officeDocument/2006/relationships/hyperlink" Target="http://biology.burke.washington.edu/herbarium/imagecollection/taxon.php?Taxon=Hydrophyllum%20tenuipes" TargetMode="External"/><Relationship Id="rId6851" Type="http://schemas.openxmlformats.org/officeDocument/2006/relationships/hyperlink" Target="http://biology.burke.washington.edu/herbarium/imagecollectionnew/taxon.php?Taxon=Arnica%20lanceolata" TargetMode="External"/><Relationship Id="rId1789" Type="http://schemas.openxmlformats.org/officeDocument/2006/relationships/hyperlink" Target="https://plants.usda.gov/core/profile?symbol=SPPY" TargetMode="External"/><Relationship Id="rId1996" Type="http://schemas.openxmlformats.org/officeDocument/2006/relationships/hyperlink" Target="http://plants.usda.gov/java/profile?symbol=MYQU" TargetMode="External"/><Relationship Id="rId4055" Type="http://schemas.openxmlformats.org/officeDocument/2006/relationships/hyperlink" Target="https://plants.usda.gov/core/profile?symbol=LAHO2" TargetMode="External"/><Relationship Id="rId4262" Type="http://schemas.openxmlformats.org/officeDocument/2006/relationships/hyperlink" Target="https://plants.usda.gov/core/profile?symbol=POEP2" TargetMode="External"/><Relationship Id="rId5106" Type="http://schemas.openxmlformats.org/officeDocument/2006/relationships/hyperlink" Target="https://en.wikipedia.org/wiki/Luzula_comosa" TargetMode="External"/><Relationship Id="rId5660" Type="http://schemas.openxmlformats.org/officeDocument/2006/relationships/hyperlink" Target="http://www.burkemuseum.org/research-and-collections/botany-and-herbarium/collections/database/results.php?Genus=Corallorhiza&amp;Species=trifida&amp;SourcePage=search.php&amp;IncludeSynonyms=Y&amp;SortBy=DESC&amp;SortOrder=Year" TargetMode="External"/><Relationship Id="rId6711" Type="http://schemas.openxmlformats.org/officeDocument/2006/relationships/hyperlink" Target="http://biology.burke.washington.edu/herbarium/imagecollection/taxon.php?Taxon=Nuttallanthus%20texanus" TargetMode="External"/><Relationship Id="rId1649" Type="http://schemas.openxmlformats.org/officeDocument/2006/relationships/hyperlink" Target="http://biology.burke.washington.edu/herbarium/imagecollection/taxon.php?Taxon=Polypodium%20scouleri" TargetMode="External"/><Relationship Id="rId1856" Type="http://schemas.openxmlformats.org/officeDocument/2006/relationships/hyperlink" Target="http://plants.usda.gov/java/profile?symbol=SADE" TargetMode="External"/><Relationship Id="rId2907" Type="http://schemas.openxmlformats.org/officeDocument/2006/relationships/hyperlink" Target="http://www.burkemuseum.org/research-and-collections/botany-and-herbarium/collections/database/results.php?Genus=Corallorhiza&amp;Species=maculata&amp;SourcePage=search.php&amp;IncludeSynonyms=Y&amp;SortBy=DESC&amp;SortOrder=Year" TargetMode="External"/><Relationship Id="rId3071" Type="http://schemas.openxmlformats.org/officeDocument/2006/relationships/hyperlink" Target="http://www.burkemuseum.org/research-and-collections/botany-and-herbarium/collections/database/results.php?Genus=Lactuca&amp;Species=biennis&amp;SourcePage=search.php&amp;IncludeSynonyms=Y&amp;SortBy=DESC&amp;SortOrder=Year" TargetMode="External"/><Relationship Id="rId5313" Type="http://schemas.openxmlformats.org/officeDocument/2006/relationships/hyperlink" Target="https://en.wikipedia.org/wiki/Rhus_glabra" TargetMode="External"/><Relationship Id="rId5520" Type="http://schemas.openxmlformats.org/officeDocument/2006/relationships/hyperlink" Target="https://en.wikipedia.org/wiki/Vulpia_microstachys" TargetMode="External"/><Relationship Id="rId1509" Type="http://schemas.openxmlformats.org/officeDocument/2006/relationships/hyperlink" Target="https://en.wikipedia.org/wiki/Rosa_pisocarpa" TargetMode="External"/><Relationship Id="rId1716" Type="http://schemas.openxmlformats.org/officeDocument/2006/relationships/hyperlink" Target="https://plants.usda.gov/core/profile?symbol=VIOR" TargetMode="External"/><Relationship Id="rId1923" Type="http://schemas.openxmlformats.org/officeDocument/2006/relationships/hyperlink" Target="http://plants.usda.gov/java/profile?symbol=POTR5" TargetMode="External"/><Relationship Id="rId4122" Type="http://schemas.openxmlformats.org/officeDocument/2006/relationships/hyperlink" Target="https://plants.usda.gov/core/profile?symbol=MAMO9" TargetMode="External"/><Relationship Id="rId3888" Type="http://schemas.openxmlformats.org/officeDocument/2006/relationships/hyperlink" Target="https://plants.usda.gov/core/profile?symbol=DEEL" TargetMode="External"/><Relationship Id="rId4939" Type="http://schemas.openxmlformats.org/officeDocument/2006/relationships/hyperlink" Target="https://en.wikipedia.org/wiki/Equisetum_variegatum" TargetMode="External"/><Relationship Id="rId6087" Type="http://schemas.openxmlformats.org/officeDocument/2006/relationships/hyperlink" Target="http://www.burkemuseum.org/research-and-collections/botany-and-herbarium/collections/database/results.php?Genus=Psilocarphus&amp;Species=tenellus&amp;SourcePage=search.php&amp;IncludeSynonyms=Y&amp;SortBy=DESC&amp;SortOrder=Year" TargetMode="External"/><Relationship Id="rId6294" Type="http://schemas.openxmlformats.org/officeDocument/2006/relationships/hyperlink" Target="http://www.burkemuseum.org/research-and-collections/botany-and-herbarium/collections/database/results.php?Genus=Vaccinium&amp;Species=uliginosum&amp;SourcePage=search.php&amp;IncludeSynonyms=Y&amp;SortBy=DESC&amp;SortOrder=Year" TargetMode="External"/><Relationship Id="rId7138" Type="http://schemas.openxmlformats.org/officeDocument/2006/relationships/hyperlink" Target="https://en.wikipedia.org/wiki/Sequoiadendron_giganteum" TargetMode="External"/><Relationship Id="rId2697" Type="http://schemas.openxmlformats.org/officeDocument/2006/relationships/hyperlink" Target="http://biology.burke.washington.edu/herbarium/imagecollectionnew/taxon.php?Taxon=Sidalcea%20hendersonii" TargetMode="External"/><Relationship Id="rId3748" Type="http://schemas.openxmlformats.org/officeDocument/2006/relationships/hyperlink" Target="https://plants.usda.gov/core/profile?symbol=capa5" TargetMode="External"/><Relationship Id="rId6154" Type="http://schemas.openxmlformats.org/officeDocument/2006/relationships/hyperlink" Target="http://www.burkemuseum.org/research-and-collections/botany-and-herbarium/collections/database/results.php?Genus=Salix&amp;Species=geyeriana&amp;SourcePage=search.php&amp;IncludeSynonyms=Y&amp;SortBy=DESC&amp;SortOrder=Year" TargetMode="External"/><Relationship Id="rId6361" Type="http://schemas.openxmlformats.org/officeDocument/2006/relationships/hyperlink" Target="http://biology.burke.washington.edu/herbarium/imagecollectionnew/taxon.php?Taxon=Alnus%20rhombifolia" TargetMode="External"/><Relationship Id="rId7205" Type="http://schemas.openxmlformats.org/officeDocument/2006/relationships/hyperlink" Target="http://biology.burke.washington.edu/herbarium/imagecollection/taxon.php?Taxon=Ranunculus%20occidentalis" TargetMode="External"/><Relationship Id="rId669" Type="http://schemas.openxmlformats.org/officeDocument/2006/relationships/hyperlink" Target="https://en.wikipedia.org/wiki/Pyrola_asarifolia" TargetMode="External"/><Relationship Id="rId876" Type="http://schemas.openxmlformats.org/officeDocument/2006/relationships/hyperlink" Target="https://en.wikipedia.org/wiki/Corydalis" TargetMode="External"/><Relationship Id="rId1299" Type="http://schemas.openxmlformats.org/officeDocument/2006/relationships/hyperlink" Target="https://en.wikipedia.org/wiki/Sparganium" TargetMode="External"/><Relationship Id="rId2557" Type="http://schemas.openxmlformats.org/officeDocument/2006/relationships/hyperlink" Target="https://plants.usda.gov/core/profile?symbol=FEIDR2" TargetMode="External"/><Relationship Id="rId3608" Type="http://schemas.openxmlformats.org/officeDocument/2006/relationships/hyperlink" Target="http://www.burkemuseum.org/research-and-collections/botany-and-herbarium/collections/database/results.php?Genus=Vaccinium&amp;Species=parvifolium&amp;SourcePage=search.php&amp;IncludeSynonyms=Y&amp;SortBy=DESC&amp;SortOrder=Year" TargetMode="External"/><Relationship Id="rId3955" Type="http://schemas.openxmlformats.org/officeDocument/2006/relationships/hyperlink" Target="https://plants.usda.gov/core/profile?symbol=FEIDR2" TargetMode="External"/><Relationship Id="rId5170" Type="http://schemas.openxmlformats.org/officeDocument/2006/relationships/hyperlink" Target="https://en.wikipedia.org/wiki/Nemophila_pedunculata" TargetMode="External"/><Relationship Id="rId6014" Type="http://schemas.openxmlformats.org/officeDocument/2006/relationships/hyperlink" Target="http://www.burkemuseum.org/research-and-collections/botany-and-herbarium/collections/database/results.php?Genus=Phacelia&amp;Species=heterophylla&amp;SourcePage=search.php&amp;IncludeSynonyms=Y&amp;SortBy=DESC&amp;SortOrder=Year" TargetMode="External"/><Relationship Id="rId6221" Type="http://schemas.openxmlformats.org/officeDocument/2006/relationships/hyperlink" Target="http://www.burkemuseum.org/research-and-collections/botany-and-herbarium/collections/database/results.php?Genus=Spergularia&amp;Species=salina&amp;SourcePage=search.php&amp;IncludeSynonyms=Y&amp;SortBy=DESC&amp;SortOrder=Year" TargetMode="External"/><Relationship Id="rId529" Type="http://schemas.openxmlformats.org/officeDocument/2006/relationships/hyperlink" Target="https://en.wikipedia.org/wiki/Urtica_dioica" TargetMode="External"/><Relationship Id="rId736" Type="http://schemas.openxmlformats.org/officeDocument/2006/relationships/hyperlink" Target="https://en.wikipedia.org/wiki/Dodecatheon_pulchellum" TargetMode="External"/><Relationship Id="rId1159" Type="http://schemas.openxmlformats.org/officeDocument/2006/relationships/hyperlink" Target="https://en.wikipedia.org/wiki/Glyceria_grandis" TargetMode="External"/><Relationship Id="rId1366" Type="http://schemas.openxmlformats.org/officeDocument/2006/relationships/hyperlink" Target="http://biology.burke.washington.edu/herbarium/imagecollection/taxon.php?Taxon=Quercus%20garryana" TargetMode="External"/><Relationship Id="rId2417" Type="http://schemas.openxmlformats.org/officeDocument/2006/relationships/hyperlink" Target="https://plants.usda.gov/core/profile?symbol=suca2" TargetMode="External"/><Relationship Id="rId2764" Type="http://schemas.openxmlformats.org/officeDocument/2006/relationships/hyperlink" Target="http://www.burkemuseum.org/research-and-collections/botany-and-herbarium/collections/database/results.php?Genus=Aquilegia&amp;Species=formosa&amp;SourcePage=search.php&amp;IncludeSynonyms=Y&amp;SortBy=DESC&amp;SortOrder=Year" TargetMode="External"/><Relationship Id="rId2971" Type="http://schemas.openxmlformats.org/officeDocument/2006/relationships/hyperlink" Target="http://www.burkemuseum.org/research-and-collections/botany-and-herbarium/collections/database/results.php?Genus=Equisetum&amp;Species=palustre&amp;SourcePage=search.php&amp;IncludeSynonyms=Y&amp;SortBy=DESC&amp;SortOrder=Year" TargetMode="External"/><Relationship Id="rId3815" Type="http://schemas.openxmlformats.org/officeDocument/2006/relationships/hyperlink" Target="https://plants.usda.gov/core/profile?symbol=CEAR4" TargetMode="External"/><Relationship Id="rId5030" Type="http://schemas.openxmlformats.org/officeDocument/2006/relationships/hyperlink" Target="https://en.wikipedia.org/wiki/Howellia_aquatilis" TargetMode="External"/><Relationship Id="rId943" Type="http://schemas.openxmlformats.org/officeDocument/2006/relationships/hyperlink" Target="http://en.wikipedia.org/wiki/Carex_comosa" TargetMode="External"/><Relationship Id="rId1019" Type="http://schemas.openxmlformats.org/officeDocument/2006/relationships/hyperlink" Target="http://en.wikipedia.org/wiki/Andromeda_polifolia" TargetMode="External"/><Relationship Id="rId1573" Type="http://schemas.openxmlformats.org/officeDocument/2006/relationships/hyperlink" Target="https://en.wikipedia.org/wiki/Carex_nudata" TargetMode="External"/><Relationship Id="rId1780" Type="http://schemas.openxmlformats.org/officeDocument/2006/relationships/hyperlink" Target="https://plants.usda.gov/core/profile?symbol=STOB" TargetMode="External"/><Relationship Id="rId2624" Type="http://schemas.openxmlformats.org/officeDocument/2006/relationships/hyperlink" Target="http://biology.burke.washington.edu/herbarium/imagecollectionnew/taxon.php?Taxon=Scheuchzeria%20palustris" TargetMode="External"/><Relationship Id="rId2831" Type="http://schemas.openxmlformats.org/officeDocument/2006/relationships/hyperlink" Target="http://www.burkemuseum.org/research-and-collections/botany-and-herbarium/collections/database/results.php?Genus=Carex&amp;Species=aquatilis&amp;SourcePage=search.php&amp;IncludeSynonyms=Y&amp;SortBy=DESC&amp;SortOrder=Year" TargetMode="External"/><Relationship Id="rId5987" Type="http://schemas.openxmlformats.org/officeDocument/2006/relationships/hyperlink" Target="http://www.burkemuseum.org/research-and-collections/botany-and-herbarium/collections/database/results.php?Genus=Oxalis&amp;Species=trilliifolia&amp;SourcePage=search.php&amp;IncludeSynonyms=Y&amp;SortBy=DESC&amp;SortOrder=Year" TargetMode="External"/><Relationship Id="rId72" Type="http://schemas.openxmlformats.org/officeDocument/2006/relationships/hyperlink" Target="http://biology.burke.washington.edu/herbarium/imagecollection/taxon.php?Taxon=Eutrochium%20maculatum" TargetMode="External"/><Relationship Id="rId803" Type="http://schemas.openxmlformats.org/officeDocument/2006/relationships/hyperlink" Target="https://en.wikipedia.org/wiki/Pinus_ponderosa" TargetMode="External"/><Relationship Id="rId1226" Type="http://schemas.openxmlformats.org/officeDocument/2006/relationships/hyperlink" Target="http://biology.burke.washington.edu/herbarium/imagecollectionnew/taxon.php?Taxon=Artemisia%20douglasiana" TargetMode="External"/><Relationship Id="rId1433" Type="http://schemas.openxmlformats.org/officeDocument/2006/relationships/hyperlink" Target="http://biology.burke.washington.edu/herbarium/imagecollectionnew/taxon.php?Taxon=Bromus%20sitchensis%20var.%20carinatus" TargetMode="External"/><Relationship Id="rId1640" Type="http://schemas.openxmlformats.org/officeDocument/2006/relationships/hyperlink" Target="http://biology.burke.washington.edu/herbarium/imagecollection/taxon.php?Taxon=Malus%20fusca" TargetMode="External"/><Relationship Id="rId4589" Type="http://schemas.openxmlformats.org/officeDocument/2006/relationships/hyperlink" Target="http://www.burkemuseum.org/research-and-collections/botany-and-herbarium/collections/database/results.php?Genus=Adiantum&amp;Species=pedatum&amp;SourcePage=search.php&amp;IncludeSynonyms=Y&amp;SortBy=DESC&amp;SortOrder=Year" TargetMode="External"/><Relationship Id="rId4796" Type="http://schemas.openxmlformats.org/officeDocument/2006/relationships/hyperlink" Target="https://en.wikipedia.org/wiki/Carex_mertensii" TargetMode="External"/><Relationship Id="rId5847" Type="http://schemas.openxmlformats.org/officeDocument/2006/relationships/hyperlink" Target="http://www.burkemuseum.org/research-and-collections/botany-and-herbarium/collections/database/results.php?Genus=Juniperus&amp;Species=maritima&amp;SourcePage=search.php&amp;IncludeSynonyms=Y&amp;SortBy=DESC&amp;SortOrder=Year" TargetMode="External"/><Relationship Id="rId1500" Type="http://schemas.openxmlformats.org/officeDocument/2006/relationships/hyperlink" Target="https://en.wikipedia.org/wiki/Sanicula_crassicaulis" TargetMode="External"/><Relationship Id="rId3398" Type="http://schemas.openxmlformats.org/officeDocument/2006/relationships/hyperlink" Target="http://www.burkemuseum.org/research-and-collections/botany-and-herbarium/collections/database/results.php?Genus=Trientalis&amp;Species=europaea&amp;SourcePage=search.php&amp;IncludeSynonyms=Y&amp;SortBy=DESC&amp;SortOrder=Year" TargetMode="External"/><Relationship Id="rId4449" Type="http://schemas.openxmlformats.org/officeDocument/2006/relationships/hyperlink" Target="https://plants.usda.gov/core/profile?symbol=SYLA4" TargetMode="External"/><Relationship Id="rId4656" Type="http://schemas.openxmlformats.org/officeDocument/2006/relationships/hyperlink" Target="http://www.burkemuseum.org/research-and-collections/botany-and-herbarium/collections/database/results.php?Genus=Athysanus&amp;Species=pusillus&amp;SourcePage=search.php&amp;IncludeSynonyms=Y&amp;SortBy=DESC&amp;SortOrder=Year" TargetMode="External"/><Relationship Id="rId4863" Type="http://schemas.openxmlformats.org/officeDocument/2006/relationships/hyperlink" Target="https://en.wikipedia.org/wiki/Coptis_aspleniifolia" TargetMode="External"/><Relationship Id="rId5707" Type="http://schemas.openxmlformats.org/officeDocument/2006/relationships/hyperlink" Target="http://www.burkemuseum.org/research-and-collections/botany-and-herbarium/collections/database/results.php?Genus=Dryopteris&amp;Species=filix-mas&amp;SourcePage=search.php&amp;IncludeSynonyms=Y&amp;SortBy=DESC&amp;SortOrder=Year" TargetMode="External"/><Relationship Id="rId5914" Type="http://schemas.openxmlformats.org/officeDocument/2006/relationships/hyperlink" Target="http://www.burkemuseum.org/research-and-collections/botany-and-herbarium/collections/database/results.php?Genus=Lysimachia&amp;Species=thyrsiflora&amp;SourcePage=search.php&amp;IncludeSynonyms=Y&amp;SortBy=DESC&amp;SortOrder=Year" TargetMode="External"/><Relationship Id="rId7062" Type="http://schemas.openxmlformats.org/officeDocument/2006/relationships/hyperlink" Target="http://biology.burke.washington.edu/herbarium/imagecollection/taxon.php?Taxon=Agoseris%20elata" TargetMode="External"/><Relationship Id="rId3258" Type="http://schemas.openxmlformats.org/officeDocument/2006/relationships/hyperlink" Target="http://www.burkemuseum.org/research-and-collections/botany-and-herbarium/collections/database/results.php?Genus=Psilocarphus&amp;Species=tenellus&amp;SourcePage=search.php&amp;IncludeSynonyms=Y&amp;SortBy=DESC&amp;SortOrder=Year" TargetMode="External"/><Relationship Id="rId3465" Type="http://schemas.openxmlformats.org/officeDocument/2006/relationships/hyperlink" Target="http://www.burkemuseum.org/research-and-collections/botany-and-herbarium/collections/database/results.php?Genus=Asclepias&amp;Species=speciosa&amp;SourcePage=search.php&amp;IncludeSynonyms=Y&amp;SortBy=DESC&amp;SortOrder=Year" TargetMode="External"/><Relationship Id="rId3672" Type="http://schemas.openxmlformats.org/officeDocument/2006/relationships/hyperlink" Target="https://plants.usda.gov/core/profile?symbol=ANHE" TargetMode="External"/><Relationship Id="rId4309" Type="http://schemas.openxmlformats.org/officeDocument/2006/relationships/hyperlink" Target="https://plants.usda.gov/core/profile?symbol=MEFE" TargetMode="External"/><Relationship Id="rId4516" Type="http://schemas.openxmlformats.org/officeDocument/2006/relationships/hyperlink" Target="https://plants.usda.gov/core/profile?symbol=VIOR" TargetMode="External"/><Relationship Id="rId4723" Type="http://schemas.openxmlformats.org/officeDocument/2006/relationships/hyperlink" Target="https://en.wikipedia.org/wiki/Athysanus_pusillus" TargetMode="External"/><Relationship Id="rId179" Type="http://schemas.openxmlformats.org/officeDocument/2006/relationships/hyperlink" Target="http://biology.burke.washington.edu/herbarium/imagecollection/taxon.php?Taxon=Melica%20subulata" TargetMode="External"/><Relationship Id="rId386" Type="http://schemas.openxmlformats.org/officeDocument/2006/relationships/hyperlink" Target="http://biology.burke.washington.edu/herbarium/imagecollectionnew/taxon.php?Taxon=Corylus%20cornuta" TargetMode="External"/><Relationship Id="rId593" Type="http://schemas.openxmlformats.org/officeDocument/2006/relationships/hyperlink" Target="https://en.wikipedia.org/wiki/Sidalcea_campestris" TargetMode="External"/><Relationship Id="rId2067" Type="http://schemas.openxmlformats.org/officeDocument/2006/relationships/hyperlink" Target="https://plants.usda.gov/core/profile?symbol=LERE7" TargetMode="External"/><Relationship Id="rId2274" Type="http://schemas.openxmlformats.org/officeDocument/2006/relationships/hyperlink" Target="http://plants.usda.gov/java/profile?symbol=CIDO" TargetMode="External"/><Relationship Id="rId2481" Type="http://schemas.openxmlformats.org/officeDocument/2006/relationships/hyperlink" Target="http://plants.usda.gov/java/profile?symbol=RULA2" TargetMode="External"/><Relationship Id="rId3118" Type="http://schemas.openxmlformats.org/officeDocument/2006/relationships/hyperlink" Target="http://www.burkemuseum.org/research-and-collections/botany-and-herbarium/collections/database/results.php?Genus=Lycopus&amp;Species=americanus&amp;SourcePage=search.php&amp;IncludeSynonyms=Y&amp;SortBy=DESC&amp;SortOrder=Year" TargetMode="External"/><Relationship Id="rId3325" Type="http://schemas.openxmlformats.org/officeDocument/2006/relationships/hyperlink" Target="http://www.burkemuseum.org/research-and-collections/botany-and-herbarium/collections/database/results.php?Genus=Sanicula&amp;Species=graveolens&amp;SourcePage=search.php&amp;IncludeSynonyms=Y&amp;SortBy=DESC&amp;SortOrder=Year" TargetMode="External"/><Relationship Id="rId3532" Type="http://schemas.openxmlformats.org/officeDocument/2006/relationships/hyperlink" Target="http://www.burkemuseum.org/research-and-collections/botany-and-herbarium/collections/database/results.php?Genus=Marah&amp;Species=oreganus&amp;SourcePage=search.php&amp;IncludeSynonyms=Y&amp;SortBy=DESC&amp;SortOrder=Year" TargetMode="External"/><Relationship Id="rId4930" Type="http://schemas.openxmlformats.org/officeDocument/2006/relationships/hyperlink" Target="https://en.wikipedia.org/wiki/Epilobium_densiflorum" TargetMode="External"/><Relationship Id="rId6688" Type="http://schemas.openxmlformats.org/officeDocument/2006/relationships/hyperlink" Target="http://biology.burke.washington.edu/herbarium/imagecollection/taxon.php?Taxon=Poa%20leptocoma" TargetMode="External"/><Relationship Id="rId246" Type="http://schemas.openxmlformats.org/officeDocument/2006/relationships/hyperlink" Target="http://biology.burke.washington.edu/herbarium/imagecollection/taxon.php?Taxon=Pyrola%20asarifolia" TargetMode="External"/><Relationship Id="rId453" Type="http://schemas.openxmlformats.org/officeDocument/2006/relationships/hyperlink" Target="http://biology.burke.washington.edu/herbarium/imagecollectionnew/taxon.php?Taxon=Daucus%20pusillus" TargetMode="External"/><Relationship Id="rId660" Type="http://schemas.openxmlformats.org/officeDocument/2006/relationships/hyperlink" Target="https://en.wikipedia.org/wiki/Ranunculus_uncinatus" TargetMode="External"/><Relationship Id="rId1083" Type="http://schemas.openxmlformats.org/officeDocument/2006/relationships/hyperlink" Target="https://en.wikipedia.org/wiki/Lobelia_dortmanna" TargetMode="External"/><Relationship Id="rId1290" Type="http://schemas.openxmlformats.org/officeDocument/2006/relationships/hyperlink" Target="https://en.wikipedia.org/wiki/Rotala_ramosior" TargetMode="External"/><Relationship Id="rId2134" Type="http://schemas.openxmlformats.org/officeDocument/2006/relationships/hyperlink" Target="http://plants.usda.gov/java/profile?symbol=GLST" TargetMode="External"/><Relationship Id="rId2341" Type="http://schemas.openxmlformats.org/officeDocument/2006/relationships/hyperlink" Target="http://plants.usda.gov/java/profile?symbol=CAPA52" TargetMode="External"/><Relationship Id="rId5497" Type="http://schemas.openxmlformats.org/officeDocument/2006/relationships/hyperlink" Target="https://en.wikipedia.org/wiki/Valeriana_scouleri" TargetMode="External"/><Relationship Id="rId6548" Type="http://schemas.openxmlformats.org/officeDocument/2006/relationships/hyperlink" Target="http://biology.burke.washington.edu/herbarium/imagecollection/taxon.php?Taxon=Lathyrus%20polyphyllus" TargetMode="External"/><Relationship Id="rId6895" Type="http://schemas.openxmlformats.org/officeDocument/2006/relationships/hyperlink" Target="http://biology.burke.washington.edu/herbarium/imagecollection/taxon.php?Taxon=Ranunculus%20uncinatus" TargetMode="External"/><Relationship Id="rId106" Type="http://schemas.openxmlformats.org/officeDocument/2006/relationships/hyperlink" Target="http://biology.burke.washington.edu/herbarium/imagecollection/taxon.php?Taxon=Hypericum%20scouleri" TargetMode="External"/><Relationship Id="rId313" Type="http://schemas.openxmlformats.org/officeDocument/2006/relationships/hyperlink" Target="http://biology.burke.washington.edu/herbarium/imagecollectionnew/taxon.php?Taxon=Mahonia%20nervosa" TargetMode="External"/><Relationship Id="rId1150" Type="http://schemas.openxmlformats.org/officeDocument/2006/relationships/hyperlink" Target="https://en.wikipedia.org/wiki/Gentianella_amarella" TargetMode="External"/><Relationship Id="rId4099" Type="http://schemas.openxmlformats.org/officeDocument/2006/relationships/hyperlink" Target="https://plants.usda.gov/core/profile?symbol=LUDED" TargetMode="External"/><Relationship Id="rId5357" Type="http://schemas.openxmlformats.org/officeDocument/2006/relationships/hyperlink" Target="https://en.wikipedia.org/wiki/Salix_lasiandra" TargetMode="External"/><Relationship Id="rId6755" Type="http://schemas.openxmlformats.org/officeDocument/2006/relationships/hyperlink" Target="http://biology.burke.washington.edu/herbarium/imagecollection/taxon.php?Taxon=Juncus%20oxymeris" TargetMode="External"/><Relationship Id="rId6962" Type="http://schemas.openxmlformats.org/officeDocument/2006/relationships/hyperlink" Target="http://biology.burke.washington.edu/herbarium/imagecollection/taxon.php?Taxon=Hypericum%20majus" TargetMode="External"/><Relationship Id="rId520" Type="http://schemas.openxmlformats.org/officeDocument/2006/relationships/hyperlink" Target="https://en.wikipedia.org/wiki/Valeriana_sitchensis" TargetMode="External"/><Relationship Id="rId2201" Type="http://schemas.openxmlformats.org/officeDocument/2006/relationships/hyperlink" Target="http://plants.usda.gov/java/profile?symbol=ELPA5" TargetMode="External"/><Relationship Id="rId5564" Type="http://schemas.openxmlformats.org/officeDocument/2006/relationships/hyperlink" Target="http://www.burkemuseum.org/research-and-collections/botany-and-herbarium/collections/database/results.php?Genus=Cardamine&amp;Species=angulata&amp;SourcePage=search.php&amp;IncludeSynonyms=Y&amp;SortBy=DESC&amp;SortOrder=Year" TargetMode="External"/><Relationship Id="rId5771" Type="http://schemas.openxmlformats.org/officeDocument/2006/relationships/hyperlink" Target="http://www.burkemuseum.org/research-and-collections/botany-and-herbarium/collections/database/results.php?Genus=Galium&amp;Species=trifidum&amp;SourcePage=search.php&amp;IncludeSynonyms=Y&amp;SortBy=DESC&amp;SortOrder=Year" TargetMode="External"/><Relationship Id="rId6408" Type="http://schemas.openxmlformats.org/officeDocument/2006/relationships/hyperlink" Target="http://biology.burke.washington.edu/herbarium/imagecollectionnew/taxon.php?Taxon=Carex%20aquatilis" TargetMode="External"/><Relationship Id="rId6615" Type="http://schemas.openxmlformats.org/officeDocument/2006/relationships/hyperlink" Target="http://biology.burke.washington.edu/herbarium/imagecollectionnew/taxon.php?Taxon=Veronica%20peregrina" TargetMode="External"/><Relationship Id="rId6822" Type="http://schemas.openxmlformats.org/officeDocument/2006/relationships/hyperlink" Target="http://biology.burke.washington.edu/herbarium/imagecollectionnew/taxon.php?Taxon=Carex%20vulpinoidea" TargetMode="External"/><Relationship Id="rId1010" Type="http://schemas.openxmlformats.org/officeDocument/2006/relationships/hyperlink" Target="https://en.wikipedia.org/wiki/Anticlea_(plant)" TargetMode="External"/><Relationship Id="rId1967" Type="http://schemas.openxmlformats.org/officeDocument/2006/relationships/hyperlink" Target="http://plants.usda.gov/java/profile?symbol=PAMY" TargetMode="External"/><Relationship Id="rId4166" Type="http://schemas.openxmlformats.org/officeDocument/2006/relationships/hyperlink" Target="https://plants.usda.gov/core/profile?symbol=NEPA" TargetMode="External"/><Relationship Id="rId4373" Type="http://schemas.openxmlformats.org/officeDocument/2006/relationships/hyperlink" Target="https://plants.usda.gov/core/profile?symbol=SABI3" TargetMode="External"/><Relationship Id="rId4580" Type="http://schemas.openxmlformats.org/officeDocument/2006/relationships/hyperlink" Target="http://www.burkemuseum.org/research-and-collections/botany-and-herbarium/collections/database/results.php?Genus=Acer&amp;Species=glabrum&amp;SourcePage=search.php&amp;IncludeSynonyms=Y&amp;SortBy=DESC&amp;SortOrder=Year" TargetMode="External"/><Relationship Id="rId5217" Type="http://schemas.openxmlformats.org/officeDocument/2006/relationships/hyperlink" Target="https://en.wikipedia.org/wiki/Phacelia_nemoralis" TargetMode="External"/><Relationship Id="rId5424" Type="http://schemas.openxmlformats.org/officeDocument/2006/relationships/hyperlink" Target="https://en.wikipedia.org/wiki/Spiraea_douglasii" TargetMode="External"/><Relationship Id="rId5631" Type="http://schemas.openxmlformats.org/officeDocument/2006/relationships/hyperlink" Target="http://www.burkemuseum.org/research-and-collections/botany-and-herbarium/collections/database/results.php?Genus=Cicuta&amp;Species=douglasii&amp;SourcePage=search.php&amp;IncludeSynonyms=Y&amp;SortBy=DESC&amp;SortOrder=Year" TargetMode="External"/><Relationship Id="rId4026" Type="http://schemas.openxmlformats.org/officeDocument/2006/relationships/hyperlink" Target="https://plants.usda.gov/core/profile?symbol=IMEC2" TargetMode="External"/><Relationship Id="rId4440" Type="http://schemas.openxmlformats.org/officeDocument/2006/relationships/hyperlink" Target="https://plants.usda.gov/core/profile?symbol=STPE15" TargetMode="External"/><Relationship Id="rId3042" Type="http://schemas.openxmlformats.org/officeDocument/2006/relationships/hyperlink" Target="http://www.burkemuseum.org/research-and-collections/botany-and-herbarium/collections/database/results.php?Genus=Honckenya&amp;Species=peploides&amp;SourcePage=search.php&amp;IncludeSynonyms=Y&amp;SortBy=DESC&amp;SortOrder=Year" TargetMode="External"/><Relationship Id="rId6198" Type="http://schemas.openxmlformats.org/officeDocument/2006/relationships/hyperlink" Target="http://www.burkemuseum.org/research-and-collections/botany-and-herbarium/collections/database/results.php?Genus=Shepherdia&amp;Species=canadensis&amp;SourcePage=search.php&amp;IncludeSynonyms=Y&amp;SortBy=DESC&amp;SortOrder=Year" TargetMode="External"/><Relationship Id="rId6265" Type="http://schemas.openxmlformats.org/officeDocument/2006/relationships/hyperlink" Target="http://www.burkemuseum.org/research-and-collections/botany-and-herbarium/collections/database/results.php?Genus=Trifolium&amp;Species=microdon&amp;SourcePage=search.php&amp;IncludeSynonyms=Y&amp;SortBy=DESC&amp;SortOrder=Year" TargetMode="External"/><Relationship Id="rId3859" Type="http://schemas.openxmlformats.org/officeDocument/2006/relationships/hyperlink" Target="https://plants.usda.gov/core/profile?symbol=COSC4" TargetMode="External"/><Relationship Id="rId5281" Type="http://schemas.openxmlformats.org/officeDocument/2006/relationships/hyperlink" Target="https://en.wikipedia.org/wiki/Prosartes_smithii" TargetMode="External"/><Relationship Id="rId2875" Type="http://schemas.openxmlformats.org/officeDocument/2006/relationships/hyperlink" Target="http://www.burkemuseum.org/research-and-collections/botany-and-herbarium/collections/database/results.php?Genus=Chenopodium&amp;Species=berlandieri&amp;SourcePage=search.php&amp;IncludeSynonyms=Y&amp;SortBy=DESC&amp;SortOrder=Year" TargetMode="External"/><Relationship Id="rId3926" Type="http://schemas.openxmlformats.org/officeDocument/2006/relationships/hyperlink" Target="https://plants.usda.gov/core/profile?symbol=EQPA" TargetMode="External"/><Relationship Id="rId6332" Type="http://schemas.openxmlformats.org/officeDocument/2006/relationships/hyperlink" Target="http://www.burkemuseum.org/research-and-collections/botany-and-herbarium/collections/database/results.php?Genus=Elymus&amp;Species=glaucus&amp;SourcePage=search.php&amp;IncludeSynonyms=Y&amp;SortBy=DESC&amp;SortOrder=Year" TargetMode="External"/><Relationship Id="rId847" Type="http://schemas.openxmlformats.org/officeDocument/2006/relationships/hyperlink" Target="https://en.wikipedia.org/wiki/Montia_howellii" TargetMode="External"/><Relationship Id="rId1477" Type="http://schemas.openxmlformats.org/officeDocument/2006/relationships/hyperlink" Target="https://en.wikipedia.org/wiki/Vaccinium_ovatum" TargetMode="External"/><Relationship Id="rId1891" Type="http://schemas.openxmlformats.org/officeDocument/2006/relationships/hyperlink" Target="https://plants.usda.gov/core/profile?symbol=PYPI2" TargetMode="External"/><Relationship Id="rId2528" Type="http://schemas.openxmlformats.org/officeDocument/2006/relationships/hyperlink" Target="http://plants.usda.gov/java/profile?symbol=LULI2" TargetMode="External"/><Relationship Id="rId2942" Type="http://schemas.openxmlformats.org/officeDocument/2006/relationships/hyperlink" Target="http://www.burkemuseum.org/research-and-collections/botany-and-herbarium/collections/database/results.php?Genus=Dodecatheon&amp;Species=jeffreyi&amp;SourcePage=search.php&amp;IncludeSynonyms=Y&amp;SortBy=DESC&amp;SortOrder=Year" TargetMode="External"/><Relationship Id="rId914" Type="http://schemas.openxmlformats.org/officeDocument/2006/relationships/hyperlink" Target="https://en.wikipedia.org/wiki/Celtis_reticulata" TargetMode="External"/><Relationship Id="rId1544" Type="http://schemas.openxmlformats.org/officeDocument/2006/relationships/hyperlink" Target="https://en.wikipedia.org/wiki/Picea_sitchensis" TargetMode="External"/><Relationship Id="rId5001" Type="http://schemas.openxmlformats.org/officeDocument/2006/relationships/hyperlink" Target="https://en.wikipedia.org/wiki/Gratiola_ebracteata" TargetMode="External"/><Relationship Id="rId1611" Type="http://schemas.openxmlformats.org/officeDocument/2006/relationships/hyperlink" Target="https://en.wikipedia.org/wiki/Lathyrus_littoralis" TargetMode="External"/><Relationship Id="rId4767" Type="http://schemas.openxmlformats.org/officeDocument/2006/relationships/hyperlink" Target="https://en.wikipedia.org/wiki/Campanula_rotundifolia" TargetMode="External"/><Relationship Id="rId5818" Type="http://schemas.openxmlformats.org/officeDocument/2006/relationships/hyperlink" Target="http://www.burkemuseum.org/research-and-collections/botany-and-herbarium/collections/database/results.php?Genus=Hosackia&amp;Species=rosea&amp;SourcePage=search.php&amp;IncludeSynonyms=Y&amp;SortBy=DESC&amp;SortOrder=Year" TargetMode="External"/><Relationship Id="rId7173" Type="http://schemas.openxmlformats.org/officeDocument/2006/relationships/hyperlink" Target="http://biology.burke.washington.edu/herbarium/imagecollection/taxon.php?Taxon=Salix%20barclayi" TargetMode="External"/><Relationship Id="rId3369" Type="http://schemas.openxmlformats.org/officeDocument/2006/relationships/hyperlink" Target="http://www.burkemuseum.org/research-and-collections/botany-and-herbarium/collections/database/results.php?Genus=Spiranthes&amp;Species=romanzoffiana&amp;SourcePage=search.php&amp;IncludeSynonyms=Y&amp;SortBy=DESC&amp;SortOrder=Year" TargetMode="External"/><Relationship Id="rId7240" Type="http://schemas.openxmlformats.org/officeDocument/2006/relationships/hyperlink" Target="http://biology.burke.washington.edu/herbarium/imagecollection/taxon.php?Taxon=Picea%20engelmannii" TargetMode="External"/><Relationship Id="rId2385" Type="http://schemas.openxmlformats.org/officeDocument/2006/relationships/hyperlink" Target="http://plants.usda.gov/java/profile?symbol=ARMA6" TargetMode="External"/><Relationship Id="rId3783" Type="http://schemas.openxmlformats.org/officeDocument/2006/relationships/hyperlink" Target="https://plants.usda.gov/core/profile?symbol=CAME6" TargetMode="External"/><Relationship Id="rId4834" Type="http://schemas.openxmlformats.org/officeDocument/2006/relationships/hyperlink" Target="https://en.wikipedia.org/wiki/Chimaphila_umbellata" TargetMode="External"/><Relationship Id="rId357" Type="http://schemas.openxmlformats.org/officeDocument/2006/relationships/hyperlink" Target="http://biology.burke.washington.edu/herbarium/imagecollectionnew/taxon.php?Taxon=Carex%20hendersonii" TargetMode="External"/><Relationship Id="rId2038" Type="http://schemas.openxmlformats.org/officeDocument/2006/relationships/hyperlink" Target="http://plants.usda.gov/java/profile?symbol=LYAM" TargetMode="External"/><Relationship Id="rId3436" Type="http://schemas.openxmlformats.org/officeDocument/2006/relationships/hyperlink" Target="http://www.burkemuseum.org/research-and-collections/botany-and-herbarium/collections/database/results.php?Genus=Vicia&amp;Species=americana&amp;SourcePage=search.php&amp;IncludeSynonyms=Y&amp;SortBy=DESC&amp;SortOrder=Year" TargetMode="External"/><Relationship Id="rId3850" Type="http://schemas.openxmlformats.org/officeDocument/2006/relationships/hyperlink" Target="https://plants.usda.gov/core/profile?symbol=COAS" TargetMode="External"/><Relationship Id="rId4901" Type="http://schemas.openxmlformats.org/officeDocument/2006/relationships/hyperlink" Target="https://en.wikipedia.org/wiki/Dicentra_formosa" TargetMode="External"/><Relationship Id="rId771" Type="http://schemas.openxmlformats.org/officeDocument/2006/relationships/hyperlink" Target="https://en.wikipedia.org/wiki/Potamogeton_natans" TargetMode="External"/><Relationship Id="rId2452" Type="http://schemas.openxmlformats.org/officeDocument/2006/relationships/hyperlink" Target="https://plants.usda.gov/core/profile?symbol=TSHE" TargetMode="External"/><Relationship Id="rId3503" Type="http://schemas.openxmlformats.org/officeDocument/2006/relationships/hyperlink" Target="http://www.burkemuseum.org/research-and-collections/botany-and-herbarium/collections/database/results.php?Genus=Gentiana&amp;Species=sceptrum&amp;SourcePage=search.php&amp;IncludeSynonyms=Y&amp;SortBy=DESC&amp;SortOrder=Year" TargetMode="External"/><Relationship Id="rId6659" Type="http://schemas.openxmlformats.org/officeDocument/2006/relationships/hyperlink" Target="http://biology.burke.washington.edu/herbarium/imagecollection/taxon.php?Taxon=Salicornia%20depressa" TargetMode="External"/><Relationship Id="rId424" Type="http://schemas.openxmlformats.org/officeDocument/2006/relationships/hyperlink" Target="http://biology.burke.washington.edu/herbarium/imagecollectionnew/taxon.php?Taxon=Myriopteris%20gracillima" TargetMode="External"/><Relationship Id="rId1054" Type="http://schemas.openxmlformats.org/officeDocument/2006/relationships/hyperlink" Target="https://en.wikipedia.org/wiki/Chimaphila_umbellata" TargetMode="External"/><Relationship Id="rId2105" Type="http://schemas.openxmlformats.org/officeDocument/2006/relationships/hyperlink" Target="https://plants.usda.gov/core/profile?symbol=IMEC2" TargetMode="External"/><Relationship Id="rId5675" Type="http://schemas.openxmlformats.org/officeDocument/2006/relationships/hyperlink" Target="http://www.burkemuseum.org/research-and-collections/botany-and-herbarium/collections/database/results.php?Genus=Cyperus&amp;Species=erythrorhizos&amp;SourcePage=search.php&amp;IncludeSynonyms=Y&amp;SortBy=DESC&amp;SortOrder=Year" TargetMode="External"/><Relationship Id="rId6726" Type="http://schemas.openxmlformats.org/officeDocument/2006/relationships/hyperlink" Target="http://biology.burke.washington.edu/herbarium/imagecollectionnew/taxon.php?Taxon=Moehringia%20macrophylla" TargetMode="External"/><Relationship Id="rId1121" Type="http://schemas.openxmlformats.org/officeDocument/2006/relationships/hyperlink" Target="https://en.wikipedia.org/wiki/Juncus_bolanderi" TargetMode="External"/><Relationship Id="rId4277" Type="http://schemas.openxmlformats.org/officeDocument/2006/relationships/hyperlink" Target="https://plants.usda.gov/core/profile?symbol=PRSM" TargetMode="External"/><Relationship Id="rId4691" Type="http://schemas.openxmlformats.org/officeDocument/2006/relationships/hyperlink" Target="https://en.wikipedia.org/wiki/Antennaria_howellii" TargetMode="External"/><Relationship Id="rId5328" Type="http://schemas.openxmlformats.org/officeDocument/2006/relationships/hyperlink" Target="https://en.wikipedia.org/wiki/Rosa_nutkana" TargetMode="External"/><Relationship Id="rId5742" Type="http://schemas.openxmlformats.org/officeDocument/2006/relationships/hyperlink" Target="http://www.burkemuseum.org/research-and-collections/botany-and-herbarium/collections/database/results.php?Genus=Erythranthe&amp;Species=dentata&amp;SourcePage=search.php&amp;IncludeSynonyms=Y&amp;SortBy=DESC&amp;SortOrder=Year" TargetMode="External"/><Relationship Id="rId3293" Type="http://schemas.openxmlformats.org/officeDocument/2006/relationships/hyperlink" Target="http://www.burkemuseum.org/research-and-collections/botany-and-herbarium/collections/database/results.php?Genus=Rubus&amp;Species=pedatus&amp;SourcePage=search.php&amp;IncludeSynonyms=Y&amp;SortBy=DESC&amp;SortOrder=Year" TargetMode="External"/><Relationship Id="rId4344" Type="http://schemas.openxmlformats.org/officeDocument/2006/relationships/hyperlink" Target="https://plants.usda.gov/core/profile?symbol=SADE" TargetMode="External"/><Relationship Id="rId1938" Type="http://schemas.openxmlformats.org/officeDocument/2006/relationships/hyperlink" Target="http://plants.usda.gov/java/profile?symbol=PIUN3" TargetMode="External"/><Relationship Id="rId3360" Type="http://schemas.openxmlformats.org/officeDocument/2006/relationships/hyperlink" Target="http://www.burkemuseum.org/research-and-collections/botany-and-herbarium/collections/database/results.php?Genus=Sparganium&amp;Species=eurycarpum&amp;SourcePage=search.php&amp;IncludeSynonyms=Y&amp;SortBy=DESC&amp;SortOrder=Year" TargetMode="External"/><Relationship Id="rId281" Type="http://schemas.openxmlformats.org/officeDocument/2006/relationships/hyperlink" Target="http://biology.burke.washington.edu/herbarium/imagecollection/taxon.php?Taxon=Fritillaria%20affinis" TargetMode="External"/><Relationship Id="rId3013" Type="http://schemas.openxmlformats.org/officeDocument/2006/relationships/hyperlink" Target="http://www.burkemuseum.org/research-and-collections/botany-and-herbarium/collections/database/results.php?Genus=Geranium&amp;Species=bicknellii&amp;SourcePage=search.php&amp;IncludeSynonyms=Y&amp;SortBy=DESC&amp;SortOrder=Year" TargetMode="External"/><Relationship Id="rId4411" Type="http://schemas.openxmlformats.org/officeDocument/2006/relationships/hyperlink" Target="https://plants.usda.gov/core/profile?symbol=SISU2" TargetMode="External"/><Relationship Id="rId6169" Type="http://schemas.openxmlformats.org/officeDocument/2006/relationships/hyperlink" Target="http://www.burkemuseum.org/research-and-collections/botany-and-herbarium/collections/database/results.php?Genus=Samolus&amp;Species=parviflorus&amp;SourcePage=search.php&amp;IncludeSynonyms=Y&amp;SortBy=DESC&amp;SortOrder=Year" TargetMode="External"/><Relationship Id="rId6583" Type="http://schemas.openxmlformats.org/officeDocument/2006/relationships/hyperlink" Target="http://biology.burke.washington.edu/herbarium/imagecollection/taxon.php?Taxon=Morella%20californica" TargetMode="External"/><Relationship Id="rId2779" Type="http://schemas.openxmlformats.org/officeDocument/2006/relationships/hyperlink" Target="http://www.burkemuseum.org/research-and-collections/botany-and-herbarium/collections/database/results.php?Genus=Aruncus&amp;Species=dioicus&amp;SourcePage=search.php&amp;IncludeSynonyms=Y&amp;SortBy=DESC&amp;SortOrder=Year" TargetMode="External"/><Relationship Id="rId5185" Type="http://schemas.openxmlformats.org/officeDocument/2006/relationships/hyperlink" Target="https://en.wikipedia.org/wiki/Osmorhiza_berteroi" TargetMode="External"/><Relationship Id="rId6236" Type="http://schemas.openxmlformats.org/officeDocument/2006/relationships/hyperlink" Target="http://www.burkemuseum.org/research-and-collections/botany-and-herbarium/collections/database/results.php?Genus=Stellaria&amp;Species=obtusa&amp;SourcePage=search.php&amp;IncludeSynonyms=Y&amp;SortBy=DESC&amp;SortOrder=Year" TargetMode="External"/><Relationship Id="rId6650" Type="http://schemas.openxmlformats.org/officeDocument/2006/relationships/hyperlink" Target="http://biology.burke.washington.edu/herbarium/imagecollectionnew/taxon.php?Taxon=Sidalcea%20nelsoniana" TargetMode="External"/><Relationship Id="rId1795" Type="http://schemas.openxmlformats.org/officeDocument/2006/relationships/hyperlink" Target="https://plants.usda.gov/core/profile?symbol=SPFL" TargetMode="External"/><Relationship Id="rId2846" Type="http://schemas.openxmlformats.org/officeDocument/2006/relationships/hyperlink" Target="http://www.burkemuseum.org/research-and-collections/botany-and-herbarium/collections/database/results.php?Genus=Carex&amp;Species=macrocephala&amp;SourcePage=search.php&amp;IncludeSynonyms=Y&amp;SortBy=DESC&amp;SortOrder=Year" TargetMode="External"/><Relationship Id="rId5252" Type="http://schemas.openxmlformats.org/officeDocument/2006/relationships/hyperlink" Target="https://en.wikipedia.org/wiki/Polygonum_douglasii" TargetMode="External"/><Relationship Id="rId6303" Type="http://schemas.openxmlformats.org/officeDocument/2006/relationships/hyperlink" Target="http://www.burkemuseum.org/research-and-collections/botany-and-herbarium/collections/database/results.php?Genus=Veronica&amp;Species=scutellata&amp;SourcePage=search.php&amp;IncludeSynonyms=Y&amp;SortBy=DESC&amp;SortOrder=Year" TargetMode="External"/><Relationship Id="rId87" Type="http://schemas.openxmlformats.org/officeDocument/2006/relationships/hyperlink" Target="http://biology.burke.washington.edu/herbarium/imagecollection/taxon.php?Taxon=Myriophyllum%20sibiricum" TargetMode="External"/><Relationship Id="rId818" Type="http://schemas.openxmlformats.org/officeDocument/2006/relationships/hyperlink" Target="https://en.wikipedia.org/wiki/Parnassia_fimbriata" TargetMode="External"/><Relationship Id="rId1448" Type="http://schemas.openxmlformats.org/officeDocument/2006/relationships/hyperlink" Target="http://biology.burke.washington.edu/herbarium/imagecollectionnew/taxon.php?Taxon=Claytonia%20sibirica" TargetMode="External"/><Relationship Id="rId1862" Type="http://schemas.openxmlformats.org/officeDocument/2006/relationships/hyperlink" Target="https://plants.usda.gov/core/profile?symbol=ruhi2" TargetMode="External"/><Relationship Id="rId2913" Type="http://schemas.openxmlformats.org/officeDocument/2006/relationships/hyperlink" Target="http://www.burkemuseum.org/research-and-collections/botany-and-herbarium/collections/database/results.php?Genus=Corylus&amp;Species=cornuta&amp;SourcePage=search.php&amp;IncludeSynonyms=Y&amp;SortBy=DESC&amp;SortOrder=Year" TargetMode="External"/><Relationship Id="rId7077" Type="http://schemas.openxmlformats.org/officeDocument/2006/relationships/hyperlink" Target="http://biology.burke.washington.edu/herbarium/imagecollectionnew/taxon.php?Taxon=Vicia%20americana" TargetMode="External"/><Relationship Id="rId1515" Type="http://schemas.openxmlformats.org/officeDocument/2006/relationships/hyperlink" Target="https://en.wikipedia.org/wiki/Rhododendron_menziesii" TargetMode="External"/><Relationship Id="rId6093" Type="http://schemas.openxmlformats.org/officeDocument/2006/relationships/hyperlink" Target="http://www.burkemuseum.org/research-and-collections/botany-and-herbarium/collections/database/results.php?Genus=Pyrola&amp;Species=chlorantha&amp;SourcePage=search.php&amp;IncludeSynonyms=Y&amp;SortBy=DESC&amp;SortOrder=Year" TargetMode="External"/><Relationship Id="rId7144" Type="http://schemas.openxmlformats.org/officeDocument/2006/relationships/hyperlink" Target="http://biology.burke.washington.edu/herbarium/imagecollectionnew/taxon.php?Taxon=Sedum%20lanceolatum" TargetMode="External"/><Relationship Id="rId3687" Type="http://schemas.openxmlformats.org/officeDocument/2006/relationships/hyperlink" Target="https://plants.usda.gov/core/profile?symbol=ARTS" TargetMode="External"/><Relationship Id="rId4738" Type="http://schemas.openxmlformats.org/officeDocument/2006/relationships/hyperlink" Target="https://en.wikipedia.org/wiki/Bidens_frondosa" TargetMode="External"/><Relationship Id="rId2289" Type="http://schemas.openxmlformats.org/officeDocument/2006/relationships/hyperlink" Target="https://plants.usda.gov/core/profile?symbol=CAVI6" TargetMode="External"/><Relationship Id="rId3754" Type="http://schemas.openxmlformats.org/officeDocument/2006/relationships/hyperlink" Target="https://plants.usda.gov/core/profile?symbol=CARO2" TargetMode="External"/><Relationship Id="rId4805" Type="http://schemas.openxmlformats.org/officeDocument/2006/relationships/hyperlink" Target="https://en.wikipedia.org/wiki/Carex_rossii" TargetMode="External"/><Relationship Id="rId6160" Type="http://schemas.openxmlformats.org/officeDocument/2006/relationships/hyperlink" Target="http://www.burkemuseum.org/research-and-collections/botany-and-herbarium/collections/database/results.php?Genus=Salix&amp;Species=melanopsis&amp;SourcePage=search.php&amp;IncludeSynonyms=Y&amp;SortBy=DESC&amp;SortOrder=Year" TargetMode="External"/><Relationship Id="rId7211" Type="http://schemas.openxmlformats.org/officeDocument/2006/relationships/hyperlink" Target="http://biology.burke.washington.edu/herbarium/imagecollection/taxon.php?Taxon=Prunus%20virginiana" TargetMode="External"/><Relationship Id="rId675" Type="http://schemas.openxmlformats.org/officeDocument/2006/relationships/hyperlink" Target="https://en.wikipedia.org/wiki/Psilocarphus_elatior" TargetMode="External"/><Relationship Id="rId2356" Type="http://schemas.openxmlformats.org/officeDocument/2006/relationships/hyperlink" Target="https://plants.usda.gov/core/profile?symbol=BOOR" TargetMode="External"/><Relationship Id="rId2770" Type="http://schemas.openxmlformats.org/officeDocument/2006/relationships/hyperlink" Target="http://www.burkemuseum.org/research-and-collections/botany-and-herbarium/collections/database/results.php?Genus=Armeria&amp;Species=maritima&amp;SourcePage=search.php&amp;IncludeSynonyms=Y&amp;SortBy=DESC&amp;SortOrder=Year" TargetMode="External"/><Relationship Id="rId3407" Type="http://schemas.openxmlformats.org/officeDocument/2006/relationships/hyperlink" Target="http://www.burkemuseum.org/research-and-collections/botany-and-herbarium/collections/database/results.php?Genus=Trillium&amp;Species=parviflorum&amp;SourcePage=search.php&amp;IncludeSynonyms=Y&amp;SortBy=DESC&amp;SortOrder=Year" TargetMode="External"/><Relationship Id="rId3821" Type="http://schemas.openxmlformats.org/officeDocument/2006/relationships/hyperlink" Target="https://plants.usda.gov/core/profile?symbol=CHUM" TargetMode="External"/><Relationship Id="rId6977" Type="http://schemas.openxmlformats.org/officeDocument/2006/relationships/hyperlink" Target="http://biology.burke.washington.edu/herbarium/imagecollection/taxon.php?Taxon=Galium%20trifidum" TargetMode="External"/><Relationship Id="rId328" Type="http://schemas.openxmlformats.org/officeDocument/2006/relationships/hyperlink" Target="http://biology.burke.washington.edu/herbarium/imagecollectionnew/taxon.php?Taxon=Cardionema%20ramosissima" TargetMode="External"/><Relationship Id="rId742" Type="http://schemas.openxmlformats.org/officeDocument/2006/relationships/hyperlink" Target="https://en.wikipedia.org/wiki/Deschampsia_cespitosa" TargetMode="External"/><Relationship Id="rId1372" Type="http://schemas.openxmlformats.org/officeDocument/2006/relationships/hyperlink" Target="http://biology.burke.washington.edu/herbarium/imagecollection/taxon.php?Taxon=Ribes%20sanguineum" TargetMode="External"/><Relationship Id="rId2009" Type="http://schemas.openxmlformats.org/officeDocument/2006/relationships/hyperlink" Target="http://plants.usda.gov/java/profile?symbol=MOMA3" TargetMode="External"/><Relationship Id="rId2423" Type="http://schemas.openxmlformats.org/officeDocument/2006/relationships/hyperlink" Target="http://plants.usda.gov/java/profile?symbol=AGHE2" TargetMode="External"/><Relationship Id="rId5579" Type="http://schemas.openxmlformats.org/officeDocument/2006/relationships/hyperlink" Target="http://www.burkemuseum.org/research-and-collections/botany-and-herbarium/collections/database/results.php?Genus=Carex&amp;Species=deweyana&amp;SourcePage=search.php&amp;IncludeSynonyms=Y&amp;SortBy=DESC&amp;SortOrder=Year" TargetMode="External"/><Relationship Id="rId1025" Type="http://schemas.openxmlformats.org/officeDocument/2006/relationships/hyperlink" Target="http://en.wikipedia.org/wiki/Alnus_viridis" TargetMode="External"/><Relationship Id="rId4595" Type="http://schemas.openxmlformats.org/officeDocument/2006/relationships/hyperlink" Target="http://www.burkemuseum.org/research-and-collections/botany-and-herbarium/collections/database/results.php?Genus=Agrostis&amp;Species=exarata&amp;SourcePage=search.php&amp;IncludeSynonyms=Y&amp;SortBy=DESC&amp;SortOrder=Year" TargetMode="External"/><Relationship Id="rId5646" Type="http://schemas.openxmlformats.org/officeDocument/2006/relationships/hyperlink" Target="http://www.burkemuseum.org/research-and-collections/botany-and-herbarium/collections/database/results.php?Genus=Clinopodium&amp;Species=douglasii&amp;SourcePage=search.php&amp;IncludeSynonyms=Y&amp;SortBy=DESC&amp;SortOrder=Year" TargetMode="External"/><Relationship Id="rId5993" Type="http://schemas.openxmlformats.org/officeDocument/2006/relationships/hyperlink" Target="http://www.burkemuseum.org/research-and-collections/botany-and-herbarium/collections/database/results.php?Genus=Parnassia&amp;Species=cirrata&amp;SourcePage=search.php&amp;IncludeSynonyms=Y&amp;SortBy=DESC&amp;SortOrder=Year" TargetMode="External"/><Relationship Id="rId3197" Type="http://schemas.openxmlformats.org/officeDocument/2006/relationships/hyperlink" Target="http://www.burkemuseum.org/research-and-collections/botany-and-herbarium/collections/database/results.php?Genus=Persicaria&amp;Species=hydropiperoides&amp;SourcePage=search.php&amp;IncludeSynonyms=Y&amp;SortBy=DESC&amp;SortOrder=Year" TargetMode="External"/><Relationship Id="rId4248" Type="http://schemas.openxmlformats.org/officeDocument/2006/relationships/hyperlink" Target="https://plants.usda.gov/core/profile?symbol=PODO4" TargetMode="External"/><Relationship Id="rId4662" Type="http://schemas.openxmlformats.org/officeDocument/2006/relationships/hyperlink" Target="http://www.burkemuseum.org/research-and-collections/botany-and-herbarium/collections/database/results.php?Genus=Berberis&amp;Species=aquifolium&amp;SourcePage=search.php&amp;IncludeSynonyms=Y&amp;SortBy=DESC&amp;SortOrder=Year" TargetMode="External"/><Relationship Id="rId5713" Type="http://schemas.openxmlformats.org/officeDocument/2006/relationships/hyperlink" Target="http://www.burkemuseum.org/research-and-collections/botany-and-herbarium/collections/database/results.php?Genus=Eleocharis&amp;Species=palustris&amp;SourcePage=search.php&amp;IncludeSynonyms=Y&amp;SortBy=DESC&amp;SortOrder=Year" TargetMode="External"/><Relationship Id="rId185" Type="http://schemas.openxmlformats.org/officeDocument/2006/relationships/hyperlink" Target="http://biology.burke.washington.edu/herbarium/imagecollection/taxon.php?Taxon=Polemonium%20pulcherrimum" TargetMode="External"/><Relationship Id="rId1909" Type="http://schemas.openxmlformats.org/officeDocument/2006/relationships/hyperlink" Target="https://plants.usda.gov/core/profile?symbol=ARAN7" TargetMode="External"/><Relationship Id="rId3264" Type="http://schemas.openxmlformats.org/officeDocument/2006/relationships/hyperlink" Target="http://www.burkemuseum.org/research-and-collections/botany-and-herbarium/collections/database/results.php?Genus=Pyrola&amp;Species=chlorantha&amp;SourcePage=search.php&amp;IncludeSynonyms=Y&amp;SortBy=DESC&amp;SortOrder=Year" TargetMode="External"/><Relationship Id="rId4315" Type="http://schemas.openxmlformats.org/officeDocument/2006/relationships/hyperlink" Target="https://plants.usda.gov/core/profile?symbol=RIAUA" TargetMode="External"/><Relationship Id="rId2280" Type="http://schemas.openxmlformats.org/officeDocument/2006/relationships/hyperlink" Target="https://plants.usda.gov/core/profile?symbol=CHBE4" TargetMode="External"/><Relationship Id="rId3331" Type="http://schemas.openxmlformats.org/officeDocument/2006/relationships/hyperlink" Target="http://www.burkemuseum.org/research-and-collections/botany-and-herbarium/collections/database/results.php?Genus=Schoenoplectus&amp;Species=pungens&amp;SourcePage=search.php&amp;IncludeSynonyms=Y&amp;SortBy=DESC&amp;SortOrder=Year" TargetMode="External"/><Relationship Id="rId6487" Type="http://schemas.openxmlformats.org/officeDocument/2006/relationships/hyperlink" Target="http://biology.burke.washington.edu/herbarium/imagecollection/taxon.php?Taxon=Eriophyllum%20lanatum" TargetMode="External"/><Relationship Id="rId252" Type="http://schemas.openxmlformats.org/officeDocument/2006/relationships/hyperlink" Target="http://biology.burke.washington.edu/herbarium/imagecollection/taxon.php?Taxon=Salicornia%20depressa" TargetMode="External"/><Relationship Id="rId5089" Type="http://schemas.openxmlformats.org/officeDocument/2006/relationships/hyperlink" Target="https://en.wikipedia.org/wiki/Lonicera_ciliosa" TargetMode="External"/><Relationship Id="rId6554" Type="http://schemas.openxmlformats.org/officeDocument/2006/relationships/hyperlink" Target="http://biology.burke.washington.edu/herbarium/imagecollection/taxon.php?Taxon=Lomatium%20dissectum" TargetMode="External"/><Relationship Id="rId1699" Type="http://schemas.openxmlformats.org/officeDocument/2006/relationships/hyperlink" Target="http://biology.burke.washington.edu/herbarium/imagecollectionnew/taxon.php?Taxon=Mitellastra%20caulescens" TargetMode="External"/><Relationship Id="rId2000" Type="http://schemas.openxmlformats.org/officeDocument/2006/relationships/hyperlink" Target="http://plants.usda.gov/java/profile?symbol=MYLA" TargetMode="External"/><Relationship Id="rId5156" Type="http://schemas.openxmlformats.org/officeDocument/2006/relationships/hyperlink" Target="https://en.wikipedia.org/wiki/Myosotis_laxa" TargetMode="External"/><Relationship Id="rId5570" Type="http://schemas.openxmlformats.org/officeDocument/2006/relationships/hyperlink" Target="http://www.burkemuseum.org/research-and-collections/botany-and-herbarium/collections/database/results.php?Genus=Carex&amp;Species=amplifolia&amp;SourcePage=search.php&amp;IncludeSynonyms=Y&amp;SortBy=DESC&amp;SortOrder=Year" TargetMode="External"/><Relationship Id="rId6207" Type="http://schemas.openxmlformats.org/officeDocument/2006/relationships/hyperlink" Target="http://www.burkemuseum.org/research-and-collections/botany-and-herbarium/collections/database/results.php?Genus=Silene&amp;Species=scouleri&amp;SourcePage=search.php&amp;IncludeSynonyms=Y&amp;SortBy=DESC&amp;SortOrder=Year" TargetMode="External"/><Relationship Id="rId4172" Type="http://schemas.openxmlformats.org/officeDocument/2006/relationships/hyperlink" Target="https://plants.usda.gov/core/profile?symbol=NYTE" TargetMode="External"/><Relationship Id="rId5223" Type="http://schemas.openxmlformats.org/officeDocument/2006/relationships/hyperlink" Target="https://en.wikipedia.org/wiki/Picea_sitchensis" TargetMode="External"/><Relationship Id="rId6621" Type="http://schemas.openxmlformats.org/officeDocument/2006/relationships/hyperlink" Target="http://biology.burke.washington.edu/herbarium/imagecollectionnew/taxon.php?Taxon=Triphysaria%20pusilla" TargetMode="External"/><Relationship Id="rId1766" Type="http://schemas.openxmlformats.org/officeDocument/2006/relationships/hyperlink" Target="http://plants.usda.gov/java/profile?symbol=TEGR2" TargetMode="External"/><Relationship Id="rId2817" Type="http://schemas.openxmlformats.org/officeDocument/2006/relationships/hyperlink" Target="http://www.burkemuseum.org/research-and-collections/botany-and-herbarium/collections/database/results.php?Genus=Calypso&amp;Species=bulbosa&amp;SourcePage=search.php&amp;IncludeSynonyms=Y&amp;SortBy=DESC&amp;SortOrder=Year" TargetMode="External"/><Relationship Id="rId58" Type="http://schemas.openxmlformats.org/officeDocument/2006/relationships/hyperlink" Target="http://biology.burke.washington.edu/herbarium/imagecollection/taxon.php?Taxon=Sagina%20decumbens" TargetMode="External"/><Relationship Id="rId1419" Type="http://schemas.openxmlformats.org/officeDocument/2006/relationships/hyperlink" Target="http://biology.burke.washington.edu/herbarium/imagecollection/taxon.php?Taxon=Gaultheria%20shallon" TargetMode="External"/><Relationship Id="rId1833" Type="http://schemas.openxmlformats.org/officeDocument/2006/relationships/hyperlink" Target="http://plants.usda.gov/java/profile?symbol=SAOF3" TargetMode="External"/><Relationship Id="rId4989" Type="http://schemas.openxmlformats.org/officeDocument/2006/relationships/hyperlink" Target="https://en.wikipedia.org/wiki/Geranium_carolinianum" TargetMode="External"/><Relationship Id="rId7048" Type="http://schemas.openxmlformats.org/officeDocument/2006/relationships/hyperlink" Target="http://biology.burke.washington.edu/herbarium/imagecollectionnew/taxon.php?Taxon=Artemisia%20ludoviciana" TargetMode="External"/><Relationship Id="rId1900" Type="http://schemas.openxmlformats.org/officeDocument/2006/relationships/hyperlink" Target="http://plants.usda.gov/java/profile?symbol=PSME" TargetMode="External"/><Relationship Id="rId3658" Type="http://schemas.openxmlformats.org/officeDocument/2006/relationships/hyperlink" Target="https://plants.usda.gov/core/profile?symbol=ALVIS" TargetMode="External"/><Relationship Id="rId4709" Type="http://schemas.openxmlformats.org/officeDocument/2006/relationships/hyperlink" Target="https://en.wikipedia.org/wiki/Arnica_lanceolata" TargetMode="External"/><Relationship Id="rId6064" Type="http://schemas.openxmlformats.org/officeDocument/2006/relationships/hyperlink" Target="http://www.burkemuseum.org/research-and-collections/botany-and-herbarium/collections/database/results.php?Genus=Potamogeton&amp;Species=foliosus&amp;SourcePage=search.php&amp;IncludeSynonyms=Y&amp;SortBy=DESC&amp;SortOrder=Year" TargetMode="External"/><Relationship Id="rId7115" Type="http://schemas.openxmlformats.org/officeDocument/2006/relationships/hyperlink" Target="http://biology.burke.washington.edu/herbarium/imagecollection/taxon.php?Taxon=Symphoricarpos%20mollis" TargetMode="External"/><Relationship Id="rId579" Type="http://schemas.openxmlformats.org/officeDocument/2006/relationships/hyperlink" Target="https://en.wikipedia.org/wiki/Sparganium_natans" TargetMode="External"/><Relationship Id="rId993" Type="http://schemas.openxmlformats.org/officeDocument/2006/relationships/hyperlink" Target="http://en.wikipedia.org/wiki/Artemisia_suksdorfii" TargetMode="External"/><Relationship Id="rId2674" Type="http://schemas.openxmlformats.org/officeDocument/2006/relationships/hyperlink" Target="http://biology.burke.washington.edu/herbarium/imagecollectionnew/taxon.php?Taxon=Eleocharis%20palustris" TargetMode="External"/><Relationship Id="rId5080" Type="http://schemas.openxmlformats.org/officeDocument/2006/relationships/hyperlink" Target="https://en.wikipedia.org/wiki/Lilium_columbianum" TargetMode="External"/><Relationship Id="rId6131" Type="http://schemas.openxmlformats.org/officeDocument/2006/relationships/hyperlink" Target="http://www.burkemuseum.org/research-and-collections/botany-and-herbarium/collections/database/results.php?Genus=Rubus&amp;Species=idaeus&amp;SourcePage=search.php&amp;IncludeSynonyms=Y&amp;SortBy=DESC&amp;SortOrder=Year" TargetMode="External"/><Relationship Id="rId646" Type="http://schemas.openxmlformats.org/officeDocument/2006/relationships/hyperlink" Target="https://en.wikipedia.org/wiki/Rosa_nutkana" TargetMode="External"/><Relationship Id="rId1276" Type="http://schemas.openxmlformats.org/officeDocument/2006/relationships/hyperlink" Target="http://biology.burke.washington.edu/herbarium/imagecollection/taxon.php?Taxon=Penstemon%20hesperius" TargetMode="External"/><Relationship Id="rId2327" Type="http://schemas.openxmlformats.org/officeDocument/2006/relationships/hyperlink" Target="https://plants.usda.gov/core/profile?symbol=CARA3" TargetMode="External"/><Relationship Id="rId3725" Type="http://schemas.openxmlformats.org/officeDocument/2006/relationships/hyperlink" Target="https://plants.usda.gov/core/profile?symbol=BIFR" TargetMode="External"/><Relationship Id="rId1690" Type="http://schemas.openxmlformats.org/officeDocument/2006/relationships/hyperlink" Target="http://biology.burke.washington.edu/herbarium/imagecollection/taxon.php?Taxon=Erythranthe%20guttata" TargetMode="External"/><Relationship Id="rId2741" Type="http://schemas.openxmlformats.org/officeDocument/2006/relationships/hyperlink" Target="http://www.burkemuseum.org/research-and-collections/botany-and-herbarium/collections/database/results.php?Genus=Alnus&amp;Species=viridis&amp;SourcePage=search.php&amp;IncludeSynonyms=Y&amp;SortBy=DESC&amp;SortOrder=Year" TargetMode="External"/><Relationship Id="rId5897" Type="http://schemas.openxmlformats.org/officeDocument/2006/relationships/hyperlink" Target="http://www.burkemuseum.org/research-and-collections/botany-and-herbarium/collections/database/results.php?Genus=Lupinus&amp;Species=latifolius&amp;SourcePage=search.php&amp;IncludeSynonyms=Y&amp;SortBy=DESC&amp;SortOrder=Year" TargetMode="External"/><Relationship Id="rId6948" Type="http://schemas.openxmlformats.org/officeDocument/2006/relationships/hyperlink" Target="http://biology.burke.washington.edu/herbarium/imagecollection/taxon.php?Taxon=Leptarrhena%20pyrolifolia" TargetMode="External"/><Relationship Id="rId713" Type="http://schemas.openxmlformats.org/officeDocument/2006/relationships/hyperlink" Target="https://en.wikipedia.org/wiki/Equisetum_arvense" TargetMode="External"/><Relationship Id="rId1343" Type="http://schemas.openxmlformats.org/officeDocument/2006/relationships/hyperlink" Target="http://biology.burke.washington.edu/herbarium/imagecollection/taxon.php?Taxon=Agoseris%20elata" TargetMode="External"/><Relationship Id="rId4499" Type="http://schemas.openxmlformats.org/officeDocument/2006/relationships/hyperlink" Target="https://plants.usda.gov/core/profile?symbol=VAHE" TargetMode="External"/><Relationship Id="rId5964" Type="http://schemas.openxmlformats.org/officeDocument/2006/relationships/hyperlink" Target="http://www.burkemuseum.org/research-and-collections/botany-and-herbarium/collections/database/results.php?Genus=Najas&amp;Species=flexilis&amp;SourcePage=search.php&amp;IncludeSynonyms=Y&amp;SortBy=DESC&amp;SortOrder=Year" TargetMode="External"/><Relationship Id="rId1410" Type="http://schemas.openxmlformats.org/officeDocument/2006/relationships/hyperlink" Target="http://biology.burke.washington.edu/herbarium/imagecollection/taxon.php?Taxon=Pleuropogon%20refractus" TargetMode="External"/><Relationship Id="rId4566" Type="http://schemas.openxmlformats.org/officeDocument/2006/relationships/hyperlink" Target="https://en.wikipedia.org/wiki/Ambrosia_chamissonis" TargetMode="External"/><Relationship Id="rId4980" Type="http://schemas.openxmlformats.org/officeDocument/2006/relationships/hyperlink" Target="https://en.wikipedia.org/wiki/Galium_oreganum" TargetMode="External"/><Relationship Id="rId5617" Type="http://schemas.openxmlformats.org/officeDocument/2006/relationships/hyperlink" Target="http://www.burkemuseum.org/research-and-collections/botany-and-herbarium/collections/database/results.php?Genus=Ceanothus&amp;Species=prostratus&amp;SourcePage=search.php&amp;IncludeSynonyms=Y&amp;SortBy=DESC&amp;SortOrder=Year" TargetMode="External"/><Relationship Id="rId3168" Type="http://schemas.openxmlformats.org/officeDocument/2006/relationships/hyperlink" Target="http://www.burkemuseum.org/research-and-collections/botany-and-herbarium/collections/database/results.php?Genus=Nemophila&amp;Species=pedunculata&amp;SourcePage=search.php&amp;IncludeSynonyms=Y&amp;SortBy=DESC&amp;SortOrder=Year" TargetMode="External"/><Relationship Id="rId3582" Type="http://schemas.openxmlformats.org/officeDocument/2006/relationships/hyperlink" Target="http://www.burkemuseum.org/research-and-collections/botany-and-herbarium/collections/database/results.php?Genus=Salix&amp;Species=sitchensis&amp;SourcePage=search.php&amp;IncludeSynonyms=Y&amp;SortBy=DESC&amp;SortOrder=Year" TargetMode="External"/><Relationship Id="rId4219" Type="http://schemas.openxmlformats.org/officeDocument/2006/relationships/hyperlink" Target="https://plants.usda.gov/core/profile?symbol=PISI" TargetMode="External"/><Relationship Id="rId4633" Type="http://schemas.openxmlformats.org/officeDocument/2006/relationships/hyperlink" Target="http://www.burkemuseum.org/research-and-collections/botany-and-herbarium/collections/database/results.php?Genus=Apocynum&amp;Species=cannabinum&amp;SourcePage=search.php&amp;IncludeSynonyms=Y&amp;SortBy=DESC&amp;SortOrder=Year" TargetMode="External"/><Relationship Id="rId2184" Type="http://schemas.openxmlformats.org/officeDocument/2006/relationships/hyperlink" Target="http://plants.usda.gov/java/profile?symbol=EQVA" TargetMode="External"/><Relationship Id="rId3235" Type="http://schemas.openxmlformats.org/officeDocument/2006/relationships/hyperlink" Target="http://www.burkemuseum.org/research-and-collections/botany-and-herbarium/collections/database/results.php?Genus=Potamogeton&amp;Species=amplifolius&amp;SourcePage=search.php&amp;IncludeSynonyms=Y&amp;SortBy=DESC&amp;SortOrder=Year" TargetMode="External"/><Relationship Id="rId156" Type="http://schemas.openxmlformats.org/officeDocument/2006/relationships/hyperlink" Target="http://biology.burke.washington.edu/herbarium/imagecollection/taxon.php?Taxon=Lewisia%20rediviva" TargetMode="External"/><Relationship Id="rId570" Type="http://schemas.openxmlformats.org/officeDocument/2006/relationships/hyperlink" Target="https://en.wikipedia.org/wiki/Stellaria_longifolia" TargetMode="External"/><Relationship Id="rId2251" Type="http://schemas.openxmlformats.org/officeDocument/2006/relationships/hyperlink" Target="http://plants.usda.gov/java/profile?symbol=COCA5" TargetMode="External"/><Relationship Id="rId3302" Type="http://schemas.openxmlformats.org/officeDocument/2006/relationships/hyperlink" Target="http://www.burkemuseum.org/research-and-collections/botany-and-herbarium/collections/database/results.php?Genus=Sagittaria&amp;Species=latifolia&amp;SourcePage=search.php&amp;IncludeSynonyms=Y&amp;SortBy=DESC&amp;SortOrder=Year" TargetMode="External"/><Relationship Id="rId4700" Type="http://schemas.openxmlformats.org/officeDocument/2006/relationships/hyperlink" Target="https://en.wikipedia.org/wiki/Arabis_eschscholtziana" TargetMode="External"/><Relationship Id="rId6458" Type="http://schemas.openxmlformats.org/officeDocument/2006/relationships/hyperlink" Target="http://biology.burke.washington.edu/herbarium/imagecollectionnew/taxon.php?Taxon=Delphinium%20menziesii" TargetMode="External"/><Relationship Id="rId223" Type="http://schemas.openxmlformats.org/officeDocument/2006/relationships/hyperlink" Target="http://biology.burke.washington.edu/herbarium/imagecollection/taxon.php?Taxon=Ruppia%20maritima" TargetMode="External"/><Relationship Id="rId6872" Type="http://schemas.openxmlformats.org/officeDocument/2006/relationships/hyperlink" Target="http://biology.burke.washington.edu/herbarium/imagecollectionnew/taxon.php?Taxon=Valeriana%20scouleri" TargetMode="External"/><Relationship Id="rId4076" Type="http://schemas.openxmlformats.org/officeDocument/2006/relationships/hyperlink" Target="https://plants.usda.gov/core/profile?symbol=LIAQ" TargetMode="External"/><Relationship Id="rId5474" Type="http://schemas.openxmlformats.org/officeDocument/2006/relationships/hyperlink" Target="https://en.wikipedia.org/wiki/Trillium_parviflorum" TargetMode="External"/><Relationship Id="rId6525" Type="http://schemas.openxmlformats.org/officeDocument/2006/relationships/hyperlink" Target="http://biology.burke.washington.edu/herbarium/imagecollection/taxon.php?Taxon=Heracleum%20maximum" TargetMode="External"/><Relationship Id="rId4490" Type="http://schemas.openxmlformats.org/officeDocument/2006/relationships/hyperlink" Target="https://plants.usda.gov/core/profile?symbol=VADE" TargetMode="External"/><Relationship Id="rId5127" Type="http://schemas.openxmlformats.org/officeDocument/2006/relationships/hyperlink" Target="https://en.wikipedia.org/wiki/Matteuccia_struthiopteris" TargetMode="External"/><Relationship Id="rId5541" Type="http://schemas.openxmlformats.org/officeDocument/2006/relationships/hyperlink" Target="https://en.wikipedia.org/wiki/Juncus_oxymeris" TargetMode="External"/><Relationship Id="rId1737" Type="http://schemas.openxmlformats.org/officeDocument/2006/relationships/hyperlink" Target="http://plants.usda.gov/java/profile?symbol=UTMI" TargetMode="External"/><Relationship Id="rId3092" Type="http://schemas.openxmlformats.org/officeDocument/2006/relationships/hyperlink" Target="http://www.burkemuseum.org/research-and-collections/botany-and-herbarium/collections/database/results.php?Genus=Limosella&amp;Species=aquatica&amp;SourcePage=search.php&amp;IncludeSynonyms=Y&amp;SortBy=DESC&amp;SortOrder=Year" TargetMode="External"/><Relationship Id="rId4143" Type="http://schemas.openxmlformats.org/officeDocument/2006/relationships/hyperlink" Target="https://plants.usda.gov/core/profile?symbol=MOMA3" TargetMode="External"/><Relationship Id="rId29" Type="http://schemas.openxmlformats.org/officeDocument/2006/relationships/hyperlink" Target="http://biology.burke.washington.edu/herbarium/imagecollection/taxon.php?Taxon=Agoseris%20grandiflora" TargetMode="External"/><Relationship Id="rId4210" Type="http://schemas.openxmlformats.org/officeDocument/2006/relationships/hyperlink" Target="https://plants.usda.gov/core/profile?symbol=pola4" TargetMode="External"/><Relationship Id="rId1804" Type="http://schemas.openxmlformats.org/officeDocument/2006/relationships/hyperlink" Target="http://plants.usda.gov/java/profile?symbol=SISC7" TargetMode="External"/><Relationship Id="rId6382" Type="http://schemas.openxmlformats.org/officeDocument/2006/relationships/hyperlink" Target="http://biology.burke.washington.edu/herbarium/imagecollectionnew/taxon.php?Taxon=Asclepias%20speciosa" TargetMode="External"/><Relationship Id="rId7019" Type="http://schemas.openxmlformats.org/officeDocument/2006/relationships/hyperlink" Target="http://biology.burke.washington.edu/herbarium/imagecollectionnew/taxon.php?Taxon=Carex%20pluriflora" TargetMode="External"/><Relationship Id="rId3976" Type="http://schemas.openxmlformats.org/officeDocument/2006/relationships/hyperlink" Target="https://plants.usda.gov/core/profile?symbol=GEAM3" TargetMode="External"/><Relationship Id="rId6035" Type="http://schemas.openxmlformats.org/officeDocument/2006/relationships/hyperlink" Target="http://www.burkemuseum.org/research-and-collections/botany-and-herbarium/collections/database/results.php?Genus=Platanthera&amp;Species=orbiculata&amp;SourcePage=search.php&amp;IncludeSynonyms=Y&amp;SortBy=DESC&amp;SortOrder=Year" TargetMode="External"/><Relationship Id="rId897" Type="http://schemas.openxmlformats.org/officeDocument/2006/relationships/hyperlink" Target="https://en.wikipedia.org/wiki/Clarkia_gracilis" TargetMode="External"/><Relationship Id="rId2578" Type="http://schemas.openxmlformats.org/officeDocument/2006/relationships/hyperlink" Target="http://plants.usda.gov/core/profile?symbol=CAOB3" TargetMode="External"/><Relationship Id="rId2992" Type="http://schemas.openxmlformats.org/officeDocument/2006/relationships/hyperlink" Target="http://www.burkemuseum.org/research-and-collections/botany-and-herbarium/collections/database/results.php?Genus=Euthamia&amp;Species=occidentalis&amp;SourcePage=search.php&amp;IncludeSynonyms=Y&amp;SortBy=DESC&amp;SortOrder=Year" TargetMode="External"/><Relationship Id="rId3629" Type="http://schemas.openxmlformats.org/officeDocument/2006/relationships/hyperlink" Target="https://plants.usda.gov/core/profile?symbol=ACCI" TargetMode="External"/><Relationship Id="rId5051" Type="http://schemas.openxmlformats.org/officeDocument/2006/relationships/hyperlink" Target="https://en.wikipedia.org/wiki/Juncus_tenuis" TargetMode="External"/><Relationship Id="rId964" Type="http://schemas.openxmlformats.org/officeDocument/2006/relationships/hyperlink" Target="https://en.wikipedia.org/wiki/Calamagrostis_stricta" TargetMode="External"/><Relationship Id="rId1594" Type="http://schemas.openxmlformats.org/officeDocument/2006/relationships/hyperlink" Target="http://en.wikipedia.org/wiki/Abies_grandis" TargetMode="External"/><Relationship Id="rId2645" Type="http://schemas.openxmlformats.org/officeDocument/2006/relationships/hyperlink" Target="http://biology.burke.washington.edu/herbarium/imagecollection/taxon.php?Taxon=Hosackia%20crassifolia" TargetMode="External"/><Relationship Id="rId6102" Type="http://schemas.openxmlformats.org/officeDocument/2006/relationships/hyperlink" Target="http://www.burkemuseum.org/research-and-collections/botany-and-herbarium/collections/database/results.php?Genus=Ranunculus&amp;Species=orthorhynchus&amp;SourcePage=search.php&amp;IncludeSynonyms=Y&amp;SortBy=DESC&amp;SortOrder=Year" TargetMode="External"/><Relationship Id="rId617" Type="http://schemas.openxmlformats.org/officeDocument/2006/relationships/hyperlink" Target="https://en.wikipedia.org/wiki/Sambucus_racemosa" TargetMode="External"/><Relationship Id="rId1247" Type="http://schemas.openxmlformats.org/officeDocument/2006/relationships/hyperlink" Target="https://en.wikipedia.org/wiki/Eryngium" TargetMode="External"/><Relationship Id="rId1661" Type="http://schemas.openxmlformats.org/officeDocument/2006/relationships/hyperlink" Target="http://biology.burke.washington.edu/herbarium/imagecollectionnew/taxon.php?Taxon=Pectiantia%20breweri" TargetMode="External"/><Relationship Id="rId2712" Type="http://schemas.openxmlformats.org/officeDocument/2006/relationships/hyperlink" Target="http://biology.burke.washington.edu/herbarium/imagecollection/taxon.php?Taxon=Rosa%20pisocarpa" TargetMode="External"/><Relationship Id="rId5868" Type="http://schemas.openxmlformats.org/officeDocument/2006/relationships/hyperlink" Target="http://www.burkemuseum.org/research-and-collections/botany-and-herbarium/collections/database/results.php?Genus=Lepidium&amp;Species=virginicum&amp;SourcePage=search.php&amp;IncludeSynonyms=Y&amp;SortBy=DESC&amp;SortOrder=Year" TargetMode="External"/><Relationship Id="rId6919" Type="http://schemas.openxmlformats.org/officeDocument/2006/relationships/hyperlink" Target="http://biology.burke.washington.edu/herbarium/imagecollection/taxon.php?Taxon=Packera%20bolanderi" TargetMode="External"/><Relationship Id="rId1314" Type="http://schemas.openxmlformats.org/officeDocument/2006/relationships/hyperlink" Target="http://biology.burke.washington.edu/herbarium/imagecollectionnew/taxon.php?Taxon=Alnus%20rhombifolia" TargetMode="External"/><Relationship Id="rId4884" Type="http://schemas.openxmlformats.org/officeDocument/2006/relationships/hyperlink" Target="https://en.wikipedia.org/wiki/Cypripedium_montanum" TargetMode="External"/><Relationship Id="rId5935" Type="http://schemas.openxmlformats.org/officeDocument/2006/relationships/hyperlink" Target="http://www.burkemuseum.org/research-and-collections/botany-and-herbarium/collections/database/results.php?Genus=Micranthes&amp;Species=integrifolia&amp;SourcePage=search.php&amp;IncludeSynonyms=Y&amp;SortBy=DESC&amp;SortOrder=Year" TargetMode="External"/><Relationship Id="rId3486" Type="http://schemas.openxmlformats.org/officeDocument/2006/relationships/hyperlink" Target="http://www.burkemuseum.org/research-and-collections/botany-and-herbarium/collections/database/results.php?Genus=Cornus&amp;Species=nuttallii&amp;SourcePage=search.php&amp;IncludeSynonyms=Y&amp;SortBy=DESC&amp;SortOrder=Year" TargetMode="External"/><Relationship Id="rId4537" Type="http://schemas.openxmlformats.org/officeDocument/2006/relationships/hyperlink" Target="https://en.wikipedia.org/wiki/Acer_macrophyllum" TargetMode="External"/><Relationship Id="rId20" Type="http://schemas.openxmlformats.org/officeDocument/2006/relationships/hyperlink" Target="http://biology.burke.washington.edu/herbarium/imagecollection/taxon.php?Taxon=Rudbeckia%20occidentalis" TargetMode="External"/><Relationship Id="rId2088" Type="http://schemas.openxmlformats.org/officeDocument/2006/relationships/hyperlink" Target="http://plants.usda.gov/core/profile?symbol=JUCO6" TargetMode="External"/><Relationship Id="rId3139" Type="http://schemas.openxmlformats.org/officeDocument/2006/relationships/hyperlink" Target="http://www.burkemuseum.org/research-and-collections/botany-and-herbarium/collections/database/results.php?Genus=Micranthes&amp;Species=occidentalis&amp;SourcePage=search.php&amp;IncludeSynonyms=Y&amp;SortBy=DESC&amp;SortOrder=Year" TargetMode="External"/><Relationship Id="rId4951" Type="http://schemas.openxmlformats.org/officeDocument/2006/relationships/hyperlink" Target="https://en.wikipedia.org/wiki/Erythranthe_cardinalis" TargetMode="External"/><Relationship Id="rId7010" Type="http://schemas.openxmlformats.org/officeDocument/2006/relationships/hyperlink" Target="http://biology.burke.washington.edu/herbarium/imagecollectionnew/taxon.php?Taxon=Cirsium%20edule" TargetMode="External"/><Relationship Id="rId474" Type="http://schemas.openxmlformats.org/officeDocument/2006/relationships/hyperlink" Target="http://biology.burke.washington.edu/herbarium/imagecollectionnew/taxon.php?Taxon=Viburnum%20edule" TargetMode="External"/><Relationship Id="rId2155" Type="http://schemas.openxmlformats.org/officeDocument/2006/relationships/hyperlink" Target="http://plants.usda.gov/java/profile?symbol=FRCA5" TargetMode="External"/><Relationship Id="rId3553" Type="http://schemas.openxmlformats.org/officeDocument/2006/relationships/hyperlink" Target="http://www.burkemuseum.org/research-and-collections/botany-and-herbarium/collections/database/results.php?Genus=Pinus&amp;Species=contorta&amp;SourcePage=search.php&amp;IncludeSynonyms=Y&amp;SortBy=DESC&amp;SortOrder=Year" TargetMode="External"/><Relationship Id="rId4604" Type="http://schemas.openxmlformats.org/officeDocument/2006/relationships/hyperlink" Target="http://www.burkemuseum.org/research-and-collections/botany-and-herbarium/collections/database/results.php?Genus=Allium&amp;Species=schoenoprasum&amp;SourcePage=search.php&amp;IncludeSynonyms=Y&amp;SortBy=DESC&amp;SortOrder=Year" TargetMode="External"/><Relationship Id="rId127" Type="http://schemas.openxmlformats.org/officeDocument/2006/relationships/hyperlink" Target="http://biology.burke.washington.edu/herbarium/imagecollection/taxon.php?Taxon=Prunus%20emarginata" TargetMode="External"/><Relationship Id="rId3206" Type="http://schemas.openxmlformats.org/officeDocument/2006/relationships/hyperlink" Target="http://www.burkemuseum.org/research-and-collections/botany-and-herbarium/collections/database/results.php?Genus=Pinus&amp;Species=ponderosa&amp;SourcePage=search.php&amp;IncludeSynonyms=Y&amp;SortBy=DESC&amp;SortOrder=Year" TargetMode="External"/><Relationship Id="rId3620" Type="http://schemas.openxmlformats.org/officeDocument/2006/relationships/hyperlink" Target="https://en.wikipedia.org/wiki/Abies_amabilis" TargetMode="External"/><Relationship Id="rId6776" Type="http://schemas.openxmlformats.org/officeDocument/2006/relationships/hyperlink" Target="http://biology.burke.washington.edu/herbarium/imagecollection/taxon.php?Taxon=Githopsis%20specularioides" TargetMode="External"/><Relationship Id="rId541" Type="http://schemas.openxmlformats.org/officeDocument/2006/relationships/hyperlink" Target="https://en.wikipedia.org/wiki/Trifolium_wormskioldii" TargetMode="External"/><Relationship Id="rId1171" Type="http://schemas.openxmlformats.org/officeDocument/2006/relationships/hyperlink" Target="https://en.wikipedia.org/wiki/Heterotheca_oregona" TargetMode="External"/><Relationship Id="rId2222" Type="http://schemas.openxmlformats.org/officeDocument/2006/relationships/hyperlink" Target="http://plants.usda.gov/java/profile?symbol=DEME" TargetMode="External"/><Relationship Id="rId5378" Type="http://schemas.openxmlformats.org/officeDocument/2006/relationships/hyperlink" Target="https://en.wikipedia.org/wiki/Saxifraga_cespitosa" TargetMode="External"/><Relationship Id="rId5792" Type="http://schemas.openxmlformats.org/officeDocument/2006/relationships/hyperlink" Target="http://www.burkemuseum.org/research-and-collections/botany-and-herbarium/collections/database/results.php?Genus=Grindelia&amp;Species=hirsutula&amp;SourcePage=search.php&amp;IncludeSynonyms=Y&amp;SortBy=DESC&amp;SortOrder=Year" TargetMode="External"/><Relationship Id="rId6429" Type="http://schemas.openxmlformats.org/officeDocument/2006/relationships/hyperlink" Target="http://biology.burke.washington.edu/herbarium/imagecollectionnew/taxon.php?Taxon=Chamaenerion%20angustifolium" TargetMode="External"/><Relationship Id="rId6843" Type="http://schemas.openxmlformats.org/officeDocument/2006/relationships/hyperlink" Target="http://biology.burke.washington.edu/herbarium/imagecollectionnew/taxon.php?Taxon=Calamagrostis%20stricta" TargetMode="External"/><Relationship Id="rId1988" Type="http://schemas.openxmlformats.org/officeDocument/2006/relationships/hyperlink" Target="http://plants.usda.gov/java/profile?symbol=NEPA" TargetMode="External"/><Relationship Id="rId4394" Type="http://schemas.openxmlformats.org/officeDocument/2006/relationships/hyperlink" Target="https://plants.usda.gov/core/profile?symbol=SEOR3" TargetMode="External"/><Relationship Id="rId5445" Type="http://schemas.openxmlformats.org/officeDocument/2006/relationships/hyperlink" Target="https://en.wikipedia.org/wiki/Symphyotrichum_boreale" TargetMode="External"/><Relationship Id="rId4047" Type="http://schemas.openxmlformats.org/officeDocument/2006/relationships/hyperlink" Target="https://plants.usda.gov/core/profile?symbol=JUMA10" TargetMode="External"/><Relationship Id="rId4461" Type="http://schemas.openxmlformats.org/officeDocument/2006/relationships/hyperlink" Target="https://plants.usda.gov/core/profile?symbol=TOPA6" TargetMode="External"/><Relationship Id="rId5512" Type="http://schemas.openxmlformats.org/officeDocument/2006/relationships/hyperlink" Target="https://en.wikipedia.org/wiki/Viola_canadensis" TargetMode="External"/><Relationship Id="rId6910" Type="http://schemas.openxmlformats.org/officeDocument/2006/relationships/hyperlink" Target="http://biology.burke.washington.edu/herbarium/imagecollection/taxon.php?Taxon=Platanthera%20orbiculata" TargetMode="External"/><Relationship Id="rId3063" Type="http://schemas.openxmlformats.org/officeDocument/2006/relationships/hyperlink" Target="http://www.burkemuseum.org/research-and-collections/botany-and-herbarium/collections/database/results.php?Genus=Juncus&amp;Species=ensifolius&amp;SourcePage=search.php&amp;IncludeSynonyms=Y&amp;SortBy=DESC&amp;SortOrder=Year" TargetMode="External"/><Relationship Id="rId4114" Type="http://schemas.openxmlformats.org/officeDocument/2006/relationships/hyperlink" Target="https://plants.usda.gov/core/profile?symbol=MAEL" TargetMode="External"/><Relationship Id="rId1708" Type="http://schemas.openxmlformats.org/officeDocument/2006/relationships/hyperlink" Target="http://plants.usda.gov/java/profile?symbol=ZAPA" TargetMode="External"/><Relationship Id="rId3130" Type="http://schemas.openxmlformats.org/officeDocument/2006/relationships/hyperlink" Target="http://www.burkemuseum.org/research-and-collections/botany-and-herbarium/collections/database/results.php?Genus=Matteuccia&amp;Species=struthiopteris&amp;SourcePage=search.php&amp;IncludeSynonyms=Y&amp;SortBy=DESC&amp;SortOrder=Year" TargetMode="External"/><Relationship Id="rId6286" Type="http://schemas.openxmlformats.org/officeDocument/2006/relationships/hyperlink" Target="http://www.burkemuseum.org/research-and-collections/botany-and-herbarium/collections/database/results.php?Genus=Utricularia&amp;Species=minor&amp;SourcePage=search.php&amp;IncludeSynonyms=Y&amp;SortBy=DESC&amp;SortOrder=Year" TargetMode="External"/><Relationship Id="rId2896" Type="http://schemas.openxmlformats.org/officeDocument/2006/relationships/hyperlink" Target="http://www.burkemuseum.org/research-and-collections/botany-and-herbarium/collections/database/results.php?Genus=Clintonia&amp;Species=uniflora&amp;SourcePage=search.php&amp;IncludeSynonyms=Y&amp;SortBy=DESC&amp;SortOrder=Year" TargetMode="External"/><Relationship Id="rId3947" Type="http://schemas.openxmlformats.org/officeDocument/2006/relationships/hyperlink" Target="https://plants.usda.gov/core/profile?symbol=ERQU4" TargetMode="External"/><Relationship Id="rId6353" Type="http://schemas.openxmlformats.org/officeDocument/2006/relationships/hyperlink" Target="http://biology.burke.washington.edu/herbarium/imagecollectionnew/taxon.php?Taxon=Agrostis%20exarata" TargetMode="External"/><Relationship Id="rId868" Type="http://schemas.openxmlformats.org/officeDocument/2006/relationships/hyperlink" Target="https://en.wikipedia.org/wiki/Maianthemum_racemosum" TargetMode="External"/><Relationship Id="rId1498" Type="http://schemas.openxmlformats.org/officeDocument/2006/relationships/hyperlink" Target="https://en.wikipedia.org/wiki/Sedum_divergens" TargetMode="External"/><Relationship Id="rId2549" Type="http://schemas.openxmlformats.org/officeDocument/2006/relationships/hyperlink" Target="https://plants.usda.gov/core/profile?symbol=HEGL5" TargetMode="External"/><Relationship Id="rId2963" Type="http://schemas.openxmlformats.org/officeDocument/2006/relationships/hyperlink" Target="http://www.burkemuseum.org/research-and-collections/botany-and-herbarium/collections/database/results.php?Genus=Epilobium&amp;Species=densiflorum&amp;SourcePage=search.php&amp;IncludeSynonyms=Y&amp;SortBy=DESC&amp;SortOrder=Year" TargetMode="External"/><Relationship Id="rId6006" Type="http://schemas.openxmlformats.org/officeDocument/2006/relationships/hyperlink" Target="http://www.burkemuseum.org/research-and-collections/botany-and-herbarium/collections/database/results.php?Genus=Penstemon&amp;Species=serrulatus&amp;SourcePage=search.php&amp;IncludeSynonyms=Y&amp;SortBy=DESC&amp;SortOrder=Year" TargetMode="External"/><Relationship Id="rId6420" Type="http://schemas.openxmlformats.org/officeDocument/2006/relationships/hyperlink" Target="http://biology.burke.washington.edu/herbarium/imagecollectionnew/taxon.php?Taxon=Castilleja%20hispida" TargetMode="External"/><Relationship Id="rId935" Type="http://schemas.openxmlformats.org/officeDocument/2006/relationships/hyperlink" Target="https://en.wikipedia.org/wiki/Carex" TargetMode="External"/><Relationship Id="rId1565" Type="http://schemas.openxmlformats.org/officeDocument/2006/relationships/hyperlink" Target="http://en.wikipedia.org/wiki/Cornus_nuttallii" TargetMode="External"/><Relationship Id="rId2616" Type="http://schemas.openxmlformats.org/officeDocument/2006/relationships/hyperlink" Target="http://biology.burke.washington.edu/herbarium/imagecollectionnew/taxon.php?Taxon=Stellaria%20nitens" TargetMode="External"/><Relationship Id="rId5022" Type="http://schemas.openxmlformats.org/officeDocument/2006/relationships/hyperlink" Target="https://en.wikipedia.org/wiki/Holodiscus_discolor" TargetMode="External"/><Relationship Id="rId1218" Type="http://schemas.openxmlformats.org/officeDocument/2006/relationships/hyperlink" Target="http://biology.burke.washington.edu/herbarium/imagecollection/taxon.php?Taxon=Rhus%20glabra" TargetMode="External"/><Relationship Id="rId7194" Type="http://schemas.openxmlformats.org/officeDocument/2006/relationships/hyperlink" Target="http://biology.burke.washington.edu/herbarium/imagecollection/taxon.php?Taxon=Ribes%20bracteosum" TargetMode="External"/><Relationship Id="rId1632" Type="http://schemas.openxmlformats.org/officeDocument/2006/relationships/hyperlink" Target="http://biology.burke.washington.edu/herbarium/imagecollectionnew/taxon.php?Taxon=Tolmiea%20menziesii" TargetMode="External"/><Relationship Id="rId4788" Type="http://schemas.openxmlformats.org/officeDocument/2006/relationships/hyperlink" Target="https://en.wikipedia.org/wiki/Carex_hendersonii" TargetMode="External"/><Relationship Id="rId5839" Type="http://schemas.openxmlformats.org/officeDocument/2006/relationships/hyperlink" Target="http://www.burkemuseum.org/research-and-collections/botany-and-herbarium/collections/database/results.php?Genus=Juncus&amp;Species=effusus&amp;SourcePage=search.php&amp;IncludeSynonyms=Y&amp;SortBy=DESC&amp;SortOrder=Year" TargetMode="External"/><Relationship Id="rId4855" Type="http://schemas.openxmlformats.org/officeDocument/2006/relationships/hyperlink" Target="https://en.wikipedia.org/wiki/Cochlearia_groenlandica" TargetMode="External"/><Relationship Id="rId5906" Type="http://schemas.openxmlformats.org/officeDocument/2006/relationships/hyperlink" Target="http://www.burkemuseum.org/research-and-collections/botany-and-herbarium/collections/database/results.php?Genus=Luzula&amp;Species=parviflora&amp;SourcePage=search.php&amp;IncludeSynonyms=Y&amp;SortBy=DESC&amp;SortOrder=Year" TargetMode="External"/><Relationship Id="rId3457" Type="http://schemas.openxmlformats.org/officeDocument/2006/relationships/hyperlink" Target="http://www.burkemuseum.org/research-and-collections/botany-and-herbarium/collections/database/results.php?Genus=Allium&amp;Species=crenulatum&amp;SourcePage=search.php&amp;IncludeSynonyms=Y&amp;SortBy=DESC&amp;SortOrder=Year" TargetMode="External"/><Relationship Id="rId3871" Type="http://schemas.openxmlformats.org/officeDocument/2006/relationships/hyperlink" Target="https://plants.usda.gov/core/profile?symbol=CYSQ" TargetMode="External"/><Relationship Id="rId4508" Type="http://schemas.openxmlformats.org/officeDocument/2006/relationships/hyperlink" Target="https://plants.usda.gov/core/profile?symbol=VIOPA2" TargetMode="External"/><Relationship Id="rId4922" Type="http://schemas.openxmlformats.org/officeDocument/2006/relationships/hyperlink" Target="https://en.wikipedia.org/wiki/Eleocharis_parvula" TargetMode="External"/><Relationship Id="rId378" Type="http://schemas.openxmlformats.org/officeDocument/2006/relationships/hyperlink" Target="http://biology.burke.washington.edu/herbarium/imagecollectionnew/taxon.php?Taxon=Cyperus%20bipartitus" TargetMode="External"/><Relationship Id="rId792" Type="http://schemas.openxmlformats.org/officeDocument/2006/relationships/hyperlink" Target="https://en.wikipedia.org/wiki/Pleuricospora" TargetMode="External"/><Relationship Id="rId2059" Type="http://schemas.openxmlformats.org/officeDocument/2006/relationships/hyperlink" Target="http://plants.usda.gov/java/profile?symbol=LIPA5" TargetMode="External"/><Relationship Id="rId2473" Type="http://schemas.openxmlformats.org/officeDocument/2006/relationships/hyperlink" Target="http://plants.usda.gov/java/profile?symbol=SACR2" TargetMode="External"/><Relationship Id="rId3524" Type="http://schemas.openxmlformats.org/officeDocument/2006/relationships/hyperlink" Target="http://www.burkemuseum.org/research-and-collections/botany-and-herbarium/collections/database/results.php?Genus=Lonicera&amp;Species=hispidula&amp;SourcePage=search.php&amp;IncludeSynonyms=Y&amp;SortBy=DESC&amp;SortOrder=Year" TargetMode="External"/><Relationship Id="rId445" Type="http://schemas.openxmlformats.org/officeDocument/2006/relationships/hyperlink" Target="http://biology.burke.washington.edu/herbarium/imagecollectionnew/taxon.php?Taxon=Dodecatheon%20austrofrigidum" TargetMode="External"/><Relationship Id="rId1075" Type="http://schemas.openxmlformats.org/officeDocument/2006/relationships/hyperlink" Target="https://en.wikipedia.org/wiki/Hosackia_pinnata" TargetMode="External"/><Relationship Id="rId2126" Type="http://schemas.openxmlformats.org/officeDocument/2006/relationships/hyperlink" Target="http://plants.usda.gov/java/profile?symbol=HEAN3" TargetMode="External"/><Relationship Id="rId2540" Type="http://schemas.openxmlformats.org/officeDocument/2006/relationships/hyperlink" Target="https://plants.usda.gov/core/profile?symbol=JUOC" TargetMode="External"/><Relationship Id="rId5696" Type="http://schemas.openxmlformats.org/officeDocument/2006/relationships/hyperlink" Target="http://www.burkemuseum.org/research-and-collections/botany-and-herbarium/collections/database/results.php?Genus=Distichlis&amp;Species=spicata&amp;SourcePage=search.php&amp;IncludeSynonyms=Y&amp;SortBy=DESC&amp;SortOrder=Year" TargetMode="External"/><Relationship Id="rId6747" Type="http://schemas.openxmlformats.org/officeDocument/2006/relationships/hyperlink" Target="http://biology.burke.washington.edu/herbarium/imagecollection/taxon.php?Taxon=Leptosiphon%20bicolor" TargetMode="External"/><Relationship Id="rId512" Type="http://schemas.openxmlformats.org/officeDocument/2006/relationships/hyperlink" Target="https://en.wikipedia.org/wiki/Viburnum_ellipticum" TargetMode="External"/><Relationship Id="rId1142" Type="http://schemas.openxmlformats.org/officeDocument/2006/relationships/hyperlink" Target="https://en.wikipedia.org/wiki/Galium_triflorum" TargetMode="External"/><Relationship Id="rId4298" Type="http://schemas.openxmlformats.org/officeDocument/2006/relationships/hyperlink" Target="https://plants.usda.gov/core/profile?symbol=RAMA2" TargetMode="External"/><Relationship Id="rId5349" Type="http://schemas.openxmlformats.org/officeDocument/2006/relationships/hyperlink" Target="https://en.wikipedia.org/wiki/Salix_barclayi" TargetMode="External"/><Relationship Id="rId4365" Type="http://schemas.openxmlformats.org/officeDocument/2006/relationships/hyperlink" Target="https://plants.usda.gov/core/profile?symbol=SASE3" TargetMode="External"/><Relationship Id="rId5763" Type="http://schemas.openxmlformats.org/officeDocument/2006/relationships/hyperlink" Target="http://www.burkemuseum.org/research-and-collections/botany-and-herbarium/collections/database/results.php?Genus=Fritillaria&amp;Species=affinis&amp;SourcePage=search.php&amp;IncludeSynonyms=Y&amp;SortBy=DESC&amp;SortOrder=Year" TargetMode="External"/><Relationship Id="rId6814" Type="http://schemas.openxmlformats.org/officeDocument/2006/relationships/hyperlink" Target="http://biology.burke.washington.edu/herbarium/imagecollectionnew/taxon.php?Taxon=Chrysosplenium%20glechomifolium" TargetMode="External"/><Relationship Id="rId1959" Type="http://schemas.openxmlformats.org/officeDocument/2006/relationships/hyperlink" Target="http://plants.usda.gov/java/profile?symbol=POAME" TargetMode="External"/><Relationship Id="rId4018" Type="http://schemas.openxmlformats.org/officeDocument/2006/relationships/hyperlink" Target="https://plants.usda.gov/core/profile?symbol=HOAQ" TargetMode="External"/><Relationship Id="rId5416" Type="http://schemas.openxmlformats.org/officeDocument/2006/relationships/hyperlink" Target="https://en.wikipedia.org/wiki/Sparganium_angustifolium" TargetMode="External"/><Relationship Id="rId5830" Type="http://schemas.openxmlformats.org/officeDocument/2006/relationships/hyperlink" Target="http://www.burkemuseum.org/research-and-collections/botany-and-herbarium/collections/database/results.php?Genus=Isoetes&amp;Species=nuttallii&amp;SourcePage=search.php&amp;IncludeSynonyms=Y&amp;SortBy=DESC&amp;SortOrder=Year" TargetMode="External"/><Relationship Id="rId3381" Type="http://schemas.openxmlformats.org/officeDocument/2006/relationships/hyperlink" Target="http://www.burkemuseum.org/research-and-collections/botany-and-herbarium/collections/database/results.php?Genus=Subularia&amp;Species=aquatica&amp;SourcePage=search.php&amp;IncludeSynonyms=Y&amp;SortBy=DESC&amp;SortOrder=Year" TargetMode="External"/><Relationship Id="rId4432" Type="http://schemas.openxmlformats.org/officeDocument/2006/relationships/hyperlink" Target="https://plants.usda.gov/core/profile?symbol=STBO3" TargetMode="External"/><Relationship Id="rId3034" Type="http://schemas.openxmlformats.org/officeDocument/2006/relationships/hyperlink" Target="http://www.burkemuseum.org/research-and-collections/botany-and-herbarium/collections/database/results.php?Genus=Heterotheca&amp;Species=oregona&amp;SourcePage=search.php&amp;IncludeSynonyms=Y&amp;SortBy=DESC&amp;SortOrder=Year" TargetMode="External"/><Relationship Id="rId2050" Type="http://schemas.openxmlformats.org/officeDocument/2006/relationships/hyperlink" Target="http://plants.usda.gov/java/profile?symbol=LOPI2" TargetMode="External"/><Relationship Id="rId3101" Type="http://schemas.openxmlformats.org/officeDocument/2006/relationships/hyperlink" Target="http://www.burkemuseum.org/research-and-collections/botany-and-herbarium/collections/database/results.php?Genus=Lonicera&amp;Species=ciliosa&amp;SourcePage=search.php&amp;IncludeSynonyms=Y&amp;SortBy=DESC&amp;SortOrder=Year" TargetMode="External"/><Relationship Id="rId6257" Type="http://schemas.openxmlformats.org/officeDocument/2006/relationships/hyperlink" Target="http://www.burkemuseum.org/research-and-collections/botany-and-herbarium/collections/database/results.php?Genus=Tiarella&amp;Species=trifoliata&amp;SourcePage=search.php&amp;IncludeSynonyms=Y&amp;SortBy=DESC&amp;SortOrder=Year" TargetMode="External"/><Relationship Id="rId6671" Type="http://schemas.openxmlformats.org/officeDocument/2006/relationships/hyperlink" Target="http://biology.burke.washington.edu/herbarium/imagecollection/taxon.php?Taxon=Ranunculus%20flammula" TargetMode="External"/><Relationship Id="rId5273" Type="http://schemas.openxmlformats.org/officeDocument/2006/relationships/hyperlink" Target="https://en.wikipedia.org/wiki/Potamogeton_pusillus" TargetMode="External"/><Relationship Id="rId6324" Type="http://schemas.openxmlformats.org/officeDocument/2006/relationships/hyperlink" Target="http://www.burkemuseum.org/research-and-collections/botany-and-herbarium/collections/database/results.php?Genus=Yabea&amp;Species=microcarpa&amp;SourcePage=search.php&amp;IncludeSynonyms=Y&amp;SortBy=DESC&amp;SortOrder=Year" TargetMode="External"/><Relationship Id="rId839" Type="http://schemas.openxmlformats.org/officeDocument/2006/relationships/hyperlink" Target="https://en.wikipedia.org/wiki/Myriophyllum_verticillatum" TargetMode="External"/><Relationship Id="rId1469" Type="http://schemas.openxmlformats.org/officeDocument/2006/relationships/hyperlink" Target="https://en.wikipedia.org/wiki/Woodwardia_fimbriata" TargetMode="External"/><Relationship Id="rId2867" Type="http://schemas.openxmlformats.org/officeDocument/2006/relationships/hyperlink" Target="http://www.burkemuseum.org/research-and-collections/botany-and-herbarium/collections/database/results.php?Genus=Ceanothus&amp;Species=sanguineus&amp;SourcePage=search.php&amp;IncludeSynonyms=Y&amp;SortBy=DESC&amp;SortOrder=Year" TargetMode="External"/><Relationship Id="rId3918" Type="http://schemas.openxmlformats.org/officeDocument/2006/relationships/hyperlink" Target="https://plants.usda.gov/core/profile?symbol=EPDE4" TargetMode="External"/><Relationship Id="rId5340" Type="http://schemas.openxmlformats.org/officeDocument/2006/relationships/hyperlink" Target="https://en.wikipedia.org/wiki/Rumex_occidentalis" TargetMode="External"/><Relationship Id="rId1883" Type="http://schemas.openxmlformats.org/officeDocument/2006/relationships/hyperlink" Target="http://plants.usda.gov/java/profile?symbol=RAUN" TargetMode="External"/><Relationship Id="rId2934" Type="http://schemas.openxmlformats.org/officeDocument/2006/relationships/hyperlink" Target="http://www.burkemuseum.org/research-and-collections/botany-and-herbarium/collections/database/results.php?Genus=Delphinium&amp;Species=menziesii&amp;SourcePage=search.php&amp;IncludeSynonyms=Y&amp;SortBy=DESC&amp;SortOrder=Year" TargetMode="External"/><Relationship Id="rId7098" Type="http://schemas.openxmlformats.org/officeDocument/2006/relationships/hyperlink" Target="http://biology.burke.washington.edu/herbarium/imagecollectionnew/taxon.php?Taxon=Trillium%20ovatum" TargetMode="External"/><Relationship Id="rId906" Type="http://schemas.openxmlformats.org/officeDocument/2006/relationships/hyperlink" Target="http://en.wikipedia.org/wiki/Chrysolepis_chrysophylla" TargetMode="External"/><Relationship Id="rId1536" Type="http://schemas.openxmlformats.org/officeDocument/2006/relationships/hyperlink" Target="https://en.wikipedia.org/wiki/Delphinium_leucophaeum" TargetMode="External"/><Relationship Id="rId1950" Type="http://schemas.openxmlformats.org/officeDocument/2006/relationships/hyperlink" Target="http://plants.usda.gov/java/profile?symbol=PIMO3" TargetMode="External"/><Relationship Id="rId1603" Type="http://schemas.openxmlformats.org/officeDocument/2006/relationships/hyperlink" Target="https://en.wikipedia.org/wiki/Luetkea" TargetMode="External"/><Relationship Id="rId4759" Type="http://schemas.openxmlformats.org/officeDocument/2006/relationships/hyperlink" Target="https://en.wikipedia.org/wiki/Callitropsis_nootkatensis" TargetMode="External"/><Relationship Id="rId7165" Type="http://schemas.openxmlformats.org/officeDocument/2006/relationships/hyperlink" Target="http://biology.burke.washington.edu/herbarium/imagecollection/taxon.php?Taxon=Salix%20lasiandra" TargetMode="External"/><Relationship Id="rId3775" Type="http://schemas.openxmlformats.org/officeDocument/2006/relationships/hyperlink" Target="https://plants.usda.gov/core/profile?symbol=CAHE7" TargetMode="External"/><Relationship Id="rId4826" Type="http://schemas.openxmlformats.org/officeDocument/2006/relationships/hyperlink" Target="https://en.wikipedia.org/wiki/Celtis_reticulata" TargetMode="External"/><Relationship Id="rId6181" Type="http://schemas.openxmlformats.org/officeDocument/2006/relationships/hyperlink" Target="http://www.burkemuseum.org/research-and-collections/botany-and-herbarium/collections/database/results.php?Genus=Schoenoplectus&amp;Species=acutus&amp;SourcePage=search.php&amp;IncludeSynonyms=Y&amp;SortBy=DESC&amp;SortOrder=Year" TargetMode="External"/><Relationship Id="rId7232" Type="http://schemas.openxmlformats.org/officeDocument/2006/relationships/hyperlink" Target="http://biology.burke.washington.edu/herbarium/imagecollection/taxon.php?Taxon=Polemonium%20pulcherrimum" TargetMode="External"/><Relationship Id="rId696" Type="http://schemas.openxmlformats.org/officeDocument/2006/relationships/hyperlink" Target="https://en.wikipedia.org/wiki/Erythranthe_lewisii" TargetMode="External"/><Relationship Id="rId2377" Type="http://schemas.openxmlformats.org/officeDocument/2006/relationships/hyperlink" Target="http://plants.usda.gov/java/profile?symbol=ARSU4" TargetMode="External"/><Relationship Id="rId2791" Type="http://schemas.openxmlformats.org/officeDocument/2006/relationships/hyperlink" Target="http://www.burkemuseum.org/research-and-collections/botany-and-herbarium/collections/database/results.php?Genus=Berberis&amp;Species=nervosa&amp;SourcePage=search.php&amp;IncludeSynonyms=Y&amp;SortBy=DESC&amp;SortOrder=Year" TargetMode="External"/><Relationship Id="rId3428" Type="http://schemas.openxmlformats.org/officeDocument/2006/relationships/hyperlink" Target="http://www.burkemuseum.org/research-and-collections/botany-and-herbarium/collections/database/results.php?Genus=Veratrum&amp;Species=viride&amp;SourcePage=search.php&amp;IncludeSynonyms=Y&amp;SortBy=DESC&amp;SortOrder=Year" TargetMode="External"/><Relationship Id="rId349" Type="http://schemas.openxmlformats.org/officeDocument/2006/relationships/hyperlink" Target="http://biology.burke.washington.edu/herbarium/imagecollectionnew/taxon.php?Taxon=Carex%20aquatilis" TargetMode="External"/><Relationship Id="rId763" Type="http://schemas.openxmlformats.org/officeDocument/2006/relationships/hyperlink" Target="https://en.wikipedia.org/wiki/Potentilla_gracilis" TargetMode="External"/><Relationship Id="rId1393" Type="http://schemas.openxmlformats.org/officeDocument/2006/relationships/hyperlink" Target="http://biology.burke.washington.edu/herbarium/imagecollection/taxon.php?Taxon=Abies%20procera" TargetMode="External"/><Relationship Id="rId2444" Type="http://schemas.openxmlformats.org/officeDocument/2006/relationships/hyperlink" Target="http://plants.usda.gov/java/profile?symbol=VIPRP" TargetMode="External"/><Relationship Id="rId3842" Type="http://schemas.openxmlformats.org/officeDocument/2006/relationships/hyperlink" Target="https://plants.usda.gov/core/profile?symbol=COGR6" TargetMode="External"/><Relationship Id="rId6998" Type="http://schemas.openxmlformats.org/officeDocument/2006/relationships/hyperlink" Target="http://biology.burke.washington.edu/herbarium/imagecollectionnew/taxon.php?Taxon=Crocidium%20multicaule" TargetMode="External"/><Relationship Id="rId416" Type="http://schemas.openxmlformats.org/officeDocument/2006/relationships/hyperlink" Target="http://biology.burke.washington.edu/herbarium/imagecollectionnew/taxon.php?Taxon=Cicuta%20douglasii" TargetMode="External"/><Relationship Id="rId1046" Type="http://schemas.openxmlformats.org/officeDocument/2006/relationships/hyperlink" Target="http://en.wikipedia.org/wiki/Abronia_umbellata" TargetMode="External"/><Relationship Id="rId830" Type="http://schemas.openxmlformats.org/officeDocument/2006/relationships/hyperlink" Target="https://en.wikipedia.org/wiki/Ophioglossum_pusillum" TargetMode="External"/><Relationship Id="rId1460" Type="http://schemas.openxmlformats.org/officeDocument/2006/relationships/hyperlink" Target="http://biology.burke.washington.edu/herbarium/imagecollectionnew/taxon.php?Taxon=Vicia%20nigricans" TargetMode="External"/><Relationship Id="rId2511" Type="http://schemas.openxmlformats.org/officeDocument/2006/relationships/hyperlink" Target="http://plants.usda.gov/java/profile?symbol=PEOV2" TargetMode="External"/><Relationship Id="rId5667" Type="http://schemas.openxmlformats.org/officeDocument/2006/relationships/hyperlink" Target="http://www.burkemuseum.org/research-and-collections/botany-and-herbarium/collections/database/results.php?Genus=Crassula&amp;Species=aquatica&amp;SourcePage=search.php&amp;IncludeSynonyms=Y&amp;SortBy=DESC&amp;SortOrder=Year" TargetMode="External"/><Relationship Id="rId6718" Type="http://schemas.openxmlformats.org/officeDocument/2006/relationships/hyperlink" Target="http://biology.burke.washington.edu/herbarium/imagecollection/taxon.php?Taxon=Myriophyllum%20quitense" TargetMode="External"/><Relationship Id="rId1113" Type="http://schemas.openxmlformats.org/officeDocument/2006/relationships/hyperlink" Target="https://en.wikipedia.org/wiki/Juniperus_communis" TargetMode="External"/><Relationship Id="rId4269" Type="http://schemas.openxmlformats.org/officeDocument/2006/relationships/hyperlink" Target="https://plants.usda.gov/core/profile?symbol=PORI2" TargetMode="External"/><Relationship Id="rId4683" Type="http://schemas.openxmlformats.org/officeDocument/2006/relationships/hyperlink" Target="http://www.burkemuseum.org/research-and-collections/botany-and-herbarium/collections/database/results.php?Genus=Brodiaea&amp;Species=coronaria&amp;SourcePage=search.php&amp;IncludeSynonyms=Y&amp;SortBy=DESC&amp;SortOrder=Year" TargetMode="External"/><Relationship Id="rId5734" Type="http://schemas.openxmlformats.org/officeDocument/2006/relationships/hyperlink" Target="http://www.burkemuseum.org/research-and-collections/botany-and-herbarium/collections/database/results.php?Genus=Eriogonum&amp;Species=umbellatum&amp;SourcePage=search.php&amp;IncludeSynonyms=Y&amp;SortBy=DESC&amp;SortOrder=Year" TargetMode="External"/><Relationship Id="rId3285" Type="http://schemas.openxmlformats.org/officeDocument/2006/relationships/hyperlink" Target="http://www.burkemuseum.org/research-and-collections/botany-and-herbarium/collections/database/results.php?Genus=Ribes&amp;Species=triste&amp;SourcePage=search.php&amp;IncludeSynonyms=Y&amp;SortBy=DESC&amp;SortOrder=Year" TargetMode="External"/><Relationship Id="rId4336" Type="http://schemas.openxmlformats.org/officeDocument/2006/relationships/hyperlink" Target="https://plants.usda.gov/core/profile?symbol=RUSP" TargetMode="External"/><Relationship Id="rId4750" Type="http://schemas.openxmlformats.org/officeDocument/2006/relationships/hyperlink" Target="https://en.wikipedia.org/wiki/Bromus_carinatus" TargetMode="External"/><Relationship Id="rId5801" Type="http://schemas.openxmlformats.org/officeDocument/2006/relationships/hyperlink" Target="http://www.burkemuseum.org/research-and-collections/botany-and-herbarium/collections/database/results.php?Genus=Heterotheca&amp;Species=oregona&amp;SourcePage=search.php&amp;IncludeSynonyms=Y&amp;SortBy=DESC&amp;SortOrder=Year" TargetMode="External"/><Relationship Id="rId3352" Type="http://schemas.openxmlformats.org/officeDocument/2006/relationships/hyperlink" Target="http://www.burkemuseum.org/research-and-collections/botany-and-herbarium/collections/database/results.php?Genus=Silene&amp;Species=scouleri&amp;SourcePage=search.php&amp;IncludeSynonyms=Y&amp;SortBy=DESC&amp;SortOrder=Year" TargetMode="External"/><Relationship Id="rId4403" Type="http://schemas.openxmlformats.org/officeDocument/2006/relationships/hyperlink" Target="https://plants.usda.gov/core/profile?symbol=SIOR" TargetMode="External"/><Relationship Id="rId273" Type="http://schemas.openxmlformats.org/officeDocument/2006/relationships/hyperlink" Target="http://biology.burke.washington.edu/herbarium/imagecollection/taxon.php?Taxon=Lathyrus%20vestitus" TargetMode="External"/><Relationship Id="rId3005" Type="http://schemas.openxmlformats.org/officeDocument/2006/relationships/hyperlink" Target="http://www.burkemuseum.org/research-and-collections/botany-and-herbarium/collections/database/results.php?Genus=Galium&amp;Species=boreale&amp;SourcePage=search.php&amp;IncludeSynonyms=Y&amp;SortBy=DESC&amp;SortOrder=Year" TargetMode="External"/><Relationship Id="rId6575" Type="http://schemas.openxmlformats.org/officeDocument/2006/relationships/hyperlink" Target="http://biology.burke.washington.edu/herbarium/imagecollection/taxon.php?Taxon=Maianthemum%20stellatum" TargetMode="External"/><Relationship Id="rId340" Type="http://schemas.openxmlformats.org/officeDocument/2006/relationships/hyperlink" Target="http://biology.burke.washington.edu/herbarium/imagecollectionnew/taxon.php?Taxon=Caltha%20leptosepala" TargetMode="External"/><Relationship Id="rId2021" Type="http://schemas.openxmlformats.org/officeDocument/2006/relationships/hyperlink" Target="http://plants.usda.gov/java/profile?symbol=METR3" TargetMode="External"/><Relationship Id="rId5177" Type="http://schemas.openxmlformats.org/officeDocument/2006/relationships/hyperlink" Target="https://en.wikipedia.org/wiki/Oenanthe_sarmentosa" TargetMode="External"/><Relationship Id="rId6228" Type="http://schemas.openxmlformats.org/officeDocument/2006/relationships/hyperlink" Target="http://www.burkemuseum.org/research-and-collections/botany-and-herbarium/collections/database/results.php?Genus=Stachys&amp;Species=cooleyae&amp;SourcePage=search.php&amp;IncludeSynonyms=Y&amp;SortBy=DESC&amp;SortOrder=Year" TargetMode="External"/><Relationship Id="rId4193" Type="http://schemas.openxmlformats.org/officeDocument/2006/relationships/hyperlink" Target="https://plants.usda.gov/core/profile?symbol=PAFI3" TargetMode="External"/><Relationship Id="rId5591" Type="http://schemas.openxmlformats.org/officeDocument/2006/relationships/hyperlink" Target="http://www.burkemuseum.org/research-and-collections/botany-and-herbarium/collections/database/results.php?Genus=Carex&amp;Species=nudata&amp;SourcePage=search.php&amp;IncludeSynonyms=Y&amp;SortBy=DESC&amp;SortOrder=Year" TargetMode="External"/><Relationship Id="rId6642" Type="http://schemas.openxmlformats.org/officeDocument/2006/relationships/hyperlink" Target="http://biology.burke.washington.edu/herbarium/imagecollectionnew/taxon.php?Taxon=Spiranthes%20porrifolia" TargetMode="External"/><Relationship Id="rId1787" Type="http://schemas.openxmlformats.org/officeDocument/2006/relationships/hyperlink" Target="http://plants.usda.gov/java/profile?symbol=SPRO" TargetMode="External"/><Relationship Id="rId2838" Type="http://schemas.openxmlformats.org/officeDocument/2006/relationships/hyperlink" Target="http://www.burkemuseum.org/research-and-collections/botany-and-herbarium/collections/database/results.php?Genus=Carex&amp;Species=deweyana&amp;SourcePage=search.php&amp;IncludeSynonyms=Y&amp;SortBy=DESC&amp;SortOrder=Year" TargetMode="External"/><Relationship Id="rId5244" Type="http://schemas.openxmlformats.org/officeDocument/2006/relationships/hyperlink" Target="https://en.wikipedia.org/wiki/Poa_confinis" TargetMode="External"/><Relationship Id="rId79" Type="http://schemas.openxmlformats.org/officeDocument/2006/relationships/hyperlink" Target="http://biology.burke.washington.edu/herbarium/imagecollection/taxon.php?Taxon=Lathyrus%20japonicus" TargetMode="External"/><Relationship Id="rId1854" Type="http://schemas.openxmlformats.org/officeDocument/2006/relationships/hyperlink" Target="http://plants.usda.gov/java/profile?symbol=SALA2" TargetMode="External"/><Relationship Id="rId2905" Type="http://schemas.openxmlformats.org/officeDocument/2006/relationships/hyperlink" Target="http://www.burkemuseum.org/research-and-collections/botany-and-herbarium/collections/database/results.php?Genus=Coptis&amp;Species=aspleniifolia&amp;SourcePage=search.php&amp;IncludeSynonyms=Y&amp;SortBy=DESC&amp;SortOrder=Year" TargetMode="External"/><Relationship Id="rId4260" Type="http://schemas.openxmlformats.org/officeDocument/2006/relationships/hyperlink" Target="https://plants.usda.gov/core/profile?symbol=POBAT" TargetMode="External"/><Relationship Id="rId5311" Type="http://schemas.openxmlformats.org/officeDocument/2006/relationships/hyperlink" Target="https://en.wikipedia.org/wiki/Rhododendron_menziesii" TargetMode="External"/><Relationship Id="rId1507" Type="http://schemas.openxmlformats.org/officeDocument/2006/relationships/hyperlink" Target="https://en.wikipedia.org/wiki/Rubus_spectabilis" TargetMode="External"/><Relationship Id="rId7069" Type="http://schemas.openxmlformats.org/officeDocument/2006/relationships/hyperlink" Target="http://biology.burke.washington.edu/herbarium/imagecollectionnew/taxon.php?Taxon=Viola%20sempervirens" TargetMode="External"/><Relationship Id="rId1921" Type="http://schemas.openxmlformats.org/officeDocument/2006/relationships/hyperlink" Target="http://plants.usda.gov/java/profile?symbol=POAM5" TargetMode="External"/><Relationship Id="rId3679" Type="http://schemas.openxmlformats.org/officeDocument/2006/relationships/hyperlink" Target="https://plants.usda.gov/core/profile?symbol=ORFA" TargetMode="External"/><Relationship Id="rId6085" Type="http://schemas.openxmlformats.org/officeDocument/2006/relationships/hyperlink" Target="http://www.burkemuseum.org/research-and-collections/botany-and-herbarium/collections/database/results.php?Genus=Pseudotsuga&amp;Species=menziesii&amp;SourcePage=search.php&amp;IncludeSynonyms=Y&amp;SortBy=DESC&amp;SortOrder=Year" TargetMode="External"/><Relationship Id="rId7136" Type="http://schemas.openxmlformats.org/officeDocument/2006/relationships/hyperlink" Target="http://biology.burke.washington.edu/herbarium/imagecollectionnew/taxon.php?Taxon=Shepherdia%20canadensis" TargetMode="External"/><Relationship Id="rId6152" Type="http://schemas.openxmlformats.org/officeDocument/2006/relationships/hyperlink" Target="http://www.burkemuseum.org/research-and-collections/botany-and-herbarium/collections/database/results.php?Genus=Salix&amp;Species=commutata&amp;SourcePage=search.php&amp;IncludeSynonyms=Y&amp;SortBy=DESC&amp;SortOrder=Year" TargetMode="External"/><Relationship Id="rId7203" Type="http://schemas.openxmlformats.org/officeDocument/2006/relationships/hyperlink" Target="http://biology.burke.washington.edu/herbarium/imagecollection/taxon.php?Taxon=Rhinanthus%20minor" TargetMode="External"/><Relationship Id="rId1297" Type="http://schemas.openxmlformats.org/officeDocument/2006/relationships/hyperlink" Target="https://en.wikipedia.org/wiki/Sidalcea_nelsoniana" TargetMode="External"/><Relationship Id="rId2695" Type="http://schemas.openxmlformats.org/officeDocument/2006/relationships/hyperlink" Target="http://biology.burke.washington.edu/herbarium/imagecollectionnew/taxon.php?Taxon=Sisyrinchium%20idahoense" TargetMode="External"/><Relationship Id="rId3746" Type="http://schemas.openxmlformats.org/officeDocument/2006/relationships/hyperlink" Target="https://plants.usda.gov/core/profile?symbol=CUNO" TargetMode="External"/><Relationship Id="rId667" Type="http://schemas.openxmlformats.org/officeDocument/2006/relationships/hyperlink" Target="https://en.wikipedia.org/wiki/Pyrola_picta" TargetMode="External"/><Relationship Id="rId2348" Type="http://schemas.openxmlformats.org/officeDocument/2006/relationships/hyperlink" Target="http://plants.usda.gov/java/profile?symbol=BRCO3" TargetMode="External"/><Relationship Id="rId2762" Type="http://schemas.openxmlformats.org/officeDocument/2006/relationships/hyperlink" Target="http://www.burkemuseum.org/research-and-collections/botany-and-herbarium/collections/database/results.php?Genus=Apocynum&amp;Species=androsaemifolium&amp;SourcePage=search.php&amp;IncludeSynonyms=Y&amp;SortBy=DESC&amp;SortOrder=Year" TargetMode="External"/><Relationship Id="rId3813" Type="http://schemas.openxmlformats.org/officeDocument/2006/relationships/hyperlink" Target="https://plants.usda.gov/core/profile?symbol=celar" TargetMode="External"/><Relationship Id="rId6969" Type="http://schemas.openxmlformats.org/officeDocument/2006/relationships/hyperlink" Target="http://biology.burke.washington.edu/herbarium/imagecollection/taxon.php?Taxon=Halerpestes%20cymbalaria" TargetMode="External"/><Relationship Id="rId734" Type="http://schemas.openxmlformats.org/officeDocument/2006/relationships/hyperlink" Target="https://en.wikipedia.org/wiki/Dryopteris_carthusiana" TargetMode="External"/><Relationship Id="rId1364" Type="http://schemas.openxmlformats.org/officeDocument/2006/relationships/hyperlink" Target="http://biology.burke.washington.edu/herbarium/imagecollection/taxon.php?Taxon=Equisetum%20telmateia" TargetMode="External"/><Relationship Id="rId2415" Type="http://schemas.openxmlformats.org/officeDocument/2006/relationships/hyperlink" Target="http://plants.usda.gov/java/profile?symbol=ALSC" TargetMode="External"/><Relationship Id="rId5985" Type="http://schemas.openxmlformats.org/officeDocument/2006/relationships/hyperlink" Target="http://www.burkemuseum.org/research-and-collections/botany-and-herbarium/collections/database/results.php?Genus=Oxalis&amp;Species=oregana&amp;SourcePage=search.php&amp;IncludeSynonyms=Y&amp;SortBy=DESC&amp;SortOrder=Year" TargetMode="External"/><Relationship Id="rId70" Type="http://schemas.openxmlformats.org/officeDocument/2006/relationships/hyperlink" Target="http://biology.burke.washington.edu/herbarium/imagecollection/taxon.php?Taxon=Equisetum%20palustre" TargetMode="External"/><Relationship Id="rId801" Type="http://schemas.openxmlformats.org/officeDocument/2006/relationships/hyperlink" Target="https://en.wikipedia.org/wiki/Piperia_transversa" TargetMode="External"/><Relationship Id="rId1017" Type="http://schemas.openxmlformats.org/officeDocument/2006/relationships/hyperlink" Target="https://species.wikimedia.org/wiki/Anemone_lyallii" TargetMode="External"/><Relationship Id="rId1431" Type="http://schemas.openxmlformats.org/officeDocument/2006/relationships/hyperlink" Target="http://biology.burke.washington.edu/herbarium/imagecollectionnew/taxon.php?Taxon=Betula%20occidentalis" TargetMode="External"/><Relationship Id="rId4587" Type="http://schemas.openxmlformats.org/officeDocument/2006/relationships/hyperlink" Target="http://www.burkemuseum.org/research-and-collections/botany-and-herbarium/collections/database/results.php?Genus=Adenocaulon&amp;Species=bicolor&amp;SourcePage=search.php&amp;IncludeSynonyms=Y&amp;SortBy=DESC&amp;SortOrder=Year" TargetMode="External"/><Relationship Id="rId5638" Type="http://schemas.openxmlformats.org/officeDocument/2006/relationships/hyperlink" Target="http://www.burkemuseum.org/research-and-collections/botany-and-herbarium/collections/database/results.php?Genus=Clarkia&amp;Species=gracilis&amp;SourcePage=search.php&amp;IncludeSynonyms=Y&amp;SortBy=DESC&amp;SortOrder=Year" TargetMode="External"/><Relationship Id="rId3189" Type="http://schemas.openxmlformats.org/officeDocument/2006/relationships/hyperlink" Target="http://www.burkemuseum.org/research-and-collections/botany-and-herbarium/collections/database/results.php?Genus=Pectiantia&amp;Species=breweri&amp;SourcePage=search.php&amp;IncludeSynonyms=Y&amp;SortBy=DESC&amp;SortOrder=Year" TargetMode="External"/><Relationship Id="rId4654" Type="http://schemas.openxmlformats.org/officeDocument/2006/relationships/hyperlink" Target="http://www.burkemuseum.org/research-and-collections/botany-and-herbarium/collections/database/results.php?Genus=Aspidotis&amp;Species=densa&amp;SourcePage=search.php&amp;IncludeSynonyms=Y&amp;SortBy=DESC&amp;SortOrder=Year" TargetMode="External"/><Relationship Id="rId7060" Type="http://schemas.openxmlformats.org/officeDocument/2006/relationships/hyperlink" Target="http://biology.burke.washington.edu/herbarium/imagecollectionnew/taxon.php?Taxon=Agrostis%20oregonensis" TargetMode="External"/><Relationship Id="rId3256" Type="http://schemas.openxmlformats.org/officeDocument/2006/relationships/hyperlink" Target="http://www.burkemuseum.org/research-and-collections/botany-and-herbarium/collections/database/results.php?Genus=Pseudotsuga&amp;Species=menziesii&amp;SourcePage=search.php&amp;IncludeSynonyms=Y&amp;SortBy=DESC&amp;SortOrder=Year" TargetMode="External"/><Relationship Id="rId4307" Type="http://schemas.openxmlformats.org/officeDocument/2006/relationships/hyperlink" Target="https://plants.usda.gov/core/profile?symbol=LEGR" TargetMode="External"/><Relationship Id="rId5705" Type="http://schemas.openxmlformats.org/officeDocument/2006/relationships/hyperlink" Target="http://www.burkemuseum.org/research-and-collections/botany-and-herbarium/collections/database/results.php?Genus=Dryopteris&amp;Species=carthusiana&amp;SourcePage=search.php&amp;IncludeSynonyms=Y&amp;SortBy=DESC&amp;SortOrder=Year" TargetMode="External"/><Relationship Id="rId177" Type="http://schemas.openxmlformats.org/officeDocument/2006/relationships/hyperlink" Target="http://biology.burke.washington.edu/herbarium/imagecollection/taxon.php?Taxon=Leersia%20oryzoides" TargetMode="External"/><Relationship Id="rId591" Type="http://schemas.openxmlformats.org/officeDocument/2006/relationships/hyperlink" Target="https://en.wikipedia.org/wiki/Silene_antirrhina" TargetMode="External"/><Relationship Id="rId2272" Type="http://schemas.openxmlformats.org/officeDocument/2006/relationships/hyperlink" Target="http://plants.usda.gov/java/profile?symbol=CIAL" TargetMode="External"/><Relationship Id="rId3670" Type="http://schemas.openxmlformats.org/officeDocument/2006/relationships/hyperlink" Target="https://plants.usda.gov/core/profile?symbol=ANAR3" TargetMode="External"/><Relationship Id="rId4721" Type="http://schemas.openxmlformats.org/officeDocument/2006/relationships/hyperlink" Target="https://en.wikipedia.org/wiki/Asplenium_trichomanes" TargetMode="External"/><Relationship Id="rId244" Type="http://schemas.openxmlformats.org/officeDocument/2006/relationships/hyperlink" Target="http://biology.burke.washington.edu/herbarium/imagecollection/taxon.php?Taxon=Monotropa%20uniflora" TargetMode="External"/><Relationship Id="rId3323" Type="http://schemas.openxmlformats.org/officeDocument/2006/relationships/hyperlink" Target="http://www.burkemuseum.org/research-and-collections/botany-and-herbarium/collections/database/results.php?Genus=Sanguisorba&amp;Species=officinalis&amp;SourcePage=search.php&amp;IncludeSynonyms=Y&amp;SortBy=DESC&amp;SortOrder=Year" TargetMode="External"/><Relationship Id="rId6479" Type="http://schemas.openxmlformats.org/officeDocument/2006/relationships/hyperlink" Target="http://biology.burke.washington.edu/herbarium/imagecollectionnew/taxon.php?Taxon=Dryopteris%20filix-mas" TargetMode="External"/><Relationship Id="rId6893" Type="http://schemas.openxmlformats.org/officeDocument/2006/relationships/hyperlink" Target="http://biology.burke.washington.edu/herbarium/imagecollection/taxon.php?Taxon=Rorippa%20palustris" TargetMode="External"/><Relationship Id="rId5495" Type="http://schemas.openxmlformats.org/officeDocument/2006/relationships/hyperlink" Target="https://en.wikipedia.org/wiki/Vaccinium_parvifolium" TargetMode="External"/><Relationship Id="rId6546" Type="http://schemas.openxmlformats.org/officeDocument/2006/relationships/hyperlink" Target="http://biology.burke.washington.edu/herbarium/imagecollection/taxon.php?Taxon=Lathyrus%20japonicus" TargetMode="External"/><Relationship Id="rId6960" Type="http://schemas.openxmlformats.org/officeDocument/2006/relationships/hyperlink" Target="http://biology.burke.washington.edu/herbarium/imagecollection/taxon.php?Taxon=Impatiens%20noli-tangere" TargetMode="External"/><Relationship Id="rId311" Type="http://schemas.openxmlformats.org/officeDocument/2006/relationships/hyperlink" Target="http://biology.burke.washington.edu/herbarium/imagecollectionnew/taxon.php?Taxon=Balsamorhiza%20deltoidea" TargetMode="External"/><Relationship Id="rId4097" Type="http://schemas.openxmlformats.org/officeDocument/2006/relationships/hyperlink" Target="https://plants.usda.gov/core/profile?symbol=LULE2" TargetMode="External"/><Relationship Id="rId5148" Type="http://schemas.openxmlformats.org/officeDocument/2006/relationships/hyperlink" Target="https://en.wikipedia.org/wiki/Monotropa_hypopitys" TargetMode="External"/><Relationship Id="rId5562" Type="http://schemas.openxmlformats.org/officeDocument/2006/relationships/hyperlink" Target="http://www.burkemuseum.org/research-and-collections/botany-and-herbarium/collections/database/results.php?Genus=Campanula&amp;Species=scouleri&amp;SourcePage=search.php&amp;IncludeSynonyms=Y&amp;SortBy=DESC&amp;SortOrder=Year" TargetMode="External"/><Relationship Id="rId6613" Type="http://schemas.openxmlformats.org/officeDocument/2006/relationships/hyperlink" Target="http://biology.burke.washington.edu/herbarium/imagecollectionnew/taxon.php?Taxon=Vulpia%20microstachys" TargetMode="External"/><Relationship Id="rId1758" Type="http://schemas.openxmlformats.org/officeDocument/2006/relationships/hyperlink" Target="https://plants.usda.gov/core/profile?symbol=TREU" TargetMode="External"/><Relationship Id="rId2809" Type="http://schemas.openxmlformats.org/officeDocument/2006/relationships/hyperlink" Target="http://www.burkemuseum.org/research-and-collections/botany-and-herbarium/collections/database/results.php?Genus=Cakile&amp;Species=edentula&amp;SourcePage=search.php&amp;IncludeSynonyms=Y&amp;SortBy=DESC&amp;SortOrder=Year" TargetMode="External"/><Relationship Id="rId4164" Type="http://schemas.openxmlformats.org/officeDocument/2006/relationships/hyperlink" Target="https://plants.usda.gov/core/profile?symbol=NAIN2" TargetMode="External"/><Relationship Id="rId5215" Type="http://schemas.openxmlformats.org/officeDocument/2006/relationships/hyperlink" Target="https://en.wikipedia.org/wiki/Petasites_frigilus" TargetMode="External"/><Relationship Id="rId3180" Type="http://schemas.openxmlformats.org/officeDocument/2006/relationships/hyperlink" Target="http://www.burkemuseum.org/research-and-collections/botany-and-herbarium/collections/database/results.php?Genus=Oxalis&amp;Species=suksdorfii&amp;SourcePage=search.php&amp;IncludeSynonyms=Y&amp;SortBy=DESC&amp;SortOrder=Year" TargetMode="External"/><Relationship Id="rId4231" Type="http://schemas.openxmlformats.org/officeDocument/2006/relationships/hyperlink" Target="https://plants.usda.gov/core/profile?symbol=PLDI3" TargetMode="External"/><Relationship Id="rId1825" Type="http://schemas.openxmlformats.org/officeDocument/2006/relationships/hyperlink" Target="https://plants.usda.gov/core/profile?symbol=scpu10" TargetMode="External"/><Relationship Id="rId3997" Type="http://schemas.openxmlformats.org/officeDocument/2006/relationships/hyperlink" Target="https://plants.usda.gov/core/profile?symbol=HECO6" TargetMode="External"/><Relationship Id="rId6056" Type="http://schemas.openxmlformats.org/officeDocument/2006/relationships/hyperlink" Target="http://www.burkemuseum.org/research-and-collections/botany-and-herbarium/collections/database/results.php?Genus=Polystichum&amp;Species=andersonii&amp;SourcePage=search.php&amp;IncludeSynonyms=Y&amp;SortBy=DESC&amp;SortOrder=Year" TargetMode="External"/><Relationship Id="rId2599" Type="http://schemas.openxmlformats.org/officeDocument/2006/relationships/hyperlink" Target="http://plants.usda.gov/java/profile?symbol=ALAM2" TargetMode="External"/><Relationship Id="rId6470" Type="http://schemas.openxmlformats.org/officeDocument/2006/relationships/hyperlink" Target="http://biology.burke.washington.edu/herbarium/imagecollectionnew/taxon.php?Taxon=Dryopteris%20carthusiana" TargetMode="External"/><Relationship Id="rId7107" Type="http://schemas.openxmlformats.org/officeDocument/2006/relationships/hyperlink" Target="http://biology.burke.washington.edu/herbarium/imagecollectionnew/taxon.php?Taxon=Thalictrum%20occidentale" TargetMode="External"/><Relationship Id="rId985" Type="http://schemas.openxmlformats.org/officeDocument/2006/relationships/hyperlink" Target="http://en.wikipedia.org/wiki/Barbarea_orthoceras" TargetMode="External"/><Relationship Id="rId2666" Type="http://schemas.openxmlformats.org/officeDocument/2006/relationships/hyperlink" Target="http://biology.burke.washington.edu/herbarium/imagecollectionnew/taxon.php?Taxon=Pectiantia%20ovalis" TargetMode="External"/><Relationship Id="rId3717" Type="http://schemas.openxmlformats.org/officeDocument/2006/relationships/hyperlink" Target="https://plants.usda.gov/core/profile?symbol=MANE2" TargetMode="External"/><Relationship Id="rId5072" Type="http://schemas.openxmlformats.org/officeDocument/2006/relationships/hyperlink" Target="https://en.wikipedia.org/wiki/Lepidium_virginicum" TargetMode="External"/><Relationship Id="rId6123" Type="http://schemas.openxmlformats.org/officeDocument/2006/relationships/hyperlink" Target="http://www.burkemuseum.org/research-and-collections/botany-and-herbarium/collections/database/results.php?Genus=Ribes&amp;Species=sanguineum&amp;SourcePage=search.php&amp;IncludeSynonyms=Y&amp;SortBy=DESC&amp;SortOrder=Year" TargetMode="External"/><Relationship Id="rId638" Type="http://schemas.openxmlformats.org/officeDocument/2006/relationships/hyperlink" Target="https://en.wikipedia.org/wiki/Rubus_parviflorus" TargetMode="External"/><Relationship Id="rId1268" Type="http://schemas.openxmlformats.org/officeDocument/2006/relationships/hyperlink" Target="http://biology.burke.washington.edu/herbarium/imagecollection/taxon.php?Taxon=Oxalis%20suksdorfii" TargetMode="External"/><Relationship Id="rId1682" Type="http://schemas.openxmlformats.org/officeDocument/2006/relationships/hyperlink" Target="http://biology.burke.washington.edu/herbarium/imagecollectionnew/taxon.php?Taxon=Anaphalis%20margaritacea" TargetMode="External"/><Relationship Id="rId2319" Type="http://schemas.openxmlformats.org/officeDocument/2006/relationships/hyperlink" Target="http://plants.usda.gov/java/profile?symbol=CACU5" TargetMode="External"/><Relationship Id="rId2733" Type="http://schemas.openxmlformats.org/officeDocument/2006/relationships/hyperlink" Target="http://www.burkemuseum.org/research-and-collections/botany-and-herbarium/collections/database/results.php?Genus=Agrostis&amp;Species=pallens&amp;SourcePage=search.php&amp;IncludeSynonyms=Y&amp;SortBy=DESC&amp;SortOrder=Year" TargetMode="External"/><Relationship Id="rId5889" Type="http://schemas.openxmlformats.org/officeDocument/2006/relationships/hyperlink" Target="http://www.burkemuseum.org/research-and-collections/botany-and-herbarium/collections/database/results.php?Genus=Lonicera&amp;Species=hispidula&amp;SourcePage=search.php&amp;IncludeSynonyms=Y&amp;SortBy=DESC&amp;SortOrder=Year" TargetMode="External"/><Relationship Id="rId705" Type="http://schemas.openxmlformats.org/officeDocument/2006/relationships/hyperlink" Target="https://en.wikipedia.org/wiki/Erigeron_strigosus" TargetMode="External"/><Relationship Id="rId1335" Type="http://schemas.openxmlformats.org/officeDocument/2006/relationships/hyperlink" Target="http://biology.burke.washington.edu/herbarium/imagecollectionnew/taxon.php?Taxon=Amelanchier%20alnifolia" TargetMode="External"/><Relationship Id="rId2800" Type="http://schemas.openxmlformats.org/officeDocument/2006/relationships/hyperlink" Target="http://www.burkemuseum.org/research-and-collections/botany-and-herbarium/collections/database/results.php?Genus=Bolboschoenus&amp;Species=maritimus&amp;SourcePage=search.php&amp;IncludeSynonyms=Y&amp;SortBy=DESC&amp;SortOrder=Year" TargetMode="External"/><Relationship Id="rId5956" Type="http://schemas.openxmlformats.org/officeDocument/2006/relationships/hyperlink" Target="http://www.burkemuseum.org/research-and-collections/botany-and-herbarium/collections/database/results.php?Genus=Myrica&amp;Species=californica&amp;SourcePage=search.php&amp;IncludeSynonyms=Y&amp;SortBy=DESC&amp;SortOrder=Year" TargetMode="External"/><Relationship Id="rId41" Type="http://schemas.openxmlformats.org/officeDocument/2006/relationships/hyperlink" Target="http://biology.burke.washington.edu/herbarium/imagecollection/taxon.php?Taxon=Madia%20gracilis" TargetMode="External"/><Relationship Id="rId1402" Type="http://schemas.openxmlformats.org/officeDocument/2006/relationships/hyperlink" Target="http://biology.burke.washington.edu/herbarium/imagecollection/taxon.php?Taxon=Fritillaria%20affinis" TargetMode="External"/><Relationship Id="rId4558" Type="http://schemas.openxmlformats.org/officeDocument/2006/relationships/hyperlink" Target="https://en.wikipedia.org/wiki/Allium_cernuum" TargetMode="External"/><Relationship Id="rId4972" Type="http://schemas.openxmlformats.org/officeDocument/2006/relationships/hyperlink" Target="https://en.wikipedia.org/wiki/Fragaria_virginiana" TargetMode="External"/><Relationship Id="rId5609" Type="http://schemas.openxmlformats.org/officeDocument/2006/relationships/hyperlink" Target="http://www.burkemuseum.org/research-and-collections/botany-and-herbarium/collections/database/results.php?Genus=Castilleja&amp;Species=ambigua&amp;SourcePage=search.php&amp;IncludeSynonyms=Y&amp;SortBy=DESC&amp;SortOrder=Year" TargetMode="External"/><Relationship Id="rId7031" Type="http://schemas.openxmlformats.org/officeDocument/2006/relationships/hyperlink" Target="http://biology.burke.washington.edu/herbarium/imagecollectionnew/taxon.php?Taxon=Campanula%20scouleri" TargetMode="External"/><Relationship Id="rId3574" Type="http://schemas.openxmlformats.org/officeDocument/2006/relationships/hyperlink" Target="http://www.burkemuseum.org/research-and-collections/botany-and-herbarium/collections/database/results.php?Genus=Rosa&amp;Species=gymnocarpa&amp;SourcePage=search.php&amp;IncludeSynonyms=Y&amp;SortBy=DESC&amp;SortOrder=Year" TargetMode="External"/><Relationship Id="rId4625" Type="http://schemas.openxmlformats.org/officeDocument/2006/relationships/hyperlink" Target="http://www.burkemuseum.org/research-and-collections/botany-and-herbarium/collections/database/results.php?Genus=Anisocarpus&amp;Species=madioides&amp;SourcePage=search.php&amp;IncludeSynonyms=Y&amp;SortBy=DESC&amp;SortOrder=Year" TargetMode="External"/><Relationship Id="rId495" Type="http://schemas.openxmlformats.org/officeDocument/2006/relationships/hyperlink" Target="https://en.wikipedia.org/wiki/Toxicoscordion_venenosum" TargetMode="External"/><Relationship Id="rId2176" Type="http://schemas.openxmlformats.org/officeDocument/2006/relationships/hyperlink" Target="http://plants.usda.gov/java/profile?symbol=ERLA6" TargetMode="External"/><Relationship Id="rId2590" Type="http://schemas.openxmlformats.org/officeDocument/2006/relationships/hyperlink" Target="https://plants.usda.gov/core/profile?symbol=MARE11" TargetMode="External"/><Relationship Id="rId3227" Type="http://schemas.openxmlformats.org/officeDocument/2006/relationships/hyperlink" Target="http://www.burkemuseum.org/research-and-collections/botany-and-herbarium/collections/database/results.php?Genus=Polygonum&amp;Species=spergulariiforme&amp;SourcePage=search.php&amp;IncludeSynonyms=Y&amp;SortBy=DESC&amp;SortOrder=Year" TargetMode="External"/><Relationship Id="rId3641" Type="http://schemas.openxmlformats.org/officeDocument/2006/relationships/hyperlink" Target="https://plants.usda.gov/core/profile?symbol=AGAP2" TargetMode="External"/><Relationship Id="rId6797" Type="http://schemas.openxmlformats.org/officeDocument/2006/relationships/hyperlink" Target="http://biology.burke.washington.edu/herbarium/imagecollectionnew/taxon.php?Taxon=Dendrolycopodium%20dendroideum" TargetMode="External"/><Relationship Id="rId148" Type="http://schemas.openxmlformats.org/officeDocument/2006/relationships/hyperlink" Target="http://biology.burke.washington.edu/herbarium/imagecollection/taxon.php?Taxon=Linum%20lewisii" TargetMode="External"/><Relationship Id="rId562" Type="http://schemas.openxmlformats.org/officeDocument/2006/relationships/hyperlink" Target="https://en.wikipedia.org/wiki/Subularia" TargetMode="External"/><Relationship Id="rId1192" Type="http://schemas.openxmlformats.org/officeDocument/2006/relationships/hyperlink" Target="http://biology.burke.washington.edu/herbarium/imagecollectionnew/taxon.php?Taxon=Trifolium%20bifidum" TargetMode="External"/><Relationship Id="rId2243" Type="http://schemas.openxmlformats.org/officeDocument/2006/relationships/hyperlink" Target="http://plants.usda.gov/java/profile?symbol=COCOC2" TargetMode="External"/><Relationship Id="rId5399" Type="http://schemas.openxmlformats.org/officeDocument/2006/relationships/hyperlink" Target="https://en.wikipedia.org/wiki/Shepherdia_canadensis" TargetMode="External"/><Relationship Id="rId6864" Type="http://schemas.openxmlformats.org/officeDocument/2006/relationships/hyperlink" Target="http://biology.burke.washington.edu/herbarium/imagecollection/taxon.php?Taxon=Agoseris%20grandiflora" TargetMode="External"/><Relationship Id="rId215" Type="http://schemas.openxmlformats.org/officeDocument/2006/relationships/hyperlink" Target="http://biology.burke.washington.edu/herbarium/imagecollection/taxon.php?Taxon=Erythranthe%20guttata" TargetMode="External"/><Relationship Id="rId2310" Type="http://schemas.openxmlformats.org/officeDocument/2006/relationships/hyperlink" Target="http://plants.usda.gov/java/profile?symbol=CALI7" TargetMode="External"/><Relationship Id="rId5466" Type="http://schemas.openxmlformats.org/officeDocument/2006/relationships/hyperlink" Target="https://en.wikipedia.org/wiki/Trifolium_bifidum" TargetMode="External"/><Relationship Id="rId6517" Type="http://schemas.openxmlformats.org/officeDocument/2006/relationships/hyperlink" Target="http://biology.burke.washington.edu/herbarium/imagecollection/taxon.php?Taxon=Geum%20triflorum" TargetMode="External"/><Relationship Id="rId4068" Type="http://schemas.openxmlformats.org/officeDocument/2006/relationships/hyperlink" Target="https://plants.usda.gov/core/profile?symbol=LEPY" TargetMode="External"/><Relationship Id="rId4482" Type="http://schemas.openxmlformats.org/officeDocument/2006/relationships/hyperlink" Target="https://plants.usda.gov/core/profile?symbol=ARGL" TargetMode="External"/><Relationship Id="rId5119" Type="http://schemas.openxmlformats.org/officeDocument/2006/relationships/hyperlink" Target="https://en.wikipedia.org/wiki/Madia_gracilis" TargetMode="External"/><Relationship Id="rId5880" Type="http://schemas.openxmlformats.org/officeDocument/2006/relationships/hyperlink" Target="http://www.burkemuseum.org/research-and-collections/botany-and-herbarium/collections/database/results.php?Genus=Linum&amp;Species=lewisii&amp;SourcePage=search.php&amp;IncludeSynonyms=Y&amp;SortBy=DESC&amp;SortOrder=Year" TargetMode="External"/><Relationship Id="rId6931" Type="http://schemas.openxmlformats.org/officeDocument/2006/relationships/hyperlink" Target="http://biology.burke.washington.edu/herbarium/imagecollectionnew/taxon.php?Taxon=Micranthes%20occidentalis" TargetMode="External"/><Relationship Id="rId3084" Type="http://schemas.openxmlformats.org/officeDocument/2006/relationships/hyperlink" Target="http://www.burkemuseum.org/research-and-collections/botany-and-herbarium/collections/database/results.php?Genus=Lemna&amp;Species=turionifera&amp;SourcePage=search.php&amp;IncludeSynonyms=Y&amp;SortBy=DESC&amp;SortOrder=Year" TargetMode="External"/><Relationship Id="rId4135" Type="http://schemas.openxmlformats.org/officeDocument/2006/relationships/hyperlink" Target="https://plants.usda.gov/core/profile?symbol=SAOC4" TargetMode="External"/><Relationship Id="rId5533" Type="http://schemas.openxmlformats.org/officeDocument/2006/relationships/hyperlink" Target="https://en.wikipedia.org/wiki/Potamogeton_robbinsii" TargetMode="External"/><Relationship Id="rId1729" Type="http://schemas.openxmlformats.org/officeDocument/2006/relationships/hyperlink" Target="http://plants.usda.gov/java/profile?symbol=VECA2" TargetMode="External"/><Relationship Id="rId5600" Type="http://schemas.openxmlformats.org/officeDocument/2006/relationships/hyperlink" Target="http://www.burkemuseum.org/research-and-collections/botany-and-herbarium/collections/database/results.php?Genus=Carex&amp;Species=rostrata&amp;SourcePage=search.php&amp;IncludeSynonyms=Y&amp;SortBy=DESC&amp;SortOrder=Year" TargetMode="External"/><Relationship Id="rId3151" Type="http://schemas.openxmlformats.org/officeDocument/2006/relationships/hyperlink" Target="http://www.burkemuseum.org/research-and-collections/botany-and-herbarium/collections/database/results.php?Genus=Montia&amp;Species=diffusa&amp;SourcePage=search.php&amp;IncludeSynonyms=Y&amp;SortBy=DESC&amp;SortOrder=Year" TargetMode="External"/><Relationship Id="rId4202" Type="http://schemas.openxmlformats.org/officeDocument/2006/relationships/hyperlink" Target="https://plants.usda.gov/core/profile?symbol=PERYR" TargetMode="External"/><Relationship Id="rId3968" Type="http://schemas.openxmlformats.org/officeDocument/2006/relationships/hyperlink" Target="https://plants.usda.gov/core/profile?symbol=GAOR" TargetMode="External"/><Relationship Id="rId6374" Type="http://schemas.openxmlformats.org/officeDocument/2006/relationships/hyperlink" Target="http://biology.burke.washington.edu/herbarium/imagecollectionnew/taxon.php?Taxon=Arbutus%20menziesii" TargetMode="External"/><Relationship Id="rId5" Type="http://schemas.openxmlformats.org/officeDocument/2006/relationships/hyperlink" Target="http://biology.burke.washington.edu/herbarium/imagecollection/taxon.php?Taxon=Maianthemum%20racemosum" TargetMode="External"/><Relationship Id="rId889" Type="http://schemas.openxmlformats.org/officeDocument/2006/relationships/hyperlink" Target="http://en.wikipedia.org/wiki/Clintonia_uniflora" TargetMode="External"/><Relationship Id="rId5390" Type="http://schemas.openxmlformats.org/officeDocument/2006/relationships/hyperlink" Target="https://en.wikipedia.org/wiki/Sedum_divergens" TargetMode="External"/><Relationship Id="rId6027" Type="http://schemas.openxmlformats.org/officeDocument/2006/relationships/hyperlink" Target="http://www.burkemuseum.org/research-and-collections/botany-and-herbarium/collections/database/results.php?Genus=Plagiobothrys&amp;Species=figuratus&amp;SourcePage=search.php&amp;IncludeSynonyms=Y&amp;SortBy=DESC&amp;SortOrder=Year" TargetMode="External"/><Relationship Id="rId6441" Type="http://schemas.openxmlformats.org/officeDocument/2006/relationships/hyperlink" Target="http://biology.burke.washington.edu/herbarium/imagecollectionnew/taxon.php?Taxon=Cornus%20nuttallii" TargetMode="External"/><Relationship Id="rId1586" Type="http://schemas.openxmlformats.org/officeDocument/2006/relationships/hyperlink" Target="https://en.wikipedia.org/wiki/Arctostaphylos_manzanita" TargetMode="External"/><Relationship Id="rId2984" Type="http://schemas.openxmlformats.org/officeDocument/2006/relationships/hyperlink" Target="http://www.burkemuseum.org/research-and-collections/botany-and-herbarium/collections/database/results.php?Genus=Erythranthe&amp;Species=dentata&amp;SourcePage=search.php&amp;IncludeSynonyms=Y&amp;SortBy=DESC&amp;SortOrder=Year" TargetMode="External"/><Relationship Id="rId5043" Type="http://schemas.openxmlformats.org/officeDocument/2006/relationships/hyperlink" Target="https://en.wikipedia.org/wiki/Isolepis_cernua" TargetMode="External"/><Relationship Id="rId609" Type="http://schemas.openxmlformats.org/officeDocument/2006/relationships/hyperlink" Target="https://en.wikipedia.org/wiki/Scheuchzeria" TargetMode="External"/><Relationship Id="rId956" Type="http://schemas.openxmlformats.org/officeDocument/2006/relationships/hyperlink" Target="https://en.wikipedia.org/wiki/Camissonia_contorta" TargetMode="External"/><Relationship Id="rId1239" Type="http://schemas.openxmlformats.org/officeDocument/2006/relationships/hyperlink" Target="http://biology.burke.washington.edu/herbarium/imagecollectionnew/taxon.php?Taxon=Collinsia%20sparsiflora" TargetMode="External"/><Relationship Id="rId2637" Type="http://schemas.openxmlformats.org/officeDocument/2006/relationships/hyperlink" Target="http://biology.burke.washington.edu/herbarium/imagecollection/taxon.php?Taxon=Nabalus%20alatus" TargetMode="External"/><Relationship Id="rId5110" Type="http://schemas.openxmlformats.org/officeDocument/2006/relationships/hyperlink" Target="https://en.wikipedia.org/wiki/Lycopodium_clavatum" TargetMode="External"/><Relationship Id="rId1653" Type="http://schemas.openxmlformats.org/officeDocument/2006/relationships/hyperlink" Target="http://biology.burke.washington.edu/herbarium/imagecollection/taxon.php?Taxon=Morella%20californica" TargetMode="External"/><Relationship Id="rId2704" Type="http://schemas.openxmlformats.org/officeDocument/2006/relationships/hyperlink" Target="http://biology.burke.washington.edu/herbarium/imagecollectionnew/taxon.php?Taxon=Scrophularia%20lanceolata" TargetMode="External"/><Relationship Id="rId1306" Type="http://schemas.openxmlformats.org/officeDocument/2006/relationships/hyperlink" Target="http://biology.burke.washington.edu/herbarium/imagecollection.php" TargetMode="External"/><Relationship Id="rId1720" Type="http://schemas.openxmlformats.org/officeDocument/2006/relationships/hyperlink" Target="http://plants.usda.gov/java/profile?symbol=VIAM" TargetMode="External"/><Relationship Id="rId4876" Type="http://schemas.openxmlformats.org/officeDocument/2006/relationships/hyperlink" Target="https://en.wikipedia.org/wiki/Crataegus_douglasii" TargetMode="External"/><Relationship Id="rId5927" Type="http://schemas.openxmlformats.org/officeDocument/2006/relationships/hyperlink" Target="http://www.burkemuseum.org/research-and-collections/botany-and-herbarium/collections/database/results.php?Genus=Meconella&amp;Species=oregana&amp;SourcePage=search.php&amp;IncludeSynonyms=Y&amp;SortBy=DESC&amp;SortOrder=Year" TargetMode="External"/><Relationship Id="rId12" Type="http://schemas.openxmlformats.org/officeDocument/2006/relationships/hyperlink" Target="http://biology.burke.washington.edu/herbarium/imagecollection/taxon.php?Taxon=Hydrocotyle%20ranunculoides" TargetMode="External"/><Relationship Id="rId3478" Type="http://schemas.openxmlformats.org/officeDocument/2006/relationships/hyperlink" Target="http://www.burkemuseum.org/research-and-collections/botany-and-herbarium/collections/database/results.php?Genus=Carex&amp;Species=obnupta&amp;SourcePage=search.php&amp;IncludeSynonyms=Y&amp;SortBy=DESC&amp;SortOrder=Year" TargetMode="External"/><Relationship Id="rId3892" Type="http://schemas.openxmlformats.org/officeDocument/2006/relationships/hyperlink" Target="https://plants.usda.gov/core/profile?symbol=DISP" TargetMode="External"/><Relationship Id="rId4529" Type="http://schemas.openxmlformats.org/officeDocument/2006/relationships/hyperlink" Target="https://plants.usda.gov/core/profile?symbol=ZIVE" TargetMode="External"/><Relationship Id="rId4943" Type="http://schemas.openxmlformats.org/officeDocument/2006/relationships/hyperlink" Target="https://en.wikipedia.org/wiki/Erigeron_strigosus" TargetMode="External"/><Relationship Id="rId399" Type="http://schemas.openxmlformats.org/officeDocument/2006/relationships/hyperlink" Target="http://biology.burke.washington.edu/herbarium/imagecollectionnew/taxon.php?Taxon=Collinsia%20parviflora" TargetMode="External"/><Relationship Id="rId2494" Type="http://schemas.openxmlformats.org/officeDocument/2006/relationships/hyperlink" Target="http://plants.usda.gov/java/profile?symbol=PRVID" TargetMode="External"/><Relationship Id="rId3545" Type="http://schemas.openxmlformats.org/officeDocument/2006/relationships/hyperlink" Target="http://www.burkemuseum.org/research-and-collections/botany-and-herbarium/collections/database/results.php?Genus=Penstemon&amp;Species=ovatus&amp;SourcePage=search.php&amp;IncludeSynonyms=Y&amp;SortBy=DESC&amp;SortOrder=Year" TargetMode="External"/><Relationship Id="rId7002" Type="http://schemas.openxmlformats.org/officeDocument/2006/relationships/hyperlink" Target="http://biology.burke.washington.edu/herbarium/imagecollectionnew/taxon.php?Taxon=Cochlearia%20groenlandica" TargetMode="External"/><Relationship Id="rId466" Type="http://schemas.openxmlformats.org/officeDocument/2006/relationships/hyperlink" Target="http://biology.burke.washington.edu/herbarium/imagecollectionnew/taxon.php?Taxon=Valeriana%20scouleri" TargetMode="External"/><Relationship Id="rId880" Type="http://schemas.openxmlformats.org/officeDocument/2006/relationships/hyperlink" Target="http://en.wikipedia.org/wiki/Coptis_laciniata" TargetMode="External"/><Relationship Id="rId1096" Type="http://schemas.openxmlformats.org/officeDocument/2006/relationships/hyperlink" Target="https://en.wikipedia.org/wiki/Lepidium_virginicum" TargetMode="External"/><Relationship Id="rId2147" Type="http://schemas.openxmlformats.org/officeDocument/2006/relationships/hyperlink" Target="http://plants.usda.gov/java/profile?symbol=GATR3" TargetMode="External"/><Relationship Id="rId2561" Type="http://schemas.openxmlformats.org/officeDocument/2006/relationships/hyperlink" Target="http://plants.usda.gov/java/profile?symbol=EQTE" TargetMode="External"/><Relationship Id="rId119" Type="http://schemas.openxmlformats.org/officeDocument/2006/relationships/hyperlink" Target="http://biology.burke.washington.edu/herbarium/imagecollection/taxon.php?Taxon=Larix%20occidentalis" TargetMode="External"/><Relationship Id="rId533" Type="http://schemas.openxmlformats.org/officeDocument/2006/relationships/hyperlink" Target="https://en.wikipedia.org/wiki/Tsuga_mertensiana" TargetMode="External"/><Relationship Id="rId1163" Type="http://schemas.openxmlformats.org/officeDocument/2006/relationships/hyperlink" Target="https://en.wikipedia.org/wiki/Gratiola_neglecta" TargetMode="External"/><Relationship Id="rId2214" Type="http://schemas.openxmlformats.org/officeDocument/2006/relationships/hyperlink" Target="http://plants.usda.gov/java/profile?symbol=DOJE" TargetMode="External"/><Relationship Id="rId3612" Type="http://schemas.openxmlformats.org/officeDocument/2006/relationships/hyperlink" Target="http://www.burkemuseum.org/research-and-collections/botany-and-herbarium/collections/database/results.php?Genus=Viola&amp;Species=howellii&amp;SourcePage=search.php&amp;IncludeSynonyms=Y&amp;SortBy=DESC&amp;SortOrder=Year" TargetMode="External"/><Relationship Id="rId6768" Type="http://schemas.openxmlformats.org/officeDocument/2006/relationships/hyperlink" Target="http://biology.burke.washington.edu/herbarium/imagecollectionnew/taxon.php?Taxon=Honckenya%20peploides" TargetMode="External"/><Relationship Id="rId5784" Type="http://schemas.openxmlformats.org/officeDocument/2006/relationships/hyperlink" Target="http://www.burkemuseum.org/research-and-collections/botany-and-herbarium/collections/database/results.php?Genus=Githopsis&amp;Species=specularioides&amp;SourcePage=search.php&amp;IncludeSynonyms=Y&amp;SortBy=DESC&amp;SortOrder=Year" TargetMode="External"/><Relationship Id="rId6835" Type="http://schemas.openxmlformats.org/officeDocument/2006/relationships/hyperlink" Target="http://biology.burke.washington.edu/herbarium/imagecollectionnew/taxon.php?Taxon=Cardamine%20oligosperma" TargetMode="External"/><Relationship Id="rId600" Type="http://schemas.openxmlformats.org/officeDocument/2006/relationships/hyperlink" Target="https://en.wikipedia.org/wiki/Scutellaria_lateriflora" TargetMode="External"/><Relationship Id="rId1230" Type="http://schemas.openxmlformats.org/officeDocument/2006/relationships/hyperlink" Target="http://biology.burke.washington.edu/herbarium/imagecollectionnew/taxon.php?Taxon=Carex%20anthoxanthea" TargetMode="External"/><Relationship Id="rId4386" Type="http://schemas.openxmlformats.org/officeDocument/2006/relationships/hyperlink" Target="https://plants.usda.gov/core/profile?symbol=SCMI2" TargetMode="External"/><Relationship Id="rId5437" Type="http://schemas.openxmlformats.org/officeDocument/2006/relationships/hyperlink" Target="https://en.wikipedia.org/wiki/Stellaria_obtusa" TargetMode="External"/><Relationship Id="rId5851" Type="http://schemas.openxmlformats.org/officeDocument/2006/relationships/hyperlink" Target="http://www.burkemuseum.org/research-and-collections/botany-and-herbarium/collections/database/results.php?Genus=Kopsiopsis&amp;Species=hookeri&amp;SourcePage=search.php&amp;IncludeSynonyms=Y&amp;SortBy=DESC&amp;SortOrder=Year" TargetMode="External"/><Relationship Id="rId6902" Type="http://schemas.openxmlformats.org/officeDocument/2006/relationships/hyperlink" Target="http://biology.burke.washington.edu/herbarium/imagecollection/taxon.php?Taxon=Potamogeton%20obtusifolius" TargetMode="External"/><Relationship Id="rId4039" Type="http://schemas.openxmlformats.org/officeDocument/2006/relationships/hyperlink" Target="https://plants.usda.gov/core/profile?symbol=JUEF" TargetMode="External"/><Relationship Id="rId4453" Type="http://schemas.openxmlformats.org/officeDocument/2006/relationships/hyperlink" Target="https://plants.usda.gov/core/profile?symbol=TABR2" TargetMode="External"/><Relationship Id="rId5504" Type="http://schemas.openxmlformats.org/officeDocument/2006/relationships/hyperlink" Target="https://en.wikipedia.org/wiki/Veronica_peregrina" TargetMode="External"/><Relationship Id="rId3055" Type="http://schemas.openxmlformats.org/officeDocument/2006/relationships/hyperlink" Target="http://www.burkemuseum.org/research-and-collections/botany-and-herbarium/collections/database/results.php?Genus=Isoetes&amp;Species=occidentalis&amp;SourcePage=search.php&amp;IncludeSynonyms=Y&amp;SortBy=DESC&amp;SortOrder=Year" TargetMode="External"/><Relationship Id="rId4106" Type="http://schemas.openxmlformats.org/officeDocument/2006/relationships/hyperlink" Target="https://plants.usda.gov/core/profile?symbol=LYIN2" TargetMode="External"/><Relationship Id="rId4520" Type="http://schemas.openxmlformats.org/officeDocument/2006/relationships/hyperlink" Target="https://plants.usda.gov/core/profile?symbol=VUMI" TargetMode="External"/><Relationship Id="rId390" Type="http://schemas.openxmlformats.org/officeDocument/2006/relationships/hyperlink" Target="http://biology.burke.washington.edu/herbarium/imagecollectionnew/taxon.php?Taxon=Corallorhiza%20striata" TargetMode="External"/><Relationship Id="rId2071" Type="http://schemas.openxmlformats.org/officeDocument/2006/relationships/hyperlink" Target="https://plants.usda.gov/core/profile?symbol=levi3" TargetMode="External"/><Relationship Id="rId3122" Type="http://schemas.openxmlformats.org/officeDocument/2006/relationships/hyperlink" Target="http://www.burkemuseum.org/research-and-collections/botany-and-herbarium/collections/database/results.php?Genus=Madia&amp;Species=elegans&amp;SourcePage=search.php&amp;IncludeSynonyms=Y&amp;SortBy=DESC&amp;SortOrder=Year" TargetMode="External"/><Relationship Id="rId6278" Type="http://schemas.openxmlformats.org/officeDocument/2006/relationships/hyperlink" Target="http://www.burkemuseum.org/research-and-collections/botany-and-herbarium/collections/database/results.php?Genus=Tsuga&amp;Species=heterophylla&amp;SourcePage=search.php&amp;IncludeSynonyms=Y&amp;SortBy=DESC&amp;SortOrder=Year" TargetMode="External"/><Relationship Id="rId6692" Type="http://schemas.openxmlformats.org/officeDocument/2006/relationships/hyperlink" Target="http://biology.burke.washington.edu/herbarium/imagecollection/taxon.php?Taxon=Platanthera%20unalascensis" TargetMode="External"/><Relationship Id="rId5294" Type="http://schemas.openxmlformats.org/officeDocument/2006/relationships/hyperlink" Target="https://en.wikipedia.org/wiki/Pyrola_picta" TargetMode="External"/><Relationship Id="rId6345" Type="http://schemas.openxmlformats.org/officeDocument/2006/relationships/hyperlink" Target="http://biology.burke.washington.edu/herbarium/imagecollection/taxon.php?Taxon=Achillea%20millefolium" TargetMode="External"/><Relationship Id="rId110" Type="http://schemas.openxmlformats.org/officeDocument/2006/relationships/hyperlink" Target="http://biology.burke.washington.edu/herbarium/imagecollection/taxon.php?Taxon=Hypericum%20anagalloides" TargetMode="External"/><Relationship Id="rId2888" Type="http://schemas.openxmlformats.org/officeDocument/2006/relationships/hyperlink" Target="http://www.burkemuseum.org/research-and-collections/botany-and-herbarium/collections/database/results.php?Genus=Clarkia&amp;Species=gracilis&amp;SourcePage=search.php&amp;IncludeSynonyms=Y&amp;SortBy=DESC&amp;SortOrder=Year" TargetMode="External"/><Relationship Id="rId3939" Type="http://schemas.openxmlformats.org/officeDocument/2006/relationships/hyperlink" Target="https://plants.usda.gov/core/profile?symbol=MIAL3" TargetMode="External"/><Relationship Id="rId2955" Type="http://schemas.openxmlformats.org/officeDocument/2006/relationships/hyperlink" Target="http://www.burkemuseum.org/research-and-collections/botany-and-herbarium/collections/database/results.php?Genus=Eleocharis&amp;Species=parvula&amp;SourcePage=search.php&amp;IncludeSynonyms=Y&amp;SortBy=DESC&amp;SortOrder=Year" TargetMode="External"/><Relationship Id="rId5361" Type="http://schemas.openxmlformats.org/officeDocument/2006/relationships/hyperlink" Target="https://en.wikipedia.org/wiki/Salix_pedicellaris" TargetMode="External"/><Relationship Id="rId6412" Type="http://schemas.openxmlformats.org/officeDocument/2006/relationships/hyperlink" Target="http://biology.burke.washington.edu/herbarium/imagecollectionnew/taxon.php?Taxon=Carex%20nudata" TargetMode="External"/><Relationship Id="rId927" Type="http://schemas.openxmlformats.org/officeDocument/2006/relationships/hyperlink" Target="http://en.wikipedia.org/wiki/Carex_rostrata" TargetMode="External"/><Relationship Id="rId1557" Type="http://schemas.openxmlformats.org/officeDocument/2006/relationships/hyperlink" Target="https://en.wikipedia.org/wiki/Oenanthe_sarmentosa" TargetMode="External"/><Relationship Id="rId1971" Type="http://schemas.openxmlformats.org/officeDocument/2006/relationships/hyperlink" Target="https://plants.usda.gov/core/profile?symbol=PABO6" TargetMode="External"/><Relationship Id="rId2608" Type="http://schemas.openxmlformats.org/officeDocument/2006/relationships/hyperlink" Target="http://biology.burke.washington.edu/herbarium/imagecollectionnew/taxon.php?Taxon=Sabulina%20macra" TargetMode="External"/><Relationship Id="rId5014" Type="http://schemas.openxmlformats.org/officeDocument/2006/relationships/hyperlink" Target="https://en.wikipedia.org/wiki/Heuchera_chlorantha" TargetMode="External"/><Relationship Id="rId1624" Type="http://schemas.openxmlformats.org/officeDocument/2006/relationships/hyperlink" Target="https://en.wikipedia.org/wiki/Heuchera_cylindrica" TargetMode="External"/><Relationship Id="rId4030" Type="http://schemas.openxmlformats.org/officeDocument/2006/relationships/hyperlink" Target="https://plants.usda.gov/core/profile?symbol=ISNU" TargetMode="External"/><Relationship Id="rId7186" Type="http://schemas.openxmlformats.org/officeDocument/2006/relationships/hyperlink" Target="http://biology.burke.washington.edu/herbarium/imagecollection/taxon.php?Taxon=Rosa%20pisocarpa" TargetMode="External"/><Relationship Id="rId3796" Type="http://schemas.openxmlformats.org/officeDocument/2006/relationships/hyperlink" Target="https://plants.usda.gov/core/profile?symbol=CATU3" TargetMode="External"/><Relationship Id="rId2398" Type="http://schemas.openxmlformats.org/officeDocument/2006/relationships/hyperlink" Target="http://plants.usda.gov/java/profile?symbol=ANLU" TargetMode="External"/><Relationship Id="rId3449" Type="http://schemas.openxmlformats.org/officeDocument/2006/relationships/hyperlink" Target="http://www.burkemuseum.org/research-and-collections/botany-and-herbarium/collections/database/results.php?Genus=Zygadenus&amp;Species=venenosus&amp;SourcePage=search.php&amp;IncludeSynonyms=Y&amp;SortBy=DESC&amp;SortOrder=Year" TargetMode="External"/><Relationship Id="rId4847" Type="http://schemas.openxmlformats.org/officeDocument/2006/relationships/hyperlink" Target="https://en.wikipedia.org/wiki/Claytonia_lanceolata" TargetMode="External"/><Relationship Id="rId3863" Type="http://schemas.openxmlformats.org/officeDocument/2006/relationships/hyperlink" Target="https://plants.usda.gov/core/profile?symbol=CRCO34" TargetMode="External"/><Relationship Id="rId4914" Type="http://schemas.openxmlformats.org/officeDocument/2006/relationships/hyperlink" Target="https://en.wikipedia.org/wiki/Dryopteris_expansa" TargetMode="External"/><Relationship Id="rId784" Type="http://schemas.openxmlformats.org/officeDocument/2006/relationships/hyperlink" Target="https://en.wikipedia.org/wiki/Polygonum_spergulariiforme" TargetMode="External"/><Relationship Id="rId1067" Type="http://schemas.openxmlformats.org/officeDocument/2006/relationships/hyperlink" Target="https://en.wikipedia.org/wiki/Luzula_parviflora" TargetMode="External"/><Relationship Id="rId2465" Type="http://schemas.openxmlformats.org/officeDocument/2006/relationships/hyperlink" Target="http://plants.usda.gov/core/profile?symbol=SOSCC" TargetMode="External"/><Relationship Id="rId3516" Type="http://schemas.openxmlformats.org/officeDocument/2006/relationships/hyperlink" Target="http://www.burkemuseum.org/research-and-collections/botany-and-herbarium/collections/database/results.php?Genus=Juniperus&amp;Species=occidentalis&amp;SourcePage=search.php&amp;IncludeSynonyms=Y&amp;SortBy=DESC&amp;SortOrder=Year" TargetMode="External"/><Relationship Id="rId3930" Type="http://schemas.openxmlformats.org/officeDocument/2006/relationships/hyperlink" Target="https://plants.usda.gov/core/profile?symbol=ERPH" TargetMode="External"/><Relationship Id="rId437" Type="http://schemas.openxmlformats.org/officeDocument/2006/relationships/hyperlink" Target="http://biology.burke.washington.edu/herbarium/imagecollectionnew/taxon.php?Taxon=Danthonia%20californica" TargetMode="External"/><Relationship Id="rId851" Type="http://schemas.openxmlformats.org/officeDocument/2006/relationships/hyperlink" Target="http://en.wikipedia.org/wiki/Monotropa_hypopitys" TargetMode="External"/><Relationship Id="rId1481" Type="http://schemas.openxmlformats.org/officeDocument/2006/relationships/hyperlink" Target="https://en.wikipedia.org/wiki/Trientalis_latifolia" TargetMode="External"/><Relationship Id="rId2118" Type="http://schemas.openxmlformats.org/officeDocument/2006/relationships/hyperlink" Target="http://plants.usda.gov/java/profile?symbol=HISC2" TargetMode="External"/><Relationship Id="rId2532" Type="http://schemas.openxmlformats.org/officeDocument/2006/relationships/hyperlink" Target="http://plants.usda.gov/java/profile?symbol=LOHI2" TargetMode="External"/><Relationship Id="rId5688" Type="http://schemas.openxmlformats.org/officeDocument/2006/relationships/hyperlink" Target="http://www.burkemuseum.org/research-and-collections/botany-and-herbarium/collections/database/results.php?Genus=Delphinium&amp;Species=nuttallii&amp;SourcePage=search.php&amp;IncludeSynonyms=Y&amp;SortBy=DESC&amp;SortOrder=Year" TargetMode="External"/><Relationship Id="rId6739" Type="http://schemas.openxmlformats.org/officeDocument/2006/relationships/hyperlink" Target="http://biology.burke.washington.edu/herbarium/imagecollection/taxon.php?Taxon=Lycopus%20uniflorus" TargetMode="External"/><Relationship Id="rId504" Type="http://schemas.openxmlformats.org/officeDocument/2006/relationships/hyperlink" Target="https://en.wikipedia.org/wiki/Vulpia_microstachys" TargetMode="External"/><Relationship Id="rId1134" Type="http://schemas.openxmlformats.org/officeDocument/2006/relationships/hyperlink" Target="https://en.wikipedia.org/wiki/Howellia" TargetMode="External"/><Relationship Id="rId5755" Type="http://schemas.openxmlformats.org/officeDocument/2006/relationships/hyperlink" Target="http://www.burkemuseum.org/research-and-collections/botany-and-herbarium/collections/database/results.php?Genus=Festuca&amp;Species=occidentalis&amp;SourcePage=search.php&amp;IncludeSynonyms=Y&amp;SortBy=DESC&amp;SortOrder=Year" TargetMode="External"/><Relationship Id="rId6806" Type="http://schemas.openxmlformats.org/officeDocument/2006/relationships/hyperlink" Target="http://biology.burke.washington.edu/herbarium/imagecollectionnew/taxon.php?Taxon=Coptis%20laciniata" TargetMode="External"/><Relationship Id="rId1201" Type="http://schemas.openxmlformats.org/officeDocument/2006/relationships/hyperlink" Target="http://biology.burke.washington.edu/herbarium/imagecollectionnew/taxon.php?Taxon=Tanacetum%20bipinnatum" TargetMode="External"/><Relationship Id="rId4357" Type="http://schemas.openxmlformats.org/officeDocument/2006/relationships/hyperlink" Target="https://plants.usda.gov/core/profile?symbol=SALUL" TargetMode="External"/><Relationship Id="rId4771" Type="http://schemas.openxmlformats.org/officeDocument/2006/relationships/hyperlink" Target="https://en.wikipedia.org/wiki/Cardamine_breweri" TargetMode="External"/><Relationship Id="rId5408" Type="http://schemas.openxmlformats.org/officeDocument/2006/relationships/hyperlink" Target="https://en.wikipedia.org/wiki/Silene_scouleri" TargetMode="External"/><Relationship Id="rId3373" Type="http://schemas.openxmlformats.org/officeDocument/2006/relationships/hyperlink" Target="http://www.burkemuseum.org/research-and-collections/botany-and-herbarium/collections/database/results.php?Genus=Stellaria&amp;Species=longifolia&amp;SourcePage=search.php&amp;IncludeSynonyms=Y&amp;SortBy=DESC&amp;SortOrder=Year" TargetMode="External"/><Relationship Id="rId4424" Type="http://schemas.openxmlformats.org/officeDocument/2006/relationships/hyperlink" Target="https://plants.usda.gov/core/profile?symbol=SPDO" TargetMode="External"/><Relationship Id="rId5822" Type="http://schemas.openxmlformats.org/officeDocument/2006/relationships/hyperlink" Target="http://www.burkemuseum.org/research-and-collections/botany-and-herbarium/collections/database/results.php?Genus=Hydrocotyle&amp;Species=ranunculoides&amp;SourcePage=search.php&amp;IncludeSynonyms=Y&amp;SortBy=DESC&amp;SortOrder=Year" TargetMode="External"/><Relationship Id="rId294" Type="http://schemas.openxmlformats.org/officeDocument/2006/relationships/hyperlink" Target="http://biology.burke.washington.edu/herbarium/imagecollectionnew/taxon.php?Taxon=Angelica%20lucida" TargetMode="External"/><Relationship Id="rId3026" Type="http://schemas.openxmlformats.org/officeDocument/2006/relationships/hyperlink" Target="http://www.burkemuseum.org/research-and-collections/botany-and-herbarium/collections/database/results.php?Genus=Grindelia&amp;Species=integrifolia&amp;SourcePage=search.php&amp;IncludeSynonyms=Y&amp;SortBy=DESC&amp;SortOrder=Year" TargetMode="External"/><Relationship Id="rId361" Type="http://schemas.openxmlformats.org/officeDocument/2006/relationships/hyperlink" Target="http://biology.burke.washington.edu/herbarium/imagecollectionnew/taxon.php?Taxon=Carex%20leptopoda" TargetMode="External"/><Relationship Id="rId2042" Type="http://schemas.openxmlformats.org/officeDocument/2006/relationships/hyperlink" Target="http://plants.usda.gov/java/profile?symbol=LUMU2" TargetMode="External"/><Relationship Id="rId3440" Type="http://schemas.openxmlformats.org/officeDocument/2006/relationships/hyperlink" Target="http://www.burkemuseum.org/research-and-collections/botany-and-herbarium/collections/database/results.php?Genus=Viola&amp;Species=orbiculata&amp;SourcePage=search.php&amp;IncludeSynonyms=Y&amp;SortBy=DESC&amp;SortOrder=Year" TargetMode="External"/><Relationship Id="rId5198" Type="http://schemas.openxmlformats.org/officeDocument/2006/relationships/hyperlink" Target="https://en.wikipedia.org/wiki/Paxistima_myrsinites" TargetMode="External"/><Relationship Id="rId6596" Type="http://schemas.openxmlformats.org/officeDocument/2006/relationships/hyperlink" Target="http://biology.burke.washington.edu/herbarium/imagecollection/taxon.php?Taxon=Paxistima%20myrsinites" TargetMode="External"/><Relationship Id="rId6249" Type="http://schemas.openxmlformats.org/officeDocument/2006/relationships/hyperlink" Target="http://www.burkemuseum.org/research-and-collections/botany-and-herbarium/collections/database/results.php?Genus=Symphyotrichum&amp;Species=subspicatum&amp;SourcePage=search.php&amp;IncludeSynonyms=Y&amp;SortBy=DESC&amp;SortOrder=Year" TargetMode="External"/><Relationship Id="rId6663" Type="http://schemas.openxmlformats.org/officeDocument/2006/relationships/hyperlink" Target="http://biology.burke.washington.edu/herbarium/imagecollection/taxon.php?Taxon=Rumex%20persicarioides" TargetMode="External"/><Relationship Id="rId2859" Type="http://schemas.openxmlformats.org/officeDocument/2006/relationships/hyperlink" Target="http://www.burkemuseum.org/research-and-collections/botany-and-herbarium/collections/database/results.php?Genus=Carex&amp;Species=vulpinoidea&amp;SourcePage=search.php&amp;IncludeSynonyms=Y&amp;SortBy=DESC&amp;SortOrder=Year" TargetMode="External"/><Relationship Id="rId5265" Type="http://schemas.openxmlformats.org/officeDocument/2006/relationships/hyperlink" Target="https://en.wikipedia.org/wiki/Potamogeton_amplifolius" TargetMode="External"/><Relationship Id="rId6316" Type="http://schemas.openxmlformats.org/officeDocument/2006/relationships/hyperlink" Target="http://www.burkemuseum.org/research-and-collections/botany-and-herbarium/collections/database/results.php?Genus=Viola&amp;Species=praemorsa&amp;SourcePage=search.php&amp;IncludeSynonyms=Y&amp;SortBy=DESC&amp;SortOrder=Year" TargetMode="External"/><Relationship Id="rId6730" Type="http://schemas.openxmlformats.org/officeDocument/2006/relationships/hyperlink" Target="http://biology.burke.washington.edu/herbarium/imagecollectionnew/taxon.php?Taxon=Micranthes%20tischii" TargetMode="External"/><Relationship Id="rId1875" Type="http://schemas.openxmlformats.org/officeDocument/2006/relationships/hyperlink" Target="http://plants.usda.gov/core/profile?symbol=RICE" TargetMode="External"/><Relationship Id="rId4281" Type="http://schemas.openxmlformats.org/officeDocument/2006/relationships/hyperlink" Target="https://plants.usda.gov/core/profile?symbol=PSST7" TargetMode="External"/><Relationship Id="rId5332" Type="http://schemas.openxmlformats.org/officeDocument/2006/relationships/hyperlink" Target="https://en.wikipedia.org/wiki/Rubus_lasiococcus" TargetMode="External"/><Relationship Id="rId1528" Type="http://schemas.openxmlformats.org/officeDocument/2006/relationships/hyperlink" Target="https://en.wikipedia.org/wiki/Erythronium_oregonum" TargetMode="External"/><Relationship Id="rId2926" Type="http://schemas.openxmlformats.org/officeDocument/2006/relationships/hyperlink" Target="http://www.burkemuseum.org/research-and-collections/botany-and-herbarium/collections/database/results.php?Genus=Danthonia&amp;Species=californica&amp;SourcePage=search.php&amp;IncludeSynonyms=Y&amp;SortBy=DESC&amp;SortOrder=Year" TargetMode="External"/><Relationship Id="rId1942" Type="http://schemas.openxmlformats.org/officeDocument/2006/relationships/hyperlink" Target="http://plants.usda.gov/java/profile?symbol=PLDI3" TargetMode="External"/><Relationship Id="rId4001" Type="http://schemas.openxmlformats.org/officeDocument/2006/relationships/hyperlink" Target="https://plants.usda.gov/core/profile?symbol=HEVI4" TargetMode="External"/><Relationship Id="rId7157" Type="http://schemas.openxmlformats.org/officeDocument/2006/relationships/hyperlink" Target="http://biology.burke.washington.edu/herbarium/imagecollection/taxon.php?Taxon=Salix%20scouleriana" TargetMode="External"/><Relationship Id="rId6173" Type="http://schemas.openxmlformats.org/officeDocument/2006/relationships/hyperlink" Target="http://www.burkemuseum.org/research-and-collections/botany-and-herbarium/collections/database/results.php?Genus=Sanicula&amp;Species=bipinnatifida&amp;SourcePage=search.php&amp;IncludeSynonyms=Y&amp;SortBy=DESC&amp;SortOrder=Year" TargetMode="External"/><Relationship Id="rId3767" Type="http://schemas.openxmlformats.org/officeDocument/2006/relationships/hyperlink" Target="https://plants.usda.gov/core/profile?symbol=CACA11" TargetMode="External"/><Relationship Id="rId4818" Type="http://schemas.openxmlformats.org/officeDocument/2006/relationships/hyperlink" Target="https://en.wikipedia.org/wiki/Castilleja_hispida" TargetMode="External"/><Relationship Id="rId7224" Type="http://schemas.openxmlformats.org/officeDocument/2006/relationships/hyperlink" Target="http://biology.burke.washington.edu/herbarium/imagecollection/taxon.php?Taxon=Populus%20tremuloides" TargetMode="External"/><Relationship Id="rId688" Type="http://schemas.openxmlformats.org/officeDocument/2006/relationships/hyperlink" Target="https://en.wikipedia.org/wiki/Festuca_occidentalis" TargetMode="External"/><Relationship Id="rId2369" Type="http://schemas.openxmlformats.org/officeDocument/2006/relationships/hyperlink" Target="http://plants.usda.gov/java/profile?symbol=AZME" TargetMode="External"/><Relationship Id="rId2783" Type="http://schemas.openxmlformats.org/officeDocument/2006/relationships/hyperlink" Target="http://www.burkemuseum.org/research-and-collections/botany-and-herbarium/collections/database/results.php?Genus=Athyrium&amp;Species=filix-femina&amp;SourcePage=search.php&amp;IncludeSynonyms=Y&amp;SortBy=DESC&amp;SortOrder=Year" TargetMode="External"/><Relationship Id="rId3834" Type="http://schemas.openxmlformats.org/officeDocument/2006/relationships/hyperlink" Target="https://plants.usda.gov/core/profile?symbol=CLLAC" TargetMode="External"/><Relationship Id="rId6240" Type="http://schemas.openxmlformats.org/officeDocument/2006/relationships/hyperlink" Target="http://www.burkemuseum.org/research-and-collections/botany-and-herbarium/collections/database/results.php?Genus=Suaeda&amp;Species=calceoliformis&amp;SourcePage=search.php&amp;IncludeSynonyms=Y&amp;SortBy=DESC&amp;SortOrder=Year" TargetMode="External"/><Relationship Id="rId755" Type="http://schemas.openxmlformats.org/officeDocument/2006/relationships/hyperlink" Target="https://en.wikipedia.org/wiki/Cyperus_squarrosus" TargetMode="External"/><Relationship Id="rId1385" Type="http://schemas.openxmlformats.org/officeDocument/2006/relationships/hyperlink" Target="http://biology.burke.washington.edu/herbarium/imagecollection/taxon.php?Taxon=Huperzia%20occidentalis" TargetMode="External"/><Relationship Id="rId2436" Type="http://schemas.openxmlformats.org/officeDocument/2006/relationships/hyperlink" Target="http://plants.usda.gov/java/profile?symbol=ACGL" TargetMode="External"/><Relationship Id="rId2850" Type="http://schemas.openxmlformats.org/officeDocument/2006/relationships/hyperlink" Target="http://www.burkemuseum.org/research-and-collections/botany-and-herbarium/collections/database/results.php?Genus=Carex&amp;Species=pluriflora&amp;SourcePage=search.php&amp;IncludeSynonyms=Y&amp;SortBy=DESC&amp;SortOrder=Year" TargetMode="External"/><Relationship Id="rId91" Type="http://schemas.openxmlformats.org/officeDocument/2006/relationships/hyperlink" Target="http://biology.burke.washington.edu/herbarium/imagecollection/taxon.php?Taxon=Geranium%20bicknellii" TargetMode="External"/><Relationship Id="rId408" Type="http://schemas.openxmlformats.org/officeDocument/2006/relationships/hyperlink" Target="http://biology.burke.washington.edu/herbarium/imagecollectionnew/taxon.php?Taxon=Clarkia%20purpurea" TargetMode="External"/><Relationship Id="rId822" Type="http://schemas.openxmlformats.org/officeDocument/2006/relationships/hyperlink" Target="https://en.wikipedia.org/wiki/Osmorhiza" TargetMode="External"/><Relationship Id="rId1038" Type="http://schemas.openxmlformats.org/officeDocument/2006/relationships/hyperlink" Target="http://en.wikipedia.org/wiki/Adiantum_aleuticum" TargetMode="External"/><Relationship Id="rId1452" Type="http://schemas.openxmlformats.org/officeDocument/2006/relationships/hyperlink" Target="http://biology.burke.washington.edu/herbarium/imagecollectionnew/taxon.php?Taxon=Dodecatheon%20hendersonii" TargetMode="External"/><Relationship Id="rId2503" Type="http://schemas.openxmlformats.org/officeDocument/2006/relationships/hyperlink" Target="http://plants.usda.gov/java/profile?symbol=PICOC" TargetMode="External"/><Relationship Id="rId3901" Type="http://schemas.openxmlformats.org/officeDocument/2006/relationships/hyperlink" Target="https://plants.usda.gov/core/profile?symbol=DRCA11" TargetMode="External"/><Relationship Id="rId5659" Type="http://schemas.openxmlformats.org/officeDocument/2006/relationships/hyperlink" Target="http://www.burkemuseum.org/research-and-collections/botany-and-herbarium/collections/database/results.php?Genus=Corallorhiza&amp;Species=striata&amp;SourcePage=search.php&amp;IncludeSynonyms=Y&amp;SortBy=DESC&amp;SortOrder=Year" TargetMode="External"/><Relationship Id="rId1105" Type="http://schemas.openxmlformats.org/officeDocument/2006/relationships/hyperlink" Target="https://en.wikipedia.org/wiki/Lathyrus_japonicus" TargetMode="External"/><Relationship Id="rId7081" Type="http://schemas.openxmlformats.org/officeDocument/2006/relationships/hyperlink" Target="http://biology.burke.washington.edu/herbarium/imagecollectionnew/taxon.php?Taxon=Veronica%20americana" TargetMode="External"/><Relationship Id="rId3277" Type="http://schemas.openxmlformats.org/officeDocument/2006/relationships/hyperlink" Target="http://www.burkemuseum.org/research-and-collections/botany-and-herbarium/collections/database/results.php?Genus=Rhus&amp;Species=glabra&amp;SourcePage=search.php&amp;IncludeSynonyms=Y&amp;SortBy=DESC&amp;SortOrder=Year" TargetMode="External"/><Relationship Id="rId4675" Type="http://schemas.openxmlformats.org/officeDocument/2006/relationships/hyperlink" Target="http://www.burkemuseum.org/research-and-collections/botany-and-herbarium/collections/database/results.php?Genus=Blechnum&amp;Species=spicant&amp;SourcePage=search.php&amp;IncludeSynonyms=Y&amp;SortBy=DESC&amp;SortOrder=Year" TargetMode="External"/><Relationship Id="rId5726" Type="http://schemas.openxmlformats.org/officeDocument/2006/relationships/hyperlink" Target="http://www.burkemuseum.org/research-and-collections/botany-and-herbarium/collections/database/results.php?Genus=Equisetum&amp;Species=hyemale&amp;SourcePage=search.php&amp;IncludeSynonyms=Y&amp;SortBy=DESC&amp;SortOrder=Year" TargetMode="External"/><Relationship Id="rId198" Type="http://schemas.openxmlformats.org/officeDocument/2006/relationships/hyperlink" Target="http://biology.burke.washington.edu/herbarium/imagecollection/taxon.php?Taxon=Lysimachia%20thyrsiflora" TargetMode="External"/><Relationship Id="rId3691" Type="http://schemas.openxmlformats.org/officeDocument/2006/relationships/hyperlink" Target="https://plants.usda.gov/core/profile?symbol=ARME7" TargetMode="External"/><Relationship Id="rId4328" Type="http://schemas.openxmlformats.org/officeDocument/2006/relationships/hyperlink" Target="https://plants.usda.gov/core/profile?symbol=RONU" TargetMode="External"/><Relationship Id="rId4742" Type="http://schemas.openxmlformats.org/officeDocument/2006/relationships/hyperlink" Target="https://en.wikipedia.org/wiki/Bolboschoenus_maritimus" TargetMode="External"/><Relationship Id="rId2293" Type="http://schemas.openxmlformats.org/officeDocument/2006/relationships/hyperlink" Target="https://plants.usda.gov/core/profile?symbol=CACH40" TargetMode="External"/><Relationship Id="rId3344" Type="http://schemas.openxmlformats.org/officeDocument/2006/relationships/hyperlink" Target="http://www.burkemuseum.org/research-and-collections/botany-and-herbarium/collections/database/results.php?Genus=Shepherdia&amp;Species=canadensis&amp;SourcePage=search.php&amp;IncludeSynonyms=Y&amp;SortBy=DESC&amp;SortOrder=Year" TargetMode="External"/><Relationship Id="rId265" Type="http://schemas.openxmlformats.org/officeDocument/2006/relationships/hyperlink" Target="http://biology.burke.washington.edu/herbarium/imagecollection/taxon.php?Taxon=Potamogeton%20obtusifolius" TargetMode="External"/><Relationship Id="rId2360" Type="http://schemas.openxmlformats.org/officeDocument/2006/relationships/hyperlink" Target="http://plants.usda.gov/java/profile?symbol=BICE" TargetMode="External"/><Relationship Id="rId3411" Type="http://schemas.openxmlformats.org/officeDocument/2006/relationships/hyperlink" Target="http://www.burkemuseum.org/research-and-collections/botany-and-herbarium/collections/database/results.php?Genus=Trisetum&amp;Species=canescens&amp;SourcePage=search.php&amp;IncludeSynonyms=Y&amp;SortBy=DESC&amp;SortOrder=Year" TargetMode="External"/><Relationship Id="rId6567" Type="http://schemas.openxmlformats.org/officeDocument/2006/relationships/hyperlink" Target="http://biology.burke.washington.edu/herbarium/imagecollection/taxon.php?Taxon=Luzula%20comosa" TargetMode="External"/><Relationship Id="rId6981" Type="http://schemas.openxmlformats.org/officeDocument/2006/relationships/hyperlink" Target="http://biology.burke.washington.edu/herbarium/imagecollection/taxon.php?Taxon=Erythronium%20revolutum" TargetMode="External"/><Relationship Id="rId332" Type="http://schemas.openxmlformats.org/officeDocument/2006/relationships/hyperlink" Target="http://biology.burke.washington.edu/herbarium/imagecollectionnew/taxon.php?Taxon=Cardamine%20breweri" TargetMode="External"/><Relationship Id="rId2013" Type="http://schemas.openxmlformats.org/officeDocument/2006/relationships/hyperlink" Target="https://plants.usda.gov/core/profile?symbol=MIBO" TargetMode="External"/><Relationship Id="rId5169" Type="http://schemas.openxmlformats.org/officeDocument/2006/relationships/hyperlink" Target="https://en.wikipedia.org/wiki/Nemophila_parviflora" TargetMode="External"/><Relationship Id="rId5583" Type="http://schemas.openxmlformats.org/officeDocument/2006/relationships/hyperlink" Target="http://www.burkemuseum.org/research-and-collections/botany-and-herbarium/collections/database/results.php?Genus=Carex&amp;Species=inops&amp;SourcePage=search.php&amp;IncludeSynonyms=Y&amp;SortBy=DESC&amp;SortOrder=Year" TargetMode="External"/><Relationship Id="rId6634" Type="http://schemas.openxmlformats.org/officeDocument/2006/relationships/hyperlink" Target="http://biology.burke.washington.edu/herbarium/imagecollectionnew/taxon.php?Taxon=Symphyotrichum%20boreale" TargetMode="External"/><Relationship Id="rId4185" Type="http://schemas.openxmlformats.org/officeDocument/2006/relationships/hyperlink" Target="https://plants.usda.gov/core/profile?symbol=OXSU" TargetMode="External"/><Relationship Id="rId5236" Type="http://schemas.openxmlformats.org/officeDocument/2006/relationships/hyperlink" Target="https://en.wikipedia.org/wiki/Platanthera_elongata" TargetMode="External"/><Relationship Id="rId1779" Type="http://schemas.openxmlformats.org/officeDocument/2006/relationships/hyperlink" Target="http://plants.usda.gov/java/profile?symbol=STAM2" TargetMode="External"/><Relationship Id="rId4252" Type="http://schemas.openxmlformats.org/officeDocument/2006/relationships/hyperlink" Target="https://plants.usda.gov/core/profile?symbol=POHE3" TargetMode="External"/><Relationship Id="rId5650" Type="http://schemas.openxmlformats.org/officeDocument/2006/relationships/hyperlink" Target="http://www.burkemuseum.org/research-and-collections/botany-and-herbarium/collections/database/results.php?Genus=Collinsia&amp;Species=parviflora&amp;SourcePage=search.php&amp;IncludeSynonyms=Y&amp;SortBy=DESC&amp;SortOrder=Year" TargetMode="External"/><Relationship Id="rId6701" Type="http://schemas.openxmlformats.org/officeDocument/2006/relationships/hyperlink" Target="http://biology.burke.washington.edu/herbarium/imagecollection/taxon.php?Taxon=Perideridia%20oregana" TargetMode="External"/><Relationship Id="rId1846" Type="http://schemas.openxmlformats.org/officeDocument/2006/relationships/hyperlink" Target="http://plants.usda.gov/core/profile?symbol=SAGE2" TargetMode="External"/><Relationship Id="rId5303" Type="http://schemas.openxmlformats.org/officeDocument/2006/relationships/hyperlink" Target="https://en.wikipedia.org/wiki/Ranunculus_sceleratus" TargetMode="External"/><Relationship Id="rId1913" Type="http://schemas.openxmlformats.org/officeDocument/2006/relationships/hyperlink" Target="http://plants.usda.gov/java/profile?symbol=POPU7" TargetMode="External"/><Relationship Id="rId6077" Type="http://schemas.openxmlformats.org/officeDocument/2006/relationships/hyperlink" Target="http://www.burkemuseum.org/research-and-collections/botany-and-herbarium/collections/database/results.php?Genus=Potentilla&amp;Species=palustris&amp;SourcePage=search.php&amp;IncludeSynonyms=Y&amp;SortBy=DESC&amp;SortOrder=Year" TargetMode="External"/><Relationship Id="rId6491" Type="http://schemas.openxmlformats.org/officeDocument/2006/relationships/hyperlink" Target="http://biology.burke.washington.edu/herbarium/imagecollection/taxon.php?Taxon=Erythranthe%20guttata" TargetMode="External"/><Relationship Id="rId7128" Type="http://schemas.openxmlformats.org/officeDocument/2006/relationships/hyperlink" Target="http://biology.burke.washington.edu/herbarium/imagecollectionnew/taxon.php?Taxon=Sorbus%20scopulina" TargetMode="External"/><Relationship Id="rId2687" Type="http://schemas.openxmlformats.org/officeDocument/2006/relationships/hyperlink" Target="http://biology.burke.washington.edu/herbarium/imagecollectionnew/taxon.php?Taxon=Spiraea%20lucida" TargetMode="External"/><Relationship Id="rId3738" Type="http://schemas.openxmlformats.org/officeDocument/2006/relationships/hyperlink" Target="https://plants.usda.gov/core/profile?symbol=BRSI" TargetMode="External"/><Relationship Id="rId5093" Type="http://schemas.openxmlformats.org/officeDocument/2006/relationships/hyperlink" Target="https://en.wikipedia.org/wiki/Lonicera_utahensis" TargetMode="External"/><Relationship Id="rId6144" Type="http://schemas.openxmlformats.org/officeDocument/2006/relationships/hyperlink" Target="http://www.burkemuseum.org/research-and-collections/botany-and-herbarium/collections/database/results.php?Genus=Sagina&amp;Species=decumbens&amp;SourcePage=search.php&amp;IncludeSynonyms=Y&amp;SortBy=DESC&amp;SortOrder=Year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biology.burke.washington.edu/herbarium/imagecollection.php" TargetMode="External"/><Relationship Id="rId1" Type="http://schemas.openxmlformats.org/officeDocument/2006/relationships/hyperlink" Target="https://en.wikipedia.org/wiki/Achillea_millefoliu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L924"/>
  <sheetViews>
    <sheetView showGridLines="0" tabSelected="1" topLeftCell="A737" zoomScale="75" zoomScaleNormal="75" workbookViewId="0">
      <selection activeCell="H740" sqref="H740"/>
    </sheetView>
  </sheetViews>
  <sheetFormatPr defaultColWidth="9.109375" defaultRowHeight="15" customHeight="1" x14ac:dyDescent="0.25"/>
  <cols>
    <col min="1" max="2" width="2.6640625" style="12" customWidth="1"/>
    <col min="3" max="3" width="6" style="16" customWidth="1"/>
    <col min="4" max="5" width="6" style="91" customWidth="1"/>
    <col min="6" max="6" width="17.5546875" style="91" customWidth="1"/>
    <col min="7" max="8" width="8.77734375" style="16" customWidth="1"/>
    <col min="9" max="9" width="16.77734375" style="12" customWidth="1"/>
    <col min="10" max="10" width="15.33203125" style="12" customWidth="1"/>
    <col min="11" max="11" width="16.44140625" style="12" customWidth="1"/>
    <col min="12" max="15" width="2.77734375" style="13" hidden="1" customWidth="1"/>
    <col min="16" max="16" width="15" style="13" customWidth="1"/>
    <col min="17" max="17" width="5.44140625" style="13" customWidth="1"/>
    <col min="18" max="18" width="20.109375" style="12" customWidth="1"/>
    <col min="19" max="19" width="17.5546875" style="15" customWidth="1"/>
    <col min="20" max="20" width="6.33203125" style="15" customWidth="1"/>
    <col min="21" max="21" width="5.6640625" style="16" customWidth="1"/>
    <col min="22" max="23" width="4.6640625" style="16" customWidth="1"/>
    <col min="24" max="24" width="5.33203125" style="16" customWidth="1"/>
    <col min="25" max="25" width="6" style="16" customWidth="1"/>
    <col min="26" max="26" width="10" style="16" customWidth="1"/>
    <col min="27" max="27" width="6.88671875" style="16" customWidth="1"/>
    <col min="28" max="28" width="6.109375" style="16" customWidth="1"/>
    <col min="29" max="29" width="7.6640625" style="16" customWidth="1"/>
    <col min="30" max="30" width="7.44140625" style="16" customWidth="1"/>
    <col min="31" max="31" width="7.6640625" style="16" customWidth="1"/>
    <col min="32" max="32" width="4.6640625" style="16" customWidth="1"/>
    <col min="33" max="34" width="6.6640625" style="26" customWidth="1"/>
    <col min="35" max="35" width="6" style="16" customWidth="1"/>
    <col min="36" max="36" width="7.33203125" style="16" customWidth="1"/>
    <col min="37" max="38" width="7.5546875" style="75" customWidth="1"/>
    <col min="39" max="45" width="6.6640625" style="75" customWidth="1"/>
    <col min="46" max="50" width="6.6640625" style="79" customWidth="1"/>
    <col min="51" max="51" width="2.6640625" style="12" customWidth="1"/>
    <col min="52" max="52" width="2.6640625" style="79" customWidth="1"/>
    <col min="53" max="53" width="8.6640625" style="12" customWidth="1"/>
    <col min="54" max="54" width="2.6640625" style="79" customWidth="1"/>
    <col min="55" max="55" width="9.6640625" style="12" customWidth="1"/>
    <col min="56" max="56" width="2.6640625" style="12" customWidth="1"/>
    <col min="57" max="57" width="9.6640625" style="50" customWidth="1"/>
    <col min="58" max="58" width="2.6640625" style="12" customWidth="1"/>
    <col min="59" max="59" width="8.6640625" style="50" customWidth="1"/>
    <col min="60" max="60" width="8.6640625" style="12" customWidth="1"/>
    <col min="61" max="61" width="2.6640625" style="50" customWidth="1"/>
    <col min="62" max="63" width="8.6640625" style="12" customWidth="1"/>
    <col min="64" max="64" width="2.6640625" style="12" customWidth="1"/>
    <col min="65" max="65" width="8.6640625" style="12" customWidth="1"/>
    <col min="66" max="66" width="8.6640625" style="2" customWidth="1"/>
    <col min="67" max="67" width="2.6640625" style="2" customWidth="1"/>
    <col min="68" max="70" width="8.6640625" style="12" customWidth="1"/>
    <col min="71" max="71" width="2.6640625" style="12" customWidth="1"/>
    <col min="72" max="74" width="8.6640625" style="2" customWidth="1"/>
    <col min="75" max="75" width="8.6640625" style="12" customWidth="1"/>
    <col min="76" max="76" width="2.6640625" style="12" customWidth="1"/>
    <col min="77" max="81" width="8.6640625" style="12" customWidth="1"/>
    <col min="82" max="82" width="2.6640625" style="12" customWidth="1"/>
    <col min="83" max="84" width="8.6640625" style="12" customWidth="1"/>
    <col min="85" max="86" width="9.6640625" style="12" customWidth="1"/>
    <col min="87" max="88" width="9.6640625" style="2" customWidth="1"/>
    <col min="89" max="89" width="2.6640625" style="22" customWidth="1"/>
    <col min="90" max="90" width="10.33203125" style="50" customWidth="1"/>
    <col min="91" max="91" width="9" style="50" customWidth="1"/>
    <col min="92" max="92" width="9" style="2" customWidth="1"/>
    <col min="93" max="94" width="9.109375" customWidth="1"/>
    <col min="95" max="98" width="7.6640625" style="2" customWidth="1"/>
    <col min="99" max="99" width="9" style="1" customWidth="1"/>
    <col min="100" max="100" width="7.6640625" style="12" customWidth="1"/>
    <col min="101" max="104" width="2.6640625" style="12" customWidth="1"/>
    <col min="105" max="105" width="3.44140625" style="12" customWidth="1"/>
    <col min="106" max="106" width="28.6640625" style="12" customWidth="1"/>
    <col min="107" max="107" width="21.5546875" style="12" customWidth="1"/>
    <col min="108" max="112" width="9.109375" style="12" customWidth="1"/>
    <col min="113" max="16384" width="9.109375" style="12"/>
  </cols>
  <sheetData>
    <row r="1" spans="1:116" ht="15" customHeight="1" x14ac:dyDescent="0.25">
      <c r="A1" s="88"/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2"/>
      <c r="AK1" s="243"/>
      <c r="AL1" s="243"/>
      <c r="AM1" s="243"/>
      <c r="AN1" s="243"/>
      <c r="AO1" s="243"/>
      <c r="AP1" s="243"/>
      <c r="AQ1" s="243"/>
      <c r="AR1" s="243"/>
      <c r="AS1" s="243"/>
      <c r="AT1" s="243"/>
      <c r="AU1" s="243"/>
      <c r="AV1" s="243"/>
      <c r="AW1" s="243"/>
      <c r="AX1" s="243"/>
      <c r="AY1" s="234"/>
      <c r="AZ1" s="48"/>
      <c r="BA1" s="48"/>
      <c r="BB1" s="11"/>
      <c r="BC1" s="48"/>
      <c r="BD1" s="11"/>
      <c r="BE1" s="48"/>
      <c r="BF1" s="11"/>
      <c r="BG1" s="48"/>
      <c r="BH1" s="11"/>
      <c r="BI1" s="11"/>
      <c r="BJ1" s="11"/>
      <c r="BK1" s="11"/>
      <c r="BL1" s="27"/>
      <c r="BM1" s="27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27"/>
      <c r="CM1" s="154"/>
      <c r="CN1" s="154"/>
      <c r="CO1" s="27"/>
      <c r="CP1" s="27"/>
      <c r="CQ1" s="27"/>
      <c r="CR1" s="32"/>
      <c r="CS1" s="11"/>
      <c r="CT1" s="11"/>
      <c r="CU1" s="11"/>
      <c r="CV1" s="11"/>
      <c r="CW1" s="11"/>
      <c r="CX1" s="11"/>
      <c r="CY1" s="11"/>
      <c r="CZ1" s="11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</row>
    <row r="2" spans="1:116" ht="15" customHeight="1" x14ac:dyDescent="0.25">
      <c r="A2" s="87"/>
      <c r="B2" s="236"/>
      <c r="C2" s="32"/>
      <c r="D2" s="32"/>
      <c r="E2" s="32"/>
      <c r="K2" s="16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32"/>
      <c r="Y2" s="32"/>
      <c r="Z2" s="32"/>
      <c r="AA2" s="32"/>
      <c r="AB2" s="32"/>
      <c r="AC2" s="32"/>
      <c r="AD2" s="32"/>
      <c r="AE2" s="32"/>
      <c r="AF2" s="32"/>
      <c r="AG2" s="238"/>
      <c r="AH2" s="238"/>
      <c r="AI2" s="237"/>
      <c r="AJ2" s="32"/>
      <c r="AK2" s="239"/>
      <c r="AL2" s="239"/>
      <c r="AM2" s="239"/>
      <c r="AN2" s="240"/>
      <c r="AO2" s="241"/>
      <c r="AP2" s="241"/>
      <c r="AQ2" s="241"/>
      <c r="AR2" s="241"/>
      <c r="AS2" s="241"/>
      <c r="AT2" s="241"/>
      <c r="AU2" s="241"/>
      <c r="AV2" s="241"/>
      <c r="AW2" s="241"/>
      <c r="AX2" s="241"/>
      <c r="AY2" s="233"/>
      <c r="AZ2" s="48"/>
      <c r="BA2" s="48"/>
      <c r="BB2" s="11"/>
      <c r="BC2" s="48"/>
      <c r="BD2" s="11"/>
      <c r="BE2" s="48"/>
      <c r="BF2" s="11"/>
      <c r="BG2" s="11"/>
      <c r="BH2" s="11"/>
      <c r="BI2" s="11"/>
      <c r="BJ2" s="27"/>
      <c r="BK2" s="27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27"/>
      <c r="CK2" s="154"/>
      <c r="CL2" s="154"/>
      <c r="CM2" s="27"/>
      <c r="CN2" s="27"/>
      <c r="CO2" s="27"/>
      <c r="CP2" s="32"/>
      <c r="CQ2" s="11"/>
      <c r="CR2" s="11"/>
      <c r="CS2" s="11"/>
      <c r="CT2" s="11"/>
      <c r="CU2" s="11"/>
      <c r="CV2" s="11"/>
      <c r="CW2" s="11"/>
      <c r="CX2" s="11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</row>
    <row r="3" spans="1:116" ht="53.25" customHeight="1" x14ac:dyDescent="0.4">
      <c r="A3" s="235"/>
      <c r="B3" s="218"/>
      <c r="K3" s="16"/>
      <c r="L3" s="296" t="s">
        <v>2171</v>
      </c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  <c r="AD3" s="297"/>
      <c r="AE3" s="297"/>
      <c r="AF3" s="297"/>
      <c r="AG3" s="297"/>
      <c r="AH3" s="297"/>
      <c r="AI3" s="297"/>
      <c r="AJ3" s="297"/>
      <c r="AK3" s="297"/>
      <c r="AL3" s="297"/>
      <c r="AM3" s="297"/>
      <c r="AN3" s="297"/>
      <c r="AO3" s="297"/>
      <c r="AP3" s="297"/>
      <c r="AQ3" s="297"/>
      <c r="AR3" s="297"/>
      <c r="AS3" s="297"/>
      <c r="AT3" s="297"/>
      <c r="AU3" s="263"/>
      <c r="AV3" s="263"/>
      <c r="AW3" s="263"/>
      <c r="AX3" s="264"/>
      <c r="AY3" s="233"/>
      <c r="AZ3" s="11"/>
      <c r="BA3" s="6" t="s">
        <v>6799</v>
      </c>
      <c r="BB3" s="11"/>
      <c r="BC3" s="11"/>
      <c r="BD3" s="11"/>
      <c r="BE3" s="27"/>
      <c r="BF3" s="27"/>
      <c r="BG3" s="11"/>
      <c r="BH3" s="11"/>
      <c r="BI3" s="11"/>
      <c r="BJ3" s="27"/>
      <c r="BK3" s="27"/>
      <c r="BL3" s="11"/>
      <c r="BM3" s="11"/>
      <c r="BN3" s="11"/>
      <c r="BO3" s="11"/>
      <c r="BP3" s="27"/>
      <c r="BQ3" s="27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27"/>
      <c r="CK3" s="154"/>
      <c r="CL3" s="154"/>
      <c r="CM3" s="27"/>
      <c r="CN3" s="27"/>
      <c r="CO3" s="27"/>
      <c r="CP3" s="32"/>
      <c r="CQ3" s="11"/>
      <c r="CR3" s="11"/>
      <c r="CS3" s="11"/>
      <c r="CT3" s="11"/>
      <c r="CU3" s="11"/>
      <c r="CV3" s="11"/>
      <c r="CW3" s="11"/>
      <c r="CX3" s="11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</row>
    <row r="4" spans="1:116" ht="15" customHeight="1" x14ac:dyDescent="0.3">
      <c r="A4" s="235"/>
      <c r="B4" s="218"/>
      <c r="C4" s="284" t="s">
        <v>2496</v>
      </c>
      <c r="D4" s="285"/>
      <c r="E4" s="285"/>
      <c r="F4" s="285"/>
      <c r="G4" s="286"/>
      <c r="I4" s="265"/>
      <c r="J4" s="290" t="s">
        <v>2553</v>
      </c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  <c r="AA4" s="290"/>
      <c r="AB4" s="290"/>
      <c r="AC4" s="290"/>
      <c r="AD4" s="290"/>
      <c r="AE4" s="290"/>
      <c r="AF4" s="290"/>
      <c r="AG4" s="290"/>
      <c r="AH4" s="290"/>
      <c r="AI4" s="290"/>
      <c r="AJ4" s="290"/>
      <c r="AK4" s="290"/>
      <c r="AL4" s="290"/>
      <c r="AM4" s="290"/>
      <c r="AN4" s="290"/>
      <c r="AO4" s="290"/>
      <c r="AP4" s="290"/>
      <c r="AQ4" s="290"/>
      <c r="AR4" s="290"/>
      <c r="AS4" s="266"/>
      <c r="AT4" s="266"/>
      <c r="AU4" s="267"/>
      <c r="AV4" s="268" t="s">
        <v>2526</v>
      </c>
      <c r="AW4" s="268">
        <v>2004</v>
      </c>
      <c r="AX4" s="267"/>
      <c r="AY4" s="235"/>
      <c r="AZ4" s="11"/>
      <c r="BA4" s="139">
        <v>16</v>
      </c>
      <c r="BB4" s="11"/>
      <c r="BC4" s="11"/>
      <c r="BD4" s="11"/>
      <c r="BE4" s="6" t="s">
        <v>2848</v>
      </c>
      <c r="BF4" s="27"/>
      <c r="BG4" s="27"/>
      <c r="BH4" s="11"/>
      <c r="BI4" s="27"/>
      <c r="BJ4" s="27"/>
      <c r="BK4" s="27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48"/>
      <c r="CJ4" s="27"/>
      <c r="CK4" s="154"/>
      <c r="CL4" s="154"/>
      <c r="CM4" s="27"/>
      <c r="CN4" s="27"/>
      <c r="CO4" s="27"/>
      <c r="CP4" s="32"/>
      <c r="CQ4" s="11"/>
      <c r="CR4" s="11"/>
      <c r="CS4" s="11"/>
      <c r="CT4" s="11"/>
      <c r="CU4" s="11"/>
      <c r="CV4" s="11"/>
      <c r="CW4" s="11"/>
      <c r="CX4" s="11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</row>
    <row r="5" spans="1:116" ht="15" customHeight="1" x14ac:dyDescent="0.3">
      <c r="A5" s="235"/>
      <c r="B5" s="218"/>
      <c r="C5" s="287" t="s">
        <v>4096</v>
      </c>
      <c r="D5" s="288"/>
      <c r="E5" s="288"/>
      <c r="F5" s="288"/>
      <c r="G5" s="289"/>
      <c r="I5" s="269"/>
      <c r="J5" s="291" t="s">
        <v>2466</v>
      </c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1"/>
      <c r="AL5" s="291"/>
      <c r="AM5" s="291"/>
      <c r="AN5" s="291"/>
      <c r="AO5" s="291"/>
      <c r="AP5" s="291"/>
      <c r="AQ5" s="291"/>
      <c r="AR5" s="291"/>
      <c r="AS5" s="125"/>
      <c r="AT5" s="125"/>
      <c r="AU5" s="125"/>
      <c r="AV5" s="128" t="s">
        <v>2527</v>
      </c>
      <c r="AW5" s="128">
        <v>1983</v>
      </c>
      <c r="AX5" s="125"/>
      <c r="AY5" s="235"/>
      <c r="AZ5" s="11"/>
      <c r="BA5" s="142">
        <v>58</v>
      </c>
      <c r="BB5" s="11"/>
      <c r="BC5" s="141" t="s">
        <v>2524</v>
      </c>
      <c r="BD5" s="11"/>
      <c r="BE5" s="142">
        <f t="shared" ref="BE5:BE10" si="0">BA5-BA4</f>
        <v>42</v>
      </c>
      <c r="BF5" s="27"/>
      <c r="BG5" s="11"/>
      <c r="BH5" s="11"/>
      <c r="BI5" s="27"/>
      <c r="BJ5" s="27"/>
      <c r="BK5" s="27"/>
      <c r="BL5" s="11"/>
      <c r="BM5" s="11"/>
      <c r="BN5" s="11"/>
      <c r="BO5" s="11"/>
      <c r="BP5" s="11"/>
      <c r="BQ5" s="11"/>
      <c r="BR5" s="11"/>
      <c r="BS5" s="11"/>
      <c r="BT5" s="36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48"/>
      <c r="CJ5" s="27"/>
      <c r="CK5" s="154"/>
      <c r="CL5" s="154"/>
      <c r="CM5" s="27"/>
      <c r="CN5" s="27"/>
      <c r="CO5" s="27"/>
      <c r="CP5" s="32"/>
      <c r="CQ5" s="11"/>
      <c r="CR5" s="11"/>
      <c r="CS5" s="11"/>
      <c r="CT5" s="11"/>
      <c r="CU5" s="11"/>
      <c r="CV5" s="11"/>
      <c r="CW5" s="11"/>
      <c r="CX5" s="11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</row>
    <row r="6" spans="1:116" ht="15" customHeight="1" x14ac:dyDescent="0.3">
      <c r="A6" s="235"/>
      <c r="B6" s="218"/>
      <c r="C6" s="120"/>
      <c r="D6" s="281">
        <f>BG8-BA4</f>
        <v>451</v>
      </c>
      <c r="E6" s="292" t="s">
        <v>3179</v>
      </c>
      <c r="F6" s="292"/>
      <c r="G6" s="292"/>
      <c r="H6" s="283"/>
      <c r="I6" s="269"/>
      <c r="J6" s="291" t="s">
        <v>2168</v>
      </c>
      <c r="K6" s="291"/>
      <c r="L6" s="291"/>
      <c r="M6" s="291"/>
      <c r="N6" s="291"/>
      <c r="O6" s="291"/>
      <c r="P6" s="291"/>
      <c r="Q6" s="291"/>
      <c r="R6" s="291"/>
      <c r="S6" s="291"/>
      <c r="T6" s="291"/>
      <c r="U6" s="291"/>
      <c r="V6" s="291"/>
      <c r="W6" s="291"/>
      <c r="X6" s="291"/>
      <c r="Y6" s="291"/>
      <c r="Z6" s="291"/>
      <c r="AA6" s="291"/>
      <c r="AB6" s="291"/>
      <c r="AC6" s="291"/>
      <c r="AD6" s="291"/>
      <c r="AE6" s="291"/>
      <c r="AF6" s="291"/>
      <c r="AG6" s="291"/>
      <c r="AH6" s="291"/>
      <c r="AI6" s="291"/>
      <c r="AJ6" s="291"/>
      <c r="AK6" s="291"/>
      <c r="AL6" s="291"/>
      <c r="AM6" s="291"/>
      <c r="AN6" s="291"/>
      <c r="AO6" s="291"/>
      <c r="AP6" s="291"/>
      <c r="AQ6" s="291"/>
      <c r="AR6" s="291"/>
      <c r="AS6" s="125"/>
      <c r="AT6" s="125"/>
      <c r="AU6" s="125"/>
      <c r="AV6" s="128" t="s">
        <v>2528</v>
      </c>
      <c r="AW6" s="128">
        <v>99</v>
      </c>
      <c r="AX6" s="125"/>
      <c r="AY6" s="235"/>
      <c r="AZ6" s="11"/>
      <c r="BA6" s="142">
        <v>161</v>
      </c>
      <c r="BB6" s="11"/>
      <c r="BC6" s="143" t="s">
        <v>2454</v>
      </c>
      <c r="BD6" s="11"/>
      <c r="BE6" s="142">
        <f t="shared" si="0"/>
        <v>103</v>
      </c>
      <c r="BF6" s="27"/>
      <c r="BG6" s="11"/>
      <c r="BH6" s="11"/>
      <c r="BI6" s="27"/>
      <c r="BJ6" s="27"/>
      <c r="BK6" s="27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48"/>
      <c r="CJ6" s="27"/>
      <c r="CK6" s="154"/>
      <c r="CL6" s="154"/>
      <c r="CM6" s="27"/>
      <c r="CN6" s="27"/>
      <c r="CO6" s="27"/>
      <c r="CP6" s="32"/>
      <c r="CQ6" s="11"/>
      <c r="CR6" s="11"/>
      <c r="CS6" s="11"/>
      <c r="CT6" s="11"/>
      <c r="CU6" s="11"/>
      <c r="CV6" s="11"/>
      <c r="CW6" s="11"/>
      <c r="CX6" s="11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</row>
    <row r="7" spans="1:116" ht="15" customHeight="1" x14ac:dyDescent="0.3">
      <c r="A7" s="235"/>
      <c r="B7" s="218"/>
      <c r="C7" s="121" t="s">
        <v>525</v>
      </c>
      <c r="D7" s="281">
        <f>BG9-BG8</f>
        <v>189</v>
      </c>
      <c r="E7" s="292" t="s">
        <v>3178</v>
      </c>
      <c r="F7" s="292"/>
      <c r="G7" s="292"/>
      <c r="I7" s="269"/>
      <c r="J7" s="291" t="s">
        <v>1247</v>
      </c>
      <c r="K7" s="291"/>
      <c r="L7" s="291"/>
      <c r="M7" s="291"/>
      <c r="N7" s="291"/>
      <c r="O7" s="291"/>
      <c r="P7" s="291"/>
      <c r="Q7" s="291"/>
      <c r="R7" s="291"/>
      <c r="S7" s="291"/>
      <c r="T7" s="291"/>
      <c r="U7" s="291"/>
      <c r="V7" s="291"/>
      <c r="W7" s="291"/>
      <c r="X7" s="291"/>
      <c r="Y7" s="291"/>
      <c r="Z7" s="291"/>
      <c r="AA7" s="291"/>
      <c r="AB7" s="291"/>
      <c r="AC7" s="291"/>
      <c r="AD7" s="291"/>
      <c r="AE7" s="291"/>
      <c r="AF7" s="291"/>
      <c r="AG7" s="291"/>
      <c r="AH7" s="291"/>
      <c r="AI7" s="291"/>
      <c r="AJ7" s="291"/>
      <c r="AK7" s="291"/>
      <c r="AL7" s="291"/>
      <c r="AM7" s="291"/>
      <c r="AN7" s="291"/>
      <c r="AO7" s="291"/>
      <c r="AP7" s="291"/>
      <c r="AQ7" s="291"/>
      <c r="AR7" s="291"/>
      <c r="AS7" s="125"/>
      <c r="AT7" s="125"/>
      <c r="AU7" s="125"/>
      <c r="AV7" s="125"/>
      <c r="AW7" s="129" t="s">
        <v>525</v>
      </c>
      <c r="AX7" s="125"/>
      <c r="AY7" s="235"/>
      <c r="AZ7" s="11"/>
      <c r="BA7" s="142">
        <v>774</v>
      </c>
      <c r="BB7" s="11"/>
      <c r="BC7" s="144" t="s">
        <v>2521</v>
      </c>
      <c r="BD7" s="11"/>
      <c r="BE7" s="142">
        <f t="shared" si="0"/>
        <v>613</v>
      </c>
      <c r="BF7" s="27"/>
      <c r="BG7" s="76" t="s">
        <v>3177</v>
      </c>
      <c r="BH7" s="11"/>
      <c r="BI7" s="27"/>
      <c r="BJ7" s="27"/>
      <c r="BK7" s="27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48"/>
      <c r="CJ7" s="27"/>
      <c r="CK7" s="154"/>
      <c r="CL7" s="154"/>
      <c r="CM7" s="27"/>
      <c r="CN7" s="27"/>
      <c r="CO7" s="27"/>
      <c r="CP7" s="32"/>
      <c r="CQ7" s="11"/>
      <c r="CR7" s="11"/>
      <c r="CS7" s="11"/>
      <c r="CT7" s="11"/>
      <c r="CU7" s="11"/>
      <c r="CV7" s="11"/>
      <c r="CW7" s="11"/>
      <c r="CX7" s="11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</row>
    <row r="8" spans="1:116" ht="15" customHeight="1" x14ac:dyDescent="0.3">
      <c r="A8" s="235"/>
      <c r="B8" s="218"/>
      <c r="C8" s="117"/>
      <c r="D8" s="281">
        <f>BG10-BG9</f>
        <v>266</v>
      </c>
      <c r="E8" s="314" t="s">
        <v>3180</v>
      </c>
      <c r="F8" s="315"/>
      <c r="G8" s="316"/>
      <c r="I8" s="269"/>
      <c r="J8" s="291" t="s">
        <v>724</v>
      </c>
      <c r="K8" s="291"/>
      <c r="L8" s="291"/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  <c r="AF8" s="291"/>
      <c r="AG8" s="291"/>
      <c r="AH8" s="291"/>
      <c r="AI8" s="291"/>
      <c r="AJ8" s="291"/>
      <c r="AK8" s="291"/>
      <c r="AL8" s="291"/>
      <c r="AM8" s="291"/>
      <c r="AN8" s="291"/>
      <c r="AO8" s="291"/>
      <c r="AP8" s="291"/>
      <c r="AQ8" s="291"/>
      <c r="AR8" s="291"/>
      <c r="AS8" s="125"/>
      <c r="AT8" s="125"/>
      <c r="AU8" s="125"/>
      <c r="AV8" s="125"/>
      <c r="AW8" s="129"/>
      <c r="AX8" s="125"/>
      <c r="AY8" s="235"/>
      <c r="AZ8" s="11"/>
      <c r="BA8" s="142">
        <v>859</v>
      </c>
      <c r="BB8" s="11"/>
      <c r="BC8" s="144" t="s">
        <v>2522</v>
      </c>
      <c r="BD8" s="11"/>
      <c r="BE8" s="142">
        <f t="shared" si="0"/>
        <v>85</v>
      </c>
      <c r="BF8" s="146"/>
      <c r="BG8" s="46">
        <v>467</v>
      </c>
      <c r="BH8" s="221" t="s">
        <v>2569</v>
      </c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48"/>
      <c r="CJ8" s="27"/>
      <c r="CK8" s="154"/>
      <c r="CL8" s="154"/>
      <c r="CM8" s="27"/>
      <c r="CN8" s="27"/>
      <c r="CO8" s="27"/>
      <c r="CP8" s="32"/>
      <c r="CQ8" s="11"/>
      <c r="CR8" s="11"/>
      <c r="CS8" s="11"/>
      <c r="CT8" s="11"/>
      <c r="CU8" s="11"/>
      <c r="CV8" s="11"/>
      <c r="CW8" s="11"/>
      <c r="CX8" s="11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</row>
    <row r="9" spans="1:116" ht="15" customHeight="1" x14ac:dyDescent="0.3">
      <c r="A9" s="235"/>
      <c r="B9" s="218"/>
      <c r="C9" s="230" t="s">
        <v>4100</v>
      </c>
      <c r="D9" s="260">
        <f>SUM(D5:D8)</f>
        <v>906</v>
      </c>
      <c r="E9" s="16"/>
      <c r="F9" s="16"/>
      <c r="I9" s="269"/>
      <c r="J9" s="291" t="s">
        <v>2083</v>
      </c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125"/>
      <c r="AT9" s="125"/>
      <c r="AU9" s="125"/>
      <c r="AV9" s="125"/>
      <c r="AW9" s="129"/>
      <c r="AX9" s="125"/>
      <c r="AY9" s="235"/>
      <c r="AZ9" s="11"/>
      <c r="BA9" s="142">
        <v>916</v>
      </c>
      <c r="BB9" s="11"/>
      <c r="BC9" s="144" t="s">
        <v>2523</v>
      </c>
      <c r="BD9" s="11"/>
      <c r="BE9" s="142">
        <f t="shared" si="0"/>
        <v>57</v>
      </c>
      <c r="BF9" s="147"/>
      <c r="BG9" s="46">
        <v>656</v>
      </c>
      <c r="BH9" s="153" t="s">
        <v>3176</v>
      </c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49"/>
      <c r="CJ9" s="72" t="s">
        <v>6798</v>
      </c>
      <c r="CK9" s="154"/>
      <c r="CL9" s="154"/>
      <c r="CM9" s="27"/>
      <c r="CN9" s="27"/>
      <c r="CO9" s="27"/>
      <c r="CP9" s="32"/>
      <c r="CQ9" s="11"/>
      <c r="CR9" s="11"/>
      <c r="CS9" s="11"/>
      <c r="CT9" s="11"/>
      <c r="CU9" s="11"/>
      <c r="CV9" s="11"/>
      <c r="CW9" s="11"/>
      <c r="CX9" s="11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</row>
    <row r="10" spans="1:116" ht="15" customHeight="1" x14ac:dyDescent="0.3">
      <c r="A10" s="235"/>
      <c r="B10" s="218"/>
      <c r="I10" s="269"/>
      <c r="J10" s="291" t="s">
        <v>2732</v>
      </c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125"/>
      <c r="AT10" s="125"/>
      <c r="AU10" s="125"/>
      <c r="AV10" s="125"/>
      <c r="AW10" s="129"/>
      <c r="AX10" s="125"/>
      <c r="AY10" s="235"/>
      <c r="AZ10" s="11"/>
      <c r="BA10" s="142">
        <v>922</v>
      </c>
      <c r="BB10" s="11"/>
      <c r="BC10" s="144" t="s">
        <v>2455</v>
      </c>
      <c r="BD10" s="11"/>
      <c r="BE10" s="142">
        <f t="shared" si="0"/>
        <v>6</v>
      </c>
      <c r="BF10" s="140"/>
      <c r="BG10" s="46">
        <v>922</v>
      </c>
      <c r="BH10" s="222" t="s">
        <v>3189</v>
      </c>
      <c r="BI10" s="11"/>
      <c r="BJ10" s="327" t="s">
        <v>2563</v>
      </c>
      <c r="BK10" s="328"/>
      <c r="BL10" s="328"/>
      <c r="BM10" s="328"/>
      <c r="BN10" s="328"/>
      <c r="BO10" s="328"/>
      <c r="BP10" s="328"/>
      <c r="BQ10" s="328"/>
      <c r="BR10" s="328"/>
      <c r="BS10" s="328"/>
      <c r="BT10" s="328"/>
      <c r="BU10" s="328"/>
      <c r="BV10" s="328"/>
      <c r="BW10" s="328"/>
      <c r="BX10" s="328"/>
      <c r="BY10" s="328"/>
      <c r="BZ10" s="328"/>
      <c r="CA10" s="328"/>
      <c r="CB10" s="328"/>
      <c r="CC10" s="328"/>
      <c r="CD10" s="328"/>
      <c r="CE10" s="329"/>
      <c r="CF10" s="11"/>
      <c r="CG10" s="11"/>
      <c r="CH10" s="11"/>
      <c r="CI10" s="49"/>
      <c r="CJ10" s="72" t="s">
        <v>4099</v>
      </c>
      <c r="CK10" s="154"/>
      <c r="CL10" s="154"/>
      <c r="CM10" s="4"/>
      <c r="CN10" s="4"/>
      <c r="CO10" s="4"/>
      <c r="CP10" s="32"/>
      <c r="CQ10" s="11"/>
      <c r="CR10" s="11"/>
      <c r="CS10" s="11"/>
      <c r="CT10" s="11"/>
      <c r="CU10" s="11"/>
      <c r="CV10" s="11"/>
      <c r="CW10" s="11"/>
      <c r="CX10" s="11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</row>
    <row r="11" spans="1:116" ht="15" customHeight="1" x14ac:dyDescent="0.3">
      <c r="A11" s="235"/>
      <c r="B11" s="218"/>
      <c r="D11" s="16"/>
      <c r="E11" s="16"/>
      <c r="F11" s="287" t="s">
        <v>6790</v>
      </c>
      <c r="G11" s="289"/>
      <c r="I11" s="269"/>
      <c r="J11" s="291" t="s">
        <v>2170</v>
      </c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125"/>
      <c r="AT11" s="125"/>
      <c r="AU11" s="125"/>
      <c r="AV11" s="125"/>
      <c r="AW11" s="129"/>
      <c r="AX11" s="125"/>
      <c r="AY11" s="235"/>
      <c r="AZ11" s="11"/>
      <c r="BA11" s="11"/>
      <c r="BB11" s="11"/>
      <c r="BC11" s="150" t="s">
        <v>108</v>
      </c>
      <c r="BD11" s="11"/>
      <c r="BE11" s="150">
        <f>SUM(BE4:BE10)</f>
        <v>906</v>
      </c>
      <c r="BF11" s="27"/>
      <c r="BG11" s="151">
        <f>BG10-BA4</f>
        <v>906</v>
      </c>
      <c r="BH11" s="11"/>
      <c r="BI11" s="11"/>
      <c r="BJ11" s="27"/>
      <c r="BK11" s="11"/>
      <c r="BL11" s="11"/>
      <c r="BM11" s="11">
        <v>0.6</v>
      </c>
      <c r="BN11" s="11"/>
      <c r="BO11" s="11"/>
      <c r="BP11" s="11"/>
      <c r="BQ11" s="11">
        <v>0.3</v>
      </c>
      <c r="BR11" s="11"/>
      <c r="BS11" s="11"/>
      <c r="BT11" s="11"/>
      <c r="BU11" s="11">
        <v>0.08</v>
      </c>
      <c r="BV11" s="11"/>
      <c r="BW11" s="11"/>
      <c r="BX11" s="11"/>
      <c r="BY11" s="11"/>
      <c r="BZ11" s="11"/>
      <c r="CA11" s="11">
        <v>0.02</v>
      </c>
      <c r="CB11" s="11"/>
      <c r="CC11" s="11"/>
      <c r="CD11" s="36" t="s">
        <v>2564</v>
      </c>
      <c r="CE11" s="152">
        <f>SUM(BI11:CC11)</f>
        <v>0.99999999999999989</v>
      </c>
      <c r="CF11" s="11"/>
      <c r="CG11" s="11"/>
      <c r="CH11" s="11"/>
      <c r="CI11" s="49"/>
      <c r="CJ11" s="73" t="s">
        <v>2458</v>
      </c>
      <c r="CK11" s="154"/>
      <c r="CL11" s="154"/>
      <c r="CM11" s="4"/>
      <c r="CN11" s="4"/>
      <c r="CO11" s="4"/>
      <c r="CP11" s="27"/>
      <c r="CQ11" s="32"/>
      <c r="CR11" s="11"/>
      <c r="CS11" s="11"/>
      <c r="CT11" s="11"/>
      <c r="CU11" s="11"/>
      <c r="CV11" s="11"/>
      <c r="CW11" s="11"/>
      <c r="CX11" s="11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</row>
    <row r="12" spans="1:116" ht="15" customHeight="1" x14ac:dyDescent="0.3">
      <c r="A12" s="235"/>
      <c r="B12" s="218"/>
      <c r="D12" s="16"/>
      <c r="E12" s="16"/>
      <c r="F12" s="227">
        <v>0</v>
      </c>
      <c r="G12" s="278" t="s">
        <v>4097</v>
      </c>
      <c r="I12" s="269"/>
      <c r="J12" s="291" t="s">
        <v>2550</v>
      </c>
      <c r="K12" s="291"/>
      <c r="L12" s="291"/>
      <c r="M12" s="291"/>
      <c r="N12" s="291"/>
      <c r="O12" s="291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  <c r="AA12" s="303"/>
      <c r="AB12" s="303"/>
      <c r="AC12" s="303"/>
      <c r="AD12" s="303"/>
      <c r="AE12" s="303"/>
      <c r="AF12" s="303"/>
      <c r="AG12" s="303"/>
      <c r="AH12" s="303"/>
      <c r="AI12" s="303"/>
      <c r="AJ12" s="303"/>
      <c r="AK12" s="303"/>
      <c r="AL12" s="303"/>
      <c r="AM12" s="303"/>
      <c r="AN12" s="303"/>
      <c r="AO12" s="303"/>
      <c r="AP12" s="303"/>
      <c r="AQ12" s="303"/>
      <c r="AR12" s="303"/>
      <c r="AS12" s="270"/>
      <c r="AT12" s="270"/>
      <c r="AU12" s="271"/>
      <c r="AV12" s="271"/>
      <c r="AW12" s="272"/>
      <c r="AX12" s="271"/>
      <c r="AY12" s="235"/>
      <c r="AZ12" s="11"/>
      <c r="BA12" s="11"/>
      <c r="BB12" s="11"/>
      <c r="BC12" s="11"/>
      <c r="BD12" s="11"/>
      <c r="BE12" s="27"/>
      <c r="BF12" s="11"/>
      <c r="BG12" s="12"/>
      <c r="BH12" s="11"/>
      <c r="BI12" s="11"/>
      <c r="BJ12" s="330" t="s">
        <v>2562</v>
      </c>
      <c r="BK12" s="331"/>
      <c r="BL12" s="331"/>
      <c r="BM12" s="331"/>
      <c r="BN12" s="332"/>
      <c r="BO12" s="11"/>
      <c r="BP12" s="295" t="s">
        <v>2529</v>
      </c>
      <c r="BQ12" s="293"/>
      <c r="BR12" s="294"/>
      <c r="BS12" s="11"/>
      <c r="BT12" s="295" t="s">
        <v>2538</v>
      </c>
      <c r="BU12" s="293"/>
      <c r="BV12" s="293"/>
      <c r="BW12" s="294"/>
      <c r="BX12" s="11"/>
      <c r="BY12" s="295" t="s">
        <v>2561</v>
      </c>
      <c r="BZ12" s="293"/>
      <c r="CA12" s="293"/>
      <c r="CB12" s="293"/>
      <c r="CC12" s="294"/>
      <c r="CD12" s="11"/>
      <c r="CE12" s="11"/>
      <c r="CF12" s="11"/>
      <c r="CG12" s="11"/>
      <c r="CH12" s="11"/>
      <c r="CI12" s="49"/>
      <c r="CJ12" s="72" t="s">
        <v>2456</v>
      </c>
      <c r="CK12" s="154"/>
      <c r="CL12" s="154"/>
      <c r="CM12" s="4"/>
      <c r="CN12" s="4"/>
      <c r="CO12" s="4"/>
      <c r="CP12" s="4"/>
      <c r="CQ12" s="4"/>
      <c r="CR12" s="4"/>
      <c r="CS12" s="11"/>
      <c r="CT12" s="11"/>
      <c r="CU12" s="11"/>
      <c r="CV12" s="11"/>
      <c r="CW12" s="11"/>
      <c r="CX12" s="11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</row>
    <row r="13" spans="1:116" ht="15" customHeight="1" x14ac:dyDescent="0.25">
      <c r="A13" s="235"/>
      <c r="B13" s="218"/>
      <c r="C13" s="261">
        <f ca="1">TODAY()</f>
        <v>43534</v>
      </c>
      <c r="D13" s="282" t="s">
        <v>6797</v>
      </c>
      <c r="E13" s="16"/>
      <c r="F13" s="223">
        <f ca="1">G13/G14</f>
        <v>0</v>
      </c>
      <c r="G13" s="279">
        <f ca="1">COUNTIF($F$17:$F$922,F14)</f>
        <v>0</v>
      </c>
      <c r="I13" s="155" t="s">
        <v>2733</v>
      </c>
      <c r="J13" s="275"/>
      <c r="K13" s="274"/>
      <c r="L13" s="276"/>
      <c r="M13" s="275"/>
      <c r="N13" s="275"/>
      <c r="O13" s="275"/>
      <c r="P13" s="311" t="s">
        <v>1149</v>
      </c>
      <c r="Q13" s="312"/>
      <c r="R13" s="313"/>
      <c r="S13" s="74" t="s">
        <v>1150</v>
      </c>
      <c r="T13" s="304" t="s">
        <v>1147</v>
      </c>
      <c r="U13" s="305"/>
      <c r="V13" s="305"/>
      <c r="W13" s="305"/>
      <c r="X13" s="305"/>
      <c r="Y13" s="305"/>
      <c r="Z13" s="305"/>
      <c r="AA13" s="305"/>
      <c r="AB13" s="305"/>
      <c r="AC13" s="359" t="s">
        <v>6800</v>
      </c>
      <c r="AD13" s="360"/>
      <c r="AE13" s="360"/>
      <c r="AF13" s="360"/>
      <c r="AG13" s="360"/>
      <c r="AH13" s="360"/>
      <c r="AI13" s="361"/>
      <c r="AJ13" s="301" t="s">
        <v>1151</v>
      </c>
      <c r="AK13" s="302"/>
      <c r="AL13" s="302"/>
      <c r="AM13" s="298" t="s">
        <v>4095</v>
      </c>
      <c r="AN13" s="299"/>
      <c r="AO13" s="299"/>
      <c r="AP13" s="299"/>
      <c r="AQ13" s="299"/>
      <c r="AR13" s="299"/>
      <c r="AS13" s="299"/>
      <c r="AT13" s="299"/>
      <c r="AU13" s="299"/>
      <c r="AV13" s="299"/>
      <c r="AW13" s="299"/>
      <c r="AX13" s="300"/>
      <c r="AY13" s="233"/>
      <c r="AZ13" s="11"/>
      <c r="BA13" s="145"/>
      <c r="BB13" s="11"/>
      <c r="BC13" s="71" t="s">
        <v>1392</v>
      </c>
      <c r="BD13" s="11"/>
      <c r="BE13" s="46">
        <f ca="1">YEAR($C$13)</f>
        <v>2019</v>
      </c>
      <c r="BF13" s="11"/>
      <c r="BG13" s="135" t="s">
        <v>2590</v>
      </c>
      <c r="BH13" s="136"/>
      <c r="BI13" s="11"/>
      <c r="BJ13" s="27"/>
      <c r="BK13" s="11"/>
      <c r="BL13" s="91" t="s">
        <v>2565</v>
      </c>
      <c r="BM13" s="11"/>
      <c r="BN13" s="11"/>
      <c r="BO13" s="11"/>
      <c r="BP13" s="11"/>
      <c r="BQ13" s="76" t="s">
        <v>2566</v>
      </c>
      <c r="BR13" s="11"/>
      <c r="BS13" s="11"/>
      <c r="BT13" s="11"/>
      <c r="BU13" s="91"/>
      <c r="BV13" s="6" t="s">
        <v>2568</v>
      </c>
      <c r="BW13" s="11"/>
      <c r="BX13" s="11"/>
      <c r="BY13" s="11"/>
      <c r="BZ13" s="11"/>
      <c r="CA13" s="76" t="s">
        <v>2567</v>
      </c>
      <c r="CB13" s="11"/>
      <c r="CC13" s="11"/>
      <c r="CD13" s="11"/>
      <c r="CE13" s="11"/>
      <c r="CF13" s="11"/>
      <c r="CG13" s="11"/>
      <c r="CH13" s="11"/>
      <c r="CI13" s="81"/>
      <c r="CJ13" s="72" t="s">
        <v>2457</v>
      </c>
      <c r="CK13" s="154"/>
      <c r="CL13" s="154"/>
      <c r="CM13" s="4"/>
      <c r="CN13" s="4"/>
      <c r="CO13" s="4"/>
      <c r="CP13" s="4"/>
      <c r="CQ13" s="4"/>
      <c r="CR13" s="4"/>
      <c r="CS13" s="4"/>
      <c r="CT13" s="11"/>
      <c r="CU13" s="11"/>
      <c r="CV13" s="11"/>
      <c r="CW13" s="11"/>
      <c r="CX13" s="11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</row>
    <row r="14" spans="1:116" ht="15" customHeight="1" x14ac:dyDescent="0.25">
      <c r="A14" s="235"/>
      <c r="B14" s="218"/>
      <c r="C14" s="262" t="s">
        <v>2520</v>
      </c>
      <c r="D14" s="262" t="s">
        <v>2513</v>
      </c>
      <c r="E14" s="262" t="s">
        <v>2514</v>
      </c>
      <c r="F14" s="224" t="s">
        <v>3181</v>
      </c>
      <c r="G14" s="280">
        <f>D9</f>
        <v>906</v>
      </c>
      <c r="H14" s="229"/>
      <c r="I14" s="406" t="s">
        <v>2169</v>
      </c>
      <c r="J14" s="44"/>
      <c r="K14" s="44"/>
      <c r="L14" s="28"/>
      <c r="M14" s="44"/>
      <c r="N14" s="44"/>
      <c r="O14" s="44"/>
      <c r="P14" s="308" t="s">
        <v>1148</v>
      </c>
      <c r="Q14" s="309"/>
      <c r="R14" s="309"/>
      <c r="S14" s="310"/>
      <c r="T14" s="311" t="s">
        <v>2494</v>
      </c>
      <c r="U14" s="312"/>
      <c r="V14" s="312"/>
      <c r="W14" s="312"/>
      <c r="X14" s="312"/>
      <c r="Y14" s="312"/>
      <c r="Z14" s="312"/>
      <c r="AA14" s="312"/>
      <c r="AB14" s="313"/>
      <c r="AC14" s="306" t="s">
        <v>2575</v>
      </c>
      <c r="AD14" s="307"/>
      <c r="AE14" s="317" t="s">
        <v>1152</v>
      </c>
      <c r="AF14" s="317"/>
      <c r="AG14" s="317"/>
      <c r="AH14" s="317"/>
      <c r="AI14" s="318"/>
      <c r="AJ14" s="326" t="s">
        <v>2576</v>
      </c>
      <c r="AK14" s="326"/>
      <c r="AL14" s="295"/>
      <c r="AM14" s="324" t="s">
        <v>2491</v>
      </c>
      <c r="AN14" s="325"/>
      <c r="AO14" s="325"/>
      <c r="AP14" s="325"/>
      <c r="AQ14" s="319" t="s">
        <v>2492</v>
      </c>
      <c r="AR14" s="320"/>
      <c r="AS14" s="320"/>
      <c r="AT14" s="320"/>
      <c r="AU14" s="321" t="s">
        <v>2493</v>
      </c>
      <c r="AV14" s="322"/>
      <c r="AW14" s="322"/>
      <c r="AX14" s="323"/>
      <c r="AY14" s="233"/>
      <c r="AZ14" s="11"/>
      <c r="BA14" s="23"/>
      <c r="BB14" s="11"/>
      <c r="BC14" s="23"/>
      <c r="BD14" s="11"/>
      <c r="BE14" s="47">
        <f>IF(F12&lt;0,0,F12)</f>
        <v>0</v>
      </c>
      <c r="BF14" s="11"/>
      <c r="BG14" s="47">
        <f>IF(BE14&gt;14,14,BE14)</f>
        <v>0</v>
      </c>
      <c r="BH14" s="138">
        <f>(15-BG14)/15</f>
        <v>1</v>
      </c>
      <c r="BI14" s="11"/>
      <c r="BJ14" s="23"/>
      <c r="BK14" s="23"/>
      <c r="BL14" s="11"/>
      <c r="BM14" s="11"/>
      <c r="BN14" s="11"/>
      <c r="BO14" s="11"/>
      <c r="BP14" s="27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27"/>
      <c r="CF14" s="27"/>
      <c r="CG14" s="31"/>
      <c r="CH14" s="23" t="s">
        <v>525</v>
      </c>
      <c r="CI14" s="23"/>
      <c r="CJ14" s="72" t="s">
        <v>2464</v>
      </c>
      <c r="CK14" s="154"/>
      <c r="CL14" s="154"/>
      <c r="CM14" s="4"/>
      <c r="CN14" s="4"/>
      <c r="CO14" s="4"/>
      <c r="CP14" s="4"/>
      <c r="CQ14" s="4"/>
      <c r="CR14" s="4"/>
      <c r="CS14" s="11"/>
      <c r="CT14" s="11"/>
      <c r="CU14" s="11"/>
      <c r="CV14" s="11"/>
      <c r="CW14" s="11"/>
      <c r="CX14" s="11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</row>
    <row r="15" spans="1:116" ht="15" customHeight="1" x14ac:dyDescent="0.25">
      <c r="A15" s="235"/>
      <c r="B15" s="218"/>
      <c r="C15" s="381">
        <v>10</v>
      </c>
      <c r="D15" s="382">
        <f>F12+50</f>
        <v>50</v>
      </c>
      <c r="E15" s="383">
        <f>F12+95</f>
        <v>95</v>
      </c>
      <c r="I15" s="407" t="s">
        <v>2734</v>
      </c>
      <c r="J15" s="44"/>
      <c r="K15" s="44"/>
      <c r="L15" s="28"/>
      <c r="M15" s="44"/>
      <c r="N15" s="44"/>
      <c r="O15" s="44"/>
      <c r="P15" s="275"/>
      <c r="Q15" s="384"/>
      <c r="R15" s="385"/>
      <c r="S15" s="277" t="s">
        <v>2516</v>
      </c>
      <c r="T15" s="386" t="s">
        <v>2515</v>
      </c>
      <c r="U15" s="386"/>
      <c r="V15" s="387"/>
      <c r="W15" s="157" t="s">
        <v>6791</v>
      </c>
      <c r="X15" s="388" t="s">
        <v>2554</v>
      </c>
      <c r="Y15" s="387"/>
      <c r="Z15" s="102" t="s">
        <v>2517</v>
      </c>
      <c r="AA15" s="388" t="s">
        <v>2510</v>
      </c>
      <c r="AB15" s="387"/>
      <c r="AC15" s="389" t="s">
        <v>2572</v>
      </c>
      <c r="AD15" s="390"/>
      <c r="AE15" s="391" t="s">
        <v>2462</v>
      </c>
      <c r="AF15" s="391"/>
      <c r="AG15" s="391"/>
      <c r="AH15" s="391"/>
      <c r="AI15" s="391"/>
      <c r="AJ15" s="392" t="s">
        <v>2591</v>
      </c>
      <c r="AK15" s="392"/>
      <c r="AL15" s="388"/>
      <c r="AM15" s="324" t="s">
        <v>2735</v>
      </c>
      <c r="AN15" s="325"/>
      <c r="AO15" s="325"/>
      <c r="AP15" s="325"/>
      <c r="AQ15" s="319" t="s">
        <v>2735</v>
      </c>
      <c r="AR15" s="320"/>
      <c r="AS15" s="320"/>
      <c r="AT15" s="320"/>
      <c r="AU15" s="321" t="s">
        <v>2735</v>
      </c>
      <c r="AV15" s="322"/>
      <c r="AW15" s="322"/>
      <c r="AX15" s="323"/>
      <c r="AY15" s="233"/>
      <c r="AZ15" s="11"/>
      <c r="BA15" s="101" t="s">
        <v>2541</v>
      </c>
      <c r="BB15" s="11"/>
      <c r="BC15" s="101" t="s">
        <v>2541</v>
      </c>
      <c r="BD15" s="11"/>
      <c r="BE15" s="101" t="s">
        <v>2540</v>
      </c>
      <c r="BF15" s="11"/>
      <c r="BG15" s="135" t="s">
        <v>2736</v>
      </c>
      <c r="BH15" s="136"/>
      <c r="BI15" s="11"/>
      <c r="BJ15" s="295" t="s">
        <v>2534</v>
      </c>
      <c r="BK15" s="294"/>
      <c r="BL15" s="11"/>
      <c r="BM15" s="295" t="s">
        <v>2546</v>
      </c>
      <c r="BN15" s="294"/>
      <c r="BO15" s="11"/>
      <c r="BP15" s="295" t="s">
        <v>2529</v>
      </c>
      <c r="BQ15" s="293"/>
      <c r="BR15" s="294"/>
      <c r="BS15" s="11"/>
      <c r="BT15" s="295" t="s">
        <v>2538</v>
      </c>
      <c r="BU15" s="293"/>
      <c r="BV15" s="293"/>
      <c r="BW15" s="294"/>
      <c r="BX15" s="11"/>
      <c r="BY15" s="11"/>
      <c r="BZ15" s="11"/>
      <c r="CA15" s="11"/>
      <c r="CB15" s="11"/>
      <c r="CC15" s="11"/>
      <c r="CD15" s="11"/>
      <c r="CE15" s="333" t="s">
        <v>2533</v>
      </c>
      <c r="CF15" s="334"/>
      <c r="CG15" s="334"/>
      <c r="CH15" s="335"/>
      <c r="CI15" s="49"/>
      <c r="CJ15" s="72" t="s">
        <v>2465</v>
      </c>
      <c r="CK15" s="154"/>
      <c r="CL15" s="154"/>
      <c r="CM15" s="4"/>
      <c r="CN15" s="4"/>
      <c r="CO15" s="4"/>
      <c r="CP15" s="4"/>
      <c r="CQ15" s="4"/>
      <c r="CR15" s="4"/>
      <c r="CS15" s="11"/>
      <c r="CT15" s="11"/>
      <c r="CU15" s="11"/>
      <c r="CV15" s="11"/>
      <c r="CW15" s="11"/>
      <c r="CX15" s="11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</row>
    <row r="16" spans="1:116" s="259" customFormat="1" ht="15" customHeight="1" x14ac:dyDescent="0.25">
      <c r="A16" s="244"/>
      <c r="B16" s="245"/>
      <c r="C16" s="246" t="s">
        <v>2536</v>
      </c>
      <c r="D16" s="247" t="s">
        <v>109</v>
      </c>
      <c r="E16" s="247" t="s">
        <v>3182</v>
      </c>
      <c r="F16" s="231" t="s">
        <v>4098</v>
      </c>
      <c r="G16" s="249" t="s">
        <v>6796</v>
      </c>
      <c r="H16" s="249" t="s">
        <v>3466</v>
      </c>
      <c r="I16" s="247" t="s">
        <v>3467</v>
      </c>
      <c r="J16" s="247" t="s">
        <v>3469</v>
      </c>
      <c r="K16" s="247" t="s">
        <v>3468</v>
      </c>
      <c r="L16" s="249" t="s">
        <v>3471</v>
      </c>
      <c r="M16" s="247" t="s">
        <v>3472</v>
      </c>
      <c r="N16" s="247" t="s">
        <v>3473</v>
      </c>
      <c r="O16" s="247" t="s">
        <v>3465</v>
      </c>
      <c r="P16" s="247" t="s">
        <v>519</v>
      </c>
      <c r="Q16" s="247" t="s">
        <v>2551</v>
      </c>
      <c r="R16" s="247" t="s">
        <v>2460</v>
      </c>
      <c r="S16" s="247" t="s">
        <v>2307</v>
      </c>
      <c r="T16" s="247" t="s">
        <v>2512</v>
      </c>
      <c r="U16" s="247" t="s">
        <v>2513</v>
      </c>
      <c r="V16" s="247" t="s">
        <v>2514</v>
      </c>
      <c r="W16" s="247" t="s">
        <v>2832</v>
      </c>
      <c r="X16" s="247" t="s">
        <v>2555</v>
      </c>
      <c r="Y16" s="247" t="s">
        <v>2556</v>
      </c>
      <c r="Z16" s="247" t="s">
        <v>2509</v>
      </c>
      <c r="AA16" s="247" t="s">
        <v>109</v>
      </c>
      <c r="AB16" s="247" t="s">
        <v>2511</v>
      </c>
      <c r="AC16" s="393" t="s">
        <v>2573</v>
      </c>
      <c r="AD16" s="393" t="s">
        <v>2574</v>
      </c>
      <c r="AE16" s="251" t="s">
        <v>2471</v>
      </c>
      <c r="AF16" s="251" t="s">
        <v>6792</v>
      </c>
      <c r="AG16" s="251" t="s">
        <v>6793</v>
      </c>
      <c r="AH16" s="251" t="s">
        <v>6794</v>
      </c>
      <c r="AI16" s="251" t="s">
        <v>6795</v>
      </c>
      <c r="AJ16" s="247" t="s">
        <v>1736</v>
      </c>
      <c r="AK16" s="247" t="s">
        <v>2467</v>
      </c>
      <c r="AL16" s="247" t="s">
        <v>2468</v>
      </c>
      <c r="AM16" s="394" t="s">
        <v>2470</v>
      </c>
      <c r="AN16" s="394" t="s">
        <v>110</v>
      </c>
      <c r="AO16" s="394" t="s">
        <v>2469</v>
      </c>
      <c r="AP16" s="394" t="s">
        <v>2463</v>
      </c>
      <c r="AQ16" s="395" t="s">
        <v>2470</v>
      </c>
      <c r="AR16" s="395" t="s">
        <v>110</v>
      </c>
      <c r="AS16" s="395" t="s">
        <v>2469</v>
      </c>
      <c r="AT16" s="395" t="s">
        <v>2463</v>
      </c>
      <c r="AU16" s="396" t="s">
        <v>2470</v>
      </c>
      <c r="AV16" s="396" t="s">
        <v>110</v>
      </c>
      <c r="AW16" s="396" t="s">
        <v>2469</v>
      </c>
      <c r="AX16" s="396" t="s">
        <v>2463</v>
      </c>
      <c r="AY16" s="252"/>
      <c r="AZ16" s="253"/>
      <c r="BA16" s="250" t="s">
        <v>2549</v>
      </c>
      <c r="BB16" s="253"/>
      <c r="BC16" s="250" t="s">
        <v>2542</v>
      </c>
      <c r="BD16" s="253"/>
      <c r="BE16" s="250" t="s">
        <v>1392</v>
      </c>
      <c r="BF16" s="253"/>
      <c r="BG16" s="254" t="s">
        <v>2545</v>
      </c>
      <c r="BH16" s="254" t="s">
        <v>2539</v>
      </c>
      <c r="BI16" s="253"/>
      <c r="BJ16" s="254" t="s">
        <v>1736</v>
      </c>
      <c r="BK16" s="254" t="s">
        <v>2535</v>
      </c>
      <c r="BL16" s="253"/>
      <c r="BM16" s="250" t="s">
        <v>2547</v>
      </c>
      <c r="BN16" s="247" t="s">
        <v>2548</v>
      </c>
      <c r="BO16" s="253"/>
      <c r="BP16" s="247" t="s">
        <v>2467</v>
      </c>
      <c r="BQ16" s="247" t="s">
        <v>1736</v>
      </c>
      <c r="BR16" s="247" t="s">
        <v>2468</v>
      </c>
      <c r="BS16" s="253"/>
      <c r="BT16" s="251" t="s">
        <v>2472</v>
      </c>
      <c r="BU16" s="251" t="s">
        <v>2473</v>
      </c>
      <c r="BV16" s="254" t="s">
        <v>2471</v>
      </c>
      <c r="BW16" s="254" t="s">
        <v>2461</v>
      </c>
      <c r="BX16" s="253"/>
      <c r="BY16" s="248" t="s">
        <v>2532</v>
      </c>
      <c r="BZ16" s="248" t="s">
        <v>2531</v>
      </c>
      <c r="CA16" s="248" t="s">
        <v>109</v>
      </c>
      <c r="CB16" s="248" t="s">
        <v>2474</v>
      </c>
      <c r="CC16" s="255" t="s">
        <v>2307</v>
      </c>
      <c r="CD16" s="253"/>
      <c r="CE16" s="256" t="s">
        <v>2531</v>
      </c>
      <c r="CF16" s="256" t="s">
        <v>2537</v>
      </c>
      <c r="CG16" s="256" t="s">
        <v>2543</v>
      </c>
      <c r="CH16" s="256" t="s">
        <v>2544</v>
      </c>
      <c r="CI16" s="253"/>
      <c r="CJ16" s="273" t="s">
        <v>2570</v>
      </c>
      <c r="CK16" s="257"/>
      <c r="CL16" s="257"/>
      <c r="CM16" s="257"/>
      <c r="CN16" s="257"/>
      <c r="CO16" s="257"/>
      <c r="CP16" s="257"/>
      <c r="CQ16" s="257"/>
      <c r="CR16" s="257"/>
      <c r="CS16" s="258"/>
      <c r="CT16" s="257"/>
      <c r="CU16" s="253"/>
      <c r="CV16" s="253"/>
      <c r="CW16" s="253"/>
      <c r="CX16" s="253"/>
      <c r="CY16" s="257"/>
      <c r="CZ16" s="257"/>
      <c r="DA16" s="257"/>
      <c r="DB16" s="257"/>
      <c r="DC16" s="257"/>
      <c r="DD16" s="257"/>
      <c r="DE16" s="257"/>
      <c r="DF16" s="257"/>
      <c r="DG16" s="257"/>
      <c r="DH16" s="257"/>
      <c r="DI16" s="257"/>
      <c r="DJ16" s="257"/>
    </row>
    <row r="17" spans="1:115" s="13" customFormat="1" ht="15" customHeight="1" x14ac:dyDescent="0.3">
      <c r="A17" s="235"/>
      <c r="B17" s="218"/>
      <c r="C17" s="225">
        <v>8</v>
      </c>
      <c r="D17" s="59" t="s">
        <v>2507</v>
      </c>
      <c r="E17" s="59" t="s">
        <v>2504</v>
      </c>
      <c r="F17" s="397" t="str">
        <f ca="1">IF(BC17&lt;2025, "Extinct&lt; 6Yrs?",BA17)</f>
        <v>Abundant</v>
      </c>
      <c r="G17" s="363" t="s">
        <v>525</v>
      </c>
      <c r="H17" s="363" t="s">
        <v>679</v>
      </c>
      <c r="I17" s="366" t="s">
        <v>1836</v>
      </c>
      <c r="J17" s="365" t="s">
        <v>3190</v>
      </c>
      <c r="K17" s="365" t="s">
        <v>701</v>
      </c>
      <c r="L17" s="10" t="s">
        <v>1718</v>
      </c>
      <c r="M17" s="8" t="s">
        <v>3457</v>
      </c>
      <c r="N17" s="8" t="s">
        <v>3470</v>
      </c>
      <c r="O17" s="8" t="s">
        <v>3456</v>
      </c>
      <c r="P17" s="9" t="s">
        <v>520</v>
      </c>
      <c r="Q17" s="59" t="s">
        <v>2557</v>
      </c>
      <c r="R17" s="160" t="s">
        <v>2530</v>
      </c>
      <c r="S17" s="9" t="s">
        <v>2459</v>
      </c>
      <c r="T17" s="123" t="str">
        <f>IF(R17="Bogs Ponds Streams","20",IF(R17="Coastal Areas","26",IF(R17="Meadows Dry Open","10",IF(R17="Forest &amp; Understory","14",IF(R17="Moist Open","12",IF(R17="Moist Shady","10",IF(R17="Sub-Alpine Slopes","0")))))))</f>
        <v>14</v>
      </c>
      <c r="U17" s="123" t="str">
        <f>IF(R17="Bogs Ponds Streams","52",IF(R17="Coastal Areas","51",IF(R17="Meadows Dry Open","53",IF(R17="Forest &amp; Understory","52",IF(R17="Moist Open","50",IF(R17="Moist Shady","46",IF(R17="Sub-Alpine Slopes","40")))))))</f>
        <v>52</v>
      </c>
      <c r="V17" s="123" t="str">
        <f>IF(R17="Bogs Ponds Streams","84",IF(R17="Coastal Areas","76",IF(R17="Meadows Dry Open","96", IF(R17="Forest &amp; Understory","90", IF(R17="Moist Open","88", IF(R17="Moist Shady","82", IF(R17="Sub-Alpine Slopes","80")))))))</f>
        <v>90</v>
      </c>
      <c r="W17" s="59">
        <v>200</v>
      </c>
      <c r="X17" s="59">
        <v>1000</v>
      </c>
      <c r="Y17" s="59">
        <v>5600</v>
      </c>
      <c r="Z17" s="59" t="s">
        <v>2519</v>
      </c>
      <c r="AA17" s="59" t="s">
        <v>2518</v>
      </c>
      <c r="AB17" s="59">
        <v>6.8</v>
      </c>
      <c r="AC17" s="45">
        <f>C17+AK17+(0.1)*AL17</f>
        <v>107.7</v>
      </c>
      <c r="AD17" s="77">
        <v>63</v>
      </c>
      <c r="AE17" s="59">
        <v>5</v>
      </c>
      <c r="AF17" s="59">
        <v>5</v>
      </c>
      <c r="AG17" s="59">
        <v>1904</v>
      </c>
      <c r="AH17" s="77">
        <v>1957</v>
      </c>
      <c r="AI17" s="59">
        <v>2016</v>
      </c>
      <c r="AJ17" s="18">
        <v>2014</v>
      </c>
      <c r="AK17" s="18">
        <v>99</v>
      </c>
      <c r="AL17" s="18">
        <v>7</v>
      </c>
      <c r="AM17" s="18">
        <v>1</v>
      </c>
      <c r="AN17" s="18">
        <v>1</v>
      </c>
      <c r="AO17" s="18">
        <v>1</v>
      </c>
      <c r="AP17" s="18">
        <v>1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233"/>
      <c r="AZ17" s="4"/>
      <c r="BA17" s="35" t="str">
        <f ca="1">IF(OR(S17="North America",S17="Rocky Mountain"), "Widespread",BC17)</f>
        <v>Abundant</v>
      </c>
      <c r="BB17" s="4"/>
      <c r="BC17" s="35" t="str">
        <f ca="1">IF(BE17&gt;2046, "Abundant",BE17)</f>
        <v>Abundant</v>
      </c>
      <c r="BD17" s="4" t="s">
        <v>525</v>
      </c>
      <c r="BE17" s="81">
        <f ca="1">YEAR($C$13)+(BG17*80)</f>
        <v>2124.5317333333332</v>
      </c>
      <c r="BF17" s="4" t="s">
        <v>525</v>
      </c>
      <c r="BG17" s="137">
        <f ca="1">BH17*$BH$14</f>
        <v>1.3191466666666665</v>
      </c>
      <c r="BH17" s="137">
        <f ca="1">(((BJ17+BK17+BM17+BN17)/4)*$BM$11)+(((BP17+BQ17)/2)*$BQ$11)+(((BU17+BV17+BW17)/3)*$BU$11)+(((BY17+BZ17+CA17+CB17+CC17)/5)*$CA$11)</f>
        <v>1.3191466666666665</v>
      </c>
      <c r="BI17" s="4" t="s">
        <v>525</v>
      </c>
      <c r="BJ17" s="33">
        <f>AP17/(AM17+AO17)</f>
        <v>0.5</v>
      </c>
      <c r="BK17" s="33">
        <f>(AN17+AO17)/(AM17+AO17)</f>
        <v>1</v>
      </c>
      <c r="BL17" s="4" t="s">
        <v>525</v>
      </c>
      <c r="BM17" s="127">
        <f>CF17/102</f>
        <v>1</v>
      </c>
      <c r="BN17" s="127">
        <f>C17/2</f>
        <v>4</v>
      </c>
      <c r="BO17" s="4" t="s">
        <v>525</v>
      </c>
      <c r="BP17" s="127">
        <f>(AK17)/($AW$6)</f>
        <v>1</v>
      </c>
      <c r="BQ17" s="127">
        <f ca="1">(CH17-$AW$4)/((YEAR($C$13))-$AW$4)</f>
        <v>0.66666666666666663</v>
      </c>
      <c r="BR17" s="127">
        <f>(AL17)/($AW$6)</f>
        <v>7.0707070707070704E-2</v>
      </c>
      <c r="BS17" s="4"/>
      <c r="BT17" s="127"/>
      <c r="BU17" s="127">
        <f ca="1">(CG17-$AW$4)/((YEAR($C$13))-$AW$4)</f>
        <v>0.8</v>
      </c>
      <c r="BV17" s="127">
        <f>AE17/5</f>
        <v>1</v>
      </c>
      <c r="BW17" s="127">
        <f>AF17/5</f>
        <v>1</v>
      </c>
      <c r="BX17" s="4" t="s">
        <v>525</v>
      </c>
      <c r="BY17" s="131" t="str">
        <f>IF(E17="A",".98",IF(E17="B",".99",IF(E17="C","1.00",IF(E17="D","1.00" ))))</f>
        <v>1.00</v>
      </c>
      <c r="BZ17" s="127">
        <f>(CE17+7)/10</f>
        <v>1</v>
      </c>
      <c r="CA17" s="75" t="str">
        <f>IF(D17="Fern",".97",IF(D17="Grass",".99",IF(D17="Herb",".97",IF(D17="Shrub",".99",IF(D17="Tree","1.00",IF(D17="Vine",".98"))))))</f>
        <v>1.00</v>
      </c>
      <c r="CB17" s="130" t="str">
        <f>IF(R17="Bogs Ponds Streams",".96", IF(R17="Coastal Areas",".97",IF(R17="Meadows Dry Open",".96",IF(R17="Forest &amp; Understory",".97",IF(R17="Moist Open",".98",IF(R17="Moist Shady",".96",IF(R17="Sub-Alpine","1.0")))))))</f>
        <v>.97</v>
      </c>
      <c r="CC17" s="76" t="str">
        <f>IF(S17="Local Endemic",".50",IF(S17="Regional Endemic",".70",IF(S17="Cascadia",".90",IF(S17="Rocky Mountain",".95",IF(S17="North America",".99")))))</f>
        <v>.90</v>
      </c>
      <c r="CD17" s="4"/>
      <c r="CE17" s="21">
        <f>IF(W17&gt;3,3,W17)</f>
        <v>3</v>
      </c>
      <c r="CF17" s="21">
        <f>IF(AC17&gt;102,102,AC17)</f>
        <v>102</v>
      </c>
      <c r="CG17" s="34">
        <f>IF(AI17&lt;$AW$4,$AW$4,AI17)</f>
        <v>2016</v>
      </c>
      <c r="CH17" s="34">
        <f>IF(AJ17&lt;$AW$4,$AW$4,AJ17)</f>
        <v>2014</v>
      </c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12"/>
    </row>
    <row r="18" spans="1:115" s="13" customFormat="1" ht="15" customHeight="1" x14ac:dyDescent="0.3">
      <c r="A18" s="235"/>
      <c r="B18" s="218"/>
      <c r="C18" s="225">
        <v>8</v>
      </c>
      <c r="D18" s="59" t="s">
        <v>2507</v>
      </c>
      <c r="E18" s="59" t="s">
        <v>2504</v>
      </c>
      <c r="F18" s="397" t="str">
        <f ca="1">IF(BC18&lt;2025, "Extinct&lt; 6Yrs?",BA18)</f>
        <v>Abundant</v>
      </c>
      <c r="G18" s="363" t="s">
        <v>525</v>
      </c>
      <c r="H18" s="363" t="s">
        <v>678</v>
      </c>
      <c r="I18" s="366" t="s">
        <v>1837</v>
      </c>
      <c r="J18" s="365" t="s">
        <v>3191</v>
      </c>
      <c r="K18" s="365" t="s">
        <v>533</v>
      </c>
      <c r="L18" s="10" t="s">
        <v>1719</v>
      </c>
      <c r="M18" s="8" t="s">
        <v>3460</v>
      </c>
      <c r="N18" s="8" t="s">
        <v>3459</v>
      </c>
      <c r="O18" s="8" t="s">
        <v>3458</v>
      </c>
      <c r="P18" s="9" t="s">
        <v>520</v>
      </c>
      <c r="Q18" s="59" t="s">
        <v>2557</v>
      </c>
      <c r="R18" s="9" t="s">
        <v>2530</v>
      </c>
      <c r="S18" s="9" t="s">
        <v>2459</v>
      </c>
      <c r="T18" s="123" t="str">
        <f>IF(R18="Bogs Ponds Streams","20",IF(R18="Coastal Areas","26",IF(R18="Meadows Dry Open","10",IF(R18="Forest &amp; Understory","14",IF(R18="Moist Open","12",IF(R18="Moist Shady","10",IF(R18="Sub-Alpine Slopes","0")))))))</f>
        <v>14</v>
      </c>
      <c r="U18" s="123" t="str">
        <f>IF(R18="Bogs Ponds Streams","52",IF(R18="Coastal Areas","51",IF(R18="Meadows Dry Open","53",IF(R18="Forest &amp; Understory","52",IF(R18="Moist Open","50",IF(R18="Moist Shady","46",IF(R18="Sub-Alpine Slopes","40")))))))</f>
        <v>52</v>
      </c>
      <c r="V18" s="123" t="str">
        <f>IF(R18="Bogs Ponds Streams","84",IF(R18="Coastal Areas","76",IF(R18="Meadows Dry Open","96", IF(R18="Forest &amp; Understory","90", IF(R18="Moist Open","88", IF(R18="Moist Shady","82", IF(R18="Sub-Alpine Slopes","80")))))))</f>
        <v>90</v>
      </c>
      <c r="W18" s="59">
        <v>200</v>
      </c>
      <c r="X18" s="59">
        <v>0</v>
      </c>
      <c r="Y18" s="59">
        <v>5500</v>
      </c>
      <c r="Z18" s="59" t="s">
        <v>2519</v>
      </c>
      <c r="AA18" s="59" t="s">
        <v>2518</v>
      </c>
      <c r="AB18" s="59">
        <v>6.8</v>
      </c>
      <c r="AC18" s="45">
        <f>C18+AK18+(0.1)*AL18</f>
        <v>107.9</v>
      </c>
      <c r="AD18" s="77">
        <v>93</v>
      </c>
      <c r="AE18" s="59">
        <v>5</v>
      </c>
      <c r="AF18" s="59">
        <v>5</v>
      </c>
      <c r="AG18" s="59">
        <v>1900</v>
      </c>
      <c r="AH18" s="77">
        <v>0</v>
      </c>
      <c r="AI18" s="59">
        <f ca="1">AJ18</f>
        <v>2019</v>
      </c>
      <c r="AJ18" s="18">
        <f ca="1">YEAR(TODAY())</f>
        <v>2019</v>
      </c>
      <c r="AK18" s="18">
        <v>99</v>
      </c>
      <c r="AL18" s="18">
        <v>9</v>
      </c>
      <c r="AM18" s="18">
        <v>1</v>
      </c>
      <c r="AN18" s="18">
        <v>1</v>
      </c>
      <c r="AO18" s="18">
        <v>5</v>
      </c>
      <c r="AP18" s="18">
        <v>1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Y18" s="233"/>
      <c r="AZ18" s="4"/>
      <c r="BA18" s="35" t="str">
        <f ca="1">IF(OR(S18="North America",S18="Rocky Mountain"), "Widespread",BC18)</f>
        <v>Abundant</v>
      </c>
      <c r="BB18" s="4"/>
      <c r="BC18" s="35" t="str">
        <f ca="1">IF(BE18&gt;2046, "Abundant",BE18)</f>
        <v>Abundant</v>
      </c>
      <c r="BD18" s="4"/>
      <c r="BE18" s="81">
        <f ca="1">YEAR($C$13)+(BG18*80)</f>
        <v>2124.9584</v>
      </c>
      <c r="BF18" s="4"/>
      <c r="BG18" s="137">
        <f ca="1">BH18*$BH$14</f>
        <v>1.3244800000000001</v>
      </c>
      <c r="BH18" s="137">
        <f ca="1">(((BJ18+BK18+BM18+BN18)/4)*$BM$11)+(((BP18+BQ18)/2)*$BQ$11)+(((BU18+BV18+BW18)/3)*$BU$11)+(((BY18+BZ18+CA18+CB18+CC18)/5)*$CA$11)</f>
        <v>1.3244800000000001</v>
      </c>
      <c r="BI18" s="4"/>
      <c r="BJ18" s="33">
        <f>AP18/(AM18+AO18)</f>
        <v>0.16666666666666666</v>
      </c>
      <c r="BK18" s="33">
        <f>(AN18+AO18)/(AM18+AO18)</f>
        <v>1</v>
      </c>
      <c r="BL18" s="4"/>
      <c r="BM18" s="127">
        <f>CF18/102</f>
        <v>1</v>
      </c>
      <c r="BN18" s="127">
        <f>C18/2</f>
        <v>4</v>
      </c>
      <c r="BO18" s="4"/>
      <c r="BP18" s="127">
        <f>(AK18)/($AW$6)</f>
        <v>1</v>
      </c>
      <c r="BQ18" s="127">
        <f ca="1">(CH18-$AW$4)/((YEAR($C$13))-$AW$4)</f>
        <v>1</v>
      </c>
      <c r="BR18" s="127">
        <f>(AL18)/($AW$6)</f>
        <v>9.0909090909090912E-2</v>
      </c>
      <c r="BS18" s="4"/>
      <c r="BT18" s="127"/>
      <c r="BU18" s="127">
        <f ca="1">(CG18-$AW$4)/((YEAR($C$13))-$AW$4)</f>
        <v>1</v>
      </c>
      <c r="BV18" s="127">
        <f>AE18/5</f>
        <v>1</v>
      </c>
      <c r="BW18" s="127">
        <f>AF18/5</f>
        <v>1</v>
      </c>
      <c r="BX18" s="4"/>
      <c r="BY18" s="148" t="str">
        <f>IF(E18="A",".98",IF(E18="B",".99",IF(E18="C","1.00",IF(E18="D","1.00" ))))</f>
        <v>1.00</v>
      </c>
      <c r="BZ18" s="127">
        <f>(CE18+7)/10</f>
        <v>1</v>
      </c>
      <c r="CA18" s="76" t="str">
        <f>IF(D18="Fern",".97",IF(D18="Grass",".99",IF(D18="Herb",".97",IF(D18="Shrub",".99",IF(D18="Tree","1.00",IF(D18="Vine",".98"))))))</f>
        <v>1.00</v>
      </c>
      <c r="CB18" s="149" t="str">
        <f>IF(R18="Bogs Ponds Streams",".96", IF(R18="Coastal Areas",".97",IF(R18="Meadows Dry Open",".96",IF(R18="Forest &amp; Understory",".97",IF(R18="Moist Open",".98",IF(R18="Moist Shady",".96",IF(R18="Sub-Alpine","1.0")))))))</f>
        <v>.97</v>
      </c>
      <c r="CC18" s="76" t="str">
        <f>IF(S18="Local Endemic",".50",IF(S18="Regional Endemic",".70",IF(S18="Cascadia",".90",IF(S18="Rocky Mountain",".95",IF(S18="North America",".99")))))</f>
        <v>.90</v>
      </c>
      <c r="CD18" s="4"/>
      <c r="CE18" s="21">
        <f>IF(W18&gt;3,3,W18)</f>
        <v>3</v>
      </c>
      <c r="CF18" s="21">
        <f>IF(AC18&gt;102,102,AC18)</f>
        <v>102</v>
      </c>
      <c r="CG18" s="34">
        <f ca="1">IF(AI18&lt;$AW$4,$AW$4,AI18)</f>
        <v>2019</v>
      </c>
      <c r="CH18" s="34">
        <f ca="1">IF(AJ18&lt;$AW$4,$AW$4,AJ18)</f>
        <v>2019</v>
      </c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12"/>
    </row>
    <row r="19" spans="1:115" s="13" customFormat="1" ht="15" customHeight="1" x14ac:dyDescent="0.3">
      <c r="A19" s="235"/>
      <c r="B19" s="218"/>
      <c r="C19" s="225">
        <v>8</v>
      </c>
      <c r="D19" s="59" t="s">
        <v>2507</v>
      </c>
      <c r="E19" s="59" t="s">
        <v>2504</v>
      </c>
      <c r="F19" s="397" t="str">
        <f ca="1">IF(BC19&lt;2025, "Extinct&lt; 6Yrs?",BA19)</f>
        <v>Widespread</v>
      </c>
      <c r="G19" s="363" t="s">
        <v>525</v>
      </c>
      <c r="H19" s="363" t="s">
        <v>678</v>
      </c>
      <c r="I19" s="366" t="s">
        <v>1838</v>
      </c>
      <c r="J19" s="365" t="s">
        <v>3192</v>
      </c>
      <c r="K19" s="365" t="s">
        <v>775</v>
      </c>
      <c r="L19" s="10" t="s">
        <v>1720</v>
      </c>
      <c r="M19" s="8" t="s">
        <v>3463</v>
      </c>
      <c r="N19" s="8" t="s">
        <v>3462</v>
      </c>
      <c r="O19" s="8" t="s">
        <v>3461</v>
      </c>
      <c r="P19" s="9" t="s">
        <v>520</v>
      </c>
      <c r="Q19" s="59" t="s">
        <v>2557</v>
      </c>
      <c r="R19" s="9" t="s">
        <v>2530</v>
      </c>
      <c r="S19" s="9" t="s">
        <v>2479</v>
      </c>
      <c r="T19" s="123" t="str">
        <f>IF(R19="Bogs Ponds Streams","20",IF(R19="Coastal Areas","26",IF(R19="Meadows Dry Open","10",IF(R19="Forest &amp; Understory","14",IF(R19="Moist Open","12",IF(R19="Moist Shady","10",IF(R19="Sub-Alpine Slopes","0")))))))</f>
        <v>14</v>
      </c>
      <c r="U19" s="123" t="str">
        <f>IF(R19="Bogs Ponds Streams","52",IF(R19="Coastal Areas","51",IF(R19="Meadows Dry Open","53",IF(R19="Forest &amp; Understory","52",IF(R19="Moist Open","50",IF(R19="Moist Shady","46",IF(R19="Sub-Alpine Slopes","40")))))))</f>
        <v>52</v>
      </c>
      <c r="V19" s="123" t="str">
        <f>IF(R19="Bogs Ponds Streams","84",IF(R19="Coastal Areas","76",IF(R19="Meadows Dry Open","96", IF(R19="Forest &amp; Understory","90", IF(R19="Moist Open","88", IF(R19="Moist Shady","82", IF(R19="Sub-Alpine Slopes","80")))))))</f>
        <v>90</v>
      </c>
      <c r="W19" s="59">
        <v>200</v>
      </c>
      <c r="X19" s="59">
        <v>0</v>
      </c>
      <c r="Y19" s="59">
        <v>12000</v>
      </c>
      <c r="Z19" s="59" t="s">
        <v>2519</v>
      </c>
      <c r="AA19" s="59" t="s">
        <v>2518</v>
      </c>
      <c r="AB19" s="59">
        <v>6.8</v>
      </c>
      <c r="AC19" s="45">
        <f>C19+AK19+(0.1)*AL19</f>
        <v>107.9</v>
      </c>
      <c r="AD19" s="77">
        <v>116</v>
      </c>
      <c r="AE19" s="59">
        <v>5</v>
      </c>
      <c r="AF19" s="59">
        <v>5</v>
      </c>
      <c r="AG19" s="59">
        <v>1900</v>
      </c>
      <c r="AH19" s="77">
        <v>0</v>
      </c>
      <c r="AI19" s="59">
        <f ca="1">AJ19</f>
        <v>2019</v>
      </c>
      <c r="AJ19" s="18">
        <f ca="1">YEAR(TODAY())</f>
        <v>2019</v>
      </c>
      <c r="AK19" s="18">
        <v>99</v>
      </c>
      <c r="AL19" s="18">
        <v>9</v>
      </c>
      <c r="AM19" s="18">
        <v>1</v>
      </c>
      <c r="AN19" s="18">
        <v>1</v>
      </c>
      <c r="AO19" s="18">
        <v>5</v>
      </c>
      <c r="AP19" s="18">
        <v>1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233"/>
      <c r="AZ19" s="4"/>
      <c r="BA19" s="35" t="str">
        <f>IF(OR(S19="North America",S19="Rocky Mountain"), "Widespread",BC19)</f>
        <v>Widespread</v>
      </c>
      <c r="BB19" s="4"/>
      <c r="BC19" s="35" t="str">
        <f ca="1">IF(BE19&gt;2046, "Abundant",BE19)</f>
        <v>Abundant</v>
      </c>
      <c r="BD19" s="4"/>
      <c r="BE19" s="81">
        <f ca="1">YEAR($C$13)+(BG19*80)</f>
        <v>2124.9744000000001</v>
      </c>
      <c r="BF19" s="4"/>
      <c r="BG19" s="137">
        <f ca="1">BH19*$BH$14</f>
        <v>1.3246800000000001</v>
      </c>
      <c r="BH19" s="137">
        <f ca="1">(((BJ19+BK19+BM19+BN19)/4)*$BM$11)+(((BP19+BQ19)/2)*$BQ$11)+(((BU19+BV19+BW19)/3)*$BU$11)+(((BY19+BZ19+CA19+CB19+CC19)/5)*$CA$11)</f>
        <v>1.3246800000000001</v>
      </c>
      <c r="BI19" s="4"/>
      <c r="BJ19" s="33">
        <f>AP19/(AM19+AO19)</f>
        <v>0.16666666666666666</v>
      </c>
      <c r="BK19" s="33">
        <f>(AN19+AO19)/(AM19+AO19)</f>
        <v>1</v>
      </c>
      <c r="BL19" s="4"/>
      <c r="BM19" s="127">
        <f>CF19/102</f>
        <v>1</v>
      </c>
      <c r="BN19" s="127">
        <f>C19/2</f>
        <v>4</v>
      </c>
      <c r="BO19" s="4"/>
      <c r="BP19" s="127">
        <f>(AK19)/($AW$6)</f>
        <v>1</v>
      </c>
      <c r="BQ19" s="127">
        <f ca="1">(CH19-$AW$4)/((YEAR($C$13))-$AW$4)</f>
        <v>1</v>
      </c>
      <c r="BR19" s="127">
        <f>(AL19)/($AW$6)</f>
        <v>9.0909090909090912E-2</v>
      </c>
      <c r="BS19" s="4"/>
      <c r="BT19" s="127"/>
      <c r="BU19" s="127">
        <f ca="1">(CG19-$AW$4)/((YEAR($C$13))-$AW$4)</f>
        <v>1</v>
      </c>
      <c r="BV19" s="127">
        <f>AE19/5</f>
        <v>1</v>
      </c>
      <c r="BW19" s="127">
        <f>AF19/5</f>
        <v>1</v>
      </c>
      <c r="BX19" s="4"/>
      <c r="BY19" s="148" t="str">
        <f>IF(E19="A",".98",IF(E19="B",".99",IF(E19="C","1.00",IF(E19="D","1.00" ))))</f>
        <v>1.00</v>
      </c>
      <c r="BZ19" s="127">
        <f>(CE19+7)/10</f>
        <v>1</v>
      </c>
      <c r="CA19" s="76" t="str">
        <f>IF(D19="Fern",".97",IF(D19="Grass",".99",IF(D19="Herb",".97",IF(D19="Shrub",".99",IF(D19="Tree","1.00",IF(D19="Vine",".98"))))))</f>
        <v>1.00</v>
      </c>
      <c r="CB19" s="149" t="str">
        <f>IF(R19="Bogs Ponds Streams",".96", IF(R19="Coastal Areas",".97",IF(R19="Meadows Dry Open",".96",IF(R19="Forest &amp; Understory",".97",IF(R19="Moist Open",".98",IF(R19="Moist Shady",".96",IF(R19="Sub-Alpine","1.0")))))))</f>
        <v>.97</v>
      </c>
      <c r="CC19" s="76" t="str">
        <f>IF(S19="Local Endemic",".50",IF(S19="Regional Endemic",".70",IF(S19="Cascadia",".90",IF(S19="Rocky Mountain",".95",IF(S19="North America",".99")))))</f>
        <v>.95</v>
      </c>
      <c r="CD19" s="4"/>
      <c r="CE19" s="21">
        <f>IF(W19&gt;3,3,W19)</f>
        <v>3</v>
      </c>
      <c r="CF19" s="21">
        <f>IF(AC19&gt;102,102,AC19)</f>
        <v>102</v>
      </c>
      <c r="CG19" s="34">
        <f ca="1">IF(AI19&lt;$AW$4,$AW$4,AI19)</f>
        <v>2019</v>
      </c>
      <c r="CH19" s="34">
        <f ca="1">IF(AJ19&lt;$AW$4,$AW$4,AJ19)</f>
        <v>2019</v>
      </c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12"/>
    </row>
    <row r="20" spans="1:115" s="13" customFormat="1" ht="15" customHeight="1" x14ac:dyDescent="0.3">
      <c r="A20" s="235"/>
      <c r="B20" s="218"/>
      <c r="C20" s="225">
        <v>8</v>
      </c>
      <c r="D20" s="59" t="s">
        <v>2507</v>
      </c>
      <c r="E20" s="59" t="s">
        <v>2504</v>
      </c>
      <c r="F20" s="397" t="str">
        <f ca="1">IF(BC20&lt;2025, "Extinct&lt; 6Yrs?",BA20)</f>
        <v>Abundant</v>
      </c>
      <c r="G20" s="363" t="s">
        <v>525</v>
      </c>
      <c r="H20" s="363" t="s">
        <v>679</v>
      </c>
      <c r="I20" s="366" t="s">
        <v>1839</v>
      </c>
      <c r="J20" s="365" t="s">
        <v>3193</v>
      </c>
      <c r="K20" s="365" t="s">
        <v>534</v>
      </c>
      <c r="L20" s="10" t="s">
        <v>1721</v>
      </c>
      <c r="M20" s="8" t="s">
        <v>4101</v>
      </c>
      <c r="N20" s="8" t="s">
        <v>4995</v>
      </c>
      <c r="O20" s="8" t="s">
        <v>5892</v>
      </c>
      <c r="P20" s="9" t="s">
        <v>520</v>
      </c>
      <c r="Q20" s="59" t="s">
        <v>2557</v>
      </c>
      <c r="R20" s="160" t="s">
        <v>2530</v>
      </c>
      <c r="S20" s="9" t="s">
        <v>2459</v>
      </c>
      <c r="T20" s="123" t="str">
        <f>IF(R20="Bogs Ponds Streams","20",IF(R20="Coastal Areas","26",IF(R20="Meadows Dry Open","10",IF(R20="Forest &amp; Understory","14",IF(R20="Moist Open","12",IF(R20="Moist Shady","10",IF(R20="Sub-Alpine Slopes","0")))))))</f>
        <v>14</v>
      </c>
      <c r="U20" s="123" t="str">
        <f>IF(R20="Bogs Ponds Streams","52",IF(R20="Coastal Areas","51",IF(R20="Meadows Dry Open","53",IF(R20="Forest &amp; Understory","52",IF(R20="Moist Open","50",IF(R20="Moist Shady","46",IF(R20="Sub-Alpine Slopes","40")))))))</f>
        <v>52</v>
      </c>
      <c r="V20" s="123" t="str">
        <f>IF(R20="Bogs Ponds Streams","84",IF(R20="Coastal Areas","76",IF(R20="Meadows Dry Open","96", IF(R20="Forest &amp; Understory","90", IF(R20="Moist Open","88", IF(R20="Moist Shady","82", IF(R20="Sub-Alpine Slopes","80")))))))</f>
        <v>90</v>
      </c>
      <c r="W20" s="59">
        <v>200</v>
      </c>
      <c r="X20" s="59">
        <v>0</v>
      </c>
      <c r="Y20" s="59">
        <v>5000</v>
      </c>
      <c r="Z20" s="59" t="s">
        <v>2519</v>
      </c>
      <c r="AA20" s="59" t="s">
        <v>2518</v>
      </c>
      <c r="AB20" s="59">
        <v>6.8</v>
      </c>
      <c r="AC20" s="45">
        <f>C20+AK20+(0.1)*AL20</f>
        <v>107.9</v>
      </c>
      <c r="AD20" s="77">
        <v>23</v>
      </c>
      <c r="AE20" s="59">
        <v>5</v>
      </c>
      <c r="AF20" s="59">
        <v>5</v>
      </c>
      <c r="AG20" s="59">
        <v>1900</v>
      </c>
      <c r="AH20" s="77">
        <v>0</v>
      </c>
      <c r="AI20" s="59">
        <f ca="1">AJ20</f>
        <v>2019</v>
      </c>
      <c r="AJ20" s="18">
        <f ca="1">YEAR(TODAY())</f>
        <v>2019</v>
      </c>
      <c r="AK20" s="18">
        <v>99</v>
      </c>
      <c r="AL20" s="18">
        <v>9</v>
      </c>
      <c r="AM20" s="18">
        <v>1</v>
      </c>
      <c r="AN20" s="18">
        <v>1</v>
      </c>
      <c r="AO20" s="18">
        <v>5</v>
      </c>
      <c r="AP20" s="18">
        <v>1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233"/>
      <c r="AZ20" s="4"/>
      <c r="BA20" s="35" t="str">
        <f ca="1">IF(OR(S20="North America",S20="Rocky Mountain"), "Widespread",BC20)</f>
        <v>Abundant</v>
      </c>
      <c r="BB20" s="4"/>
      <c r="BC20" s="35" t="str">
        <f ca="1">IF(BE20&gt;2046, "Abundant",BE20)</f>
        <v>Abundant</v>
      </c>
      <c r="BD20" s="4"/>
      <c r="BE20" s="81">
        <f ca="1">YEAR($C$13)+(BG20*80)</f>
        <v>2124.9584</v>
      </c>
      <c r="BF20" s="4"/>
      <c r="BG20" s="137">
        <f ca="1">BH20*$BH$14</f>
        <v>1.3244800000000001</v>
      </c>
      <c r="BH20" s="137">
        <f ca="1">(((BJ20+BK20+BM20+BN20)/4)*$BM$11)+(((BP20+BQ20)/2)*$BQ$11)+(((BU20+BV20+BW20)/3)*$BU$11)+(((BY20+BZ20+CA20+CB20+CC20)/5)*$CA$11)</f>
        <v>1.3244800000000001</v>
      </c>
      <c r="BI20" s="4"/>
      <c r="BJ20" s="33">
        <f>AP20/(AM20+AO20)</f>
        <v>0.16666666666666666</v>
      </c>
      <c r="BK20" s="33">
        <f>(AN20+AO20)/(AM20+AO20)</f>
        <v>1</v>
      </c>
      <c r="BL20" s="4"/>
      <c r="BM20" s="127">
        <f>CF20/102</f>
        <v>1</v>
      </c>
      <c r="BN20" s="127">
        <f>C20/2</f>
        <v>4</v>
      </c>
      <c r="BO20" s="4"/>
      <c r="BP20" s="127">
        <f>(AK20)/($AW$6)</f>
        <v>1</v>
      </c>
      <c r="BQ20" s="127">
        <f ca="1">(CH20-$AW$4)/((YEAR($C$13))-$AW$4)</f>
        <v>1</v>
      </c>
      <c r="BR20" s="127">
        <f>(AL20)/($AW$6)</f>
        <v>9.0909090909090912E-2</v>
      </c>
      <c r="BS20" s="4"/>
      <c r="BT20" s="127"/>
      <c r="BU20" s="127">
        <f ca="1">(CG20-$AW$4)/((YEAR($C$13))-$AW$4)</f>
        <v>1</v>
      </c>
      <c r="BV20" s="127">
        <f>AE20/5</f>
        <v>1</v>
      </c>
      <c r="BW20" s="127">
        <f>AF20/5</f>
        <v>1</v>
      </c>
      <c r="BX20" s="4"/>
      <c r="BY20" s="148" t="str">
        <f>IF(E20="A",".98",IF(E20="B",".99",IF(E20="C","1.00",IF(E20="D","1.00" ))))</f>
        <v>1.00</v>
      </c>
      <c r="BZ20" s="127">
        <f>(CE20+7)/10</f>
        <v>1</v>
      </c>
      <c r="CA20" s="76" t="str">
        <f>IF(D20="Fern",".97",IF(D20="Grass",".99",IF(D20="Herb",".97",IF(D20="Shrub",".99",IF(D20="Tree","1.00",IF(D20="Vine",".98"))))))</f>
        <v>1.00</v>
      </c>
      <c r="CB20" s="149" t="str">
        <f>IF(R20="Bogs Ponds Streams",".96", IF(R20="Coastal Areas",".97",IF(R20="Meadows Dry Open",".96",IF(R20="Forest &amp; Understory",".97",IF(R20="Moist Open",".98",IF(R20="Moist Shady",".96",IF(R20="Sub-Alpine","1.0")))))))</f>
        <v>.97</v>
      </c>
      <c r="CC20" s="76" t="str">
        <f>IF(S20="Local Endemic",".50",IF(S20="Regional Endemic",".70",IF(S20="Cascadia",".90",IF(S20="Rocky Mountain",".95",IF(S20="North America",".99")))))</f>
        <v>.90</v>
      </c>
      <c r="CD20" s="4"/>
      <c r="CE20" s="21">
        <f>IF(W20&gt;3,3,W20)</f>
        <v>3</v>
      </c>
      <c r="CF20" s="21">
        <f>IF(AC20&gt;102,102,AC20)</f>
        <v>102</v>
      </c>
      <c r="CG20" s="34">
        <f ca="1">IF(AI20&lt;$AW$4,$AW$4,AI20)</f>
        <v>2019</v>
      </c>
      <c r="CH20" s="34">
        <f ca="1">IF(AJ20&lt;$AW$4,$AW$4,AJ20)</f>
        <v>2019</v>
      </c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12"/>
    </row>
    <row r="21" spans="1:115" s="13" customFormat="1" ht="15" customHeight="1" x14ac:dyDescent="0.3">
      <c r="A21" s="235"/>
      <c r="B21" s="218"/>
      <c r="C21" s="226">
        <v>2</v>
      </c>
      <c r="D21" s="104" t="s">
        <v>2505</v>
      </c>
      <c r="E21" s="104" t="s">
        <v>2501</v>
      </c>
      <c r="F21" s="400" t="str">
        <f ca="1">IF(BC21&lt;2025, "Extinct&lt; 6Yrs?",BA21)</f>
        <v>Abundant</v>
      </c>
      <c r="G21" s="369" t="s">
        <v>525</v>
      </c>
      <c r="H21" s="369" t="s">
        <v>4028</v>
      </c>
      <c r="I21" s="370" t="s">
        <v>1840</v>
      </c>
      <c r="J21" s="371" t="s">
        <v>3857</v>
      </c>
      <c r="K21" s="371" t="s">
        <v>776</v>
      </c>
      <c r="L21" s="106" t="s">
        <v>1722</v>
      </c>
      <c r="M21" s="111" t="s">
        <v>4102</v>
      </c>
      <c r="N21" s="111" t="s">
        <v>4996</v>
      </c>
      <c r="O21" s="111" t="s">
        <v>5893</v>
      </c>
      <c r="P21" s="105" t="s">
        <v>656</v>
      </c>
      <c r="Q21" s="104" t="s">
        <v>2557</v>
      </c>
      <c r="R21" s="161" t="s">
        <v>2453</v>
      </c>
      <c r="S21" s="105" t="s">
        <v>2459</v>
      </c>
      <c r="T21" s="133" t="str">
        <f>IF(R21="Bogs Ponds Streams","20",IF(R21="Coastal Areas","26",IF(R21="Meadows Dry Open","10",IF(R21="Forest &amp; Understory","14",IF(R21="Moist Open","12",IF(R21="Moist Shady","10",IF(R21="Sub-Alpine Slopes","0")))))))</f>
        <v>26</v>
      </c>
      <c r="U21" s="133" t="str">
        <f>IF(R21="Bogs Ponds Streams","52",IF(R21="Coastal Areas","51",IF(R21="Meadows Dry Open","53",IF(R21="Forest &amp; Understory","52",IF(R21="Moist Open","50",IF(R21="Moist Shady","46",IF(R21="Sub-Alpine Slopes","40")))))))</f>
        <v>51</v>
      </c>
      <c r="V21" s="133" t="str">
        <f>IF(R21="Bogs Ponds Streams","84",IF(R21="Coastal Areas","76",IF(R21="Meadows Dry Open","96", IF(R21="Forest &amp; Understory","90", IF(R21="Moist Open","88", IF(R21="Moist Shady","82", IF(R21="Sub-Alpine Slopes","80")))))))</f>
        <v>76</v>
      </c>
      <c r="W21" s="104">
        <v>15</v>
      </c>
      <c r="X21" s="104">
        <v>0</v>
      </c>
      <c r="Y21" s="104">
        <v>20</v>
      </c>
      <c r="Z21" s="104" t="s">
        <v>2519</v>
      </c>
      <c r="AA21" s="104" t="s">
        <v>2518</v>
      </c>
      <c r="AB21" s="104">
        <v>6.8</v>
      </c>
      <c r="AC21" s="107">
        <f>C19+AK21+(0.1)*AL21</f>
        <v>41.3</v>
      </c>
      <c r="AD21" s="113">
        <v>55</v>
      </c>
      <c r="AE21" s="104">
        <v>5</v>
      </c>
      <c r="AF21" s="104">
        <v>5</v>
      </c>
      <c r="AG21" s="104">
        <v>1891</v>
      </c>
      <c r="AH21" s="113">
        <v>1936</v>
      </c>
      <c r="AI21" s="104">
        <v>2005</v>
      </c>
      <c r="AJ21" s="108">
        <v>2004</v>
      </c>
      <c r="AK21" s="108">
        <v>33</v>
      </c>
      <c r="AL21" s="108">
        <v>3</v>
      </c>
      <c r="AM21" s="109">
        <v>9</v>
      </c>
      <c r="AN21" s="109">
        <v>1</v>
      </c>
      <c r="AO21" s="110">
        <v>0</v>
      </c>
      <c r="AP21" s="109">
        <v>1</v>
      </c>
      <c r="AQ21" s="109">
        <v>0</v>
      </c>
      <c r="AR21" s="109">
        <v>0</v>
      </c>
      <c r="AS21" s="110">
        <v>0</v>
      </c>
      <c r="AT21" s="109">
        <v>0</v>
      </c>
      <c r="AU21" s="109">
        <v>0</v>
      </c>
      <c r="AV21" s="109">
        <v>0</v>
      </c>
      <c r="AW21" s="110">
        <v>0</v>
      </c>
      <c r="AX21" s="109">
        <v>0</v>
      </c>
      <c r="AY21" s="233"/>
      <c r="AZ21" s="4"/>
      <c r="BA21" s="35" t="str">
        <f ca="1">IF(OR(S21="North America",S21="Rocky Mountain"), "Widespread",BC21)</f>
        <v>Abundant</v>
      </c>
      <c r="BB21" s="4"/>
      <c r="BC21" s="35" t="str">
        <f ca="1">IF(BE21&gt;2046, "Abundant",BE21)</f>
        <v>Abundant</v>
      </c>
      <c r="BD21" s="4"/>
      <c r="BE21" s="81">
        <f ca="1">YEAR($C$13)+(BG21*80)</f>
        <v>2048.4831790849671</v>
      </c>
      <c r="BF21" s="4"/>
      <c r="BG21" s="137">
        <f ca="1">BH21*$BH$14</f>
        <v>0.36853973856209149</v>
      </c>
      <c r="BH21" s="137">
        <f ca="1">(((BJ21+BK21+BM21+BN21)/4)*$BM$11)+(((BP21+BQ21)/2)*$BQ$11)+(((BU21+BV21+BW21)/3)*$BU$11)+(((BY21+BZ21+CA21+CB21+CC21)/5)*$CA$11)</f>
        <v>0.36853973856209149</v>
      </c>
      <c r="BI21" s="4"/>
      <c r="BJ21" s="33">
        <f>AP21/(AM21+AO21)</f>
        <v>0.1111111111111111</v>
      </c>
      <c r="BK21" s="33">
        <f>(AN21+AO21)/(AM21+AO21)</f>
        <v>0.1111111111111111</v>
      </c>
      <c r="BL21" s="4"/>
      <c r="BM21" s="127">
        <f>CF21/102</f>
        <v>0.40490196078431367</v>
      </c>
      <c r="BN21" s="127">
        <f>C21/2</f>
        <v>1</v>
      </c>
      <c r="BO21" s="4"/>
      <c r="BP21" s="127">
        <f>(AK21)/($AW$6)</f>
        <v>0.33333333333333331</v>
      </c>
      <c r="BQ21" s="127">
        <f ca="1">(CH21-$AW$4)/((YEAR($C$13))-$AW$4)</f>
        <v>0</v>
      </c>
      <c r="BR21" s="127">
        <f>(AL21)/($AW$6)</f>
        <v>3.0303030303030304E-2</v>
      </c>
      <c r="BS21" s="4"/>
      <c r="BT21" s="127"/>
      <c r="BU21" s="127">
        <f ca="1">(CG21-$AW$4)/((YEAR($C$13))-$AW$4)</f>
        <v>6.6666666666666666E-2</v>
      </c>
      <c r="BV21" s="127">
        <f>AE21/5</f>
        <v>1</v>
      </c>
      <c r="BW21" s="127">
        <f>AF21/5</f>
        <v>1</v>
      </c>
      <c r="BX21" s="4"/>
      <c r="BY21" s="148" t="str">
        <f>IF(E21="A",".98",IF(E21="B",".99",IF(E21="C","1.00",IF(E21="D","1.00" ))))</f>
        <v>1.00</v>
      </c>
      <c r="BZ21" s="127">
        <f>(CE21+7)/10</f>
        <v>1</v>
      </c>
      <c r="CA21" s="76" t="str">
        <f>IF(D21="Fern",".97",IF(D21="Grass",".99",IF(D21="Herb",".97",IF(D21="Shrub",".99",IF(D21="Tree","1.00",IF(D21="Vine",".98"))))))</f>
        <v>.97</v>
      </c>
      <c r="CB21" s="149" t="str">
        <f>IF(R21="Bogs Ponds Streams",".96", IF(R21="Coastal Areas",".97",IF(R21="Meadows Dry Open",".96",IF(R21="Forest &amp; Understory",".97",IF(R21="Moist Open",".98",IF(R21="Moist Shady",".96",IF(R21="Sub-Alpine","1.0")))))))</f>
        <v>.97</v>
      </c>
      <c r="CC21" s="76" t="str">
        <f>IF(S21="Local Endemic",".50",IF(S21="Regional Endemic",".70",IF(S21="Cascadia",".90",IF(S21="Rocky Mountain",".95",IF(S21="North America",".99")))))</f>
        <v>.90</v>
      </c>
      <c r="CD21" s="4"/>
      <c r="CE21" s="21">
        <f>IF(W21&gt;3,3,W21)</f>
        <v>3</v>
      </c>
      <c r="CF21" s="21">
        <f>IF(AC21&gt;102,102,AC21)</f>
        <v>41.3</v>
      </c>
      <c r="CG21" s="34">
        <f>IF(AI21&lt;$AW$4,$AW$4,AI21)</f>
        <v>2005</v>
      </c>
      <c r="CH21" s="34">
        <f>IF(AJ21&lt;$AW$4,$AW$4,AJ21)</f>
        <v>2004</v>
      </c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</row>
    <row r="22" spans="1:115" s="13" customFormat="1" ht="15" customHeight="1" x14ac:dyDescent="0.3">
      <c r="A22" s="235"/>
      <c r="B22" s="218"/>
      <c r="C22" s="375">
        <v>1</v>
      </c>
      <c r="D22" s="67" t="s">
        <v>2505</v>
      </c>
      <c r="E22" s="67" t="s">
        <v>2501</v>
      </c>
      <c r="F22" s="403">
        <f ca="1">IF(BC22&lt;2025, "Extinct&lt; 6Yrs?",BA22)</f>
        <v>2031.9619431966726</v>
      </c>
      <c r="G22" s="376" t="s">
        <v>525</v>
      </c>
      <c r="H22" s="376" t="s">
        <v>4028</v>
      </c>
      <c r="I22" s="380" t="s">
        <v>1841</v>
      </c>
      <c r="J22" s="378" t="s">
        <v>3678</v>
      </c>
      <c r="K22" s="378" t="s">
        <v>657</v>
      </c>
      <c r="L22" s="63" t="s">
        <v>1395</v>
      </c>
      <c r="M22" s="64" t="s">
        <v>4103</v>
      </c>
      <c r="N22" s="64" t="s">
        <v>4997</v>
      </c>
      <c r="O22" s="64" t="s">
        <v>5894</v>
      </c>
      <c r="P22" s="61" t="s">
        <v>656</v>
      </c>
      <c r="Q22" s="67" t="s">
        <v>2558</v>
      </c>
      <c r="R22" s="61" t="s">
        <v>2453</v>
      </c>
      <c r="S22" s="61" t="s">
        <v>2459</v>
      </c>
      <c r="T22" s="134" t="str">
        <f>IF(R22="Bogs Ponds Streams","20",IF(R22="Coastal Areas","26",IF(R22="Meadows Dry Open","10",IF(R22="Forest &amp; Understory","14",IF(R22="Moist Open","12",IF(R22="Moist Shady","10",IF(R22="Sub-Alpine Slopes","0")))))))</f>
        <v>26</v>
      </c>
      <c r="U22" s="134" t="str">
        <f>IF(R22="Bogs Ponds Streams","52",IF(R22="Coastal Areas","51",IF(R22="Meadows Dry Open","53",IF(R22="Forest &amp; Understory","52",IF(R22="Moist Open","50",IF(R22="Moist Shady","46",IF(R22="Sub-Alpine Slopes","40")))))))</f>
        <v>51</v>
      </c>
      <c r="V22" s="134" t="str">
        <f>IF(R22="Bogs Ponds Streams","84",IF(R22="Coastal Areas","76",IF(R22="Meadows Dry Open","96", IF(R22="Forest &amp; Understory","90", IF(R22="Moist Open","88", IF(R22="Moist Shady","82", IF(R22="Sub-Alpine Slopes","80")))))))</f>
        <v>76</v>
      </c>
      <c r="W22" s="67">
        <v>10</v>
      </c>
      <c r="X22" s="67">
        <v>0</v>
      </c>
      <c r="Y22" s="67">
        <v>20</v>
      </c>
      <c r="Z22" s="67" t="s">
        <v>2552</v>
      </c>
      <c r="AA22" s="67" t="s">
        <v>2518</v>
      </c>
      <c r="AB22" s="67">
        <v>6.8</v>
      </c>
      <c r="AC22" s="85">
        <f>C22+AK22+(0.1)*AL22</f>
        <v>3</v>
      </c>
      <c r="AD22" s="78">
        <v>5</v>
      </c>
      <c r="AE22" s="68">
        <v>1</v>
      </c>
      <c r="AF22" s="68">
        <v>4</v>
      </c>
      <c r="AG22" s="78">
        <v>1910</v>
      </c>
      <c r="AH22" s="78">
        <v>1940</v>
      </c>
      <c r="AI22" s="78">
        <v>2006</v>
      </c>
      <c r="AJ22" s="69">
        <v>2007</v>
      </c>
      <c r="AK22" s="69">
        <v>2</v>
      </c>
      <c r="AL22" s="69">
        <v>0</v>
      </c>
      <c r="AM22" s="70">
        <v>5</v>
      </c>
      <c r="AN22" s="70">
        <v>0</v>
      </c>
      <c r="AO22" s="86">
        <v>0</v>
      </c>
      <c r="AP22" s="70">
        <v>0</v>
      </c>
      <c r="AQ22" s="70">
        <v>0</v>
      </c>
      <c r="AR22" s="70">
        <v>0</v>
      </c>
      <c r="AS22" s="86">
        <v>0</v>
      </c>
      <c r="AT22" s="70">
        <v>0</v>
      </c>
      <c r="AU22" s="70">
        <v>0</v>
      </c>
      <c r="AV22" s="70">
        <v>0</v>
      </c>
      <c r="AW22" s="86">
        <v>0</v>
      </c>
      <c r="AX22" s="70">
        <v>0</v>
      </c>
      <c r="AY22" s="233"/>
      <c r="AZ22" s="4"/>
      <c r="BA22" s="35">
        <f ca="1">IF(OR(S22="North America",S22="Rocky Mountain"), "Widespread",BC22)</f>
        <v>2031.9619431966726</v>
      </c>
      <c r="BB22" s="4"/>
      <c r="BC22" s="35">
        <f ca="1">IF(BE22&gt;2046, "Abundant",BE22)</f>
        <v>2031.9619431966726</v>
      </c>
      <c r="BD22" s="4"/>
      <c r="BE22" s="81">
        <f ca="1">YEAR($C$13)+(BG22*80)</f>
        <v>2031.9619431966726</v>
      </c>
      <c r="BF22" s="4"/>
      <c r="BG22" s="137">
        <f ca="1">BH22*$BH$14</f>
        <v>0.16202428995840759</v>
      </c>
      <c r="BH22" s="137">
        <f ca="1">(((BJ22+BK22+BM22+BN22)/4)*$BM$11)+(((BP22+BQ22)/2)*$BQ$11)+(((BU22+BV22+BW22)/3)*$BU$11)+(((BY22+BZ22+CA22+CB22+CC22)/5)*$CA$11)</f>
        <v>0.16202428995840759</v>
      </c>
      <c r="BI22" s="4"/>
      <c r="BJ22" s="33">
        <f>AP22/(AM22+AO22)</f>
        <v>0</v>
      </c>
      <c r="BK22" s="33">
        <f>(AN22+AO22)/(AM22+AO22)</f>
        <v>0</v>
      </c>
      <c r="BL22" s="4"/>
      <c r="BM22" s="127">
        <f>CF22/102</f>
        <v>2.9411764705882353E-2</v>
      </c>
      <c r="BN22" s="127">
        <f>C22/2</f>
        <v>0.5</v>
      </c>
      <c r="BO22" s="4"/>
      <c r="BP22" s="127">
        <f>(AK22)/($AW$6)</f>
        <v>2.0202020202020204E-2</v>
      </c>
      <c r="BQ22" s="127">
        <f ca="1">(CH22-$AW$4)/((YEAR($C$13))-$AW$4)</f>
        <v>0.2</v>
      </c>
      <c r="BR22" s="127">
        <f>(AL22)/($AW$6)</f>
        <v>0</v>
      </c>
      <c r="BS22" s="4"/>
      <c r="BT22" s="127"/>
      <c r="BU22" s="127">
        <f ca="1">(CG22-$AW$4)/((YEAR($C$13))-$AW$4)</f>
        <v>0.13333333333333333</v>
      </c>
      <c r="BV22" s="127">
        <f>AE22/5</f>
        <v>0.2</v>
      </c>
      <c r="BW22" s="127">
        <f>AF22/5</f>
        <v>0.8</v>
      </c>
      <c r="BX22" s="4"/>
      <c r="BY22" s="148" t="str">
        <f>IF(E22="A",".98",IF(E22="B",".99",IF(E22="C","1.00",IF(E22="D","1.00" ))))</f>
        <v>1.00</v>
      </c>
      <c r="BZ22" s="127">
        <f>(CE22+7)/10</f>
        <v>1</v>
      </c>
      <c r="CA22" s="76" t="str">
        <f>IF(D22="Fern",".97",IF(D22="Grass",".99",IF(D22="Herb",".97",IF(D22="Shrub",".99",IF(D22="Tree","1.00",IF(D22="Vine",".98"))))))</f>
        <v>.97</v>
      </c>
      <c r="CB22" s="149" t="str">
        <f>IF(R22="Bogs Ponds Streams",".96", IF(R22="Coastal Areas",".97",IF(R22="Meadows Dry Open",".96",IF(R22="Forest &amp; Understory",".97",IF(R22="Moist Open",".98",IF(R22="Moist Shady",".96",IF(R22="Sub-Alpine","1.0")))))))</f>
        <v>.97</v>
      </c>
      <c r="CC22" s="76" t="str">
        <f>IF(S22="Local Endemic",".50",IF(S22="Regional Endemic",".70",IF(S22="Cascadia",".90",IF(S22="Rocky Mountain",".95",IF(S22="North America",".99")))))</f>
        <v>.90</v>
      </c>
      <c r="CD22" s="4"/>
      <c r="CE22" s="21">
        <f>IF(W22&gt;3,3,W22)</f>
        <v>3</v>
      </c>
      <c r="CF22" s="21">
        <f>IF(AC22&gt;102,102,AC22)</f>
        <v>3</v>
      </c>
      <c r="CG22" s="34">
        <f>IF(AI22&lt;$AW$4,$AW$4,AI22)</f>
        <v>2006</v>
      </c>
      <c r="CH22" s="34">
        <f>IF(AJ22&lt;$AW$4,$AW$4,AJ22)</f>
        <v>2007</v>
      </c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12"/>
    </row>
    <row r="23" spans="1:115" s="13" customFormat="1" ht="15" customHeight="1" x14ac:dyDescent="0.3">
      <c r="A23" s="235"/>
      <c r="B23" s="218"/>
      <c r="C23" s="225">
        <v>8</v>
      </c>
      <c r="D23" s="59" t="s">
        <v>2507</v>
      </c>
      <c r="E23" s="59" t="s">
        <v>2501</v>
      </c>
      <c r="F23" s="397" t="str">
        <f ca="1">IF(BC23&lt;2025, "Extinct&lt; 6Yrs?",BA23)</f>
        <v>Abundant</v>
      </c>
      <c r="G23" s="363" t="s">
        <v>525</v>
      </c>
      <c r="H23" s="363" t="s">
        <v>689</v>
      </c>
      <c r="I23" s="366" t="s">
        <v>1842</v>
      </c>
      <c r="J23" s="365" t="s">
        <v>3210</v>
      </c>
      <c r="K23" s="365" t="s">
        <v>542</v>
      </c>
      <c r="L23" s="10" t="s">
        <v>1723</v>
      </c>
      <c r="M23" s="8" t="s">
        <v>4104</v>
      </c>
      <c r="N23" s="8" t="s">
        <v>4998</v>
      </c>
      <c r="O23" s="8" t="s">
        <v>5895</v>
      </c>
      <c r="P23" s="9" t="s">
        <v>731</v>
      </c>
      <c r="Q23" s="59" t="s">
        <v>2559</v>
      </c>
      <c r="R23" s="160" t="s">
        <v>2497</v>
      </c>
      <c r="S23" s="10" t="s">
        <v>2459</v>
      </c>
      <c r="T23" s="123" t="str">
        <f>IF(R23="Bogs Ponds Streams","20",IF(R23="Coastal Areas","26",IF(R23="Meadows Dry Open","10",IF(R23="Forest &amp; Understory","14",IF(R23="Moist Open","12",IF(R23="Moist Shady","10",IF(R23="Sub-Alpine Slopes","0")))))))</f>
        <v>12</v>
      </c>
      <c r="U23" s="123" t="str">
        <f>IF(R23="Bogs Ponds Streams","52",IF(R23="Coastal Areas","51",IF(R23="Meadows Dry Open","53",IF(R23="Forest &amp; Understory","52",IF(R23="Moist Open","50",IF(R23="Moist Shady","46",IF(R23="Sub-Alpine Slopes","40")))))))</f>
        <v>50</v>
      </c>
      <c r="V23" s="123" t="str">
        <f>IF(R23="Bogs Ponds Streams","84",IF(R23="Coastal Areas","76",IF(R23="Meadows Dry Open","96", IF(R23="Forest &amp; Understory","90", IF(R23="Moist Open","88", IF(R23="Moist Shady","82", IF(R23="Sub-Alpine Slopes","80")))))))</f>
        <v>88</v>
      </c>
      <c r="W23" s="59">
        <v>20</v>
      </c>
      <c r="X23" s="59">
        <v>0</v>
      </c>
      <c r="Y23" s="59">
        <v>5000</v>
      </c>
      <c r="Z23" s="59" t="s">
        <v>2519</v>
      </c>
      <c r="AA23" s="59" t="s">
        <v>2518</v>
      </c>
      <c r="AB23" s="59">
        <v>6.8</v>
      </c>
      <c r="AC23" s="45">
        <f>C23+AK23+(0.1)*AL23</f>
        <v>107.9</v>
      </c>
      <c r="AD23" s="77">
        <v>116</v>
      </c>
      <c r="AE23" s="59">
        <v>5</v>
      </c>
      <c r="AF23" s="59">
        <v>5</v>
      </c>
      <c r="AG23" s="59">
        <v>1900</v>
      </c>
      <c r="AH23" s="77">
        <v>0</v>
      </c>
      <c r="AI23" s="59">
        <f ca="1">AJ23</f>
        <v>2019</v>
      </c>
      <c r="AJ23" s="18">
        <f ca="1">YEAR(TODAY())</f>
        <v>2019</v>
      </c>
      <c r="AK23" s="18">
        <v>99</v>
      </c>
      <c r="AL23" s="18">
        <v>9</v>
      </c>
      <c r="AM23" s="18">
        <v>1</v>
      </c>
      <c r="AN23" s="18">
        <v>1</v>
      </c>
      <c r="AO23" s="24">
        <v>1</v>
      </c>
      <c r="AP23" s="24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233"/>
      <c r="AZ23" s="4"/>
      <c r="BA23" s="35" t="str">
        <f ca="1">IF(OR(S23="North America",S23="Rocky Mountain"), "Widespread",BC23)</f>
        <v>Abundant</v>
      </c>
      <c r="BB23" s="4"/>
      <c r="BC23" s="35" t="str">
        <f ca="1">IF(BE23&gt;2046, "Abundant",BE23)</f>
        <v>Abundant</v>
      </c>
      <c r="BD23" s="4"/>
      <c r="BE23" s="81">
        <f ca="1">YEAR($C$13)+(BG23*80)</f>
        <v>2122.9616000000001</v>
      </c>
      <c r="BF23" s="4"/>
      <c r="BG23" s="137">
        <f ca="1">BH23*$BH$14</f>
        <v>1.29952</v>
      </c>
      <c r="BH23" s="137">
        <f ca="1">(((BJ23+BK23+BM23+BN23)/4)*$BM$11)+(((BP23+BQ23)/2)*$BQ$11)+(((BU23+BV23+BW23)/3)*$BU$11)+(((BY23+BZ23+CA23+CB23+CC23)/5)*$CA$11)</f>
        <v>1.29952</v>
      </c>
      <c r="BI23" s="4"/>
      <c r="BJ23" s="33">
        <f>AP23/(AM23+AO23)</f>
        <v>0</v>
      </c>
      <c r="BK23" s="33">
        <f>(AN23+AO23)/(AM23+AO23)</f>
        <v>1</v>
      </c>
      <c r="BL23" s="4"/>
      <c r="BM23" s="127">
        <f>CF23/102</f>
        <v>1</v>
      </c>
      <c r="BN23" s="127">
        <f>C23/2</f>
        <v>4</v>
      </c>
      <c r="BO23" s="4"/>
      <c r="BP23" s="127">
        <f>(AK23)/($AW$6)</f>
        <v>1</v>
      </c>
      <c r="BQ23" s="127">
        <f ca="1">(CH23-$AW$4)/((YEAR($C$13))-$AW$4)</f>
        <v>1</v>
      </c>
      <c r="BR23" s="127">
        <f>(AL23)/($AW$6)</f>
        <v>9.0909090909090912E-2</v>
      </c>
      <c r="BS23" s="4"/>
      <c r="BT23" s="127"/>
      <c r="BU23" s="127">
        <f ca="1">(CG23-$AW$4)/((YEAR($C$13))-$AW$4)</f>
        <v>1</v>
      </c>
      <c r="BV23" s="127">
        <f>AE23/5</f>
        <v>1</v>
      </c>
      <c r="BW23" s="127">
        <f>AF23/5</f>
        <v>1</v>
      </c>
      <c r="BX23" s="4"/>
      <c r="BY23" s="148" t="str">
        <f>IF(E23="A",".98",IF(E23="B",".99",IF(E23="C","1.00",IF(E23="D","1.00" ))))</f>
        <v>1.00</v>
      </c>
      <c r="BZ23" s="127">
        <f>(CE23+7)/10</f>
        <v>1</v>
      </c>
      <c r="CA23" s="76" t="str">
        <f>IF(D23="Fern",".97",IF(D23="Grass",".99",IF(D23="Herb",".97",IF(D23="Shrub",".99",IF(D23="Tree","1.00",IF(D23="Vine",".98"))))))</f>
        <v>1.00</v>
      </c>
      <c r="CB23" s="149" t="str">
        <f>IF(R23="Bogs Ponds Streams",".96", IF(R23="Coastal Areas",".97",IF(R23="Meadows Dry Open",".96",IF(R23="Forest &amp; Understory",".97",IF(R23="Moist Open",".98",IF(R23="Moist Shady",".96",IF(R23="Sub-Alpine","1.0")))))))</f>
        <v>.98</v>
      </c>
      <c r="CC23" s="76" t="str">
        <f>IF(S23="Local Endemic",".50",IF(S23="Regional Endemic",".70",IF(S23="Cascadia",".90",IF(S23="Rocky Mountain",".95",IF(S23="North America",".99")))))</f>
        <v>.90</v>
      </c>
      <c r="CD23" s="4"/>
      <c r="CE23" s="21">
        <f>IF(W23&gt;3,3,W23)</f>
        <v>3</v>
      </c>
      <c r="CF23" s="21">
        <f>IF(AC23&gt;102,102,AC23)</f>
        <v>102</v>
      </c>
      <c r="CG23" s="34">
        <f ca="1">IF(AI23&lt;$AW$4,$AW$4,AI23)</f>
        <v>2019</v>
      </c>
      <c r="CH23" s="34">
        <f ca="1">IF(AJ23&lt;$AW$4,$AW$4,AJ23)</f>
        <v>2019</v>
      </c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12"/>
    </row>
    <row r="24" spans="1:115" s="13" customFormat="1" ht="15" customHeight="1" x14ac:dyDescent="0.3">
      <c r="A24" s="235"/>
      <c r="B24" s="218"/>
      <c r="C24" s="225">
        <v>8</v>
      </c>
      <c r="D24" s="59" t="s">
        <v>2507</v>
      </c>
      <c r="E24" s="59" t="s">
        <v>2501</v>
      </c>
      <c r="F24" s="397" t="str">
        <f ca="1">IF(BC24&lt;2025, "Extinct&lt; 6Yrs?",BA24)</f>
        <v>Widespread</v>
      </c>
      <c r="G24" s="363" t="s">
        <v>525</v>
      </c>
      <c r="H24" s="363" t="s">
        <v>689</v>
      </c>
      <c r="I24" s="366" t="s">
        <v>1843</v>
      </c>
      <c r="J24" s="365" t="s">
        <v>3194</v>
      </c>
      <c r="K24" s="365" t="s">
        <v>778</v>
      </c>
      <c r="L24" s="10" t="s">
        <v>1724</v>
      </c>
      <c r="M24" s="8" t="s">
        <v>4105</v>
      </c>
      <c r="N24" s="8" t="s">
        <v>4999</v>
      </c>
      <c r="O24" s="8" t="s">
        <v>5896</v>
      </c>
      <c r="P24" s="9" t="s">
        <v>731</v>
      </c>
      <c r="Q24" s="59" t="s">
        <v>2557</v>
      </c>
      <c r="R24" s="9" t="s">
        <v>2497</v>
      </c>
      <c r="S24" s="10" t="s">
        <v>2479</v>
      </c>
      <c r="T24" s="123" t="str">
        <f>IF(R24="Bogs Ponds Streams","20",IF(R24="Coastal Areas","26",IF(R24="Meadows Dry Open","10",IF(R24="Forest &amp; Understory","14",IF(R24="Moist Open","12",IF(R24="Moist Shady","10",IF(R24="Sub-Alpine Slopes","0")))))))</f>
        <v>12</v>
      </c>
      <c r="U24" s="123" t="str">
        <f>IF(R24="Bogs Ponds Streams","52",IF(R24="Coastal Areas","51",IF(R24="Meadows Dry Open","53",IF(R24="Forest &amp; Understory","52",IF(R24="Moist Open","50",IF(R24="Moist Shady","46",IF(R24="Sub-Alpine Slopes","40")))))))</f>
        <v>50</v>
      </c>
      <c r="V24" s="123" t="str">
        <f>IF(R24="Bogs Ponds Streams","84",IF(R24="Coastal Areas","76",IF(R24="Meadows Dry Open","96", IF(R24="Forest &amp; Understory","90", IF(R24="Moist Open","88", IF(R24="Moist Shady","82", IF(R24="Sub-Alpine Slopes","80")))))))</f>
        <v>88</v>
      </c>
      <c r="W24" s="59">
        <v>70</v>
      </c>
      <c r="X24" s="59">
        <v>0</v>
      </c>
      <c r="Y24" s="59">
        <v>3500</v>
      </c>
      <c r="Z24" s="59" t="s">
        <v>2519</v>
      </c>
      <c r="AA24" s="59" t="s">
        <v>2518</v>
      </c>
      <c r="AB24" s="59">
        <v>6.8</v>
      </c>
      <c r="AC24" s="45">
        <f>C24+AK24+(0.1)*AL24</f>
        <v>112.5</v>
      </c>
      <c r="AD24" s="77">
        <v>240</v>
      </c>
      <c r="AE24" s="59">
        <v>5</v>
      </c>
      <c r="AF24" s="59">
        <v>5</v>
      </c>
      <c r="AG24" s="59">
        <v>1900</v>
      </c>
      <c r="AH24" s="77">
        <v>0</v>
      </c>
      <c r="AI24" s="59">
        <f ca="1">AJ24</f>
        <v>2019</v>
      </c>
      <c r="AJ24" s="18">
        <f ca="1">YEAR(TODAY())</f>
        <v>2019</v>
      </c>
      <c r="AK24" s="18">
        <v>99</v>
      </c>
      <c r="AL24" s="18">
        <v>55</v>
      </c>
      <c r="AM24" s="18">
        <v>1</v>
      </c>
      <c r="AN24" s="18">
        <v>1</v>
      </c>
      <c r="AO24" s="18">
        <v>5</v>
      </c>
      <c r="AP24" s="18">
        <v>1</v>
      </c>
      <c r="AQ24" s="18">
        <v>0</v>
      </c>
      <c r="AR24" s="18">
        <v>0</v>
      </c>
      <c r="AS24" s="18">
        <v>0</v>
      </c>
      <c r="AT24" s="18">
        <v>0</v>
      </c>
      <c r="AU24" s="18">
        <v>0</v>
      </c>
      <c r="AV24" s="18">
        <v>0</v>
      </c>
      <c r="AW24" s="18">
        <v>0</v>
      </c>
      <c r="AX24" s="18">
        <v>0</v>
      </c>
      <c r="AY24" s="233"/>
      <c r="AZ24" s="4"/>
      <c r="BA24" s="35" t="str">
        <f>IF(OR(S24="North America",S24="Rocky Mountain"), "Widespread",BC24)</f>
        <v>Widespread</v>
      </c>
      <c r="BB24" s="4"/>
      <c r="BC24" s="35" t="str">
        <f ca="1">IF(BE24&gt;2046, "Abundant",BE24)</f>
        <v>Abundant</v>
      </c>
      <c r="BD24" s="4"/>
      <c r="BE24" s="81">
        <f ca="1">YEAR($C$13)+(BG24*80)</f>
        <v>2124.9776000000002</v>
      </c>
      <c r="BF24" s="4"/>
      <c r="BG24" s="137">
        <f ca="1">BH24*$BH$14</f>
        <v>1.3247200000000001</v>
      </c>
      <c r="BH24" s="137">
        <f ca="1">(((BJ24+BK24+BM24+BN24)/4)*$BM$11)+(((BP24+BQ24)/2)*$BQ$11)+(((BU24+BV24+BW24)/3)*$BU$11)+(((BY24+BZ24+CA24+CB24+CC24)/5)*$CA$11)</f>
        <v>1.3247200000000001</v>
      </c>
      <c r="BI24" s="4"/>
      <c r="BJ24" s="33">
        <f>AP24/(AM24+AO24)</f>
        <v>0.16666666666666666</v>
      </c>
      <c r="BK24" s="33">
        <f>(AN24+AO24)/(AM24+AO24)</f>
        <v>1</v>
      </c>
      <c r="BL24" s="4"/>
      <c r="BM24" s="127">
        <f>CF24/102</f>
        <v>1</v>
      </c>
      <c r="BN24" s="127">
        <f>C24/2</f>
        <v>4</v>
      </c>
      <c r="BO24" s="4"/>
      <c r="BP24" s="127">
        <f>(AK24)/($AW$6)</f>
        <v>1</v>
      </c>
      <c r="BQ24" s="127">
        <f ca="1">(CH24-$AW$4)/((YEAR($C$13))-$AW$4)</f>
        <v>1</v>
      </c>
      <c r="BR24" s="127">
        <f>(AL24)/($AW$6)</f>
        <v>0.55555555555555558</v>
      </c>
      <c r="BS24" s="4"/>
      <c r="BT24" s="127"/>
      <c r="BU24" s="127">
        <f ca="1">(CG24-$AW$4)/((YEAR($C$13))-$AW$4)</f>
        <v>1</v>
      </c>
      <c r="BV24" s="127">
        <f>AE24/5</f>
        <v>1</v>
      </c>
      <c r="BW24" s="127">
        <f>AF24/5</f>
        <v>1</v>
      </c>
      <c r="BX24" s="4"/>
      <c r="BY24" s="148" t="str">
        <f>IF(E24="A",".98",IF(E24="B",".99",IF(E24="C","1.00",IF(E24="D","1.00" ))))</f>
        <v>1.00</v>
      </c>
      <c r="BZ24" s="127">
        <f>(CE24+7)/10</f>
        <v>1</v>
      </c>
      <c r="CA24" s="76" t="str">
        <f>IF(D24="Fern",".97",IF(D24="Grass",".99",IF(D24="Herb",".97",IF(D24="Shrub",".99",IF(D24="Tree","1.00",IF(D24="Vine",".98"))))))</f>
        <v>1.00</v>
      </c>
      <c r="CB24" s="149" t="str">
        <f>IF(R24="Bogs Ponds Streams",".96", IF(R24="Coastal Areas",".97",IF(R24="Meadows Dry Open",".96",IF(R24="Forest &amp; Understory",".97",IF(R24="Moist Open",".98",IF(R24="Moist Shady",".96",IF(R24="Sub-Alpine","1.0")))))))</f>
        <v>.98</v>
      </c>
      <c r="CC24" s="76" t="str">
        <f>IF(S24="Local Endemic",".50",IF(S24="Regional Endemic",".70",IF(S24="Cascadia",".90",IF(S24="Rocky Mountain",".95",IF(S24="North America",".99")))))</f>
        <v>.95</v>
      </c>
      <c r="CD24" s="4"/>
      <c r="CE24" s="21">
        <f>IF(W24&gt;3,3,W24)</f>
        <v>3</v>
      </c>
      <c r="CF24" s="21">
        <f>IF(AC24&gt;102,102,AC24)</f>
        <v>102</v>
      </c>
      <c r="CG24" s="34">
        <f ca="1">IF(AI24&lt;$AW$4,$AW$4,AI24)</f>
        <v>2019</v>
      </c>
      <c r="CH24" s="34">
        <f ca="1">IF(AJ24&lt;$AW$4,$AW$4,AJ24)</f>
        <v>2019</v>
      </c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12"/>
    </row>
    <row r="25" spans="1:115" s="13" customFormat="1" ht="15" customHeight="1" x14ac:dyDescent="0.3">
      <c r="A25" s="235"/>
      <c r="B25" s="218"/>
      <c r="C25" s="225">
        <v>8</v>
      </c>
      <c r="D25" s="59" t="s">
        <v>2507</v>
      </c>
      <c r="E25" s="59" t="s">
        <v>2501</v>
      </c>
      <c r="F25" s="397" t="str">
        <f ca="1">IF(BC25&lt;2025, "Extinct&lt; 6Yrs?",BA25)</f>
        <v>Abundant</v>
      </c>
      <c r="G25" s="363" t="s">
        <v>525</v>
      </c>
      <c r="H25" s="363" t="s">
        <v>689</v>
      </c>
      <c r="I25" s="364" t="s">
        <v>1844</v>
      </c>
      <c r="J25" s="365" t="s">
        <v>3195</v>
      </c>
      <c r="K25" s="365" t="s">
        <v>777</v>
      </c>
      <c r="L25" s="10" t="s">
        <v>1725</v>
      </c>
      <c r="M25" s="8" t="s">
        <v>4106</v>
      </c>
      <c r="N25" s="8" t="s">
        <v>5000</v>
      </c>
      <c r="O25" s="8" t="s">
        <v>5897</v>
      </c>
      <c r="P25" s="9" t="s">
        <v>731</v>
      </c>
      <c r="Q25" s="59" t="s">
        <v>2560</v>
      </c>
      <c r="R25" s="9" t="s">
        <v>2497</v>
      </c>
      <c r="S25" s="10" t="s">
        <v>2459</v>
      </c>
      <c r="T25" s="123" t="str">
        <f>IF(R25="Bogs Ponds Streams","20",IF(R25="Coastal Areas","26",IF(R25="Meadows Dry Open","10",IF(R25="Forest &amp; Understory","14",IF(R25="Moist Open","12",IF(R25="Moist Shady","10",IF(R25="Sub-Alpine Slopes","0")))))))</f>
        <v>12</v>
      </c>
      <c r="U25" s="123" t="str">
        <f>IF(R25="Bogs Ponds Streams","52",IF(R25="Coastal Areas","51",IF(R25="Meadows Dry Open","53",IF(R25="Forest &amp; Understory","52",IF(R25="Moist Open","50",IF(R25="Moist Shady","46",IF(R25="Sub-Alpine Slopes","40")))))))</f>
        <v>50</v>
      </c>
      <c r="V25" s="123" t="str">
        <f>IF(R25="Bogs Ponds Streams","84",IF(R25="Coastal Areas","76",IF(R25="Meadows Dry Open","96", IF(R25="Forest &amp; Understory","90", IF(R25="Moist Open","88", IF(R25="Moist Shady","82", IF(R25="Sub-Alpine Slopes","80")))))))</f>
        <v>88</v>
      </c>
      <c r="W25" s="59">
        <v>90</v>
      </c>
      <c r="X25" s="59">
        <v>0</v>
      </c>
      <c r="Y25" s="59">
        <v>2000</v>
      </c>
      <c r="Z25" s="59" t="s">
        <v>2519</v>
      </c>
      <c r="AA25" s="59" t="s">
        <v>2518</v>
      </c>
      <c r="AB25" s="59">
        <v>6.8</v>
      </c>
      <c r="AC25" s="45">
        <f>C25+AK25+(0.1)*AL25</f>
        <v>107.9</v>
      </c>
      <c r="AD25" s="77">
        <v>103</v>
      </c>
      <c r="AE25" s="59">
        <v>5</v>
      </c>
      <c r="AF25" s="59">
        <v>5</v>
      </c>
      <c r="AG25" s="59">
        <v>1900</v>
      </c>
      <c r="AH25" s="77">
        <v>0</v>
      </c>
      <c r="AI25" s="59">
        <f ca="1">AJ25</f>
        <v>2019</v>
      </c>
      <c r="AJ25" s="18">
        <f ca="1">YEAR(TODAY())</f>
        <v>2019</v>
      </c>
      <c r="AK25" s="18">
        <v>99</v>
      </c>
      <c r="AL25" s="18">
        <v>9</v>
      </c>
      <c r="AM25" s="18">
        <v>1</v>
      </c>
      <c r="AN25" s="18">
        <v>1</v>
      </c>
      <c r="AO25" s="18">
        <v>5</v>
      </c>
      <c r="AP25" s="18">
        <v>1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0</v>
      </c>
      <c r="AY25" s="233"/>
      <c r="AZ25" s="4"/>
      <c r="BA25" s="35" t="str">
        <f ca="1">IF(OR(S25="North America",S25="Rocky Mountain"), "Widespread",BC25)</f>
        <v>Abundant</v>
      </c>
      <c r="BB25" s="4"/>
      <c r="BC25" s="35" t="str">
        <f ca="1">IF(BE25&gt;2046, "Abundant",BE25)</f>
        <v>Abundant</v>
      </c>
      <c r="BD25" s="4"/>
      <c r="BE25" s="81">
        <f ca="1">YEAR($C$13)+(BG25*80)</f>
        <v>2124.9616000000001</v>
      </c>
      <c r="BF25" s="4"/>
      <c r="BG25" s="137">
        <f ca="1">BH25*$BH$14</f>
        <v>1.3245200000000001</v>
      </c>
      <c r="BH25" s="137">
        <f ca="1">(((BJ25+BK25+BM25+BN25)/4)*$BM$11)+(((BP25+BQ25)/2)*$BQ$11)+(((BU25+BV25+BW25)/3)*$BU$11)+(((BY25+BZ25+CA25+CB25+CC25)/5)*$CA$11)</f>
        <v>1.3245200000000001</v>
      </c>
      <c r="BI25" s="4"/>
      <c r="BJ25" s="33">
        <f>AP25/(AM25+AO25)</f>
        <v>0.16666666666666666</v>
      </c>
      <c r="BK25" s="33">
        <f>(AN25+AO25)/(AM25+AO25)</f>
        <v>1</v>
      </c>
      <c r="BL25" s="4"/>
      <c r="BM25" s="127">
        <f>CF25/102</f>
        <v>1</v>
      </c>
      <c r="BN25" s="127">
        <f>C25/2</f>
        <v>4</v>
      </c>
      <c r="BO25" s="4"/>
      <c r="BP25" s="127">
        <f>(AK25)/($AW$6)</f>
        <v>1</v>
      </c>
      <c r="BQ25" s="127">
        <f ca="1">(CH25-$AW$4)/((YEAR($C$13))-$AW$4)</f>
        <v>1</v>
      </c>
      <c r="BR25" s="127">
        <f>(AL25)/($AW$6)</f>
        <v>9.0909090909090912E-2</v>
      </c>
      <c r="BS25" s="4"/>
      <c r="BT25" s="127"/>
      <c r="BU25" s="127">
        <f ca="1">(CG25-$AW$4)/((YEAR($C$13))-$AW$4)</f>
        <v>1</v>
      </c>
      <c r="BV25" s="127">
        <f>AE25/5</f>
        <v>1</v>
      </c>
      <c r="BW25" s="127">
        <f>AF25/5</f>
        <v>1</v>
      </c>
      <c r="BX25" s="4"/>
      <c r="BY25" s="148" t="str">
        <f>IF(E25="A",".98",IF(E25="B",".99",IF(E25="C","1.00",IF(E25="D","1.00" ))))</f>
        <v>1.00</v>
      </c>
      <c r="BZ25" s="127">
        <f>(CE25+7)/10</f>
        <v>1</v>
      </c>
      <c r="CA25" s="76" t="str">
        <f>IF(D25="Fern",".97",IF(D25="Grass",".99",IF(D25="Herb",".97",IF(D25="Shrub",".99",IF(D25="Tree","1.00",IF(D25="Vine",".98"))))))</f>
        <v>1.00</v>
      </c>
      <c r="CB25" s="149" t="str">
        <f>IF(R25="Bogs Ponds Streams",".96", IF(R25="Coastal Areas",".97",IF(R25="Meadows Dry Open",".96",IF(R25="Forest &amp; Understory",".97",IF(R25="Moist Open",".98",IF(R25="Moist Shady",".96",IF(R25="Sub-Alpine","1.0")))))))</f>
        <v>.98</v>
      </c>
      <c r="CC25" s="76" t="str">
        <f>IF(S25="Local Endemic",".50",IF(S25="Regional Endemic",".70",IF(S25="Cascadia",".90",IF(S25="Rocky Mountain",".95",IF(S25="North America",".99")))))</f>
        <v>.90</v>
      </c>
      <c r="CD25" s="4"/>
      <c r="CE25" s="21">
        <f>IF(W25&gt;3,3,W25)</f>
        <v>3</v>
      </c>
      <c r="CF25" s="21">
        <f>IF(AC25&gt;102,102,AC25)</f>
        <v>102</v>
      </c>
      <c r="CG25" s="34">
        <f ca="1">IF(AI25&lt;$AW$4,$AW$4,AI25)</f>
        <v>2019</v>
      </c>
      <c r="CH25" s="34">
        <f ca="1">IF(AJ25&lt;$AW$4,$AW$4,AJ25)</f>
        <v>2019</v>
      </c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12"/>
    </row>
    <row r="26" spans="1:115" s="13" customFormat="1" ht="15" customHeight="1" x14ac:dyDescent="0.3">
      <c r="A26" s="235"/>
      <c r="B26" s="218"/>
      <c r="C26" s="225">
        <v>8</v>
      </c>
      <c r="D26" s="59" t="s">
        <v>2505</v>
      </c>
      <c r="E26" s="59" t="s">
        <v>2501</v>
      </c>
      <c r="F26" s="397" t="str">
        <f ca="1">IF(BC26&lt;2025, "Extinct&lt; 6Yrs?",BA26)</f>
        <v>Widespread</v>
      </c>
      <c r="G26" s="363" t="s">
        <v>525</v>
      </c>
      <c r="H26" s="363" t="s">
        <v>679</v>
      </c>
      <c r="I26" s="366" t="s">
        <v>1845</v>
      </c>
      <c r="J26" s="8" t="s">
        <v>3196</v>
      </c>
      <c r="K26" s="365" t="s">
        <v>710</v>
      </c>
      <c r="L26" s="10" t="s">
        <v>1726</v>
      </c>
      <c r="M26" s="8" t="s">
        <v>4107</v>
      </c>
      <c r="N26" s="8" t="s">
        <v>4107</v>
      </c>
      <c r="O26" s="8" t="s">
        <v>5898</v>
      </c>
      <c r="P26" s="9" t="s">
        <v>51</v>
      </c>
      <c r="Q26" s="59" t="s">
        <v>2552</v>
      </c>
      <c r="R26" s="9" t="s">
        <v>2500</v>
      </c>
      <c r="S26" s="9" t="s">
        <v>2495</v>
      </c>
      <c r="T26" s="123" t="str">
        <f>IF(R26="Bogs Ponds Streams","20",IF(R26="Coastal Areas","26",IF(R26="Meadows Dry Open","10",IF(R26="Forest &amp; Understory","14",IF(R26="Moist Open","12",IF(R26="Moist Shady","10",IF(R26="Sub-Alpine Slopes","0")))))))</f>
        <v>10</v>
      </c>
      <c r="U26" s="123" t="str">
        <f>IF(R26="Bogs Ponds Streams","52",IF(R26="Coastal Areas","51",IF(R26="Meadows Dry Open","53",IF(R26="Forest &amp; Understory","52",IF(R26="Moist Open","50",IF(R26="Moist Shady","46",IF(R26="Sub-Alpine Slopes","40")))))))</f>
        <v>53</v>
      </c>
      <c r="V26" s="123" t="str">
        <f>IF(R26="Bogs Ponds Streams","84",IF(R26="Coastal Areas","76",IF(R26="Meadows Dry Open","96", IF(R26="Forest &amp; Understory","90", IF(R26="Moist Open","88", IF(R26="Moist Shady","82", IF(R26="Sub-Alpine Slopes","80")))))))</f>
        <v>96</v>
      </c>
      <c r="W26" s="59">
        <v>20</v>
      </c>
      <c r="X26" s="59">
        <v>0</v>
      </c>
      <c r="Y26" s="59">
        <v>3500</v>
      </c>
      <c r="Z26" s="59" t="s">
        <v>2519</v>
      </c>
      <c r="AA26" s="59" t="s">
        <v>2518</v>
      </c>
      <c r="AB26" s="59">
        <v>6.8</v>
      </c>
      <c r="AC26" s="45">
        <f>C26+AK26+(0.1)*AL26</f>
        <v>107.9</v>
      </c>
      <c r="AD26" s="77">
        <v>445</v>
      </c>
      <c r="AE26" s="59">
        <v>5</v>
      </c>
      <c r="AF26" s="59">
        <v>5</v>
      </c>
      <c r="AG26" s="59">
        <v>1900</v>
      </c>
      <c r="AH26" s="77">
        <v>0</v>
      </c>
      <c r="AI26" s="59">
        <f ca="1">AJ26</f>
        <v>2019</v>
      </c>
      <c r="AJ26" s="18">
        <f ca="1">YEAR(TODAY())</f>
        <v>2019</v>
      </c>
      <c r="AK26" s="18">
        <v>99</v>
      </c>
      <c r="AL26" s="18">
        <v>9</v>
      </c>
      <c r="AM26" s="18">
        <v>1</v>
      </c>
      <c r="AN26" s="18">
        <v>1</v>
      </c>
      <c r="AO26" s="24">
        <v>1</v>
      </c>
      <c r="AP26" s="24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233"/>
      <c r="AZ26" s="4"/>
      <c r="BA26" s="35" t="str">
        <f>IF(OR(S26="North America",S26="Rocky Mountain"), "Widespread",BC26)</f>
        <v>Widespread</v>
      </c>
      <c r="BB26" s="4"/>
      <c r="BC26" s="35" t="str">
        <f ca="1">IF(BE26&gt;2046, "Abundant",BE26)</f>
        <v>Abundant</v>
      </c>
      <c r="BD26" s="4"/>
      <c r="BE26" s="81">
        <f ca="1">YEAR($C$13)+(BG26*80)</f>
        <v>2122.9744000000001</v>
      </c>
      <c r="BF26" s="4"/>
      <c r="BG26" s="137">
        <f ca="1">BH26*$BH$14</f>
        <v>1.2996799999999999</v>
      </c>
      <c r="BH26" s="137">
        <f ca="1">(((BJ26+BK26+BM26+BN26)/4)*$BM$11)+(((BP26+BQ26)/2)*$BQ$11)+(((BU26+BV26+BW26)/3)*$BU$11)+(((BY26+BZ26+CA26+CB26+CC26)/5)*$CA$11)</f>
        <v>1.2996799999999999</v>
      </c>
      <c r="BI26" s="4"/>
      <c r="BJ26" s="33">
        <f>AP26/(AM26+AO26)</f>
        <v>0</v>
      </c>
      <c r="BK26" s="33">
        <f>(AN26+AO26)/(AM26+AO26)</f>
        <v>1</v>
      </c>
      <c r="BL26" s="4"/>
      <c r="BM26" s="127">
        <f>CF26/102</f>
        <v>1</v>
      </c>
      <c r="BN26" s="127">
        <f>C26/2</f>
        <v>4</v>
      </c>
      <c r="BO26" s="4"/>
      <c r="BP26" s="127">
        <f>(AK26)/($AW$6)</f>
        <v>1</v>
      </c>
      <c r="BQ26" s="127">
        <f ca="1">(CH26-$AW$4)/((YEAR($C$13))-$AW$4)</f>
        <v>1</v>
      </c>
      <c r="BR26" s="127">
        <f>(AL26)/($AW$6)</f>
        <v>9.0909090909090912E-2</v>
      </c>
      <c r="BS26" s="4"/>
      <c r="BT26" s="127"/>
      <c r="BU26" s="127">
        <f ca="1">(CG26-$AW$4)/((YEAR($C$13))-$AW$4)</f>
        <v>1</v>
      </c>
      <c r="BV26" s="127">
        <f>AE26/5</f>
        <v>1</v>
      </c>
      <c r="BW26" s="127">
        <f>AF26/5</f>
        <v>1</v>
      </c>
      <c r="BX26" s="4"/>
      <c r="BY26" s="148" t="str">
        <f>IF(E26="A",".98",IF(E26="B",".99",IF(E26="C","1.00",IF(E26="D","1.00" ))))</f>
        <v>1.00</v>
      </c>
      <c r="BZ26" s="127">
        <f>(CE26+7)/10</f>
        <v>1</v>
      </c>
      <c r="CA26" s="76" t="str">
        <f>IF(D26="Fern",".97",IF(D26="Grass",".99",IF(D26="Herb",".97",IF(D26="Shrub",".99",IF(D26="Tree","1.00",IF(D26="Vine",".98"))))))</f>
        <v>.97</v>
      </c>
      <c r="CB26" s="149" t="str">
        <f>IF(R26="Bogs Ponds Streams",".96", IF(R26="Coastal Areas",".97",IF(R26="Meadows Dry Open",".96",IF(R26="Forest &amp; Understory",".97",IF(R26="Moist Open",".98",IF(R26="Moist Shady",".96",IF(R26="Sub-Alpine","1.0")))))))</f>
        <v>.96</v>
      </c>
      <c r="CC26" s="76" t="str">
        <f>IF(S26="Local Endemic",".50",IF(S26="Regional Endemic",".70",IF(S26="Cascadia",".90",IF(S26="Rocky Mountain",".95",IF(S26="North America",".99")))))</f>
        <v>.99</v>
      </c>
      <c r="CD26" s="4"/>
      <c r="CE26" s="21">
        <f>IF(W26&gt;3,3,W26)</f>
        <v>3</v>
      </c>
      <c r="CF26" s="21">
        <f>IF(AC26&gt;102,102,AC26)</f>
        <v>102</v>
      </c>
      <c r="CG26" s="34">
        <f ca="1">IF(AI26&lt;$AW$4,$AW$4,AI26)</f>
        <v>2019</v>
      </c>
      <c r="CH26" s="34">
        <f ca="1">IF(AJ26&lt;$AW$4,$AW$4,AJ26)</f>
        <v>2019</v>
      </c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</row>
    <row r="27" spans="1:115" s="13" customFormat="1" ht="15" customHeight="1" x14ac:dyDescent="0.3">
      <c r="A27" s="235"/>
      <c r="B27" s="218"/>
      <c r="C27" s="225">
        <v>8</v>
      </c>
      <c r="D27" s="59" t="s">
        <v>2505</v>
      </c>
      <c r="E27" s="59" t="s">
        <v>2501</v>
      </c>
      <c r="F27" s="397" t="str">
        <f ca="1">IF(BC27&lt;2025, "Extinct&lt; 6Yrs?",BA27)</f>
        <v>Abundant</v>
      </c>
      <c r="G27" s="363" t="s">
        <v>525</v>
      </c>
      <c r="H27" s="363" t="s">
        <v>687</v>
      </c>
      <c r="I27" s="366" t="s">
        <v>1846</v>
      </c>
      <c r="J27" s="365" t="s">
        <v>3197</v>
      </c>
      <c r="K27" s="365" t="s">
        <v>709</v>
      </c>
      <c r="L27" s="10" t="s">
        <v>1727</v>
      </c>
      <c r="M27" s="8" t="s">
        <v>4108</v>
      </c>
      <c r="N27" s="8" t="s">
        <v>5001</v>
      </c>
      <c r="O27" s="8" t="s">
        <v>5899</v>
      </c>
      <c r="P27" s="9" t="s">
        <v>50</v>
      </c>
      <c r="Q27" s="59" t="s">
        <v>2552</v>
      </c>
      <c r="R27" s="9" t="s">
        <v>2498</v>
      </c>
      <c r="S27" s="10" t="s">
        <v>2459</v>
      </c>
      <c r="T27" s="123" t="str">
        <f>IF(R27="Bogs Ponds Streams","20",IF(R27="Coastal Areas","26",IF(R27="Meadows Dry Open","10",IF(R27="Forest &amp; Understory","14",IF(R27="Moist Open","12",IF(R27="Moist Shady","10",IF(R27="Sub-Alpine Slopes","0")))))))</f>
        <v>10</v>
      </c>
      <c r="U27" s="123" t="str">
        <f>IF(R27="Bogs Ponds Streams","52",IF(R27="Coastal Areas","51",IF(R27="Meadows Dry Open","53",IF(R27="Forest &amp; Understory","52",IF(R27="Moist Open","50",IF(R27="Moist Shady","46",IF(R27="Sub-Alpine Slopes","40")))))))</f>
        <v>46</v>
      </c>
      <c r="V27" s="123" t="str">
        <f>IF(R27="Bogs Ponds Streams","84",IF(R27="Coastal Areas","76",IF(R27="Meadows Dry Open","96", IF(R27="Forest &amp; Understory","90", IF(R27="Moist Open","88", IF(R27="Moist Shady","82", IF(R27="Sub-Alpine Slopes","80")))))))</f>
        <v>82</v>
      </c>
      <c r="W27" s="59">
        <v>20</v>
      </c>
      <c r="X27" s="59">
        <v>0</v>
      </c>
      <c r="Y27" s="59">
        <v>3500</v>
      </c>
      <c r="Z27" s="59" t="s">
        <v>2519</v>
      </c>
      <c r="AA27" s="59" t="s">
        <v>2518</v>
      </c>
      <c r="AB27" s="59">
        <v>6.8</v>
      </c>
      <c r="AC27" s="45">
        <f>C27+AK27+(0.1)*AL27</f>
        <v>49</v>
      </c>
      <c r="AD27" s="77">
        <v>40</v>
      </c>
      <c r="AE27" s="59">
        <v>5</v>
      </c>
      <c r="AF27" s="59">
        <v>5</v>
      </c>
      <c r="AG27" s="59">
        <v>1900</v>
      </c>
      <c r="AH27" s="77">
        <v>0</v>
      </c>
      <c r="AI27" s="59">
        <f ca="1">AJ27</f>
        <v>2019</v>
      </c>
      <c r="AJ27" s="18">
        <f ca="1">YEAR(TODAY())</f>
        <v>2019</v>
      </c>
      <c r="AK27" s="18">
        <v>40</v>
      </c>
      <c r="AL27" s="18">
        <v>10</v>
      </c>
      <c r="AM27" s="18">
        <v>1</v>
      </c>
      <c r="AN27" s="18">
        <v>1</v>
      </c>
      <c r="AO27" s="18">
        <v>5</v>
      </c>
      <c r="AP27" s="18">
        <v>1</v>
      </c>
      <c r="AQ27" s="18">
        <v>0</v>
      </c>
      <c r="AR27" s="18">
        <v>0</v>
      </c>
      <c r="AS27" s="18">
        <v>0</v>
      </c>
      <c r="AT27" s="18">
        <v>0</v>
      </c>
      <c r="AU27" s="18">
        <v>0</v>
      </c>
      <c r="AV27" s="18">
        <v>0</v>
      </c>
      <c r="AW27" s="18">
        <v>0</v>
      </c>
      <c r="AX27" s="18">
        <v>0</v>
      </c>
      <c r="AY27" s="233"/>
      <c r="AZ27" s="4"/>
      <c r="BA27" s="35" t="str">
        <f ca="1">IF(OR(S27="North America",S27="Rocky Mountain"), "Widespread",BC27)</f>
        <v>Abundant</v>
      </c>
      <c r="BB27" s="4"/>
      <c r="BC27" s="35" t="str">
        <f ca="1">IF(BE27&gt;2046, "Abundant",BE27)</f>
        <v>Abundant</v>
      </c>
      <c r="BD27" s="4"/>
      <c r="BE27" s="81">
        <f ca="1">YEAR($C$13)+(BG27*80)</f>
        <v>2111.5587907308377</v>
      </c>
      <c r="BF27" s="4"/>
      <c r="BG27" s="137">
        <f ca="1">BH27*$BH$14</f>
        <v>1.1569848841354724</v>
      </c>
      <c r="BH27" s="137">
        <f ca="1">(((BJ27+BK27+BM27+BN27)/4)*$BM$11)+(((BP27+BQ27)/2)*$BQ$11)+(((BU27+BV27+BW27)/3)*$BU$11)+(((BY27+BZ27+CA27+CB27+CC27)/5)*$CA$11)</f>
        <v>1.1569848841354724</v>
      </c>
      <c r="BI27" s="4"/>
      <c r="BJ27" s="33">
        <f>AP27/(AM27+AO27)</f>
        <v>0.16666666666666666</v>
      </c>
      <c r="BK27" s="33">
        <f>(AN27+AO27)/(AM27+AO27)</f>
        <v>1</v>
      </c>
      <c r="BL27" s="4"/>
      <c r="BM27" s="127">
        <f>CF27/102</f>
        <v>0.48039215686274511</v>
      </c>
      <c r="BN27" s="127">
        <f>C27/2</f>
        <v>4</v>
      </c>
      <c r="BO27" s="4"/>
      <c r="BP27" s="127">
        <f>(AK27)/($AW$6)</f>
        <v>0.40404040404040403</v>
      </c>
      <c r="BQ27" s="127">
        <f ca="1">(CH27-$AW$4)/((YEAR($C$13))-$AW$4)</f>
        <v>1</v>
      </c>
      <c r="BR27" s="127">
        <f>(AL27)/($AW$6)</f>
        <v>0.10101010101010101</v>
      </c>
      <c r="BS27" s="4"/>
      <c r="BT27" s="127"/>
      <c r="BU27" s="127">
        <f ca="1">(CG27-$AW$4)/((YEAR($C$13))-$AW$4)</f>
        <v>1</v>
      </c>
      <c r="BV27" s="127">
        <f>AE27/5</f>
        <v>1</v>
      </c>
      <c r="BW27" s="127">
        <f>AF27/5</f>
        <v>1</v>
      </c>
      <c r="BX27" s="4"/>
      <c r="BY27" s="148" t="str">
        <f>IF(E27="A",".98",IF(E27="B",".99",IF(E27="C","1.00",IF(E27="D","1.00" ))))</f>
        <v>1.00</v>
      </c>
      <c r="BZ27" s="127">
        <f>(CE27+7)/10</f>
        <v>1</v>
      </c>
      <c r="CA27" s="76" t="str">
        <f>IF(D27="Fern",".97",IF(D27="Grass",".99",IF(D27="Herb",".97",IF(D27="Shrub",".99",IF(D27="Tree","1.00",IF(D27="Vine",".98"))))))</f>
        <v>.97</v>
      </c>
      <c r="CB27" s="149" t="str">
        <f>IF(R27="Bogs Ponds Streams",".96", IF(R27="Coastal Areas",".97",IF(R27="Meadows Dry Open",".96",IF(R27="Forest &amp; Understory",".97",IF(R27="Moist Open",".98",IF(R27="Moist Shady",".96",IF(R27="Sub-Alpine","1.0")))))))</f>
        <v>.96</v>
      </c>
      <c r="CC27" s="76" t="str">
        <f>IF(S27="Local Endemic",".50",IF(S27="Regional Endemic",".70",IF(S27="Cascadia",".90",IF(S27="Rocky Mountain",".95",IF(S27="North America",".99")))))</f>
        <v>.90</v>
      </c>
      <c r="CD27" s="4"/>
      <c r="CE27" s="21">
        <f>IF(W27&gt;3,3,W27)</f>
        <v>3</v>
      </c>
      <c r="CF27" s="21">
        <f>IF(AC27&gt;102,102,AC27)</f>
        <v>49</v>
      </c>
      <c r="CG27" s="34">
        <f ca="1">IF(AI27&lt;$AW$4,$AW$4,AI27)</f>
        <v>2019</v>
      </c>
      <c r="CH27" s="34">
        <f ca="1">IF(AJ27&lt;$AW$4,$AW$4,AJ27)</f>
        <v>2019</v>
      </c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</row>
    <row r="28" spans="1:115" s="13" customFormat="1" ht="15" customHeight="1" x14ac:dyDescent="0.3">
      <c r="A28" s="235"/>
      <c r="B28" s="218"/>
      <c r="C28" s="225">
        <v>8</v>
      </c>
      <c r="D28" s="59" t="s">
        <v>2505</v>
      </c>
      <c r="E28" s="59" t="s">
        <v>2501</v>
      </c>
      <c r="F28" s="397" t="str">
        <f ca="1">IF(BC28&lt;2025, "Extinct&lt; 6Yrs?",BA28)</f>
        <v>Widespread</v>
      </c>
      <c r="G28" s="363" t="s">
        <v>525</v>
      </c>
      <c r="H28" s="363" t="s">
        <v>686</v>
      </c>
      <c r="I28" s="365" t="s">
        <v>2578</v>
      </c>
      <c r="J28" s="365" t="s">
        <v>3211</v>
      </c>
      <c r="K28" s="365" t="s">
        <v>1353</v>
      </c>
      <c r="L28" s="10" t="s">
        <v>1354</v>
      </c>
      <c r="M28" s="8" t="s">
        <v>4109</v>
      </c>
      <c r="N28" s="8" t="s">
        <v>5002</v>
      </c>
      <c r="O28" s="8" t="s">
        <v>5900</v>
      </c>
      <c r="P28" s="398" t="s">
        <v>285</v>
      </c>
      <c r="Q28" s="59" t="s">
        <v>2503</v>
      </c>
      <c r="R28" s="160" t="s">
        <v>2497</v>
      </c>
      <c r="S28" s="10" t="s">
        <v>2479</v>
      </c>
      <c r="T28" s="123" t="str">
        <f>IF(R28="Bogs Ponds Streams","20",IF(R28="Coastal Areas","26",IF(R28="Meadows Dry Open","10",IF(R28="Forest &amp; Understory","14",IF(R28="Moist Open","12",IF(R28="Moist Shady","10",IF(R28="Sub-Alpine Slopes","0")))))))</f>
        <v>12</v>
      </c>
      <c r="U28" s="123" t="str">
        <f>IF(R28="Bogs Ponds Streams","52",IF(R28="Coastal Areas","51",IF(R28="Meadows Dry Open","53",IF(R28="Forest &amp; Understory","52",IF(R28="Moist Open","50",IF(R28="Moist Shady","46",IF(R28="Sub-Alpine Slopes","40")))))))</f>
        <v>50</v>
      </c>
      <c r="V28" s="123" t="str">
        <f>IF(R28="Bogs Ponds Streams","84",IF(R28="Coastal Areas","76",IF(R28="Meadows Dry Open","96", IF(R28="Forest &amp; Understory","90", IF(R28="Moist Open","88", IF(R28="Moist Shady","82", IF(R28="Sub-Alpine Slopes","80")))))))</f>
        <v>88</v>
      </c>
      <c r="W28" s="59">
        <v>20</v>
      </c>
      <c r="X28" s="59">
        <v>0</v>
      </c>
      <c r="Y28" s="59">
        <v>3500</v>
      </c>
      <c r="Z28" s="59" t="s">
        <v>2519</v>
      </c>
      <c r="AA28" s="59" t="s">
        <v>2518</v>
      </c>
      <c r="AB28" s="59">
        <v>6.8</v>
      </c>
      <c r="AC28" s="45">
        <f>C28+AK28+(0.1)*AL28</f>
        <v>14.5</v>
      </c>
      <c r="AD28" s="77">
        <v>140</v>
      </c>
      <c r="AE28" s="59">
        <v>5</v>
      </c>
      <c r="AF28" s="59">
        <v>5</v>
      </c>
      <c r="AG28" s="59">
        <v>1900</v>
      </c>
      <c r="AH28" s="77">
        <v>0</v>
      </c>
      <c r="AI28" s="59">
        <f ca="1">AJ28</f>
        <v>2019</v>
      </c>
      <c r="AJ28" s="18">
        <f ca="1">YEAR(TODAY())</f>
        <v>2019</v>
      </c>
      <c r="AK28" s="18">
        <v>1</v>
      </c>
      <c r="AL28" s="18">
        <v>55</v>
      </c>
      <c r="AM28" s="18">
        <v>1</v>
      </c>
      <c r="AN28" s="18">
        <v>1</v>
      </c>
      <c r="AO28" s="18">
        <v>5</v>
      </c>
      <c r="AP28" s="18">
        <v>1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233"/>
      <c r="AZ28" s="4"/>
      <c r="BA28" s="35" t="str">
        <f>IF(OR(S28="North America",S28="Rocky Mountain"), "Widespread",BC28)</f>
        <v>Widespread</v>
      </c>
      <c r="BB28" s="4"/>
      <c r="BC28" s="35" t="str">
        <f ca="1">IF(BE28&gt;2046, "Abundant",BE28)</f>
        <v>Abundant</v>
      </c>
      <c r="BD28" s="4"/>
      <c r="BE28" s="81">
        <f ca="1">YEAR($C$13)+(BG28*80)</f>
        <v>2102.7950944741533</v>
      </c>
      <c r="BF28" s="4"/>
      <c r="BG28" s="137">
        <f ca="1">BH28*$BH$14</f>
        <v>1.0474386809269163</v>
      </c>
      <c r="BH28" s="137">
        <f ca="1">(((BJ28+BK28+BM28+BN28)/4)*$BM$11)+(((BP28+BQ28)/2)*$BQ$11)+(((BU28+BV28+BW28)/3)*$BU$11)+(((BY28+BZ28+CA28+CB28+CC28)/5)*$CA$11)</f>
        <v>1.0474386809269163</v>
      </c>
      <c r="BI28" s="4"/>
      <c r="BJ28" s="33">
        <f>AP28/(AM28+AO28)</f>
        <v>0.16666666666666666</v>
      </c>
      <c r="BK28" s="33">
        <f>(AN28+AO28)/(AM28+AO28)</f>
        <v>1</v>
      </c>
      <c r="BL28" s="4"/>
      <c r="BM28" s="127">
        <f>CF28/102</f>
        <v>0.14215686274509803</v>
      </c>
      <c r="BN28" s="127">
        <f>C28/2</f>
        <v>4</v>
      </c>
      <c r="BO28" s="4"/>
      <c r="BP28" s="127">
        <f>(AK28)/($AW$6)</f>
        <v>1.0101010101010102E-2</v>
      </c>
      <c r="BQ28" s="127">
        <f ca="1">(CH28-$AW$4)/((YEAR($C$13))-$AW$4)</f>
        <v>1</v>
      </c>
      <c r="BR28" s="127">
        <f>(AL28)/($AW$6)</f>
        <v>0.55555555555555558</v>
      </c>
      <c r="BS28" s="4"/>
      <c r="BT28" s="127"/>
      <c r="BU28" s="127">
        <f ca="1">(CG28-$AW$4)/((YEAR($C$13))-$AW$4)</f>
        <v>1</v>
      </c>
      <c r="BV28" s="127">
        <f>AE28/5</f>
        <v>1</v>
      </c>
      <c r="BW28" s="127">
        <f>AF28/5</f>
        <v>1</v>
      </c>
      <c r="BX28" s="4"/>
      <c r="BY28" s="148" t="str">
        <f>IF(E28="A",".98",IF(E28="B",".99",IF(E28="C","1.00",IF(E28="D","1.00" ))))</f>
        <v>1.00</v>
      </c>
      <c r="BZ28" s="127">
        <f>(CE28+7)/10</f>
        <v>1</v>
      </c>
      <c r="CA28" s="76" t="str">
        <f>IF(D28="Fern",".97",IF(D28="Grass",".99",IF(D28="Herb",".97",IF(D28="Shrub",".99",IF(D28="Tree","1.00",IF(D28="Vine",".98"))))))</f>
        <v>.97</v>
      </c>
      <c r="CB28" s="149" t="str">
        <f>IF(R28="Bogs Ponds Streams",".96", IF(R28="Coastal Areas",".97",IF(R28="Meadows Dry Open",".96",IF(R28="Forest &amp; Understory",".97",IF(R28="Moist Open",".98",IF(R28="Moist Shady",".96",IF(R28="Sub-Alpine","1.0")))))))</f>
        <v>.98</v>
      </c>
      <c r="CC28" s="76" t="str">
        <f>IF(S28="Local Endemic",".50",IF(S28="Regional Endemic",".70",IF(S28="Cascadia",".90",IF(S28="Rocky Mountain",".95",IF(S28="North America",".99")))))</f>
        <v>.95</v>
      </c>
      <c r="CD28" s="4"/>
      <c r="CE28" s="21">
        <f>IF(W28&gt;3,3,W28)</f>
        <v>3</v>
      </c>
      <c r="CF28" s="21">
        <f>IF(AC28&gt;102,102,AC28)</f>
        <v>14.5</v>
      </c>
      <c r="CG28" s="34">
        <f ca="1">IF(AI28&lt;$AW$4,$AW$4,AI28)</f>
        <v>2019</v>
      </c>
      <c r="CH28" s="34">
        <f ca="1">IF(AJ28&lt;$AW$4,$AW$4,AJ28)</f>
        <v>2019</v>
      </c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</row>
    <row r="29" spans="1:115" s="13" customFormat="1" ht="15" customHeight="1" x14ac:dyDescent="0.3">
      <c r="A29" s="235"/>
      <c r="B29" s="218"/>
      <c r="C29" s="375">
        <v>1</v>
      </c>
      <c r="D29" s="67" t="s">
        <v>2505</v>
      </c>
      <c r="E29" s="67" t="s">
        <v>2501</v>
      </c>
      <c r="F29" s="403" t="str">
        <f ca="1">IF(BC29&lt;2025, "Extinct&lt; 6Yrs?",BA29)</f>
        <v>Abundant</v>
      </c>
      <c r="G29" s="376" t="s">
        <v>525</v>
      </c>
      <c r="H29" s="376" t="s">
        <v>4028</v>
      </c>
      <c r="I29" s="379" t="s">
        <v>1847</v>
      </c>
      <c r="J29" s="378" t="s">
        <v>3856</v>
      </c>
      <c r="K29" s="378" t="s">
        <v>1206</v>
      </c>
      <c r="L29" s="63" t="s">
        <v>1728</v>
      </c>
      <c r="M29" s="64" t="s">
        <v>4110</v>
      </c>
      <c r="N29" s="64" t="s">
        <v>5003</v>
      </c>
      <c r="O29" s="64" t="s">
        <v>5901</v>
      </c>
      <c r="P29" s="61" t="s">
        <v>285</v>
      </c>
      <c r="Q29" s="67" t="s">
        <v>2552</v>
      </c>
      <c r="R29" s="61" t="s">
        <v>2500</v>
      </c>
      <c r="S29" s="164" t="s">
        <v>2309</v>
      </c>
      <c r="T29" s="134" t="str">
        <f>IF(R29="Bogs Ponds Streams","20",IF(R29="Coastal Areas","26",IF(R29="Meadows Dry Open","10",IF(R29="Forest &amp; Understory","14",IF(R29="Moist Open","12",IF(R29="Moist Shady","10",IF(R29="Sub-Alpine Slopes","0")))))))</f>
        <v>10</v>
      </c>
      <c r="U29" s="134" t="str">
        <f>IF(R29="Bogs Ponds Streams","52",IF(R29="Coastal Areas","51",IF(R29="Meadows Dry Open","53",IF(R29="Forest &amp; Understory","52",IF(R29="Moist Open","50",IF(R29="Moist Shady","46",IF(R29="Sub-Alpine Slopes","40")))))))</f>
        <v>53</v>
      </c>
      <c r="V29" s="134" t="str">
        <f>IF(R29="Bogs Ponds Streams","84",IF(R29="Coastal Areas","76",IF(R29="Meadows Dry Open","96", IF(R29="Forest &amp; Understory","90", IF(R29="Moist Open","88", IF(R29="Moist Shady","82", IF(R29="Sub-Alpine Slopes","80")))))))</f>
        <v>96</v>
      </c>
      <c r="W29" s="67">
        <v>20</v>
      </c>
      <c r="X29" s="67">
        <v>0</v>
      </c>
      <c r="Y29" s="67">
        <v>3500</v>
      </c>
      <c r="Z29" s="67" t="s">
        <v>2519</v>
      </c>
      <c r="AA29" s="67" t="s">
        <v>2518</v>
      </c>
      <c r="AB29" s="67">
        <v>6.8</v>
      </c>
      <c r="AC29" s="85">
        <f>C29+AK29+(0.1)*AL29</f>
        <v>6.1</v>
      </c>
      <c r="AD29" s="78">
        <v>16</v>
      </c>
      <c r="AE29" s="68">
        <v>3</v>
      </c>
      <c r="AF29" s="68">
        <v>4</v>
      </c>
      <c r="AG29" s="78">
        <v>1889</v>
      </c>
      <c r="AH29" s="78">
        <v>0</v>
      </c>
      <c r="AI29" s="78">
        <v>2012</v>
      </c>
      <c r="AJ29" s="69">
        <f ca="1">YEAR(TODAY())</f>
        <v>2019</v>
      </c>
      <c r="AK29" s="69">
        <v>5</v>
      </c>
      <c r="AL29" s="69">
        <v>1</v>
      </c>
      <c r="AM29" s="69">
        <v>1</v>
      </c>
      <c r="AN29" s="69">
        <v>1</v>
      </c>
      <c r="AO29" s="69">
        <v>5</v>
      </c>
      <c r="AP29" s="69">
        <v>1</v>
      </c>
      <c r="AQ29" s="69">
        <v>0</v>
      </c>
      <c r="AR29" s="69">
        <v>0</v>
      </c>
      <c r="AS29" s="69">
        <v>0</v>
      </c>
      <c r="AT29" s="69">
        <v>0</v>
      </c>
      <c r="AU29" s="69">
        <v>0</v>
      </c>
      <c r="AV29" s="69">
        <v>0</v>
      </c>
      <c r="AW29" s="69">
        <v>0</v>
      </c>
      <c r="AX29" s="69">
        <v>0</v>
      </c>
      <c r="AY29" s="233"/>
      <c r="AZ29" s="4"/>
      <c r="BA29" s="35" t="str">
        <f ca="1">IF(OR(S29="North America",S29="Rocky Mountain"), "Widespread",BC29)</f>
        <v>Abundant</v>
      </c>
      <c r="BB29" s="4"/>
      <c r="BC29" s="35" t="str">
        <f ca="1">IF(BE29&gt;2046, "Abundant",BE29)</f>
        <v>Abundant</v>
      </c>
      <c r="BD29" s="4"/>
      <c r="BE29" s="81">
        <f ca="1">YEAR($C$13)+(BG29*80)</f>
        <v>2057.9297521093285</v>
      </c>
      <c r="BF29" s="4"/>
      <c r="BG29" s="137">
        <f ca="1">BH29*$BH$14</f>
        <v>0.48662190136660727</v>
      </c>
      <c r="BH29" s="137">
        <f ca="1">(((BJ29+BK29+BM29+BN29)/4)*$BM$11)+(((BP29+BQ29)/2)*$BQ$11)+(((BU29+BV29+BW29)/3)*$BU$11)+(((BY29+BZ29+CA29+CB29+CC29)/5)*$CA$11)</f>
        <v>0.48662190136660727</v>
      </c>
      <c r="BI29" s="4"/>
      <c r="BJ29" s="33">
        <f>AP29/(AM29+AO29)</f>
        <v>0.16666666666666666</v>
      </c>
      <c r="BK29" s="33">
        <f>(AN29+AO29)/(AM29+AO29)</f>
        <v>1</v>
      </c>
      <c r="BL29" s="4"/>
      <c r="BM29" s="127">
        <f>CF29/102</f>
        <v>5.9803921568627447E-2</v>
      </c>
      <c r="BN29" s="127">
        <f>C29/2</f>
        <v>0.5</v>
      </c>
      <c r="BO29" s="4"/>
      <c r="BP29" s="127">
        <f>(AK29)/($AW$6)</f>
        <v>5.0505050505050504E-2</v>
      </c>
      <c r="BQ29" s="127">
        <f ca="1">(CH29-$AW$4)/((YEAR($C$13))-$AW$4)</f>
        <v>1</v>
      </c>
      <c r="BR29" s="127">
        <f>(AL29)/($AW$6)</f>
        <v>1.0101010101010102E-2</v>
      </c>
      <c r="BS29" s="4"/>
      <c r="BT29" s="127"/>
      <c r="BU29" s="127">
        <f ca="1">(CG29-$AW$4)/((YEAR($C$13))-$AW$4)</f>
        <v>0.53333333333333333</v>
      </c>
      <c r="BV29" s="127">
        <f>AE29/5</f>
        <v>0.6</v>
      </c>
      <c r="BW29" s="127">
        <f>AF29/5</f>
        <v>0.8</v>
      </c>
      <c r="BX29" s="4"/>
      <c r="BY29" s="148" t="str">
        <f>IF(E29="A",".98",IF(E29="B",".99",IF(E29="C","1.00",IF(E29="D","1.00" ))))</f>
        <v>1.00</v>
      </c>
      <c r="BZ29" s="127">
        <f>(CE29+7)/10</f>
        <v>1</v>
      </c>
      <c r="CA29" s="76" t="str">
        <f>IF(D29="Fern",".97",IF(D29="Grass",".99",IF(D29="Herb",".97",IF(D29="Shrub",".99",IF(D29="Tree","1.00",IF(D29="Vine",".98"))))))</f>
        <v>.97</v>
      </c>
      <c r="CB29" s="149" t="str">
        <f>IF(R29="Bogs Ponds Streams",".96", IF(R29="Coastal Areas",".97",IF(R29="Meadows Dry Open",".96",IF(R29="Forest &amp; Understory",".97",IF(R29="Moist Open",".98",IF(R29="Moist Shady",".96",IF(R29="Sub-Alpine","1.0")))))))</f>
        <v>.96</v>
      </c>
      <c r="CC29" s="76" t="str">
        <f>IF(S29="Local Endemic",".50",IF(S29="Regional Endemic",".70",IF(S29="Cascadia",".90",IF(S29="Rocky Mountain",".95",IF(S29="North America",".99")))))</f>
        <v>.70</v>
      </c>
      <c r="CD29" s="4"/>
      <c r="CE29" s="21">
        <f>IF(W29&gt;3,3,W29)</f>
        <v>3</v>
      </c>
      <c r="CF29" s="21">
        <f>IF(AC29&gt;102,102,AC29)</f>
        <v>6.1</v>
      </c>
      <c r="CG29" s="34">
        <f>IF(AI29&lt;$AW$4,$AW$4,AI29)</f>
        <v>2012</v>
      </c>
      <c r="CH29" s="34">
        <f ca="1">IF(AJ29&lt;$AW$4,$AW$4,AJ29)</f>
        <v>2019</v>
      </c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</row>
    <row r="30" spans="1:115" s="13" customFormat="1" ht="15" customHeight="1" x14ac:dyDescent="0.3">
      <c r="A30" s="235"/>
      <c r="B30" s="218"/>
      <c r="C30" s="225">
        <v>8</v>
      </c>
      <c r="D30" s="59" t="s">
        <v>2505</v>
      </c>
      <c r="E30" s="59" t="s">
        <v>2501</v>
      </c>
      <c r="F30" s="397" t="str">
        <f ca="1">IF(BC30&lt;2025, "Extinct&lt; 6Yrs?",BA30)</f>
        <v>Widespread</v>
      </c>
      <c r="G30" s="363" t="s">
        <v>525</v>
      </c>
      <c r="H30" s="363" t="s">
        <v>686</v>
      </c>
      <c r="I30" s="366" t="s">
        <v>1848</v>
      </c>
      <c r="J30" s="365" t="s">
        <v>3198</v>
      </c>
      <c r="K30" s="365" t="s">
        <v>780</v>
      </c>
      <c r="L30" s="10" t="s">
        <v>1729</v>
      </c>
      <c r="M30" s="8" t="s">
        <v>4111</v>
      </c>
      <c r="N30" s="8" t="s">
        <v>5004</v>
      </c>
      <c r="O30" s="8" t="s">
        <v>5902</v>
      </c>
      <c r="P30" s="9" t="s">
        <v>285</v>
      </c>
      <c r="Q30" s="59" t="s">
        <v>2559</v>
      </c>
      <c r="R30" s="9" t="s">
        <v>2500</v>
      </c>
      <c r="S30" s="9" t="s">
        <v>2495</v>
      </c>
      <c r="T30" s="123" t="str">
        <f>IF(R30="Bogs Ponds Streams","20",IF(R30="Coastal Areas","26",IF(R30="Meadows Dry Open","10",IF(R30="Forest &amp; Understory","14",IF(R30="Moist Open","12",IF(R30="Moist Shady","10",IF(R30="Sub-Alpine Slopes","0")))))))</f>
        <v>10</v>
      </c>
      <c r="U30" s="123" t="str">
        <f>IF(R30="Bogs Ponds Streams","52",IF(R30="Coastal Areas","51",IF(R30="Meadows Dry Open","53",IF(R30="Forest &amp; Understory","52",IF(R30="Moist Open","50",IF(R30="Moist Shady","46",IF(R30="Sub-Alpine Slopes","40")))))))</f>
        <v>53</v>
      </c>
      <c r="V30" s="123" t="str">
        <f>IF(R30="Bogs Ponds Streams","84",IF(R30="Coastal Areas","76",IF(R30="Meadows Dry Open","96", IF(R30="Forest &amp; Understory","90", IF(R30="Moist Open","88", IF(R30="Moist Shady","82", IF(R30="Sub-Alpine Slopes","80")))))))</f>
        <v>96</v>
      </c>
      <c r="W30" s="59">
        <v>20</v>
      </c>
      <c r="X30" s="59">
        <v>0</v>
      </c>
      <c r="Y30" s="59">
        <v>3500</v>
      </c>
      <c r="Z30" s="59" t="s">
        <v>2519</v>
      </c>
      <c r="AA30" s="59" t="s">
        <v>2518</v>
      </c>
      <c r="AB30" s="59">
        <v>6.8</v>
      </c>
      <c r="AC30" s="45">
        <f>C30+AK30+(0.1)*AL30</f>
        <v>41.3</v>
      </c>
      <c r="AD30" s="77">
        <v>138</v>
      </c>
      <c r="AE30" s="59">
        <v>5</v>
      </c>
      <c r="AF30" s="59">
        <v>5</v>
      </c>
      <c r="AG30" s="59">
        <v>1900</v>
      </c>
      <c r="AH30" s="77">
        <v>0</v>
      </c>
      <c r="AI30" s="59">
        <f ca="1">AJ30</f>
        <v>2019</v>
      </c>
      <c r="AJ30" s="18">
        <f ca="1">YEAR(TODAY())</f>
        <v>2019</v>
      </c>
      <c r="AK30" s="18">
        <v>33</v>
      </c>
      <c r="AL30" s="18">
        <v>3</v>
      </c>
      <c r="AM30" s="18">
        <v>1</v>
      </c>
      <c r="AN30" s="18">
        <v>1</v>
      </c>
      <c r="AO30" s="18">
        <v>5</v>
      </c>
      <c r="AP30" s="18">
        <v>1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233"/>
      <c r="AZ30" s="4"/>
      <c r="BA30" s="35" t="str">
        <f>IF(OR(S30="North America",S30="Rocky Mountain"), "Widespread",BC30)</f>
        <v>Widespread</v>
      </c>
      <c r="BB30" s="4"/>
      <c r="BC30" s="35" t="str">
        <f ca="1">IF(BE30&gt;2046, "Abundant",BE30)</f>
        <v>Abundant</v>
      </c>
      <c r="BD30" s="4"/>
      <c r="BE30" s="81">
        <f ca="1">YEAR($C$13)+(BG30*80)</f>
        <v>2109.833223529412</v>
      </c>
      <c r="BF30" s="4"/>
      <c r="BG30" s="137">
        <f ca="1">BH30*$BH$14</f>
        <v>1.135415294117647</v>
      </c>
      <c r="BH30" s="137">
        <f ca="1">(((BJ30+BK30+BM30+BN30)/4)*$BM$11)+(((BP30+BQ30)/2)*$BQ$11)+(((BU30+BV30+BW30)/3)*$BU$11)+(((BY30+BZ30+CA30+CB30+CC30)/5)*$CA$11)</f>
        <v>1.135415294117647</v>
      </c>
      <c r="BI30" s="4"/>
      <c r="BJ30" s="33">
        <f>AP30/(AM30+AO30)</f>
        <v>0.16666666666666666</v>
      </c>
      <c r="BK30" s="33">
        <f>(AN30+AO30)/(AM30+AO30)</f>
        <v>1</v>
      </c>
      <c r="BL30" s="4"/>
      <c r="BM30" s="127">
        <f>CF30/102</f>
        <v>0.40490196078431367</v>
      </c>
      <c r="BN30" s="127">
        <f>C30/2</f>
        <v>4</v>
      </c>
      <c r="BO30" s="4"/>
      <c r="BP30" s="127">
        <f>(AK30)/($AW$6)</f>
        <v>0.33333333333333331</v>
      </c>
      <c r="BQ30" s="127">
        <f ca="1">(CH30-$AW$4)/((YEAR($C$13))-$AW$4)</f>
        <v>1</v>
      </c>
      <c r="BR30" s="127">
        <f>(AL30)/($AW$6)</f>
        <v>3.0303030303030304E-2</v>
      </c>
      <c r="BS30" s="4"/>
      <c r="BT30" s="127"/>
      <c r="BU30" s="127">
        <f ca="1">(CG30-$AW$4)/((YEAR($C$13))-$AW$4)</f>
        <v>1</v>
      </c>
      <c r="BV30" s="127">
        <f>AE30/5</f>
        <v>1</v>
      </c>
      <c r="BW30" s="127">
        <f>AF30/5</f>
        <v>1</v>
      </c>
      <c r="BX30" s="4"/>
      <c r="BY30" s="148" t="str">
        <f>IF(E30="A",".98",IF(E30="B",".99",IF(E30="C","1.00",IF(E30="D","1.00" ))))</f>
        <v>1.00</v>
      </c>
      <c r="BZ30" s="127">
        <f>(CE30+7)/10</f>
        <v>1</v>
      </c>
      <c r="CA30" s="76" t="str">
        <f>IF(D30="Fern",".97",IF(D30="Grass",".99",IF(D30="Herb",".97",IF(D30="Shrub",".99",IF(D30="Tree","1.00",IF(D30="Vine",".98"))))))</f>
        <v>.97</v>
      </c>
      <c r="CB30" s="149" t="str">
        <f>IF(R30="Bogs Ponds Streams",".96", IF(R30="Coastal Areas",".97",IF(R30="Meadows Dry Open",".96",IF(R30="Forest &amp; Understory",".97",IF(R30="Moist Open",".98",IF(R30="Moist Shady",".96",IF(R30="Sub-Alpine","1.0")))))))</f>
        <v>.96</v>
      </c>
      <c r="CC30" s="76" t="str">
        <f>IF(S30="Local Endemic",".50",IF(S30="Regional Endemic",".70",IF(S30="Cascadia",".90",IF(S30="Rocky Mountain",".95",IF(S30="North America",".99")))))</f>
        <v>.99</v>
      </c>
      <c r="CD30" s="4"/>
      <c r="CE30" s="21">
        <f>IF(W30&gt;3,3,W30)</f>
        <v>3</v>
      </c>
      <c r="CF30" s="21">
        <f>IF(AC30&gt;102,102,AC30)</f>
        <v>41.3</v>
      </c>
      <c r="CG30" s="34">
        <f ca="1">IF(AI30&lt;$AW$4,$AW$4,AI30)</f>
        <v>2019</v>
      </c>
      <c r="CH30" s="34">
        <f ca="1">IF(AJ30&lt;$AW$4,$AW$4,AJ30)</f>
        <v>2019</v>
      </c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</row>
    <row r="31" spans="1:115" s="13" customFormat="1" ht="15" customHeight="1" x14ac:dyDescent="0.3">
      <c r="A31" s="235"/>
      <c r="B31" s="218"/>
      <c r="C31" s="225">
        <v>8</v>
      </c>
      <c r="D31" s="59" t="s">
        <v>2505</v>
      </c>
      <c r="E31" s="59" t="s">
        <v>2502</v>
      </c>
      <c r="F31" s="397" t="str">
        <f ca="1">IF(BC31&lt;2025, "Extinct&lt; 6Yrs?",BA31)</f>
        <v>Widespread</v>
      </c>
      <c r="G31" s="363" t="s">
        <v>525</v>
      </c>
      <c r="H31" s="363" t="s">
        <v>683</v>
      </c>
      <c r="I31" s="366" t="s">
        <v>1849</v>
      </c>
      <c r="J31" s="365" t="s">
        <v>3199</v>
      </c>
      <c r="K31" s="365" t="s">
        <v>840</v>
      </c>
      <c r="L31" s="10" t="s">
        <v>1730</v>
      </c>
      <c r="M31" s="8" t="s">
        <v>4112</v>
      </c>
      <c r="N31" s="8" t="s">
        <v>5005</v>
      </c>
      <c r="O31" s="8" t="s">
        <v>5903</v>
      </c>
      <c r="P31" s="9" t="s">
        <v>51</v>
      </c>
      <c r="Q31" s="59" t="s">
        <v>2552</v>
      </c>
      <c r="R31" s="9" t="s">
        <v>2498</v>
      </c>
      <c r="S31" s="9" t="s">
        <v>2495</v>
      </c>
      <c r="T31" s="123" t="str">
        <f>IF(R31="Bogs Ponds Streams","20",IF(R31="Coastal Areas","26",IF(R31="Meadows Dry Open","10",IF(R31="Forest &amp; Understory","14",IF(R31="Moist Open","12",IF(R31="Moist Shady","10",IF(R31="Sub-Alpine Slopes","0")))))))</f>
        <v>10</v>
      </c>
      <c r="U31" s="123" t="str">
        <f>IF(R31="Bogs Ponds Streams","52",IF(R31="Coastal Areas","51",IF(R31="Meadows Dry Open","53",IF(R31="Forest &amp; Understory","52",IF(R31="Moist Open","50",IF(R31="Moist Shady","46",IF(R31="Sub-Alpine Slopes","40")))))))</f>
        <v>46</v>
      </c>
      <c r="V31" s="123" t="str">
        <f>IF(R31="Bogs Ponds Streams","84",IF(R31="Coastal Areas","76",IF(R31="Meadows Dry Open","96", IF(R31="Forest &amp; Understory","90", IF(R31="Moist Open","88", IF(R31="Moist Shady","82", IF(R31="Sub-Alpine Slopes","80")))))))</f>
        <v>82</v>
      </c>
      <c r="W31" s="59">
        <v>1</v>
      </c>
      <c r="X31" s="59">
        <v>0</v>
      </c>
      <c r="Y31" s="59">
        <v>3500</v>
      </c>
      <c r="Z31" s="59" t="s">
        <v>2519</v>
      </c>
      <c r="AA31" s="59" t="s">
        <v>2518</v>
      </c>
      <c r="AB31" s="59">
        <v>6.8</v>
      </c>
      <c r="AC31" s="45">
        <f>C31+AK31+(0.1)*AL31</f>
        <v>40</v>
      </c>
      <c r="AD31" s="77">
        <v>86</v>
      </c>
      <c r="AE31" s="59">
        <v>5</v>
      </c>
      <c r="AF31" s="59">
        <v>5</v>
      </c>
      <c r="AG31" s="59">
        <v>1900</v>
      </c>
      <c r="AH31" s="77">
        <v>0</v>
      </c>
      <c r="AI31" s="59">
        <f ca="1">AJ31</f>
        <v>2019</v>
      </c>
      <c r="AJ31" s="18">
        <f ca="1">YEAR(TODAY())</f>
        <v>2019</v>
      </c>
      <c r="AK31" s="18">
        <v>30</v>
      </c>
      <c r="AL31" s="18">
        <v>20</v>
      </c>
      <c r="AM31" s="18">
        <v>1</v>
      </c>
      <c r="AN31" s="18">
        <v>1</v>
      </c>
      <c r="AO31" s="25">
        <v>0</v>
      </c>
      <c r="AP31" s="24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233"/>
      <c r="AZ31" s="4"/>
      <c r="BA31" s="35" t="str">
        <f>IF(OR(S31="North America",S31="Rocky Mountain"), "Widespread",BC31)</f>
        <v>Widespread</v>
      </c>
      <c r="BB31" s="4"/>
      <c r="BC31" s="35" t="str">
        <f ca="1">IF(BE31&gt;2046, "Abundant",BE31)</f>
        <v>Abundant</v>
      </c>
      <c r="BD31" s="4"/>
      <c r="BE31" s="81">
        <f ca="1">YEAR($C$13)+(BG31*80)</f>
        <v>2107.246245989305</v>
      </c>
      <c r="BF31" s="4"/>
      <c r="BG31" s="137">
        <f ca="1">BH31*$BH$14</f>
        <v>1.1030780748663103</v>
      </c>
      <c r="BH31" s="137">
        <f ca="1">(((BJ31+BK31+BM31+BN31)/4)*$BM$11)+(((BP31+BQ31)/2)*$BQ$11)+(((BU31+BV31+BW31)/3)*$BU$11)+(((BY31+BZ31+CA31+CB31+CC31)/5)*$CA$11)</f>
        <v>1.1030780748663103</v>
      </c>
      <c r="BI31" s="4"/>
      <c r="BJ31" s="33">
        <f>AP31/(AM31+AO31)</f>
        <v>0</v>
      </c>
      <c r="BK31" s="33">
        <f>(AN31+AO31)/(AM31+AO31)</f>
        <v>1</v>
      </c>
      <c r="BL31" s="4"/>
      <c r="BM31" s="127">
        <f>CF31/102</f>
        <v>0.39215686274509803</v>
      </c>
      <c r="BN31" s="127">
        <f>C31/2</f>
        <v>4</v>
      </c>
      <c r="BO31" s="4"/>
      <c r="BP31" s="127">
        <f>(AK31)/($AW$6)</f>
        <v>0.30303030303030304</v>
      </c>
      <c r="BQ31" s="127">
        <f ca="1">(CH31-$AW$4)/((YEAR($C$13))-$AW$4)</f>
        <v>1</v>
      </c>
      <c r="BR31" s="127">
        <f>(AL31)/($AW$6)</f>
        <v>0.20202020202020202</v>
      </c>
      <c r="BS31" s="4"/>
      <c r="BT31" s="127"/>
      <c r="BU31" s="127">
        <f ca="1">(CG31-$AW$4)/((YEAR($C$13))-$AW$4)</f>
        <v>1</v>
      </c>
      <c r="BV31" s="127">
        <f>AE31/5</f>
        <v>1</v>
      </c>
      <c r="BW31" s="127">
        <f>AF31/5</f>
        <v>1</v>
      </c>
      <c r="BX31" s="4"/>
      <c r="BY31" s="148" t="str">
        <f>IF(E31="A",".98",IF(E31="B",".99",IF(E31="C","1.00",IF(E31="D","1.00" ))))</f>
        <v>.98</v>
      </c>
      <c r="BZ31" s="127">
        <f>(CE31+7)/10</f>
        <v>0.8</v>
      </c>
      <c r="CA31" s="76" t="str">
        <f>IF(D31="Fern",".97",IF(D31="Grass",".99",IF(D31="Herb",".97",IF(D31="Shrub",".99",IF(D31="Tree","1.00",IF(D31="Vine",".98"))))))</f>
        <v>.97</v>
      </c>
      <c r="CB31" s="149" t="str">
        <f>IF(R31="Bogs Ponds Streams",".96", IF(R31="Coastal Areas",".97",IF(R31="Meadows Dry Open",".96",IF(R31="Forest &amp; Understory",".97",IF(R31="Moist Open",".98",IF(R31="Moist Shady",".96",IF(R31="Sub-Alpine","1.0")))))))</f>
        <v>.96</v>
      </c>
      <c r="CC31" s="76" t="str">
        <f>IF(S31="Local Endemic",".50",IF(S31="Regional Endemic",".70",IF(S31="Cascadia",".90",IF(S31="Rocky Mountain",".95",IF(S31="North America",".99")))))</f>
        <v>.99</v>
      </c>
      <c r="CD31" s="4"/>
      <c r="CE31" s="21">
        <f>IF(W31&gt;3,3,W31)</f>
        <v>1</v>
      </c>
      <c r="CF31" s="21">
        <f>IF(AC31&gt;102,102,AC31)</f>
        <v>40</v>
      </c>
      <c r="CG31" s="34">
        <f ca="1">IF(AI31&lt;$AW$4,$AW$4,AI31)</f>
        <v>2019</v>
      </c>
      <c r="CH31" s="34">
        <f ca="1">IF(AJ31&lt;$AW$4,$AW$4,AJ31)</f>
        <v>2019</v>
      </c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</row>
    <row r="32" spans="1:115" s="13" customFormat="1" ht="15" customHeight="1" x14ac:dyDescent="0.3">
      <c r="A32" s="235"/>
      <c r="B32" s="218"/>
      <c r="C32" s="225">
        <v>8</v>
      </c>
      <c r="D32" s="59" t="s">
        <v>1154</v>
      </c>
      <c r="E32" s="59" t="s">
        <v>2501</v>
      </c>
      <c r="F32" s="397" t="str">
        <f ca="1">IF(BC32&lt;2025, "Extinct&lt; 6Yrs?",BA32)</f>
        <v>Widespread</v>
      </c>
      <c r="G32" s="363" t="s">
        <v>525</v>
      </c>
      <c r="H32" s="363" t="s">
        <v>677</v>
      </c>
      <c r="I32" s="364" t="s">
        <v>1850</v>
      </c>
      <c r="J32" s="365" t="s">
        <v>3200</v>
      </c>
      <c r="K32" s="365" t="s">
        <v>779</v>
      </c>
      <c r="L32" s="10" t="s">
        <v>1731</v>
      </c>
      <c r="M32" s="8" t="s">
        <v>4113</v>
      </c>
      <c r="N32" s="8" t="s">
        <v>5006</v>
      </c>
      <c r="O32" s="8" t="s">
        <v>5904</v>
      </c>
      <c r="P32" s="9" t="s">
        <v>739</v>
      </c>
      <c r="Q32" s="59" t="s">
        <v>2557</v>
      </c>
      <c r="R32" s="9" t="s">
        <v>2498</v>
      </c>
      <c r="S32" s="9" t="s">
        <v>2495</v>
      </c>
      <c r="T32" s="123" t="str">
        <f>IF(R32="Bogs Ponds Streams","20",IF(R32="Coastal Areas","26",IF(R32="Meadows Dry Open","10",IF(R32="Forest &amp; Understory","14",IF(R32="Moist Open","12",IF(R32="Moist Shady","10",IF(R32="Sub-Alpine Slopes","0")))))))</f>
        <v>10</v>
      </c>
      <c r="U32" s="123" t="str">
        <f>IF(R32="Bogs Ponds Streams","52",IF(R32="Coastal Areas","51",IF(R32="Meadows Dry Open","53",IF(R32="Forest &amp; Understory","52",IF(R32="Moist Open","50",IF(R32="Moist Shady","46",IF(R32="Sub-Alpine Slopes","40")))))))</f>
        <v>46</v>
      </c>
      <c r="V32" s="123" t="str">
        <f>IF(R32="Bogs Ponds Streams","84",IF(R32="Coastal Areas","76",IF(R32="Meadows Dry Open","96", IF(R32="Forest &amp; Understory","90", IF(R32="Moist Open","88", IF(R32="Moist Shady","82", IF(R32="Sub-Alpine Slopes","80")))))))</f>
        <v>82</v>
      </c>
      <c r="W32" s="59">
        <v>20</v>
      </c>
      <c r="X32" s="59">
        <v>0</v>
      </c>
      <c r="Y32" s="59">
        <v>3500</v>
      </c>
      <c r="Z32" s="59" t="s">
        <v>2519</v>
      </c>
      <c r="AA32" s="59" t="s">
        <v>2518</v>
      </c>
      <c r="AB32" s="59">
        <v>6.8</v>
      </c>
      <c r="AC32" s="45">
        <f>C32+AK32+(0.1)*AL32</f>
        <v>107.9</v>
      </c>
      <c r="AD32" s="77">
        <v>137</v>
      </c>
      <c r="AE32" s="59">
        <v>5</v>
      </c>
      <c r="AF32" s="59">
        <v>5</v>
      </c>
      <c r="AG32" s="59">
        <v>1900</v>
      </c>
      <c r="AH32" s="77">
        <v>0</v>
      </c>
      <c r="AI32" s="59">
        <f ca="1">AJ32</f>
        <v>2019</v>
      </c>
      <c r="AJ32" s="18">
        <f ca="1">YEAR(TODAY())</f>
        <v>2019</v>
      </c>
      <c r="AK32" s="18">
        <v>99</v>
      </c>
      <c r="AL32" s="18">
        <v>9</v>
      </c>
      <c r="AM32" s="18">
        <v>1</v>
      </c>
      <c r="AN32" s="18">
        <v>1</v>
      </c>
      <c r="AO32" s="18">
        <v>5</v>
      </c>
      <c r="AP32" s="18">
        <v>1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233"/>
      <c r="AZ32" s="4"/>
      <c r="BA32" s="35" t="str">
        <f>IF(OR(S32="North America",S32="Rocky Mountain"), "Widespread",BC32)</f>
        <v>Widespread</v>
      </c>
      <c r="BB32" s="4"/>
      <c r="BC32" s="35" t="str">
        <f ca="1">IF(BE32&gt;2046, "Abundant",BE32)</f>
        <v>Abundant</v>
      </c>
      <c r="BD32" s="4"/>
      <c r="BE32" s="81">
        <f ca="1">YEAR($C$13)+(BG32*80)</f>
        <v>2124.9744000000001</v>
      </c>
      <c r="BF32" s="4"/>
      <c r="BG32" s="137">
        <f ca="1">BH32*$BH$14</f>
        <v>1.3246800000000001</v>
      </c>
      <c r="BH32" s="137">
        <f ca="1">(((BJ32+BK32+BM32+BN32)/4)*$BM$11)+(((BP32+BQ32)/2)*$BQ$11)+(((BU32+BV32+BW32)/3)*$BU$11)+(((BY32+BZ32+CA32+CB32+CC32)/5)*$CA$11)</f>
        <v>1.3246800000000001</v>
      </c>
      <c r="BI32" s="4"/>
      <c r="BJ32" s="33">
        <f>AP32/(AM32+AO32)</f>
        <v>0.16666666666666666</v>
      </c>
      <c r="BK32" s="33">
        <f>(AN32+AO32)/(AM32+AO32)</f>
        <v>1</v>
      </c>
      <c r="BL32" s="4"/>
      <c r="BM32" s="127">
        <f>CF32/102</f>
        <v>1</v>
      </c>
      <c r="BN32" s="127">
        <f>C32/2</f>
        <v>4</v>
      </c>
      <c r="BO32" s="4"/>
      <c r="BP32" s="127">
        <f>(AK32)/($AW$6)</f>
        <v>1</v>
      </c>
      <c r="BQ32" s="127">
        <f ca="1">(CH32-$AW$4)/((YEAR($C$13))-$AW$4)</f>
        <v>1</v>
      </c>
      <c r="BR32" s="127">
        <f>(AL32)/($AW$6)</f>
        <v>9.0909090909090912E-2</v>
      </c>
      <c r="BS32" s="4"/>
      <c r="BT32" s="127"/>
      <c r="BU32" s="127">
        <f ca="1">(CG32-$AW$4)/((YEAR($C$13))-$AW$4)</f>
        <v>1</v>
      </c>
      <c r="BV32" s="127">
        <f>AE32/5</f>
        <v>1</v>
      </c>
      <c r="BW32" s="127">
        <f>AF32/5</f>
        <v>1</v>
      </c>
      <c r="BX32" s="4"/>
      <c r="BY32" s="148" t="str">
        <f>IF(E32="A",".98",IF(E32="B",".99",IF(E32="C","1.00",IF(E32="D","1.00" ))))</f>
        <v>1.00</v>
      </c>
      <c r="BZ32" s="127">
        <f>(CE32+7)/10</f>
        <v>1</v>
      </c>
      <c r="CA32" s="76" t="str">
        <f>IF(D32="Fern",".97",IF(D32="Grass",".99",IF(D32="Herb",".97",IF(D32="Shrub",".99",IF(D32="Tree","1.00",IF(D32="Vine",".98"))))))</f>
        <v>.97</v>
      </c>
      <c r="CB32" s="149" t="str">
        <f>IF(R32="Bogs Ponds Streams",".96", IF(R32="Coastal Areas",".97",IF(R32="Meadows Dry Open",".96",IF(R32="Forest &amp; Understory",".97",IF(R32="Moist Open",".98",IF(R32="Moist Shady",".96",IF(R32="Sub-Alpine","1.0")))))))</f>
        <v>.96</v>
      </c>
      <c r="CC32" s="76" t="str">
        <f>IF(S32="Local Endemic",".50",IF(S32="Regional Endemic",".70",IF(S32="Cascadia",".90",IF(S32="Rocky Mountain",".95",IF(S32="North America",".99")))))</f>
        <v>.99</v>
      </c>
      <c r="CD32" s="4"/>
      <c r="CE32" s="21">
        <f>IF(W32&gt;3,3,W32)</f>
        <v>3</v>
      </c>
      <c r="CF32" s="21">
        <f>IF(AC32&gt;102,102,AC32)</f>
        <v>102</v>
      </c>
      <c r="CG32" s="34">
        <f ca="1">IF(AI32&lt;$AW$4,$AW$4,AI32)</f>
        <v>2019</v>
      </c>
      <c r="CH32" s="34">
        <f ca="1">IF(AJ32&lt;$AW$4,$AW$4,AJ32)</f>
        <v>2019</v>
      </c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</row>
    <row r="33" spans="1:115" s="13" customFormat="1" ht="15" customHeight="1" x14ac:dyDescent="0.3">
      <c r="A33" s="235"/>
      <c r="B33" s="218"/>
      <c r="C33" s="225">
        <v>9</v>
      </c>
      <c r="D33" s="59" t="s">
        <v>1154</v>
      </c>
      <c r="E33" s="59" t="s">
        <v>2501</v>
      </c>
      <c r="F33" s="397" t="str">
        <f ca="1">IF(BC33&lt;2025, "Extinct&lt; 6Yrs?",BA33)</f>
        <v>Widespread</v>
      </c>
      <c r="G33" s="363" t="s">
        <v>525</v>
      </c>
      <c r="H33" s="363" t="s">
        <v>677</v>
      </c>
      <c r="I33" s="364" t="s">
        <v>1851</v>
      </c>
      <c r="J33" s="364" t="s">
        <v>3201</v>
      </c>
      <c r="K33" s="365" t="s">
        <v>2829</v>
      </c>
      <c r="L33" s="10" t="s">
        <v>1732</v>
      </c>
      <c r="M33" s="8" t="s">
        <v>4114</v>
      </c>
      <c r="N33" s="8" t="s">
        <v>5007</v>
      </c>
      <c r="O33" s="8" t="s">
        <v>5905</v>
      </c>
      <c r="P33" s="9" t="s">
        <v>739</v>
      </c>
      <c r="Q33" s="59" t="s">
        <v>2557</v>
      </c>
      <c r="R33" s="160" t="s">
        <v>2498</v>
      </c>
      <c r="S33" s="9" t="s">
        <v>2495</v>
      </c>
      <c r="T33" s="123" t="str">
        <f>IF(R33="Bogs Ponds Streams","20",IF(R33="Coastal Areas","26",IF(R33="Meadows Dry Open","10",IF(R33="Forest &amp; Understory","14",IF(R33="Moist Open","12",IF(R33="Moist Shady","10",IF(R33="Sub-Alpine Slopes","0")))))))</f>
        <v>10</v>
      </c>
      <c r="U33" s="123" t="str">
        <f>IF(R33="Bogs Ponds Streams","52",IF(R33="Coastal Areas","51",IF(R33="Meadows Dry Open","53",IF(R33="Forest &amp; Understory","52",IF(R33="Moist Open","50",IF(R33="Moist Shady","46",IF(R33="Sub-Alpine Slopes","40")))))))</f>
        <v>46</v>
      </c>
      <c r="V33" s="123" t="str">
        <f>IF(R33="Bogs Ponds Streams","84",IF(R33="Coastal Areas","76",IF(R33="Meadows Dry Open","96", IF(R33="Forest &amp; Understory","90", IF(R33="Moist Open","88", IF(R33="Moist Shady","82", IF(R33="Sub-Alpine Slopes","80")))))))</f>
        <v>82</v>
      </c>
      <c r="W33" s="59">
        <v>20</v>
      </c>
      <c r="X33" s="59">
        <v>0</v>
      </c>
      <c r="Y33" s="59">
        <v>3500</v>
      </c>
      <c r="Z33" s="59" t="s">
        <v>2519</v>
      </c>
      <c r="AA33" s="59" t="s">
        <v>2518</v>
      </c>
      <c r="AB33" s="59">
        <v>6.8</v>
      </c>
      <c r="AC33" s="45">
        <f>C33+AK33+(0.1)*AL33</f>
        <v>108.9</v>
      </c>
      <c r="AD33" s="77">
        <v>2</v>
      </c>
      <c r="AE33" s="59">
        <v>5</v>
      </c>
      <c r="AF33" s="59">
        <v>5</v>
      </c>
      <c r="AG33" s="59">
        <v>1900</v>
      </c>
      <c r="AH33" s="77">
        <v>0</v>
      </c>
      <c r="AI33" s="59">
        <f ca="1">AJ33</f>
        <v>2019</v>
      </c>
      <c r="AJ33" s="18">
        <f ca="1">YEAR(TODAY())</f>
        <v>2019</v>
      </c>
      <c r="AK33" s="18">
        <v>99</v>
      </c>
      <c r="AL33" s="18">
        <v>9</v>
      </c>
      <c r="AM33" s="18">
        <v>1</v>
      </c>
      <c r="AN33" s="18">
        <v>1</v>
      </c>
      <c r="AO33" s="18">
        <v>5</v>
      </c>
      <c r="AP33" s="18">
        <v>1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0</v>
      </c>
      <c r="AX33" s="18">
        <v>0</v>
      </c>
      <c r="AY33" s="233"/>
      <c r="AZ33" s="4"/>
      <c r="BA33" s="35" t="str">
        <f>IF(OR(S33="North America",S33="Rocky Mountain"), "Widespread",BC33)</f>
        <v>Widespread</v>
      </c>
      <c r="BB33" s="4"/>
      <c r="BC33" s="35" t="str">
        <f ca="1">IF(BE33&gt;2046, "Abundant",BE33)</f>
        <v>Abundant</v>
      </c>
      <c r="BD33" s="4"/>
      <c r="BE33" s="81">
        <f ca="1">YEAR($C$13)+(BG33*80)</f>
        <v>2130.9744000000001</v>
      </c>
      <c r="BF33" s="4"/>
      <c r="BG33" s="137">
        <f ca="1">BH33*$BH$14</f>
        <v>1.39968</v>
      </c>
      <c r="BH33" s="137">
        <f ca="1">(((BJ33+BK33+BM33+BN33)/4)*$BM$11)+(((BP33+BQ33)/2)*$BQ$11)+(((BU33+BV33+BW33)/3)*$BU$11)+(((BY33+BZ33+CA33+CB33+CC33)/5)*$CA$11)</f>
        <v>1.39968</v>
      </c>
      <c r="BI33" s="4"/>
      <c r="BJ33" s="33">
        <f>AP33/(AM33+AO33)</f>
        <v>0.16666666666666666</v>
      </c>
      <c r="BK33" s="33">
        <f>(AN33+AO33)/(AM33+AO33)</f>
        <v>1</v>
      </c>
      <c r="BL33" s="4"/>
      <c r="BM33" s="127">
        <f>CF33/102</f>
        <v>1</v>
      </c>
      <c r="BN33" s="127">
        <f>C33/2</f>
        <v>4.5</v>
      </c>
      <c r="BO33" s="4"/>
      <c r="BP33" s="127">
        <f>(AK33)/($AW$6)</f>
        <v>1</v>
      </c>
      <c r="BQ33" s="127">
        <f ca="1">(CH33-$AW$4)/((YEAR($C$13))-$AW$4)</f>
        <v>1</v>
      </c>
      <c r="BR33" s="127">
        <f>(AL33)/($AW$6)</f>
        <v>9.0909090909090912E-2</v>
      </c>
      <c r="BS33" s="4"/>
      <c r="BT33" s="127"/>
      <c r="BU33" s="127">
        <f ca="1">(CG33-$AW$4)/((YEAR($C$13))-$AW$4)</f>
        <v>1</v>
      </c>
      <c r="BV33" s="127">
        <f>AE33/5</f>
        <v>1</v>
      </c>
      <c r="BW33" s="127">
        <f>AF33/5</f>
        <v>1</v>
      </c>
      <c r="BX33" s="4"/>
      <c r="BY33" s="148" t="str">
        <f>IF(E33="A",".98",IF(E33="B",".99",IF(E33="C","1.00",IF(E33="D","1.00" ))))</f>
        <v>1.00</v>
      </c>
      <c r="BZ33" s="127">
        <f>(CE33+7)/10</f>
        <v>1</v>
      </c>
      <c r="CA33" s="76" t="str">
        <f>IF(D33="Fern",".97",IF(D33="Grass",".99",IF(D33="Herb",".97",IF(D33="Shrub",".99",IF(D33="Tree","1.00",IF(D33="Vine",".98"))))))</f>
        <v>.97</v>
      </c>
      <c r="CB33" s="149" t="str">
        <f>IF(R33="Bogs Ponds Streams",".96", IF(R33="Coastal Areas",".97",IF(R33="Meadows Dry Open",".96",IF(R33="Forest &amp; Understory",".97",IF(R33="Moist Open",".98",IF(R33="Moist Shady",".96",IF(R33="Sub-Alpine","1.0")))))))</f>
        <v>.96</v>
      </c>
      <c r="CC33" s="76" t="str">
        <f>IF(S33="Local Endemic",".50",IF(S33="Regional Endemic",".70",IF(S33="Cascadia",".90",IF(S33="Rocky Mountain",".95",IF(S33="North America",".99")))))</f>
        <v>.99</v>
      </c>
      <c r="CD33" s="4"/>
      <c r="CE33" s="21">
        <f>IF(W33&gt;3,3,W33)</f>
        <v>3</v>
      </c>
      <c r="CF33" s="21">
        <f>IF(AC33&gt;102,102,AC33)</f>
        <v>102</v>
      </c>
      <c r="CG33" s="34">
        <f ca="1">IF(AI33&lt;$AW$4,$AW$4,AI33)</f>
        <v>2019</v>
      </c>
      <c r="CH33" s="34">
        <f ca="1">IF(AJ33&lt;$AW$4,$AW$4,AJ33)</f>
        <v>2019</v>
      </c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</row>
    <row r="34" spans="1:115" s="13" customFormat="1" ht="15" customHeight="1" x14ac:dyDescent="0.3">
      <c r="A34" s="235"/>
      <c r="B34" s="218"/>
      <c r="C34" s="225">
        <v>8</v>
      </c>
      <c r="D34" s="59" t="s">
        <v>2505</v>
      </c>
      <c r="E34" s="59" t="s">
        <v>2501</v>
      </c>
      <c r="F34" s="397" t="str">
        <f ca="1">IF(BC34&lt;2025, "Extinct&lt; 6Yrs?",BA34)</f>
        <v>Widespread</v>
      </c>
      <c r="G34" s="363" t="s">
        <v>525</v>
      </c>
      <c r="H34" s="363" t="s">
        <v>690</v>
      </c>
      <c r="I34" s="364" t="s">
        <v>2579</v>
      </c>
      <c r="J34" s="365" t="s">
        <v>1214</v>
      </c>
      <c r="K34" s="365" t="s">
        <v>1199</v>
      </c>
      <c r="L34" s="10" t="s">
        <v>1733</v>
      </c>
      <c r="M34" s="8" t="s">
        <v>4115</v>
      </c>
      <c r="N34" s="8" t="s">
        <v>5008</v>
      </c>
      <c r="O34" s="8" t="s">
        <v>5906</v>
      </c>
      <c r="P34" s="9" t="s">
        <v>637</v>
      </c>
      <c r="Q34" s="59" t="s">
        <v>2503</v>
      </c>
      <c r="R34" s="160" t="s">
        <v>2497</v>
      </c>
      <c r="S34" s="9" t="s">
        <v>2495</v>
      </c>
      <c r="T34" s="123" t="str">
        <f>IF(R34="Bogs Ponds Streams","20",IF(R34="Coastal Areas","26",IF(R34="Meadows Dry Open","10",IF(R34="Forest &amp; Understory","14",IF(R34="Moist Open","12",IF(R34="Moist Shady","10",IF(R34="Sub-Alpine Slopes","0")))))))</f>
        <v>12</v>
      </c>
      <c r="U34" s="123" t="str">
        <f>IF(R34="Bogs Ponds Streams","52",IF(R34="Coastal Areas","51",IF(R34="Meadows Dry Open","53",IF(R34="Forest &amp; Understory","52",IF(R34="Moist Open","50",IF(R34="Moist Shady","46",IF(R34="Sub-Alpine Slopes","40")))))))</f>
        <v>50</v>
      </c>
      <c r="V34" s="123" t="str">
        <f>IF(R34="Bogs Ponds Streams","84",IF(R34="Coastal Areas","76",IF(R34="Meadows Dry Open","96", IF(R34="Forest &amp; Understory","90", IF(R34="Moist Open","88", IF(R34="Moist Shady","82", IF(R34="Sub-Alpine Slopes","80")))))))</f>
        <v>88</v>
      </c>
      <c r="W34" s="59">
        <v>20</v>
      </c>
      <c r="X34" s="59">
        <v>0</v>
      </c>
      <c r="Y34" s="59">
        <v>3500</v>
      </c>
      <c r="Z34" s="59" t="s">
        <v>2519</v>
      </c>
      <c r="AA34" s="59" t="s">
        <v>2518</v>
      </c>
      <c r="AB34" s="59">
        <v>6.8</v>
      </c>
      <c r="AC34" s="45">
        <f>C34+AK34+(0.1)*AL34</f>
        <v>11</v>
      </c>
      <c r="AD34" s="77">
        <v>97</v>
      </c>
      <c r="AE34" s="59">
        <v>5</v>
      </c>
      <c r="AF34" s="59">
        <v>5</v>
      </c>
      <c r="AG34" s="59">
        <v>1900</v>
      </c>
      <c r="AH34" s="77">
        <v>0</v>
      </c>
      <c r="AI34" s="59">
        <f ca="1">AJ34</f>
        <v>2019</v>
      </c>
      <c r="AJ34" s="18">
        <f ca="1">YEAR(TODAY())</f>
        <v>2019</v>
      </c>
      <c r="AK34" s="18">
        <v>2</v>
      </c>
      <c r="AL34" s="18">
        <v>10</v>
      </c>
      <c r="AM34" s="18">
        <v>1</v>
      </c>
      <c r="AN34" s="18">
        <v>1</v>
      </c>
      <c r="AO34" s="18">
        <v>3</v>
      </c>
      <c r="AP34" s="18">
        <v>1</v>
      </c>
      <c r="AQ34" s="18">
        <v>0</v>
      </c>
      <c r="AR34" s="18">
        <v>0</v>
      </c>
      <c r="AS34" s="18">
        <v>0</v>
      </c>
      <c r="AT34" s="18">
        <v>0</v>
      </c>
      <c r="AU34" s="18">
        <v>0</v>
      </c>
      <c r="AV34" s="18">
        <v>0</v>
      </c>
      <c r="AW34" s="18">
        <v>0</v>
      </c>
      <c r="AX34" s="18">
        <v>0</v>
      </c>
      <c r="AY34" s="233"/>
      <c r="AZ34" s="4"/>
      <c r="BA34" s="35" t="str">
        <f>IF(OR(S34="North America",S34="Rocky Mountain"), "Widespread",BC34)</f>
        <v>Widespread</v>
      </c>
      <c r="BB34" s="4"/>
      <c r="BC34" s="35" t="str">
        <f ca="1">IF(BE34&gt;2046, "Abundant",BE34)</f>
        <v>Abundant</v>
      </c>
      <c r="BD34" s="4"/>
      <c r="BE34" s="81">
        <f ca="1">YEAR($C$13)+(BG34*80)</f>
        <v>2103.5173418894829</v>
      </c>
      <c r="BF34" s="4"/>
      <c r="BG34" s="137">
        <f ca="1">BH34*$BH$14</f>
        <v>1.0564667736185382</v>
      </c>
      <c r="BH34" s="137">
        <f ca="1">(((BJ34+BK34+BM34+BN34)/4)*$BM$11)+(((BP34+BQ34)/2)*$BQ$11)+(((BU34+BV34+BW34)/3)*$BU$11)+(((BY34+BZ34+CA34+CB34+CC34)/5)*$CA$11)</f>
        <v>1.0564667736185382</v>
      </c>
      <c r="BI34" s="4"/>
      <c r="BJ34" s="33">
        <f>AP34/(AM34+AO34)</f>
        <v>0.25</v>
      </c>
      <c r="BK34" s="33">
        <f>(AN34+AO34)/(AM34+AO34)</f>
        <v>1</v>
      </c>
      <c r="BL34" s="4"/>
      <c r="BM34" s="127">
        <f>CF34/102</f>
        <v>0.10784313725490197</v>
      </c>
      <c r="BN34" s="127">
        <f>C34/2</f>
        <v>4</v>
      </c>
      <c r="BO34" s="4"/>
      <c r="BP34" s="127">
        <f>(AK34)/($AW$6)</f>
        <v>2.0202020202020204E-2</v>
      </c>
      <c r="BQ34" s="127">
        <f ca="1">(CH34-$AW$4)/((YEAR($C$13))-$AW$4)</f>
        <v>1</v>
      </c>
      <c r="BR34" s="127">
        <f>(AL34)/($AW$6)</f>
        <v>0.10101010101010101</v>
      </c>
      <c r="BS34" s="4"/>
      <c r="BT34" s="127"/>
      <c r="BU34" s="127">
        <f ca="1">(CG34-$AW$4)/((YEAR($C$13))-$AW$4)</f>
        <v>1</v>
      </c>
      <c r="BV34" s="127">
        <f>AE34/5</f>
        <v>1</v>
      </c>
      <c r="BW34" s="127">
        <f>AF34/5</f>
        <v>1</v>
      </c>
      <c r="BX34" s="4"/>
      <c r="BY34" s="148" t="str">
        <f>IF(E34="A",".98",IF(E34="B",".99",IF(E34="C","1.00",IF(E34="D","1.00" ))))</f>
        <v>1.00</v>
      </c>
      <c r="BZ34" s="127">
        <f>(CE34+7)/10</f>
        <v>1</v>
      </c>
      <c r="CA34" s="76" t="str">
        <f>IF(D34="Fern",".97",IF(D34="Grass",".99",IF(D34="Herb",".97",IF(D34="Shrub",".99",IF(D34="Tree","1.00",IF(D34="Vine",".98"))))))</f>
        <v>.97</v>
      </c>
      <c r="CB34" s="149" t="str">
        <f>IF(R34="Bogs Ponds Streams",".96", IF(R34="Coastal Areas",".97",IF(R34="Meadows Dry Open",".96",IF(R34="Forest &amp; Understory",".97",IF(R34="Moist Open",".98",IF(R34="Moist Shady",".96",IF(R34="Sub-Alpine","1.0")))))))</f>
        <v>.98</v>
      </c>
      <c r="CC34" s="76" t="str">
        <f>IF(S34="Local Endemic",".50",IF(S34="Regional Endemic",".70",IF(S34="Cascadia",".90",IF(S34="Rocky Mountain",".95",IF(S34="North America",".99")))))</f>
        <v>.99</v>
      </c>
      <c r="CD34" s="4"/>
      <c r="CE34" s="21">
        <f>IF(W34&gt;3,3,W34)</f>
        <v>3</v>
      </c>
      <c r="CF34" s="21">
        <f>IF(AC34&gt;102,102,AC34)</f>
        <v>11</v>
      </c>
      <c r="CG34" s="34">
        <f ca="1">IF(AI34&lt;$AW$4,$AW$4,AI34)</f>
        <v>2019</v>
      </c>
      <c r="CH34" s="34">
        <f ca="1">IF(AJ34&lt;$AW$4,$AW$4,AJ34)</f>
        <v>2019</v>
      </c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</row>
    <row r="35" spans="1:115" s="13" customFormat="1" ht="15" customHeight="1" x14ac:dyDescent="0.3">
      <c r="A35" s="235"/>
      <c r="B35" s="218"/>
      <c r="C35" s="375">
        <v>1</v>
      </c>
      <c r="D35" s="67" t="s">
        <v>2505</v>
      </c>
      <c r="E35" s="67" t="s">
        <v>2501</v>
      </c>
      <c r="F35" s="403">
        <f ca="1">IF(BC35&lt;2025, "Extinct&lt; 6Yrs?",BA35)</f>
        <v>2038.4869390374331</v>
      </c>
      <c r="G35" s="376" t="s">
        <v>525</v>
      </c>
      <c r="H35" s="376" t="s">
        <v>4028</v>
      </c>
      <c r="I35" s="380" t="s">
        <v>1852</v>
      </c>
      <c r="J35" s="378" t="s">
        <v>3677</v>
      </c>
      <c r="K35" s="378" t="s">
        <v>2099</v>
      </c>
      <c r="L35" s="63" t="s">
        <v>1396</v>
      </c>
      <c r="M35" s="64" t="s">
        <v>4116</v>
      </c>
      <c r="N35" s="64" t="s">
        <v>5009</v>
      </c>
      <c r="O35" s="64" t="s">
        <v>5907</v>
      </c>
      <c r="P35" s="61" t="s">
        <v>51</v>
      </c>
      <c r="Q35" s="67" t="s">
        <v>2557</v>
      </c>
      <c r="R35" s="61" t="s">
        <v>2453</v>
      </c>
      <c r="S35" s="63" t="s">
        <v>2309</v>
      </c>
      <c r="T35" s="134" t="str">
        <f>IF(R35="Bogs Ponds Streams","20",IF(R35="Coastal Areas","26",IF(R35="Meadows Dry Open","10",IF(R35="Forest &amp; Understory","14",IF(R35="Moist Open","12",IF(R35="Moist Shady","10",IF(R35="Sub-Alpine Slopes","0")))))))</f>
        <v>26</v>
      </c>
      <c r="U35" s="134" t="str">
        <f>IF(R35="Bogs Ponds Streams","52",IF(R35="Coastal Areas","51",IF(R35="Meadows Dry Open","53",IF(R35="Forest &amp; Understory","52",IF(R35="Moist Open","50",IF(R35="Moist Shady","46",IF(R35="Sub-Alpine Slopes","40")))))))</f>
        <v>51</v>
      </c>
      <c r="V35" s="134" t="str">
        <f>IF(R35="Bogs Ponds Streams","84",IF(R35="Coastal Areas","76",IF(R35="Meadows Dry Open","96", IF(R35="Forest &amp; Understory","90", IF(R35="Moist Open","88", IF(R35="Moist Shady","82", IF(R35="Sub-Alpine Slopes","80")))))))</f>
        <v>76</v>
      </c>
      <c r="W35" s="67">
        <v>20</v>
      </c>
      <c r="X35" s="67">
        <v>0</v>
      </c>
      <c r="Y35" s="67">
        <v>20</v>
      </c>
      <c r="Z35" s="67" t="s">
        <v>2519</v>
      </c>
      <c r="AA35" s="67" t="s">
        <v>2518</v>
      </c>
      <c r="AB35" s="67">
        <v>6.8</v>
      </c>
      <c r="AC35" s="85">
        <f>C35+AK35+(0.1)*AL35</f>
        <v>6.2</v>
      </c>
      <c r="AD35" s="78">
        <v>11</v>
      </c>
      <c r="AE35" s="67">
        <v>5</v>
      </c>
      <c r="AF35" s="67">
        <v>5</v>
      </c>
      <c r="AG35" s="67">
        <v>1887</v>
      </c>
      <c r="AH35" s="78">
        <v>1932</v>
      </c>
      <c r="AI35" s="67">
        <v>1997</v>
      </c>
      <c r="AJ35" s="69">
        <v>2012</v>
      </c>
      <c r="AK35" s="69">
        <v>5</v>
      </c>
      <c r="AL35" s="69">
        <v>2</v>
      </c>
      <c r="AM35" s="70">
        <v>5</v>
      </c>
      <c r="AN35" s="70">
        <v>0</v>
      </c>
      <c r="AO35" s="86">
        <v>0</v>
      </c>
      <c r="AP35" s="70">
        <v>0</v>
      </c>
      <c r="AQ35" s="70">
        <v>0</v>
      </c>
      <c r="AR35" s="70">
        <v>0</v>
      </c>
      <c r="AS35" s="86">
        <v>0</v>
      </c>
      <c r="AT35" s="70">
        <v>0</v>
      </c>
      <c r="AU35" s="70">
        <v>0</v>
      </c>
      <c r="AV35" s="70">
        <v>0</v>
      </c>
      <c r="AW35" s="86">
        <v>0</v>
      </c>
      <c r="AX35" s="70">
        <v>0</v>
      </c>
      <c r="AY35" s="233"/>
      <c r="AZ35" s="4"/>
      <c r="BA35" s="35">
        <f ca="1">IF(OR(S35="North America",S35="Rocky Mountain"), "Widespread",BC35)</f>
        <v>2038.4869390374331</v>
      </c>
      <c r="BB35" s="4"/>
      <c r="BC35" s="35">
        <f ca="1">IF(BE35&gt;2046, "Abundant",BE35)</f>
        <v>2038.4869390374331</v>
      </c>
      <c r="BD35" s="4"/>
      <c r="BE35" s="81">
        <f ca="1">YEAR($C$13)+(BG35*80)</f>
        <v>2038.4869390374331</v>
      </c>
      <c r="BF35" s="4"/>
      <c r="BG35" s="137">
        <f ca="1">BH35*$BH$14</f>
        <v>0.24358673796791444</v>
      </c>
      <c r="BH35" s="137">
        <f ca="1">(((BJ35+BK35+BM35+BN35)/4)*$BM$11)+(((BP35+BQ35)/2)*$BQ$11)+(((BU35+BV35+BW35)/3)*$BU$11)+(((BY35+BZ35+CA35+CB35+CC35)/5)*$CA$11)</f>
        <v>0.24358673796791444</v>
      </c>
      <c r="BI35" s="4"/>
      <c r="BJ35" s="33">
        <f>AP35/(AM35+AO35)</f>
        <v>0</v>
      </c>
      <c r="BK35" s="33">
        <f>(AN35+AO35)/(AM35+AO35)</f>
        <v>0</v>
      </c>
      <c r="BL35" s="4"/>
      <c r="BM35" s="127">
        <f>CF35/102</f>
        <v>6.0784313725490195E-2</v>
      </c>
      <c r="BN35" s="127">
        <f>C35/2</f>
        <v>0.5</v>
      </c>
      <c r="BO35" s="4"/>
      <c r="BP35" s="127">
        <f>(AK35)/($AW$6)</f>
        <v>5.0505050505050504E-2</v>
      </c>
      <c r="BQ35" s="127">
        <f ca="1">(CH35-$AW$4)/((YEAR($C$13))-$AW$4)</f>
        <v>0.53333333333333333</v>
      </c>
      <c r="BR35" s="127">
        <f>(AL35)/($AW$6)</f>
        <v>2.0202020202020204E-2</v>
      </c>
      <c r="BS35" s="4"/>
      <c r="BT35" s="127"/>
      <c r="BU35" s="127">
        <f ca="1">(CG35-$AW$4)/((YEAR($C$13))-$AW$4)</f>
        <v>0</v>
      </c>
      <c r="BV35" s="127">
        <f>AE35/5</f>
        <v>1</v>
      </c>
      <c r="BW35" s="127">
        <f>AF35/5</f>
        <v>1</v>
      </c>
      <c r="BX35" s="4"/>
      <c r="BY35" s="148" t="str">
        <f>IF(E35="A",".98",IF(E35="B",".99",IF(E35="C","1.00",IF(E35="D","1.00" ))))</f>
        <v>1.00</v>
      </c>
      <c r="BZ35" s="127">
        <f>(CE35+7)/10</f>
        <v>1</v>
      </c>
      <c r="CA35" s="76" t="str">
        <f>IF(D35="Fern",".97",IF(D35="Grass",".99",IF(D35="Herb",".97",IF(D35="Shrub",".99",IF(D35="Tree","1.00",IF(D35="Vine",".98"))))))</f>
        <v>.97</v>
      </c>
      <c r="CB35" s="149" t="str">
        <f>IF(R35="Bogs Ponds Streams",".96", IF(R35="Coastal Areas",".97",IF(R35="Meadows Dry Open",".96",IF(R35="Forest &amp; Understory",".97",IF(R35="Moist Open",".98",IF(R35="Moist Shady",".96",IF(R35="Sub-Alpine","1.0")))))))</f>
        <v>.97</v>
      </c>
      <c r="CC35" s="76" t="str">
        <f>IF(S35="Local Endemic",".50",IF(S35="Regional Endemic",".70",IF(S35="Cascadia",".90",IF(S35="Rocky Mountain",".95",IF(S35="North America",".99")))))</f>
        <v>.70</v>
      </c>
      <c r="CD35" s="4"/>
      <c r="CE35" s="21">
        <f>IF(W35&gt;3,3,W35)</f>
        <v>3</v>
      </c>
      <c r="CF35" s="21">
        <f>IF(AC35&gt;102,102,AC35)</f>
        <v>6.2</v>
      </c>
      <c r="CG35" s="34">
        <f>IF(AI35&lt;$AW$4,$AW$4,AI35)</f>
        <v>2004</v>
      </c>
      <c r="CH35" s="34">
        <f>IF(AJ35&lt;$AW$4,$AW$4,AJ35)</f>
        <v>2012</v>
      </c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12"/>
    </row>
    <row r="36" spans="1:115" s="13" customFormat="1" ht="15" customHeight="1" x14ac:dyDescent="0.3">
      <c r="A36" s="235"/>
      <c r="B36" s="218"/>
      <c r="C36" s="226">
        <v>2</v>
      </c>
      <c r="D36" s="104" t="s">
        <v>2505</v>
      </c>
      <c r="E36" s="104" t="s">
        <v>2501</v>
      </c>
      <c r="F36" s="400" t="str">
        <f ca="1">IF(BC36&lt;2025, "Extinct&lt; 6Yrs?",BA36)</f>
        <v>Abundant</v>
      </c>
      <c r="G36" s="369" t="s">
        <v>525</v>
      </c>
      <c r="H36" s="369" t="s">
        <v>4028</v>
      </c>
      <c r="I36" s="373" t="s">
        <v>1855</v>
      </c>
      <c r="J36" s="371" t="s">
        <v>3855</v>
      </c>
      <c r="K36" s="371" t="s">
        <v>1743</v>
      </c>
      <c r="L36" s="106" t="s">
        <v>1744</v>
      </c>
      <c r="M36" s="111" t="s">
        <v>4117</v>
      </c>
      <c r="N36" s="111" t="s">
        <v>5010</v>
      </c>
      <c r="O36" s="111" t="s">
        <v>5908</v>
      </c>
      <c r="P36" s="105" t="s">
        <v>51</v>
      </c>
      <c r="Q36" s="104" t="s">
        <v>2552</v>
      </c>
      <c r="R36" s="105" t="s">
        <v>2497</v>
      </c>
      <c r="S36" s="105" t="s">
        <v>2459</v>
      </c>
      <c r="T36" s="133" t="str">
        <f>IF(R36="Bogs Ponds Streams","20",IF(R36="Coastal Areas","26",IF(R36="Meadows Dry Open","10",IF(R36="Forest &amp; Understory","14",IF(R36="Moist Open","12",IF(R36="Moist Shady","10",IF(R36="Sub-Alpine Slopes","0")))))))</f>
        <v>12</v>
      </c>
      <c r="U36" s="133" t="str">
        <f>IF(R36="Bogs Ponds Streams","52",IF(R36="Coastal Areas","51",IF(R36="Meadows Dry Open","53",IF(R36="Forest &amp; Understory","52",IF(R36="Moist Open","50",IF(R36="Moist Shady","46",IF(R36="Sub-Alpine Slopes","40")))))))</f>
        <v>50</v>
      </c>
      <c r="V36" s="133" t="str">
        <f>IF(R36="Bogs Ponds Streams","84",IF(R36="Coastal Areas","76",IF(R36="Meadows Dry Open","96", IF(R36="Forest &amp; Understory","90", IF(R36="Moist Open","88", IF(R36="Moist Shady","82", IF(R36="Sub-Alpine Slopes","80")))))))</f>
        <v>88</v>
      </c>
      <c r="W36" s="104">
        <v>20</v>
      </c>
      <c r="X36" s="104">
        <v>0</v>
      </c>
      <c r="Y36" s="104">
        <v>3500</v>
      </c>
      <c r="Z36" s="104" t="s">
        <v>2519</v>
      </c>
      <c r="AA36" s="104" t="s">
        <v>2518</v>
      </c>
      <c r="AB36" s="104">
        <v>6.8</v>
      </c>
      <c r="AC36" s="107">
        <f>C36+AK36+(0.1)*AL36</f>
        <v>6.6</v>
      </c>
      <c r="AD36" s="113">
        <v>17</v>
      </c>
      <c r="AE36" s="112">
        <v>3</v>
      </c>
      <c r="AF36" s="112">
        <v>4</v>
      </c>
      <c r="AG36" s="113">
        <v>1885</v>
      </c>
      <c r="AH36" s="113">
        <v>0</v>
      </c>
      <c r="AI36" s="113">
        <v>2018</v>
      </c>
      <c r="AJ36" s="108">
        <v>2018</v>
      </c>
      <c r="AK36" s="108">
        <v>4</v>
      </c>
      <c r="AL36" s="108">
        <v>6</v>
      </c>
      <c r="AM36" s="109">
        <v>5</v>
      </c>
      <c r="AN36" s="109">
        <v>1</v>
      </c>
      <c r="AO36" s="110">
        <v>0</v>
      </c>
      <c r="AP36" s="109">
        <v>1</v>
      </c>
      <c r="AQ36" s="109">
        <v>0</v>
      </c>
      <c r="AR36" s="109">
        <v>0</v>
      </c>
      <c r="AS36" s="110">
        <v>0</v>
      </c>
      <c r="AT36" s="109">
        <v>0</v>
      </c>
      <c r="AU36" s="109">
        <v>0</v>
      </c>
      <c r="AV36" s="109">
        <v>0</v>
      </c>
      <c r="AW36" s="110">
        <v>0</v>
      </c>
      <c r="AX36" s="109">
        <v>0</v>
      </c>
      <c r="AY36" s="233"/>
      <c r="AZ36" s="11"/>
      <c r="BA36" s="35" t="str">
        <f ca="1">IF(OR(S36="North America",S36="Rocky Mountain"), "Widespread",BC36)</f>
        <v>Abundant</v>
      </c>
      <c r="BB36" s="11"/>
      <c r="BC36" s="35" t="str">
        <f ca="1">IF(BE36&gt;2046, "Abundant",BE36)</f>
        <v>Abundant</v>
      </c>
      <c r="BD36" s="11"/>
      <c r="BE36" s="81">
        <f ca="1">YEAR($C$13)+(BG36*80)</f>
        <v>2054.7910968508618</v>
      </c>
      <c r="BF36" s="11"/>
      <c r="BG36" s="137">
        <f ca="1">BH36*$BH$14</f>
        <v>0.44738871063576946</v>
      </c>
      <c r="BH36" s="137">
        <f ca="1">(((BJ36+BK36+BM36+BN36)/4)*$BM$11)+(((BP36+BQ36)/2)*$BQ$11)+(((BU36+BV36+BW36)/3)*$BU$11)+(((BY36+BZ36+CA36+CB36+CC36)/5)*$CA$11)</f>
        <v>0.44738871063576946</v>
      </c>
      <c r="BI36" s="11"/>
      <c r="BJ36" s="33">
        <f>AP36/(AM36+AO36)</f>
        <v>0.2</v>
      </c>
      <c r="BK36" s="33">
        <f>(AN36+AO36)/(AM36+AO36)</f>
        <v>0.2</v>
      </c>
      <c r="BL36" s="11"/>
      <c r="BM36" s="127">
        <f>CF36/102</f>
        <v>6.4705882352941169E-2</v>
      </c>
      <c r="BN36" s="127">
        <f>C36/2</f>
        <v>1</v>
      </c>
      <c r="BO36" s="11"/>
      <c r="BP36" s="127">
        <f>(AK36)/($AW$6)</f>
        <v>4.0404040404040407E-2</v>
      </c>
      <c r="BQ36" s="127">
        <f ca="1">(CH36-$AW$4)/((YEAR($C$13))-$AW$4)</f>
        <v>0.93333333333333335</v>
      </c>
      <c r="BR36" s="127">
        <f>(AL36)/($AW$6)</f>
        <v>6.0606060606060608E-2</v>
      </c>
      <c r="BS36" s="11"/>
      <c r="BT36" s="127"/>
      <c r="BU36" s="127">
        <f ca="1">(CG36-$AW$4)/((YEAR($C$13))-$AW$4)</f>
        <v>0.93333333333333335</v>
      </c>
      <c r="BV36" s="127">
        <f>AE36/5</f>
        <v>0.6</v>
      </c>
      <c r="BW36" s="127">
        <f>AF36/5</f>
        <v>0.8</v>
      </c>
      <c r="BX36" s="11"/>
      <c r="BY36" s="148" t="str">
        <f>IF(E36="A",".98",IF(E36="B",".99",IF(E36="C","1.00",IF(E36="D","1.00" ))))</f>
        <v>1.00</v>
      </c>
      <c r="BZ36" s="127">
        <f>(CE36+7)/10</f>
        <v>1</v>
      </c>
      <c r="CA36" s="76" t="str">
        <f>IF(D36="Fern",".97",IF(D36="Grass",".99",IF(D36="Herb",".97",IF(D36="Shrub",".99",IF(D36="Tree","1.00",IF(D36="Vine",".98"))))))</f>
        <v>.97</v>
      </c>
      <c r="CB36" s="149" t="str">
        <f>IF(R36="Bogs Ponds Streams",".96", IF(R36="Coastal Areas",".97",IF(R36="Meadows Dry Open",".96",IF(R36="Forest &amp; Understory",".97",IF(R36="Moist Open",".98",IF(R36="Moist Shady",".96",IF(R36="Sub-Alpine","1.0")))))))</f>
        <v>.98</v>
      </c>
      <c r="CC36" s="76" t="str">
        <f>IF(S36="Local Endemic",".50",IF(S36="Regional Endemic",".70",IF(S36="Cascadia",".90",IF(S36="Rocky Mountain",".95",IF(S36="North America",".99")))))</f>
        <v>.90</v>
      </c>
      <c r="CD36" s="11"/>
      <c r="CE36" s="21">
        <f>IF(W36&gt;3,3,W36)</f>
        <v>3</v>
      </c>
      <c r="CF36" s="21">
        <f>IF(AC36&gt;102,102,AC36)</f>
        <v>6.6</v>
      </c>
      <c r="CG36" s="34">
        <f>IF(AI36&lt;$AW$4,$AW$4,AI36)</f>
        <v>2018</v>
      </c>
      <c r="CH36" s="34">
        <f>IF(AJ36&lt;$AW$4,$AW$4,AJ36)</f>
        <v>2018</v>
      </c>
      <c r="CI36" s="11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11"/>
      <c r="DC36" s="11"/>
      <c r="DD36" s="11"/>
      <c r="DE36" s="11"/>
      <c r="DF36" s="11"/>
      <c r="DG36" s="11"/>
      <c r="DH36" s="11"/>
      <c r="DI36" s="11"/>
      <c r="DJ36" s="11"/>
    </row>
    <row r="37" spans="1:115" s="13" customFormat="1" ht="15" customHeight="1" x14ac:dyDescent="0.3">
      <c r="A37" s="235"/>
      <c r="B37" s="218"/>
      <c r="C37" s="375">
        <v>1</v>
      </c>
      <c r="D37" s="67" t="s">
        <v>2505</v>
      </c>
      <c r="E37" s="67" t="s">
        <v>2501</v>
      </c>
      <c r="F37" s="403" t="str">
        <f ca="1">IF(BC37&lt;2025, "Extinct&lt; 6Yrs?",BA37)</f>
        <v>Widespread</v>
      </c>
      <c r="G37" s="376" t="s">
        <v>525</v>
      </c>
      <c r="H37" s="376" t="s">
        <v>4028</v>
      </c>
      <c r="I37" s="379" t="s">
        <v>1853</v>
      </c>
      <c r="J37" s="378" t="s">
        <v>3676</v>
      </c>
      <c r="K37" s="378" t="s">
        <v>841</v>
      </c>
      <c r="L37" s="63" t="s">
        <v>1734</v>
      </c>
      <c r="M37" s="64" t="s">
        <v>4118</v>
      </c>
      <c r="N37" s="64" t="s">
        <v>5011</v>
      </c>
      <c r="O37" s="64" t="s">
        <v>5909</v>
      </c>
      <c r="P37" s="61" t="s">
        <v>51</v>
      </c>
      <c r="Q37" s="67" t="s">
        <v>2557</v>
      </c>
      <c r="R37" s="61" t="s">
        <v>2500</v>
      </c>
      <c r="S37" s="61" t="s">
        <v>2495</v>
      </c>
      <c r="T37" s="134" t="str">
        <f>IF(R37="Bogs Ponds Streams","20",IF(R37="Coastal Areas","26",IF(R37="Meadows Dry Open","10",IF(R37="Forest &amp; Understory","14",IF(R37="Moist Open","12",IF(R37="Moist Shady","10",IF(R37="Sub-Alpine Slopes","0")))))))</f>
        <v>10</v>
      </c>
      <c r="U37" s="134" t="str">
        <f>IF(R37="Bogs Ponds Streams","52",IF(R37="Coastal Areas","51",IF(R37="Meadows Dry Open","53",IF(R37="Forest &amp; Understory","52",IF(R37="Moist Open","50",IF(R37="Moist Shady","46",IF(R37="Sub-Alpine Slopes","40")))))))</f>
        <v>53</v>
      </c>
      <c r="V37" s="134" t="str">
        <f>IF(R37="Bogs Ponds Streams","84",IF(R37="Coastal Areas","76",IF(R37="Meadows Dry Open","96", IF(R37="Forest &amp; Understory","90", IF(R37="Moist Open","88", IF(R37="Moist Shady","82", IF(R37="Sub-Alpine Slopes","80")))))))</f>
        <v>96</v>
      </c>
      <c r="W37" s="67">
        <v>20</v>
      </c>
      <c r="X37" s="67">
        <v>0</v>
      </c>
      <c r="Y37" s="67">
        <v>3500</v>
      </c>
      <c r="Z37" s="67" t="s">
        <v>2519</v>
      </c>
      <c r="AA37" s="67" t="s">
        <v>2518</v>
      </c>
      <c r="AB37" s="67">
        <v>6.8</v>
      </c>
      <c r="AC37" s="85">
        <f>C37+AK37+(0.1)*AL37</f>
        <v>14</v>
      </c>
      <c r="AD37" s="78">
        <v>75</v>
      </c>
      <c r="AE37" s="67">
        <v>5</v>
      </c>
      <c r="AF37" s="67">
        <v>5</v>
      </c>
      <c r="AG37" s="67">
        <v>1900</v>
      </c>
      <c r="AH37" s="78">
        <v>0</v>
      </c>
      <c r="AI37" s="67">
        <f>AJ37</f>
        <v>2004</v>
      </c>
      <c r="AJ37" s="69">
        <v>2004</v>
      </c>
      <c r="AK37" s="69">
        <v>12</v>
      </c>
      <c r="AL37" s="69">
        <v>10</v>
      </c>
      <c r="AM37" s="70">
        <v>5</v>
      </c>
      <c r="AN37" s="70">
        <v>0</v>
      </c>
      <c r="AO37" s="86">
        <v>0</v>
      </c>
      <c r="AP37" s="70">
        <v>0</v>
      </c>
      <c r="AQ37" s="70">
        <v>0</v>
      </c>
      <c r="AR37" s="70">
        <v>0</v>
      </c>
      <c r="AS37" s="86">
        <v>0</v>
      </c>
      <c r="AT37" s="70">
        <v>0</v>
      </c>
      <c r="AU37" s="70">
        <v>0</v>
      </c>
      <c r="AV37" s="70">
        <v>0</v>
      </c>
      <c r="AW37" s="86">
        <v>0</v>
      </c>
      <c r="AX37" s="70">
        <v>0</v>
      </c>
      <c r="AY37" s="233"/>
      <c r="AZ37" s="4"/>
      <c r="BA37" s="35" t="str">
        <f>IF(OR(S37="North America",S37="Rocky Mountain"), "Widespread",BC37)</f>
        <v>Widespread</v>
      </c>
      <c r="BB37" s="4"/>
      <c r="BC37" s="35">
        <f ca="1">IF(BE37&gt;2046, "Abundant",BE37)</f>
        <v>2033.9426709447416</v>
      </c>
      <c r="BD37" s="4"/>
      <c r="BE37" s="81">
        <f ca="1">YEAR($C$13)+(BG37*80)</f>
        <v>2033.9426709447416</v>
      </c>
      <c r="BF37" s="4"/>
      <c r="BG37" s="137">
        <f ca="1">BH37*$BH$14</f>
        <v>0.18678338680926918</v>
      </c>
      <c r="BH37" s="137">
        <f ca="1">(((BJ37+BK37+BM37+BN37)/4)*$BM$11)+(((BP37+BQ37)/2)*$BQ$11)+(((BU37+BV37+BW37)/3)*$BU$11)+(((BY37+BZ37+CA37+CB37+CC37)/5)*$CA$11)</f>
        <v>0.18678338680926918</v>
      </c>
      <c r="BI37" s="4"/>
      <c r="BJ37" s="33">
        <f>AP37/(AM37+AO37)</f>
        <v>0</v>
      </c>
      <c r="BK37" s="33">
        <f>(AN37+AO37)/(AM37+AO37)</f>
        <v>0</v>
      </c>
      <c r="BL37" s="4"/>
      <c r="BM37" s="127">
        <f>CF37/102</f>
        <v>0.13725490196078433</v>
      </c>
      <c r="BN37" s="127">
        <f>C37/2</f>
        <v>0.5</v>
      </c>
      <c r="BO37" s="4"/>
      <c r="BP37" s="127">
        <f>(AK37)/($AW$6)</f>
        <v>0.12121212121212122</v>
      </c>
      <c r="BQ37" s="127">
        <f ca="1">(CH37-$AW$4)/((YEAR($C$13))-$AW$4)</f>
        <v>0</v>
      </c>
      <c r="BR37" s="127">
        <f>(AL37)/($AW$6)</f>
        <v>0.10101010101010101</v>
      </c>
      <c r="BS37" s="4"/>
      <c r="BT37" s="127"/>
      <c r="BU37" s="127">
        <f ca="1">(CG37-$AW$4)/((YEAR($C$13))-$AW$4)</f>
        <v>0</v>
      </c>
      <c r="BV37" s="127">
        <f>AE37/5</f>
        <v>1</v>
      </c>
      <c r="BW37" s="127">
        <f>AF37/5</f>
        <v>1</v>
      </c>
      <c r="BX37" s="4"/>
      <c r="BY37" s="148" t="str">
        <f>IF(E37="A",".98",IF(E37="B",".99",IF(E37="C","1.00",IF(E37="D","1.00" ))))</f>
        <v>1.00</v>
      </c>
      <c r="BZ37" s="127">
        <f>(CE37+7)/10</f>
        <v>1</v>
      </c>
      <c r="CA37" s="76" t="str">
        <f>IF(D37="Fern",".97",IF(D37="Grass",".99",IF(D37="Herb",".97",IF(D37="Shrub",".99",IF(D37="Tree","1.00",IF(D37="Vine",".98"))))))</f>
        <v>.97</v>
      </c>
      <c r="CB37" s="149" t="str">
        <f>IF(R37="Bogs Ponds Streams",".96", IF(R37="Coastal Areas",".97",IF(R37="Meadows Dry Open",".96",IF(R37="Forest &amp; Understory",".97",IF(R37="Moist Open",".98",IF(R37="Moist Shady",".96",IF(R37="Sub-Alpine","1.0")))))))</f>
        <v>.96</v>
      </c>
      <c r="CC37" s="76" t="str">
        <f>IF(S37="Local Endemic",".50",IF(S37="Regional Endemic",".70",IF(S37="Cascadia",".90",IF(S37="Rocky Mountain",".95",IF(S37="North America",".99")))))</f>
        <v>.99</v>
      </c>
      <c r="CD37" s="4"/>
      <c r="CE37" s="21">
        <f>IF(W37&gt;3,3,W37)</f>
        <v>3</v>
      </c>
      <c r="CF37" s="21">
        <f>IF(AC37&gt;102,102,AC37)</f>
        <v>14</v>
      </c>
      <c r="CG37" s="34">
        <f>IF(AI37&lt;$AW$4,$AW$4,AI37)</f>
        <v>2004</v>
      </c>
      <c r="CH37" s="34">
        <f>IF(AJ37&lt;$AW$4,$AW$4,AJ37)</f>
        <v>2004</v>
      </c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12"/>
    </row>
    <row r="38" spans="1:115" s="13" customFormat="1" ht="15" customHeight="1" x14ac:dyDescent="0.3">
      <c r="A38" s="235"/>
      <c r="B38" s="218"/>
      <c r="C38" s="226">
        <v>2</v>
      </c>
      <c r="D38" s="104" t="s">
        <v>2505</v>
      </c>
      <c r="E38" s="104" t="s">
        <v>2501</v>
      </c>
      <c r="F38" s="400" t="str">
        <f ca="1">IF(BC38&lt;2025, "Extinct&lt; 6Yrs?",BA38)</f>
        <v>Widespread</v>
      </c>
      <c r="G38" s="369" t="s">
        <v>525</v>
      </c>
      <c r="H38" s="369" t="s">
        <v>4028</v>
      </c>
      <c r="I38" s="370" t="s">
        <v>1854</v>
      </c>
      <c r="J38" s="371" t="s">
        <v>3854</v>
      </c>
      <c r="K38" s="371" t="s">
        <v>58</v>
      </c>
      <c r="L38" s="106" t="s">
        <v>1735</v>
      </c>
      <c r="M38" s="111" t="s">
        <v>4119</v>
      </c>
      <c r="N38" s="111" t="s">
        <v>5012</v>
      </c>
      <c r="O38" s="111" t="s">
        <v>5910</v>
      </c>
      <c r="P38" s="105" t="s">
        <v>51</v>
      </c>
      <c r="Q38" s="104" t="s">
        <v>2557</v>
      </c>
      <c r="R38" s="105" t="s">
        <v>2500</v>
      </c>
      <c r="S38" s="105" t="s">
        <v>2495</v>
      </c>
      <c r="T38" s="133" t="str">
        <f>IF(R38="Bogs Ponds Streams","20",IF(R38="Coastal Areas","26",IF(R38="Meadows Dry Open","10",IF(R38="Forest &amp; Understory","14",IF(R38="Moist Open","12",IF(R38="Moist Shady","10",IF(R38="Sub-Alpine Slopes","0")))))))</f>
        <v>10</v>
      </c>
      <c r="U38" s="133" t="str">
        <f>IF(R38="Bogs Ponds Streams","52",IF(R38="Coastal Areas","51",IF(R38="Meadows Dry Open","53",IF(R38="Forest &amp; Understory","52",IF(R38="Moist Open","50",IF(R38="Moist Shady","46",IF(R38="Sub-Alpine Slopes","40")))))))</f>
        <v>53</v>
      </c>
      <c r="V38" s="133" t="str">
        <f>IF(R38="Bogs Ponds Streams","84",IF(R38="Coastal Areas","76",IF(R38="Meadows Dry Open","96", IF(R38="Forest &amp; Understory","90", IF(R38="Moist Open","88", IF(R38="Moist Shady","82", IF(R38="Sub-Alpine Slopes","80")))))))</f>
        <v>96</v>
      </c>
      <c r="W38" s="104">
        <v>20</v>
      </c>
      <c r="X38" s="104">
        <v>0</v>
      </c>
      <c r="Y38" s="104">
        <v>3500</v>
      </c>
      <c r="Z38" s="104" t="s">
        <v>2519</v>
      </c>
      <c r="AA38" s="104" t="s">
        <v>2518</v>
      </c>
      <c r="AB38" s="104">
        <v>6.8</v>
      </c>
      <c r="AC38" s="107">
        <f>C38+AK38+(0.1)*AL38</f>
        <v>12.5</v>
      </c>
      <c r="AD38" s="113">
        <v>111</v>
      </c>
      <c r="AE38" s="104">
        <v>5</v>
      </c>
      <c r="AF38" s="104">
        <v>5</v>
      </c>
      <c r="AG38" s="104">
        <v>1900</v>
      </c>
      <c r="AH38" s="113">
        <v>0</v>
      </c>
      <c r="AI38" s="104">
        <f>AJ38</f>
        <v>2003</v>
      </c>
      <c r="AJ38" s="108">
        <v>2003</v>
      </c>
      <c r="AK38" s="108">
        <v>6</v>
      </c>
      <c r="AL38" s="108">
        <v>45</v>
      </c>
      <c r="AM38" s="109">
        <v>5</v>
      </c>
      <c r="AN38" s="109">
        <v>0</v>
      </c>
      <c r="AO38" s="110">
        <v>0</v>
      </c>
      <c r="AP38" s="109">
        <v>0</v>
      </c>
      <c r="AQ38" s="109">
        <v>0</v>
      </c>
      <c r="AR38" s="109">
        <v>0</v>
      </c>
      <c r="AS38" s="110">
        <v>0</v>
      </c>
      <c r="AT38" s="109">
        <v>0</v>
      </c>
      <c r="AU38" s="109">
        <v>0</v>
      </c>
      <c r="AV38" s="109">
        <v>0</v>
      </c>
      <c r="AW38" s="110">
        <v>0</v>
      </c>
      <c r="AX38" s="109">
        <v>0</v>
      </c>
      <c r="AY38" s="233"/>
      <c r="AZ38" s="4"/>
      <c r="BA38" s="35" t="str">
        <f>IF(OR(S38="North America",S38="Rocky Mountain"), "Widespread",BC38)</f>
        <v>Widespread</v>
      </c>
      <c r="BB38" s="4"/>
      <c r="BC38" s="35">
        <f ca="1">IF(BE38&gt;2046, "Abundant",BE38)</f>
        <v>2039.0389276292335</v>
      </c>
      <c r="BD38" s="4"/>
      <c r="BE38" s="81">
        <f ca="1">YEAR($C$13)+(BG38*80)</f>
        <v>2039.0389276292335</v>
      </c>
      <c r="BF38" s="4"/>
      <c r="BG38" s="137">
        <f ca="1">BH38*$BH$14</f>
        <v>0.25048659536541884</v>
      </c>
      <c r="BH38" s="137">
        <f ca="1">(((BJ38+BK38+BM38+BN38)/4)*$BM$11)+(((BP38+BQ38)/2)*$BQ$11)+(((BU38+BV38+BW38)/3)*$BU$11)+(((BY38+BZ38+CA38+CB38+CC38)/5)*$CA$11)</f>
        <v>0.25048659536541884</v>
      </c>
      <c r="BI38" s="4"/>
      <c r="BJ38" s="33">
        <f>AP38/(AM38+AO38)</f>
        <v>0</v>
      </c>
      <c r="BK38" s="33">
        <f>(AN38+AO38)/(AM38+AO38)</f>
        <v>0</v>
      </c>
      <c r="BL38" s="4"/>
      <c r="BM38" s="127">
        <f>CF38/102</f>
        <v>0.12254901960784313</v>
      </c>
      <c r="BN38" s="127">
        <f>C38/2</f>
        <v>1</v>
      </c>
      <c r="BO38" s="4"/>
      <c r="BP38" s="127">
        <f>(AK38)/($AW$6)</f>
        <v>6.0606060606060608E-2</v>
      </c>
      <c r="BQ38" s="127">
        <f ca="1">(CH38-$AW$4)/((YEAR($C$13))-$AW$4)</f>
        <v>0</v>
      </c>
      <c r="BR38" s="127">
        <f>(AL38)/($AW$6)</f>
        <v>0.45454545454545453</v>
      </c>
      <c r="BS38" s="4"/>
      <c r="BT38" s="127"/>
      <c r="BU38" s="127">
        <f ca="1">(CG38-$AW$4)/((YEAR($C$13))-$AW$4)</f>
        <v>0</v>
      </c>
      <c r="BV38" s="127">
        <f>AE38/5</f>
        <v>1</v>
      </c>
      <c r="BW38" s="127">
        <f>AF38/5</f>
        <v>1</v>
      </c>
      <c r="BX38" s="4"/>
      <c r="BY38" s="148" t="str">
        <f>IF(E38="A",".98",IF(E38="B",".99",IF(E38="C","1.00",IF(E38="D","1.00" ))))</f>
        <v>1.00</v>
      </c>
      <c r="BZ38" s="127">
        <f>(CE38+7)/10</f>
        <v>1</v>
      </c>
      <c r="CA38" s="76" t="str">
        <f>IF(D38="Fern",".97",IF(D38="Grass",".99",IF(D38="Herb",".97",IF(D38="Shrub",".99",IF(D38="Tree","1.00",IF(D38="Vine",".98"))))))</f>
        <v>.97</v>
      </c>
      <c r="CB38" s="149" t="str">
        <f>IF(R38="Bogs Ponds Streams",".96", IF(R38="Coastal Areas",".97",IF(R38="Meadows Dry Open",".96",IF(R38="Forest &amp; Understory",".97",IF(R38="Moist Open",".98",IF(R38="Moist Shady",".96",IF(R38="Sub-Alpine","1.0")))))))</f>
        <v>.96</v>
      </c>
      <c r="CC38" s="76" t="str">
        <f>IF(S38="Local Endemic",".50",IF(S38="Regional Endemic",".70",IF(S38="Cascadia",".90",IF(S38="Rocky Mountain",".95",IF(S38="North America",".99")))))</f>
        <v>.99</v>
      </c>
      <c r="CD38" s="4"/>
      <c r="CE38" s="21">
        <f>IF(W38&gt;3,3,W38)</f>
        <v>3</v>
      </c>
      <c r="CF38" s="21">
        <f>IF(AC38&gt;102,102,AC38)</f>
        <v>12.5</v>
      </c>
      <c r="CG38" s="34">
        <f>IF(AI38&lt;$AW$4,$AW$4,AI38)</f>
        <v>2004</v>
      </c>
      <c r="CH38" s="34">
        <f>IF(AJ38&lt;$AW$4,$AW$4,AJ38)</f>
        <v>2004</v>
      </c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</row>
    <row r="39" spans="1:115" s="13" customFormat="1" ht="15" customHeight="1" x14ac:dyDescent="0.3">
      <c r="A39" s="235"/>
      <c r="B39" s="218"/>
      <c r="C39" s="225">
        <v>8</v>
      </c>
      <c r="D39" s="59" t="s">
        <v>2505</v>
      </c>
      <c r="E39" s="59" t="s">
        <v>2501</v>
      </c>
      <c r="F39" s="397" t="str">
        <f ca="1">IF(BC39&lt;2025, "Extinct&lt; 6Yrs?",BA39)</f>
        <v>Widespread</v>
      </c>
      <c r="G39" s="363" t="s">
        <v>525</v>
      </c>
      <c r="H39" s="363" t="s">
        <v>685</v>
      </c>
      <c r="I39" s="366" t="s">
        <v>1856</v>
      </c>
      <c r="J39" s="365" t="s">
        <v>3202</v>
      </c>
      <c r="K39" s="365" t="s">
        <v>331</v>
      </c>
      <c r="L39" s="10" t="s">
        <v>1745</v>
      </c>
      <c r="M39" s="8" t="s">
        <v>4120</v>
      </c>
      <c r="N39" s="8" t="s">
        <v>5013</v>
      </c>
      <c r="O39" s="8" t="s">
        <v>5911</v>
      </c>
      <c r="P39" s="9" t="s">
        <v>468</v>
      </c>
      <c r="Q39" s="59" t="s">
        <v>2557</v>
      </c>
      <c r="R39" s="9" t="s">
        <v>2498</v>
      </c>
      <c r="S39" s="9" t="s">
        <v>2479</v>
      </c>
      <c r="T39" s="123" t="str">
        <f>IF(R39="Bogs Ponds Streams","20",IF(R39="Coastal Areas","26",IF(R39="Meadows Dry Open","10",IF(R39="Forest &amp; Understory","14",IF(R39="Moist Open","12",IF(R39="Moist Shady","10",IF(R39="Sub-Alpine Slopes","0")))))))</f>
        <v>10</v>
      </c>
      <c r="U39" s="123" t="str">
        <f>IF(R39="Bogs Ponds Streams","52",IF(R39="Coastal Areas","51",IF(R39="Meadows Dry Open","53",IF(R39="Forest &amp; Understory","52",IF(R39="Moist Open","50",IF(R39="Moist Shady","46",IF(R39="Sub-Alpine Slopes","40")))))))</f>
        <v>46</v>
      </c>
      <c r="V39" s="123" t="str">
        <f>IF(R39="Bogs Ponds Streams","84",IF(R39="Coastal Areas","76",IF(R39="Meadows Dry Open","96", IF(R39="Forest &amp; Understory","90", IF(R39="Moist Open","88", IF(R39="Moist Shady","82", IF(R39="Sub-Alpine Slopes","80")))))))</f>
        <v>82</v>
      </c>
      <c r="W39" s="59">
        <v>20</v>
      </c>
      <c r="X39" s="59">
        <v>0</v>
      </c>
      <c r="Y39" s="59">
        <v>3500</v>
      </c>
      <c r="Z39" s="59" t="s">
        <v>2519</v>
      </c>
      <c r="AA39" s="59" t="s">
        <v>2518</v>
      </c>
      <c r="AB39" s="59">
        <v>6.8</v>
      </c>
      <c r="AC39" s="45">
        <f>C39+AK39+(0.1)*AL39</f>
        <v>18.399999999999999</v>
      </c>
      <c r="AD39" s="77">
        <v>334</v>
      </c>
      <c r="AE39" s="59">
        <v>5</v>
      </c>
      <c r="AF39" s="59">
        <v>5</v>
      </c>
      <c r="AG39" s="59">
        <v>1900</v>
      </c>
      <c r="AH39" s="77">
        <v>0</v>
      </c>
      <c r="AI39" s="59">
        <f ca="1">AJ39</f>
        <v>2019</v>
      </c>
      <c r="AJ39" s="18">
        <f ca="1">YEAR(TODAY())</f>
        <v>2019</v>
      </c>
      <c r="AK39" s="18">
        <v>10</v>
      </c>
      <c r="AL39" s="18">
        <v>4</v>
      </c>
      <c r="AM39" s="18">
        <v>1</v>
      </c>
      <c r="AN39" s="18">
        <v>1</v>
      </c>
      <c r="AO39" s="18">
        <v>5</v>
      </c>
      <c r="AP39" s="18">
        <v>1</v>
      </c>
      <c r="AQ39" s="18">
        <v>0</v>
      </c>
      <c r="AR39" s="18">
        <v>0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0</v>
      </c>
      <c r="AY39" s="233"/>
      <c r="AZ39" s="4"/>
      <c r="BA39" s="35" t="str">
        <f>IF(OR(S39="North America",S39="Rocky Mountain"), "Widespread",BC39)</f>
        <v>Widespread</v>
      </c>
      <c r="BB39" s="4"/>
      <c r="BC39" s="35" t="str">
        <f ca="1">IF(BE39&gt;2046, "Abundant",BE39)</f>
        <v>Abundant</v>
      </c>
      <c r="BD39" s="4"/>
      <c r="BE39" s="81">
        <f ca="1">YEAR($C$13)+(BG39*80)</f>
        <v>2104.3384270944744</v>
      </c>
      <c r="BF39" s="4"/>
      <c r="BG39" s="137">
        <f ca="1">BH39*$BH$14</f>
        <v>1.066730338680927</v>
      </c>
      <c r="BH39" s="137">
        <f ca="1">(((BJ39+BK39+BM39+BN39)/4)*$BM$11)+(((BP39+BQ39)/2)*$BQ$11)+(((BU39+BV39+BW39)/3)*$BU$11)+(((BY39+BZ39+CA39+CB39+CC39)/5)*$CA$11)</f>
        <v>1.066730338680927</v>
      </c>
      <c r="BI39" s="4"/>
      <c r="BJ39" s="33">
        <f>AP39/(AM39+AO39)</f>
        <v>0.16666666666666666</v>
      </c>
      <c r="BK39" s="33">
        <f>(AN39+AO39)/(AM39+AO39)</f>
        <v>1</v>
      </c>
      <c r="BL39" s="4"/>
      <c r="BM39" s="127">
        <f>CF39/102</f>
        <v>0.1803921568627451</v>
      </c>
      <c r="BN39" s="127">
        <f>C39/2</f>
        <v>4</v>
      </c>
      <c r="BO39" s="4"/>
      <c r="BP39" s="127">
        <f>(AK39)/($AW$6)</f>
        <v>0.10101010101010101</v>
      </c>
      <c r="BQ39" s="127">
        <f ca="1">(CH39-$AW$4)/((YEAR($C$13))-$AW$4)</f>
        <v>1</v>
      </c>
      <c r="BR39" s="127">
        <f>(AL39)/($AW$6)</f>
        <v>4.0404040404040407E-2</v>
      </c>
      <c r="BS39" s="4"/>
      <c r="BT39" s="127"/>
      <c r="BU39" s="127">
        <f ca="1">(CG39-$AW$4)/((YEAR($C$13))-$AW$4)</f>
        <v>1</v>
      </c>
      <c r="BV39" s="127">
        <f>AE39/5</f>
        <v>1</v>
      </c>
      <c r="BW39" s="127">
        <f>AF39/5</f>
        <v>1</v>
      </c>
      <c r="BX39" s="4"/>
      <c r="BY39" s="148" t="str">
        <f>IF(E39="A",".98",IF(E39="B",".99",IF(E39="C","1.00",IF(E39="D","1.00" ))))</f>
        <v>1.00</v>
      </c>
      <c r="BZ39" s="127">
        <f>(CE39+7)/10</f>
        <v>1</v>
      </c>
      <c r="CA39" s="76" t="str">
        <f>IF(D39="Fern",".97",IF(D39="Grass",".99",IF(D39="Herb",".97",IF(D39="Shrub",".99",IF(D39="Tree","1.00",IF(D39="Vine",".98"))))))</f>
        <v>.97</v>
      </c>
      <c r="CB39" s="149" t="str">
        <f>IF(R39="Bogs Ponds Streams",".96", IF(R39="Coastal Areas",".97",IF(R39="Meadows Dry Open",".96",IF(R39="Forest &amp; Understory",".97",IF(R39="Moist Open",".98",IF(R39="Moist Shady",".96",IF(R39="Sub-Alpine","1.0")))))))</f>
        <v>.96</v>
      </c>
      <c r="CC39" s="76" t="str">
        <f>IF(S39="Local Endemic",".50",IF(S39="Regional Endemic",".70",IF(S39="Cascadia",".90",IF(S39="Rocky Mountain",".95",IF(S39="North America",".99")))))</f>
        <v>.95</v>
      </c>
      <c r="CD39" s="4"/>
      <c r="CE39" s="21">
        <f>IF(W39&gt;3,3,W39)</f>
        <v>3</v>
      </c>
      <c r="CF39" s="21">
        <f>IF(AC39&gt;102,102,AC39)</f>
        <v>18.399999999999999</v>
      </c>
      <c r="CG39" s="34">
        <f ca="1">IF(AI39&lt;$AW$4,$AW$4,AI39)</f>
        <v>2019</v>
      </c>
      <c r="CH39" s="34">
        <f ca="1">IF(AJ39&lt;$AW$4,$AW$4,AJ39)</f>
        <v>2019</v>
      </c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</row>
    <row r="40" spans="1:115" s="13" customFormat="1" ht="15" customHeight="1" x14ac:dyDescent="0.3">
      <c r="A40" s="235"/>
      <c r="B40" s="218"/>
      <c r="C40" s="226">
        <v>2</v>
      </c>
      <c r="D40" s="220" t="s">
        <v>1155</v>
      </c>
      <c r="E40" s="104" t="s">
        <v>2501</v>
      </c>
      <c r="F40" s="400" t="str">
        <f ca="1">IF(BC40&lt;2025, "Extinct&lt; 6Yrs?",BA40)</f>
        <v>Widespread</v>
      </c>
      <c r="G40" s="369" t="s">
        <v>525</v>
      </c>
      <c r="H40" s="369" t="s">
        <v>4028</v>
      </c>
      <c r="I40" s="370" t="s">
        <v>1857</v>
      </c>
      <c r="J40" s="371" t="s">
        <v>3853</v>
      </c>
      <c r="K40" s="371" t="s">
        <v>264</v>
      </c>
      <c r="L40" s="106" t="s">
        <v>1746</v>
      </c>
      <c r="M40" s="111" t="s">
        <v>4121</v>
      </c>
      <c r="N40" s="111" t="s">
        <v>5014</v>
      </c>
      <c r="O40" s="111" t="s">
        <v>5912</v>
      </c>
      <c r="P40" s="105" t="s">
        <v>468</v>
      </c>
      <c r="Q40" s="104" t="s">
        <v>2557</v>
      </c>
      <c r="R40" s="161" t="s">
        <v>2497</v>
      </c>
      <c r="S40" s="106" t="s">
        <v>2479</v>
      </c>
      <c r="T40" s="133" t="str">
        <f>IF(R40="Bogs Ponds Streams","20",IF(R40="Coastal Areas","26",IF(R40="Meadows Dry Open","10",IF(R40="Forest &amp; Understory","14",IF(R40="Moist Open","12",IF(R40="Moist Shady","10",IF(R40="Sub-Alpine Slopes","0")))))))</f>
        <v>12</v>
      </c>
      <c r="U40" s="133" t="str">
        <f>IF(R40="Bogs Ponds Streams","52",IF(R40="Coastal Areas","51",IF(R40="Meadows Dry Open","53",IF(R40="Forest &amp; Understory","52",IF(R40="Moist Open","50",IF(R40="Moist Shady","46",IF(R40="Sub-Alpine Slopes","40")))))))</f>
        <v>50</v>
      </c>
      <c r="V40" s="133" t="str">
        <f>IF(R40="Bogs Ponds Streams","84",IF(R40="Coastal Areas","76",IF(R40="Meadows Dry Open","96", IF(R40="Forest &amp; Understory","90", IF(R40="Moist Open","88", IF(R40="Moist Shady","82", IF(R40="Sub-Alpine Slopes","80")))))))</f>
        <v>88</v>
      </c>
      <c r="W40" s="104">
        <v>20</v>
      </c>
      <c r="X40" s="104">
        <v>0</v>
      </c>
      <c r="Y40" s="104">
        <v>3500</v>
      </c>
      <c r="Z40" s="104" t="s">
        <v>2519</v>
      </c>
      <c r="AA40" s="104" t="s">
        <v>2518</v>
      </c>
      <c r="AB40" s="104">
        <v>6.8</v>
      </c>
      <c r="AC40" s="107">
        <f>C40+AK40+(0.1)*AL40</f>
        <v>6.3</v>
      </c>
      <c r="AD40" s="113">
        <v>361</v>
      </c>
      <c r="AE40" s="104">
        <v>5</v>
      </c>
      <c r="AF40" s="104">
        <v>5</v>
      </c>
      <c r="AG40" s="104">
        <v>1900</v>
      </c>
      <c r="AH40" s="113">
        <v>0</v>
      </c>
      <c r="AI40" s="104">
        <f>AJ40</f>
        <v>2014</v>
      </c>
      <c r="AJ40" s="108">
        <v>2014</v>
      </c>
      <c r="AK40" s="108">
        <v>3</v>
      </c>
      <c r="AL40" s="108">
        <v>13</v>
      </c>
      <c r="AM40" s="109">
        <v>5</v>
      </c>
      <c r="AN40" s="109">
        <v>1</v>
      </c>
      <c r="AO40" s="110">
        <v>0</v>
      </c>
      <c r="AP40" s="109">
        <v>0</v>
      </c>
      <c r="AQ40" s="109">
        <v>0</v>
      </c>
      <c r="AR40" s="109">
        <v>0</v>
      </c>
      <c r="AS40" s="110">
        <v>0</v>
      </c>
      <c r="AT40" s="109">
        <v>0</v>
      </c>
      <c r="AU40" s="109">
        <v>0</v>
      </c>
      <c r="AV40" s="109">
        <v>0</v>
      </c>
      <c r="AW40" s="110">
        <v>0</v>
      </c>
      <c r="AX40" s="109">
        <v>0</v>
      </c>
      <c r="AY40" s="233"/>
      <c r="AZ40" s="4"/>
      <c r="BA40" s="35" t="str">
        <f>IF(OR(S40="North America",S40="Rocky Mountain"), "Widespread",BC40)</f>
        <v>Widespread</v>
      </c>
      <c r="BB40" s="4"/>
      <c r="BC40" s="35" t="str">
        <f ca="1">IF(BE40&gt;2046, "Abundant",BE40)</f>
        <v>Abundant</v>
      </c>
      <c r="BD40" s="4"/>
      <c r="BE40" s="81">
        <f ca="1">YEAR($C$13)+(BG40*80)</f>
        <v>2049.7681017231134</v>
      </c>
      <c r="BF40" s="4"/>
      <c r="BG40" s="137">
        <f ca="1">BH40*$BH$14</f>
        <v>0.38460127153891854</v>
      </c>
      <c r="BH40" s="137">
        <f ca="1">(((BJ40+BK40+BM40+BN40)/4)*$BM$11)+(((BP40+BQ40)/2)*$BQ$11)+(((BU40+BV40+BW40)/3)*$BU$11)+(((BY40+BZ40+CA40+CB40+CC40)/5)*$CA$11)</f>
        <v>0.38460127153891854</v>
      </c>
      <c r="BI40" s="4"/>
      <c r="BJ40" s="33">
        <f>AP40/(AM40+AO40)</f>
        <v>0</v>
      </c>
      <c r="BK40" s="33">
        <f>(AN40+AO40)/(AM40+AO40)</f>
        <v>0.2</v>
      </c>
      <c r="BL40" s="4"/>
      <c r="BM40" s="127">
        <f>CF40/102</f>
        <v>6.1764705882352937E-2</v>
      </c>
      <c r="BN40" s="127">
        <f>C40/2</f>
        <v>1</v>
      </c>
      <c r="BO40" s="4"/>
      <c r="BP40" s="127">
        <f>(AK40)/($AW$6)</f>
        <v>3.0303030303030304E-2</v>
      </c>
      <c r="BQ40" s="127">
        <f ca="1">(CH40-$AW$4)/((YEAR($C$13))-$AW$4)</f>
        <v>0.66666666666666663</v>
      </c>
      <c r="BR40" s="127">
        <f>(AL40)/($AW$6)</f>
        <v>0.13131313131313133</v>
      </c>
      <c r="BS40" s="4"/>
      <c r="BT40" s="127"/>
      <c r="BU40" s="127">
        <f ca="1">(CG40-$AW$4)/((YEAR($C$13))-$AW$4)</f>
        <v>0.66666666666666663</v>
      </c>
      <c r="BV40" s="127">
        <f>AE40/5</f>
        <v>1</v>
      </c>
      <c r="BW40" s="127">
        <f>AF40/5</f>
        <v>1</v>
      </c>
      <c r="BX40" s="4"/>
      <c r="BY40" s="148" t="str">
        <f>IF(E40="A",".98",IF(E40="B",".99",IF(E40="C","1.00",IF(E40="D","1.00" ))))</f>
        <v>1.00</v>
      </c>
      <c r="BZ40" s="127">
        <f>(CE40+7)/10</f>
        <v>1</v>
      </c>
      <c r="CA40" s="76" t="str">
        <f>IF(D40="Fern",".97",IF(D40="Grass",".99",IF(D40="Herb",".97",IF(D40="Shrub",".99",IF(D40="Tree","1.00",IF(D40="Vine",".98"))))))</f>
        <v>.99</v>
      </c>
      <c r="CB40" s="149" t="str">
        <f>IF(R40="Bogs Ponds Streams",".96", IF(R40="Coastal Areas",".97",IF(R40="Meadows Dry Open",".96",IF(R40="Forest &amp; Understory",".97",IF(R40="Moist Open",".98",IF(R40="Moist Shady",".96",IF(R40="Sub-Alpine","1.0")))))))</f>
        <v>.98</v>
      </c>
      <c r="CC40" s="76" t="str">
        <f>IF(S40="Local Endemic",".50",IF(S40="Regional Endemic",".70",IF(S40="Cascadia",".90",IF(S40="Rocky Mountain",".95",IF(S40="North America",".99")))))</f>
        <v>.95</v>
      </c>
      <c r="CD40" s="4"/>
      <c r="CE40" s="21">
        <f>IF(W40&gt;3,3,W40)</f>
        <v>3</v>
      </c>
      <c r="CF40" s="21">
        <f>IF(AC40&gt;102,102,AC40)</f>
        <v>6.3</v>
      </c>
      <c r="CG40" s="34">
        <f>IF(AI40&lt;$AW$4,$AW$4,AI40)</f>
        <v>2014</v>
      </c>
      <c r="CH40" s="34">
        <f>IF(AJ40&lt;$AW$4,$AW$4,AJ40)</f>
        <v>2014</v>
      </c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</row>
    <row r="41" spans="1:115" s="13" customFormat="1" ht="15" customHeight="1" x14ac:dyDescent="0.3">
      <c r="A41" s="235"/>
      <c r="B41" s="218"/>
      <c r="C41" s="225">
        <v>8</v>
      </c>
      <c r="D41" s="94" t="s">
        <v>2505</v>
      </c>
      <c r="E41" s="59" t="s">
        <v>2501</v>
      </c>
      <c r="F41" s="397" t="str">
        <f ca="1">IF(BC41&lt;2025, "Extinct&lt; 6Yrs?",BA41)</f>
        <v>Widespread</v>
      </c>
      <c r="G41" s="363" t="s">
        <v>525</v>
      </c>
      <c r="H41" s="363" t="s">
        <v>685</v>
      </c>
      <c r="I41" s="366" t="s">
        <v>1858</v>
      </c>
      <c r="J41" s="8" t="s">
        <v>3203</v>
      </c>
      <c r="K41" s="365" t="s">
        <v>842</v>
      </c>
      <c r="L41" s="10" t="s">
        <v>1747</v>
      </c>
      <c r="M41" s="8" t="s">
        <v>4122</v>
      </c>
      <c r="N41" s="8" t="s">
        <v>5016</v>
      </c>
      <c r="O41" s="8" t="s">
        <v>5913</v>
      </c>
      <c r="P41" s="9" t="s">
        <v>468</v>
      </c>
      <c r="Q41" s="59" t="s">
        <v>2557</v>
      </c>
      <c r="R41" s="9" t="s">
        <v>2453</v>
      </c>
      <c r="S41" s="9" t="s">
        <v>2479</v>
      </c>
      <c r="T41" s="123" t="str">
        <f>IF(R41="Bogs Ponds Streams","20",IF(R41="Coastal Areas","26",IF(R41="Meadows Dry Open","10",IF(R41="Forest &amp; Understory","14",IF(R41="Moist Open","12",IF(R41="Moist Shady","10",IF(R41="Sub-Alpine Slopes","0")))))))</f>
        <v>26</v>
      </c>
      <c r="U41" s="123" t="str">
        <f>IF(R41="Bogs Ponds Streams","52",IF(R41="Coastal Areas","51",IF(R41="Meadows Dry Open","53",IF(R41="Forest &amp; Understory","52",IF(R41="Moist Open","50",IF(R41="Moist Shady","46",IF(R41="Sub-Alpine Slopes","40")))))))</f>
        <v>51</v>
      </c>
      <c r="V41" s="123" t="str">
        <f>IF(R41="Bogs Ponds Streams","84",IF(R41="Coastal Areas","76",IF(R41="Meadows Dry Open","96", IF(R41="Forest &amp; Understory","90", IF(R41="Moist Open","88", IF(R41="Moist Shady","82", IF(R41="Sub-Alpine Slopes","80")))))))</f>
        <v>76</v>
      </c>
      <c r="W41" s="59">
        <v>20</v>
      </c>
      <c r="X41" s="59">
        <v>0</v>
      </c>
      <c r="Y41" s="59">
        <v>3500</v>
      </c>
      <c r="Z41" s="59" t="s">
        <v>2519</v>
      </c>
      <c r="AA41" s="59" t="s">
        <v>2518</v>
      </c>
      <c r="AB41" s="59">
        <v>6.8</v>
      </c>
      <c r="AC41" s="45">
        <f>C41+AK41+(0.1)*AL41</f>
        <v>25</v>
      </c>
      <c r="AD41" s="77">
        <v>72</v>
      </c>
      <c r="AE41" s="59">
        <v>5</v>
      </c>
      <c r="AF41" s="59">
        <v>5</v>
      </c>
      <c r="AG41" s="59">
        <v>1900</v>
      </c>
      <c r="AH41" s="77">
        <v>0</v>
      </c>
      <c r="AI41" s="59">
        <f ca="1">AJ41</f>
        <v>2019</v>
      </c>
      <c r="AJ41" s="18">
        <f ca="1">YEAR(TODAY())</f>
        <v>2019</v>
      </c>
      <c r="AK41" s="18">
        <v>16</v>
      </c>
      <c r="AL41" s="18">
        <v>10</v>
      </c>
      <c r="AM41" s="18">
        <v>1</v>
      </c>
      <c r="AN41" s="18">
        <v>1</v>
      </c>
      <c r="AO41" s="18">
        <v>5</v>
      </c>
      <c r="AP41" s="18">
        <v>1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0</v>
      </c>
      <c r="AY41" s="233"/>
      <c r="AZ41" s="4"/>
      <c r="BA41" s="35" t="str">
        <f>IF(OR(S41="North America",S41="Rocky Mountain"), "Widespread",BC41)</f>
        <v>Widespread</v>
      </c>
      <c r="BB41" s="4"/>
      <c r="BC41" s="35" t="str">
        <f ca="1">IF(BE41&gt;2046, "Abundant",BE41)</f>
        <v>Abundant</v>
      </c>
      <c r="BD41" s="4"/>
      <c r="BE41" s="81">
        <f ca="1">YEAR($C$13)+(BG41*80)</f>
        <v>2105.845370409982</v>
      </c>
      <c r="BF41" s="4"/>
      <c r="BG41" s="137">
        <f ca="1">BH41*$BH$14</f>
        <v>1.0855671301247771</v>
      </c>
      <c r="BH41" s="137">
        <f ca="1">(((BJ41+BK41+BM41+BN41)/4)*$BM$11)+(((BP41+BQ41)/2)*$BQ$11)+(((BU41+BV41+BW41)/3)*$BU$11)+(((BY41+BZ41+CA41+CB41+CC41)/5)*$CA$11)</f>
        <v>1.0855671301247771</v>
      </c>
      <c r="BI41" s="4"/>
      <c r="BJ41" s="33">
        <f>AP41/(AM41+AO41)</f>
        <v>0.16666666666666666</v>
      </c>
      <c r="BK41" s="33">
        <f>(AN41+AO41)/(AM41+AO41)</f>
        <v>1</v>
      </c>
      <c r="BL41" s="4"/>
      <c r="BM41" s="127">
        <f>CF41/102</f>
        <v>0.24509803921568626</v>
      </c>
      <c r="BN41" s="127">
        <f>C41/2</f>
        <v>4</v>
      </c>
      <c r="BO41" s="4"/>
      <c r="BP41" s="127">
        <f>(AK41)/($AW$6)</f>
        <v>0.16161616161616163</v>
      </c>
      <c r="BQ41" s="127">
        <f ca="1">(CH41-$AW$4)/((YEAR($C$13))-$AW$4)</f>
        <v>1</v>
      </c>
      <c r="BR41" s="127">
        <f>(AL41)/($AW$6)</f>
        <v>0.10101010101010101</v>
      </c>
      <c r="BS41" s="4"/>
      <c r="BT41" s="127"/>
      <c r="BU41" s="127">
        <f ca="1">(CG41-$AW$4)/((YEAR($C$13))-$AW$4)</f>
        <v>1</v>
      </c>
      <c r="BV41" s="127">
        <f>AE41/5</f>
        <v>1</v>
      </c>
      <c r="BW41" s="127">
        <f>AF41/5</f>
        <v>1</v>
      </c>
      <c r="BX41" s="4"/>
      <c r="BY41" s="148" t="str">
        <f>IF(E41="A",".98",IF(E41="B",".99",IF(E41="C","1.00",IF(E41="D","1.00" ))))</f>
        <v>1.00</v>
      </c>
      <c r="BZ41" s="127">
        <f>(CE41+7)/10</f>
        <v>1</v>
      </c>
      <c r="CA41" s="76" t="str">
        <f>IF(D41="Fern",".97",IF(D41="Grass",".99",IF(D41="Herb",".97",IF(D41="Shrub",".99",IF(D41="Tree","1.00",IF(D41="Vine",".98"))))))</f>
        <v>.97</v>
      </c>
      <c r="CB41" s="149" t="str">
        <f>IF(R41="Bogs Ponds Streams",".96", IF(R41="Coastal Areas",".97",IF(R41="Meadows Dry Open",".96",IF(R41="Forest &amp; Understory",".97",IF(R41="Moist Open",".98",IF(R41="Moist Shady",".96",IF(R41="Sub-Alpine","1.0")))))))</f>
        <v>.97</v>
      </c>
      <c r="CC41" s="76" t="str">
        <f>IF(S41="Local Endemic",".50",IF(S41="Regional Endemic",".70",IF(S41="Cascadia",".90",IF(S41="Rocky Mountain",".95",IF(S41="North America",".99")))))</f>
        <v>.95</v>
      </c>
      <c r="CD41" s="4"/>
      <c r="CE41" s="21">
        <f>IF(W41&gt;3,3,W41)</f>
        <v>3</v>
      </c>
      <c r="CF41" s="21">
        <f>IF(AC41&gt;102,102,AC41)</f>
        <v>25</v>
      </c>
      <c r="CG41" s="34">
        <f ca="1">IF(AI41&lt;$AW$4,$AW$4,AI41)</f>
        <v>2019</v>
      </c>
      <c r="CH41" s="34">
        <f ca="1">IF(AJ41&lt;$AW$4,$AW$4,AJ41)</f>
        <v>2019</v>
      </c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</row>
    <row r="42" spans="1:115" s="13" customFormat="1" ht="15" customHeight="1" x14ac:dyDescent="0.3">
      <c r="A42" s="235"/>
      <c r="B42" s="218"/>
      <c r="C42" s="375">
        <v>1</v>
      </c>
      <c r="D42" s="219" t="s">
        <v>1155</v>
      </c>
      <c r="E42" s="67" t="s">
        <v>2501</v>
      </c>
      <c r="F42" s="403" t="str">
        <f ca="1">IF(BC42&lt;2025, "Extinct&lt; 6Yrs?",BA42)</f>
        <v>Widespread</v>
      </c>
      <c r="G42" s="376" t="s">
        <v>525</v>
      </c>
      <c r="H42" s="376" t="s">
        <v>4028</v>
      </c>
      <c r="I42" s="380" t="s">
        <v>1859</v>
      </c>
      <c r="J42" s="378" t="s">
        <v>3675</v>
      </c>
      <c r="K42" s="378" t="s">
        <v>843</v>
      </c>
      <c r="L42" s="63" t="s">
        <v>1748</v>
      </c>
      <c r="M42" s="64" t="s">
        <v>4124</v>
      </c>
      <c r="N42" s="64" t="s">
        <v>5015</v>
      </c>
      <c r="O42" s="64" t="s">
        <v>5914</v>
      </c>
      <c r="P42" s="61" t="s">
        <v>468</v>
      </c>
      <c r="Q42" s="67" t="s">
        <v>2557</v>
      </c>
      <c r="R42" s="163" t="s">
        <v>2497</v>
      </c>
      <c r="S42" s="61" t="s">
        <v>2495</v>
      </c>
      <c r="T42" s="134" t="str">
        <f>IF(R42="Bogs Ponds Streams","20",IF(R42="Coastal Areas","26",IF(R42="Meadows Dry Open","10",IF(R42="Forest &amp; Understory","14",IF(R42="Moist Open","12",IF(R42="Moist Shady","10",IF(R42="Sub-Alpine Slopes","0")))))))</f>
        <v>12</v>
      </c>
      <c r="U42" s="134" t="str">
        <f>IF(R42="Bogs Ponds Streams","52",IF(R42="Coastal Areas","51",IF(R42="Meadows Dry Open","53",IF(R42="Forest &amp; Understory","52",IF(R42="Moist Open","50",IF(R42="Moist Shady","46",IF(R42="Sub-Alpine Slopes","40")))))))</f>
        <v>50</v>
      </c>
      <c r="V42" s="134" t="str">
        <f>IF(R42="Bogs Ponds Streams","84",IF(R42="Coastal Areas","76",IF(R42="Meadows Dry Open","96", IF(R42="Forest &amp; Understory","90", IF(R42="Moist Open","88", IF(R42="Moist Shady","82", IF(R42="Sub-Alpine Slopes","80")))))))</f>
        <v>88</v>
      </c>
      <c r="W42" s="67">
        <v>20</v>
      </c>
      <c r="X42" s="67">
        <v>0</v>
      </c>
      <c r="Y42" s="67">
        <v>3500</v>
      </c>
      <c r="Z42" s="67" t="s">
        <v>2519</v>
      </c>
      <c r="AA42" s="67" t="s">
        <v>2518</v>
      </c>
      <c r="AB42" s="67">
        <v>6.8</v>
      </c>
      <c r="AC42" s="85">
        <f>C42+AK42+(0.1)*AL42</f>
        <v>43.5</v>
      </c>
      <c r="AD42" s="78">
        <v>230</v>
      </c>
      <c r="AE42" s="67">
        <v>5</v>
      </c>
      <c r="AF42" s="67">
        <v>5</v>
      </c>
      <c r="AG42" s="67">
        <v>1900</v>
      </c>
      <c r="AH42" s="78">
        <v>0</v>
      </c>
      <c r="AI42" s="67">
        <f>AJ42</f>
        <v>2010</v>
      </c>
      <c r="AJ42" s="69">
        <v>2010</v>
      </c>
      <c r="AK42" s="69">
        <v>40</v>
      </c>
      <c r="AL42" s="69">
        <v>25</v>
      </c>
      <c r="AM42" s="70">
        <v>5</v>
      </c>
      <c r="AN42" s="70">
        <v>0</v>
      </c>
      <c r="AO42" s="86">
        <v>0</v>
      </c>
      <c r="AP42" s="70">
        <v>0</v>
      </c>
      <c r="AQ42" s="70">
        <v>0</v>
      </c>
      <c r="AR42" s="70">
        <v>0</v>
      </c>
      <c r="AS42" s="86">
        <v>0</v>
      </c>
      <c r="AT42" s="70">
        <v>0</v>
      </c>
      <c r="AU42" s="70">
        <v>0</v>
      </c>
      <c r="AV42" s="70">
        <v>0</v>
      </c>
      <c r="AW42" s="86">
        <v>0</v>
      </c>
      <c r="AX42" s="70">
        <v>0</v>
      </c>
      <c r="AY42" s="233"/>
      <c r="AZ42" s="4"/>
      <c r="BA42" s="35" t="str">
        <f>IF(OR(S42="North America",S42="Rocky Mountain"), "Widespread",BC42)</f>
        <v>Widespread</v>
      </c>
      <c r="BB42" s="4"/>
      <c r="BC42" s="35" t="str">
        <f ca="1">IF(BE42&gt;2046, "Abundant",BE42)</f>
        <v>Abundant</v>
      </c>
      <c r="BD42" s="4"/>
      <c r="BE42" s="81">
        <f ca="1">YEAR($C$13)+(BG42*80)</f>
        <v>2046.4733319073084</v>
      </c>
      <c r="BF42" s="4"/>
      <c r="BG42" s="137">
        <f ca="1">BH42*$BH$14</f>
        <v>0.34341664884135475</v>
      </c>
      <c r="BH42" s="137">
        <f ca="1">(((BJ42+BK42+BM42+BN42)/4)*$BM$11)+(((BP42+BQ42)/2)*$BQ$11)+(((BU42+BV42+BW42)/3)*$BU$11)+(((BY42+BZ42+CA42+CB42+CC42)/5)*$CA$11)</f>
        <v>0.34341664884135475</v>
      </c>
      <c r="BI42" s="4"/>
      <c r="BJ42" s="33">
        <f>AP42/(AM42+AO42)</f>
        <v>0</v>
      </c>
      <c r="BK42" s="33">
        <f>(AN42+AO42)/(AM42+AO42)</f>
        <v>0</v>
      </c>
      <c r="BL42" s="4"/>
      <c r="BM42" s="127">
        <f>CF42/102</f>
        <v>0.4264705882352941</v>
      </c>
      <c r="BN42" s="127">
        <f>C42/2</f>
        <v>0.5</v>
      </c>
      <c r="BO42" s="4"/>
      <c r="BP42" s="127">
        <f>(AK42)/($AW$6)</f>
        <v>0.40404040404040403</v>
      </c>
      <c r="BQ42" s="127">
        <f ca="1">(CH42-$AW$4)/((YEAR($C$13))-$AW$4)</f>
        <v>0.4</v>
      </c>
      <c r="BR42" s="127">
        <f>(AL42)/($AW$6)</f>
        <v>0.25252525252525254</v>
      </c>
      <c r="BS42" s="4"/>
      <c r="BT42" s="127"/>
      <c r="BU42" s="127">
        <f ca="1">(CG42-$AW$4)/((YEAR($C$13))-$AW$4)</f>
        <v>0.4</v>
      </c>
      <c r="BV42" s="127">
        <f>AE42/5</f>
        <v>1</v>
      </c>
      <c r="BW42" s="127">
        <f>AF42/5</f>
        <v>1</v>
      </c>
      <c r="BX42" s="4"/>
      <c r="BY42" s="148" t="str">
        <f>IF(E42="A",".98",IF(E42="B",".99",IF(E42="C","1.00",IF(E42="D","1.00" ))))</f>
        <v>1.00</v>
      </c>
      <c r="BZ42" s="127">
        <f>(CE42+7)/10</f>
        <v>1</v>
      </c>
      <c r="CA42" s="76" t="str">
        <f>IF(D42="Fern",".97",IF(D42="Grass",".99",IF(D42="Herb",".97",IF(D42="Shrub",".99",IF(D42="Tree","1.00",IF(D42="Vine",".98"))))))</f>
        <v>.99</v>
      </c>
      <c r="CB42" s="149" t="str">
        <f>IF(R42="Bogs Ponds Streams",".96", IF(R42="Coastal Areas",".97",IF(R42="Meadows Dry Open",".96",IF(R42="Forest &amp; Understory",".97",IF(R42="Moist Open",".98",IF(R42="Moist Shady",".96",IF(R42="Sub-Alpine","1.0")))))))</f>
        <v>.98</v>
      </c>
      <c r="CC42" s="76" t="str">
        <f>IF(S42="Local Endemic",".50",IF(S42="Regional Endemic",".70",IF(S42="Cascadia",".90",IF(S42="Rocky Mountain",".95",IF(S42="North America",".99")))))</f>
        <v>.99</v>
      </c>
      <c r="CD42" s="4"/>
      <c r="CE42" s="21">
        <f>IF(W42&gt;3,3,W42)</f>
        <v>3</v>
      </c>
      <c r="CF42" s="21">
        <f>IF(AC42&gt;102,102,AC42)</f>
        <v>43.5</v>
      </c>
      <c r="CG42" s="34">
        <f>IF(AI42&lt;$AW$4,$AW$4,AI42)</f>
        <v>2010</v>
      </c>
      <c r="CH42" s="34">
        <f>IF(AJ42&lt;$AW$4,$AW$4,AJ42)</f>
        <v>2010</v>
      </c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</row>
    <row r="43" spans="1:115" s="13" customFormat="1" ht="15" customHeight="1" x14ac:dyDescent="0.3">
      <c r="A43" s="235"/>
      <c r="B43" s="218"/>
      <c r="C43" s="226">
        <v>2</v>
      </c>
      <c r="D43" s="118" t="s">
        <v>2505</v>
      </c>
      <c r="E43" s="104" t="s">
        <v>2501</v>
      </c>
      <c r="F43" s="400" t="str">
        <f ca="1">IF(BC43&lt;2025, "Extinct&lt; 6Yrs?",BA43)</f>
        <v>Widespread</v>
      </c>
      <c r="G43" s="369" t="s">
        <v>525</v>
      </c>
      <c r="H43" s="369" t="s">
        <v>4028</v>
      </c>
      <c r="I43" s="370" t="s">
        <v>1860</v>
      </c>
      <c r="J43" s="371" t="s">
        <v>3852</v>
      </c>
      <c r="K43" s="371" t="s">
        <v>844</v>
      </c>
      <c r="L43" s="106" t="s">
        <v>1749</v>
      </c>
      <c r="M43" s="111" t="s">
        <v>4123</v>
      </c>
      <c r="N43" s="111" t="s">
        <v>5017</v>
      </c>
      <c r="O43" s="111" t="s">
        <v>5915</v>
      </c>
      <c r="P43" s="105" t="s">
        <v>398</v>
      </c>
      <c r="Q43" s="104" t="s">
        <v>2552</v>
      </c>
      <c r="R43" s="105" t="s">
        <v>2497</v>
      </c>
      <c r="S43" s="105" t="s">
        <v>2495</v>
      </c>
      <c r="T43" s="133" t="str">
        <f>IF(R43="Bogs Ponds Streams","20",IF(R43="Coastal Areas","26",IF(R43="Meadows Dry Open","10",IF(R43="Forest &amp; Understory","14",IF(R43="Moist Open","12",IF(R43="Moist Shady","10",IF(R43="Sub-Alpine Slopes","0")))))))</f>
        <v>12</v>
      </c>
      <c r="U43" s="133" t="str">
        <f>IF(R43="Bogs Ponds Streams","52",IF(R43="Coastal Areas","51",IF(R43="Meadows Dry Open","53",IF(R43="Forest &amp; Understory","52",IF(R43="Moist Open","50",IF(R43="Moist Shady","46",IF(R43="Sub-Alpine Slopes","40")))))))</f>
        <v>50</v>
      </c>
      <c r="V43" s="133" t="str">
        <f>IF(R43="Bogs Ponds Streams","84",IF(R43="Coastal Areas","76",IF(R43="Meadows Dry Open","96", IF(R43="Forest &amp; Understory","90", IF(R43="Moist Open","88", IF(R43="Moist Shady","82", IF(R43="Sub-Alpine Slopes","80")))))))</f>
        <v>88</v>
      </c>
      <c r="W43" s="104">
        <v>20</v>
      </c>
      <c r="X43" s="104">
        <v>0</v>
      </c>
      <c r="Y43" s="104">
        <v>3500</v>
      </c>
      <c r="Z43" s="104" t="s">
        <v>2519</v>
      </c>
      <c r="AA43" s="104" t="s">
        <v>2518</v>
      </c>
      <c r="AB43" s="104">
        <v>6.8</v>
      </c>
      <c r="AC43" s="107">
        <f>C43+AK43+(0.1)*AL43</f>
        <v>25</v>
      </c>
      <c r="AD43" s="113">
        <v>62</v>
      </c>
      <c r="AE43" s="104">
        <v>5</v>
      </c>
      <c r="AF43" s="104">
        <v>5</v>
      </c>
      <c r="AG43" s="104">
        <v>1900</v>
      </c>
      <c r="AH43" s="113">
        <v>0</v>
      </c>
      <c r="AI43" s="104">
        <f>AJ43</f>
        <v>1995</v>
      </c>
      <c r="AJ43" s="108">
        <v>1995</v>
      </c>
      <c r="AK43" s="108">
        <v>20</v>
      </c>
      <c r="AL43" s="108">
        <v>30</v>
      </c>
      <c r="AM43" s="109">
        <v>5</v>
      </c>
      <c r="AN43" s="109">
        <v>1</v>
      </c>
      <c r="AO43" s="110">
        <v>0</v>
      </c>
      <c r="AP43" s="109">
        <v>0</v>
      </c>
      <c r="AQ43" s="109">
        <v>0</v>
      </c>
      <c r="AR43" s="109">
        <v>0</v>
      </c>
      <c r="AS43" s="110">
        <v>0</v>
      </c>
      <c r="AT43" s="109">
        <v>0</v>
      </c>
      <c r="AU43" s="109">
        <v>0</v>
      </c>
      <c r="AV43" s="109">
        <v>0</v>
      </c>
      <c r="AW43" s="110">
        <v>0</v>
      </c>
      <c r="AX43" s="109">
        <v>0</v>
      </c>
      <c r="AY43" s="233"/>
      <c r="AZ43" s="4"/>
      <c r="BA43" s="35" t="str">
        <f>IF(OR(S43="North America",S43="Rocky Mountain"), "Widespread",BC43)</f>
        <v>Widespread</v>
      </c>
      <c r="BB43" s="4"/>
      <c r="BC43" s="35">
        <f ca="1">IF(BE43&gt;2046, "Abundant",BE43)</f>
        <v>2044.6128855614973</v>
      </c>
      <c r="BD43" s="4"/>
      <c r="BE43" s="81">
        <f ca="1">YEAR($C$13)+(BG43*80)</f>
        <v>2044.6128855614973</v>
      </c>
      <c r="BF43" s="4"/>
      <c r="BG43" s="137">
        <f ca="1">BH43*$BH$14</f>
        <v>0.32016106951871659</v>
      </c>
      <c r="BH43" s="137">
        <f ca="1">(((BJ43+BK43+BM43+BN43)/4)*$BM$11)+(((BP43+BQ43)/2)*$BQ$11)+(((BU43+BV43+BW43)/3)*$BU$11)+(((BY43+BZ43+CA43+CB43+CC43)/5)*$CA$11)</f>
        <v>0.32016106951871659</v>
      </c>
      <c r="BI43" s="4"/>
      <c r="BJ43" s="33">
        <f>AP43/(AM43+AO43)</f>
        <v>0</v>
      </c>
      <c r="BK43" s="33">
        <f>(AN43+AO43)/(AM43+AO43)</f>
        <v>0.2</v>
      </c>
      <c r="BL43" s="4"/>
      <c r="BM43" s="127">
        <f>CF43/102</f>
        <v>0.24509803921568626</v>
      </c>
      <c r="BN43" s="127">
        <f>C43/2</f>
        <v>1</v>
      </c>
      <c r="BO43" s="4"/>
      <c r="BP43" s="127">
        <f>(AK43)/($AW$6)</f>
        <v>0.20202020202020202</v>
      </c>
      <c r="BQ43" s="127">
        <f ca="1">(CH43-$AW$4)/((YEAR($C$13))-$AW$4)</f>
        <v>0</v>
      </c>
      <c r="BR43" s="127">
        <f>(AL43)/($AW$6)</f>
        <v>0.30303030303030304</v>
      </c>
      <c r="BS43" s="4"/>
      <c r="BT43" s="127"/>
      <c r="BU43" s="127">
        <f ca="1">(CG43-$AW$4)/((YEAR($C$13))-$AW$4)</f>
        <v>0</v>
      </c>
      <c r="BV43" s="127">
        <f>AE43/5</f>
        <v>1</v>
      </c>
      <c r="BW43" s="127">
        <f>AF43/5</f>
        <v>1</v>
      </c>
      <c r="BX43" s="4"/>
      <c r="BY43" s="148" t="str">
        <f>IF(E43="A",".98",IF(E43="B",".99",IF(E43="C","1.00",IF(E43="D","1.00" ))))</f>
        <v>1.00</v>
      </c>
      <c r="BZ43" s="127">
        <f>(CE43+7)/10</f>
        <v>1</v>
      </c>
      <c r="CA43" s="76" t="str">
        <f>IF(D43="Fern",".97",IF(D43="Grass",".99",IF(D43="Herb",".97",IF(D43="Shrub",".99",IF(D43="Tree","1.00",IF(D43="Vine",".98"))))))</f>
        <v>.97</v>
      </c>
      <c r="CB43" s="149" t="str">
        <f>IF(R43="Bogs Ponds Streams",".96", IF(R43="Coastal Areas",".97",IF(R43="Meadows Dry Open",".96",IF(R43="Forest &amp; Understory",".97",IF(R43="Moist Open",".98",IF(R43="Moist Shady",".96",IF(R43="Sub-Alpine","1.0")))))))</f>
        <v>.98</v>
      </c>
      <c r="CC43" s="76" t="str">
        <f>IF(S43="Local Endemic",".50",IF(S43="Regional Endemic",".70",IF(S43="Cascadia",".90",IF(S43="Rocky Mountain",".95",IF(S43="North America",".99")))))</f>
        <v>.99</v>
      </c>
      <c r="CD43" s="4"/>
      <c r="CE43" s="21">
        <f>IF(W43&gt;3,3,W43)</f>
        <v>3</v>
      </c>
      <c r="CF43" s="21">
        <f>IF(AC43&gt;102,102,AC43)</f>
        <v>25</v>
      </c>
      <c r="CG43" s="34">
        <f>IF(AI43&lt;$AW$4,$AW$4,AI43)</f>
        <v>2004</v>
      </c>
      <c r="CH43" s="34">
        <f>IF(AJ43&lt;$AW$4,$AW$4,AJ43)</f>
        <v>2004</v>
      </c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12"/>
    </row>
    <row r="44" spans="1:115" s="13" customFormat="1" ht="15" customHeight="1" x14ac:dyDescent="0.3">
      <c r="A44" s="235"/>
      <c r="B44" s="218"/>
      <c r="C44" s="225">
        <v>8</v>
      </c>
      <c r="D44" s="59" t="s">
        <v>2505</v>
      </c>
      <c r="E44" s="59" t="s">
        <v>2501</v>
      </c>
      <c r="F44" s="397" t="str">
        <f ca="1">IF(BC44&lt;2025, "Extinct&lt; 6Yrs?",BA44)</f>
        <v>Widespread</v>
      </c>
      <c r="G44" s="363" t="s">
        <v>525</v>
      </c>
      <c r="H44" s="363" t="s">
        <v>683</v>
      </c>
      <c r="I44" s="366" t="s">
        <v>1861</v>
      </c>
      <c r="J44" s="365" t="s">
        <v>3204</v>
      </c>
      <c r="K44" s="365" t="s">
        <v>846</v>
      </c>
      <c r="L44" s="10" t="s">
        <v>1750</v>
      </c>
      <c r="M44" s="8" t="s">
        <v>4125</v>
      </c>
      <c r="N44" s="8" t="s">
        <v>5017</v>
      </c>
      <c r="O44" s="8" t="s">
        <v>5916</v>
      </c>
      <c r="P44" s="9" t="s">
        <v>748</v>
      </c>
      <c r="Q44" s="59" t="s">
        <v>2560</v>
      </c>
      <c r="R44" s="9" t="s">
        <v>2500</v>
      </c>
      <c r="S44" s="9" t="s">
        <v>2495</v>
      </c>
      <c r="T44" s="123" t="str">
        <f>IF(R44="Bogs Ponds Streams","20",IF(R44="Coastal Areas","26",IF(R44="Meadows Dry Open","10",IF(R44="Forest &amp; Understory","14",IF(R44="Moist Open","12",IF(R44="Moist Shady","10",IF(R44="Sub-Alpine Slopes","0")))))))</f>
        <v>10</v>
      </c>
      <c r="U44" s="123" t="str">
        <f>IF(R44="Bogs Ponds Streams","52",IF(R44="Coastal Areas","51",IF(R44="Meadows Dry Open","53",IF(R44="Forest &amp; Understory","52",IF(R44="Moist Open","50",IF(R44="Moist Shady","46",IF(R44="Sub-Alpine Slopes","40")))))))</f>
        <v>53</v>
      </c>
      <c r="V44" s="123" t="str">
        <f>IF(R44="Bogs Ponds Streams","84",IF(R44="Coastal Areas","76",IF(R44="Meadows Dry Open","96", IF(R44="Forest &amp; Understory","90", IF(R44="Moist Open","88", IF(R44="Moist Shady","82", IF(R44="Sub-Alpine Slopes","80")))))))</f>
        <v>96</v>
      </c>
      <c r="W44" s="59">
        <v>20</v>
      </c>
      <c r="X44" s="59">
        <v>0</v>
      </c>
      <c r="Y44" s="59">
        <v>3500</v>
      </c>
      <c r="Z44" s="59" t="s">
        <v>2519</v>
      </c>
      <c r="AA44" s="59" t="s">
        <v>2518</v>
      </c>
      <c r="AB44" s="59">
        <v>6.8</v>
      </c>
      <c r="AC44" s="45">
        <f>C44+AK44+(0.1)*AL44</f>
        <v>34</v>
      </c>
      <c r="AD44" s="77">
        <v>232</v>
      </c>
      <c r="AE44" s="59">
        <v>5</v>
      </c>
      <c r="AF44" s="59">
        <v>5</v>
      </c>
      <c r="AG44" s="59">
        <v>1900</v>
      </c>
      <c r="AH44" s="77">
        <v>0</v>
      </c>
      <c r="AI44" s="59">
        <f ca="1">AJ44</f>
        <v>2019</v>
      </c>
      <c r="AJ44" s="18">
        <f ca="1">YEAR(TODAY())</f>
        <v>2019</v>
      </c>
      <c r="AK44" s="18">
        <v>20</v>
      </c>
      <c r="AL44" s="18">
        <v>60</v>
      </c>
      <c r="AM44" s="18">
        <v>1</v>
      </c>
      <c r="AN44" s="18">
        <v>1</v>
      </c>
      <c r="AO44" s="18">
        <v>5</v>
      </c>
      <c r="AP44" s="18">
        <v>1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233"/>
      <c r="AZ44" s="4"/>
      <c r="BA44" s="35" t="str">
        <f>IF(OR(S44="North America",S44="Rocky Mountain"), "Widespread",BC44)</f>
        <v>Widespread</v>
      </c>
      <c r="BB44" s="4"/>
      <c r="BC44" s="35" t="str">
        <f ca="1">IF(BE44&gt;2046, "Abundant",BE44)</f>
        <v>Abundant</v>
      </c>
      <c r="BD44" s="4"/>
      <c r="BE44" s="81">
        <f ca="1">YEAR($C$13)+(BG44*80)</f>
        <v>2107.3986424242426</v>
      </c>
      <c r="BF44" s="4"/>
      <c r="BG44" s="137">
        <f ca="1">BH44*$BH$14</f>
        <v>1.1049830303030304</v>
      </c>
      <c r="BH44" s="137">
        <f ca="1">(((BJ44+BK44+BM44+BN44)/4)*$BM$11)+(((BP44+BQ44)/2)*$BQ$11)+(((BU44+BV44+BW44)/3)*$BU$11)+(((BY44+BZ44+CA44+CB44+CC44)/5)*$CA$11)</f>
        <v>1.1049830303030304</v>
      </c>
      <c r="BI44" s="4"/>
      <c r="BJ44" s="33">
        <f>AP44/(AM44+AO44)</f>
        <v>0.16666666666666666</v>
      </c>
      <c r="BK44" s="33">
        <f>(AN44+AO44)/(AM44+AO44)</f>
        <v>1</v>
      </c>
      <c r="BL44" s="4"/>
      <c r="BM44" s="127">
        <f>CF44/102</f>
        <v>0.33333333333333331</v>
      </c>
      <c r="BN44" s="127">
        <f>C44/2</f>
        <v>4</v>
      </c>
      <c r="BO44" s="4"/>
      <c r="BP44" s="127">
        <f>(AK44)/($AW$6)</f>
        <v>0.20202020202020202</v>
      </c>
      <c r="BQ44" s="127">
        <f ca="1">(CH44-$AW$4)/((YEAR($C$13))-$AW$4)</f>
        <v>1</v>
      </c>
      <c r="BR44" s="127">
        <f>(AL44)/($AW$6)</f>
        <v>0.60606060606060608</v>
      </c>
      <c r="BS44" s="4"/>
      <c r="BT44" s="127"/>
      <c r="BU44" s="127">
        <f ca="1">(CG44-$AW$4)/((YEAR($C$13))-$AW$4)</f>
        <v>1</v>
      </c>
      <c r="BV44" s="127">
        <f>AE44/5</f>
        <v>1</v>
      </c>
      <c r="BW44" s="127">
        <f>AF44/5</f>
        <v>1</v>
      </c>
      <c r="BX44" s="4"/>
      <c r="BY44" s="148" t="str">
        <f>IF(E44="A",".98",IF(E44="B",".99",IF(E44="C","1.00",IF(E44="D","1.00" ))))</f>
        <v>1.00</v>
      </c>
      <c r="BZ44" s="127">
        <f>(CE44+7)/10</f>
        <v>1</v>
      </c>
      <c r="CA44" s="76" t="str">
        <f>IF(D44="Fern",".97",IF(D44="Grass",".99",IF(D44="Herb",".97",IF(D44="Shrub",".99",IF(D44="Tree","1.00",IF(D44="Vine",".98"))))))</f>
        <v>.97</v>
      </c>
      <c r="CB44" s="149" t="str">
        <f>IF(R44="Bogs Ponds Streams",".96", IF(R44="Coastal Areas",".97",IF(R44="Meadows Dry Open",".96",IF(R44="Forest &amp; Understory",".97",IF(R44="Moist Open",".98",IF(R44="Moist Shady",".96",IF(R44="Sub-Alpine","1.0")))))))</f>
        <v>.96</v>
      </c>
      <c r="CC44" s="76" t="str">
        <f>IF(S44="Local Endemic",".50",IF(S44="Regional Endemic",".70",IF(S44="Cascadia",".90",IF(S44="Rocky Mountain",".95",IF(S44="North America",".99")))))</f>
        <v>.99</v>
      </c>
      <c r="CD44" s="4"/>
      <c r="CE44" s="21">
        <f>IF(W44&gt;3,3,W44)</f>
        <v>3</v>
      </c>
      <c r="CF44" s="21">
        <f>IF(AC44&gt;102,102,AC44)</f>
        <v>34</v>
      </c>
      <c r="CG44" s="34">
        <f ca="1">IF(AI44&lt;$AW$4,$AW$4,AI44)</f>
        <v>2019</v>
      </c>
      <c r="CH44" s="34">
        <f ca="1">IF(AJ44&lt;$AW$4,$AW$4,AJ44)</f>
        <v>2019</v>
      </c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</row>
    <row r="45" spans="1:115" s="13" customFormat="1" ht="15" customHeight="1" x14ac:dyDescent="0.3">
      <c r="A45" s="235"/>
      <c r="B45" s="218"/>
      <c r="C45" s="225">
        <v>8</v>
      </c>
      <c r="D45" s="59" t="s">
        <v>2505</v>
      </c>
      <c r="E45" s="59" t="s">
        <v>2501</v>
      </c>
      <c r="F45" s="397" t="str">
        <f ca="1">IF(BC45&lt;2025, "Extinct&lt; 6Yrs?",BA45)</f>
        <v>Abundant</v>
      </c>
      <c r="G45" s="363" t="s">
        <v>525</v>
      </c>
      <c r="H45" s="363" t="s">
        <v>677</v>
      </c>
      <c r="I45" s="366" t="s">
        <v>1862</v>
      </c>
      <c r="J45" s="365" t="s">
        <v>3205</v>
      </c>
      <c r="K45" s="365" t="s">
        <v>845</v>
      </c>
      <c r="L45" s="10" t="s">
        <v>1397</v>
      </c>
      <c r="M45" s="8" t="s">
        <v>4126</v>
      </c>
      <c r="N45" s="8" t="s">
        <v>5018</v>
      </c>
      <c r="O45" s="8" t="s">
        <v>5917</v>
      </c>
      <c r="P45" s="9" t="s">
        <v>1312</v>
      </c>
      <c r="Q45" s="59" t="s">
        <v>2552</v>
      </c>
      <c r="R45" s="9" t="s">
        <v>2500</v>
      </c>
      <c r="S45" s="9" t="s">
        <v>2459</v>
      </c>
      <c r="T45" s="123" t="str">
        <f>IF(R45="Bogs Ponds Streams","20",IF(R45="Coastal Areas","26",IF(R45="Meadows Dry Open","10",IF(R45="Forest &amp; Understory","14",IF(R45="Moist Open","12",IF(R45="Moist Shady","10",IF(R45="Sub-Alpine Slopes","0")))))))</f>
        <v>10</v>
      </c>
      <c r="U45" s="123" t="str">
        <f>IF(R45="Bogs Ponds Streams","52",IF(R45="Coastal Areas","51",IF(R45="Meadows Dry Open","53",IF(R45="Forest &amp; Understory","52",IF(R45="Moist Open","50",IF(R45="Moist Shady","46",IF(R45="Sub-Alpine Slopes","40")))))))</f>
        <v>53</v>
      </c>
      <c r="V45" s="123" t="str">
        <f>IF(R45="Bogs Ponds Streams","84",IF(R45="Coastal Areas","76",IF(R45="Meadows Dry Open","96", IF(R45="Forest &amp; Understory","90", IF(R45="Moist Open","88", IF(R45="Moist Shady","82", IF(R45="Sub-Alpine Slopes","80")))))))</f>
        <v>96</v>
      </c>
      <c r="W45" s="59">
        <v>20</v>
      </c>
      <c r="X45" s="59">
        <v>0</v>
      </c>
      <c r="Y45" s="59">
        <v>3500</v>
      </c>
      <c r="Z45" s="59" t="s">
        <v>2519</v>
      </c>
      <c r="AA45" s="59" t="s">
        <v>2518</v>
      </c>
      <c r="AB45" s="59">
        <v>6.8</v>
      </c>
      <c r="AC45" s="45">
        <f>C45+AK45+(0.1)*AL45</f>
        <v>10.3</v>
      </c>
      <c r="AD45" s="77">
        <v>21</v>
      </c>
      <c r="AE45" s="59">
        <v>5</v>
      </c>
      <c r="AF45" s="59">
        <v>5</v>
      </c>
      <c r="AG45" s="59">
        <v>1900</v>
      </c>
      <c r="AH45" s="77">
        <v>0</v>
      </c>
      <c r="AI45" s="59">
        <f ca="1">AJ45</f>
        <v>2019</v>
      </c>
      <c r="AJ45" s="18">
        <f ca="1">YEAR(TODAY())</f>
        <v>2019</v>
      </c>
      <c r="AK45" s="18">
        <v>2</v>
      </c>
      <c r="AL45" s="18">
        <v>3</v>
      </c>
      <c r="AM45" s="18">
        <v>1</v>
      </c>
      <c r="AN45" s="18">
        <v>1</v>
      </c>
      <c r="AO45" s="18">
        <v>5</v>
      </c>
      <c r="AP45" s="18">
        <v>1</v>
      </c>
      <c r="AQ45" s="18">
        <v>0</v>
      </c>
      <c r="AR45" s="18">
        <v>0</v>
      </c>
      <c r="AS45" s="18">
        <v>0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233"/>
      <c r="AZ45" s="4"/>
      <c r="BA45" s="35" t="str">
        <f ca="1">IF(OR(S45="North America",S45="Rocky Mountain"), "Widespread",BC45)</f>
        <v>Abundant</v>
      </c>
      <c r="BB45" s="4"/>
      <c r="BC45" s="35" t="str">
        <f ca="1">IF(BE45&gt;2046, "Abundant",BE45)</f>
        <v>Abundant</v>
      </c>
      <c r="BD45" s="4"/>
      <c r="BE45" s="81">
        <f ca="1">YEAR($C$13)+(BG45*80)</f>
        <v>2102.3997889483067</v>
      </c>
      <c r="BF45" s="4"/>
      <c r="BG45" s="137">
        <f ca="1">BH45*$BH$14</f>
        <v>1.0424973618538325</v>
      </c>
      <c r="BH45" s="137">
        <f ca="1">(((BJ45+BK45+BM45+BN45)/4)*$BM$11)+(((BP45+BQ45)/2)*$BQ$11)+(((BU45+BV45+BW45)/3)*$BU$11)+(((BY45+BZ45+CA45+CB45+CC45)/5)*$CA$11)</f>
        <v>1.0424973618538325</v>
      </c>
      <c r="BI45" s="4"/>
      <c r="BJ45" s="33">
        <f>AP45/(AM45+AO45)</f>
        <v>0.16666666666666666</v>
      </c>
      <c r="BK45" s="33">
        <f>(AN45+AO45)/(AM45+AO45)</f>
        <v>1</v>
      </c>
      <c r="BL45" s="4"/>
      <c r="BM45" s="127">
        <f>CF45/102</f>
        <v>0.10098039215686275</v>
      </c>
      <c r="BN45" s="127">
        <f>C45/2</f>
        <v>4</v>
      </c>
      <c r="BO45" s="4"/>
      <c r="BP45" s="127">
        <f>(AK45)/($AW$6)</f>
        <v>2.0202020202020204E-2</v>
      </c>
      <c r="BQ45" s="127">
        <f ca="1">(CH45-$AW$4)/((YEAR($C$13))-$AW$4)</f>
        <v>1</v>
      </c>
      <c r="BR45" s="127">
        <f>(AL45)/($AW$6)</f>
        <v>3.0303030303030304E-2</v>
      </c>
      <c r="BS45" s="4"/>
      <c r="BT45" s="127"/>
      <c r="BU45" s="127">
        <f ca="1">(CG45-$AW$4)/((YEAR($C$13))-$AW$4)</f>
        <v>1</v>
      </c>
      <c r="BV45" s="127">
        <f>AE45/5</f>
        <v>1</v>
      </c>
      <c r="BW45" s="127">
        <f>AF45/5</f>
        <v>1</v>
      </c>
      <c r="BX45" s="4"/>
      <c r="BY45" s="148" t="str">
        <f>IF(E45="A",".98",IF(E45="B",".99",IF(E45="C","1.00",IF(E45="D","1.00" ))))</f>
        <v>1.00</v>
      </c>
      <c r="BZ45" s="127">
        <f>(CE45+7)/10</f>
        <v>1</v>
      </c>
      <c r="CA45" s="76" t="str">
        <f>IF(D45="Fern",".97",IF(D45="Grass",".99",IF(D45="Herb",".97",IF(D45="Shrub",".99",IF(D45="Tree","1.00",IF(D45="Vine",".98"))))))</f>
        <v>.97</v>
      </c>
      <c r="CB45" s="149" t="str">
        <f>IF(R45="Bogs Ponds Streams",".96", IF(R45="Coastal Areas",".97",IF(R45="Meadows Dry Open",".96",IF(R45="Forest &amp; Understory",".97",IF(R45="Moist Open",".98",IF(R45="Moist Shady",".96",IF(R45="Sub-Alpine","1.0")))))))</f>
        <v>.96</v>
      </c>
      <c r="CC45" s="76" t="str">
        <f>IF(S45="Local Endemic",".50",IF(S45="Regional Endemic",".70",IF(S45="Cascadia",".90",IF(S45="Rocky Mountain",".95",IF(S45="North America",".99")))))</f>
        <v>.90</v>
      </c>
      <c r="CD45" s="4"/>
      <c r="CE45" s="21">
        <f>IF(W45&gt;3,3,W45)</f>
        <v>3</v>
      </c>
      <c r="CF45" s="21">
        <f>IF(AC45&gt;102,102,AC45)</f>
        <v>10.3</v>
      </c>
      <c r="CG45" s="34">
        <f ca="1">IF(AI45&lt;$AW$4,$AW$4,AI45)</f>
        <v>2019</v>
      </c>
      <c r="CH45" s="34">
        <f ca="1">IF(AJ45&lt;$AW$4,$AW$4,AJ45)</f>
        <v>2019</v>
      </c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</row>
    <row r="46" spans="1:115" s="13" customFormat="1" ht="15" customHeight="1" x14ac:dyDescent="0.3">
      <c r="A46" s="235"/>
      <c r="B46" s="218"/>
      <c r="C46" s="225">
        <v>8</v>
      </c>
      <c r="D46" s="59" t="s">
        <v>2505</v>
      </c>
      <c r="E46" s="59" t="s">
        <v>2501</v>
      </c>
      <c r="F46" s="397" t="str">
        <f ca="1">IF(BC46&lt;2025, "Extinct&lt; 6Yrs?",BA46)</f>
        <v>Widespread</v>
      </c>
      <c r="G46" s="363" t="s">
        <v>525</v>
      </c>
      <c r="H46" s="363" t="s">
        <v>677</v>
      </c>
      <c r="I46" s="366" t="s">
        <v>1863</v>
      </c>
      <c r="J46" s="365" t="s">
        <v>3206</v>
      </c>
      <c r="K46" s="365" t="s">
        <v>439</v>
      </c>
      <c r="L46" s="10" t="s">
        <v>1751</v>
      </c>
      <c r="M46" s="8" t="s">
        <v>4127</v>
      </c>
      <c r="N46" s="8" t="s">
        <v>5019</v>
      </c>
      <c r="O46" s="8" t="s">
        <v>5918</v>
      </c>
      <c r="P46" s="9" t="s">
        <v>748</v>
      </c>
      <c r="Q46" s="59" t="s">
        <v>2552</v>
      </c>
      <c r="R46" s="9" t="s">
        <v>2500</v>
      </c>
      <c r="S46" s="9" t="s">
        <v>2495</v>
      </c>
      <c r="T46" s="123" t="str">
        <f>IF(R46="Bogs Ponds Streams","20",IF(R46="Coastal Areas","26",IF(R46="Meadows Dry Open","10",IF(R46="Forest &amp; Understory","14",IF(R46="Moist Open","12",IF(R46="Moist Shady","10",IF(R46="Sub-Alpine Slopes","0")))))))</f>
        <v>10</v>
      </c>
      <c r="U46" s="123" t="str">
        <f>IF(R46="Bogs Ponds Streams","52",IF(R46="Coastal Areas","51",IF(R46="Meadows Dry Open","53",IF(R46="Forest &amp; Understory","52",IF(R46="Moist Open","50",IF(R46="Moist Shady","46",IF(R46="Sub-Alpine Slopes","40")))))))</f>
        <v>53</v>
      </c>
      <c r="V46" s="123" t="str">
        <f>IF(R46="Bogs Ponds Streams","84",IF(R46="Coastal Areas","76",IF(R46="Meadows Dry Open","96", IF(R46="Forest &amp; Understory","90", IF(R46="Moist Open","88", IF(R46="Moist Shady","82", IF(R46="Sub-Alpine Slopes","80")))))))</f>
        <v>96</v>
      </c>
      <c r="W46" s="59">
        <v>20</v>
      </c>
      <c r="X46" s="59">
        <v>0</v>
      </c>
      <c r="Y46" s="59">
        <v>3500</v>
      </c>
      <c r="Z46" s="59" t="s">
        <v>2519</v>
      </c>
      <c r="AA46" s="59" t="s">
        <v>2518</v>
      </c>
      <c r="AB46" s="59">
        <v>6.8</v>
      </c>
      <c r="AC46" s="45">
        <f>C46+AK46+(0.1)*AL46</f>
        <v>10</v>
      </c>
      <c r="AD46" s="77">
        <v>148</v>
      </c>
      <c r="AE46" s="59">
        <v>5</v>
      </c>
      <c r="AF46" s="59">
        <v>5</v>
      </c>
      <c r="AG46" s="59">
        <v>1900</v>
      </c>
      <c r="AH46" s="77">
        <v>0</v>
      </c>
      <c r="AI46" s="59">
        <f>AJ46</f>
        <v>2004</v>
      </c>
      <c r="AJ46" s="18">
        <v>2004</v>
      </c>
      <c r="AK46" s="18">
        <v>1</v>
      </c>
      <c r="AL46" s="18">
        <v>10</v>
      </c>
      <c r="AM46" s="18">
        <v>1</v>
      </c>
      <c r="AN46" s="18">
        <v>1</v>
      </c>
      <c r="AO46" s="18">
        <v>5</v>
      </c>
      <c r="AP46" s="18">
        <v>1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233"/>
      <c r="AZ46" s="4"/>
      <c r="BA46" s="35" t="str">
        <f>IF(OR(S46="North America",S46="Rocky Mountain"), "Widespread",BC46)</f>
        <v>Widespread</v>
      </c>
      <c r="BB46" s="4"/>
      <c r="BC46" s="35" t="str">
        <f ca="1">IF(BE46&gt;2046, "Abundant",BE46)</f>
        <v>Abundant</v>
      </c>
      <c r="BD46" s="4"/>
      <c r="BE46" s="81">
        <f ca="1">YEAR($C$13)+(BG46*80)</f>
        <v>2088.138749376114</v>
      </c>
      <c r="BF46" s="4"/>
      <c r="BG46" s="137">
        <f ca="1">BH46*$BH$14</f>
        <v>0.86423436720142599</v>
      </c>
      <c r="BH46" s="137">
        <f ca="1">(((BJ46+BK46+BM46+BN46)/4)*$BM$11)+(((BP46+BQ46)/2)*$BQ$11)+(((BU46+BV46+BW46)/3)*$BU$11)+(((BY46+BZ46+CA46+CB46+CC46)/5)*$CA$11)</f>
        <v>0.86423436720142599</v>
      </c>
      <c r="BI46" s="4"/>
      <c r="BJ46" s="33">
        <f>AP46/(AM46+AO46)</f>
        <v>0.16666666666666666</v>
      </c>
      <c r="BK46" s="33">
        <f>(AN46+AO46)/(AM46+AO46)</f>
        <v>1</v>
      </c>
      <c r="BL46" s="4"/>
      <c r="BM46" s="127">
        <f>CF46/102</f>
        <v>9.8039215686274508E-2</v>
      </c>
      <c r="BN46" s="127">
        <f>C46/2</f>
        <v>4</v>
      </c>
      <c r="BO46" s="4"/>
      <c r="BP46" s="127">
        <f>(AK46)/($AW$6)</f>
        <v>1.0101010101010102E-2</v>
      </c>
      <c r="BQ46" s="127">
        <f ca="1">(CH46-$AW$4)/((YEAR($C$13))-$AW$4)</f>
        <v>0</v>
      </c>
      <c r="BR46" s="127">
        <f>(AL46)/($AW$6)</f>
        <v>0.10101010101010101</v>
      </c>
      <c r="BS46" s="4"/>
      <c r="BT46" s="127"/>
      <c r="BU46" s="127">
        <f ca="1">(CG46-$AW$4)/((YEAR($C$13))-$AW$4)</f>
        <v>0</v>
      </c>
      <c r="BV46" s="127">
        <f>AE46/5</f>
        <v>1</v>
      </c>
      <c r="BW46" s="127">
        <f>AF46/5</f>
        <v>1</v>
      </c>
      <c r="BX46" s="4"/>
      <c r="BY46" s="148" t="str">
        <f>IF(E46="A",".98",IF(E46="B",".99",IF(E46="C","1.00",IF(E46="D","1.00" ))))</f>
        <v>1.00</v>
      </c>
      <c r="BZ46" s="127">
        <f>(CE46+7)/10</f>
        <v>1</v>
      </c>
      <c r="CA46" s="76" t="str">
        <f>IF(D46="Fern",".97",IF(D46="Grass",".99",IF(D46="Herb",".97",IF(D46="Shrub",".99",IF(D46="Tree","1.00",IF(D46="Vine",".98"))))))</f>
        <v>.97</v>
      </c>
      <c r="CB46" s="149" t="str">
        <f>IF(R46="Bogs Ponds Streams",".96", IF(R46="Coastal Areas",".97",IF(R46="Meadows Dry Open",".96",IF(R46="Forest &amp; Understory",".97",IF(R46="Moist Open",".98",IF(R46="Moist Shady",".96",IF(R46="Sub-Alpine","1.0")))))))</f>
        <v>.96</v>
      </c>
      <c r="CC46" s="76" t="str">
        <f>IF(S46="Local Endemic",".50",IF(S46="Regional Endemic",".70",IF(S46="Cascadia",".90",IF(S46="Rocky Mountain",".95",IF(S46="North America",".99")))))</f>
        <v>.99</v>
      </c>
      <c r="CD46" s="4"/>
      <c r="CE46" s="21">
        <f>IF(W46&gt;3,3,W46)</f>
        <v>3</v>
      </c>
      <c r="CF46" s="21">
        <f>IF(AC46&gt;102,102,AC46)</f>
        <v>10</v>
      </c>
      <c r="CG46" s="34">
        <f>IF(AI46&lt;$AW$4,$AW$4,AI46)</f>
        <v>2004</v>
      </c>
      <c r="CH46" s="34">
        <f>IF(AJ46&lt;$AW$4,$AW$4,AJ46)</f>
        <v>2004</v>
      </c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</row>
    <row r="47" spans="1:115" s="13" customFormat="1" ht="15" customHeight="1" x14ac:dyDescent="0.3">
      <c r="A47" s="235"/>
      <c r="B47" s="218"/>
      <c r="C47" s="225">
        <v>8</v>
      </c>
      <c r="D47" s="59" t="s">
        <v>2505</v>
      </c>
      <c r="E47" s="59" t="s">
        <v>2501</v>
      </c>
      <c r="F47" s="397" t="str">
        <f ca="1">IF(BC47&lt;2025, "Extinct&lt; 6Yrs?",BA47)</f>
        <v>Abundant</v>
      </c>
      <c r="G47" s="363" t="s">
        <v>525</v>
      </c>
      <c r="H47" s="363" t="s">
        <v>677</v>
      </c>
      <c r="I47" s="366" t="s">
        <v>1864</v>
      </c>
      <c r="J47" s="365" t="s">
        <v>3207</v>
      </c>
      <c r="K47" s="365" t="s">
        <v>441</v>
      </c>
      <c r="L47" s="10" t="s">
        <v>1752</v>
      </c>
      <c r="M47" s="8" t="s">
        <v>4128</v>
      </c>
      <c r="N47" s="8" t="s">
        <v>5020</v>
      </c>
      <c r="O47" s="8" t="s">
        <v>5919</v>
      </c>
      <c r="P47" s="9" t="s">
        <v>1312</v>
      </c>
      <c r="Q47" s="59" t="s">
        <v>2552</v>
      </c>
      <c r="R47" s="9" t="s">
        <v>2497</v>
      </c>
      <c r="S47" s="9" t="s">
        <v>2459</v>
      </c>
      <c r="T47" s="123" t="str">
        <f>IF(R47="Bogs Ponds Streams","20",IF(R47="Coastal Areas","26",IF(R47="Meadows Dry Open","10",IF(R47="Forest &amp; Understory","14",IF(R47="Moist Open","12",IF(R47="Moist Shady","10",IF(R47="Sub-Alpine Slopes","0")))))))</f>
        <v>12</v>
      </c>
      <c r="U47" s="123" t="str">
        <f>IF(R47="Bogs Ponds Streams","52",IF(R47="Coastal Areas","51",IF(R47="Meadows Dry Open","53",IF(R47="Forest &amp; Understory","52",IF(R47="Moist Open","50",IF(R47="Moist Shady","46",IF(R47="Sub-Alpine Slopes","40")))))))</f>
        <v>50</v>
      </c>
      <c r="V47" s="123" t="str">
        <f>IF(R47="Bogs Ponds Streams","84",IF(R47="Coastal Areas","76",IF(R47="Meadows Dry Open","96", IF(R47="Forest &amp; Understory","90", IF(R47="Moist Open","88", IF(R47="Moist Shady","82", IF(R47="Sub-Alpine Slopes","80")))))))</f>
        <v>88</v>
      </c>
      <c r="W47" s="59">
        <v>20</v>
      </c>
      <c r="X47" s="59">
        <v>0</v>
      </c>
      <c r="Y47" s="59">
        <v>3500</v>
      </c>
      <c r="Z47" s="59" t="s">
        <v>2519</v>
      </c>
      <c r="AA47" s="59" t="s">
        <v>2518</v>
      </c>
      <c r="AB47" s="59">
        <v>6.8</v>
      </c>
      <c r="AC47" s="45">
        <f>C47+AK47+(0.1)*AL47</f>
        <v>21.4</v>
      </c>
      <c r="AD47" s="77">
        <v>48</v>
      </c>
      <c r="AE47" s="59">
        <v>5</v>
      </c>
      <c r="AF47" s="59">
        <v>5</v>
      </c>
      <c r="AG47" s="59">
        <v>1900</v>
      </c>
      <c r="AH47" s="77">
        <v>0</v>
      </c>
      <c r="AI47" s="59">
        <f ca="1">AJ47</f>
        <v>2019</v>
      </c>
      <c r="AJ47" s="18">
        <f ca="1">YEAR(TODAY())</f>
        <v>2019</v>
      </c>
      <c r="AK47" s="18">
        <v>12</v>
      </c>
      <c r="AL47" s="18">
        <v>14</v>
      </c>
      <c r="AM47" s="18">
        <v>1</v>
      </c>
      <c r="AN47" s="18">
        <v>1</v>
      </c>
      <c r="AO47" s="18">
        <v>5</v>
      </c>
      <c r="AP47" s="18">
        <v>1</v>
      </c>
      <c r="AQ47" s="18"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v>0</v>
      </c>
      <c r="AW47" s="18">
        <v>0</v>
      </c>
      <c r="AX47" s="18">
        <v>0</v>
      </c>
      <c r="AY47" s="233"/>
      <c r="AZ47" s="4"/>
      <c r="BA47" s="35" t="str">
        <f ca="1">IF(OR(S47="North America",S47="Rocky Mountain"), "Widespread",BC47)</f>
        <v>Abundant</v>
      </c>
      <c r="BB47" s="4"/>
      <c r="BC47" s="35" t="str">
        <f ca="1">IF(BE47&gt;2046, "Abundant",BE47)</f>
        <v>Abundant</v>
      </c>
      <c r="BD47" s="4"/>
      <c r="BE47" s="81">
        <f ca="1">YEAR($C$13)+(BG47*80)</f>
        <v>2104.9241925133688</v>
      </c>
      <c r="BF47" s="4"/>
      <c r="BG47" s="137">
        <f ca="1">BH47*$BH$14</f>
        <v>1.0740524064171124</v>
      </c>
      <c r="BH47" s="137">
        <f ca="1">(((BJ47+BK47+BM47+BN47)/4)*$BM$11)+(((BP47+BQ47)/2)*$BQ$11)+(((BU47+BV47+BW47)/3)*$BU$11)+(((BY47+BZ47+CA47+CB47+CC47)/5)*$CA$11)</f>
        <v>1.0740524064171124</v>
      </c>
      <c r="BI47" s="4"/>
      <c r="BJ47" s="33">
        <f>AP47/(AM47+AO47)</f>
        <v>0.16666666666666666</v>
      </c>
      <c r="BK47" s="33">
        <f>(AN47+AO47)/(AM47+AO47)</f>
        <v>1</v>
      </c>
      <c r="BL47" s="4"/>
      <c r="BM47" s="127">
        <f>CF47/102</f>
        <v>0.20980392156862743</v>
      </c>
      <c r="BN47" s="127">
        <f>C47/2</f>
        <v>4</v>
      </c>
      <c r="BO47" s="4"/>
      <c r="BP47" s="127">
        <f>(AK47)/($AW$6)</f>
        <v>0.12121212121212122</v>
      </c>
      <c r="BQ47" s="127">
        <f ca="1">(CH47-$AW$4)/((YEAR($C$13))-$AW$4)</f>
        <v>1</v>
      </c>
      <c r="BR47" s="127">
        <f>(AL47)/($AW$6)</f>
        <v>0.14141414141414141</v>
      </c>
      <c r="BS47" s="4"/>
      <c r="BT47" s="127"/>
      <c r="BU47" s="127">
        <f ca="1">(CG47-$AW$4)/((YEAR($C$13))-$AW$4)</f>
        <v>1</v>
      </c>
      <c r="BV47" s="127">
        <f>AE47/5</f>
        <v>1</v>
      </c>
      <c r="BW47" s="127">
        <f>AF47/5</f>
        <v>1</v>
      </c>
      <c r="BX47" s="4"/>
      <c r="BY47" s="148" t="str">
        <f>IF(E47="A",".98",IF(E47="B",".99",IF(E47="C","1.00",IF(E47="D","1.00" ))))</f>
        <v>1.00</v>
      </c>
      <c r="BZ47" s="127">
        <f>(CE47+7)/10</f>
        <v>1</v>
      </c>
      <c r="CA47" s="76" t="str">
        <f>IF(D47="Fern",".97",IF(D47="Grass",".99",IF(D47="Herb",".97",IF(D47="Shrub",".99",IF(D47="Tree","1.00",IF(D47="Vine",".98"))))))</f>
        <v>.97</v>
      </c>
      <c r="CB47" s="149" t="str">
        <f>IF(R47="Bogs Ponds Streams",".96", IF(R47="Coastal Areas",".97",IF(R47="Meadows Dry Open",".96",IF(R47="Forest &amp; Understory",".97",IF(R47="Moist Open",".98",IF(R47="Moist Shady",".96",IF(R47="Sub-Alpine","1.0")))))))</f>
        <v>.98</v>
      </c>
      <c r="CC47" s="76" t="str">
        <f>IF(S47="Local Endemic",".50",IF(S47="Regional Endemic",".70",IF(S47="Cascadia",".90",IF(S47="Rocky Mountain",".95",IF(S47="North America",".99")))))</f>
        <v>.90</v>
      </c>
      <c r="CD47" s="4"/>
      <c r="CE47" s="21">
        <f>IF(W47&gt;3,3,W47)</f>
        <v>3</v>
      </c>
      <c r="CF47" s="21">
        <f>IF(AC47&gt;102,102,AC47)</f>
        <v>21.4</v>
      </c>
      <c r="CG47" s="34">
        <f ca="1">IF(AI47&lt;$AW$4,$AW$4,AI47)</f>
        <v>2019</v>
      </c>
      <c r="CH47" s="34">
        <f ca="1">IF(AJ47&lt;$AW$4,$AW$4,AJ47)</f>
        <v>2019</v>
      </c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</row>
    <row r="48" spans="1:115" s="13" customFormat="1" ht="15" customHeight="1" x14ac:dyDescent="0.3">
      <c r="A48" s="235"/>
      <c r="B48" s="218"/>
      <c r="C48" s="225">
        <v>8</v>
      </c>
      <c r="D48" s="59" t="s">
        <v>2505</v>
      </c>
      <c r="E48" s="59" t="s">
        <v>2501</v>
      </c>
      <c r="F48" s="397" t="str">
        <f ca="1">IF(BC48&lt;2025, "Extinct&lt; 6Yrs?",BA48)</f>
        <v>Widespread</v>
      </c>
      <c r="G48" s="363" t="s">
        <v>525</v>
      </c>
      <c r="H48" s="363" t="s">
        <v>677</v>
      </c>
      <c r="I48" s="366" t="s">
        <v>1865</v>
      </c>
      <c r="J48" s="365" t="s">
        <v>3208</v>
      </c>
      <c r="K48" s="365" t="s">
        <v>511</v>
      </c>
      <c r="L48" s="10" t="s">
        <v>1753</v>
      </c>
      <c r="M48" s="8" t="s">
        <v>4129</v>
      </c>
      <c r="N48" s="8" t="s">
        <v>5021</v>
      </c>
      <c r="O48" s="8" t="s">
        <v>5920</v>
      </c>
      <c r="P48" s="9" t="s">
        <v>1312</v>
      </c>
      <c r="Q48" s="59" t="s">
        <v>2558</v>
      </c>
      <c r="R48" s="9" t="s">
        <v>2497</v>
      </c>
      <c r="S48" s="9" t="s">
        <v>2495</v>
      </c>
      <c r="T48" s="123" t="str">
        <f>IF(R48="Bogs Ponds Streams","20",IF(R48="Coastal Areas","26",IF(R48="Meadows Dry Open","10",IF(R48="Forest &amp; Understory","14",IF(R48="Moist Open","12",IF(R48="Moist Shady","10",IF(R48="Sub-Alpine Slopes","0")))))))</f>
        <v>12</v>
      </c>
      <c r="U48" s="123" t="str">
        <f>IF(R48="Bogs Ponds Streams","52",IF(R48="Coastal Areas","51",IF(R48="Meadows Dry Open","53",IF(R48="Forest &amp; Understory","52",IF(R48="Moist Open","50",IF(R48="Moist Shady","46",IF(R48="Sub-Alpine Slopes","40")))))))</f>
        <v>50</v>
      </c>
      <c r="V48" s="123" t="str">
        <f>IF(R48="Bogs Ponds Streams","84",IF(R48="Coastal Areas","76",IF(R48="Meadows Dry Open","96", IF(R48="Forest &amp; Understory","90", IF(R48="Moist Open","88", IF(R48="Moist Shady","82", IF(R48="Sub-Alpine Slopes","80")))))))</f>
        <v>88</v>
      </c>
      <c r="W48" s="59">
        <v>20</v>
      </c>
      <c r="X48" s="59">
        <v>0</v>
      </c>
      <c r="Y48" s="59">
        <v>3500</v>
      </c>
      <c r="Z48" s="59" t="s">
        <v>2519</v>
      </c>
      <c r="AA48" s="59" t="s">
        <v>2518</v>
      </c>
      <c r="AB48" s="59">
        <v>6.8</v>
      </c>
      <c r="AC48" s="45">
        <f>C48+AK48+(0.1)*AL48</f>
        <v>9.6999999999999993</v>
      </c>
      <c r="AD48" s="77">
        <v>44</v>
      </c>
      <c r="AE48" s="59">
        <v>5</v>
      </c>
      <c r="AF48" s="59">
        <v>5</v>
      </c>
      <c r="AG48" s="59">
        <v>1900</v>
      </c>
      <c r="AH48" s="77">
        <v>0</v>
      </c>
      <c r="AI48" s="59">
        <f ca="1">AJ48</f>
        <v>2019</v>
      </c>
      <c r="AJ48" s="18">
        <f ca="1">YEAR(TODAY())</f>
        <v>2019</v>
      </c>
      <c r="AK48" s="18">
        <v>1</v>
      </c>
      <c r="AL48" s="18">
        <v>7</v>
      </c>
      <c r="AM48" s="18">
        <v>1</v>
      </c>
      <c r="AN48" s="18">
        <v>1</v>
      </c>
      <c r="AO48" s="18">
        <v>5</v>
      </c>
      <c r="AP48" s="18">
        <v>1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233"/>
      <c r="AZ48" s="4"/>
      <c r="BA48" s="35" t="str">
        <f>IF(OR(S48="North America",S48="Rocky Mountain"), "Widespread",BC48)</f>
        <v>Widespread</v>
      </c>
      <c r="BB48" s="4"/>
      <c r="BC48" s="35" t="str">
        <f ca="1">IF(BE48&gt;2046, "Abundant",BE48)</f>
        <v>Abundant</v>
      </c>
      <c r="BD48" s="4"/>
      <c r="BE48" s="81">
        <f ca="1">YEAR($C$13)+(BG48*80)</f>
        <v>2102.2431885918004</v>
      </c>
      <c r="BF48" s="4"/>
      <c r="BG48" s="137">
        <f ca="1">BH48*$BH$14</f>
        <v>1.0405398573975044</v>
      </c>
      <c r="BH48" s="137">
        <f ca="1">(((BJ48+BK48+BM48+BN48)/4)*$BM$11)+(((BP48+BQ48)/2)*$BQ$11)+(((BU48+BV48+BW48)/3)*$BU$11)+(((BY48+BZ48+CA48+CB48+CC48)/5)*$CA$11)</f>
        <v>1.0405398573975044</v>
      </c>
      <c r="BI48" s="4"/>
      <c r="BJ48" s="33">
        <f>AP48/(AM48+AO48)</f>
        <v>0.16666666666666666</v>
      </c>
      <c r="BK48" s="33">
        <f>(AN48+AO48)/(AM48+AO48)</f>
        <v>1</v>
      </c>
      <c r="BL48" s="4"/>
      <c r="BM48" s="127">
        <f>CF48/102</f>
        <v>9.509803921568627E-2</v>
      </c>
      <c r="BN48" s="127">
        <f>C48/2</f>
        <v>4</v>
      </c>
      <c r="BO48" s="4"/>
      <c r="BP48" s="127">
        <f>(AK48)/($AW$6)</f>
        <v>1.0101010101010102E-2</v>
      </c>
      <c r="BQ48" s="127">
        <f ca="1">(CH48-$AW$4)/((YEAR($C$13))-$AW$4)</f>
        <v>1</v>
      </c>
      <c r="BR48" s="127">
        <f>(AL48)/($AW$6)</f>
        <v>7.0707070707070704E-2</v>
      </c>
      <c r="BS48" s="4"/>
      <c r="BT48" s="127"/>
      <c r="BU48" s="127">
        <f ca="1">(CG48-$AW$4)/((YEAR($C$13))-$AW$4)</f>
        <v>1</v>
      </c>
      <c r="BV48" s="127">
        <f>AE48/5</f>
        <v>1</v>
      </c>
      <c r="BW48" s="127">
        <f>AF48/5</f>
        <v>1</v>
      </c>
      <c r="BX48" s="4"/>
      <c r="BY48" s="148" t="str">
        <f>IF(E48="A",".98",IF(E48="B",".99",IF(E48="C","1.00",IF(E48="D","1.00" ))))</f>
        <v>1.00</v>
      </c>
      <c r="BZ48" s="127">
        <f>(CE48+7)/10</f>
        <v>1</v>
      </c>
      <c r="CA48" s="76" t="str">
        <f>IF(D48="Fern",".97",IF(D48="Grass",".99",IF(D48="Herb",".97",IF(D48="Shrub",".99",IF(D48="Tree","1.00",IF(D48="Vine",".98"))))))</f>
        <v>.97</v>
      </c>
      <c r="CB48" s="149" t="str">
        <f>IF(R48="Bogs Ponds Streams",".96", IF(R48="Coastal Areas",".97",IF(R48="Meadows Dry Open",".96",IF(R48="Forest &amp; Understory",".97",IF(R48="Moist Open",".98",IF(R48="Moist Shady",".96",IF(R48="Sub-Alpine","1.0")))))))</f>
        <v>.98</v>
      </c>
      <c r="CC48" s="76" t="str">
        <f>IF(S48="Local Endemic",".50",IF(S48="Regional Endemic",".70",IF(S48="Cascadia",".90",IF(S48="Rocky Mountain",".95",IF(S48="North America",".99")))))</f>
        <v>.99</v>
      </c>
      <c r="CD48" s="4"/>
      <c r="CE48" s="21">
        <f>IF(W48&gt;3,3,W48)</f>
        <v>3</v>
      </c>
      <c r="CF48" s="21">
        <f>IF(AC48&gt;102,102,AC48)</f>
        <v>9.6999999999999993</v>
      </c>
      <c r="CG48" s="34">
        <f ca="1">IF(AI48&lt;$AW$4,$AW$4,AI48)</f>
        <v>2019</v>
      </c>
      <c r="CH48" s="34">
        <f ca="1">IF(AJ48&lt;$AW$4,$AW$4,AJ48)</f>
        <v>2019</v>
      </c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12"/>
    </row>
    <row r="49" spans="1:115" s="13" customFormat="1" ht="15" customHeight="1" x14ac:dyDescent="0.3">
      <c r="A49" s="235"/>
      <c r="B49" s="218"/>
      <c r="C49" s="226">
        <v>2</v>
      </c>
      <c r="D49" s="104" t="s">
        <v>2505</v>
      </c>
      <c r="E49" s="104" t="s">
        <v>2501</v>
      </c>
      <c r="F49" s="400" t="str">
        <f ca="1">IF(BC49&lt;2025, "Extinct&lt; 6Yrs?",BA49)</f>
        <v>Widespread</v>
      </c>
      <c r="G49" s="369" t="s">
        <v>525</v>
      </c>
      <c r="H49" s="369" t="s">
        <v>4028</v>
      </c>
      <c r="I49" s="372" t="s">
        <v>2592</v>
      </c>
      <c r="J49" s="371" t="s">
        <v>3851</v>
      </c>
      <c r="K49" s="371" t="s">
        <v>849</v>
      </c>
      <c r="L49" s="114" t="s">
        <v>2100</v>
      </c>
      <c r="M49" s="111" t="s">
        <v>4130</v>
      </c>
      <c r="N49" s="111" t="s">
        <v>5022</v>
      </c>
      <c r="O49" s="111" t="s">
        <v>5921</v>
      </c>
      <c r="P49" s="401" t="s">
        <v>198</v>
      </c>
      <c r="Q49" s="104" t="s">
        <v>2559</v>
      </c>
      <c r="R49" s="105" t="s">
        <v>2530</v>
      </c>
      <c r="S49" s="105" t="s">
        <v>2479</v>
      </c>
      <c r="T49" s="133" t="str">
        <f>IF(R49="Bogs Ponds Streams","20",IF(R49="Coastal Areas","26",IF(R49="Meadows Dry Open","10",IF(R49="Forest &amp; Understory","14",IF(R49="Moist Open","12",IF(R49="Moist Shady","10",IF(R49="Sub-Alpine Slopes","0")))))))</f>
        <v>14</v>
      </c>
      <c r="U49" s="133" t="str">
        <f>IF(R49="Bogs Ponds Streams","52",IF(R49="Coastal Areas","51",IF(R49="Meadows Dry Open","53",IF(R49="Forest &amp; Understory","52",IF(R49="Moist Open","50",IF(R49="Moist Shady","46",IF(R49="Sub-Alpine Slopes","40")))))))</f>
        <v>52</v>
      </c>
      <c r="V49" s="133" t="str">
        <f>IF(R49="Bogs Ponds Streams","84",IF(R49="Coastal Areas","76",IF(R49="Meadows Dry Open","96", IF(R49="Forest &amp; Understory","90", IF(R49="Moist Open","88", IF(R49="Moist Shady","82", IF(R49="Sub-Alpine Slopes","80")))))))</f>
        <v>90</v>
      </c>
      <c r="W49" s="104">
        <v>20</v>
      </c>
      <c r="X49" s="104">
        <v>0</v>
      </c>
      <c r="Y49" s="104">
        <v>3500</v>
      </c>
      <c r="Z49" s="104" t="s">
        <v>2519</v>
      </c>
      <c r="AA49" s="104" t="s">
        <v>2518</v>
      </c>
      <c r="AB49" s="104">
        <v>6.8</v>
      </c>
      <c r="AC49" s="107">
        <f>C49+AK49+(0.1)*AL49</f>
        <v>8.1</v>
      </c>
      <c r="AD49" s="113">
        <v>33</v>
      </c>
      <c r="AE49" s="104">
        <v>5</v>
      </c>
      <c r="AF49" s="104">
        <v>5</v>
      </c>
      <c r="AG49" s="104">
        <v>1900</v>
      </c>
      <c r="AH49" s="113">
        <v>0</v>
      </c>
      <c r="AI49" s="104">
        <f>AJ49</f>
        <v>2008</v>
      </c>
      <c r="AJ49" s="108">
        <v>2008</v>
      </c>
      <c r="AK49" s="108">
        <v>5</v>
      </c>
      <c r="AL49" s="108">
        <v>11</v>
      </c>
      <c r="AM49" s="109">
        <v>5</v>
      </c>
      <c r="AN49" s="109">
        <v>1</v>
      </c>
      <c r="AO49" s="110">
        <v>0</v>
      </c>
      <c r="AP49" s="109">
        <v>0</v>
      </c>
      <c r="AQ49" s="109">
        <v>0</v>
      </c>
      <c r="AR49" s="109">
        <v>0</v>
      </c>
      <c r="AS49" s="110">
        <v>0</v>
      </c>
      <c r="AT49" s="109">
        <v>0</v>
      </c>
      <c r="AU49" s="109">
        <v>0</v>
      </c>
      <c r="AV49" s="109">
        <v>0</v>
      </c>
      <c r="AW49" s="110">
        <v>0</v>
      </c>
      <c r="AX49" s="109">
        <v>0</v>
      </c>
      <c r="AY49" s="233"/>
      <c r="AZ49" s="4"/>
      <c r="BA49" s="35" t="str">
        <f>IF(OR(S49="North America",S49="Rocky Mountain"), "Widespread",BC49)</f>
        <v>Widespread</v>
      </c>
      <c r="BB49" s="4"/>
      <c r="BC49" s="35">
        <f ca="1">IF(BE49&gt;2046, "Abundant",BE49)</f>
        <v>2044.5593573380868</v>
      </c>
      <c r="BD49" s="4"/>
      <c r="BE49" s="81">
        <f ca="1">YEAR($C$13)+(BG49*80)</f>
        <v>2044.5593573380868</v>
      </c>
      <c r="BF49" s="4"/>
      <c r="BG49" s="137">
        <f ca="1">BH49*$BH$14</f>
        <v>0.31949196672608438</v>
      </c>
      <c r="BH49" s="137">
        <f ca="1">(((BJ49+BK49+BM49+BN49)/4)*$BM$11)+(((BP49+BQ49)/2)*$BQ$11)+(((BU49+BV49+BW49)/3)*$BU$11)+(((BY49+BZ49+CA49+CB49+CC49)/5)*$CA$11)</f>
        <v>0.31949196672608438</v>
      </c>
      <c r="BI49" s="4"/>
      <c r="BJ49" s="33">
        <f>AP49/(AM49+AO49)</f>
        <v>0</v>
      </c>
      <c r="BK49" s="33">
        <f>(AN49+AO49)/(AM49+AO49)</f>
        <v>0.2</v>
      </c>
      <c r="BL49" s="4"/>
      <c r="BM49" s="127">
        <f>CF49/102</f>
        <v>7.9411764705882348E-2</v>
      </c>
      <c r="BN49" s="127">
        <f>C49/2</f>
        <v>1</v>
      </c>
      <c r="BO49" s="4"/>
      <c r="BP49" s="127">
        <f>(AK49)/($AW$6)</f>
        <v>5.0505050505050504E-2</v>
      </c>
      <c r="BQ49" s="127">
        <f ca="1">(CH49-$AW$4)/((YEAR($C$13))-$AW$4)</f>
        <v>0.26666666666666666</v>
      </c>
      <c r="BR49" s="127">
        <f>(AL49)/($AW$6)</f>
        <v>0.1111111111111111</v>
      </c>
      <c r="BS49" s="4"/>
      <c r="BT49" s="127"/>
      <c r="BU49" s="127">
        <f ca="1">(CG49-$AW$4)/((YEAR($C$13))-$AW$4)</f>
        <v>0.26666666666666666</v>
      </c>
      <c r="BV49" s="127">
        <f>AE49/5</f>
        <v>1</v>
      </c>
      <c r="BW49" s="127">
        <f>AF49/5</f>
        <v>1</v>
      </c>
      <c r="BX49" s="4"/>
      <c r="BY49" s="148" t="str">
        <f>IF(E49="A",".98",IF(E49="B",".99",IF(E49="C","1.00",IF(E49="D","1.00" ))))</f>
        <v>1.00</v>
      </c>
      <c r="BZ49" s="127">
        <f>(CE49+7)/10</f>
        <v>1</v>
      </c>
      <c r="CA49" s="76" t="str">
        <f>IF(D49="Fern",".97",IF(D49="Grass",".99",IF(D49="Herb",".97",IF(D49="Shrub",".99",IF(D49="Tree","1.00",IF(D49="Vine",".98"))))))</f>
        <v>.97</v>
      </c>
      <c r="CB49" s="149" t="str">
        <f>IF(R49="Bogs Ponds Streams",".96", IF(R49="Coastal Areas",".97",IF(R49="Meadows Dry Open",".96",IF(R49="Forest &amp; Understory",".97",IF(R49="Moist Open",".98",IF(R49="Moist Shady",".96",IF(R49="Sub-Alpine","1.0")))))))</f>
        <v>.97</v>
      </c>
      <c r="CC49" s="76" t="str">
        <f>IF(S49="Local Endemic",".50",IF(S49="Regional Endemic",".70",IF(S49="Cascadia",".90",IF(S49="Rocky Mountain",".95",IF(S49="North America",".99")))))</f>
        <v>.95</v>
      </c>
      <c r="CD49" s="4"/>
      <c r="CE49" s="21">
        <f>IF(W49&gt;3,3,W49)</f>
        <v>3</v>
      </c>
      <c r="CF49" s="21">
        <f>IF(AC49&gt;102,102,AC49)</f>
        <v>8.1</v>
      </c>
      <c r="CG49" s="34">
        <f>IF(AI49&lt;$AW$4,$AW$4,AI49)</f>
        <v>2008</v>
      </c>
      <c r="CH49" s="34">
        <f>IF(AJ49&lt;$AW$4,$AW$4,AJ49)</f>
        <v>2008</v>
      </c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12"/>
    </row>
    <row r="50" spans="1:115" s="13" customFormat="1" ht="15" customHeight="1" x14ac:dyDescent="0.3">
      <c r="A50" s="235"/>
      <c r="B50" s="218"/>
      <c r="C50" s="225">
        <v>8</v>
      </c>
      <c r="D50" s="59" t="s">
        <v>2506</v>
      </c>
      <c r="E50" s="60" t="s">
        <v>2501</v>
      </c>
      <c r="F50" s="397" t="str">
        <f ca="1">IF(BC50&lt;2025, "Extinct&lt; 6Yrs?",BA50)</f>
        <v>Widespread</v>
      </c>
      <c r="G50" s="363" t="s">
        <v>525</v>
      </c>
      <c r="H50" s="363" t="s">
        <v>677</v>
      </c>
      <c r="I50" s="366" t="s">
        <v>1866</v>
      </c>
      <c r="J50" s="365" t="s">
        <v>3209</v>
      </c>
      <c r="K50" s="365" t="s">
        <v>847</v>
      </c>
      <c r="L50" s="10" t="s">
        <v>1754</v>
      </c>
      <c r="M50" s="8" t="s">
        <v>4131</v>
      </c>
      <c r="N50" s="8" t="s">
        <v>5023</v>
      </c>
      <c r="O50" s="8" t="s">
        <v>5922</v>
      </c>
      <c r="P50" s="9" t="s">
        <v>543</v>
      </c>
      <c r="Q50" s="59" t="s">
        <v>2552</v>
      </c>
      <c r="R50" s="9" t="s">
        <v>2500</v>
      </c>
      <c r="S50" s="10" t="s">
        <v>2479</v>
      </c>
      <c r="T50" s="123" t="str">
        <f>IF(R50="Bogs Ponds Streams","20",IF(R50="Coastal Areas","26",IF(R50="Meadows Dry Open","10",IF(R50="Forest &amp; Understory","14",IF(R50="Moist Open","12",IF(R50="Moist Shady","10",IF(R50="Sub-Alpine Slopes","0")))))))</f>
        <v>10</v>
      </c>
      <c r="U50" s="123" t="str">
        <f>IF(R50="Bogs Ponds Streams","52",IF(R50="Coastal Areas","51",IF(R50="Meadows Dry Open","53",IF(R50="Forest &amp; Understory","52",IF(R50="Moist Open","50",IF(R50="Moist Shady","46",IF(R50="Sub-Alpine Slopes","40")))))))</f>
        <v>53</v>
      </c>
      <c r="V50" s="123" t="str">
        <f>IF(R50="Bogs Ponds Streams","84",IF(R50="Coastal Areas","76",IF(R50="Meadows Dry Open","96", IF(R50="Forest &amp; Understory","90", IF(R50="Moist Open","88", IF(R50="Moist Shady","82", IF(R50="Sub-Alpine Slopes","80")))))))</f>
        <v>96</v>
      </c>
      <c r="W50" s="59">
        <v>20</v>
      </c>
      <c r="X50" s="59">
        <v>0</v>
      </c>
      <c r="Y50" s="59">
        <v>3500</v>
      </c>
      <c r="Z50" s="59" t="s">
        <v>2519</v>
      </c>
      <c r="AA50" s="59" t="s">
        <v>2518</v>
      </c>
      <c r="AB50" s="59">
        <v>6.8</v>
      </c>
      <c r="AC50" s="45">
        <f>C50+AK50+(0.1)*AL50</f>
        <v>20.8</v>
      </c>
      <c r="AD50" s="77">
        <v>93</v>
      </c>
      <c r="AE50" s="59">
        <v>5</v>
      </c>
      <c r="AF50" s="59">
        <v>5</v>
      </c>
      <c r="AG50" s="59">
        <v>1900</v>
      </c>
      <c r="AH50" s="77">
        <v>0</v>
      </c>
      <c r="AI50" s="59">
        <f ca="1">AJ50</f>
        <v>2019</v>
      </c>
      <c r="AJ50" s="18">
        <f ca="1">YEAR(TODAY())</f>
        <v>2019</v>
      </c>
      <c r="AK50" s="18">
        <v>4</v>
      </c>
      <c r="AL50" s="18">
        <v>88</v>
      </c>
      <c r="AM50" s="18">
        <v>1</v>
      </c>
      <c r="AN50" s="18">
        <v>1</v>
      </c>
      <c r="AO50" s="18">
        <v>5</v>
      </c>
      <c r="AP50" s="18">
        <v>1</v>
      </c>
      <c r="AQ50" s="18">
        <v>0</v>
      </c>
      <c r="AR50" s="18">
        <v>0</v>
      </c>
      <c r="AS50" s="18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233"/>
      <c r="AZ50" s="4"/>
      <c r="BA50" s="35" t="str">
        <f>IF(OR(S50="North America",S50="Rocky Mountain"), "Widespread",BC50)</f>
        <v>Widespread</v>
      </c>
      <c r="BB50" s="4"/>
      <c r="BC50" s="35" t="str">
        <f ca="1">IF(BE50&gt;2046, "Abundant",BE50)</f>
        <v>Abundant</v>
      </c>
      <c r="BD50" s="4"/>
      <c r="BE50" s="81">
        <f ca="1">YEAR($C$13)+(BG50*80)</f>
        <v>2103.8999073083778</v>
      </c>
      <c r="BF50" s="4"/>
      <c r="BG50" s="137">
        <f ca="1">BH50*$BH$14</f>
        <v>1.0612488413547239</v>
      </c>
      <c r="BH50" s="137">
        <f ca="1">(((BJ50+BK50+BM50+BN50)/4)*$BM$11)+(((BP50+BQ50)/2)*$BQ$11)+(((BU50+BV50+BW50)/3)*$BU$11)+(((BY50+BZ50+CA50+CB50+CC50)/5)*$CA$11)</f>
        <v>1.0612488413547239</v>
      </c>
      <c r="BI50" s="4"/>
      <c r="BJ50" s="33">
        <f>AP50/(AM50+AO50)</f>
        <v>0.16666666666666666</v>
      </c>
      <c r="BK50" s="33">
        <f>(AN50+AO50)/(AM50+AO50)</f>
        <v>1</v>
      </c>
      <c r="BL50" s="4"/>
      <c r="BM50" s="127">
        <f>CF50/102</f>
        <v>0.20392156862745098</v>
      </c>
      <c r="BN50" s="127">
        <f>C50/2</f>
        <v>4</v>
      </c>
      <c r="BO50" s="4"/>
      <c r="BP50" s="127">
        <f>(AK50)/($AW$6)</f>
        <v>4.0404040404040407E-2</v>
      </c>
      <c r="BQ50" s="127">
        <f ca="1">(CH50-$AW$4)/((YEAR($C$13))-$AW$4)</f>
        <v>1</v>
      </c>
      <c r="BR50" s="127">
        <f>(AL50)/($AW$6)</f>
        <v>0.88888888888888884</v>
      </c>
      <c r="BS50" s="4"/>
      <c r="BT50" s="127"/>
      <c r="BU50" s="127">
        <f ca="1">(CG50-$AW$4)/((YEAR($C$13))-$AW$4)</f>
        <v>1</v>
      </c>
      <c r="BV50" s="127">
        <f>AE50/5</f>
        <v>1</v>
      </c>
      <c r="BW50" s="127">
        <f>AF50/5</f>
        <v>1</v>
      </c>
      <c r="BX50" s="4"/>
      <c r="BY50" s="148" t="str">
        <f>IF(E50="A",".98",IF(E50="B",".99",IF(E50="C","1.00",IF(E50="D","1.00" ))))</f>
        <v>1.00</v>
      </c>
      <c r="BZ50" s="127">
        <f>(CE50+7)/10</f>
        <v>1</v>
      </c>
      <c r="CA50" s="76" t="str">
        <f>IF(D50="Fern",".97",IF(D50="Grass",".99",IF(D50="Herb",".97",IF(D50="Shrub",".99",IF(D50="Tree","1.00",IF(D50="Vine",".98"))))))</f>
        <v>.99</v>
      </c>
      <c r="CB50" s="149" t="str">
        <f>IF(R50="Bogs Ponds Streams",".96", IF(R50="Coastal Areas",".97",IF(R50="Meadows Dry Open",".96",IF(R50="Forest &amp; Understory",".97",IF(R50="Moist Open",".98",IF(R50="Moist Shady",".96",IF(R50="Sub-Alpine","1.0")))))))</f>
        <v>.96</v>
      </c>
      <c r="CC50" s="76" t="str">
        <f>IF(S50="Local Endemic",".50",IF(S50="Regional Endemic",".70",IF(S50="Cascadia",".90",IF(S50="Rocky Mountain",".95",IF(S50="North America",".99")))))</f>
        <v>.95</v>
      </c>
      <c r="CD50" s="4"/>
      <c r="CE50" s="21">
        <f>IF(W50&gt;3,3,W50)</f>
        <v>3</v>
      </c>
      <c r="CF50" s="21">
        <f>IF(AC50&gt;102,102,AC50)</f>
        <v>20.8</v>
      </c>
      <c r="CG50" s="34">
        <f ca="1">IF(AI50&lt;$AW$4,$AW$4,AI50)</f>
        <v>2019</v>
      </c>
      <c r="CH50" s="34">
        <f ca="1">IF(AJ50&lt;$AW$4,$AW$4,AJ50)</f>
        <v>2019</v>
      </c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12"/>
    </row>
    <row r="51" spans="1:115" s="13" customFormat="1" ht="15" customHeight="1" x14ac:dyDescent="0.3">
      <c r="A51" s="235"/>
      <c r="B51" s="218"/>
      <c r="C51" s="225">
        <v>8</v>
      </c>
      <c r="D51" s="59" t="s">
        <v>2507</v>
      </c>
      <c r="E51" s="59" t="s">
        <v>2501</v>
      </c>
      <c r="F51" s="397" t="str">
        <f ca="1">IF(BC51&lt;2025, "Extinct&lt; 6Yrs?",BA51)</f>
        <v>Abundant</v>
      </c>
      <c r="G51" s="363" t="s">
        <v>525</v>
      </c>
      <c r="H51" s="363" t="s">
        <v>677</v>
      </c>
      <c r="I51" s="366" t="s">
        <v>3033</v>
      </c>
      <c r="J51" s="365" t="s">
        <v>3212</v>
      </c>
      <c r="K51" s="365" t="s">
        <v>544</v>
      </c>
      <c r="L51" s="10" t="s">
        <v>3213</v>
      </c>
      <c r="M51" s="8" t="s">
        <v>4132</v>
      </c>
      <c r="N51" s="8" t="s">
        <v>5024</v>
      </c>
      <c r="O51" s="8" t="s">
        <v>5923</v>
      </c>
      <c r="P51" s="9" t="s">
        <v>543</v>
      </c>
      <c r="Q51" s="59" t="s">
        <v>2552</v>
      </c>
      <c r="R51" s="9" t="s">
        <v>2497</v>
      </c>
      <c r="S51" s="9" t="s">
        <v>2459</v>
      </c>
      <c r="T51" s="123" t="str">
        <f>IF(R51="Bogs Ponds Streams","20",IF(R51="Coastal Areas","26",IF(R51="Meadows Dry Open","10",IF(R51="Forest &amp; Understory","14",IF(R51="Moist Open","12",IF(R51="Moist Shady","10",IF(R51="Sub-Alpine Slopes","0")))))))</f>
        <v>12</v>
      </c>
      <c r="U51" s="123" t="str">
        <f>IF(R51="Bogs Ponds Streams","52",IF(R51="Coastal Areas","51",IF(R51="Meadows Dry Open","53",IF(R51="Forest &amp; Understory","52",IF(R51="Moist Open","50",IF(R51="Moist Shady","46",IF(R51="Sub-Alpine Slopes","40")))))))</f>
        <v>50</v>
      </c>
      <c r="V51" s="123" t="str">
        <f>IF(R51="Bogs Ponds Streams","84",IF(R51="Coastal Areas","76",IF(R51="Meadows Dry Open","96", IF(R51="Forest &amp; Understory","90", IF(R51="Moist Open","88", IF(R51="Moist Shady","82", IF(R51="Sub-Alpine Slopes","80")))))))</f>
        <v>88</v>
      </c>
      <c r="W51" s="59">
        <v>20</v>
      </c>
      <c r="X51" s="59">
        <v>0</v>
      </c>
      <c r="Y51" s="59">
        <v>3500</v>
      </c>
      <c r="Z51" s="59" t="s">
        <v>2519</v>
      </c>
      <c r="AA51" s="59" t="s">
        <v>2518</v>
      </c>
      <c r="AB51" s="59">
        <v>6.8</v>
      </c>
      <c r="AC51" s="45">
        <f>C51+AK51+(0.1)*AL51</f>
        <v>11.2</v>
      </c>
      <c r="AD51" s="77">
        <v>30</v>
      </c>
      <c r="AE51" s="59">
        <v>5</v>
      </c>
      <c r="AF51" s="59">
        <v>5</v>
      </c>
      <c r="AG51" s="59">
        <v>1900</v>
      </c>
      <c r="AH51" s="77">
        <v>0</v>
      </c>
      <c r="AI51" s="59">
        <f ca="1">AJ51</f>
        <v>2019</v>
      </c>
      <c r="AJ51" s="18">
        <f ca="1">YEAR(TODAY())</f>
        <v>2019</v>
      </c>
      <c r="AK51" s="18">
        <v>2</v>
      </c>
      <c r="AL51" s="18">
        <v>12</v>
      </c>
      <c r="AM51" s="18">
        <v>1</v>
      </c>
      <c r="AN51" s="18">
        <v>1</v>
      </c>
      <c r="AO51" s="18">
        <v>5</v>
      </c>
      <c r="AP51" s="18">
        <v>1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233"/>
      <c r="AZ51" s="4"/>
      <c r="BA51" s="35" t="str">
        <f ca="1">IF(OR(S51="North America",S51="Rocky Mountain"), "Widespread",BC51)</f>
        <v>Abundant</v>
      </c>
      <c r="BB51" s="4"/>
      <c r="BC51" s="35" t="str">
        <f ca="1">IF(BE51&gt;2046, "Abundant",BE51)</f>
        <v>Abundant</v>
      </c>
      <c r="BD51" s="4"/>
      <c r="BE51" s="81">
        <f ca="1">YEAR($C$13)+(BG51*80)</f>
        <v>2102.5216713012478</v>
      </c>
      <c r="BF51" s="4"/>
      <c r="BG51" s="137">
        <f ca="1">BH51*$BH$14</f>
        <v>1.0440208912655971</v>
      </c>
      <c r="BH51" s="137">
        <f ca="1">(((BJ51+BK51+BM51+BN51)/4)*$BM$11)+(((BP51+BQ51)/2)*$BQ$11)+(((BU51+BV51+BW51)/3)*$BU$11)+(((BY51+BZ51+CA51+CB51+CC51)/5)*$CA$11)</f>
        <v>1.0440208912655971</v>
      </c>
      <c r="BI51" s="4"/>
      <c r="BJ51" s="33">
        <f>AP51/(AM51+AO51)</f>
        <v>0.16666666666666666</v>
      </c>
      <c r="BK51" s="33">
        <f>(AN51+AO51)/(AM51+AO51)</f>
        <v>1</v>
      </c>
      <c r="BL51" s="4"/>
      <c r="BM51" s="127">
        <f>CF51/102</f>
        <v>0.10980392156862745</v>
      </c>
      <c r="BN51" s="127">
        <f>C51/2</f>
        <v>4</v>
      </c>
      <c r="BO51" s="4"/>
      <c r="BP51" s="127">
        <f>(AK51)/($AW$6)</f>
        <v>2.0202020202020204E-2</v>
      </c>
      <c r="BQ51" s="127">
        <f ca="1">(CH51-$AW$4)/((YEAR($C$13))-$AW$4)</f>
        <v>1</v>
      </c>
      <c r="BR51" s="127">
        <f>(AL51)/($AW$6)</f>
        <v>0.12121212121212122</v>
      </c>
      <c r="BS51" s="4"/>
      <c r="BT51" s="127"/>
      <c r="BU51" s="127">
        <f ca="1">(CG51-$AW$4)/((YEAR($C$13))-$AW$4)</f>
        <v>1</v>
      </c>
      <c r="BV51" s="127">
        <f>AE51/5</f>
        <v>1</v>
      </c>
      <c r="BW51" s="127">
        <f>AF51/5</f>
        <v>1</v>
      </c>
      <c r="BX51" s="4"/>
      <c r="BY51" s="148" t="str">
        <f>IF(E51="A",".98",IF(E51="B",".99",IF(E51="C","1.00",IF(E51="D","1.00" ))))</f>
        <v>1.00</v>
      </c>
      <c r="BZ51" s="127">
        <f>(CE51+7)/10</f>
        <v>1</v>
      </c>
      <c r="CA51" s="76" t="str">
        <f>IF(D51="Fern",".97",IF(D51="Grass",".99",IF(D51="Herb",".97",IF(D51="Shrub",".99",IF(D51="Tree","1.00",IF(D51="Vine",".98"))))))</f>
        <v>1.00</v>
      </c>
      <c r="CB51" s="149" t="str">
        <f>IF(R51="Bogs Ponds Streams",".96", IF(R51="Coastal Areas",".97",IF(R51="Meadows Dry Open",".96",IF(R51="Forest &amp; Understory",".97",IF(R51="Moist Open",".98",IF(R51="Moist Shady",".96",IF(R51="Sub-Alpine","1.0")))))))</f>
        <v>.98</v>
      </c>
      <c r="CC51" s="76" t="str">
        <f>IF(S51="Local Endemic",".50",IF(S51="Regional Endemic",".70",IF(S51="Cascadia",".90",IF(S51="Rocky Mountain",".95",IF(S51="North America",".99")))))</f>
        <v>.90</v>
      </c>
      <c r="CD51" s="4"/>
      <c r="CE51" s="21">
        <f>IF(W51&gt;3,3,W51)</f>
        <v>3</v>
      </c>
      <c r="CF51" s="21">
        <f>IF(AC51&gt;102,102,AC51)</f>
        <v>11.2</v>
      </c>
      <c r="CG51" s="34">
        <f ca="1">IF(AI51&lt;$AW$4,$AW$4,AI51)</f>
        <v>2019</v>
      </c>
      <c r="CH51" s="34">
        <f ca="1">IF(AJ51&lt;$AW$4,$AW$4,AJ51)</f>
        <v>2019</v>
      </c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12"/>
    </row>
    <row r="52" spans="1:115" s="13" customFormat="1" ht="15" customHeight="1" x14ac:dyDescent="0.3">
      <c r="A52" s="235"/>
      <c r="B52" s="218"/>
      <c r="C52" s="225">
        <v>8</v>
      </c>
      <c r="D52" s="59" t="s">
        <v>2507</v>
      </c>
      <c r="E52" s="59" t="s">
        <v>2501</v>
      </c>
      <c r="F52" s="397" t="str">
        <f ca="1">IF(BC52&lt;2025, "Extinct&lt; 6Yrs?",BA52)</f>
        <v>Abundant</v>
      </c>
      <c r="G52" s="363" t="s">
        <v>525</v>
      </c>
      <c r="H52" s="363" t="s">
        <v>677</v>
      </c>
      <c r="I52" s="366" t="s">
        <v>1867</v>
      </c>
      <c r="J52" s="365" t="s">
        <v>545</v>
      </c>
      <c r="K52" s="365" t="s">
        <v>545</v>
      </c>
      <c r="L52" s="10" t="s">
        <v>1755</v>
      </c>
      <c r="M52" s="8" t="s">
        <v>4133</v>
      </c>
      <c r="N52" s="8" t="s">
        <v>5025</v>
      </c>
      <c r="O52" s="8" t="s">
        <v>5924</v>
      </c>
      <c r="P52" s="9" t="s">
        <v>543</v>
      </c>
      <c r="Q52" s="59" t="s">
        <v>2552</v>
      </c>
      <c r="R52" s="9" t="s">
        <v>2498</v>
      </c>
      <c r="S52" s="9" t="s">
        <v>2459</v>
      </c>
      <c r="T52" s="123" t="str">
        <f>IF(R52="Bogs Ponds Streams","20",IF(R52="Coastal Areas","26",IF(R52="Meadows Dry Open","10",IF(R52="Forest &amp; Understory","14",IF(R52="Moist Open","12",IF(R52="Moist Shady","10",IF(R52="Sub-Alpine Slopes","0")))))))</f>
        <v>10</v>
      </c>
      <c r="U52" s="123" t="str">
        <f>IF(R52="Bogs Ponds Streams","52",IF(R52="Coastal Areas","51",IF(R52="Meadows Dry Open","53",IF(R52="Forest &amp; Understory","52",IF(R52="Moist Open","50",IF(R52="Moist Shady","46",IF(R52="Sub-Alpine Slopes","40")))))))</f>
        <v>46</v>
      </c>
      <c r="V52" s="123" t="str">
        <f>IF(R52="Bogs Ponds Streams","84",IF(R52="Coastal Areas","76",IF(R52="Meadows Dry Open","96", IF(R52="Forest &amp; Understory","90", IF(R52="Moist Open","88", IF(R52="Moist Shady","82", IF(R52="Sub-Alpine Slopes","80")))))))</f>
        <v>82</v>
      </c>
      <c r="W52" s="59">
        <v>20</v>
      </c>
      <c r="X52" s="59">
        <v>0</v>
      </c>
      <c r="Y52" s="59">
        <v>3500</v>
      </c>
      <c r="Z52" s="59" t="s">
        <v>2519</v>
      </c>
      <c r="AA52" s="59" t="s">
        <v>2518</v>
      </c>
      <c r="AB52" s="59">
        <v>6.8</v>
      </c>
      <c r="AC52" s="45">
        <f>C52+AK52+(0.1)*AL52</f>
        <v>107.9</v>
      </c>
      <c r="AD52" s="77">
        <v>95</v>
      </c>
      <c r="AE52" s="59">
        <v>5</v>
      </c>
      <c r="AF52" s="59">
        <v>5</v>
      </c>
      <c r="AG52" s="59">
        <v>1900</v>
      </c>
      <c r="AH52" s="77">
        <v>0</v>
      </c>
      <c r="AI52" s="59">
        <f ca="1">AJ52</f>
        <v>2019</v>
      </c>
      <c r="AJ52" s="18">
        <f ca="1">YEAR(TODAY())</f>
        <v>2019</v>
      </c>
      <c r="AK52" s="18">
        <v>99</v>
      </c>
      <c r="AL52" s="18">
        <v>9</v>
      </c>
      <c r="AM52" s="18">
        <v>1</v>
      </c>
      <c r="AN52" s="18">
        <v>1</v>
      </c>
      <c r="AO52" s="18">
        <v>5</v>
      </c>
      <c r="AP52" s="18">
        <v>1</v>
      </c>
      <c r="AQ52" s="18">
        <v>0</v>
      </c>
      <c r="AR52" s="18">
        <v>0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233"/>
      <c r="AZ52" s="4"/>
      <c r="BA52" s="35" t="str">
        <f ca="1">IF(OR(S52="North America",S52="Rocky Mountain"), "Widespread",BC52)</f>
        <v>Abundant</v>
      </c>
      <c r="BB52" s="4"/>
      <c r="BC52" s="35" t="str">
        <f ca="1">IF(BE52&gt;2046, "Abundant",BE52)</f>
        <v>Abundant</v>
      </c>
      <c r="BD52" s="4"/>
      <c r="BE52" s="81">
        <f ca="1">YEAR($C$13)+(BG52*80)</f>
        <v>2124.9551999999999</v>
      </c>
      <c r="BF52" s="4"/>
      <c r="BG52" s="137">
        <f ca="1">BH52*$BH$14</f>
        <v>1.3244400000000001</v>
      </c>
      <c r="BH52" s="137">
        <f ca="1">(((BJ52+BK52+BM52+BN52)/4)*$BM$11)+(((BP52+BQ52)/2)*$BQ$11)+(((BU52+BV52+BW52)/3)*$BU$11)+(((BY52+BZ52+CA52+CB52+CC52)/5)*$CA$11)</f>
        <v>1.3244400000000001</v>
      </c>
      <c r="BI52" s="4"/>
      <c r="BJ52" s="33">
        <f>AP52/(AM52+AO52)</f>
        <v>0.16666666666666666</v>
      </c>
      <c r="BK52" s="33">
        <f>(AN52+AO52)/(AM52+AO52)</f>
        <v>1</v>
      </c>
      <c r="BL52" s="4"/>
      <c r="BM52" s="127">
        <f>CF52/102</f>
        <v>1</v>
      </c>
      <c r="BN52" s="127">
        <f>C52/2</f>
        <v>4</v>
      </c>
      <c r="BO52" s="4"/>
      <c r="BP52" s="127">
        <f>(AK52)/($AW$6)</f>
        <v>1</v>
      </c>
      <c r="BQ52" s="127">
        <f ca="1">(CH52-$AW$4)/((YEAR($C$13))-$AW$4)</f>
        <v>1</v>
      </c>
      <c r="BR52" s="127">
        <f>(AL52)/($AW$6)</f>
        <v>9.0909090909090912E-2</v>
      </c>
      <c r="BS52" s="4"/>
      <c r="BT52" s="127"/>
      <c r="BU52" s="127">
        <f ca="1">(CG52-$AW$4)/((YEAR($C$13))-$AW$4)</f>
        <v>1</v>
      </c>
      <c r="BV52" s="127">
        <f>AE52/5</f>
        <v>1</v>
      </c>
      <c r="BW52" s="127">
        <f>AF52/5</f>
        <v>1</v>
      </c>
      <c r="BX52" s="4"/>
      <c r="BY52" s="148" t="str">
        <f>IF(E52="A",".98",IF(E52="B",".99",IF(E52="C","1.00",IF(E52="D","1.00" ))))</f>
        <v>1.00</v>
      </c>
      <c r="BZ52" s="127">
        <f>(CE52+7)/10</f>
        <v>1</v>
      </c>
      <c r="CA52" s="76" t="str">
        <f>IF(D52="Fern",".97",IF(D52="Grass",".99",IF(D52="Herb",".97",IF(D52="Shrub",".99",IF(D52="Tree","1.00",IF(D52="Vine",".98"))))))</f>
        <v>1.00</v>
      </c>
      <c r="CB52" s="149" t="str">
        <f>IF(R52="Bogs Ponds Streams",".96", IF(R52="Coastal Areas",".97",IF(R52="Meadows Dry Open",".96",IF(R52="Forest &amp; Understory",".97",IF(R52="Moist Open",".98",IF(R52="Moist Shady",".96",IF(R52="Sub-Alpine","1.0")))))))</f>
        <v>.96</v>
      </c>
      <c r="CC52" s="76" t="str">
        <f>IF(S52="Local Endemic",".50",IF(S52="Regional Endemic",".70",IF(S52="Cascadia",".90",IF(S52="Rocky Mountain",".95",IF(S52="North America",".99")))))</f>
        <v>.90</v>
      </c>
      <c r="CD52" s="4"/>
      <c r="CE52" s="21">
        <f>IF(W52&gt;3,3,W52)</f>
        <v>3</v>
      </c>
      <c r="CF52" s="21">
        <f>IF(AC52&gt;102,102,AC52)</f>
        <v>102</v>
      </c>
      <c r="CG52" s="34">
        <f ca="1">IF(AI52&lt;$AW$4,$AW$4,AI52)</f>
        <v>2019</v>
      </c>
      <c r="CH52" s="34">
        <f ca="1">IF(AJ52&lt;$AW$4,$AW$4,AJ52)</f>
        <v>2019</v>
      </c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12"/>
    </row>
    <row r="53" spans="1:115" s="13" customFormat="1" ht="15" customHeight="1" x14ac:dyDescent="0.3">
      <c r="A53" s="235"/>
      <c r="B53" s="218"/>
      <c r="C53" s="225">
        <v>8</v>
      </c>
      <c r="D53" s="59" t="s">
        <v>2506</v>
      </c>
      <c r="E53" s="60" t="s">
        <v>2501</v>
      </c>
      <c r="F53" s="397" t="str">
        <f ca="1">IF(BC53&lt;2025, "Extinct&lt; 6Yrs?",BA53)</f>
        <v>Widespread</v>
      </c>
      <c r="G53" s="363" t="s">
        <v>525</v>
      </c>
      <c r="H53" s="363" t="s">
        <v>677</v>
      </c>
      <c r="I53" s="366" t="s">
        <v>1868</v>
      </c>
      <c r="J53" s="365" t="s">
        <v>3214</v>
      </c>
      <c r="K53" s="365" t="s">
        <v>848</v>
      </c>
      <c r="L53" s="10" t="s">
        <v>1756</v>
      </c>
      <c r="M53" s="8" t="s">
        <v>4134</v>
      </c>
      <c r="N53" s="8" t="s">
        <v>5026</v>
      </c>
      <c r="O53" s="8" t="s">
        <v>5925</v>
      </c>
      <c r="P53" s="9" t="s">
        <v>543</v>
      </c>
      <c r="Q53" s="59" t="s">
        <v>2552</v>
      </c>
      <c r="R53" s="9" t="s">
        <v>2498</v>
      </c>
      <c r="S53" s="9" t="s">
        <v>2479</v>
      </c>
      <c r="T53" s="123" t="str">
        <f>IF(R53="Bogs Ponds Streams","20",IF(R53="Coastal Areas","26",IF(R53="Meadows Dry Open","10",IF(R53="Forest &amp; Understory","14",IF(R53="Moist Open","12",IF(R53="Moist Shady","10",IF(R53="Sub-Alpine Slopes","0")))))))</f>
        <v>10</v>
      </c>
      <c r="U53" s="123" t="str">
        <f>IF(R53="Bogs Ponds Streams","52",IF(R53="Coastal Areas","51",IF(R53="Meadows Dry Open","53",IF(R53="Forest &amp; Understory","52",IF(R53="Moist Open","50",IF(R53="Moist Shady","46",IF(R53="Sub-Alpine Slopes","40")))))))</f>
        <v>46</v>
      </c>
      <c r="V53" s="123" t="str">
        <f>IF(R53="Bogs Ponds Streams","84",IF(R53="Coastal Areas","76",IF(R53="Meadows Dry Open","96", IF(R53="Forest &amp; Understory","90", IF(R53="Moist Open","88", IF(R53="Moist Shady","82", IF(R53="Sub-Alpine Slopes","80")))))))</f>
        <v>82</v>
      </c>
      <c r="W53" s="59">
        <v>20</v>
      </c>
      <c r="X53" s="59">
        <v>0</v>
      </c>
      <c r="Y53" s="59">
        <v>3500</v>
      </c>
      <c r="Z53" s="59" t="s">
        <v>2519</v>
      </c>
      <c r="AA53" s="59" t="s">
        <v>2518</v>
      </c>
      <c r="AB53" s="59">
        <v>6.8</v>
      </c>
      <c r="AC53" s="45">
        <f>C53+AK53+(0.1)*AL53</f>
        <v>44.3</v>
      </c>
      <c r="AD53" s="77">
        <v>268</v>
      </c>
      <c r="AE53" s="59">
        <v>5</v>
      </c>
      <c r="AF53" s="59">
        <v>5</v>
      </c>
      <c r="AG53" s="59">
        <v>1900</v>
      </c>
      <c r="AH53" s="77">
        <v>0</v>
      </c>
      <c r="AI53" s="59">
        <f ca="1">AJ53</f>
        <v>2019</v>
      </c>
      <c r="AJ53" s="18">
        <f ca="1">YEAR(TODAY())</f>
        <v>2019</v>
      </c>
      <c r="AK53" s="18">
        <v>33</v>
      </c>
      <c r="AL53" s="18">
        <v>33</v>
      </c>
      <c r="AM53" s="18">
        <v>1</v>
      </c>
      <c r="AN53" s="18">
        <v>1</v>
      </c>
      <c r="AO53" s="18">
        <v>5</v>
      </c>
      <c r="AP53" s="18">
        <v>1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8">
        <v>0</v>
      </c>
      <c r="AY53" s="233"/>
      <c r="AZ53" s="4"/>
      <c r="BA53" s="35" t="str">
        <f>IF(OR(S53="North America",S53="Rocky Mountain"), "Widespread",BC53)</f>
        <v>Widespread</v>
      </c>
      <c r="BB53" s="4"/>
      <c r="BC53" s="35" t="str">
        <f ca="1">IF(BE53&gt;2046, "Abundant",BE53)</f>
        <v>Abundant</v>
      </c>
      <c r="BD53" s="4"/>
      <c r="BE53" s="81">
        <f ca="1">YEAR($C$13)+(BG53*80)</f>
        <v>2110.1797647058825</v>
      </c>
      <c r="BF53" s="4"/>
      <c r="BG53" s="137">
        <f ca="1">BH53*$BH$14</f>
        <v>1.1397470588235297</v>
      </c>
      <c r="BH53" s="137">
        <f ca="1">(((BJ53+BK53+BM53+BN53)/4)*$BM$11)+(((BP53+BQ53)/2)*$BQ$11)+(((BU53+BV53+BW53)/3)*$BU$11)+(((BY53+BZ53+CA53+CB53+CC53)/5)*$CA$11)</f>
        <v>1.1397470588235297</v>
      </c>
      <c r="BI53" s="4"/>
      <c r="BJ53" s="33">
        <f>AP53/(AM53+AO53)</f>
        <v>0.16666666666666666</v>
      </c>
      <c r="BK53" s="33">
        <f>(AN53+AO53)/(AM53+AO53)</f>
        <v>1</v>
      </c>
      <c r="BL53" s="4"/>
      <c r="BM53" s="127">
        <f>CF53/102</f>
        <v>0.43431372549019603</v>
      </c>
      <c r="BN53" s="127">
        <f>C53/2</f>
        <v>4</v>
      </c>
      <c r="BO53" s="4"/>
      <c r="BP53" s="127">
        <f>(AK53)/($AW$6)</f>
        <v>0.33333333333333331</v>
      </c>
      <c r="BQ53" s="127">
        <f ca="1">(CH53-$AW$4)/((YEAR($C$13))-$AW$4)</f>
        <v>1</v>
      </c>
      <c r="BR53" s="127">
        <f>(AL53)/($AW$6)</f>
        <v>0.33333333333333331</v>
      </c>
      <c r="BS53" s="4"/>
      <c r="BT53" s="127"/>
      <c r="BU53" s="127">
        <f ca="1">(CG53-$AW$4)/((YEAR($C$13))-$AW$4)</f>
        <v>1</v>
      </c>
      <c r="BV53" s="127">
        <f>AE53/5</f>
        <v>1</v>
      </c>
      <c r="BW53" s="127">
        <f>AF53/5</f>
        <v>1</v>
      </c>
      <c r="BX53" s="4"/>
      <c r="BY53" s="148" t="str">
        <f>IF(E53="A",".98",IF(E53="B",".99",IF(E53="C","1.00",IF(E53="D","1.00" ))))</f>
        <v>1.00</v>
      </c>
      <c r="BZ53" s="127">
        <f>(CE53+7)/10</f>
        <v>1</v>
      </c>
      <c r="CA53" s="76" t="str">
        <f>IF(D53="Fern",".97",IF(D53="Grass",".99",IF(D53="Herb",".97",IF(D53="Shrub",".99",IF(D53="Tree","1.00",IF(D53="Vine",".98"))))))</f>
        <v>.99</v>
      </c>
      <c r="CB53" s="149" t="str">
        <f>IF(R53="Bogs Ponds Streams",".96", IF(R53="Coastal Areas",".97",IF(R53="Meadows Dry Open",".96",IF(R53="Forest &amp; Understory",".97",IF(R53="Moist Open",".98",IF(R53="Moist Shady",".96",IF(R53="Sub-Alpine","1.0")))))))</f>
        <v>.96</v>
      </c>
      <c r="CC53" s="76" t="str">
        <f>IF(S53="Local Endemic",".50",IF(S53="Regional Endemic",".70",IF(S53="Cascadia",".90",IF(S53="Rocky Mountain",".95",IF(S53="North America",".99")))))</f>
        <v>.95</v>
      </c>
      <c r="CD53" s="4"/>
      <c r="CE53" s="21">
        <f>IF(W53&gt;3,3,W53)</f>
        <v>3</v>
      </c>
      <c r="CF53" s="21">
        <f>IF(AC53&gt;102,102,AC53)</f>
        <v>44.3</v>
      </c>
      <c r="CG53" s="34">
        <f ca="1">IF(AI53&lt;$AW$4,$AW$4,AI53)</f>
        <v>2019</v>
      </c>
      <c r="CH53" s="34">
        <f ca="1">IF(AJ53&lt;$AW$4,$AW$4,AJ53)</f>
        <v>2019</v>
      </c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12"/>
    </row>
    <row r="54" spans="1:115" s="13" customFormat="1" ht="15" customHeight="1" x14ac:dyDescent="0.3">
      <c r="A54" s="235"/>
      <c r="B54" s="218"/>
      <c r="C54" s="225">
        <v>8</v>
      </c>
      <c r="D54" s="59" t="s">
        <v>2505</v>
      </c>
      <c r="E54" s="59" t="s">
        <v>2501</v>
      </c>
      <c r="F54" s="397" t="str">
        <f ca="1">IF(BC54&lt;2025, "Extinct&lt; 6Yrs?",BA54)</f>
        <v>Abundant</v>
      </c>
      <c r="G54" s="363" t="s">
        <v>525</v>
      </c>
      <c r="H54" s="363" t="s">
        <v>685</v>
      </c>
      <c r="I54" s="366" t="s">
        <v>1869</v>
      </c>
      <c r="J54" s="365" t="s">
        <v>3215</v>
      </c>
      <c r="K54" s="365" t="s">
        <v>2377</v>
      </c>
      <c r="L54" s="10" t="s">
        <v>1757</v>
      </c>
      <c r="M54" s="8" t="s">
        <v>4135</v>
      </c>
      <c r="N54" s="8" t="s">
        <v>5027</v>
      </c>
      <c r="O54" s="8" t="s">
        <v>5926</v>
      </c>
      <c r="P54" s="9" t="s">
        <v>51</v>
      </c>
      <c r="Q54" s="59" t="s">
        <v>2552</v>
      </c>
      <c r="R54" s="9" t="s">
        <v>2453</v>
      </c>
      <c r="S54" s="9" t="s">
        <v>2459</v>
      </c>
      <c r="T54" s="123" t="str">
        <f>IF(R54="Bogs Ponds Streams","20",IF(R54="Coastal Areas","26",IF(R54="Meadows Dry Open","10",IF(R54="Forest &amp; Understory","14",IF(R54="Moist Open","12",IF(R54="Moist Shady","10",IF(R54="Sub-Alpine Slopes","0")))))))</f>
        <v>26</v>
      </c>
      <c r="U54" s="123" t="str">
        <f>IF(R54="Bogs Ponds Streams","52",IF(R54="Coastal Areas","51",IF(R54="Meadows Dry Open","53",IF(R54="Forest &amp; Understory","52",IF(R54="Moist Open","50",IF(R54="Moist Shady","46",IF(R54="Sub-Alpine Slopes","40")))))))</f>
        <v>51</v>
      </c>
      <c r="V54" s="123" t="str">
        <f>IF(R54="Bogs Ponds Streams","84",IF(R54="Coastal Areas","76",IF(R54="Meadows Dry Open","96", IF(R54="Forest &amp; Understory","90", IF(R54="Moist Open","88", IF(R54="Moist Shady","82", IF(R54="Sub-Alpine Slopes","80")))))))</f>
        <v>76</v>
      </c>
      <c r="W54" s="59">
        <v>20</v>
      </c>
      <c r="X54" s="59">
        <v>0</v>
      </c>
      <c r="Y54" s="59">
        <v>3500</v>
      </c>
      <c r="Z54" s="59" t="s">
        <v>2519</v>
      </c>
      <c r="AA54" s="59" t="s">
        <v>2518</v>
      </c>
      <c r="AB54" s="59">
        <v>6.8</v>
      </c>
      <c r="AC54" s="45">
        <f>C54+AK54+(0.1)*AL54</f>
        <v>30</v>
      </c>
      <c r="AD54" s="77">
        <v>53</v>
      </c>
      <c r="AE54" s="59">
        <v>5</v>
      </c>
      <c r="AF54" s="59">
        <v>5</v>
      </c>
      <c r="AG54" s="59">
        <v>1900</v>
      </c>
      <c r="AH54" s="77">
        <v>0</v>
      </c>
      <c r="AI54" s="59">
        <f>AJ54</f>
        <v>2004</v>
      </c>
      <c r="AJ54" s="18">
        <v>2004</v>
      </c>
      <c r="AK54" s="18">
        <v>22</v>
      </c>
      <c r="AL54" s="18">
        <v>0</v>
      </c>
      <c r="AM54" s="18">
        <v>1</v>
      </c>
      <c r="AN54" s="18">
        <v>1</v>
      </c>
      <c r="AO54" s="25">
        <v>0</v>
      </c>
      <c r="AP54" s="24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233"/>
      <c r="AZ54" s="4"/>
      <c r="BA54" s="35" t="str">
        <f ca="1">IF(OR(S54="North America",S54="Rocky Mountain"), "Widespread",BC54)</f>
        <v>Abundant</v>
      </c>
      <c r="BB54" s="4"/>
      <c r="BC54" s="35" t="str">
        <f ca="1">IF(BE54&gt;2046, "Abundant",BE54)</f>
        <v>Abundant</v>
      </c>
      <c r="BD54" s="4"/>
      <c r="BE54" s="81">
        <f ca="1">YEAR($C$13)+(BG54*80)</f>
        <v>2091.0115450980393</v>
      </c>
      <c r="BF54" s="4"/>
      <c r="BG54" s="137">
        <f ca="1">BH54*$BH$14</f>
        <v>0.9001443137254902</v>
      </c>
      <c r="BH54" s="137">
        <f ca="1">(((BJ54+BK54+BM54+BN54)/4)*$BM$11)+(((BP54+BQ54)/2)*$BQ$11)+(((BU54+BV54+BW54)/3)*$BU$11)+(((BY54+BZ54+CA54+CB54+CC54)/5)*$CA$11)</f>
        <v>0.9001443137254902</v>
      </c>
      <c r="BI54" s="4"/>
      <c r="BJ54" s="33">
        <f>AP54/(AM54+AO54)</f>
        <v>0</v>
      </c>
      <c r="BK54" s="33">
        <f>(AN54+AO54)/(AM54+AO54)</f>
        <v>1</v>
      </c>
      <c r="BL54" s="4"/>
      <c r="BM54" s="127">
        <f>CF54/102</f>
        <v>0.29411764705882354</v>
      </c>
      <c r="BN54" s="127">
        <f>C54/2</f>
        <v>4</v>
      </c>
      <c r="BO54" s="4"/>
      <c r="BP54" s="127">
        <f>(AK54)/($AW$6)</f>
        <v>0.22222222222222221</v>
      </c>
      <c r="BQ54" s="127">
        <f ca="1">(CH54-$AW$4)/((YEAR($C$13))-$AW$4)</f>
        <v>0</v>
      </c>
      <c r="BR54" s="127">
        <f>(AL54)/($AW$6)</f>
        <v>0</v>
      </c>
      <c r="BS54" s="4"/>
      <c r="BT54" s="127"/>
      <c r="BU54" s="127">
        <f ca="1">(CG54-$AW$4)/((YEAR($C$13))-$AW$4)</f>
        <v>0</v>
      </c>
      <c r="BV54" s="127">
        <f>AE54/5</f>
        <v>1</v>
      </c>
      <c r="BW54" s="127">
        <f>AF54/5</f>
        <v>1</v>
      </c>
      <c r="BX54" s="4"/>
      <c r="BY54" s="148" t="str">
        <f>IF(E54="A",".98",IF(E54="B",".99",IF(E54="C","1.00",IF(E54="D","1.00" ))))</f>
        <v>1.00</v>
      </c>
      <c r="BZ54" s="127">
        <f>(CE54+7)/10</f>
        <v>1</v>
      </c>
      <c r="CA54" s="76" t="str">
        <f>IF(D54="Fern",".97",IF(D54="Grass",".99",IF(D54="Herb",".97",IF(D54="Shrub",".99",IF(D54="Tree","1.00",IF(D54="Vine",".98"))))))</f>
        <v>.97</v>
      </c>
      <c r="CB54" s="149" t="str">
        <f>IF(R54="Bogs Ponds Streams",".96", IF(R54="Coastal Areas",".97",IF(R54="Meadows Dry Open",".96",IF(R54="Forest &amp; Understory",".97",IF(R54="Moist Open",".98",IF(R54="Moist Shady",".96",IF(R54="Sub-Alpine","1.0")))))))</f>
        <v>.97</v>
      </c>
      <c r="CC54" s="76" t="str">
        <f>IF(S54="Local Endemic",".50",IF(S54="Regional Endemic",".70",IF(S54="Cascadia",".90",IF(S54="Rocky Mountain",".95",IF(S54="North America",".99")))))</f>
        <v>.90</v>
      </c>
      <c r="CD54" s="4"/>
      <c r="CE54" s="21">
        <f>IF(W54&gt;3,3,W54)</f>
        <v>3</v>
      </c>
      <c r="CF54" s="21">
        <f>IF(AC54&gt;102,102,AC54)</f>
        <v>30</v>
      </c>
      <c r="CG54" s="34">
        <f>IF(AI54&lt;$AW$4,$AW$4,AI54)</f>
        <v>2004</v>
      </c>
      <c r="CH54" s="34">
        <f>IF(AJ54&lt;$AW$4,$AW$4,AJ54)</f>
        <v>2004</v>
      </c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</row>
    <row r="55" spans="1:115" s="13" customFormat="1" ht="15" customHeight="1" x14ac:dyDescent="0.3">
      <c r="A55" s="235"/>
      <c r="B55" s="218"/>
      <c r="C55" s="225">
        <v>8</v>
      </c>
      <c r="D55" s="59" t="s">
        <v>2506</v>
      </c>
      <c r="E55" s="60" t="s">
        <v>2501</v>
      </c>
      <c r="F55" s="397" t="str">
        <f ca="1">IF(BC55&lt;2025, "Extinct&lt; 6Yrs?",BA55)</f>
        <v>Abundant</v>
      </c>
      <c r="G55" s="363" t="s">
        <v>525</v>
      </c>
      <c r="H55" s="363" t="s">
        <v>690</v>
      </c>
      <c r="I55" s="366" t="s">
        <v>1870</v>
      </c>
      <c r="J55" s="365" t="s">
        <v>3216</v>
      </c>
      <c r="K55" s="365" t="s">
        <v>308</v>
      </c>
      <c r="L55" s="10" t="s">
        <v>2101</v>
      </c>
      <c r="M55" s="8" t="s">
        <v>4136</v>
      </c>
      <c r="N55" s="8" t="s">
        <v>5028</v>
      </c>
      <c r="O55" s="8" t="s">
        <v>5927</v>
      </c>
      <c r="P55" s="9" t="s">
        <v>303</v>
      </c>
      <c r="Q55" s="59" t="s">
        <v>2557</v>
      </c>
      <c r="R55" s="9" t="s">
        <v>2500</v>
      </c>
      <c r="S55" s="9" t="s">
        <v>2309</v>
      </c>
      <c r="T55" s="123" t="str">
        <f>IF(R55="Bogs Ponds Streams","20",IF(R55="Coastal Areas","26",IF(R55="Meadows Dry Open","10",IF(R55="Forest &amp; Understory","14",IF(R55="Moist Open","12",IF(R55="Moist Shady","10",IF(R55="Sub-Alpine Slopes","0")))))))</f>
        <v>10</v>
      </c>
      <c r="U55" s="123" t="str">
        <f>IF(R55="Bogs Ponds Streams","52",IF(R55="Coastal Areas","51",IF(R55="Meadows Dry Open","53",IF(R55="Forest &amp; Understory","52",IF(R55="Moist Open","50",IF(R55="Moist Shady","46",IF(R55="Sub-Alpine Slopes","40")))))))</f>
        <v>53</v>
      </c>
      <c r="V55" s="123" t="str">
        <f>IF(R55="Bogs Ponds Streams","84",IF(R55="Coastal Areas","76",IF(R55="Meadows Dry Open","96", IF(R55="Forest &amp; Understory","90", IF(R55="Moist Open","88", IF(R55="Moist Shady","82", IF(R55="Sub-Alpine Slopes","80")))))))</f>
        <v>96</v>
      </c>
      <c r="W55" s="59">
        <v>20</v>
      </c>
      <c r="X55" s="59">
        <v>0</v>
      </c>
      <c r="Y55" s="59">
        <v>3500</v>
      </c>
      <c r="Z55" s="59" t="s">
        <v>2519</v>
      </c>
      <c r="AA55" s="59" t="s">
        <v>2518</v>
      </c>
      <c r="AB55" s="59">
        <v>6.8</v>
      </c>
      <c r="AC55" s="45">
        <f>C55+AK55+(0.1)*AL55</f>
        <v>112.5</v>
      </c>
      <c r="AD55" s="77">
        <v>441</v>
      </c>
      <c r="AE55" s="59">
        <v>5</v>
      </c>
      <c r="AF55" s="59">
        <v>5</v>
      </c>
      <c r="AG55" s="59">
        <v>1900</v>
      </c>
      <c r="AH55" s="77">
        <v>0</v>
      </c>
      <c r="AI55" s="59">
        <f ca="1">AJ55</f>
        <v>2019</v>
      </c>
      <c r="AJ55" s="18">
        <f ca="1">YEAR(TODAY())</f>
        <v>2019</v>
      </c>
      <c r="AK55" s="18">
        <v>99</v>
      </c>
      <c r="AL55" s="18">
        <v>55</v>
      </c>
      <c r="AM55" s="18">
        <v>1</v>
      </c>
      <c r="AN55" s="18">
        <v>1</v>
      </c>
      <c r="AO55" s="24">
        <v>1</v>
      </c>
      <c r="AP55" s="24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233"/>
      <c r="AZ55" s="4"/>
      <c r="BA55" s="35" t="str">
        <f ca="1">IF(OR(S55="North America",S55="Rocky Mountain"), "Widespread",BC55)</f>
        <v>Abundant</v>
      </c>
      <c r="BB55" s="4"/>
      <c r="BC55" s="35" t="str">
        <f ca="1">IF(BE55&gt;2046, "Abundant",BE55)</f>
        <v>Abundant</v>
      </c>
      <c r="BD55" s="4"/>
      <c r="BE55" s="81">
        <f ca="1">YEAR($C$13)+(BG55*80)</f>
        <v>2122.8879999999999</v>
      </c>
      <c r="BF55" s="4"/>
      <c r="BG55" s="137">
        <f ca="1">BH55*$BH$14</f>
        <v>1.2986</v>
      </c>
      <c r="BH55" s="137">
        <f ca="1">(((BJ55+BK55+BM55+BN55)/4)*$BM$11)+(((BP55+BQ55)/2)*$BQ$11)+(((BU55+BV55+BW55)/3)*$BU$11)+(((BY55+BZ55+CA55+CB55+CC55)/5)*$CA$11)</f>
        <v>1.2986</v>
      </c>
      <c r="BI55" s="4"/>
      <c r="BJ55" s="33">
        <f>AP55/(AM55+AO55)</f>
        <v>0</v>
      </c>
      <c r="BK55" s="33">
        <f>(AN55+AO55)/(AM55+AO55)</f>
        <v>1</v>
      </c>
      <c r="BL55" s="4"/>
      <c r="BM55" s="127">
        <f>CF55/102</f>
        <v>1</v>
      </c>
      <c r="BN55" s="127">
        <f>C55/2</f>
        <v>4</v>
      </c>
      <c r="BO55" s="4"/>
      <c r="BP55" s="127">
        <f>(AK55)/($AW$6)</f>
        <v>1</v>
      </c>
      <c r="BQ55" s="127">
        <f ca="1">(CH55-$AW$4)/((YEAR($C$13))-$AW$4)</f>
        <v>1</v>
      </c>
      <c r="BR55" s="127">
        <f>(AL55)/($AW$6)</f>
        <v>0.55555555555555558</v>
      </c>
      <c r="BS55" s="4"/>
      <c r="BT55" s="127"/>
      <c r="BU55" s="127">
        <f ca="1">(CG55-$AW$4)/((YEAR($C$13))-$AW$4)</f>
        <v>1</v>
      </c>
      <c r="BV55" s="127">
        <f>AE55/5</f>
        <v>1</v>
      </c>
      <c r="BW55" s="127">
        <f>AF55/5</f>
        <v>1</v>
      </c>
      <c r="BX55" s="4"/>
      <c r="BY55" s="148" t="str">
        <f>IF(E55="A",".98",IF(E55="B",".99",IF(E55="C","1.00",IF(E55="D","1.00" ))))</f>
        <v>1.00</v>
      </c>
      <c r="BZ55" s="127">
        <f>(CE55+7)/10</f>
        <v>1</v>
      </c>
      <c r="CA55" s="76" t="str">
        <f>IF(D55="Fern",".97",IF(D55="Grass",".99",IF(D55="Herb",".97",IF(D55="Shrub",".99",IF(D55="Tree","1.00",IF(D55="Vine",".98"))))))</f>
        <v>.99</v>
      </c>
      <c r="CB55" s="149" t="str">
        <f>IF(R55="Bogs Ponds Streams",".96", IF(R55="Coastal Areas",".97",IF(R55="Meadows Dry Open",".96",IF(R55="Forest &amp; Understory",".97",IF(R55="Moist Open",".98",IF(R55="Moist Shady",".96",IF(R55="Sub-Alpine","1.0")))))))</f>
        <v>.96</v>
      </c>
      <c r="CC55" s="76" t="str">
        <f>IF(S55="Local Endemic",".50",IF(S55="Regional Endemic",".70",IF(S55="Cascadia",".90",IF(S55="Rocky Mountain",".95",IF(S55="North America",".99")))))</f>
        <v>.70</v>
      </c>
      <c r="CD55" s="4"/>
      <c r="CE55" s="21">
        <f>IF(W55&gt;3,3,W55)</f>
        <v>3</v>
      </c>
      <c r="CF55" s="21">
        <f>IF(AC55&gt;102,102,AC55)</f>
        <v>102</v>
      </c>
      <c r="CG55" s="34">
        <f ca="1">IF(AI55&lt;$AW$4,$AW$4,AI55)</f>
        <v>2019</v>
      </c>
      <c r="CH55" s="34">
        <f ca="1">IF(AJ55&lt;$AW$4,$AW$4,AJ55)</f>
        <v>2019</v>
      </c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12"/>
    </row>
    <row r="56" spans="1:115" s="13" customFormat="1" ht="15" customHeight="1" x14ac:dyDescent="0.3">
      <c r="A56" s="235"/>
      <c r="B56" s="218"/>
      <c r="C56" s="226">
        <v>2</v>
      </c>
      <c r="D56" s="104" t="s">
        <v>2505</v>
      </c>
      <c r="E56" s="104" t="s">
        <v>2501</v>
      </c>
      <c r="F56" s="400" t="str">
        <f ca="1">IF(BC56&lt;2025, "Extinct&lt; 6Yrs?",BA56)</f>
        <v>Widespread</v>
      </c>
      <c r="G56" s="369" t="s">
        <v>525</v>
      </c>
      <c r="H56" s="369" t="s">
        <v>4028</v>
      </c>
      <c r="I56" s="371" t="s">
        <v>1871</v>
      </c>
      <c r="J56" s="371" t="s">
        <v>3850</v>
      </c>
      <c r="K56" s="371" t="s">
        <v>1375</v>
      </c>
      <c r="L56" s="106" t="s">
        <v>1758</v>
      </c>
      <c r="M56" s="111" t="s">
        <v>4137</v>
      </c>
      <c r="N56" s="111" t="s">
        <v>5029</v>
      </c>
      <c r="O56" s="111" t="s">
        <v>5928</v>
      </c>
      <c r="P56" s="401" t="s">
        <v>549</v>
      </c>
      <c r="Q56" s="104" t="s">
        <v>2557</v>
      </c>
      <c r="R56" s="105" t="s">
        <v>2498</v>
      </c>
      <c r="S56" s="103" t="s">
        <v>2479</v>
      </c>
      <c r="T56" s="133" t="str">
        <f>IF(R56="Bogs Ponds Streams","20",IF(R56="Coastal Areas","26",IF(R56="Meadows Dry Open","10",IF(R56="Forest &amp; Understory","14",IF(R56="Moist Open","12",IF(R56="Moist Shady","10",IF(R56="Sub-Alpine Slopes","0")))))))</f>
        <v>10</v>
      </c>
      <c r="U56" s="133" t="str">
        <f>IF(R56="Bogs Ponds Streams","52",IF(R56="Coastal Areas","51",IF(R56="Meadows Dry Open","53",IF(R56="Forest &amp; Understory","52",IF(R56="Moist Open","50",IF(R56="Moist Shady","46",IF(R56="Sub-Alpine Slopes","40")))))))</f>
        <v>46</v>
      </c>
      <c r="V56" s="133" t="str">
        <f>IF(R56="Bogs Ponds Streams","84",IF(R56="Coastal Areas","76",IF(R56="Meadows Dry Open","96", IF(R56="Forest &amp; Understory","90", IF(R56="Moist Open","88", IF(R56="Moist Shady","82", IF(R56="Sub-Alpine Slopes","80")))))))</f>
        <v>82</v>
      </c>
      <c r="W56" s="104">
        <v>20</v>
      </c>
      <c r="X56" s="104">
        <v>0</v>
      </c>
      <c r="Y56" s="104">
        <v>3500</v>
      </c>
      <c r="Z56" s="104" t="s">
        <v>2519</v>
      </c>
      <c r="AA56" s="104" t="s">
        <v>2518</v>
      </c>
      <c r="AB56" s="104">
        <v>6.8</v>
      </c>
      <c r="AC56" s="107">
        <f>C56+AK56+(0.1)*AL56</f>
        <v>8.5</v>
      </c>
      <c r="AD56" s="113">
        <v>78</v>
      </c>
      <c r="AE56" s="104">
        <v>5</v>
      </c>
      <c r="AF56" s="104">
        <v>5</v>
      </c>
      <c r="AG56" s="104">
        <v>1900</v>
      </c>
      <c r="AH56" s="113">
        <v>0</v>
      </c>
      <c r="AI56" s="104">
        <f>AJ56</f>
        <v>2004</v>
      </c>
      <c r="AJ56" s="108">
        <v>2004</v>
      </c>
      <c r="AK56" s="108">
        <v>1</v>
      </c>
      <c r="AL56" s="108">
        <v>55</v>
      </c>
      <c r="AM56" s="109">
        <v>5</v>
      </c>
      <c r="AN56" s="109">
        <v>1</v>
      </c>
      <c r="AO56" s="109">
        <v>1</v>
      </c>
      <c r="AP56" s="109">
        <v>0</v>
      </c>
      <c r="AQ56" s="109">
        <v>0</v>
      </c>
      <c r="AR56" s="109">
        <v>0</v>
      </c>
      <c r="AS56" s="110">
        <v>0</v>
      </c>
      <c r="AT56" s="109">
        <v>0</v>
      </c>
      <c r="AU56" s="109">
        <v>0</v>
      </c>
      <c r="AV56" s="109">
        <v>0</v>
      </c>
      <c r="AW56" s="110">
        <v>0</v>
      </c>
      <c r="AX56" s="109">
        <v>0</v>
      </c>
      <c r="AY56" s="233"/>
      <c r="AZ56" s="4"/>
      <c r="BA56" s="35" t="str">
        <f>IF(OR(S56="North America",S56="Rocky Mountain"), "Widespread",BC56)</f>
        <v>Widespread</v>
      </c>
      <c r="BB56" s="4"/>
      <c r="BC56" s="35">
        <f ca="1">IF(BE56&gt;2046, "Abundant",BE56)</f>
        <v>2041.9494787878789</v>
      </c>
      <c r="BD56" s="4"/>
      <c r="BE56" s="81">
        <f ca="1">YEAR($C$13)+(BG56*80)</f>
        <v>2041.9494787878789</v>
      </c>
      <c r="BF56" s="4"/>
      <c r="BG56" s="137">
        <f ca="1">BH56*$BH$14</f>
        <v>0.28686848484848482</v>
      </c>
      <c r="BH56" s="137">
        <f ca="1">(((BJ56+BK56+BM56+BN56)/4)*$BM$11)+(((BP56+BQ56)/2)*$BQ$11)+(((BU56+BV56+BW56)/3)*$BU$11)+(((BY56+BZ56+CA56+CB56+CC56)/5)*$CA$11)</f>
        <v>0.28686848484848482</v>
      </c>
      <c r="BI56" s="4"/>
      <c r="BJ56" s="33">
        <f>AP56/(AM56+AO56)</f>
        <v>0</v>
      </c>
      <c r="BK56" s="33">
        <f>(AN56+AO56)/(AM56+AO56)</f>
        <v>0.33333333333333331</v>
      </c>
      <c r="BL56" s="4"/>
      <c r="BM56" s="127">
        <f>CF56/102</f>
        <v>8.3333333333333329E-2</v>
      </c>
      <c r="BN56" s="127">
        <f>C56/2</f>
        <v>1</v>
      </c>
      <c r="BO56" s="4"/>
      <c r="BP56" s="127">
        <f>(AK56)/($AW$6)</f>
        <v>1.0101010101010102E-2</v>
      </c>
      <c r="BQ56" s="127">
        <f ca="1">(CH56-$AW$4)/((YEAR($C$13))-$AW$4)</f>
        <v>0</v>
      </c>
      <c r="BR56" s="127">
        <f>(AL56)/($AW$6)</f>
        <v>0.55555555555555558</v>
      </c>
      <c r="BS56" s="4"/>
      <c r="BT56" s="127"/>
      <c r="BU56" s="127">
        <f ca="1">(CG56-$AW$4)/((YEAR($C$13))-$AW$4)</f>
        <v>0</v>
      </c>
      <c r="BV56" s="127">
        <f>AE56/5</f>
        <v>1</v>
      </c>
      <c r="BW56" s="127">
        <f>AF56/5</f>
        <v>1</v>
      </c>
      <c r="BX56" s="4"/>
      <c r="BY56" s="148" t="str">
        <f>IF(E56="A",".98",IF(E56="B",".99",IF(E56="C","1.00",IF(E56="D","1.00" ))))</f>
        <v>1.00</v>
      </c>
      <c r="BZ56" s="127">
        <f>(CE56+7)/10</f>
        <v>1</v>
      </c>
      <c r="CA56" s="76" t="str">
        <f>IF(D56="Fern",".97",IF(D56="Grass",".99",IF(D56="Herb",".97",IF(D56="Shrub",".99",IF(D56="Tree","1.00",IF(D56="Vine",".98"))))))</f>
        <v>.97</v>
      </c>
      <c r="CB56" s="149" t="str">
        <f>IF(R56="Bogs Ponds Streams",".96", IF(R56="Coastal Areas",".97",IF(R56="Meadows Dry Open",".96",IF(R56="Forest &amp; Understory",".97",IF(R56="Moist Open",".98",IF(R56="Moist Shady",".96",IF(R56="Sub-Alpine","1.0")))))))</f>
        <v>.96</v>
      </c>
      <c r="CC56" s="76" t="str">
        <f>IF(S56="Local Endemic",".50",IF(S56="Regional Endemic",".70",IF(S56="Cascadia",".90",IF(S56="Rocky Mountain",".95",IF(S56="North America",".99")))))</f>
        <v>.95</v>
      </c>
      <c r="CD56" s="4"/>
      <c r="CE56" s="21">
        <f>IF(W56&gt;3,3,W56)</f>
        <v>3</v>
      </c>
      <c r="CF56" s="21">
        <f>IF(AC56&gt;102,102,AC56)</f>
        <v>8.5</v>
      </c>
      <c r="CG56" s="34">
        <f>IF(AI56&lt;$AW$4,$AW$4,AI56)</f>
        <v>2004</v>
      </c>
      <c r="CH56" s="34">
        <f>IF(AJ56&lt;$AW$4,$AW$4,AJ56)</f>
        <v>2004</v>
      </c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12"/>
    </row>
    <row r="57" spans="1:115" s="13" customFormat="1" ht="15" customHeight="1" x14ac:dyDescent="0.3">
      <c r="A57" s="235"/>
      <c r="B57" s="218"/>
      <c r="C57" s="225">
        <v>8</v>
      </c>
      <c r="D57" s="59" t="s">
        <v>2505</v>
      </c>
      <c r="E57" s="59" t="s">
        <v>2502</v>
      </c>
      <c r="F57" s="397" t="str">
        <f ca="1">IF(BC57&lt;2025, "Extinct&lt; 6Yrs?",BA57)</f>
        <v>Widespread</v>
      </c>
      <c r="G57" s="363" t="s">
        <v>525</v>
      </c>
      <c r="H57" s="363" t="s">
        <v>685</v>
      </c>
      <c r="I57" s="366" t="s">
        <v>1872</v>
      </c>
      <c r="J57" s="365" t="s">
        <v>3217</v>
      </c>
      <c r="K57" s="365" t="s">
        <v>552</v>
      </c>
      <c r="L57" s="10" t="s">
        <v>1759</v>
      </c>
      <c r="M57" s="8" t="s">
        <v>4138</v>
      </c>
      <c r="N57" s="8" t="s">
        <v>5030</v>
      </c>
      <c r="O57" s="8" t="s">
        <v>5929</v>
      </c>
      <c r="P57" s="9" t="s">
        <v>549</v>
      </c>
      <c r="Q57" s="59" t="s">
        <v>2557</v>
      </c>
      <c r="R57" s="9" t="s">
        <v>2500</v>
      </c>
      <c r="S57" s="9" t="s">
        <v>2479</v>
      </c>
      <c r="T57" s="123" t="str">
        <f>IF(R57="Bogs Ponds Streams","20",IF(R57="Coastal Areas","26",IF(R57="Meadows Dry Open","10",IF(R57="Forest &amp; Understory","14",IF(R57="Moist Open","12",IF(R57="Moist Shady","10",IF(R57="Sub-Alpine Slopes","0")))))))</f>
        <v>10</v>
      </c>
      <c r="U57" s="123" t="str">
        <f>IF(R57="Bogs Ponds Streams","52",IF(R57="Coastal Areas","51",IF(R57="Meadows Dry Open","53",IF(R57="Forest &amp; Understory","52",IF(R57="Moist Open","50",IF(R57="Moist Shady","46",IF(R57="Sub-Alpine Slopes","40")))))))</f>
        <v>53</v>
      </c>
      <c r="V57" s="123" t="str">
        <f>IF(R57="Bogs Ponds Streams","84",IF(R57="Coastal Areas","76",IF(R57="Meadows Dry Open","96", IF(R57="Forest &amp; Understory","90", IF(R57="Moist Open","88", IF(R57="Moist Shady","82", IF(R57="Sub-Alpine Slopes","80")))))))</f>
        <v>96</v>
      </c>
      <c r="W57" s="59">
        <v>1</v>
      </c>
      <c r="X57" s="59">
        <v>0</v>
      </c>
      <c r="Y57" s="59">
        <v>3500</v>
      </c>
      <c r="Z57" s="59" t="s">
        <v>2519</v>
      </c>
      <c r="AA57" s="59" t="s">
        <v>2518</v>
      </c>
      <c r="AB57" s="59">
        <v>6.8</v>
      </c>
      <c r="AC57" s="45">
        <f>C57+AK57+(0.1)*AL57</f>
        <v>13.2</v>
      </c>
      <c r="AD57" s="77">
        <v>47</v>
      </c>
      <c r="AE57" s="59">
        <v>5</v>
      </c>
      <c r="AF57" s="59">
        <v>5</v>
      </c>
      <c r="AG57" s="59">
        <v>1900</v>
      </c>
      <c r="AH57" s="77">
        <v>0</v>
      </c>
      <c r="AI57" s="59">
        <f ca="1">AJ57</f>
        <v>2019</v>
      </c>
      <c r="AJ57" s="18">
        <f ca="1">YEAR(TODAY())</f>
        <v>2019</v>
      </c>
      <c r="AK57" s="18">
        <v>3</v>
      </c>
      <c r="AL57" s="18">
        <v>22</v>
      </c>
      <c r="AM57" s="18">
        <v>1</v>
      </c>
      <c r="AN57" s="18">
        <v>1</v>
      </c>
      <c r="AO57" s="18">
        <v>5</v>
      </c>
      <c r="AP57" s="18">
        <v>1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233"/>
      <c r="AZ57" s="4"/>
      <c r="BA57" s="35" t="str">
        <f>IF(OR(S57="North America",S57="Rocky Mountain"), "Widespread",BC57)</f>
        <v>Widespread</v>
      </c>
      <c r="BB57" s="4"/>
      <c r="BC57" s="35" t="str">
        <f ca="1">IF(BE57&gt;2046, "Abundant",BE57)</f>
        <v>Abundant</v>
      </c>
      <c r="BD57" s="4"/>
      <c r="BE57" s="81">
        <f ca="1">YEAR($C$13)+(BG57*80)</f>
        <v>2102.8077775401071</v>
      </c>
      <c r="BF57" s="4"/>
      <c r="BG57" s="137">
        <f ca="1">BH57*$BH$14</f>
        <v>1.0475972192513368</v>
      </c>
      <c r="BH57" s="137">
        <f ca="1">(((BJ57+BK57+BM57+BN57)/4)*$BM$11)+(((BP57+BQ57)/2)*$BQ$11)+(((BU57+BV57+BW57)/3)*$BU$11)+(((BY57+BZ57+CA57+CB57+CC57)/5)*$CA$11)</f>
        <v>1.0475972192513368</v>
      </c>
      <c r="BI57" s="4"/>
      <c r="BJ57" s="33">
        <f>AP57/(AM57+AO57)</f>
        <v>0.16666666666666666</v>
      </c>
      <c r="BK57" s="33">
        <f>(AN57+AO57)/(AM57+AO57)</f>
        <v>1</v>
      </c>
      <c r="BL57" s="4"/>
      <c r="BM57" s="127">
        <f>CF57/102</f>
        <v>0.12941176470588234</v>
      </c>
      <c r="BN57" s="127">
        <f>C57/2</f>
        <v>4</v>
      </c>
      <c r="BO57" s="4"/>
      <c r="BP57" s="127">
        <f>(AK57)/($AW$6)</f>
        <v>3.0303030303030304E-2</v>
      </c>
      <c r="BQ57" s="127">
        <f ca="1">(CH57-$AW$4)/((YEAR($C$13))-$AW$4)</f>
        <v>1</v>
      </c>
      <c r="BR57" s="127">
        <f>(AL57)/($AW$6)</f>
        <v>0.22222222222222221</v>
      </c>
      <c r="BS57" s="4"/>
      <c r="BT57" s="127"/>
      <c r="BU57" s="127">
        <f ca="1">(CG57-$AW$4)/((YEAR($C$13))-$AW$4)</f>
        <v>1</v>
      </c>
      <c r="BV57" s="127">
        <f>AE57/5</f>
        <v>1</v>
      </c>
      <c r="BW57" s="127">
        <f>AF57/5</f>
        <v>1</v>
      </c>
      <c r="BX57" s="4"/>
      <c r="BY57" s="148" t="str">
        <f>IF(E57="A",".98",IF(E57="B",".99",IF(E57="C","1.00",IF(E57="D","1.00" ))))</f>
        <v>.98</v>
      </c>
      <c r="BZ57" s="127">
        <f>(CE57+7)/10</f>
        <v>0.8</v>
      </c>
      <c r="CA57" s="76" t="str">
        <f>IF(D57="Fern",".97",IF(D57="Grass",".99",IF(D57="Herb",".97",IF(D57="Shrub",".99",IF(D57="Tree","1.00",IF(D57="Vine",".98"))))))</f>
        <v>.97</v>
      </c>
      <c r="CB57" s="149" t="str">
        <f>IF(R57="Bogs Ponds Streams",".96", IF(R57="Coastal Areas",".97",IF(R57="Meadows Dry Open",".96",IF(R57="Forest &amp; Understory",".97",IF(R57="Moist Open",".98",IF(R57="Moist Shady",".96",IF(R57="Sub-Alpine","1.0")))))))</f>
        <v>.96</v>
      </c>
      <c r="CC57" s="76" t="str">
        <f>IF(S57="Local Endemic",".50",IF(S57="Regional Endemic",".70",IF(S57="Cascadia",".90",IF(S57="Rocky Mountain",".95",IF(S57="North America",".99")))))</f>
        <v>.95</v>
      </c>
      <c r="CD57" s="4"/>
      <c r="CE57" s="21">
        <f>IF(W57&gt;3,3,W57)</f>
        <v>1</v>
      </c>
      <c r="CF57" s="21">
        <f>IF(AC57&gt;102,102,AC57)</f>
        <v>13.2</v>
      </c>
      <c r="CG57" s="34">
        <f ca="1">IF(AI57&lt;$AW$4,$AW$4,AI57)</f>
        <v>2019</v>
      </c>
      <c r="CH57" s="34">
        <f ca="1">IF(AJ57&lt;$AW$4,$AW$4,AJ57)</f>
        <v>2019</v>
      </c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</row>
    <row r="58" spans="1:115" s="13" customFormat="1" ht="15" customHeight="1" x14ac:dyDescent="0.3">
      <c r="A58" s="235"/>
      <c r="B58" s="218"/>
      <c r="C58" s="226">
        <v>2</v>
      </c>
      <c r="D58" s="104" t="s">
        <v>2505</v>
      </c>
      <c r="E58" s="104" t="s">
        <v>2501</v>
      </c>
      <c r="F58" s="400" t="str">
        <f ca="1">IF(BC58&lt;2025, "Extinct&lt; 6Yrs?",BA58)</f>
        <v>Abundant</v>
      </c>
      <c r="G58" s="369" t="s">
        <v>525</v>
      </c>
      <c r="H58" s="369" t="s">
        <v>4028</v>
      </c>
      <c r="I58" s="370" t="s">
        <v>1873</v>
      </c>
      <c r="J58" s="371" t="s">
        <v>3849</v>
      </c>
      <c r="K58" s="371" t="s">
        <v>2737</v>
      </c>
      <c r="L58" s="106" t="s">
        <v>1760</v>
      </c>
      <c r="M58" s="111" t="s">
        <v>4139</v>
      </c>
      <c r="N58" s="111" t="s">
        <v>5031</v>
      </c>
      <c r="O58" s="111" t="s">
        <v>5930</v>
      </c>
      <c r="P58" s="105" t="s">
        <v>549</v>
      </c>
      <c r="Q58" s="104" t="s">
        <v>2557</v>
      </c>
      <c r="R58" s="105" t="s">
        <v>2453</v>
      </c>
      <c r="S58" s="105" t="s">
        <v>2459</v>
      </c>
      <c r="T58" s="133" t="str">
        <f>IF(R58="Bogs Ponds Streams","20",IF(R58="Coastal Areas","26",IF(R58="Meadows Dry Open","10",IF(R58="Forest &amp; Understory","14",IF(R58="Moist Open","12",IF(R58="Moist Shady","10",IF(R58="Sub-Alpine Slopes","0")))))))</f>
        <v>26</v>
      </c>
      <c r="U58" s="133" t="str">
        <f>IF(R58="Bogs Ponds Streams","52",IF(R58="Coastal Areas","51",IF(R58="Meadows Dry Open","53",IF(R58="Forest &amp; Understory","52",IF(R58="Moist Open","50",IF(R58="Moist Shady","46",IF(R58="Sub-Alpine Slopes","40")))))))</f>
        <v>51</v>
      </c>
      <c r="V58" s="133" t="str">
        <f>IF(R58="Bogs Ponds Streams","84",IF(R58="Coastal Areas","76",IF(R58="Meadows Dry Open","96", IF(R58="Forest &amp; Understory","90", IF(R58="Moist Open","88", IF(R58="Moist Shady","82", IF(R58="Sub-Alpine Slopes","80")))))))</f>
        <v>76</v>
      </c>
      <c r="W58" s="104">
        <v>20</v>
      </c>
      <c r="X58" s="104">
        <v>0</v>
      </c>
      <c r="Y58" s="104">
        <v>3500</v>
      </c>
      <c r="Z58" s="104" t="s">
        <v>2519</v>
      </c>
      <c r="AA58" s="104" t="s">
        <v>2518</v>
      </c>
      <c r="AB58" s="104">
        <v>6.8</v>
      </c>
      <c r="AC58" s="107">
        <f>C58+AK58+(0.1)*AL58</f>
        <v>8</v>
      </c>
      <c r="AD58" s="113">
        <v>17</v>
      </c>
      <c r="AE58" s="104">
        <v>5</v>
      </c>
      <c r="AF58" s="104">
        <v>5</v>
      </c>
      <c r="AG58" s="104">
        <v>1900</v>
      </c>
      <c r="AH58" s="113">
        <v>0</v>
      </c>
      <c r="AI58" s="104">
        <f>AJ58</f>
        <v>2016</v>
      </c>
      <c r="AJ58" s="108">
        <v>2016</v>
      </c>
      <c r="AK58" s="108">
        <v>6</v>
      </c>
      <c r="AL58" s="108">
        <v>0</v>
      </c>
      <c r="AM58" s="109">
        <v>5</v>
      </c>
      <c r="AN58" s="109">
        <v>1</v>
      </c>
      <c r="AO58" s="110">
        <v>0</v>
      </c>
      <c r="AP58" s="109">
        <v>0</v>
      </c>
      <c r="AQ58" s="109">
        <v>0</v>
      </c>
      <c r="AR58" s="109">
        <v>0</v>
      </c>
      <c r="AS58" s="110">
        <v>0</v>
      </c>
      <c r="AT58" s="109">
        <v>0</v>
      </c>
      <c r="AU58" s="109">
        <v>0</v>
      </c>
      <c r="AV58" s="109">
        <v>0</v>
      </c>
      <c r="AW58" s="110">
        <v>0</v>
      </c>
      <c r="AX58" s="109">
        <v>0</v>
      </c>
      <c r="AY58" s="233"/>
      <c r="AZ58" s="4"/>
      <c r="BA58" s="35" t="str">
        <f ca="1">IF(OR(S58="North America",S58="Rocky Mountain"), "Widespread",BC58)</f>
        <v>Abundant</v>
      </c>
      <c r="BB58" s="4"/>
      <c r="BC58" s="35" t="str">
        <f ca="1">IF(BE58&gt;2046, "Abundant",BE58)</f>
        <v>Abundant</v>
      </c>
      <c r="BD58" s="4"/>
      <c r="BE58" s="81">
        <f ca="1">YEAR($C$13)+(BG58*80)</f>
        <v>2052.1905825311942</v>
      </c>
      <c r="BF58" s="4"/>
      <c r="BG58" s="137">
        <f ca="1">BH58*$BH$14</f>
        <v>0.41488228163992863</v>
      </c>
      <c r="BH58" s="137">
        <f ca="1">(((BJ58+BK58+BM58+BN58)/4)*$BM$11)+(((BP58+BQ58)/2)*$BQ$11)+(((BU58+BV58+BW58)/3)*$BU$11)+(((BY58+BZ58+CA58+CB58+CC58)/5)*$CA$11)</f>
        <v>0.41488228163992863</v>
      </c>
      <c r="BI58" s="4"/>
      <c r="BJ58" s="33">
        <f>AP58/(AM58+AO58)</f>
        <v>0</v>
      </c>
      <c r="BK58" s="33">
        <f>(AN58+AO58)/(AM58+AO58)</f>
        <v>0.2</v>
      </c>
      <c r="BL58" s="4"/>
      <c r="BM58" s="127">
        <f>CF58/102</f>
        <v>7.8431372549019607E-2</v>
      </c>
      <c r="BN58" s="127">
        <f>C58/2</f>
        <v>1</v>
      </c>
      <c r="BO58" s="4"/>
      <c r="BP58" s="127">
        <f>(AK58)/($AW$6)</f>
        <v>6.0606060606060608E-2</v>
      </c>
      <c r="BQ58" s="127">
        <f ca="1">(CH58-$AW$4)/((YEAR($C$13))-$AW$4)</f>
        <v>0.8</v>
      </c>
      <c r="BR58" s="127">
        <f>(AL58)/($AW$6)</f>
        <v>0</v>
      </c>
      <c r="BS58" s="4"/>
      <c r="BT58" s="127"/>
      <c r="BU58" s="127">
        <f ca="1">(CG58-$AW$4)/((YEAR($C$13))-$AW$4)</f>
        <v>0.8</v>
      </c>
      <c r="BV58" s="127">
        <f>AE58/5</f>
        <v>1</v>
      </c>
      <c r="BW58" s="127">
        <f>AF58/5</f>
        <v>1</v>
      </c>
      <c r="BX58" s="4"/>
      <c r="BY58" s="148" t="str">
        <f>IF(E58="A",".98",IF(E58="B",".99",IF(E58="C","1.00",IF(E58="D","1.00" ))))</f>
        <v>1.00</v>
      </c>
      <c r="BZ58" s="127">
        <f>(CE58+7)/10</f>
        <v>1</v>
      </c>
      <c r="CA58" s="76" t="str">
        <f>IF(D58="Fern",".97",IF(D58="Grass",".99",IF(D58="Herb",".97",IF(D58="Shrub",".99",IF(D58="Tree","1.00",IF(D58="Vine",".98"))))))</f>
        <v>.97</v>
      </c>
      <c r="CB58" s="149" t="str">
        <f>IF(R58="Bogs Ponds Streams",".96", IF(R58="Coastal Areas",".97",IF(R58="Meadows Dry Open",".96",IF(R58="Forest &amp; Understory",".97",IF(R58="Moist Open",".98",IF(R58="Moist Shady",".96",IF(R58="Sub-Alpine","1.0")))))))</f>
        <v>.97</v>
      </c>
      <c r="CC58" s="76" t="str">
        <f>IF(S58="Local Endemic",".50",IF(S58="Regional Endemic",".70",IF(S58="Cascadia",".90",IF(S58="Rocky Mountain",".95",IF(S58="North America",".99")))))</f>
        <v>.90</v>
      </c>
      <c r="CD58" s="4"/>
      <c r="CE58" s="21">
        <f>IF(W58&gt;3,3,W58)</f>
        <v>3</v>
      </c>
      <c r="CF58" s="21">
        <f>IF(AC58&gt;102,102,AC58)</f>
        <v>8</v>
      </c>
      <c r="CG58" s="34">
        <f>IF(AI58&lt;$AW$4,$AW$4,AI58)</f>
        <v>2016</v>
      </c>
      <c r="CH58" s="34">
        <f>IF(AJ58&lt;$AW$4,$AW$4,AJ58)</f>
        <v>2016</v>
      </c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12"/>
    </row>
    <row r="59" spans="1:115" s="13" customFormat="1" ht="15" customHeight="1" x14ac:dyDescent="0.3">
      <c r="A59" s="235"/>
      <c r="B59" s="218"/>
      <c r="C59" s="225">
        <v>8</v>
      </c>
      <c r="D59" s="59" t="s">
        <v>2505</v>
      </c>
      <c r="E59" s="59" t="s">
        <v>2501</v>
      </c>
      <c r="F59" s="397" t="str">
        <f ca="1">IF(BC59&lt;2025, "Extinct&lt; 6Yrs?",BA59)</f>
        <v>Widespread</v>
      </c>
      <c r="G59" s="363" t="s">
        <v>525</v>
      </c>
      <c r="H59" s="363" t="s">
        <v>681</v>
      </c>
      <c r="I59" s="366" t="s">
        <v>1874</v>
      </c>
      <c r="J59" s="365" t="s">
        <v>2738</v>
      </c>
      <c r="K59" s="365" t="s">
        <v>850</v>
      </c>
      <c r="L59" s="10" t="s">
        <v>1761</v>
      </c>
      <c r="M59" s="8" t="s">
        <v>4140</v>
      </c>
      <c r="N59" s="8" t="s">
        <v>5032</v>
      </c>
      <c r="O59" s="8" t="s">
        <v>5931</v>
      </c>
      <c r="P59" s="9" t="s">
        <v>51</v>
      </c>
      <c r="Q59" s="59" t="s">
        <v>2552</v>
      </c>
      <c r="R59" s="9" t="s">
        <v>2500</v>
      </c>
      <c r="S59" s="9" t="s">
        <v>2495</v>
      </c>
      <c r="T59" s="123" t="str">
        <f>IF(R59="Bogs Ponds Streams","20",IF(R59="Coastal Areas","26",IF(R59="Meadows Dry Open","10",IF(R59="Forest &amp; Understory","14",IF(R59="Moist Open","12",IF(R59="Moist Shady","10",IF(R59="Sub-Alpine Slopes","0")))))))</f>
        <v>10</v>
      </c>
      <c r="U59" s="123" t="str">
        <f>IF(R59="Bogs Ponds Streams","52",IF(R59="Coastal Areas","51",IF(R59="Meadows Dry Open","53",IF(R59="Forest &amp; Understory","52",IF(R59="Moist Open","50",IF(R59="Moist Shady","46",IF(R59="Sub-Alpine Slopes","40")))))))</f>
        <v>53</v>
      </c>
      <c r="V59" s="123" t="str">
        <f>IF(R59="Bogs Ponds Streams","84",IF(R59="Coastal Areas","76",IF(R59="Meadows Dry Open","96", IF(R59="Forest &amp; Understory","90", IF(R59="Moist Open","88", IF(R59="Moist Shady","82", IF(R59="Sub-Alpine Slopes","80")))))))</f>
        <v>96</v>
      </c>
      <c r="W59" s="59">
        <v>20</v>
      </c>
      <c r="X59" s="59">
        <v>0</v>
      </c>
      <c r="Y59" s="59">
        <v>3500</v>
      </c>
      <c r="Z59" s="59" t="s">
        <v>2519</v>
      </c>
      <c r="AA59" s="59" t="s">
        <v>2518</v>
      </c>
      <c r="AB59" s="59">
        <v>6.8</v>
      </c>
      <c r="AC59" s="45">
        <f>C59+AK59+(0.1)*AL59</f>
        <v>107.9</v>
      </c>
      <c r="AD59" s="77">
        <v>271</v>
      </c>
      <c r="AE59" s="59">
        <v>5</v>
      </c>
      <c r="AF59" s="59">
        <v>5</v>
      </c>
      <c r="AG59" s="59">
        <v>1900</v>
      </c>
      <c r="AH59" s="77">
        <v>0</v>
      </c>
      <c r="AI59" s="59">
        <f ca="1">AJ59</f>
        <v>2019</v>
      </c>
      <c r="AJ59" s="18">
        <f ca="1">YEAR(TODAY())</f>
        <v>2019</v>
      </c>
      <c r="AK59" s="18">
        <v>99</v>
      </c>
      <c r="AL59" s="18">
        <v>9</v>
      </c>
      <c r="AM59" s="18">
        <v>1</v>
      </c>
      <c r="AN59" s="18">
        <v>1</v>
      </c>
      <c r="AO59" s="18">
        <v>5</v>
      </c>
      <c r="AP59" s="18">
        <v>1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233"/>
      <c r="AZ59" s="4"/>
      <c r="BA59" s="35" t="str">
        <f>IF(OR(S59="North America",S59="Rocky Mountain"), "Widespread",BC59)</f>
        <v>Widespread</v>
      </c>
      <c r="BB59" s="4"/>
      <c r="BC59" s="35" t="str">
        <f ca="1">IF(BE59&gt;2046, "Abundant",BE59)</f>
        <v>Abundant</v>
      </c>
      <c r="BD59" s="4"/>
      <c r="BE59" s="81">
        <f ca="1">YEAR($C$13)+(BG59*80)</f>
        <v>2124.9744000000001</v>
      </c>
      <c r="BF59" s="4"/>
      <c r="BG59" s="137">
        <f ca="1">BH59*$BH$14</f>
        <v>1.3246800000000001</v>
      </c>
      <c r="BH59" s="137">
        <f ca="1">(((BJ59+BK59+BM59+BN59)/4)*$BM$11)+(((BP59+BQ59)/2)*$BQ$11)+(((BU59+BV59+BW59)/3)*$BU$11)+(((BY59+BZ59+CA59+CB59+CC59)/5)*$CA$11)</f>
        <v>1.3246800000000001</v>
      </c>
      <c r="BI59" s="4"/>
      <c r="BJ59" s="33">
        <f>AP59/(AM59+AO59)</f>
        <v>0.16666666666666666</v>
      </c>
      <c r="BK59" s="33">
        <f>(AN59+AO59)/(AM59+AO59)</f>
        <v>1</v>
      </c>
      <c r="BL59" s="4"/>
      <c r="BM59" s="127">
        <f>CF59/102</f>
        <v>1</v>
      </c>
      <c r="BN59" s="127">
        <f>C59/2</f>
        <v>4</v>
      </c>
      <c r="BO59" s="4"/>
      <c r="BP59" s="127">
        <f>(AK59)/($AW$6)</f>
        <v>1</v>
      </c>
      <c r="BQ59" s="127">
        <f ca="1">(CH59-$AW$4)/((YEAR($C$13))-$AW$4)</f>
        <v>1</v>
      </c>
      <c r="BR59" s="127">
        <f>(AL59)/($AW$6)</f>
        <v>9.0909090909090912E-2</v>
      </c>
      <c r="BS59" s="4"/>
      <c r="BT59" s="127"/>
      <c r="BU59" s="127">
        <f ca="1">(CG59-$AW$4)/((YEAR($C$13))-$AW$4)</f>
        <v>1</v>
      </c>
      <c r="BV59" s="127">
        <f>AE59/5</f>
        <v>1</v>
      </c>
      <c r="BW59" s="127">
        <f>AF59/5</f>
        <v>1</v>
      </c>
      <c r="BX59" s="4"/>
      <c r="BY59" s="148" t="str">
        <f>IF(E59="A",".98",IF(E59="B",".99",IF(E59="C","1.00",IF(E59="D","1.00" ))))</f>
        <v>1.00</v>
      </c>
      <c r="BZ59" s="127">
        <f>(CE59+7)/10</f>
        <v>1</v>
      </c>
      <c r="CA59" s="76" t="str">
        <f>IF(D59="Fern",".97",IF(D59="Grass",".99",IF(D59="Herb",".97",IF(D59="Shrub",".99",IF(D59="Tree","1.00",IF(D59="Vine",".98"))))))</f>
        <v>.97</v>
      </c>
      <c r="CB59" s="149" t="str">
        <f>IF(R59="Bogs Ponds Streams",".96", IF(R59="Coastal Areas",".97",IF(R59="Meadows Dry Open",".96",IF(R59="Forest &amp; Understory",".97",IF(R59="Moist Open",".98",IF(R59="Moist Shady",".96",IF(R59="Sub-Alpine","1.0")))))))</f>
        <v>.96</v>
      </c>
      <c r="CC59" s="76" t="str">
        <f>IF(S59="Local Endemic",".50",IF(S59="Regional Endemic",".70",IF(S59="Cascadia",".90",IF(S59="Rocky Mountain",".95",IF(S59="North America",".99")))))</f>
        <v>.99</v>
      </c>
      <c r="CD59" s="4"/>
      <c r="CE59" s="21">
        <f>IF(W59&gt;3,3,W59)</f>
        <v>3</v>
      </c>
      <c r="CF59" s="21">
        <f>IF(AC59&gt;102,102,AC59)</f>
        <v>102</v>
      </c>
      <c r="CG59" s="34">
        <f ca="1">IF(AI59&lt;$AW$4,$AW$4,AI59)</f>
        <v>2019</v>
      </c>
      <c r="CH59" s="34">
        <f ca="1">IF(AJ59&lt;$AW$4,$AW$4,AJ59)</f>
        <v>2019</v>
      </c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</row>
    <row r="60" spans="1:115" s="13" customFormat="1" ht="15" customHeight="1" x14ac:dyDescent="0.3">
      <c r="A60" s="235"/>
      <c r="B60" s="218"/>
      <c r="C60" s="225">
        <v>8</v>
      </c>
      <c r="D60" s="59" t="s">
        <v>2506</v>
      </c>
      <c r="E60" s="59" t="s">
        <v>2504</v>
      </c>
      <c r="F60" s="397" t="str">
        <f ca="1">IF(BC60&lt;2025, "Extinct&lt; 6Yrs?",BA60)</f>
        <v>Widespread</v>
      </c>
      <c r="G60" s="363" t="s">
        <v>525</v>
      </c>
      <c r="H60" s="363" t="s">
        <v>682</v>
      </c>
      <c r="I60" s="364" t="s">
        <v>1875</v>
      </c>
      <c r="J60" s="365" t="s">
        <v>3218</v>
      </c>
      <c r="K60" s="365" t="s">
        <v>203</v>
      </c>
      <c r="L60" s="10" t="s">
        <v>1762</v>
      </c>
      <c r="M60" s="8" t="s">
        <v>4141</v>
      </c>
      <c r="N60" s="8" t="s">
        <v>5033</v>
      </c>
      <c r="O60" s="8" t="s">
        <v>5932</v>
      </c>
      <c r="P60" s="9" t="s">
        <v>198</v>
      </c>
      <c r="Q60" s="59" t="s">
        <v>2559</v>
      </c>
      <c r="R60" s="9" t="s">
        <v>2499</v>
      </c>
      <c r="S60" s="9" t="s">
        <v>2495</v>
      </c>
      <c r="T60" s="123" t="str">
        <f>IF(R60="Bogs Ponds Streams","20",IF(R60="Coastal Areas","26",IF(R60="Meadows Dry Open","10",IF(R60="Forest &amp; Understory","14",IF(R60="Moist Open","12",IF(R60="Moist Shady","10",IF(R60="Sub-Alpine Slopes","0")))))))</f>
        <v>20</v>
      </c>
      <c r="U60" s="123" t="str">
        <f>IF(R60="Bogs Ponds Streams","52",IF(R60="Coastal Areas","51",IF(R60="Meadows Dry Open","53",IF(R60="Forest &amp; Understory","52",IF(R60="Moist Open","50",IF(R60="Moist Shady","46",IF(R60="Sub-Alpine Slopes","40")))))))</f>
        <v>52</v>
      </c>
      <c r="V60" s="123" t="str">
        <f>IF(R60="Bogs Ponds Streams","84",IF(R60="Coastal Areas","76",IF(R60="Meadows Dry Open","96", IF(R60="Forest &amp; Understory","90", IF(R60="Moist Open","88", IF(R60="Moist Shady","82", IF(R60="Sub-Alpine Slopes","80")))))))</f>
        <v>84</v>
      </c>
      <c r="W60" s="59">
        <v>20</v>
      </c>
      <c r="X60" s="59">
        <v>0</v>
      </c>
      <c r="Y60" s="59">
        <v>3500</v>
      </c>
      <c r="Z60" s="59" t="s">
        <v>2519</v>
      </c>
      <c r="AA60" s="59" t="s">
        <v>2518</v>
      </c>
      <c r="AB60" s="59">
        <v>6.8</v>
      </c>
      <c r="AC60" s="45">
        <f>C60+AK60+(0.1)*AL60</f>
        <v>11.2</v>
      </c>
      <c r="AD60" s="77">
        <v>35</v>
      </c>
      <c r="AE60" s="59">
        <v>5</v>
      </c>
      <c r="AF60" s="59">
        <v>5</v>
      </c>
      <c r="AG60" s="59">
        <v>1900</v>
      </c>
      <c r="AH60" s="77">
        <v>0</v>
      </c>
      <c r="AI60" s="59">
        <f ca="1">AJ60</f>
        <v>2019</v>
      </c>
      <c r="AJ60" s="18">
        <f ca="1">YEAR(TODAY())</f>
        <v>2019</v>
      </c>
      <c r="AK60" s="18">
        <v>3</v>
      </c>
      <c r="AL60" s="18">
        <v>2</v>
      </c>
      <c r="AM60" s="18">
        <v>1</v>
      </c>
      <c r="AN60" s="18">
        <v>1</v>
      </c>
      <c r="AO60" s="25">
        <v>0</v>
      </c>
      <c r="AP60" s="18">
        <v>1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233"/>
      <c r="AZ60" s="4"/>
      <c r="BA60" s="35" t="str">
        <f>IF(OR(S60="North America",S60="Rocky Mountain"), "Widespread",BC60)</f>
        <v>Widespread</v>
      </c>
      <c r="BB60" s="4"/>
      <c r="BC60" s="35" t="str">
        <f ca="1">IF(BE60&gt;2046, "Abundant",BE60)</f>
        <v>Abundant</v>
      </c>
      <c r="BD60" s="4"/>
      <c r="BE60" s="81">
        <f ca="1">YEAR($C$13)+(BG60*80)</f>
        <v>2112.66208342246</v>
      </c>
      <c r="BF60" s="4"/>
      <c r="BG60" s="137">
        <f ca="1">BH60*$BH$14</f>
        <v>1.1707760427807485</v>
      </c>
      <c r="BH60" s="137">
        <f ca="1">(((BJ60+BK60+BM60+BN60)/4)*$BM$11)+(((BP60+BQ60)/2)*$BQ$11)+(((BU60+BV60+BW60)/3)*$BU$11)+(((BY60+BZ60+CA60+CB60+CC60)/5)*$CA$11)</f>
        <v>1.1707760427807485</v>
      </c>
      <c r="BI60" s="4"/>
      <c r="BJ60" s="33">
        <f>AP60/(AM60+AO60)</f>
        <v>1</v>
      </c>
      <c r="BK60" s="33">
        <f>(AN60+AO60)/(AM60+AO60)</f>
        <v>1</v>
      </c>
      <c r="BL60" s="4"/>
      <c r="BM60" s="127">
        <f>CF60/102</f>
        <v>0.10980392156862745</v>
      </c>
      <c r="BN60" s="127">
        <f>C60/2</f>
        <v>4</v>
      </c>
      <c r="BO60" s="4"/>
      <c r="BP60" s="127">
        <f>(AK60)/($AW$6)</f>
        <v>3.0303030303030304E-2</v>
      </c>
      <c r="BQ60" s="127">
        <f ca="1">(CH60-$AW$4)/((YEAR($C$13))-$AW$4)</f>
        <v>1</v>
      </c>
      <c r="BR60" s="127">
        <f>(AL60)/($AW$6)</f>
        <v>2.0202020202020204E-2</v>
      </c>
      <c r="BS60" s="4"/>
      <c r="BT60" s="127"/>
      <c r="BU60" s="127">
        <f ca="1">(CG60-$AW$4)/((YEAR($C$13))-$AW$4)</f>
        <v>1</v>
      </c>
      <c r="BV60" s="127">
        <f>AE60/5</f>
        <v>1</v>
      </c>
      <c r="BW60" s="127">
        <f>AF60/5</f>
        <v>1</v>
      </c>
      <c r="BX60" s="4"/>
      <c r="BY60" s="148" t="str">
        <f>IF(E60="A",".98",IF(E60="B",".99",IF(E60="C","1.00",IF(E60="D","1.00" ))))</f>
        <v>1.00</v>
      </c>
      <c r="BZ60" s="127">
        <f>(CE60+7)/10</f>
        <v>1</v>
      </c>
      <c r="CA60" s="76" t="str">
        <f>IF(D60="Fern",".97",IF(D60="Grass",".99",IF(D60="Herb",".97",IF(D60="Shrub",".99",IF(D60="Tree","1.00",IF(D60="Vine",".98"))))))</f>
        <v>.99</v>
      </c>
      <c r="CB60" s="149" t="str">
        <f>IF(R60="Bogs Ponds Streams",".96", IF(R60="Coastal Areas",".97",IF(R60="Meadows Dry Open",".96",IF(R60="Forest &amp; Understory",".97",IF(R60="Moist Open",".98",IF(R60="Moist Shady",".96",IF(R60="Sub-Alpine","1.0")))))))</f>
        <v>.96</v>
      </c>
      <c r="CC60" s="76" t="str">
        <f>IF(S60="Local Endemic",".50",IF(S60="Regional Endemic",".70",IF(S60="Cascadia",".90",IF(S60="Rocky Mountain",".95",IF(S60="North America",".99")))))</f>
        <v>.99</v>
      </c>
      <c r="CD60" s="4"/>
      <c r="CE60" s="21">
        <f>IF(W60&gt;3,3,W60)</f>
        <v>3</v>
      </c>
      <c r="CF60" s="21">
        <f>IF(AC60&gt;102,102,AC60)</f>
        <v>11.2</v>
      </c>
      <c r="CG60" s="34">
        <f ca="1">IF(AI60&lt;$AW$4,$AW$4,AI60)</f>
        <v>2019</v>
      </c>
      <c r="CH60" s="34">
        <f ca="1">IF(AJ60&lt;$AW$4,$AW$4,AJ60)</f>
        <v>2019</v>
      </c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12"/>
    </row>
    <row r="61" spans="1:115" s="13" customFormat="1" ht="15" customHeight="1" x14ac:dyDescent="0.3">
      <c r="A61" s="235"/>
      <c r="B61" s="218"/>
      <c r="C61" s="375">
        <v>1</v>
      </c>
      <c r="D61" s="67" t="s">
        <v>2505</v>
      </c>
      <c r="E61" s="67" t="s">
        <v>2501</v>
      </c>
      <c r="F61" s="403">
        <f ca="1">IF(BC61&lt;2025, "Extinct&lt; 6Yrs?",BA61)</f>
        <v>2038.2397699346404</v>
      </c>
      <c r="G61" s="376" t="s">
        <v>525</v>
      </c>
      <c r="H61" s="376" t="s">
        <v>4028</v>
      </c>
      <c r="I61" s="380" t="s">
        <v>1876</v>
      </c>
      <c r="J61" s="378" t="s">
        <v>3674</v>
      </c>
      <c r="K61" s="378" t="s">
        <v>851</v>
      </c>
      <c r="L61" s="63" t="s">
        <v>1763</v>
      </c>
      <c r="M61" s="64" t="s">
        <v>4142</v>
      </c>
      <c r="N61" s="64" t="s">
        <v>5034</v>
      </c>
      <c r="O61" s="64" t="s">
        <v>5933</v>
      </c>
      <c r="P61" s="61" t="s">
        <v>285</v>
      </c>
      <c r="Q61" s="67" t="s">
        <v>2552</v>
      </c>
      <c r="R61" s="61" t="s">
        <v>2500</v>
      </c>
      <c r="S61" s="63" t="s">
        <v>2309</v>
      </c>
      <c r="T61" s="134" t="str">
        <f>IF(R61="Bogs Ponds Streams","20",IF(R61="Coastal Areas","26",IF(R61="Meadows Dry Open","10",IF(R61="Forest &amp; Understory","14",IF(R61="Moist Open","12",IF(R61="Moist Shady","10",IF(R61="Sub-Alpine Slopes","0")))))))</f>
        <v>10</v>
      </c>
      <c r="U61" s="134" t="str">
        <f>IF(R61="Bogs Ponds Streams","52",IF(R61="Coastal Areas","51",IF(R61="Meadows Dry Open","53",IF(R61="Forest &amp; Understory","52",IF(R61="Moist Open","50",IF(R61="Moist Shady","46",IF(R61="Sub-Alpine Slopes","40")))))))</f>
        <v>53</v>
      </c>
      <c r="V61" s="134" t="str">
        <f>IF(R61="Bogs Ponds Streams","84",IF(R61="Coastal Areas","76",IF(R61="Meadows Dry Open","96", IF(R61="Forest &amp; Understory","90", IF(R61="Moist Open","88", IF(R61="Moist Shady","82", IF(R61="Sub-Alpine Slopes","80")))))))</f>
        <v>96</v>
      </c>
      <c r="W61" s="67">
        <v>20</v>
      </c>
      <c r="X61" s="67">
        <v>0</v>
      </c>
      <c r="Y61" s="67">
        <v>3500</v>
      </c>
      <c r="Z61" s="67" t="s">
        <v>2519</v>
      </c>
      <c r="AA61" s="67" t="s">
        <v>2518</v>
      </c>
      <c r="AB61" s="67">
        <v>6.8</v>
      </c>
      <c r="AC61" s="85">
        <f>C61+AK61+(0.1)*AL61</f>
        <v>12.3</v>
      </c>
      <c r="AD61" s="78">
        <v>49</v>
      </c>
      <c r="AE61" s="67">
        <v>5</v>
      </c>
      <c r="AF61" s="67">
        <v>5</v>
      </c>
      <c r="AG61" s="67">
        <v>1900</v>
      </c>
      <c r="AH61" s="78">
        <v>0</v>
      </c>
      <c r="AI61" s="67">
        <f>AJ61</f>
        <v>2009</v>
      </c>
      <c r="AJ61" s="69">
        <v>2009</v>
      </c>
      <c r="AK61" s="69">
        <v>11</v>
      </c>
      <c r="AL61" s="69">
        <v>3</v>
      </c>
      <c r="AM61" s="70">
        <v>5</v>
      </c>
      <c r="AN61" s="70">
        <v>0</v>
      </c>
      <c r="AO61" s="86">
        <v>0</v>
      </c>
      <c r="AP61" s="70">
        <v>0</v>
      </c>
      <c r="AQ61" s="70">
        <v>0</v>
      </c>
      <c r="AR61" s="70">
        <v>0</v>
      </c>
      <c r="AS61" s="86">
        <v>0</v>
      </c>
      <c r="AT61" s="70">
        <v>0</v>
      </c>
      <c r="AU61" s="70">
        <v>0</v>
      </c>
      <c r="AV61" s="70">
        <v>0</v>
      </c>
      <c r="AW61" s="86">
        <v>0</v>
      </c>
      <c r="AX61" s="70">
        <v>0</v>
      </c>
      <c r="AY61" s="233"/>
      <c r="AZ61" s="4"/>
      <c r="BA61" s="35">
        <f ca="1">IF(OR(S61="North America",S61="Rocky Mountain"), "Widespread",BC61)</f>
        <v>2038.2397699346404</v>
      </c>
      <c r="BB61" s="4"/>
      <c r="BC61" s="35">
        <f ca="1">IF(BE61&gt;2046, "Abundant",BE61)</f>
        <v>2038.2397699346404</v>
      </c>
      <c r="BD61" s="4"/>
      <c r="BE61" s="81">
        <f ca="1">YEAR($C$13)+(BG61*80)</f>
        <v>2038.2397699346404</v>
      </c>
      <c r="BF61" s="4"/>
      <c r="BG61" s="137">
        <f ca="1">BH61*$BH$14</f>
        <v>0.24049712418300653</v>
      </c>
      <c r="BH61" s="137">
        <f ca="1">(((BJ61+BK61+BM61+BN61)/4)*$BM$11)+(((BP61+BQ61)/2)*$BQ$11)+(((BU61+BV61+BW61)/3)*$BU$11)+(((BY61+BZ61+CA61+CB61+CC61)/5)*$CA$11)</f>
        <v>0.24049712418300653</v>
      </c>
      <c r="BI61" s="4"/>
      <c r="BJ61" s="33">
        <f>AP61/(AM61+AO61)</f>
        <v>0</v>
      </c>
      <c r="BK61" s="33">
        <f>(AN61+AO61)/(AM61+AO61)</f>
        <v>0</v>
      </c>
      <c r="BL61" s="4"/>
      <c r="BM61" s="127">
        <f>CF61/102</f>
        <v>0.12058823529411765</v>
      </c>
      <c r="BN61" s="127">
        <f>C61/2</f>
        <v>0.5</v>
      </c>
      <c r="BO61" s="4"/>
      <c r="BP61" s="127">
        <f>(AK61)/($AW$6)</f>
        <v>0.1111111111111111</v>
      </c>
      <c r="BQ61" s="127">
        <f ca="1">(CH61-$AW$4)/((YEAR($C$13))-$AW$4)</f>
        <v>0.33333333333333331</v>
      </c>
      <c r="BR61" s="127">
        <f>(AL61)/($AW$6)</f>
        <v>3.0303030303030304E-2</v>
      </c>
      <c r="BS61" s="4"/>
      <c r="BT61" s="127"/>
      <c r="BU61" s="127">
        <f ca="1">(CG61-$AW$4)/((YEAR($C$13))-$AW$4)</f>
        <v>0.33333333333333331</v>
      </c>
      <c r="BV61" s="127">
        <f>AE61/5</f>
        <v>1</v>
      </c>
      <c r="BW61" s="127">
        <f>AF61/5</f>
        <v>1</v>
      </c>
      <c r="BX61" s="4"/>
      <c r="BY61" s="148" t="str">
        <f>IF(E61="A",".98",IF(E61="B",".99",IF(E61="C","1.00",IF(E61="D","1.00" ))))</f>
        <v>1.00</v>
      </c>
      <c r="BZ61" s="127">
        <f>(CE61+7)/10</f>
        <v>1</v>
      </c>
      <c r="CA61" s="76" t="str">
        <f>IF(D61="Fern",".97",IF(D61="Grass",".99",IF(D61="Herb",".97",IF(D61="Shrub",".99",IF(D61="Tree","1.00",IF(D61="Vine",".98"))))))</f>
        <v>.97</v>
      </c>
      <c r="CB61" s="149" t="str">
        <f>IF(R61="Bogs Ponds Streams",".96", IF(R61="Coastal Areas",".97",IF(R61="Meadows Dry Open",".96",IF(R61="Forest &amp; Understory",".97",IF(R61="Moist Open",".98",IF(R61="Moist Shady",".96",IF(R61="Sub-Alpine","1.0")))))))</f>
        <v>.96</v>
      </c>
      <c r="CC61" s="76" t="str">
        <f>IF(S61="Local Endemic",".50",IF(S61="Regional Endemic",".70",IF(S61="Cascadia",".90",IF(S61="Rocky Mountain",".95",IF(S61="North America",".99")))))</f>
        <v>.70</v>
      </c>
      <c r="CD61" s="4"/>
      <c r="CE61" s="21">
        <f>IF(W61&gt;3,3,W61)</f>
        <v>3</v>
      </c>
      <c r="CF61" s="21">
        <f>IF(AC61&gt;102,102,AC61)</f>
        <v>12.3</v>
      </c>
      <c r="CG61" s="34">
        <f>IF(AI61&lt;$AW$4,$AW$4,AI61)</f>
        <v>2009</v>
      </c>
      <c r="CH61" s="34">
        <f>IF(AJ61&lt;$AW$4,$AW$4,AJ61)</f>
        <v>2009</v>
      </c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12"/>
    </row>
    <row r="62" spans="1:115" s="13" customFormat="1" ht="15" customHeight="1" x14ac:dyDescent="0.3">
      <c r="A62" s="235"/>
      <c r="B62" s="218"/>
      <c r="C62" s="226">
        <v>2</v>
      </c>
      <c r="D62" s="104" t="s">
        <v>2505</v>
      </c>
      <c r="E62" s="104" t="s">
        <v>2501</v>
      </c>
      <c r="F62" s="400">
        <f ca="1">IF(BC62&lt;2025, "Extinct&lt; 6Yrs?",BA62)</f>
        <v>2040.6719743315507</v>
      </c>
      <c r="G62" s="369" t="s">
        <v>525</v>
      </c>
      <c r="H62" s="369" t="s">
        <v>4028</v>
      </c>
      <c r="I62" s="370" t="s">
        <v>1877</v>
      </c>
      <c r="J62" s="371" t="s">
        <v>3848</v>
      </c>
      <c r="K62" s="371" t="s">
        <v>852</v>
      </c>
      <c r="L62" s="106" t="s">
        <v>1764</v>
      </c>
      <c r="M62" s="111" t="s">
        <v>4143</v>
      </c>
      <c r="N62" s="111" t="s">
        <v>5035</v>
      </c>
      <c r="O62" s="111" t="s">
        <v>5934</v>
      </c>
      <c r="P62" s="105" t="s">
        <v>285</v>
      </c>
      <c r="Q62" s="104" t="s">
        <v>2552</v>
      </c>
      <c r="R62" s="105" t="s">
        <v>2500</v>
      </c>
      <c r="S62" s="105" t="s">
        <v>2309</v>
      </c>
      <c r="T62" s="133" t="str">
        <f>IF(R62="Bogs Ponds Streams","20",IF(R62="Coastal Areas","26",IF(R62="Meadows Dry Open","10",IF(R62="Forest &amp; Understory","14",IF(R62="Moist Open","12",IF(R62="Moist Shady","10",IF(R62="Sub-Alpine Slopes","0")))))))</f>
        <v>10</v>
      </c>
      <c r="U62" s="133" t="str">
        <f>IF(R62="Bogs Ponds Streams","52",IF(R62="Coastal Areas","51",IF(R62="Meadows Dry Open","53",IF(R62="Forest &amp; Understory","52",IF(R62="Moist Open","50",IF(R62="Moist Shady","46",IF(R62="Sub-Alpine Slopes","40")))))))</f>
        <v>53</v>
      </c>
      <c r="V62" s="133" t="str">
        <f>IF(R62="Bogs Ponds Streams","84",IF(R62="Coastal Areas","76",IF(R62="Meadows Dry Open","96", IF(R62="Forest &amp; Understory","90", IF(R62="Moist Open","88", IF(R62="Moist Shady","82", IF(R62="Sub-Alpine Slopes","80")))))))</f>
        <v>96</v>
      </c>
      <c r="W62" s="104">
        <v>20</v>
      </c>
      <c r="X62" s="104">
        <v>0</v>
      </c>
      <c r="Y62" s="104">
        <v>3500</v>
      </c>
      <c r="Z62" s="104" t="s">
        <v>2519</v>
      </c>
      <c r="AA62" s="104" t="s">
        <v>2518</v>
      </c>
      <c r="AB62" s="104">
        <v>6.8</v>
      </c>
      <c r="AC62" s="107">
        <f>C62+AK62+(0.1)*AL62</f>
        <v>7.8</v>
      </c>
      <c r="AD62" s="113">
        <v>26</v>
      </c>
      <c r="AE62" s="104">
        <v>5</v>
      </c>
      <c r="AF62" s="104">
        <v>5</v>
      </c>
      <c r="AG62" s="104">
        <v>1900</v>
      </c>
      <c r="AH62" s="113">
        <v>0</v>
      </c>
      <c r="AI62" s="104">
        <f>AJ62</f>
        <v>1999</v>
      </c>
      <c r="AJ62" s="108">
        <v>1999</v>
      </c>
      <c r="AK62" s="108">
        <v>5</v>
      </c>
      <c r="AL62" s="108">
        <v>8</v>
      </c>
      <c r="AM62" s="109">
        <v>5</v>
      </c>
      <c r="AN62" s="109">
        <v>1</v>
      </c>
      <c r="AO62" s="110">
        <v>0</v>
      </c>
      <c r="AP62" s="109">
        <v>0</v>
      </c>
      <c r="AQ62" s="109">
        <v>0</v>
      </c>
      <c r="AR62" s="109">
        <v>0</v>
      </c>
      <c r="AS62" s="110">
        <v>0</v>
      </c>
      <c r="AT62" s="109">
        <v>0</v>
      </c>
      <c r="AU62" s="109">
        <v>0</v>
      </c>
      <c r="AV62" s="109">
        <v>0</v>
      </c>
      <c r="AW62" s="110">
        <v>0</v>
      </c>
      <c r="AX62" s="109">
        <v>0</v>
      </c>
      <c r="AY62" s="233"/>
      <c r="AZ62" s="4"/>
      <c r="BA62" s="35">
        <f ca="1">IF(OR(S62="North America",S62="Rocky Mountain"), "Widespread",BC62)</f>
        <v>2040.6719743315507</v>
      </c>
      <c r="BB62" s="4"/>
      <c r="BC62" s="35">
        <f ca="1">IF(BE62&gt;2046, "Abundant",BE62)</f>
        <v>2040.6719743315507</v>
      </c>
      <c r="BD62" s="4"/>
      <c r="BE62" s="81">
        <f ca="1">YEAR($C$13)+(BG62*80)</f>
        <v>2040.6719743315507</v>
      </c>
      <c r="BF62" s="4"/>
      <c r="BG62" s="137">
        <f ca="1">BH62*$BH$14</f>
        <v>0.27089967914438495</v>
      </c>
      <c r="BH62" s="137">
        <f ca="1">(((BJ62+BK62+BM62+BN62)/4)*$BM$11)+(((BP62+BQ62)/2)*$BQ$11)+(((BU62+BV62+BW62)/3)*$BU$11)+(((BY62+BZ62+CA62+CB62+CC62)/5)*$CA$11)</f>
        <v>0.27089967914438495</v>
      </c>
      <c r="BI62" s="4"/>
      <c r="BJ62" s="33">
        <f>AP62/(AM62+AO62)</f>
        <v>0</v>
      </c>
      <c r="BK62" s="33">
        <f>(AN62+AO62)/(AM62+AO62)</f>
        <v>0.2</v>
      </c>
      <c r="BL62" s="4"/>
      <c r="BM62" s="127">
        <f>CF62/102</f>
        <v>7.647058823529411E-2</v>
      </c>
      <c r="BN62" s="127">
        <f>C62/2</f>
        <v>1</v>
      </c>
      <c r="BO62" s="4"/>
      <c r="BP62" s="127">
        <f>(AK62)/($AW$6)</f>
        <v>5.0505050505050504E-2</v>
      </c>
      <c r="BQ62" s="127">
        <f ca="1">(CH62-$AW$4)/((YEAR($C$13))-$AW$4)</f>
        <v>0</v>
      </c>
      <c r="BR62" s="127">
        <f>(AL62)/($AW$6)</f>
        <v>8.0808080808080815E-2</v>
      </c>
      <c r="BS62" s="4"/>
      <c r="BT62" s="127"/>
      <c r="BU62" s="127">
        <f ca="1">(CG62-$AW$4)/((YEAR($C$13))-$AW$4)</f>
        <v>0</v>
      </c>
      <c r="BV62" s="127">
        <f>AE62/5</f>
        <v>1</v>
      </c>
      <c r="BW62" s="127">
        <f>AF62/5</f>
        <v>1</v>
      </c>
      <c r="BX62" s="4"/>
      <c r="BY62" s="148" t="str">
        <f>IF(E62="A",".98",IF(E62="B",".99",IF(E62="C","1.00",IF(E62="D","1.00" ))))</f>
        <v>1.00</v>
      </c>
      <c r="BZ62" s="127">
        <f>(CE62+7)/10</f>
        <v>1</v>
      </c>
      <c r="CA62" s="76" t="str">
        <f>IF(D62="Fern",".97",IF(D62="Grass",".99",IF(D62="Herb",".97",IF(D62="Shrub",".99",IF(D62="Tree","1.00",IF(D62="Vine",".98"))))))</f>
        <v>.97</v>
      </c>
      <c r="CB62" s="149" t="str">
        <f>IF(R62="Bogs Ponds Streams",".96", IF(R62="Coastal Areas",".97",IF(R62="Meadows Dry Open",".96",IF(R62="Forest &amp; Understory",".97",IF(R62="Moist Open",".98",IF(R62="Moist Shady",".96",IF(R62="Sub-Alpine","1.0")))))))</f>
        <v>.96</v>
      </c>
      <c r="CC62" s="76" t="str">
        <f>IF(S62="Local Endemic",".50",IF(S62="Regional Endemic",".70",IF(S62="Cascadia",".90",IF(S62="Rocky Mountain",".95",IF(S62="North America",".99")))))</f>
        <v>.70</v>
      </c>
      <c r="CD62" s="4"/>
      <c r="CE62" s="21">
        <f>IF(W62&gt;3,3,W62)</f>
        <v>3</v>
      </c>
      <c r="CF62" s="21">
        <f>IF(AC62&gt;102,102,AC62)</f>
        <v>7.8</v>
      </c>
      <c r="CG62" s="34">
        <f>IF(AI62&lt;$AW$4,$AW$4,AI62)</f>
        <v>2004</v>
      </c>
      <c r="CH62" s="34">
        <f>IF(AJ62&lt;$AW$4,$AW$4,AJ62)</f>
        <v>2004</v>
      </c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12"/>
    </row>
    <row r="63" spans="1:115" s="13" customFormat="1" ht="15" customHeight="1" x14ac:dyDescent="0.3">
      <c r="A63" s="235"/>
      <c r="B63" s="218"/>
      <c r="C63" s="225">
        <v>8</v>
      </c>
      <c r="D63" s="59" t="s">
        <v>2505</v>
      </c>
      <c r="E63" s="59" t="s">
        <v>2501</v>
      </c>
      <c r="F63" s="397" t="str">
        <f ca="1">IF(BC63&lt;2025, "Extinct&lt; 6Yrs?",BA63)</f>
        <v>Widespread</v>
      </c>
      <c r="G63" s="363" t="s">
        <v>525</v>
      </c>
      <c r="H63" s="363" t="s">
        <v>683</v>
      </c>
      <c r="I63" s="366" t="s">
        <v>1878</v>
      </c>
      <c r="J63" s="365" t="s">
        <v>3219</v>
      </c>
      <c r="K63" s="365" t="s">
        <v>853</v>
      </c>
      <c r="L63" s="10" t="s">
        <v>1765</v>
      </c>
      <c r="M63" s="8" t="s">
        <v>4144</v>
      </c>
      <c r="N63" s="8" t="s">
        <v>5036</v>
      </c>
      <c r="O63" s="8" t="s">
        <v>5935</v>
      </c>
      <c r="P63" s="9" t="s">
        <v>285</v>
      </c>
      <c r="Q63" s="59" t="s">
        <v>2558</v>
      </c>
      <c r="R63" s="9" t="s">
        <v>2500</v>
      </c>
      <c r="S63" s="9" t="s">
        <v>2495</v>
      </c>
      <c r="T63" s="123" t="str">
        <f>IF(R63="Bogs Ponds Streams","20",IF(R63="Coastal Areas","26",IF(R63="Meadows Dry Open","10",IF(R63="Forest &amp; Understory","14",IF(R63="Moist Open","12",IF(R63="Moist Shady","10",IF(R63="Sub-Alpine Slopes","0")))))))</f>
        <v>10</v>
      </c>
      <c r="U63" s="123" t="str">
        <f>IF(R63="Bogs Ponds Streams","52",IF(R63="Coastal Areas","51",IF(R63="Meadows Dry Open","53",IF(R63="Forest &amp; Understory","52",IF(R63="Moist Open","50",IF(R63="Moist Shady","46",IF(R63="Sub-Alpine Slopes","40")))))))</f>
        <v>53</v>
      </c>
      <c r="V63" s="123" t="str">
        <f>IF(R63="Bogs Ponds Streams","84",IF(R63="Coastal Areas","76",IF(R63="Meadows Dry Open","96", IF(R63="Forest &amp; Understory","90", IF(R63="Moist Open","88", IF(R63="Moist Shady","82", IF(R63="Sub-Alpine Slopes","80")))))))</f>
        <v>96</v>
      </c>
      <c r="W63" s="59">
        <v>20</v>
      </c>
      <c r="X63" s="59">
        <v>0</v>
      </c>
      <c r="Y63" s="59">
        <v>3500</v>
      </c>
      <c r="Z63" s="59" t="s">
        <v>2519</v>
      </c>
      <c r="AA63" s="59" t="s">
        <v>2518</v>
      </c>
      <c r="AB63" s="59">
        <v>6.8</v>
      </c>
      <c r="AC63" s="45">
        <f>C63+AK63+(0.1)*AL63</f>
        <v>19.100000000000001</v>
      </c>
      <c r="AD63" s="77">
        <v>161</v>
      </c>
      <c r="AE63" s="59">
        <v>5</v>
      </c>
      <c r="AF63" s="59">
        <v>5</v>
      </c>
      <c r="AG63" s="59">
        <v>1900</v>
      </c>
      <c r="AH63" s="77">
        <v>0</v>
      </c>
      <c r="AI63" s="59">
        <f ca="1">AJ63</f>
        <v>2019</v>
      </c>
      <c r="AJ63" s="18">
        <f ca="1">YEAR(TODAY())</f>
        <v>2019</v>
      </c>
      <c r="AK63" s="18">
        <v>10</v>
      </c>
      <c r="AL63" s="18">
        <v>11</v>
      </c>
      <c r="AM63" s="18">
        <v>1</v>
      </c>
      <c r="AN63" s="18">
        <v>1</v>
      </c>
      <c r="AO63" s="25">
        <v>0</v>
      </c>
      <c r="AP63" s="24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233"/>
      <c r="AZ63" s="4"/>
      <c r="BA63" s="35" t="str">
        <f>IF(OR(S63="North America",S63="Rocky Mountain"), "Widespread",BC63)</f>
        <v>Widespread</v>
      </c>
      <c r="BB63" s="4"/>
      <c r="BC63" s="35" t="str">
        <f ca="1">IF(BE63&gt;2046, "Abundant",BE63)</f>
        <v>Abundant</v>
      </c>
      <c r="BD63" s="4"/>
      <c r="BE63" s="81">
        <f ca="1">YEAR($C$13)+(BG63*80)</f>
        <v>2102.4335800356507</v>
      </c>
      <c r="BF63" s="4"/>
      <c r="BG63" s="137">
        <f ca="1">BH63*$BH$14</f>
        <v>1.0429197504456327</v>
      </c>
      <c r="BH63" s="137">
        <f ca="1">(((BJ63+BK63+BM63+BN63)/4)*$BM$11)+(((BP63+BQ63)/2)*$BQ$11)+(((BU63+BV63+BW63)/3)*$BU$11)+(((BY63+BZ63+CA63+CB63+CC63)/5)*$CA$11)</f>
        <v>1.0429197504456327</v>
      </c>
      <c r="BI63" s="4"/>
      <c r="BJ63" s="33">
        <f>AP63/(AM63+AO63)</f>
        <v>0</v>
      </c>
      <c r="BK63" s="33">
        <f>(AN63+AO63)/(AM63+AO63)</f>
        <v>1</v>
      </c>
      <c r="BL63" s="4"/>
      <c r="BM63" s="127">
        <f>CF63/102</f>
        <v>0.18725490196078431</v>
      </c>
      <c r="BN63" s="127">
        <f>C63/2</f>
        <v>4</v>
      </c>
      <c r="BO63" s="4"/>
      <c r="BP63" s="127">
        <f>(AK63)/($AW$6)</f>
        <v>0.10101010101010101</v>
      </c>
      <c r="BQ63" s="127">
        <f ca="1">(CH63-$AW$4)/((YEAR($C$13))-$AW$4)</f>
        <v>1</v>
      </c>
      <c r="BR63" s="127">
        <f>(AL63)/($AW$6)</f>
        <v>0.1111111111111111</v>
      </c>
      <c r="BS63" s="4"/>
      <c r="BT63" s="127"/>
      <c r="BU63" s="127">
        <f ca="1">(CG63-$AW$4)/((YEAR($C$13))-$AW$4)</f>
        <v>1</v>
      </c>
      <c r="BV63" s="127">
        <f>AE63/5</f>
        <v>1</v>
      </c>
      <c r="BW63" s="127">
        <f>AF63/5</f>
        <v>1</v>
      </c>
      <c r="BX63" s="4"/>
      <c r="BY63" s="148" t="str">
        <f>IF(E63="A",".98",IF(E63="B",".99",IF(E63="C","1.00",IF(E63="D","1.00" ))))</f>
        <v>1.00</v>
      </c>
      <c r="BZ63" s="127">
        <f>(CE63+7)/10</f>
        <v>1</v>
      </c>
      <c r="CA63" s="76" t="str">
        <f>IF(D63="Fern",".97",IF(D63="Grass",".99",IF(D63="Herb",".97",IF(D63="Shrub",".99",IF(D63="Tree","1.00",IF(D63="Vine",".98"))))))</f>
        <v>.97</v>
      </c>
      <c r="CB63" s="149" t="str">
        <f>IF(R63="Bogs Ponds Streams",".96", IF(R63="Coastal Areas",".97",IF(R63="Meadows Dry Open",".96",IF(R63="Forest &amp; Understory",".97",IF(R63="Moist Open",".98",IF(R63="Moist Shady",".96",IF(R63="Sub-Alpine","1.0")))))))</f>
        <v>.96</v>
      </c>
      <c r="CC63" s="76" t="str">
        <f>IF(S63="Local Endemic",".50",IF(S63="Regional Endemic",".70",IF(S63="Cascadia",".90",IF(S63="Rocky Mountain",".95",IF(S63="North America",".99")))))</f>
        <v>.99</v>
      </c>
      <c r="CD63" s="4"/>
      <c r="CE63" s="21">
        <f>IF(W63&gt;3,3,W63)</f>
        <v>3</v>
      </c>
      <c r="CF63" s="21">
        <f>IF(AC63&gt;102,102,AC63)</f>
        <v>19.100000000000001</v>
      </c>
      <c r="CG63" s="34">
        <f ca="1">IF(AI63&lt;$AW$4,$AW$4,AI63)</f>
        <v>2019</v>
      </c>
      <c r="CH63" s="34">
        <f ca="1">IF(AJ63&lt;$AW$4,$AW$4,AJ63)</f>
        <v>2019</v>
      </c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</row>
    <row r="64" spans="1:115" s="13" customFormat="1" ht="15" customHeight="1" x14ac:dyDescent="0.3">
      <c r="A64" s="235"/>
      <c r="B64" s="218"/>
      <c r="C64" s="226">
        <v>2</v>
      </c>
      <c r="D64" s="104" t="s">
        <v>2505</v>
      </c>
      <c r="E64" s="104" t="s">
        <v>2501</v>
      </c>
      <c r="F64" s="400">
        <f ca="1">IF(BC64&lt;2025, "Extinct&lt; 6Yrs?",BA64)</f>
        <v>2043.4509166963755</v>
      </c>
      <c r="G64" s="369" t="s">
        <v>525</v>
      </c>
      <c r="H64" s="369" t="s">
        <v>4028</v>
      </c>
      <c r="I64" s="370" t="s">
        <v>1879</v>
      </c>
      <c r="J64" s="371" t="s">
        <v>3846</v>
      </c>
      <c r="K64" s="371" t="s">
        <v>854</v>
      </c>
      <c r="L64" s="106" t="s">
        <v>1766</v>
      </c>
      <c r="M64" s="111" t="s">
        <v>4145</v>
      </c>
      <c r="N64" s="111" t="s">
        <v>5037</v>
      </c>
      <c r="O64" s="111" t="s">
        <v>5936</v>
      </c>
      <c r="P64" s="105" t="s">
        <v>285</v>
      </c>
      <c r="Q64" s="104" t="s">
        <v>2503</v>
      </c>
      <c r="R64" s="105" t="s">
        <v>2498</v>
      </c>
      <c r="S64" s="105" t="s">
        <v>2309</v>
      </c>
      <c r="T64" s="133" t="str">
        <f>IF(R64="Bogs Ponds Streams","20",IF(R64="Coastal Areas","26",IF(R64="Meadows Dry Open","10",IF(R64="Forest &amp; Understory","14",IF(R64="Moist Open","12",IF(R64="Moist Shady","10",IF(R64="Sub-Alpine Slopes","0")))))))</f>
        <v>10</v>
      </c>
      <c r="U64" s="133" t="str">
        <f>IF(R64="Bogs Ponds Streams","52",IF(R64="Coastal Areas","51",IF(R64="Meadows Dry Open","53",IF(R64="Forest &amp; Understory","52",IF(R64="Moist Open","50",IF(R64="Moist Shady","46",IF(R64="Sub-Alpine Slopes","40")))))))</f>
        <v>46</v>
      </c>
      <c r="V64" s="133" t="str">
        <f>IF(R64="Bogs Ponds Streams","84",IF(R64="Coastal Areas","76",IF(R64="Meadows Dry Open","96", IF(R64="Forest &amp; Understory","90", IF(R64="Moist Open","88", IF(R64="Moist Shady","82", IF(R64="Sub-Alpine Slopes","80")))))))</f>
        <v>82</v>
      </c>
      <c r="W64" s="104">
        <v>20</v>
      </c>
      <c r="X64" s="104">
        <v>0</v>
      </c>
      <c r="Y64" s="104">
        <v>3500</v>
      </c>
      <c r="Z64" s="104" t="s">
        <v>2519</v>
      </c>
      <c r="AA64" s="104" t="s">
        <v>2518</v>
      </c>
      <c r="AB64" s="104">
        <v>6.8</v>
      </c>
      <c r="AC64" s="107">
        <f>C64+AK64+(0.1)*AL64</f>
        <v>16.2</v>
      </c>
      <c r="AD64" s="113">
        <v>67</v>
      </c>
      <c r="AE64" s="104">
        <v>5</v>
      </c>
      <c r="AF64" s="104">
        <v>5</v>
      </c>
      <c r="AG64" s="104">
        <v>1900</v>
      </c>
      <c r="AH64" s="113">
        <v>0</v>
      </c>
      <c r="AI64" s="104">
        <f>AJ64</f>
        <v>2005</v>
      </c>
      <c r="AJ64" s="108">
        <v>2005</v>
      </c>
      <c r="AK64" s="108">
        <v>12</v>
      </c>
      <c r="AL64" s="108">
        <v>22</v>
      </c>
      <c r="AM64" s="109">
        <v>5</v>
      </c>
      <c r="AN64" s="109">
        <v>1</v>
      </c>
      <c r="AO64" s="110">
        <v>0</v>
      </c>
      <c r="AP64" s="109">
        <v>0</v>
      </c>
      <c r="AQ64" s="109">
        <v>0</v>
      </c>
      <c r="AR64" s="109">
        <v>0</v>
      </c>
      <c r="AS64" s="110">
        <v>0</v>
      </c>
      <c r="AT64" s="109">
        <v>0</v>
      </c>
      <c r="AU64" s="109">
        <v>0</v>
      </c>
      <c r="AV64" s="109">
        <v>0</v>
      </c>
      <c r="AW64" s="110">
        <v>0</v>
      </c>
      <c r="AX64" s="109">
        <v>0</v>
      </c>
      <c r="AY64" s="233"/>
      <c r="AZ64" s="4"/>
      <c r="BA64" s="35">
        <f ca="1">IF(OR(S64="North America",S64="Rocky Mountain"), "Widespread",BC64)</f>
        <v>2043.4509166963755</v>
      </c>
      <c r="BB64" s="4"/>
      <c r="BC64" s="35">
        <f ca="1">IF(BE64&gt;2046, "Abundant",BE64)</f>
        <v>2043.4509166963755</v>
      </c>
      <c r="BD64" s="4"/>
      <c r="BE64" s="81">
        <f ca="1">YEAR($C$13)+(BG64*80)</f>
        <v>2043.4509166963755</v>
      </c>
      <c r="BF64" s="4"/>
      <c r="BG64" s="137">
        <f ca="1">BH64*$BH$14</f>
        <v>0.30563645870469397</v>
      </c>
      <c r="BH64" s="137">
        <f ca="1">(((BJ64+BK64+BM64+BN64)/4)*$BM$11)+(((BP64+BQ64)/2)*$BQ$11)+(((BU64+BV64+BW64)/3)*$BU$11)+(((BY64+BZ64+CA64+CB64+CC64)/5)*$CA$11)</f>
        <v>0.30563645870469397</v>
      </c>
      <c r="BI64" s="4"/>
      <c r="BJ64" s="33">
        <f>AP64/(AM64+AO64)</f>
        <v>0</v>
      </c>
      <c r="BK64" s="33">
        <f>(AN64+AO64)/(AM64+AO64)</f>
        <v>0.2</v>
      </c>
      <c r="BL64" s="4"/>
      <c r="BM64" s="127">
        <f>CF64/102</f>
        <v>0.1588235294117647</v>
      </c>
      <c r="BN64" s="127">
        <f>C64/2</f>
        <v>1</v>
      </c>
      <c r="BO64" s="4"/>
      <c r="BP64" s="127">
        <f>(AK64)/($AW$6)</f>
        <v>0.12121212121212122</v>
      </c>
      <c r="BQ64" s="127">
        <f ca="1">(CH64-$AW$4)/((YEAR($C$13))-$AW$4)</f>
        <v>6.6666666666666666E-2</v>
      </c>
      <c r="BR64" s="127">
        <f>(AL64)/($AW$6)</f>
        <v>0.22222222222222221</v>
      </c>
      <c r="BS64" s="4"/>
      <c r="BT64" s="127"/>
      <c r="BU64" s="127">
        <f ca="1">(CG64-$AW$4)/((YEAR($C$13))-$AW$4)</f>
        <v>6.6666666666666666E-2</v>
      </c>
      <c r="BV64" s="127">
        <f>AE64/5</f>
        <v>1</v>
      </c>
      <c r="BW64" s="127">
        <f>AF64/5</f>
        <v>1</v>
      </c>
      <c r="BX64" s="4"/>
      <c r="BY64" s="148" t="str">
        <f>IF(E64="A",".98",IF(E64="B",".99",IF(E64="C","1.00",IF(E64="D","1.00" ))))</f>
        <v>1.00</v>
      </c>
      <c r="BZ64" s="127">
        <f>(CE64+7)/10</f>
        <v>1</v>
      </c>
      <c r="CA64" s="76" t="str">
        <f>IF(D64="Fern",".97",IF(D64="Grass",".99",IF(D64="Herb",".97",IF(D64="Shrub",".99",IF(D64="Tree","1.00",IF(D64="Vine",".98"))))))</f>
        <v>.97</v>
      </c>
      <c r="CB64" s="149" t="str">
        <f>IF(R64="Bogs Ponds Streams",".96", IF(R64="Coastal Areas",".97",IF(R64="Meadows Dry Open",".96",IF(R64="Forest &amp; Understory",".97",IF(R64="Moist Open",".98",IF(R64="Moist Shady",".96",IF(R64="Sub-Alpine","1.0")))))))</f>
        <v>.96</v>
      </c>
      <c r="CC64" s="76" t="str">
        <f>IF(S64="Local Endemic",".50",IF(S64="Regional Endemic",".70",IF(S64="Cascadia",".90",IF(S64="Rocky Mountain",".95",IF(S64="North America",".99")))))</f>
        <v>.70</v>
      </c>
      <c r="CD64" s="4"/>
      <c r="CE64" s="21">
        <f>IF(W64&gt;3,3,W64)</f>
        <v>3</v>
      </c>
      <c r="CF64" s="21">
        <f>IF(AC64&gt;102,102,AC64)</f>
        <v>16.2</v>
      </c>
      <c r="CG64" s="34">
        <f>IF(AI64&lt;$AW$4,$AW$4,AI64)</f>
        <v>2005</v>
      </c>
      <c r="CH64" s="34">
        <f>IF(AJ64&lt;$AW$4,$AW$4,AJ64)</f>
        <v>2005</v>
      </c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12"/>
    </row>
    <row r="65" spans="1:115" s="13" customFormat="1" ht="15" customHeight="1" x14ac:dyDescent="0.3">
      <c r="A65" s="235"/>
      <c r="B65" s="218"/>
      <c r="C65" s="225">
        <v>8</v>
      </c>
      <c r="D65" s="59" t="s">
        <v>2505</v>
      </c>
      <c r="E65" s="59" t="s">
        <v>2501</v>
      </c>
      <c r="F65" s="397" t="str">
        <f ca="1">IF(BC65&lt;2025, "Extinct&lt; 6Yrs?",BA65)</f>
        <v>Widespread</v>
      </c>
      <c r="G65" s="363" t="s">
        <v>525</v>
      </c>
      <c r="H65" s="363" t="s">
        <v>684</v>
      </c>
      <c r="I65" s="366" t="s">
        <v>1880</v>
      </c>
      <c r="J65" s="365" t="s">
        <v>3464</v>
      </c>
      <c r="K65" s="365" t="s">
        <v>1835</v>
      </c>
      <c r="L65" s="10" t="s">
        <v>1767</v>
      </c>
      <c r="M65" s="8" t="s">
        <v>4146</v>
      </c>
      <c r="N65" s="8" t="s">
        <v>5038</v>
      </c>
      <c r="O65" s="8" t="s">
        <v>5937</v>
      </c>
      <c r="P65" s="9" t="s">
        <v>558</v>
      </c>
      <c r="Q65" s="59" t="s">
        <v>2552</v>
      </c>
      <c r="R65" s="9" t="s">
        <v>2497</v>
      </c>
      <c r="S65" s="9" t="s">
        <v>2479</v>
      </c>
      <c r="T65" s="123" t="str">
        <f>IF(R65="Bogs Ponds Streams","20",IF(R65="Coastal Areas","26",IF(R65="Meadows Dry Open","10",IF(R65="Forest &amp; Understory","14",IF(R65="Moist Open","12",IF(R65="Moist Shady","10",IF(R65="Sub-Alpine Slopes","0")))))))</f>
        <v>12</v>
      </c>
      <c r="U65" s="123" t="str">
        <f>IF(R65="Bogs Ponds Streams","52",IF(R65="Coastal Areas","51",IF(R65="Meadows Dry Open","53",IF(R65="Forest &amp; Understory","52",IF(R65="Moist Open","50",IF(R65="Moist Shady","46",IF(R65="Sub-Alpine Slopes","40")))))))</f>
        <v>50</v>
      </c>
      <c r="V65" s="123" t="str">
        <f>IF(R65="Bogs Ponds Streams","84",IF(R65="Coastal Areas","76",IF(R65="Meadows Dry Open","96", IF(R65="Forest &amp; Understory","90", IF(R65="Moist Open","88", IF(R65="Moist Shady","82", IF(R65="Sub-Alpine Slopes","80")))))))</f>
        <v>88</v>
      </c>
      <c r="W65" s="59">
        <v>20</v>
      </c>
      <c r="X65" s="59">
        <v>0</v>
      </c>
      <c r="Y65" s="59">
        <v>3500</v>
      </c>
      <c r="Z65" s="59" t="s">
        <v>2519</v>
      </c>
      <c r="AA65" s="59" t="s">
        <v>2518</v>
      </c>
      <c r="AB65" s="59">
        <v>6.8</v>
      </c>
      <c r="AC65" s="45">
        <f>C65+AK65+(0.1)*AL65</f>
        <v>15.2</v>
      </c>
      <c r="AD65" s="77">
        <v>86</v>
      </c>
      <c r="AE65" s="59">
        <v>5</v>
      </c>
      <c r="AF65" s="59">
        <v>5</v>
      </c>
      <c r="AG65" s="59">
        <v>1900</v>
      </c>
      <c r="AH65" s="77">
        <v>0</v>
      </c>
      <c r="AI65" s="59">
        <f ca="1">AJ65</f>
        <v>2019</v>
      </c>
      <c r="AJ65" s="18">
        <f ca="1">YEAR(TODAY())</f>
        <v>2019</v>
      </c>
      <c r="AK65" s="18">
        <v>4</v>
      </c>
      <c r="AL65" s="18">
        <v>32</v>
      </c>
      <c r="AM65" s="18">
        <v>1</v>
      </c>
      <c r="AN65" s="18">
        <v>1</v>
      </c>
      <c r="AO65" s="25">
        <v>0</v>
      </c>
      <c r="AP65" s="24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233"/>
      <c r="AZ65" s="4"/>
      <c r="BA65" s="35" t="str">
        <f>IF(OR(S65="North America",S65="Rocky Mountain"), "Widespread",BC65)</f>
        <v>Widespread</v>
      </c>
      <c r="BB65" s="4"/>
      <c r="BC65" s="35" t="str">
        <f ca="1">IF(BE65&gt;2046, "Abundant",BE65)</f>
        <v>Abundant</v>
      </c>
      <c r="BD65" s="4"/>
      <c r="BE65" s="81">
        <f ca="1">YEAR($C$13)+(BG65*80)</f>
        <v>2101.2410837789662</v>
      </c>
      <c r="BF65" s="4"/>
      <c r="BG65" s="137">
        <f ca="1">BH65*$BH$14</f>
        <v>1.0280135472370766</v>
      </c>
      <c r="BH65" s="137">
        <f ca="1">(((BJ65+BK65+BM65+BN65)/4)*$BM$11)+(((BP65+BQ65)/2)*$BQ$11)+(((BU65+BV65+BW65)/3)*$BU$11)+(((BY65+BZ65+CA65+CB65+CC65)/5)*$CA$11)</f>
        <v>1.0280135472370766</v>
      </c>
      <c r="BI65" s="4"/>
      <c r="BJ65" s="33">
        <f>AP65/(AM65+AO65)</f>
        <v>0</v>
      </c>
      <c r="BK65" s="33">
        <f>(AN65+AO65)/(AM65+AO65)</f>
        <v>1</v>
      </c>
      <c r="BL65" s="4"/>
      <c r="BM65" s="127">
        <f>CF65/102</f>
        <v>0.14901960784313725</v>
      </c>
      <c r="BN65" s="127">
        <f>C65/2</f>
        <v>4</v>
      </c>
      <c r="BO65" s="4"/>
      <c r="BP65" s="127">
        <f>(AK65)/($AW$6)</f>
        <v>4.0404040404040407E-2</v>
      </c>
      <c r="BQ65" s="127">
        <f ca="1">(CH65-$AW$4)/((YEAR($C$13))-$AW$4)</f>
        <v>1</v>
      </c>
      <c r="BR65" s="127">
        <f>(AL65)/($AW$6)</f>
        <v>0.32323232323232326</v>
      </c>
      <c r="BS65" s="4"/>
      <c r="BT65" s="127"/>
      <c r="BU65" s="127">
        <f ca="1">(CG65-$AW$4)/((YEAR($C$13))-$AW$4)</f>
        <v>1</v>
      </c>
      <c r="BV65" s="127">
        <f>AE65/5</f>
        <v>1</v>
      </c>
      <c r="BW65" s="127">
        <f>AF65/5</f>
        <v>1</v>
      </c>
      <c r="BX65" s="4"/>
      <c r="BY65" s="148" t="str">
        <f>IF(E65="A",".98",IF(E65="B",".99",IF(E65="C","1.00",IF(E65="D","1.00" ))))</f>
        <v>1.00</v>
      </c>
      <c r="BZ65" s="127">
        <f>(CE65+7)/10</f>
        <v>1</v>
      </c>
      <c r="CA65" s="76" t="str">
        <f>IF(D65="Fern",".97",IF(D65="Grass",".99",IF(D65="Herb",".97",IF(D65="Shrub",".99",IF(D65="Tree","1.00",IF(D65="Vine",".98"))))))</f>
        <v>.97</v>
      </c>
      <c r="CB65" s="149" t="str">
        <f>IF(R65="Bogs Ponds Streams",".96", IF(R65="Coastal Areas",".97",IF(R65="Meadows Dry Open",".96",IF(R65="Forest &amp; Understory",".97",IF(R65="Moist Open",".98",IF(R65="Moist Shady",".96",IF(R65="Sub-Alpine","1.0")))))))</f>
        <v>.98</v>
      </c>
      <c r="CC65" s="76" t="str">
        <f>IF(S65="Local Endemic",".50",IF(S65="Regional Endemic",".70",IF(S65="Cascadia",".90",IF(S65="Rocky Mountain",".95",IF(S65="North America",".99")))))</f>
        <v>.95</v>
      </c>
      <c r="CD65" s="4"/>
      <c r="CE65" s="21">
        <f>IF(W65&gt;3,3,W65)</f>
        <v>3</v>
      </c>
      <c r="CF65" s="21">
        <f>IF(AC65&gt;102,102,AC65)</f>
        <v>15.2</v>
      </c>
      <c r="CG65" s="34">
        <f ca="1">IF(AI65&lt;$AW$4,$AW$4,AI65)</f>
        <v>2019</v>
      </c>
      <c r="CH65" s="34">
        <f ca="1">IF(AJ65&lt;$AW$4,$AW$4,AJ65)</f>
        <v>2019</v>
      </c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</row>
    <row r="66" spans="1:115" s="13" customFormat="1" ht="15" customHeight="1" x14ac:dyDescent="0.3">
      <c r="A66" s="235"/>
      <c r="B66" s="218"/>
      <c r="C66" s="226">
        <v>2</v>
      </c>
      <c r="D66" s="104" t="s">
        <v>2505</v>
      </c>
      <c r="E66" s="104" t="s">
        <v>2502</v>
      </c>
      <c r="F66" s="400" t="str">
        <f ca="1">IF(BC66&lt;2025, "Extinct&lt; 6Yrs?",BA66)</f>
        <v>Abundant</v>
      </c>
      <c r="G66" s="369" t="s">
        <v>525</v>
      </c>
      <c r="H66" s="369" t="s">
        <v>4028</v>
      </c>
      <c r="I66" s="370" t="s">
        <v>1881</v>
      </c>
      <c r="J66" s="371" t="s">
        <v>3847</v>
      </c>
      <c r="K66" s="371" t="s">
        <v>33</v>
      </c>
      <c r="L66" s="106" t="s">
        <v>1768</v>
      </c>
      <c r="M66" s="111" t="s">
        <v>4147</v>
      </c>
      <c r="N66" s="111" t="s">
        <v>5039</v>
      </c>
      <c r="O66" s="111" t="s">
        <v>5938</v>
      </c>
      <c r="P66" s="105" t="s">
        <v>558</v>
      </c>
      <c r="Q66" s="104" t="s">
        <v>2552</v>
      </c>
      <c r="R66" s="105" t="s">
        <v>2497</v>
      </c>
      <c r="S66" s="105" t="s">
        <v>2459</v>
      </c>
      <c r="T66" s="133" t="str">
        <f>IF(R66="Bogs Ponds Streams","20",IF(R66="Coastal Areas","26",IF(R66="Meadows Dry Open","10",IF(R66="Forest &amp; Understory","14",IF(R66="Moist Open","12",IF(R66="Moist Shady","10",IF(R66="Sub-Alpine Slopes","0")))))))</f>
        <v>12</v>
      </c>
      <c r="U66" s="133" t="str">
        <f>IF(R66="Bogs Ponds Streams","52",IF(R66="Coastal Areas","51",IF(R66="Meadows Dry Open","53",IF(R66="Forest &amp; Understory","52",IF(R66="Moist Open","50",IF(R66="Moist Shady","46",IF(R66="Sub-Alpine Slopes","40")))))))</f>
        <v>50</v>
      </c>
      <c r="V66" s="133" t="str">
        <f>IF(R66="Bogs Ponds Streams","84",IF(R66="Coastal Areas","76",IF(R66="Meadows Dry Open","96", IF(R66="Forest &amp; Understory","90", IF(R66="Moist Open","88", IF(R66="Moist Shady","82", IF(R66="Sub-Alpine Slopes","80")))))))</f>
        <v>88</v>
      </c>
      <c r="W66" s="104">
        <v>1</v>
      </c>
      <c r="X66" s="104">
        <v>0</v>
      </c>
      <c r="Y66" s="104">
        <v>3500</v>
      </c>
      <c r="Z66" s="104" t="s">
        <v>2519</v>
      </c>
      <c r="AA66" s="104" t="s">
        <v>2518</v>
      </c>
      <c r="AB66" s="104">
        <v>6.8</v>
      </c>
      <c r="AC66" s="107">
        <f>C66+AK66+(0.1)*AL66</f>
        <v>16.3</v>
      </c>
      <c r="AD66" s="113">
        <v>45</v>
      </c>
      <c r="AE66" s="104">
        <v>5</v>
      </c>
      <c r="AF66" s="104">
        <v>5</v>
      </c>
      <c r="AG66" s="104">
        <v>1900</v>
      </c>
      <c r="AH66" s="113">
        <v>0</v>
      </c>
      <c r="AI66" s="104">
        <f>AJ66</f>
        <v>2008</v>
      </c>
      <c r="AJ66" s="108">
        <v>2008</v>
      </c>
      <c r="AK66" s="108">
        <v>14</v>
      </c>
      <c r="AL66" s="108">
        <v>3</v>
      </c>
      <c r="AM66" s="109">
        <v>5</v>
      </c>
      <c r="AN66" s="109">
        <v>1</v>
      </c>
      <c r="AO66" s="110">
        <v>0</v>
      </c>
      <c r="AP66" s="109">
        <v>0</v>
      </c>
      <c r="AQ66" s="109">
        <v>0</v>
      </c>
      <c r="AR66" s="109">
        <v>0</v>
      </c>
      <c r="AS66" s="110">
        <v>0</v>
      </c>
      <c r="AT66" s="109">
        <v>0</v>
      </c>
      <c r="AU66" s="109">
        <v>0</v>
      </c>
      <c r="AV66" s="109">
        <v>0</v>
      </c>
      <c r="AW66" s="110">
        <v>0</v>
      </c>
      <c r="AX66" s="109">
        <v>0</v>
      </c>
      <c r="AY66" s="233"/>
      <c r="AZ66" s="4"/>
      <c r="BA66" s="35" t="str">
        <f ca="1">IF(OR(S66="North America",S66="Rocky Mountain"), "Widespread",BC66)</f>
        <v>Abundant</v>
      </c>
      <c r="BB66" s="4"/>
      <c r="BC66" s="35" t="str">
        <f ca="1">IF(BE66&gt;2046, "Abundant",BE66)</f>
        <v>Abundant</v>
      </c>
      <c r="BD66" s="4"/>
      <c r="BE66" s="81">
        <f ca="1">YEAR($C$13)+(BG66*80)</f>
        <v>2046.5317723113487</v>
      </c>
      <c r="BF66" s="4"/>
      <c r="BG66" s="137">
        <f ca="1">BH66*$BH$14</f>
        <v>0.34414715389185979</v>
      </c>
      <c r="BH66" s="137">
        <f ca="1">(((BJ66+BK66+BM66+BN66)/4)*$BM$11)+(((BP66+BQ66)/2)*$BQ$11)+(((BU66+BV66+BW66)/3)*$BU$11)+(((BY66+BZ66+CA66+CB66+CC66)/5)*$CA$11)</f>
        <v>0.34414715389185979</v>
      </c>
      <c r="BI66" s="4"/>
      <c r="BJ66" s="33">
        <f>AP66/(AM66+AO66)</f>
        <v>0</v>
      </c>
      <c r="BK66" s="33">
        <f>(AN66+AO66)/(AM66+AO66)</f>
        <v>0.2</v>
      </c>
      <c r="BL66" s="4"/>
      <c r="BM66" s="127">
        <f>CF66/102</f>
        <v>0.15980392156862747</v>
      </c>
      <c r="BN66" s="127">
        <f>C66/2</f>
        <v>1</v>
      </c>
      <c r="BO66" s="4"/>
      <c r="BP66" s="127">
        <f>(AK66)/($AW$6)</f>
        <v>0.14141414141414141</v>
      </c>
      <c r="BQ66" s="127">
        <f ca="1">(CH66-$AW$4)/((YEAR($C$13))-$AW$4)</f>
        <v>0.26666666666666666</v>
      </c>
      <c r="BR66" s="127">
        <f>(AL66)/($AW$6)</f>
        <v>3.0303030303030304E-2</v>
      </c>
      <c r="BS66" s="4"/>
      <c r="BT66" s="127"/>
      <c r="BU66" s="127">
        <f ca="1">(CG66-$AW$4)/((YEAR($C$13))-$AW$4)</f>
        <v>0.26666666666666666</v>
      </c>
      <c r="BV66" s="127">
        <f>AE66/5</f>
        <v>1</v>
      </c>
      <c r="BW66" s="127">
        <f>AF66/5</f>
        <v>1</v>
      </c>
      <c r="BX66" s="4"/>
      <c r="BY66" s="148" t="str">
        <f>IF(E66="A",".98",IF(E66="B",".99",IF(E66="C","1.00",IF(E66="D","1.00" ))))</f>
        <v>.98</v>
      </c>
      <c r="BZ66" s="127">
        <f>(CE66+7)/10</f>
        <v>0.8</v>
      </c>
      <c r="CA66" s="76" t="str">
        <f>IF(D66="Fern",".97",IF(D66="Grass",".99",IF(D66="Herb",".97",IF(D66="Shrub",".99",IF(D66="Tree","1.00",IF(D66="Vine",".98"))))))</f>
        <v>.97</v>
      </c>
      <c r="CB66" s="149" t="str">
        <f>IF(R66="Bogs Ponds Streams",".96", IF(R66="Coastal Areas",".97",IF(R66="Meadows Dry Open",".96",IF(R66="Forest &amp; Understory",".97",IF(R66="Moist Open",".98",IF(R66="Moist Shady",".96",IF(R66="Sub-Alpine","1.0")))))))</f>
        <v>.98</v>
      </c>
      <c r="CC66" s="76" t="str">
        <f>IF(S66="Local Endemic",".50",IF(S66="Regional Endemic",".70",IF(S66="Cascadia",".90",IF(S66="Rocky Mountain",".95",IF(S66="North America",".99")))))</f>
        <v>.90</v>
      </c>
      <c r="CD66" s="4"/>
      <c r="CE66" s="21">
        <f>IF(W66&gt;3,3,W66)</f>
        <v>1</v>
      </c>
      <c r="CF66" s="21">
        <f>IF(AC66&gt;102,102,AC66)</f>
        <v>16.3</v>
      </c>
      <c r="CG66" s="34">
        <f>IF(AI66&lt;$AW$4,$AW$4,AI66)</f>
        <v>2008</v>
      </c>
      <c r="CH66" s="34">
        <f>IF(AJ66&lt;$AW$4,$AW$4,AJ66)</f>
        <v>2008</v>
      </c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12"/>
    </row>
    <row r="67" spans="1:115" s="13" customFormat="1" ht="15" customHeight="1" x14ac:dyDescent="0.3">
      <c r="A67" s="235"/>
      <c r="B67" s="218"/>
      <c r="C67" s="375">
        <v>1</v>
      </c>
      <c r="D67" s="67" t="s">
        <v>2505</v>
      </c>
      <c r="E67" s="67" t="s">
        <v>2502</v>
      </c>
      <c r="F67" s="403">
        <f ca="1">IF(BC67&lt;2025, "Extinct&lt; 6Yrs?",BA67)</f>
        <v>2034.3387579322639</v>
      </c>
      <c r="G67" s="376" t="s">
        <v>525</v>
      </c>
      <c r="H67" s="376" t="s">
        <v>4028</v>
      </c>
      <c r="I67" s="380" t="s">
        <v>3034</v>
      </c>
      <c r="J67" s="378" t="s">
        <v>3673</v>
      </c>
      <c r="K67" s="378" t="s">
        <v>855</v>
      </c>
      <c r="L67" s="63" t="s">
        <v>1769</v>
      </c>
      <c r="M67" s="64" t="s">
        <v>4148</v>
      </c>
      <c r="N67" s="64" t="s">
        <v>5040</v>
      </c>
      <c r="O67" s="64" t="s">
        <v>5939</v>
      </c>
      <c r="P67" s="61" t="s">
        <v>558</v>
      </c>
      <c r="Q67" s="67" t="s">
        <v>2559</v>
      </c>
      <c r="R67" s="66" t="s">
        <v>2500</v>
      </c>
      <c r="S67" s="61" t="s">
        <v>2309</v>
      </c>
      <c r="T67" s="134" t="str">
        <f>IF(R67="Bogs Ponds Streams","20",IF(R67="Coastal Areas","26",IF(R67="Meadows Dry Open","10",IF(R67="Forest &amp; Understory","14",IF(R67="Moist Open","12",IF(R67="Moist Shady","10",IF(R67="Sub-Alpine Slopes","0")))))))</f>
        <v>10</v>
      </c>
      <c r="U67" s="134" t="str">
        <f>IF(R67="Bogs Ponds Streams","52",IF(R67="Coastal Areas","51",IF(R67="Meadows Dry Open","53",IF(R67="Forest &amp; Understory","52",IF(R67="Moist Open","50",IF(R67="Moist Shady","46",IF(R67="Sub-Alpine Slopes","40")))))))</f>
        <v>53</v>
      </c>
      <c r="V67" s="134" t="str">
        <f>IF(R67="Bogs Ponds Streams","84",IF(R67="Coastal Areas","76",IF(R67="Meadows Dry Open","96", IF(R67="Forest &amp; Understory","90", IF(R67="Moist Open","88", IF(R67="Moist Shady","82", IF(R67="Sub-Alpine Slopes","80")))))))</f>
        <v>96</v>
      </c>
      <c r="W67" s="67">
        <v>1</v>
      </c>
      <c r="X67" s="67">
        <v>0</v>
      </c>
      <c r="Y67" s="67">
        <v>3500</v>
      </c>
      <c r="Z67" s="67" t="s">
        <v>2519</v>
      </c>
      <c r="AA67" s="67" t="s">
        <v>2518</v>
      </c>
      <c r="AB67" s="67">
        <v>6.8</v>
      </c>
      <c r="AC67" s="85">
        <f>C67+AK67+(0.1)*AL67</f>
        <v>4</v>
      </c>
      <c r="AD67" s="78">
        <v>12</v>
      </c>
      <c r="AE67" s="67">
        <v>5</v>
      </c>
      <c r="AF67" s="67">
        <v>5</v>
      </c>
      <c r="AG67" s="67">
        <v>1900</v>
      </c>
      <c r="AH67" s="78">
        <v>0</v>
      </c>
      <c r="AI67" s="67">
        <f>AJ67</f>
        <v>2007</v>
      </c>
      <c r="AJ67" s="69">
        <v>2007</v>
      </c>
      <c r="AK67" s="69">
        <v>3</v>
      </c>
      <c r="AL67" s="69">
        <v>0</v>
      </c>
      <c r="AM67" s="70">
        <v>5</v>
      </c>
      <c r="AN67" s="70">
        <v>0</v>
      </c>
      <c r="AO67" s="86">
        <v>0</v>
      </c>
      <c r="AP67" s="70">
        <v>0</v>
      </c>
      <c r="AQ67" s="70">
        <v>0</v>
      </c>
      <c r="AR67" s="70">
        <v>0</v>
      </c>
      <c r="AS67" s="86">
        <v>0</v>
      </c>
      <c r="AT67" s="70">
        <v>0</v>
      </c>
      <c r="AU67" s="70">
        <v>0</v>
      </c>
      <c r="AV67" s="70">
        <v>0</v>
      </c>
      <c r="AW67" s="86">
        <v>0</v>
      </c>
      <c r="AX67" s="70">
        <v>0</v>
      </c>
      <c r="AY67" s="233"/>
      <c r="AZ67" s="4"/>
      <c r="BA67" s="35">
        <f ca="1">IF(OR(S67="North America",S67="Rocky Mountain"), "Widespread",BC67)</f>
        <v>2034.3387579322639</v>
      </c>
      <c r="BB67" s="4"/>
      <c r="BC67" s="35">
        <f ca="1">IF(BE67&gt;2046, "Abundant",BE67)</f>
        <v>2034.3387579322639</v>
      </c>
      <c r="BD67" s="4"/>
      <c r="BE67" s="81">
        <f ca="1">YEAR($C$13)+(BG67*80)</f>
        <v>2034.3387579322639</v>
      </c>
      <c r="BF67" s="4"/>
      <c r="BG67" s="137">
        <f ca="1">BH67*$BH$14</f>
        <v>0.19173447415329767</v>
      </c>
      <c r="BH67" s="137">
        <f ca="1">(((BJ67+BK67+BM67+BN67)/4)*$BM$11)+(((BP67+BQ67)/2)*$BQ$11)+(((BU67+BV67+BW67)/3)*$BU$11)+(((BY67+BZ67+CA67+CB67+CC67)/5)*$CA$11)</f>
        <v>0.19173447415329767</v>
      </c>
      <c r="BI67" s="4"/>
      <c r="BJ67" s="33">
        <f>AP67/(AM67+AO67)</f>
        <v>0</v>
      </c>
      <c r="BK67" s="33">
        <f>(AN67+AO67)/(AM67+AO67)</f>
        <v>0</v>
      </c>
      <c r="BL67" s="4"/>
      <c r="BM67" s="127">
        <f>CF67/102</f>
        <v>3.9215686274509803E-2</v>
      </c>
      <c r="BN67" s="127">
        <f>C67/2</f>
        <v>0.5</v>
      </c>
      <c r="BO67" s="4"/>
      <c r="BP67" s="127">
        <f>(AK67)/($AW$6)</f>
        <v>3.0303030303030304E-2</v>
      </c>
      <c r="BQ67" s="127">
        <f ca="1">(CH67-$AW$4)/((YEAR($C$13))-$AW$4)</f>
        <v>0.2</v>
      </c>
      <c r="BR67" s="127">
        <f>(AL67)/($AW$6)</f>
        <v>0</v>
      </c>
      <c r="BS67" s="4"/>
      <c r="BT67" s="127"/>
      <c r="BU67" s="127">
        <f ca="1">(CG67-$AW$4)/((YEAR($C$13))-$AW$4)</f>
        <v>0.2</v>
      </c>
      <c r="BV67" s="127">
        <f>AE67/5</f>
        <v>1</v>
      </c>
      <c r="BW67" s="127">
        <f>AF67/5</f>
        <v>1</v>
      </c>
      <c r="BX67" s="4"/>
      <c r="BY67" s="148" t="str">
        <f>IF(E67="A",".98",IF(E67="B",".99",IF(E67="C","1.00",IF(E67="D","1.00" ))))</f>
        <v>.98</v>
      </c>
      <c r="BZ67" s="127">
        <f>(CE67+7)/10</f>
        <v>0.8</v>
      </c>
      <c r="CA67" s="76" t="str">
        <f>IF(D67="Fern",".97",IF(D67="Grass",".99",IF(D67="Herb",".97",IF(D67="Shrub",".99",IF(D67="Tree","1.00",IF(D67="Vine",".98"))))))</f>
        <v>.97</v>
      </c>
      <c r="CB67" s="149" t="str">
        <f>IF(R67="Bogs Ponds Streams",".96", IF(R67="Coastal Areas",".97",IF(R67="Meadows Dry Open",".96",IF(R67="Forest &amp; Understory",".97",IF(R67="Moist Open",".98",IF(R67="Moist Shady",".96",IF(R67="Sub-Alpine","1.0")))))))</f>
        <v>.96</v>
      </c>
      <c r="CC67" s="76" t="str">
        <f>IF(S67="Local Endemic",".50",IF(S67="Regional Endemic",".70",IF(S67="Cascadia",".90",IF(S67="Rocky Mountain",".95",IF(S67="North America",".99")))))</f>
        <v>.70</v>
      </c>
      <c r="CD67" s="4"/>
      <c r="CE67" s="21">
        <f>IF(W67&gt;3,3,W67)</f>
        <v>1</v>
      </c>
      <c r="CF67" s="21">
        <f>IF(AC67&gt;102,102,AC67)</f>
        <v>4</v>
      </c>
      <c r="CG67" s="34">
        <f>IF(AI67&lt;$AW$4,$AW$4,AI67)</f>
        <v>2007</v>
      </c>
      <c r="CH67" s="34">
        <f>IF(AJ67&lt;$AW$4,$AW$4,AJ67)</f>
        <v>2007</v>
      </c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12"/>
    </row>
    <row r="68" spans="1:115" s="13" customFormat="1" ht="15" customHeight="1" x14ac:dyDescent="0.3">
      <c r="A68" s="235"/>
      <c r="B68" s="218"/>
      <c r="C68" s="375">
        <v>1</v>
      </c>
      <c r="D68" s="67" t="s">
        <v>2505</v>
      </c>
      <c r="E68" s="67" t="s">
        <v>2502</v>
      </c>
      <c r="F68" s="403" t="str">
        <f ca="1">IF(BC68&lt;2025, "Extinct&lt; 6Yrs?",BA68)</f>
        <v>Widespread</v>
      </c>
      <c r="G68" s="376" t="s">
        <v>525</v>
      </c>
      <c r="H68" s="376" t="s">
        <v>4028</v>
      </c>
      <c r="I68" s="380" t="s">
        <v>1882</v>
      </c>
      <c r="J68" s="378" t="s">
        <v>3672</v>
      </c>
      <c r="K68" s="378" t="s">
        <v>34</v>
      </c>
      <c r="L68" s="63" t="s">
        <v>1770</v>
      </c>
      <c r="M68" s="64" t="s">
        <v>4149</v>
      </c>
      <c r="N68" s="64" t="s">
        <v>5041</v>
      </c>
      <c r="O68" s="64" t="s">
        <v>5940</v>
      </c>
      <c r="P68" s="61" t="s">
        <v>558</v>
      </c>
      <c r="Q68" s="67" t="s">
        <v>2552</v>
      </c>
      <c r="R68" s="66" t="s">
        <v>2500</v>
      </c>
      <c r="S68" s="61" t="s">
        <v>2495</v>
      </c>
      <c r="T68" s="134" t="str">
        <f>IF(R68="Bogs Ponds Streams","20",IF(R68="Coastal Areas","26",IF(R68="Meadows Dry Open","10",IF(R68="Forest &amp; Understory","14",IF(R68="Moist Open","12",IF(R68="Moist Shady","10",IF(R68="Sub-Alpine Slopes","0")))))))</f>
        <v>10</v>
      </c>
      <c r="U68" s="134" t="str">
        <f>IF(R68="Bogs Ponds Streams","52",IF(R68="Coastal Areas","51",IF(R68="Meadows Dry Open","53",IF(R68="Forest &amp; Understory","52",IF(R68="Moist Open","50",IF(R68="Moist Shady","46",IF(R68="Sub-Alpine Slopes","40")))))))</f>
        <v>53</v>
      </c>
      <c r="V68" s="134" t="str">
        <f>IF(R68="Bogs Ponds Streams","84",IF(R68="Coastal Areas","76",IF(R68="Meadows Dry Open","96", IF(R68="Forest &amp; Understory","90", IF(R68="Moist Open","88", IF(R68="Moist Shady","82", IF(R68="Sub-Alpine Slopes","80")))))))</f>
        <v>96</v>
      </c>
      <c r="W68" s="67">
        <v>1</v>
      </c>
      <c r="X68" s="67">
        <v>0</v>
      </c>
      <c r="Y68" s="67">
        <v>3500</v>
      </c>
      <c r="Z68" s="67" t="s">
        <v>2519</v>
      </c>
      <c r="AA68" s="67" t="s">
        <v>2518</v>
      </c>
      <c r="AB68" s="67">
        <v>6.8</v>
      </c>
      <c r="AC68" s="85">
        <f>C68+AK68+(0.1)*AL68</f>
        <v>7</v>
      </c>
      <c r="AD68" s="78">
        <v>38</v>
      </c>
      <c r="AE68" s="67">
        <v>5</v>
      </c>
      <c r="AF68" s="67">
        <v>5</v>
      </c>
      <c r="AG68" s="67">
        <v>1900</v>
      </c>
      <c r="AH68" s="78">
        <v>0</v>
      </c>
      <c r="AI68" s="67">
        <f>AJ68</f>
        <v>2009</v>
      </c>
      <c r="AJ68" s="69">
        <v>2009</v>
      </c>
      <c r="AK68" s="69">
        <v>6</v>
      </c>
      <c r="AL68" s="69">
        <v>0</v>
      </c>
      <c r="AM68" s="70">
        <v>5</v>
      </c>
      <c r="AN68" s="70">
        <v>0</v>
      </c>
      <c r="AO68" s="86">
        <v>0</v>
      </c>
      <c r="AP68" s="70">
        <v>0</v>
      </c>
      <c r="AQ68" s="70">
        <v>0</v>
      </c>
      <c r="AR68" s="70">
        <v>0</v>
      </c>
      <c r="AS68" s="86">
        <v>0</v>
      </c>
      <c r="AT68" s="70">
        <v>0</v>
      </c>
      <c r="AU68" s="70">
        <v>0</v>
      </c>
      <c r="AV68" s="70">
        <v>0</v>
      </c>
      <c r="AW68" s="86">
        <v>0</v>
      </c>
      <c r="AX68" s="70">
        <v>0</v>
      </c>
      <c r="AY68" s="233"/>
      <c r="AZ68" s="4"/>
      <c r="BA68" s="35" t="str">
        <f>IF(OR(S68="North America",S68="Rocky Mountain"), "Widespread",BC68)</f>
        <v>Widespread</v>
      </c>
      <c r="BB68" s="4"/>
      <c r="BC68" s="35">
        <f ca="1">IF(BE68&gt;2046, "Abundant",BE68)</f>
        <v>2037.0325799168152</v>
      </c>
      <c r="BD68" s="4"/>
      <c r="BE68" s="81">
        <f ca="1">YEAR($C$13)+(BG68*80)</f>
        <v>2037.0325799168152</v>
      </c>
      <c r="BF68" s="4"/>
      <c r="BG68" s="137">
        <f ca="1">BH68*$BH$14</f>
        <v>0.2254072489601901</v>
      </c>
      <c r="BH68" s="137">
        <f ca="1">(((BJ68+BK68+BM68+BN68)/4)*$BM$11)+(((BP68+BQ68)/2)*$BQ$11)+(((BU68+BV68+BW68)/3)*$BU$11)+(((BY68+BZ68+CA68+CB68+CC68)/5)*$CA$11)</f>
        <v>0.2254072489601901</v>
      </c>
      <c r="BI68" s="4"/>
      <c r="BJ68" s="33">
        <f>AP68/(AM68+AO68)</f>
        <v>0</v>
      </c>
      <c r="BK68" s="33">
        <f>(AN68+AO68)/(AM68+AO68)</f>
        <v>0</v>
      </c>
      <c r="BL68" s="4"/>
      <c r="BM68" s="127">
        <f>CF68/102</f>
        <v>6.8627450980392163E-2</v>
      </c>
      <c r="BN68" s="127">
        <f>C68/2</f>
        <v>0.5</v>
      </c>
      <c r="BO68" s="4"/>
      <c r="BP68" s="127">
        <f>(AK68)/($AW$6)</f>
        <v>6.0606060606060608E-2</v>
      </c>
      <c r="BQ68" s="127">
        <f ca="1">(CH68-$AW$4)/((YEAR($C$13))-$AW$4)</f>
        <v>0.33333333333333331</v>
      </c>
      <c r="BR68" s="127">
        <f>(AL68)/($AW$6)</f>
        <v>0</v>
      </c>
      <c r="BS68" s="4"/>
      <c r="BT68" s="127"/>
      <c r="BU68" s="127">
        <f ca="1">(CG68-$AW$4)/((YEAR($C$13))-$AW$4)</f>
        <v>0.33333333333333331</v>
      </c>
      <c r="BV68" s="127">
        <f>AE68/5</f>
        <v>1</v>
      </c>
      <c r="BW68" s="127">
        <f>AF68/5</f>
        <v>1</v>
      </c>
      <c r="BX68" s="4"/>
      <c r="BY68" s="148" t="str">
        <f>IF(E68="A",".98",IF(E68="B",".99",IF(E68="C","1.00",IF(E68="D","1.00" ))))</f>
        <v>.98</v>
      </c>
      <c r="BZ68" s="127">
        <f>(CE68+7)/10</f>
        <v>0.8</v>
      </c>
      <c r="CA68" s="76" t="str">
        <f>IF(D68="Fern",".97",IF(D68="Grass",".99",IF(D68="Herb",".97",IF(D68="Shrub",".99",IF(D68="Tree","1.00",IF(D68="Vine",".98"))))))</f>
        <v>.97</v>
      </c>
      <c r="CB68" s="149" t="str">
        <f>IF(R68="Bogs Ponds Streams",".96", IF(R68="Coastal Areas",".97",IF(R68="Meadows Dry Open",".96",IF(R68="Forest &amp; Understory",".97",IF(R68="Moist Open",".98",IF(R68="Moist Shady",".96",IF(R68="Sub-Alpine","1.0")))))))</f>
        <v>.96</v>
      </c>
      <c r="CC68" s="76" t="str">
        <f>IF(S68="Local Endemic",".50",IF(S68="Regional Endemic",".70",IF(S68="Cascadia",".90",IF(S68="Rocky Mountain",".95",IF(S68="North America",".99")))))</f>
        <v>.99</v>
      </c>
      <c r="CD68" s="4"/>
      <c r="CE68" s="21">
        <f>IF(W68&gt;3,3,W68)</f>
        <v>1</v>
      </c>
      <c r="CF68" s="21">
        <f>IF(AC68&gt;102,102,AC68)</f>
        <v>7</v>
      </c>
      <c r="CG68" s="34">
        <f>IF(AI68&lt;$AW$4,$AW$4,AI68)</f>
        <v>2009</v>
      </c>
      <c r="CH68" s="34">
        <f>IF(AJ68&lt;$AW$4,$AW$4,AJ68)</f>
        <v>2009</v>
      </c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12"/>
    </row>
    <row r="69" spans="1:115" s="13" customFormat="1" ht="15" customHeight="1" x14ac:dyDescent="0.3">
      <c r="A69" s="235"/>
      <c r="B69" s="218"/>
      <c r="C69" s="225">
        <v>8</v>
      </c>
      <c r="D69" s="59" t="s">
        <v>2505</v>
      </c>
      <c r="E69" s="59" t="s">
        <v>2501</v>
      </c>
      <c r="F69" s="397" t="str">
        <f ca="1">IF(BC69&lt;2025, "Extinct&lt; 6Yrs?",BA69)</f>
        <v>Abundant</v>
      </c>
      <c r="G69" s="363" t="s">
        <v>525</v>
      </c>
      <c r="H69" s="363" t="s">
        <v>678</v>
      </c>
      <c r="I69" s="364" t="s">
        <v>2593</v>
      </c>
      <c r="J69" s="365" t="s">
        <v>3220</v>
      </c>
      <c r="K69" s="365" t="s">
        <v>95</v>
      </c>
      <c r="L69" s="10" t="s">
        <v>1771</v>
      </c>
      <c r="M69" s="8" t="s">
        <v>4150</v>
      </c>
      <c r="N69" s="8" t="s">
        <v>5042</v>
      </c>
      <c r="O69" s="8" t="s">
        <v>5941</v>
      </c>
      <c r="P69" s="8" t="s">
        <v>51</v>
      </c>
      <c r="Q69" s="59" t="s">
        <v>2552</v>
      </c>
      <c r="R69" s="9" t="s">
        <v>2500</v>
      </c>
      <c r="S69" s="10" t="s">
        <v>2316</v>
      </c>
      <c r="T69" s="123" t="str">
        <f>IF(R69="Bogs Ponds Streams","20",IF(R69="Coastal Areas","26",IF(R69="Meadows Dry Open","10",IF(R69="Forest &amp; Understory","14",IF(R69="Moist Open","12",IF(R69="Moist Shady","10",IF(R69="Sub-Alpine Slopes","0")))))))</f>
        <v>10</v>
      </c>
      <c r="U69" s="123" t="str">
        <f>IF(R69="Bogs Ponds Streams","52",IF(R69="Coastal Areas","51",IF(R69="Meadows Dry Open","53",IF(R69="Forest &amp; Understory","52",IF(R69="Moist Open","50",IF(R69="Moist Shady","46",IF(R69="Sub-Alpine Slopes","40")))))))</f>
        <v>53</v>
      </c>
      <c r="V69" s="123" t="str">
        <f>IF(R69="Bogs Ponds Streams","84",IF(R69="Coastal Areas","76",IF(R69="Meadows Dry Open","96", IF(R69="Forest &amp; Understory","90", IF(R69="Moist Open","88", IF(R69="Moist Shady","82", IF(R69="Sub-Alpine Slopes","80")))))))</f>
        <v>96</v>
      </c>
      <c r="W69" s="59">
        <v>20</v>
      </c>
      <c r="X69" s="59">
        <v>0</v>
      </c>
      <c r="Y69" s="59">
        <v>3500</v>
      </c>
      <c r="Z69" s="59" t="s">
        <v>2519</v>
      </c>
      <c r="AA69" s="59" t="s">
        <v>2518</v>
      </c>
      <c r="AB69" s="59">
        <v>6.8</v>
      </c>
      <c r="AC69" s="45">
        <f>C69+AK69+(0.1)*AL69</f>
        <v>18</v>
      </c>
      <c r="AD69" s="77">
        <v>42</v>
      </c>
      <c r="AE69" s="59">
        <v>5</v>
      </c>
      <c r="AF69" s="59">
        <v>5</v>
      </c>
      <c r="AG69" s="59">
        <v>1900</v>
      </c>
      <c r="AH69" s="77">
        <v>0</v>
      </c>
      <c r="AI69" s="59">
        <f ca="1">AJ69</f>
        <v>2019</v>
      </c>
      <c r="AJ69" s="18">
        <f ca="1">YEAR(TODAY())</f>
        <v>2019</v>
      </c>
      <c r="AK69" s="18">
        <v>10</v>
      </c>
      <c r="AL69" s="18">
        <v>0</v>
      </c>
      <c r="AM69" s="18">
        <v>1</v>
      </c>
      <c r="AN69" s="18">
        <v>1</v>
      </c>
      <c r="AO69" s="18">
        <v>5</v>
      </c>
      <c r="AP69" s="18">
        <v>1</v>
      </c>
      <c r="AQ69" s="18">
        <v>0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233"/>
      <c r="AZ69" s="4"/>
      <c r="BA69" s="35" t="str">
        <f ca="1">IF(OR(S69="North America",S69="Rocky Mountain"), "Widespread",BC69)</f>
        <v>Abundant</v>
      </c>
      <c r="BB69" s="4"/>
      <c r="BC69" s="35" t="str">
        <f ca="1">IF(BE69&gt;2046, "Abundant",BE69)</f>
        <v>Abundant</v>
      </c>
      <c r="BD69" s="4"/>
      <c r="BE69" s="81">
        <f ca="1">YEAR($C$13)+(BG69*80)</f>
        <v>2104.1473682709448</v>
      </c>
      <c r="BF69" s="4"/>
      <c r="BG69" s="137">
        <f ca="1">BH69*$BH$14</f>
        <v>1.0643421033868092</v>
      </c>
      <c r="BH69" s="137">
        <f ca="1">(((BJ69+BK69+BM69+BN69)/4)*$BM$11)+(((BP69+BQ69)/2)*$BQ$11)+(((BU69+BV69+BW69)/3)*$BU$11)+(((BY69+BZ69+CA69+CB69+CC69)/5)*$CA$11)</f>
        <v>1.0643421033868092</v>
      </c>
      <c r="BI69" s="4"/>
      <c r="BJ69" s="33">
        <f>AP69/(AM69+AO69)</f>
        <v>0.16666666666666666</v>
      </c>
      <c r="BK69" s="33">
        <f>(AN69+AO69)/(AM69+AO69)</f>
        <v>1</v>
      </c>
      <c r="BL69" s="4"/>
      <c r="BM69" s="127">
        <f>CF69/102</f>
        <v>0.17647058823529413</v>
      </c>
      <c r="BN69" s="127">
        <f>C69/2</f>
        <v>4</v>
      </c>
      <c r="BO69" s="4"/>
      <c r="BP69" s="127">
        <f>(AK69)/($AW$6)</f>
        <v>0.10101010101010101</v>
      </c>
      <c r="BQ69" s="127">
        <f ca="1">(CH69-$AW$4)/((YEAR($C$13))-$AW$4)</f>
        <v>1</v>
      </c>
      <c r="BR69" s="127">
        <f>(AL69)/($AW$6)</f>
        <v>0</v>
      </c>
      <c r="BS69" s="4"/>
      <c r="BT69" s="127"/>
      <c r="BU69" s="127">
        <f ca="1">(CG69-$AW$4)/((YEAR($C$13))-$AW$4)</f>
        <v>1</v>
      </c>
      <c r="BV69" s="127">
        <f>AE69/5</f>
        <v>1</v>
      </c>
      <c r="BW69" s="127">
        <f>AF69/5</f>
        <v>1</v>
      </c>
      <c r="BX69" s="4"/>
      <c r="BY69" s="148" t="str">
        <f>IF(E69="A",".98",IF(E69="B",".99",IF(E69="C","1.00",IF(E69="D","1.00" ))))</f>
        <v>1.00</v>
      </c>
      <c r="BZ69" s="127">
        <f>(CE69+7)/10</f>
        <v>1</v>
      </c>
      <c r="CA69" s="76" t="str">
        <f>IF(D69="Fern",".97",IF(D69="Grass",".99",IF(D69="Herb",".97",IF(D69="Shrub",".99",IF(D69="Tree","1.00",IF(D69="Vine",".98"))))))</f>
        <v>.97</v>
      </c>
      <c r="CB69" s="149" t="str">
        <f>IF(R69="Bogs Ponds Streams",".96", IF(R69="Coastal Areas",".97",IF(R69="Meadows Dry Open",".96",IF(R69="Forest &amp; Understory",".97",IF(R69="Moist Open",".98",IF(R69="Moist Shady",".96",IF(R69="Sub-Alpine","1.0")))))))</f>
        <v>.96</v>
      </c>
      <c r="CC69" s="76" t="str">
        <f>IF(S69="Local Endemic",".50",IF(S69="Regional Endemic",".70",IF(S69="Cascadia",".90",IF(S69="Rocky Mountain",".95",IF(S69="North America",".99")))))</f>
        <v>.50</v>
      </c>
      <c r="CD69" s="4"/>
      <c r="CE69" s="21">
        <f>IF(W69&gt;3,3,W69)</f>
        <v>3</v>
      </c>
      <c r="CF69" s="21">
        <f>IF(AC69&gt;102,102,AC69)</f>
        <v>18</v>
      </c>
      <c r="CG69" s="34">
        <f ca="1">IF(AI69&lt;$AW$4,$AW$4,AI69)</f>
        <v>2019</v>
      </c>
      <c r="CH69" s="34">
        <f ca="1">IF(AJ69&lt;$AW$4,$AW$4,AJ69)</f>
        <v>2019</v>
      </c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</row>
    <row r="70" spans="1:115" s="13" customFormat="1" ht="15" customHeight="1" x14ac:dyDescent="0.3">
      <c r="A70" s="235"/>
      <c r="B70" s="218"/>
      <c r="C70" s="375">
        <v>1</v>
      </c>
      <c r="D70" s="67" t="s">
        <v>2505</v>
      </c>
      <c r="E70" s="67" t="s">
        <v>2501</v>
      </c>
      <c r="F70" s="403" t="str">
        <f ca="1">IF(BC70&lt;2025, "Extinct&lt; 6Yrs?",BA70)</f>
        <v>Widespread</v>
      </c>
      <c r="G70" s="376" t="s">
        <v>525</v>
      </c>
      <c r="H70" s="376" t="s">
        <v>4028</v>
      </c>
      <c r="I70" s="378" t="s">
        <v>2594</v>
      </c>
      <c r="J70" s="378" t="s">
        <v>3671</v>
      </c>
      <c r="K70" s="378" t="s">
        <v>2739</v>
      </c>
      <c r="L70" s="63" t="s">
        <v>2102</v>
      </c>
      <c r="M70" s="64" t="s">
        <v>4151</v>
      </c>
      <c r="N70" s="64" t="s">
        <v>5043</v>
      </c>
      <c r="O70" s="64" t="s">
        <v>5942</v>
      </c>
      <c r="P70" s="61" t="s">
        <v>51</v>
      </c>
      <c r="Q70" s="67" t="s">
        <v>2552</v>
      </c>
      <c r="R70" s="61" t="s">
        <v>2500</v>
      </c>
      <c r="S70" s="61" t="s">
        <v>2495</v>
      </c>
      <c r="T70" s="134" t="str">
        <f>IF(R70="Bogs Ponds Streams","20",IF(R70="Coastal Areas","26",IF(R70="Meadows Dry Open","10",IF(R70="Forest &amp; Understory","14",IF(R70="Moist Open","12",IF(R70="Moist Shady","10",IF(R70="Sub-Alpine Slopes","0")))))))</f>
        <v>10</v>
      </c>
      <c r="U70" s="134" t="str">
        <f>IF(R70="Bogs Ponds Streams","52",IF(R70="Coastal Areas","51",IF(R70="Meadows Dry Open","53",IF(R70="Forest &amp; Understory","52",IF(R70="Moist Open","50",IF(R70="Moist Shady","46",IF(R70="Sub-Alpine Slopes","40")))))))</f>
        <v>53</v>
      </c>
      <c r="V70" s="134" t="str">
        <f>IF(R70="Bogs Ponds Streams","84",IF(R70="Coastal Areas","76",IF(R70="Meadows Dry Open","96", IF(R70="Forest &amp; Understory","90", IF(R70="Moist Open","88", IF(R70="Moist Shady","82", IF(R70="Sub-Alpine Slopes","80")))))))</f>
        <v>96</v>
      </c>
      <c r="W70" s="67">
        <v>20</v>
      </c>
      <c r="X70" s="67">
        <v>0</v>
      </c>
      <c r="Y70" s="67">
        <v>3500</v>
      </c>
      <c r="Z70" s="67" t="s">
        <v>2519</v>
      </c>
      <c r="AA70" s="67" t="s">
        <v>2518</v>
      </c>
      <c r="AB70" s="67">
        <v>6.8</v>
      </c>
      <c r="AC70" s="85">
        <f>C70+AK70+(0.1)*AL70</f>
        <v>11.4</v>
      </c>
      <c r="AD70" s="78">
        <v>62</v>
      </c>
      <c r="AE70" s="67">
        <v>5</v>
      </c>
      <c r="AF70" s="67">
        <v>5</v>
      </c>
      <c r="AG70" s="67">
        <v>1900</v>
      </c>
      <c r="AH70" s="78">
        <v>0</v>
      </c>
      <c r="AI70" s="67">
        <f>AJ70</f>
        <v>1994</v>
      </c>
      <c r="AJ70" s="69">
        <v>1994</v>
      </c>
      <c r="AK70" s="69">
        <v>9</v>
      </c>
      <c r="AL70" s="69">
        <v>14</v>
      </c>
      <c r="AM70" s="70">
        <v>5</v>
      </c>
      <c r="AN70" s="70">
        <v>0</v>
      </c>
      <c r="AO70" s="86">
        <v>0</v>
      </c>
      <c r="AP70" s="70">
        <v>0</v>
      </c>
      <c r="AQ70" s="70">
        <v>0</v>
      </c>
      <c r="AR70" s="70">
        <v>0</v>
      </c>
      <c r="AS70" s="86">
        <v>0</v>
      </c>
      <c r="AT70" s="70">
        <v>0</v>
      </c>
      <c r="AU70" s="70">
        <v>0</v>
      </c>
      <c r="AV70" s="70">
        <v>0</v>
      </c>
      <c r="AW70" s="86">
        <v>0</v>
      </c>
      <c r="AX70" s="70">
        <v>0</v>
      </c>
      <c r="AY70" s="233"/>
      <c r="AZ70" s="4"/>
      <c r="BA70" s="35" t="str">
        <f>IF(OR(S70="North America",S70="Rocky Mountain"), "Widespread",BC70)</f>
        <v>Widespread</v>
      </c>
      <c r="BB70" s="4"/>
      <c r="BC70" s="35">
        <f ca="1">IF(BE70&gt;2046, "Abundant",BE70)</f>
        <v>2033.273152228164</v>
      </c>
      <c r="BD70" s="4"/>
      <c r="BE70" s="81">
        <f ca="1">YEAR($C$13)+(BG70*80)</f>
        <v>2033.273152228164</v>
      </c>
      <c r="BF70" s="4"/>
      <c r="BG70" s="137">
        <f ca="1">BH70*$BH$14</f>
        <v>0.17841440285204993</v>
      </c>
      <c r="BH70" s="137">
        <f ca="1">(((BJ70+BK70+BM70+BN70)/4)*$BM$11)+(((BP70+BQ70)/2)*$BQ$11)+(((BU70+BV70+BW70)/3)*$BU$11)+(((BY70+BZ70+CA70+CB70+CC70)/5)*$CA$11)</f>
        <v>0.17841440285204993</v>
      </c>
      <c r="BI70" s="4"/>
      <c r="BJ70" s="33">
        <f>AP70/(AM70+AO70)</f>
        <v>0</v>
      </c>
      <c r="BK70" s="33">
        <f>(AN70+AO70)/(AM70+AO70)</f>
        <v>0</v>
      </c>
      <c r="BL70" s="4"/>
      <c r="BM70" s="127">
        <f>CF70/102</f>
        <v>0.11176470588235295</v>
      </c>
      <c r="BN70" s="127">
        <f>C70/2</f>
        <v>0.5</v>
      </c>
      <c r="BO70" s="4"/>
      <c r="BP70" s="127">
        <f>(AK70)/($AW$6)</f>
        <v>9.0909090909090912E-2</v>
      </c>
      <c r="BQ70" s="127">
        <f ca="1">(CH70-$AW$4)/((YEAR($C$13))-$AW$4)</f>
        <v>0</v>
      </c>
      <c r="BR70" s="127">
        <f>(AL70)/($AW$6)</f>
        <v>0.14141414141414141</v>
      </c>
      <c r="BS70" s="4"/>
      <c r="BT70" s="127"/>
      <c r="BU70" s="127">
        <f ca="1">(CG70-$AW$4)/((YEAR($C$13))-$AW$4)</f>
        <v>0</v>
      </c>
      <c r="BV70" s="127">
        <f>AE70/5</f>
        <v>1</v>
      </c>
      <c r="BW70" s="127">
        <f>AF70/5</f>
        <v>1</v>
      </c>
      <c r="BX70" s="4"/>
      <c r="BY70" s="148" t="str">
        <f>IF(E70="A",".98",IF(E70="B",".99",IF(E70="C","1.00",IF(E70="D","1.00" ))))</f>
        <v>1.00</v>
      </c>
      <c r="BZ70" s="127">
        <f>(CE70+7)/10</f>
        <v>1</v>
      </c>
      <c r="CA70" s="76" t="str">
        <f>IF(D70="Fern",".97",IF(D70="Grass",".99",IF(D70="Herb",".97",IF(D70="Shrub",".99",IF(D70="Tree","1.00",IF(D70="Vine",".98"))))))</f>
        <v>.97</v>
      </c>
      <c r="CB70" s="149" t="str">
        <f>IF(R70="Bogs Ponds Streams",".96", IF(R70="Coastal Areas",".97",IF(R70="Meadows Dry Open",".96",IF(R70="Forest &amp; Understory",".97",IF(R70="Moist Open",".98",IF(R70="Moist Shady",".96",IF(R70="Sub-Alpine","1.0")))))))</f>
        <v>.96</v>
      </c>
      <c r="CC70" s="76" t="str">
        <f>IF(S70="Local Endemic",".50",IF(S70="Regional Endemic",".70",IF(S70="Cascadia",".90",IF(S70="Rocky Mountain",".95",IF(S70="North America",".99")))))</f>
        <v>.99</v>
      </c>
      <c r="CD70" s="4"/>
      <c r="CE70" s="21">
        <f>IF(W70&gt;3,3,W70)</f>
        <v>3</v>
      </c>
      <c r="CF70" s="21">
        <f>IF(AC70&gt;102,102,AC70)</f>
        <v>11.4</v>
      </c>
      <c r="CG70" s="34">
        <f>IF(AI70&lt;$AW$4,$AW$4,AI70)</f>
        <v>2004</v>
      </c>
      <c r="CH70" s="34">
        <f>IF(AJ70&lt;$AW$4,$AW$4,AJ70)</f>
        <v>2004</v>
      </c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12"/>
    </row>
    <row r="71" spans="1:115" s="13" customFormat="1" ht="15" customHeight="1" x14ac:dyDescent="0.3">
      <c r="A71" s="235"/>
      <c r="B71" s="218"/>
      <c r="C71" s="225">
        <v>8</v>
      </c>
      <c r="D71" s="59" t="s">
        <v>2505</v>
      </c>
      <c r="E71" s="59" t="s">
        <v>2501</v>
      </c>
      <c r="F71" s="397" t="str">
        <f ca="1">IF(BC71&lt;2025, "Extinct&lt; 6Yrs?",BA71)</f>
        <v>Widespread</v>
      </c>
      <c r="G71" s="363" t="s">
        <v>525</v>
      </c>
      <c r="H71" s="363" t="s">
        <v>690</v>
      </c>
      <c r="I71" s="365" t="s">
        <v>2595</v>
      </c>
      <c r="J71" s="365" t="s">
        <v>3221</v>
      </c>
      <c r="K71" s="365" t="s">
        <v>774</v>
      </c>
      <c r="L71" s="17" t="s">
        <v>2103</v>
      </c>
      <c r="M71" s="8" t="s">
        <v>4152</v>
      </c>
      <c r="N71" s="8" t="s">
        <v>5044</v>
      </c>
      <c r="O71" s="8" t="s">
        <v>5943</v>
      </c>
      <c r="P71" s="8" t="s">
        <v>51</v>
      </c>
      <c r="Q71" s="59" t="s">
        <v>2552</v>
      </c>
      <c r="R71" s="9" t="s">
        <v>2500</v>
      </c>
      <c r="S71" s="9" t="s">
        <v>2479</v>
      </c>
      <c r="T71" s="123" t="str">
        <f>IF(R71="Bogs Ponds Streams","20",IF(R71="Coastal Areas","26",IF(R71="Meadows Dry Open","10",IF(R71="Forest &amp; Understory","14",IF(R71="Moist Open","12",IF(R71="Moist Shady","10",IF(R71="Sub-Alpine Slopes","0")))))))</f>
        <v>10</v>
      </c>
      <c r="U71" s="123" t="str">
        <f>IF(R71="Bogs Ponds Streams","52",IF(R71="Coastal Areas","51",IF(R71="Meadows Dry Open","53",IF(R71="Forest &amp; Understory","52",IF(R71="Moist Open","50",IF(R71="Moist Shady","46",IF(R71="Sub-Alpine Slopes","40")))))))</f>
        <v>53</v>
      </c>
      <c r="V71" s="123" t="str">
        <f>IF(R71="Bogs Ponds Streams","84",IF(R71="Coastal Areas","76",IF(R71="Meadows Dry Open","96", IF(R71="Forest &amp; Understory","90", IF(R71="Moist Open","88", IF(R71="Moist Shady","82", IF(R71="Sub-Alpine Slopes","80")))))))</f>
        <v>96</v>
      </c>
      <c r="W71" s="59">
        <v>20</v>
      </c>
      <c r="X71" s="59">
        <v>0</v>
      </c>
      <c r="Y71" s="59">
        <v>3500</v>
      </c>
      <c r="Z71" s="59" t="s">
        <v>2519</v>
      </c>
      <c r="AA71" s="59" t="s">
        <v>2518</v>
      </c>
      <c r="AB71" s="59">
        <v>6.8</v>
      </c>
      <c r="AC71" s="45">
        <f>C71+AK71+(0.1)*AL71</f>
        <v>23.3</v>
      </c>
      <c r="AD71" s="77">
        <v>197</v>
      </c>
      <c r="AE71" s="59">
        <v>5</v>
      </c>
      <c r="AF71" s="59">
        <v>5</v>
      </c>
      <c r="AG71" s="59">
        <v>1900</v>
      </c>
      <c r="AH71" s="77">
        <v>0</v>
      </c>
      <c r="AI71" s="59">
        <f ca="1">AJ71</f>
        <v>2019</v>
      </c>
      <c r="AJ71" s="18">
        <f ca="1">YEAR(TODAY())</f>
        <v>2019</v>
      </c>
      <c r="AK71" s="18">
        <v>12</v>
      </c>
      <c r="AL71" s="18">
        <v>33</v>
      </c>
      <c r="AM71" s="18">
        <v>1</v>
      </c>
      <c r="AN71" s="18">
        <v>1</v>
      </c>
      <c r="AO71" s="25">
        <v>0</v>
      </c>
      <c r="AP71" s="24">
        <v>0</v>
      </c>
      <c r="AQ71" s="18">
        <v>0</v>
      </c>
      <c r="AR71" s="18">
        <v>0</v>
      </c>
      <c r="AS71" s="18">
        <v>0</v>
      </c>
      <c r="AT71" s="18">
        <v>0</v>
      </c>
      <c r="AU71" s="18">
        <v>0</v>
      </c>
      <c r="AV71" s="18">
        <v>0</v>
      </c>
      <c r="AW71" s="18">
        <v>0</v>
      </c>
      <c r="AX71" s="18">
        <v>0</v>
      </c>
      <c r="AY71" s="233"/>
      <c r="AZ71" s="4"/>
      <c r="BA71" s="35" t="str">
        <f>IF(OR(S71="North America",S71="Rocky Mountain"), "Widespread",BC71)</f>
        <v>Widespread</v>
      </c>
      <c r="BB71" s="4"/>
      <c r="BC71" s="35" t="str">
        <f ca="1">IF(BE71&gt;2046, "Abundant",BE71)</f>
        <v>Abundant</v>
      </c>
      <c r="BD71" s="4"/>
      <c r="BE71" s="81">
        <f ca="1">YEAR($C$13)+(BG71*80)</f>
        <v>2103.1573219251336</v>
      </c>
      <c r="BF71" s="4"/>
      <c r="BG71" s="137">
        <f ca="1">BH71*$BH$14</f>
        <v>1.0519665240641711</v>
      </c>
      <c r="BH71" s="137">
        <f ca="1">(((BJ71+BK71+BM71+BN71)/4)*$BM$11)+(((BP71+BQ71)/2)*$BQ$11)+(((BU71+BV71+BW71)/3)*$BU$11)+(((BY71+BZ71+CA71+CB71+CC71)/5)*$CA$11)</f>
        <v>1.0519665240641711</v>
      </c>
      <c r="BI71" s="4"/>
      <c r="BJ71" s="33">
        <f>AP71/(AM71+AO71)</f>
        <v>0</v>
      </c>
      <c r="BK71" s="33">
        <f>(AN71+AO71)/(AM71+AO71)</f>
        <v>1</v>
      </c>
      <c r="BL71" s="4"/>
      <c r="BM71" s="127">
        <f>CF71/102</f>
        <v>0.2284313725490196</v>
      </c>
      <c r="BN71" s="127">
        <f>C71/2</f>
        <v>4</v>
      </c>
      <c r="BO71" s="4"/>
      <c r="BP71" s="127">
        <f>(AK71)/($AW$6)</f>
        <v>0.12121212121212122</v>
      </c>
      <c r="BQ71" s="127">
        <f ca="1">(CH71-$AW$4)/((YEAR($C$13))-$AW$4)</f>
        <v>1</v>
      </c>
      <c r="BR71" s="127">
        <f>(AL71)/($AW$6)</f>
        <v>0.33333333333333331</v>
      </c>
      <c r="BS71" s="4"/>
      <c r="BT71" s="127"/>
      <c r="BU71" s="127">
        <f ca="1">(CG71-$AW$4)/((YEAR($C$13))-$AW$4)</f>
        <v>1</v>
      </c>
      <c r="BV71" s="127">
        <f>AE71/5</f>
        <v>1</v>
      </c>
      <c r="BW71" s="127">
        <f>AF71/5</f>
        <v>1</v>
      </c>
      <c r="BX71" s="4"/>
      <c r="BY71" s="148" t="str">
        <f>IF(E71="A",".98",IF(E71="B",".99",IF(E71="C","1.00",IF(E71="D","1.00" ))))</f>
        <v>1.00</v>
      </c>
      <c r="BZ71" s="127">
        <f>(CE71+7)/10</f>
        <v>1</v>
      </c>
      <c r="CA71" s="76" t="str">
        <f>IF(D71="Fern",".97",IF(D71="Grass",".99",IF(D71="Herb",".97",IF(D71="Shrub",".99",IF(D71="Tree","1.00",IF(D71="Vine",".98"))))))</f>
        <v>.97</v>
      </c>
      <c r="CB71" s="149" t="str">
        <f>IF(R71="Bogs Ponds Streams",".96", IF(R71="Coastal Areas",".97",IF(R71="Meadows Dry Open",".96",IF(R71="Forest &amp; Understory",".97",IF(R71="Moist Open",".98",IF(R71="Moist Shady",".96",IF(R71="Sub-Alpine","1.0")))))))</f>
        <v>.96</v>
      </c>
      <c r="CC71" s="76" t="str">
        <f>IF(S71="Local Endemic",".50",IF(S71="Regional Endemic",".70",IF(S71="Cascadia",".90",IF(S71="Rocky Mountain",".95",IF(S71="North America",".99")))))</f>
        <v>.95</v>
      </c>
      <c r="CD71" s="4"/>
      <c r="CE71" s="21">
        <f>IF(W71&gt;3,3,W71)</f>
        <v>3</v>
      </c>
      <c r="CF71" s="21">
        <f>IF(AC71&gt;102,102,AC71)</f>
        <v>23.3</v>
      </c>
      <c r="CG71" s="34">
        <f ca="1">IF(AI71&lt;$AW$4,$AW$4,AI71)</f>
        <v>2019</v>
      </c>
      <c r="CH71" s="34">
        <f ca="1">IF(AJ71&lt;$AW$4,$AW$4,AJ71)</f>
        <v>2019</v>
      </c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12"/>
    </row>
    <row r="72" spans="1:115" s="13" customFormat="1" ht="15" customHeight="1" x14ac:dyDescent="0.3">
      <c r="A72" s="235"/>
      <c r="B72" s="218"/>
      <c r="C72" s="226">
        <v>2</v>
      </c>
      <c r="D72" s="104" t="s">
        <v>2505</v>
      </c>
      <c r="E72" s="104" t="s">
        <v>2503</v>
      </c>
      <c r="F72" s="400" t="str">
        <f ca="1">IF(BC72&lt;2025, "Extinct&lt; 6Yrs?",BA72)</f>
        <v>Widespread</v>
      </c>
      <c r="G72" s="369" t="s">
        <v>525</v>
      </c>
      <c r="H72" s="369" t="s">
        <v>4028</v>
      </c>
      <c r="I72" s="372" t="s">
        <v>2596</v>
      </c>
      <c r="J72" s="371" t="s">
        <v>3845</v>
      </c>
      <c r="K72" s="371" t="s">
        <v>856</v>
      </c>
      <c r="L72" s="114" t="s">
        <v>1772</v>
      </c>
      <c r="M72" s="111" t="s">
        <v>4153</v>
      </c>
      <c r="N72" s="111" t="s">
        <v>5045</v>
      </c>
      <c r="O72" s="111" t="s">
        <v>5944</v>
      </c>
      <c r="P72" s="111" t="s">
        <v>751</v>
      </c>
      <c r="Q72" s="104" t="s">
        <v>2558</v>
      </c>
      <c r="R72" s="105" t="s">
        <v>2500</v>
      </c>
      <c r="S72" s="114" t="s">
        <v>2479</v>
      </c>
      <c r="T72" s="133" t="str">
        <f>IF(R72="Bogs Ponds Streams","20",IF(R72="Coastal Areas","26",IF(R72="Meadows Dry Open","10",IF(R72="Forest &amp; Understory","14",IF(R72="Moist Open","12",IF(R72="Moist Shady","10",IF(R72="Sub-Alpine Slopes","0")))))))</f>
        <v>10</v>
      </c>
      <c r="U72" s="133" t="str">
        <f>IF(R72="Bogs Ponds Streams","52",IF(R72="Coastal Areas","51",IF(R72="Meadows Dry Open","53",IF(R72="Forest &amp; Understory","52",IF(R72="Moist Open","50",IF(R72="Moist Shady","46",IF(R72="Sub-Alpine Slopes","40")))))))</f>
        <v>53</v>
      </c>
      <c r="V72" s="133" t="str">
        <f>IF(R72="Bogs Ponds Streams","84",IF(R72="Coastal Areas","76",IF(R72="Meadows Dry Open","96", IF(R72="Forest &amp; Understory","90", IF(R72="Moist Open","88", IF(R72="Moist Shady","82", IF(R72="Sub-Alpine Slopes","80")))))))</f>
        <v>96</v>
      </c>
      <c r="W72" s="104">
        <v>2</v>
      </c>
      <c r="X72" s="104">
        <v>0</v>
      </c>
      <c r="Y72" s="104">
        <v>3500</v>
      </c>
      <c r="Z72" s="104" t="s">
        <v>2519</v>
      </c>
      <c r="AA72" s="104" t="s">
        <v>2518</v>
      </c>
      <c r="AB72" s="104">
        <v>6.8</v>
      </c>
      <c r="AC72" s="107">
        <f>C72+AK72+(0.1)*AL72</f>
        <v>13.7</v>
      </c>
      <c r="AD72" s="113">
        <v>114</v>
      </c>
      <c r="AE72" s="104">
        <v>5</v>
      </c>
      <c r="AF72" s="104">
        <v>5</v>
      </c>
      <c r="AG72" s="104">
        <v>1900</v>
      </c>
      <c r="AH72" s="113">
        <v>0</v>
      </c>
      <c r="AI72" s="104">
        <f>AJ72</f>
        <v>2004</v>
      </c>
      <c r="AJ72" s="108">
        <v>2004</v>
      </c>
      <c r="AK72" s="108">
        <v>8</v>
      </c>
      <c r="AL72" s="108">
        <v>37</v>
      </c>
      <c r="AM72" s="109">
        <v>5</v>
      </c>
      <c r="AN72" s="109">
        <v>1</v>
      </c>
      <c r="AO72" s="110">
        <v>0</v>
      </c>
      <c r="AP72" s="109">
        <v>0</v>
      </c>
      <c r="AQ72" s="109">
        <v>0</v>
      </c>
      <c r="AR72" s="109">
        <v>0</v>
      </c>
      <c r="AS72" s="110">
        <v>0</v>
      </c>
      <c r="AT72" s="109">
        <v>0</v>
      </c>
      <c r="AU72" s="109">
        <v>0</v>
      </c>
      <c r="AV72" s="109">
        <v>0</v>
      </c>
      <c r="AW72" s="110">
        <v>0</v>
      </c>
      <c r="AX72" s="109">
        <v>0</v>
      </c>
      <c r="AY72" s="233"/>
      <c r="AZ72" s="4"/>
      <c r="BA72" s="35" t="str">
        <f>IF(OR(S72="North America",S72="Rocky Mountain"), "Widespread",BC72)</f>
        <v>Widespread</v>
      </c>
      <c r="BB72" s="4"/>
      <c r="BC72" s="35">
        <f ca="1">IF(BE72&gt;2046, "Abundant",BE72)</f>
        <v>2041.774528342246</v>
      </c>
      <c r="BD72" s="4"/>
      <c r="BE72" s="81">
        <f ca="1">YEAR($C$13)+(BG72*80)</f>
        <v>2041.774528342246</v>
      </c>
      <c r="BF72" s="4"/>
      <c r="BG72" s="137">
        <f ca="1">BH72*$BH$14</f>
        <v>0.28468160427807487</v>
      </c>
      <c r="BH72" s="137">
        <f ca="1">(((BJ72+BK72+BM72+BN72)/4)*$BM$11)+(((BP72+BQ72)/2)*$BQ$11)+(((BU72+BV72+BW72)/3)*$BU$11)+(((BY72+BZ72+CA72+CB72+CC72)/5)*$CA$11)</f>
        <v>0.28468160427807487</v>
      </c>
      <c r="BI72" s="4"/>
      <c r="BJ72" s="33">
        <f>AP72/(AM72+AO72)</f>
        <v>0</v>
      </c>
      <c r="BK72" s="33">
        <f>(AN72+AO72)/(AM72+AO72)</f>
        <v>0.2</v>
      </c>
      <c r="BL72" s="4"/>
      <c r="BM72" s="127">
        <f>CF72/102</f>
        <v>0.13431372549019607</v>
      </c>
      <c r="BN72" s="127">
        <f>C72/2</f>
        <v>1</v>
      </c>
      <c r="BO72" s="4"/>
      <c r="BP72" s="127">
        <f>(AK72)/($AW$6)</f>
        <v>8.0808080808080815E-2</v>
      </c>
      <c r="BQ72" s="127">
        <f ca="1">(CH72-$AW$4)/((YEAR($C$13))-$AW$4)</f>
        <v>0</v>
      </c>
      <c r="BR72" s="127">
        <f>(AL72)/($AW$6)</f>
        <v>0.37373737373737376</v>
      </c>
      <c r="BS72" s="4"/>
      <c r="BT72" s="127"/>
      <c r="BU72" s="127">
        <f ca="1">(CG72-$AW$4)/((YEAR($C$13))-$AW$4)</f>
        <v>0</v>
      </c>
      <c r="BV72" s="127">
        <f>AE72/5</f>
        <v>1</v>
      </c>
      <c r="BW72" s="127">
        <f>AF72/5</f>
        <v>1</v>
      </c>
      <c r="BX72" s="4"/>
      <c r="BY72" s="148" t="str">
        <f>IF(E72="A",".98",IF(E72="B",".99",IF(E72="C","1.00",IF(E72="D","1.00" ))))</f>
        <v>.99</v>
      </c>
      <c r="BZ72" s="127">
        <f>(CE72+7)/10</f>
        <v>0.9</v>
      </c>
      <c r="CA72" s="76" t="str">
        <f>IF(D72="Fern",".97",IF(D72="Grass",".99",IF(D72="Herb",".97",IF(D72="Shrub",".99",IF(D72="Tree","1.00",IF(D72="Vine",".98"))))))</f>
        <v>.97</v>
      </c>
      <c r="CB72" s="149" t="str">
        <f>IF(R72="Bogs Ponds Streams",".96", IF(R72="Coastal Areas",".97",IF(R72="Meadows Dry Open",".96",IF(R72="Forest &amp; Understory",".97",IF(R72="Moist Open",".98",IF(R72="Moist Shady",".96",IF(R72="Sub-Alpine","1.0")))))))</f>
        <v>.96</v>
      </c>
      <c r="CC72" s="76" t="str">
        <f>IF(S72="Local Endemic",".50",IF(S72="Regional Endemic",".70",IF(S72="Cascadia",".90",IF(S72="Rocky Mountain",".95",IF(S72="North America",".99")))))</f>
        <v>.95</v>
      </c>
      <c r="CD72" s="4"/>
      <c r="CE72" s="21">
        <f>IF(W72&gt;3,3,W72)</f>
        <v>2</v>
      </c>
      <c r="CF72" s="21">
        <f>IF(AC72&gt;102,102,AC72)</f>
        <v>13.7</v>
      </c>
      <c r="CG72" s="34">
        <f>IF(AI72&lt;$AW$4,$AW$4,AI72)</f>
        <v>2004</v>
      </c>
      <c r="CH72" s="34">
        <f>IF(AJ72&lt;$AW$4,$AW$4,AJ72)</f>
        <v>2004</v>
      </c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</row>
    <row r="73" spans="1:115" s="13" customFormat="1" ht="15" customHeight="1" x14ac:dyDescent="0.3">
      <c r="A73" s="235"/>
      <c r="B73" s="218"/>
      <c r="C73" s="375">
        <v>1</v>
      </c>
      <c r="D73" s="67" t="s">
        <v>2505</v>
      </c>
      <c r="E73" s="67" t="s">
        <v>2502</v>
      </c>
      <c r="F73" s="403" t="str">
        <f ca="1">IF(BC73&lt;2025, "Extinct&lt; 6Yrs?",BA73)</f>
        <v>Widespread</v>
      </c>
      <c r="G73" s="376" t="s">
        <v>525</v>
      </c>
      <c r="H73" s="376" t="s">
        <v>4028</v>
      </c>
      <c r="I73" s="378" t="s">
        <v>2580</v>
      </c>
      <c r="J73" s="378" t="s">
        <v>1320</v>
      </c>
      <c r="K73" s="378" t="s">
        <v>1316</v>
      </c>
      <c r="L73" s="65" t="s">
        <v>2211</v>
      </c>
      <c r="M73" s="64" t="s">
        <v>4154</v>
      </c>
      <c r="N73" s="64" t="s">
        <v>5046</v>
      </c>
      <c r="O73" s="64" t="s">
        <v>5945</v>
      </c>
      <c r="P73" s="61" t="s">
        <v>667</v>
      </c>
      <c r="Q73" s="67" t="s">
        <v>2552</v>
      </c>
      <c r="R73" s="61" t="s">
        <v>2453</v>
      </c>
      <c r="S73" s="164" t="s">
        <v>2479</v>
      </c>
      <c r="T73" s="134" t="str">
        <f>IF(R73="Bogs Ponds Streams","20",IF(R73="Coastal Areas","26",IF(R73="Meadows Dry Open","10",IF(R73="Forest &amp; Understory","14",IF(R73="Moist Open","12",IF(R73="Moist Shady","10",IF(R73="Sub-Alpine Slopes","0")))))))</f>
        <v>26</v>
      </c>
      <c r="U73" s="134" t="str">
        <f>IF(R73="Bogs Ponds Streams","52",IF(R73="Coastal Areas","51",IF(R73="Meadows Dry Open","53",IF(R73="Forest &amp; Understory","52",IF(R73="Moist Open","50",IF(R73="Moist Shady","46",IF(R73="Sub-Alpine Slopes","40")))))))</f>
        <v>51</v>
      </c>
      <c r="V73" s="134" t="str">
        <f>IF(R73="Bogs Ponds Streams","84",IF(R73="Coastal Areas","76",IF(R73="Meadows Dry Open","96", IF(R73="Forest &amp; Understory","90", IF(R73="Moist Open","88", IF(R73="Moist Shady","82", IF(R73="Sub-Alpine Slopes","80")))))))</f>
        <v>76</v>
      </c>
      <c r="W73" s="67">
        <v>1</v>
      </c>
      <c r="X73" s="67">
        <v>0</v>
      </c>
      <c r="Y73" s="67">
        <v>3500</v>
      </c>
      <c r="Z73" s="67" t="s">
        <v>2519</v>
      </c>
      <c r="AA73" s="67" t="s">
        <v>2518</v>
      </c>
      <c r="AB73" s="67">
        <v>6.8</v>
      </c>
      <c r="AC73" s="85">
        <f>C73+AK73+(0.1)*AL73</f>
        <v>12.1</v>
      </c>
      <c r="AD73" s="78">
        <v>59</v>
      </c>
      <c r="AE73" s="68">
        <v>1</v>
      </c>
      <c r="AF73" s="68">
        <v>4</v>
      </c>
      <c r="AG73" s="78">
        <v>1824</v>
      </c>
      <c r="AH73" s="78">
        <v>0</v>
      </c>
      <c r="AI73" s="78">
        <v>2016</v>
      </c>
      <c r="AJ73" s="69">
        <v>2004</v>
      </c>
      <c r="AK73" s="69">
        <v>11</v>
      </c>
      <c r="AL73" s="69">
        <v>1</v>
      </c>
      <c r="AM73" s="70">
        <v>5</v>
      </c>
      <c r="AN73" s="70">
        <v>0</v>
      </c>
      <c r="AO73" s="86">
        <v>0</v>
      </c>
      <c r="AP73" s="70">
        <v>0</v>
      </c>
      <c r="AQ73" s="70">
        <v>0</v>
      </c>
      <c r="AR73" s="70">
        <v>0</v>
      </c>
      <c r="AS73" s="86">
        <v>0</v>
      </c>
      <c r="AT73" s="70">
        <v>0</v>
      </c>
      <c r="AU73" s="70">
        <v>0</v>
      </c>
      <c r="AV73" s="70">
        <v>0</v>
      </c>
      <c r="AW73" s="86">
        <v>0</v>
      </c>
      <c r="AX73" s="70">
        <v>0</v>
      </c>
      <c r="AY73" s="233"/>
      <c r="AZ73" s="4"/>
      <c r="BA73" s="35" t="str">
        <f>IF(OR(S73="North America",S73="Rocky Mountain"), "Widespread",BC73)</f>
        <v>Widespread</v>
      </c>
      <c r="BB73" s="4"/>
      <c r="BC73" s="35">
        <f ca="1">IF(BE73&gt;2046, "Abundant",BE73)</f>
        <v>2033.091262745098</v>
      </c>
      <c r="BD73" s="4"/>
      <c r="BE73" s="81">
        <f ca="1">YEAR($C$13)+(BG73*80)</f>
        <v>2033.091262745098</v>
      </c>
      <c r="BF73" s="4"/>
      <c r="BG73" s="137">
        <f ca="1">BH73*$BH$14</f>
        <v>0.17614078431372548</v>
      </c>
      <c r="BH73" s="137">
        <f ca="1">(((BJ73+BK73+BM73+BN73)/4)*$BM$11)+(((BP73+BQ73)/2)*$BQ$11)+(((BU73+BV73+BW73)/3)*$BU$11)+(((BY73+BZ73+CA73+CB73+CC73)/5)*$CA$11)</f>
        <v>0.17614078431372548</v>
      </c>
      <c r="BI73" s="4"/>
      <c r="BJ73" s="33">
        <f>AP73/(AM73+AO73)</f>
        <v>0</v>
      </c>
      <c r="BK73" s="33">
        <f>(AN73+AO73)/(AM73+AO73)</f>
        <v>0</v>
      </c>
      <c r="BL73" s="4"/>
      <c r="BM73" s="127">
        <f>CF73/102</f>
        <v>0.11862745098039215</v>
      </c>
      <c r="BN73" s="127">
        <f>C73/2</f>
        <v>0.5</v>
      </c>
      <c r="BO73" s="4"/>
      <c r="BP73" s="127">
        <f>(AK73)/($AW$6)</f>
        <v>0.1111111111111111</v>
      </c>
      <c r="BQ73" s="127">
        <f ca="1">(CH73-$AW$4)/((YEAR($C$13))-$AW$4)</f>
        <v>0</v>
      </c>
      <c r="BR73" s="127">
        <f>(AL73)/($AW$6)</f>
        <v>1.0101010101010102E-2</v>
      </c>
      <c r="BS73" s="4"/>
      <c r="BT73" s="127"/>
      <c r="BU73" s="127">
        <f ca="1">(CG73-$AW$4)/((YEAR($C$13))-$AW$4)</f>
        <v>0.8</v>
      </c>
      <c r="BV73" s="127">
        <f>AE73/5</f>
        <v>0.2</v>
      </c>
      <c r="BW73" s="127">
        <f>AF73/5</f>
        <v>0.8</v>
      </c>
      <c r="BX73" s="4"/>
      <c r="BY73" s="148" t="str">
        <f>IF(E73="A",".98",IF(E73="B",".99",IF(E73="C","1.00",IF(E73="D","1.00" ))))</f>
        <v>.98</v>
      </c>
      <c r="BZ73" s="127">
        <f>(CE73+7)/10</f>
        <v>0.8</v>
      </c>
      <c r="CA73" s="76" t="str">
        <f>IF(D73="Fern",".97",IF(D73="Grass",".99",IF(D73="Herb",".97",IF(D73="Shrub",".99",IF(D73="Tree","1.00",IF(D73="Vine",".98"))))))</f>
        <v>.97</v>
      </c>
      <c r="CB73" s="149" t="str">
        <f>IF(R73="Bogs Ponds Streams",".96", IF(R73="Coastal Areas",".97",IF(R73="Meadows Dry Open",".96",IF(R73="Forest &amp; Understory",".97",IF(R73="Moist Open",".98",IF(R73="Moist Shady",".96",IF(R73="Sub-Alpine","1.0")))))))</f>
        <v>.97</v>
      </c>
      <c r="CC73" s="76" t="str">
        <f>IF(S73="Local Endemic",".50",IF(S73="Regional Endemic",".70",IF(S73="Cascadia",".90",IF(S73="Rocky Mountain",".95",IF(S73="North America",".99")))))</f>
        <v>.95</v>
      </c>
      <c r="CD73" s="4"/>
      <c r="CE73" s="21">
        <f>IF(W73&gt;3,3,W73)</f>
        <v>1</v>
      </c>
      <c r="CF73" s="21">
        <f>IF(AC73&gt;102,102,AC73)</f>
        <v>12.1</v>
      </c>
      <c r="CG73" s="34">
        <f>IF(AI73&lt;$AW$4,$AW$4,AI73)</f>
        <v>2016</v>
      </c>
      <c r="CH73" s="34">
        <f>IF(AJ73&lt;$AW$4,$AW$4,AJ73)</f>
        <v>2004</v>
      </c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12"/>
    </row>
    <row r="74" spans="1:115" s="13" customFormat="1" ht="15" customHeight="1" x14ac:dyDescent="0.3">
      <c r="A74" s="235"/>
      <c r="B74" s="218"/>
      <c r="C74" s="375">
        <v>1</v>
      </c>
      <c r="D74" s="67" t="s">
        <v>2505</v>
      </c>
      <c r="E74" s="67" t="s">
        <v>2501</v>
      </c>
      <c r="F74" s="403" t="str">
        <f ca="1">IF(BC74&lt;2025, "Extinct&lt; 6Yrs?",BA74)</f>
        <v>Widespread</v>
      </c>
      <c r="G74" s="376" t="s">
        <v>525</v>
      </c>
      <c r="H74" s="376" t="s">
        <v>4028</v>
      </c>
      <c r="I74" s="380" t="s">
        <v>2208</v>
      </c>
      <c r="J74" s="378" t="s">
        <v>3670</v>
      </c>
      <c r="K74" s="378" t="s">
        <v>1286</v>
      </c>
      <c r="L74" s="63" t="s">
        <v>2210</v>
      </c>
      <c r="M74" s="64" t="s">
        <v>4155</v>
      </c>
      <c r="N74" s="64" t="s">
        <v>5047</v>
      </c>
      <c r="O74" s="64" t="s">
        <v>5946</v>
      </c>
      <c r="P74" s="61" t="s">
        <v>667</v>
      </c>
      <c r="Q74" s="67" t="s">
        <v>2552</v>
      </c>
      <c r="R74" s="163" t="s">
        <v>2497</v>
      </c>
      <c r="S74" s="63" t="s">
        <v>2479</v>
      </c>
      <c r="T74" s="134" t="str">
        <f>IF(R74="Bogs Ponds Streams","20",IF(R74="Coastal Areas","26",IF(R74="Meadows Dry Open","10",IF(R74="Forest &amp; Understory","14",IF(R74="Moist Open","12",IF(R74="Moist Shady","10",IF(R74="Sub-Alpine Slopes","0")))))))</f>
        <v>12</v>
      </c>
      <c r="U74" s="134" t="str">
        <f>IF(R74="Bogs Ponds Streams","52",IF(R74="Coastal Areas","51",IF(R74="Meadows Dry Open","53",IF(R74="Forest &amp; Understory","52",IF(R74="Moist Open","50",IF(R74="Moist Shady","46",IF(R74="Sub-Alpine Slopes","40")))))))</f>
        <v>50</v>
      </c>
      <c r="V74" s="134" t="str">
        <f>IF(R74="Bogs Ponds Streams","84",IF(R74="Coastal Areas","76",IF(R74="Meadows Dry Open","96", IF(R74="Forest &amp; Understory","90", IF(R74="Moist Open","88", IF(R74="Moist Shady","82", IF(R74="Sub-Alpine Slopes","80")))))))</f>
        <v>88</v>
      </c>
      <c r="W74" s="67">
        <v>20</v>
      </c>
      <c r="X74" s="67">
        <v>0</v>
      </c>
      <c r="Y74" s="67">
        <v>3500</v>
      </c>
      <c r="Z74" s="67" t="s">
        <v>2519</v>
      </c>
      <c r="AA74" s="67" t="s">
        <v>2518</v>
      </c>
      <c r="AB74" s="67">
        <v>6.8</v>
      </c>
      <c r="AC74" s="85">
        <f>C74+AK74+(0.1)*AL74</f>
        <v>5.2</v>
      </c>
      <c r="AD74" s="78">
        <v>136</v>
      </c>
      <c r="AE74" s="67">
        <v>5</v>
      </c>
      <c r="AF74" s="67">
        <v>5</v>
      </c>
      <c r="AG74" s="67">
        <v>1900</v>
      </c>
      <c r="AH74" s="78">
        <v>0</v>
      </c>
      <c r="AI74" s="67">
        <f>AJ74</f>
        <v>2004</v>
      </c>
      <c r="AJ74" s="69">
        <v>2004</v>
      </c>
      <c r="AK74" s="69">
        <v>3</v>
      </c>
      <c r="AL74" s="69">
        <v>12</v>
      </c>
      <c r="AM74" s="70">
        <v>5</v>
      </c>
      <c r="AN74" s="70">
        <v>0</v>
      </c>
      <c r="AO74" s="86">
        <v>0</v>
      </c>
      <c r="AP74" s="70">
        <v>0</v>
      </c>
      <c r="AQ74" s="70">
        <v>0</v>
      </c>
      <c r="AR74" s="70">
        <v>0</v>
      </c>
      <c r="AS74" s="86">
        <v>0</v>
      </c>
      <c r="AT74" s="70">
        <v>0</v>
      </c>
      <c r="AU74" s="70">
        <v>0</v>
      </c>
      <c r="AV74" s="70">
        <v>0</v>
      </c>
      <c r="AW74" s="86">
        <v>0</v>
      </c>
      <c r="AX74" s="70">
        <v>0</v>
      </c>
      <c r="AY74" s="233"/>
      <c r="AZ74" s="4"/>
      <c r="BA74" s="35" t="str">
        <f>IF(OR(S74="North America",S74="Rocky Mountain"), "Widespread",BC74)</f>
        <v>Widespread</v>
      </c>
      <c r="BB74" s="4"/>
      <c r="BC74" s="35">
        <f ca="1">IF(BE74&gt;2046, "Abundant",BE74)</f>
        <v>2031.8100677361854</v>
      </c>
      <c r="BD74" s="4"/>
      <c r="BE74" s="81">
        <f ca="1">YEAR($C$13)+(BG74*80)</f>
        <v>2031.8100677361854</v>
      </c>
      <c r="BF74" s="4"/>
      <c r="BG74" s="137">
        <f ca="1">BH74*$BH$14</f>
        <v>0.1601258467023173</v>
      </c>
      <c r="BH74" s="137">
        <f ca="1">(((BJ74+BK74+BM74+BN74)/4)*$BM$11)+(((BP74+BQ74)/2)*$BQ$11)+(((BU74+BV74+BW74)/3)*$BU$11)+(((BY74+BZ74+CA74+CB74+CC74)/5)*$CA$11)</f>
        <v>0.1601258467023173</v>
      </c>
      <c r="BI74" s="4"/>
      <c r="BJ74" s="33">
        <f>AP74/(AM74+AO74)</f>
        <v>0</v>
      </c>
      <c r="BK74" s="33">
        <f>(AN74+AO74)/(AM74+AO74)</f>
        <v>0</v>
      </c>
      <c r="BL74" s="4"/>
      <c r="BM74" s="127">
        <f>CF74/102</f>
        <v>5.0980392156862744E-2</v>
      </c>
      <c r="BN74" s="127">
        <f>C74/2</f>
        <v>0.5</v>
      </c>
      <c r="BO74" s="4"/>
      <c r="BP74" s="127">
        <f>(AK74)/($AW$6)</f>
        <v>3.0303030303030304E-2</v>
      </c>
      <c r="BQ74" s="127">
        <f ca="1">(CH74-$AW$4)/((YEAR($C$13))-$AW$4)</f>
        <v>0</v>
      </c>
      <c r="BR74" s="127">
        <f>(AL74)/($AW$6)</f>
        <v>0.12121212121212122</v>
      </c>
      <c r="BS74" s="4"/>
      <c r="BT74" s="127"/>
      <c r="BU74" s="127">
        <f ca="1">(CG74-$AW$4)/((YEAR($C$13))-$AW$4)</f>
        <v>0</v>
      </c>
      <c r="BV74" s="127">
        <f>AE74/5</f>
        <v>1</v>
      </c>
      <c r="BW74" s="127">
        <f>AF74/5</f>
        <v>1</v>
      </c>
      <c r="BX74" s="4"/>
      <c r="BY74" s="148" t="str">
        <f>IF(E74="A",".98",IF(E74="B",".99",IF(E74="C","1.00",IF(E74="D","1.00" ))))</f>
        <v>1.00</v>
      </c>
      <c r="BZ74" s="127">
        <f>(CE74+7)/10</f>
        <v>1</v>
      </c>
      <c r="CA74" s="76" t="str">
        <f>IF(D74="Fern",".97",IF(D74="Grass",".99",IF(D74="Herb",".97",IF(D74="Shrub",".99",IF(D74="Tree","1.00",IF(D74="Vine",".98"))))))</f>
        <v>.97</v>
      </c>
      <c r="CB74" s="149" t="str">
        <f>IF(R74="Bogs Ponds Streams",".96", IF(R74="Coastal Areas",".97",IF(R74="Meadows Dry Open",".96",IF(R74="Forest &amp; Understory",".97",IF(R74="Moist Open",".98",IF(R74="Moist Shady",".96",IF(R74="Sub-Alpine","1.0")))))))</f>
        <v>.98</v>
      </c>
      <c r="CC74" s="76" t="str">
        <f>IF(S74="Local Endemic",".50",IF(S74="Regional Endemic",".70",IF(S74="Cascadia",".90",IF(S74="Rocky Mountain",".95",IF(S74="North America",".99")))))</f>
        <v>.95</v>
      </c>
      <c r="CD74" s="4"/>
      <c r="CE74" s="21">
        <f>IF(W74&gt;3,3,W74)</f>
        <v>3</v>
      </c>
      <c r="CF74" s="21">
        <f>IF(AC74&gt;102,102,AC74)</f>
        <v>5.2</v>
      </c>
      <c r="CG74" s="34">
        <f>IF(AI74&lt;$AW$4,$AW$4,AI74)</f>
        <v>2004</v>
      </c>
      <c r="CH74" s="34">
        <f>IF(AJ74&lt;$AW$4,$AW$4,AJ74)</f>
        <v>2004</v>
      </c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12"/>
    </row>
    <row r="75" spans="1:115" s="13" customFormat="1" ht="15" customHeight="1" x14ac:dyDescent="0.3">
      <c r="A75" s="235"/>
      <c r="B75" s="218"/>
      <c r="C75" s="375">
        <v>1</v>
      </c>
      <c r="D75" s="67" t="s">
        <v>2505</v>
      </c>
      <c r="E75" s="67" t="s">
        <v>2501</v>
      </c>
      <c r="F75" s="403">
        <f ca="1">IF(BC75&lt;2025, "Extinct&lt; 6Yrs?",BA75)</f>
        <v>2031.2104670231729</v>
      </c>
      <c r="G75" s="376" t="s">
        <v>525</v>
      </c>
      <c r="H75" s="376" t="s">
        <v>4028</v>
      </c>
      <c r="I75" s="380" t="s">
        <v>2212</v>
      </c>
      <c r="J75" s="378" t="s">
        <v>3669</v>
      </c>
      <c r="K75" s="378" t="s">
        <v>1287</v>
      </c>
      <c r="L75" s="63" t="s">
        <v>2209</v>
      </c>
      <c r="M75" s="64" t="s">
        <v>4156</v>
      </c>
      <c r="N75" s="64" t="s">
        <v>5048</v>
      </c>
      <c r="O75" s="64" t="s">
        <v>5947</v>
      </c>
      <c r="P75" s="61" t="s">
        <v>667</v>
      </c>
      <c r="Q75" s="67" t="s">
        <v>2552</v>
      </c>
      <c r="R75" s="163" t="s">
        <v>2497</v>
      </c>
      <c r="S75" s="63" t="s">
        <v>2459</v>
      </c>
      <c r="T75" s="134" t="str">
        <f>IF(R75="Bogs Ponds Streams","20",IF(R75="Coastal Areas","26",IF(R75="Meadows Dry Open","10",IF(R75="Forest &amp; Understory","14",IF(R75="Moist Open","12",IF(R75="Moist Shady","10",IF(R75="Sub-Alpine Slopes","0")))))))</f>
        <v>12</v>
      </c>
      <c r="U75" s="134" t="str">
        <f>IF(R75="Bogs Ponds Streams","52",IF(R75="Coastal Areas","51",IF(R75="Meadows Dry Open","53",IF(R75="Forest &amp; Understory","52",IF(R75="Moist Open","50",IF(R75="Moist Shady","46",IF(R75="Sub-Alpine Slopes","40")))))))</f>
        <v>50</v>
      </c>
      <c r="V75" s="134" t="str">
        <f>IF(R75="Bogs Ponds Streams","84",IF(R75="Coastal Areas","76",IF(R75="Meadows Dry Open","96", IF(R75="Forest &amp; Understory","90", IF(R75="Moist Open","88", IF(R75="Moist Shady","82", IF(R75="Sub-Alpine Slopes","80")))))))</f>
        <v>88</v>
      </c>
      <c r="W75" s="67">
        <v>20</v>
      </c>
      <c r="X75" s="67">
        <v>0</v>
      </c>
      <c r="Y75" s="67">
        <v>3500</v>
      </c>
      <c r="Z75" s="67" t="s">
        <v>2519</v>
      </c>
      <c r="AA75" s="67" t="s">
        <v>2518</v>
      </c>
      <c r="AB75" s="67">
        <v>6.8</v>
      </c>
      <c r="AC75" s="85">
        <f>C75+AK75+(0.1)*AL75</f>
        <v>2.2999999999999998</v>
      </c>
      <c r="AD75" s="78">
        <v>17</v>
      </c>
      <c r="AE75" s="67">
        <v>5</v>
      </c>
      <c r="AF75" s="67">
        <v>5</v>
      </c>
      <c r="AG75" s="67">
        <v>1900</v>
      </c>
      <c r="AH75" s="78">
        <v>0</v>
      </c>
      <c r="AI75" s="67">
        <f>AJ75</f>
        <v>2004</v>
      </c>
      <c r="AJ75" s="69">
        <v>2004</v>
      </c>
      <c r="AK75" s="69">
        <v>1</v>
      </c>
      <c r="AL75" s="69">
        <v>3</v>
      </c>
      <c r="AM75" s="70">
        <v>5</v>
      </c>
      <c r="AN75" s="70">
        <v>0</v>
      </c>
      <c r="AO75" s="86">
        <v>0</v>
      </c>
      <c r="AP75" s="70">
        <v>0</v>
      </c>
      <c r="AQ75" s="70">
        <v>0</v>
      </c>
      <c r="AR75" s="70">
        <v>0</v>
      </c>
      <c r="AS75" s="86">
        <v>0</v>
      </c>
      <c r="AT75" s="70">
        <v>0</v>
      </c>
      <c r="AU75" s="70">
        <v>0</v>
      </c>
      <c r="AV75" s="70">
        <v>0</v>
      </c>
      <c r="AW75" s="86">
        <v>0</v>
      </c>
      <c r="AX75" s="70">
        <v>0</v>
      </c>
      <c r="AY75" s="233"/>
      <c r="AZ75" s="4"/>
      <c r="BA75" s="35">
        <f ca="1">IF(OR(S75="North America",S75="Rocky Mountain"), "Widespread",BC75)</f>
        <v>2031.2104670231729</v>
      </c>
      <c r="BB75" s="4"/>
      <c r="BC75" s="35">
        <f ca="1">IF(BE75&gt;2046, "Abundant",BE75)</f>
        <v>2031.2104670231729</v>
      </c>
      <c r="BD75" s="4"/>
      <c r="BE75" s="81">
        <f ca="1">YEAR($C$13)+(BG75*80)</f>
        <v>2031.2104670231729</v>
      </c>
      <c r="BF75" s="4"/>
      <c r="BG75" s="137">
        <f ca="1">BH75*$BH$14</f>
        <v>0.15263083778966133</v>
      </c>
      <c r="BH75" s="137">
        <f ca="1">(((BJ75+BK75+BM75+BN75)/4)*$BM$11)+(((BP75+BQ75)/2)*$BQ$11)+(((BU75+BV75+BW75)/3)*$BU$11)+(((BY75+BZ75+CA75+CB75+CC75)/5)*$CA$11)</f>
        <v>0.15263083778966133</v>
      </c>
      <c r="BI75" s="4"/>
      <c r="BJ75" s="33">
        <f>AP75/(AM75+AO75)</f>
        <v>0</v>
      </c>
      <c r="BK75" s="33">
        <f>(AN75+AO75)/(AM75+AO75)</f>
        <v>0</v>
      </c>
      <c r="BL75" s="4"/>
      <c r="BM75" s="127">
        <f>CF75/102</f>
        <v>2.2549019607843137E-2</v>
      </c>
      <c r="BN75" s="127">
        <f>C75/2</f>
        <v>0.5</v>
      </c>
      <c r="BO75" s="4"/>
      <c r="BP75" s="127">
        <f>(AK75)/($AW$6)</f>
        <v>1.0101010101010102E-2</v>
      </c>
      <c r="BQ75" s="127">
        <f ca="1">(CH75-$AW$4)/((YEAR($C$13))-$AW$4)</f>
        <v>0</v>
      </c>
      <c r="BR75" s="127">
        <f>(AL75)/($AW$6)</f>
        <v>3.0303030303030304E-2</v>
      </c>
      <c r="BS75" s="4"/>
      <c r="BT75" s="127"/>
      <c r="BU75" s="127">
        <f ca="1">(CG75-$AW$4)/((YEAR($C$13))-$AW$4)</f>
        <v>0</v>
      </c>
      <c r="BV75" s="127">
        <f>AE75/5</f>
        <v>1</v>
      </c>
      <c r="BW75" s="127">
        <f>AF75/5</f>
        <v>1</v>
      </c>
      <c r="BX75" s="4"/>
      <c r="BY75" s="148" t="str">
        <f>IF(E75="A",".98",IF(E75="B",".99",IF(E75="C","1.00",IF(E75="D","1.00" ))))</f>
        <v>1.00</v>
      </c>
      <c r="BZ75" s="127">
        <f>(CE75+7)/10</f>
        <v>1</v>
      </c>
      <c r="CA75" s="76" t="str">
        <f>IF(D75="Fern",".97",IF(D75="Grass",".99",IF(D75="Herb",".97",IF(D75="Shrub",".99",IF(D75="Tree","1.00",IF(D75="Vine",".98"))))))</f>
        <v>.97</v>
      </c>
      <c r="CB75" s="149" t="str">
        <f>IF(R75="Bogs Ponds Streams",".96", IF(R75="Coastal Areas",".97",IF(R75="Meadows Dry Open",".96",IF(R75="Forest &amp; Understory",".97",IF(R75="Moist Open",".98",IF(R75="Moist Shady",".96",IF(R75="Sub-Alpine","1.0")))))))</f>
        <v>.98</v>
      </c>
      <c r="CC75" s="76" t="str">
        <f>IF(S75="Local Endemic",".50",IF(S75="Regional Endemic",".70",IF(S75="Cascadia",".90",IF(S75="Rocky Mountain",".95",IF(S75="North America",".99")))))</f>
        <v>.90</v>
      </c>
      <c r="CD75" s="4"/>
      <c r="CE75" s="21">
        <f>IF(W75&gt;3,3,W75)</f>
        <v>3</v>
      </c>
      <c r="CF75" s="21">
        <f>IF(AC75&gt;102,102,AC75)</f>
        <v>2.2999999999999998</v>
      </c>
      <c r="CG75" s="34">
        <f>IF(AI75&lt;$AW$4,$AW$4,AI75)</f>
        <v>2004</v>
      </c>
      <c r="CH75" s="34">
        <f>IF(AJ75&lt;$AW$4,$AW$4,AJ75)</f>
        <v>2004</v>
      </c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12"/>
    </row>
    <row r="76" spans="1:115" s="13" customFormat="1" ht="15" customHeight="1" x14ac:dyDescent="0.3">
      <c r="A76" s="235"/>
      <c r="B76" s="218"/>
      <c r="C76" s="226">
        <v>2</v>
      </c>
      <c r="D76" s="104" t="s">
        <v>2505</v>
      </c>
      <c r="E76" s="104" t="s">
        <v>2501</v>
      </c>
      <c r="F76" s="400" t="str">
        <f ca="1">IF(BC76&lt;2025, "Extinct&lt; 6Yrs?",BA76)</f>
        <v>Widespread</v>
      </c>
      <c r="G76" s="369" t="s">
        <v>525</v>
      </c>
      <c r="H76" s="369" t="s">
        <v>4028</v>
      </c>
      <c r="I76" s="370" t="s">
        <v>1883</v>
      </c>
      <c r="J76" s="371" t="s">
        <v>3844</v>
      </c>
      <c r="K76" s="371" t="s">
        <v>857</v>
      </c>
      <c r="L76" s="114" t="s">
        <v>4046</v>
      </c>
      <c r="M76" s="111" t="s">
        <v>4157</v>
      </c>
      <c r="N76" s="111" t="s">
        <v>5049</v>
      </c>
      <c r="O76" s="111" t="s">
        <v>5948</v>
      </c>
      <c r="P76" s="105" t="s">
        <v>45</v>
      </c>
      <c r="Q76" s="104" t="s">
        <v>2558</v>
      </c>
      <c r="R76" s="105" t="s">
        <v>2500</v>
      </c>
      <c r="S76" s="105" t="s">
        <v>2495</v>
      </c>
      <c r="T76" s="133" t="str">
        <f>IF(R76="Bogs Ponds Streams","20",IF(R76="Coastal Areas","26",IF(R76="Meadows Dry Open","10",IF(R76="Forest &amp; Understory","14",IF(R76="Moist Open","12",IF(R76="Moist Shady","10",IF(R76="Sub-Alpine Slopes","0")))))))</f>
        <v>10</v>
      </c>
      <c r="U76" s="133" t="str">
        <f>IF(R76="Bogs Ponds Streams","52",IF(R76="Coastal Areas","51",IF(R76="Meadows Dry Open","53",IF(R76="Forest &amp; Understory","52",IF(R76="Moist Open","50",IF(R76="Moist Shady","46",IF(R76="Sub-Alpine Slopes","40")))))))</f>
        <v>53</v>
      </c>
      <c r="V76" s="133" t="str">
        <f>IF(R76="Bogs Ponds Streams","84",IF(R76="Coastal Areas","76",IF(R76="Meadows Dry Open","96", IF(R76="Forest &amp; Understory","90", IF(R76="Moist Open","88", IF(R76="Moist Shady","82", IF(R76="Sub-Alpine Slopes","80")))))))</f>
        <v>96</v>
      </c>
      <c r="W76" s="104">
        <v>20</v>
      </c>
      <c r="X76" s="104">
        <v>0</v>
      </c>
      <c r="Y76" s="104">
        <v>3500</v>
      </c>
      <c r="Z76" s="104" t="s">
        <v>2519</v>
      </c>
      <c r="AA76" s="104" t="s">
        <v>2518</v>
      </c>
      <c r="AB76" s="104">
        <v>6.8</v>
      </c>
      <c r="AC76" s="107">
        <f>C76+AK76+(0.1)*AL76</f>
        <v>10.199999999999999</v>
      </c>
      <c r="AD76" s="113">
        <v>203</v>
      </c>
      <c r="AE76" s="104">
        <v>5</v>
      </c>
      <c r="AF76" s="104">
        <v>5</v>
      </c>
      <c r="AG76" s="104">
        <v>1900</v>
      </c>
      <c r="AH76" s="113">
        <v>0</v>
      </c>
      <c r="AI76" s="104">
        <f>AJ76</f>
        <v>2004</v>
      </c>
      <c r="AJ76" s="108">
        <v>2004</v>
      </c>
      <c r="AK76" s="108">
        <v>8</v>
      </c>
      <c r="AL76" s="108">
        <v>2</v>
      </c>
      <c r="AM76" s="109">
        <v>5</v>
      </c>
      <c r="AN76" s="109">
        <v>1</v>
      </c>
      <c r="AO76" s="110">
        <v>0</v>
      </c>
      <c r="AP76" s="109">
        <v>0</v>
      </c>
      <c r="AQ76" s="109">
        <v>0</v>
      </c>
      <c r="AR76" s="109">
        <v>0</v>
      </c>
      <c r="AS76" s="110">
        <v>0</v>
      </c>
      <c r="AT76" s="109">
        <v>0</v>
      </c>
      <c r="AU76" s="109">
        <v>0</v>
      </c>
      <c r="AV76" s="109">
        <v>0</v>
      </c>
      <c r="AW76" s="110">
        <v>0</v>
      </c>
      <c r="AX76" s="109">
        <v>0</v>
      </c>
      <c r="AY76" s="233"/>
      <c r="AZ76" s="4"/>
      <c r="BA76" s="35" t="str">
        <f>IF(OR(S76="North America",S76="Rocky Mountain"), "Widespread",BC76)</f>
        <v>Widespread</v>
      </c>
      <c r="BB76" s="4"/>
      <c r="BC76" s="35">
        <f ca="1">IF(BE76&gt;2046, "Abundant",BE76)</f>
        <v>2041.4107636363635</v>
      </c>
      <c r="BD76" s="4"/>
      <c r="BE76" s="81">
        <f ca="1">YEAR($C$13)+(BG76*80)</f>
        <v>2041.4107636363635</v>
      </c>
      <c r="BF76" s="4"/>
      <c r="BG76" s="137">
        <f ca="1">BH76*$BH$14</f>
        <v>0.28013454545454541</v>
      </c>
      <c r="BH76" s="137">
        <f ca="1">(((BJ76+BK76+BM76+BN76)/4)*$BM$11)+(((BP76+BQ76)/2)*$BQ$11)+(((BU76+BV76+BW76)/3)*$BU$11)+(((BY76+BZ76+CA76+CB76+CC76)/5)*$CA$11)</f>
        <v>0.28013454545454541</v>
      </c>
      <c r="BI76" s="4"/>
      <c r="BJ76" s="33">
        <f>AP76/(AM76+AO76)</f>
        <v>0</v>
      </c>
      <c r="BK76" s="33">
        <f>(AN76+AO76)/(AM76+AO76)</f>
        <v>0.2</v>
      </c>
      <c r="BL76" s="4"/>
      <c r="BM76" s="127">
        <f>CF76/102</f>
        <v>9.9999999999999992E-2</v>
      </c>
      <c r="BN76" s="127">
        <f>C76/2</f>
        <v>1</v>
      </c>
      <c r="BO76" s="4"/>
      <c r="BP76" s="127">
        <f>(AK76)/($AW$6)</f>
        <v>8.0808080808080815E-2</v>
      </c>
      <c r="BQ76" s="127">
        <f ca="1">(CH76-$AW$4)/((YEAR($C$13))-$AW$4)</f>
        <v>0</v>
      </c>
      <c r="BR76" s="127">
        <f>(AL76)/($AW$6)</f>
        <v>2.0202020202020204E-2</v>
      </c>
      <c r="BS76" s="4"/>
      <c r="BT76" s="127"/>
      <c r="BU76" s="127">
        <f ca="1">(CG76-$AW$4)/((YEAR($C$13))-$AW$4)</f>
        <v>0</v>
      </c>
      <c r="BV76" s="127">
        <f>AE76/5</f>
        <v>1</v>
      </c>
      <c r="BW76" s="127">
        <f>AF76/5</f>
        <v>1</v>
      </c>
      <c r="BX76" s="4"/>
      <c r="BY76" s="148" t="str">
        <f>IF(E76="A",".98",IF(E76="B",".99",IF(E76="C","1.00",IF(E76="D","1.00" ))))</f>
        <v>1.00</v>
      </c>
      <c r="BZ76" s="127">
        <f>(CE76+7)/10</f>
        <v>1</v>
      </c>
      <c r="CA76" s="76" t="str">
        <f>IF(D76="Fern",".97",IF(D76="Grass",".99",IF(D76="Herb",".97",IF(D76="Shrub",".99",IF(D76="Tree","1.00",IF(D76="Vine",".98"))))))</f>
        <v>.97</v>
      </c>
      <c r="CB76" s="149" t="str">
        <f>IF(R76="Bogs Ponds Streams",".96", IF(R76="Coastal Areas",".97",IF(R76="Meadows Dry Open",".96",IF(R76="Forest &amp; Understory",".97",IF(R76="Moist Open",".98",IF(R76="Moist Shady",".96",IF(R76="Sub-Alpine","1.0")))))))</f>
        <v>.96</v>
      </c>
      <c r="CC76" s="76" t="str">
        <f>IF(S76="Local Endemic",".50",IF(S76="Regional Endemic",".70",IF(S76="Cascadia",".90",IF(S76="Rocky Mountain",".95",IF(S76="North America",".99")))))</f>
        <v>.99</v>
      </c>
      <c r="CD76" s="4"/>
      <c r="CE76" s="21">
        <f>IF(W76&gt;3,3,W76)</f>
        <v>3</v>
      </c>
      <c r="CF76" s="21">
        <f>IF(AC76&gt;102,102,AC76)</f>
        <v>10.199999999999999</v>
      </c>
      <c r="CG76" s="34">
        <f>IF(AI76&lt;$AW$4,$AW$4,AI76)</f>
        <v>2004</v>
      </c>
      <c r="CH76" s="34">
        <f>IF(AJ76&lt;$AW$4,$AW$4,AJ76)</f>
        <v>2004</v>
      </c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</row>
    <row r="77" spans="1:115" s="13" customFormat="1" ht="15" customHeight="1" x14ac:dyDescent="0.3">
      <c r="A77" s="235"/>
      <c r="B77" s="218"/>
      <c r="C77" s="375">
        <v>1</v>
      </c>
      <c r="D77" s="67" t="s">
        <v>2505</v>
      </c>
      <c r="E77" s="67" t="s">
        <v>2501</v>
      </c>
      <c r="F77" s="403" t="str">
        <f ca="1">IF(BC77&lt;2025, "Extinct&lt; 6Yrs?",BA77)</f>
        <v>Widespread</v>
      </c>
      <c r="G77" s="376" t="s">
        <v>525</v>
      </c>
      <c r="H77" s="376" t="s">
        <v>4028</v>
      </c>
      <c r="I77" s="380" t="s">
        <v>1884</v>
      </c>
      <c r="J77" s="378" t="s">
        <v>3668</v>
      </c>
      <c r="K77" s="378" t="s">
        <v>1256</v>
      </c>
      <c r="L77" s="63" t="s">
        <v>1398</v>
      </c>
      <c r="M77" s="64" t="s">
        <v>4158</v>
      </c>
      <c r="N77" s="64" t="s">
        <v>5050</v>
      </c>
      <c r="O77" s="64" t="s">
        <v>5949</v>
      </c>
      <c r="P77" s="61" t="s">
        <v>45</v>
      </c>
      <c r="Q77" s="67" t="s">
        <v>2552</v>
      </c>
      <c r="R77" s="61" t="s">
        <v>2497</v>
      </c>
      <c r="S77" s="61" t="s">
        <v>2495</v>
      </c>
      <c r="T77" s="134" t="str">
        <f>IF(R77="Bogs Ponds Streams","20",IF(R77="Coastal Areas","26",IF(R77="Meadows Dry Open","10",IF(R77="Forest &amp; Understory","14",IF(R77="Moist Open","12",IF(R77="Moist Shady","10",IF(R77="Sub-Alpine Slopes","0")))))))</f>
        <v>12</v>
      </c>
      <c r="U77" s="134" t="str">
        <f>IF(R77="Bogs Ponds Streams","52",IF(R77="Coastal Areas","51",IF(R77="Meadows Dry Open","53",IF(R77="Forest &amp; Understory","52",IF(R77="Moist Open","50",IF(R77="Moist Shady","46",IF(R77="Sub-Alpine Slopes","40")))))))</f>
        <v>50</v>
      </c>
      <c r="V77" s="134" t="str">
        <f>IF(R77="Bogs Ponds Streams","84",IF(R77="Coastal Areas","76",IF(R77="Meadows Dry Open","96", IF(R77="Forest &amp; Understory","90", IF(R77="Moist Open","88", IF(R77="Moist Shady","82", IF(R77="Sub-Alpine Slopes","80")))))))</f>
        <v>88</v>
      </c>
      <c r="W77" s="67">
        <v>20</v>
      </c>
      <c r="X77" s="67">
        <v>0</v>
      </c>
      <c r="Y77" s="67">
        <v>3500</v>
      </c>
      <c r="Z77" s="67" t="s">
        <v>2519</v>
      </c>
      <c r="AA77" s="67" t="s">
        <v>2518</v>
      </c>
      <c r="AB77" s="67">
        <v>6.8</v>
      </c>
      <c r="AC77" s="85">
        <f>C77+AK77+(0.1)*AL77</f>
        <v>2.5</v>
      </c>
      <c r="AD77" s="78">
        <v>57</v>
      </c>
      <c r="AE77" s="67">
        <v>5</v>
      </c>
      <c r="AF77" s="67">
        <v>5</v>
      </c>
      <c r="AG77" s="67">
        <v>1900</v>
      </c>
      <c r="AH77" s="78">
        <v>0</v>
      </c>
      <c r="AI77" s="67">
        <f>AJ77</f>
        <v>2004</v>
      </c>
      <c r="AJ77" s="69">
        <v>2004</v>
      </c>
      <c r="AK77" s="69">
        <v>0</v>
      </c>
      <c r="AL77" s="69">
        <v>15</v>
      </c>
      <c r="AM77" s="70">
        <v>5</v>
      </c>
      <c r="AN77" s="70">
        <v>0</v>
      </c>
      <c r="AO77" s="86">
        <v>0</v>
      </c>
      <c r="AP77" s="70">
        <v>0</v>
      </c>
      <c r="AQ77" s="70">
        <v>0</v>
      </c>
      <c r="AR77" s="70">
        <v>0</v>
      </c>
      <c r="AS77" s="86">
        <v>0</v>
      </c>
      <c r="AT77" s="70">
        <v>0</v>
      </c>
      <c r="AU77" s="70">
        <v>0</v>
      </c>
      <c r="AV77" s="70">
        <v>0</v>
      </c>
      <c r="AW77" s="86">
        <v>0</v>
      </c>
      <c r="AX77" s="70">
        <v>0</v>
      </c>
      <c r="AY77" s="233"/>
      <c r="AZ77" s="4"/>
      <c r="BA77" s="35" t="str">
        <f>IF(OR(S77="North America",S77="Rocky Mountain"), "Widespread",BC77)</f>
        <v>Widespread</v>
      </c>
      <c r="BB77" s="4"/>
      <c r="BC77" s="35">
        <f ca="1">IF(BE77&gt;2046, "Abundant",BE77)</f>
        <v>2031.1415843137254</v>
      </c>
      <c r="BD77" s="4"/>
      <c r="BE77" s="81">
        <f ca="1">YEAR($C$13)+(BG77*80)</f>
        <v>2031.1415843137254</v>
      </c>
      <c r="BF77" s="4"/>
      <c r="BG77" s="137">
        <f ca="1">BH77*$BH$14</f>
        <v>0.15176980392156864</v>
      </c>
      <c r="BH77" s="137">
        <f ca="1">(((BJ77+BK77+BM77+BN77)/4)*$BM$11)+(((BP77+BQ77)/2)*$BQ$11)+(((BU77+BV77+BW77)/3)*$BU$11)+(((BY77+BZ77+CA77+CB77+CC77)/5)*$CA$11)</f>
        <v>0.15176980392156864</v>
      </c>
      <c r="BI77" s="4"/>
      <c r="BJ77" s="33">
        <f>AP77/(AM77+AO77)</f>
        <v>0</v>
      </c>
      <c r="BK77" s="33">
        <f>(AN77+AO77)/(AM77+AO77)</f>
        <v>0</v>
      </c>
      <c r="BL77" s="4"/>
      <c r="BM77" s="127">
        <f>CF77/102</f>
        <v>2.4509803921568627E-2</v>
      </c>
      <c r="BN77" s="127">
        <f>C77/2</f>
        <v>0.5</v>
      </c>
      <c r="BO77" s="4"/>
      <c r="BP77" s="127">
        <f>(AK77)/($AW$6)</f>
        <v>0</v>
      </c>
      <c r="BQ77" s="127">
        <f ca="1">(CH77-$AW$4)/((YEAR($C$13))-$AW$4)</f>
        <v>0</v>
      </c>
      <c r="BR77" s="127">
        <f>(AL77)/($AW$6)</f>
        <v>0.15151515151515152</v>
      </c>
      <c r="BS77" s="4"/>
      <c r="BT77" s="127"/>
      <c r="BU77" s="127">
        <f ca="1">(CG77-$AW$4)/((YEAR($C$13))-$AW$4)</f>
        <v>0</v>
      </c>
      <c r="BV77" s="127">
        <f>AE77/5</f>
        <v>1</v>
      </c>
      <c r="BW77" s="127">
        <f>AF77/5</f>
        <v>1</v>
      </c>
      <c r="BX77" s="4"/>
      <c r="BY77" s="148" t="str">
        <f>IF(E77="A",".98",IF(E77="B",".99",IF(E77="C","1.00",IF(E77="D","1.00" ))))</f>
        <v>1.00</v>
      </c>
      <c r="BZ77" s="127">
        <f>(CE77+7)/10</f>
        <v>1</v>
      </c>
      <c r="CA77" s="76" t="str">
        <f>IF(D77="Fern",".97",IF(D77="Grass",".99",IF(D77="Herb",".97",IF(D77="Shrub",".99",IF(D77="Tree","1.00",IF(D77="Vine",".98"))))))</f>
        <v>.97</v>
      </c>
      <c r="CB77" s="149" t="str">
        <f>IF(R77="Bogs Ponds Streams",".96", IF(R77="Coastal Areas",".97",IF(R77="Meadows Dry Open",".96",IF(R77="Forest &amp; Understory",".97",IF(R77="Moist Open",".98",IF(R77="Moist Shady",".96",IF(R77="Sub-Alpine","1.0")))))))</f>
        <v>.98</v>
      </c>
      <c r="CC77" s="76" t="str">
        <f>IF(S77="Local Endemic",".50",IF(S77="Regional Endemic",".70",IF(S77="Cascadia",".90",IF(S77="Rocky Mountain",".95",IF(S77="North America",".99")))))</f>
        <v>.99</v>
      </c>
      <c r="CD77" s="4"/>
      <c r="CE77" s="21">
        <f>IF(W77&gt;3,3,W77)</f>
        <v>3</v>
      </c>
      <c r="CF77" s="21">
        <f>IF(AC77&gt;102,102,AC77)</f>
        <v>2.5</v>
      </c>
      <c r="CG77" s="34">
        <f>IF(AI77&lt;$AW$4,$AW$4,AI77)</f>
        <v>2004</v>
      </c>
      <c r="CH77" s="34">
        <f>IF(AJ77&lt;$AW$4,$AW$4,AJ77)</f>
        <v>2004</v>
      </c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12"/>
    </row>
    <row r="78" spans="1:115" s="13" customFormat="1" ht="15" customHeight="1" x14ac:dyDescent="0.3">
      <c r="A78" s="235"/>
      <c r="B78" s="218"/>
      <c r="C78" s="225">
        <v>8</v>
      </c>
      <c r="D78" s="59" t="s">
        <v>2505</v>
      </c>
      <c r="E78" s="59" t="s">
        <v>2501</v>
      </c>
      <c r="F78" s="397" t="str">
        <f ca="1">IF(BC78&lt;2025, "Extinct&lt; 6Yrs?",BA78)</f>
        <v>Widespread</v>
      </c>
      <c r="G78" s="363" t="s">
        <v>525</v>
      </c>
      <c r="H78" s="363" t="s">
        <v>684</v>
      </c>
      <c r="I78" s="366" t="s">
        <v>1885</v>
      </c>
      <c r="J78" s="365" t="s">
        <v>3222</v>
      </c>
      <c r="K78" s="365" t="s">
        <v>858</v>
      </c>
      <c r="L78" s="10" t="s">
        <v>1773</v>
      </c>
      <c r="M78" s="8" t="s">
        <v>4159</v>
      </c>
      <c r="N78" s="8" t="s">
        <v>5051</v>
      </c>
      <c r="O78" s="8" t="s">
        <v>5950</v>
      </c>
      <c r="P78" s="9" t="s">
        <v>285</v>
      </c>
      <c r="Q78" s="59" t="s">
        <v>2559</v>
      </c>
      <c r="R78" s="9" t="s">
        <v>2500</v>
      </c>
      <c r="S78" s="9" t="s">
        <v>2479</v>
      </c>
      <c r="T78" s="123" t="str">
        <f>IF(R78="Bogs Ponds Streams","20",IF(R78="Coastal Areas","26",IF(R78="Meadows Dry Open","10",IF(R78="Forest &amp; Understory","14",IF(R78="Moist Open","12",IF(R78="Moist Shady","10",IF(R78="Sub-Alpine Slopes","0")))))))</f>
        <v>10</v>
      </c>
      <c r="U78" s="123" t="str">
        <f>IF(R78="Bogs Ponds Streams","52",IF(R78="Coastal Areas","51",IF(R78="Meadows Dry Open","53",IF(R78="Forest &amp; Understory","52",IF(R78="Moist Open","50",IF(R78="Moist Shady","46",IF(R78="Sub-Alpine Slopes","40")))))))</f>
        <v>53</v>
      </c>
      <c r="V78" s="123" t="str">
        <f>IF(R78="Bogs Ponds Streams","84",IF(R78="Coastal Areas","76",IF(R78="Meadows Dry Open","96", IF(R78="Forest &amp; Understory","90", IF(R78="Moist Open","88", IF(R78="Moist Shady","82", IF(R78="Sub-Alpine Slopes","80")))))))</f>
        <v>96</v>
      </c>
      <c r="W78" s="59">
        <v>20</v>
      </c>
      <c r="X78" s="59">
        <v>0</v>
      </c>
      <c r="Y78" s="59">
        <v>3500</v>
      </c>
      <c r="Z78" s="59" t="s">
        <v>2519</v>
      </c>
      <c r="AA78" s="59" t="s">
        <v>2518</v>
      </c>
      <c r="AB78" s="59">
        <v>6.8</v>
      </c>
      <c r="AC78" s="45">
        <f>C78+AK78+(0.1)*AL78</f>
        <v>110.3</v>
      </c>
      <c r="AD78" s="77">
        <v>232</v>
      </c>
      <c r="AE78" s="59">
        <v>5</v>
      </c>
      <c r="AF78" s="59">
        <v>5</v>
      </c>
      <c r="AG78" s="59">
        <v>1900</v>
      </c>
      <c r="AH78" s="77">
        <v>0</v>
      </c>
      <c r="AI78" s="59">
        <f ca="1">AJ78</f>
        <v>2019</v>
      </c>
      <c r="AJ78" s="18">
        <f ca="1">YEAR(TODAY())</f>
        <v>2019</v>
      </c>
      <c r="AK78" s="18">
        <v>99</v>
      </c>
      <c r="AL78" s="18">
        <v>33</v>
      </c>
      <c r="AM78" s="18">
        <v>1</v>
      </c>
      <c r="AN78" s="18">
        <v>1</v>
      </c>
      <c r="AO78" s="24">
        <v>1</v>
      </c>
      <c r="AP78" s="24">
        <v>0</v>
      </c>
      <c r="AQ78" s="18">
        <v>0</v>
      </c>
      <c r="AR78" s="18">
        <v>0</v>
      </c>
      <c r="AS78" s="18">
        <v>0</v>
      </c>
      <c r="AT78" s="18">
        <v>0</v>
      </c>
      <c r="AU78" s="18">
        <v>0</v>
      </c>
      <c r="AV78" s="18">
        <v>0</v>
      </c>
      <c r="AW78" s="18">
        <v>0</v>
      </c>
      <c r="AX78" s="18">
        <v>0</v>
      </c>
      <c r="AY78" s="233"/>
      <c r="AZ78" s="4"/>
      <c r="BA78" s="35" t="str">
        <f>IF(OR(S78="North America",S78="Rocky Mountain"), "Widespread",BC78)</f>
        <v>Widespread</v>
      </c>
      <c r="BB78" s="4"/>
      <c r="BC78" s="35" t="str">
        <f ca="1">IF(BE78&gt;2046, "Abundant",BE78)</f>
        <v>Abundant</v>
      </c>
      <c r="BD78" s="4"/>
      <c r="BE78" s="81">
        <f ca="1">YEAR($C$13)+(BG78*80)</f>
        <v>2122.9616000000001</v>
      </c>
      <c r="BF78" s="4"/>
      <c r="BG78" s="137">
        <f ca="1">BH78*$BH$14</f>
        <v>1.29952</v>
      </c>
      <c r="BH78" s="137">
        <f ca="1">(((BJ78+BK78+BM78+BN78)/4)*$BM$11)+(((BP78+BQ78)/2)*$BQ$11)+(((BU78+BV78+BW78)/3)*$BU$11)+(((BY78+BZ78+CA78+CB78+CC78)/5)*$CA$11)</f>
        <v>1.29952</v>
      </c>
      <c r="BI78" s="4"/>
      <c r="BJ78" s="33">
        <f>AP78/(AM78+AO78)</f>
        <v>0</v>
      </c>
      <c r="BK78" s="33">
        <f>(AN78+AO78)/(AM78+AO78)</f>
        <v>1</v>
      </c>
      <c r="BL78" s="4"/>
      <c r="BM78" s="127">
        <f>CF78/102</f>
        <v>1</v>
      </c>
      <c r="BN78" s="127">
        <f>C78/2</f>
        <v>4</v>
      </c>
      <c r="BO78" s="4"/>
      <c r="BP78" s="127">
        <f>(AK78)/($AW$6)</f>
        <v>1</v>
      </c>
      <c r="BQ78" s="127">
        <f ca="1">(CH78-$AW$4)/((YEAR($C$13))-$AW$4)</f>
        <v>1</v>
      </c>
      <c r="BR78" s="127">
        <f>(AL78)/($AW$6)</f>
        <v>0.33333333333333331</v>
      </c>
      <c r="BS78" s="4"/>
      <c r="BT78" s="127"/>
      <c r="BU78" s="127">
        <f ca="1">(CG78-$AW$4)/((YEAR($C$13))-$AW$4)</f>
        <v>1</v>
      </c>
      <c r="BV78" s="127">
        <f>AE78/5</f>
        <v>1</v>
      </c>
      <c r="BW78" s="127">
        <f>AF78/5</f>
        <v>1</v>
      </c>
      <c r="BX78" s="4"/>
      <c r="BY78" s="148" t="str">
        <f>IF(E78="A",".98",IF(E78="B",".99",IF(E78="C","1.00",IF(E78="D","1.00" ))))</f>
        <v>1.00</v>
      </c>
      <c r="BZ78" s="127">
        <f>(CE78+7)/10</f>
        <v>1</v>
      </c>
      <c r="CA78" s="76" t="str">
        <f>IF(D78="Fern",".97",IF(D78="Grass",".99",IF(D78="Herb",".97",IF(D78="Shrub",".99",IF(D78="Tree","1.00",IF(D78="Vine",".98"))))))</f>
        <v>.97</v>
      </c>
      <c r="CB78" s="149" t="str">
        <f>IF(R78="Bogs Ponds Streams",".96", IF(R78="Coastal Areas",".97",IF(R78="Meadows Dry Open",".96",IF(R78="Forest &amp; Understory",".97",IF(R78="Moist Open",".98",IF(R78="Moist Shady",".96",IF(R78="Sub-Alpine","1.0")))))))</f>
        <v>.96</v>
      </c>
      <c r="CC78" s="76" t="str">
        <f>IF(S78="Local Endemic",".50",IF(S78="Regional Endemic",".70",IF(S78="Cascadia",".90",IF(S78="Rocky Mountain",".95",IF(S78="North America",".99")))))</f>
        <v>.95</v>
      </c>
      <c r="CD78" s="4"/>
      <c r="CE78" s="21">
        <f>IF(W78&gt;3,3,W78)</f>
        <v>3</v>
      </c>
      <c r="CF78" s="21">
        <f>IF(AC78&gt;102,102,AC78)</f>
        <v>102</v>
      </c>
      <c r="CG78" s="34">
        <f ca="1">IF(AI78&lt;$AW$4,$AW$4,AI78)</f>
        <v>2019</v>
      </c>
      <c r="CH78" s="34">
        <f ca="1">IF(AJ78&lt;$AW$4,$AW$4,AJ78)</f>
        <v>2019</v>
      </c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12"/>
    </row>
    <row r="79" spans="1:115" s="13" customFormat="1" ht="15" customHeight="1" x14ac:dyDescent="0.3">
      <c r="A79" s="235"/>
      <c r="B79" s="218"/>
      <c r="C79" s="375">
        <v>1</v>
      </c>
      <c r="D79" s="67" t="s">
        <v>2505</v>
      </c>
      <c r="E79" s="67" t="s">
        <v>2503</v>
      </c>
      <c r="F79" s="403" t="str">
        <f ca="1">IF(BC79&lt;2025, "Extinct&lt; 6Yrs?",BA79)</f>
        <v>Widespread</v>
      </c>
      <c r="G79" s="376" t="s">
        <v>525</v>
      </c>
      <c r="H79" s="376" t="s">
        <v>4028</v>
      </c>
      <c r="I79" s="380" t="s">
        <v>3183</v>
      </c>
      <c r="J79" s="378" t="s">
        <v>3667</v>
      </c>
      <c r="K79" s="378" t="s">
        <v>15</v>
      </c>
      <c r="L79" s="63" t="s">
        <v>1774</v>
      </c>
      <c r="M79" s="64" t="s">
        <v>4160</v>
      </c>
      <c r="N79" s="64" t="s">
        <v>5052</v>
      </c>
      <c r="O79" s="64" t="s">
        <v>5951</v>
      </c>
      <c r="P79" s="61" t="s">
        <v>144</v>
      </c>
      <c r="Q79" s="67" t="s">
        <v>2552</v>
      </c>
      <c r="R79" s="61" t="s">
        <v>2500</v>
      </c>
      <c r="S79" s="61" t="s">
        <v>2495</v>
      </c>
      <c r="T79" s="134" t="str">
        <f>IF(R79="Bogs Ponds Streams","20",IF(R79="Coastal Areas","26",IF(R79="Meadows Dry Open","10",IF(R79="Forest &amp; Understory","14",IF(R79="Moist Open","12",IF(R79="Moist Shady","10",IF(R79="Sub-Alpine Slopes","0")))))))</f>
        <v>10</v>
      </c>
      <c r="U79" s="134" t="str">
        <f>IF(R79="Bogs Ponds Streams","52",IF(R79="Coastal Areas","51",IF(R79="Meadows Dry Open","53",IF(R79="Forest &amp; Understory","52",IF(R79="Moist Open","50",IF(R79="Moist Shady","46",IF(R79="Sub-Alpine Slopes","40")))))))</f>
        <v>53</v>
      </c>
      <c r="V79" s="134" t="str">
        <f>IF(R79="Bogs Ponds Streams","84",IF(R79="Coastal Areas","76",IF(R79="Meadows Dry Open","96", IF(R79="Forest &amp; Understory","90", IF(R79="Moist Open","88", IF(R79="Moist Shady","82", IF(R79="Sub-Alpine Slopes","80")))))))</f>
        <v>96</v>
      </c>
      <c r="W79" s="67">
        <v>2</v>
      </c>
      <c r="X79" s="67">
        <v>0</v>
      </c>
      <c r="Y79" s="67">
        <v>3500</v>
      </c>
      <c r="Z79" s="67" t="s">
        <v>2519</v>
      </c>
      <c r="AA79" s="67" t="s">
        <v>2518</v>
      </c>
      <c r="AB79" s="67">
        <v>6.8</v>
      </c>
      <c r="AC79" s="85">
        <f>C79+AK79+(0.1)*AL79</f>
        <v>25.2</v>
      </c>
      <c r="AD79" s="78">
        <v>9</v>
      </c>
      <c r="AE79" s="67">
        <v>5</v>
      </c>
      <c r="AF79" s="67">
        <v>5</v>
      </c>
      <c r="AG79" s="67">
        <v>1900</v>
      </c>
      <c r="AH79" s="78">
        <v>0</v>
      </c>
      <c r="AI79" s="67">
        <f>AJ79</f>
        <v>2005</v>
      </c>
      <c r="AJ79" s="69">
        <v>2005</v>
      </c>
      <c r="AK79" s="69">
        <v>22</v>
      </c>
      <c r="AL79" s="69">
        <v>22</v>
      </c>
      <c r="AM79" s="70">
        <v>5</v>
      </c>
      <c r="AN79" s="70">
        <v>0</v>
      </c>
      <c r="AO79" s="86">
        <v>0</v>
      </c>
      <c r="AP79" s="70">
        <v>0</v>
      </c>
      <c r="AQ79" s="70">
        <v>0</v>
      </c>
      <c r="AR79" s="70">
        <v>0</v>
      </c>
      <c r="AS79" s="86">
        <v>0</v>
      </c>
      <c r="AT79" s="70">
        <v>0</v>
      </c>
      <c r="AU79" s="70">
        <v>0</v>
      </c>
      <c r="AV79" s="70">
        <v>0</v>
      </c>
      <c r="AW79" s="86">
        <v>0</v>
      </c>
      <c r="AX79" s="70">
        <v>0</v>
      </c>
      <c r="AY79" s="233"/>
      <c r="AZ79" s="4"/>
      <c r="BA79" s="35" t="str">
        <f>IF(OR(S79="North America",S79="Rocky Mountain"), "Widespread",BC79)</f>
        <v>Widespread</v>
      </c>
      <c r="BB79" s="4"/>
      <c r="BC79" s="35">
        <f ca="1">IF(BE79&gt;2046, "Abundant",BE79)</f>
        <v>2037.3794614379085</v>
      </c>
      <c r="BD79" s="4"/>
      <c r="BE79" s="81">
        <f ca="1">YEAR($C$13)+(BG79*80)</f>
        <v>2037.3794614379085</v>
      </c>
      <c r="BF79" s="4"/>
      <c r="BG79" s="137">
        <f ca="1">BH79*$BH$14</f>
        <v>0.22974326797385622</v>
      </c>
      <c r="BH79" s="137">
        <f ca="1">(((BJ79+BK79+BM79+BN79)/4)*$BM$11)+(((BP79+BQ79)/2)*$BQ$11)+(((BU79+BV79+BW79)/3)*$BU$11)+(((BY79+BZ79+CA79+CB79+CC79)/5)*$CA$11)</f>
        <v>0.22974326797385622</v>
      </c>
      <c r="BI79" s="4"/>
      <c r="BJ79" s="33">
        <f>AP79/(AM79+AO79)</f>
        <v>0</v>
      </c>
      <c r="BK79" s="33">
        <f>(AN79+AO79)/(AM79+AO79)</f>
        <v>0</v>
      </c>
      <c r="BL79" s="4"/>
      <c r="BM79" s="127">
        <f>CF79/102</f>
        <v>0.24705882352941175</v>
      </c>
      <c r="BN79" s="127">
        <f>C79/2</f>
        <v>0.5</v>
      </c>
      <c r="BO79" s="4"/>
      <c r="BP79" s="127">
        <f>(AK79)/($AW$6)</f>
        <v>0.22222222222222221</v>
      </c>
      <c r="BQ79" s="127">
        <f ca="1">(CH79-$AW$4)/((YEAR($C$13))-$AW$4)</f>
        <v>6.6666666666666666E-2</v>
      </c>
      <c r="BR79" s="127">
        <f>(AL79)/($AW$6)</f>
        <v>0.22222222222222221</v>
      </c>
      <c r="BS79" s="4"/>
      <c r="BT79" s="127"/>
      <c r="BU79" s="127">
        <f ca="1">(CG79-$AW$4)/((YEAR($C$13))-$AW$4)</f>
        <v>6.6666666666666666E-2</v>
      </c>
      <c r="BV79" s="127">
        <f>AE79/5</f>
        <v>1</v>
      </c>
      <c r="BW79" s="127">
        <f>AF79/5</f>
        <v>1</v>
      </c>
      <c r="BX79" s="4"/>
      <c r="BY79" s="148" t="str">
        <f>IF(E79="A",".98",IF(E79="B",".99",IF(E79="C","1.00",IF(E79="D","1.00" ))))</f>
        <v>.99</v>
      </c>
      <c r="BZ79" s="127">
        <f>(CE79+7)/10</f>
        <v>0.9</v>
      </c>
      <c r="CA79" s="76" t="str">
        <f>IF(D79="Fern",".97",IF(D79="Grass",".99",IF(D79="Herb",".97",IF(D79="Shrub",".99",IF(D79="Tree","1.00",IF(D79="Vine",".98"))))))</f>
        <v>.97</v>
      </c>
      <c r="CB79" s="149" t="str">
        <f>IF(R79="Bogs Ponds Streams",".96", IF(R79="Coastal Areas",".97",IF(R79="Meadows Dry Open",".96",IF(R79="Forest &amp; Understory",".97",IF(R79="Moist Open",".98",IF(R79="Moist Shady",".96",IF(R79="Sub-Alpine","1.0")))))))</f>
        <v>.96</v>
      </c>
      <c r="CC79" s="76" t="str">
        <f>IF(S79="Local Endemic",".50",IF(S79="Regional Endemic",".70",IF(S79="Cascadia",".90",IF(S79="Rocky Mountain",".95",IF(S79="North America",".99")))))</f>
        <v>.99</v>
      </c>
      <c r="CD79" s="4"/>
      <c r="CE79" s="21">
        <f>IF(W79&gt;3,3,W79)</f>
        <v>2</v>
      </c>
      <c r="CF79" s="21">
        <f>IF(AC79&gt;102,102,AC79)</f>
        <v>25.2</v>
      </c>
      <c r="CG79" s="34">
        <f>IF(AI79&lt;$AW$4,$AW$4,AI79)</f>
        <v>2005</v>
      </c>
      <c r="CH79" s="34">
        <f>IF(AJ79&lt;$AW$4,$AW$4,AJ79)</f>
        <v>2005</v>
      </c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12"/>
    </row>
    <row r="80" spans="1:115" s="13" customFormat="1" ht="15" customHeight="1" x14ac:dyDescent="0.3">
      <c r="A80" s="235"/>
      <c r="B80" s="218"/>
      <c r="C80" s="225">
        <v>8</v>
      </c>
      <c r="D80" s="59" t="s">
        <v>2507</v>
      </c>
      <c r="E80" s="59" t="s">
        <v>2504</v>
      </c>
      <c r="F80" s="397" t="str">
        <f ca="1">IF(BC80&lt;2025, "Extinct&lt; 6Yrs?",BA80)</f>
        <v>Abundant</v>
      </c>
      <c r="G80" s="363" t="s">
        <v>525</v>
      </c>
      <c r="H80" s="363" t="s">
        <v>696</v>
      </c>
      <c r="I80" s="364" t="s">
        <v>1886</v>
      </c>
      <c r="J80" s="365" t="s">
        <v>3223</v>
      </c>
      <c r="K80" s="365" t="s">
        <v>859</v>
      </c>
      <c r="L80" s="10" t="s">
        <v>1775</v>
      </c>
      <c r="M80" s="8" t="s">
        <v>4161</v>
      </c>
      <c r="N80" s="8" t="s">
        <v>5053</v>
      </c>
      <c r="O80" s="8" t="s">
        <v>5952</v>
      </c>
      <c r="P80" s="9" t="s">
        <v>198</v>
      </c>
      <c r="Q80" s="59" t="s">
        <v>2552</v>
      </c>
      <c r="R80" s="9" t="s">
        <v>2500</v>
      </c>
      <c r="S80" s="9" t="s">
        <v>2459</v>
      </c>
      <c r="T80" s="123" t="str">
        <f>IF(R80="Bogs Ponds Streams","20",IF(R80="Coastal Areas","26",IF(R80="Meadows Dry Open","10",IF(R80="Forest &amp; Understory","14",IF(R80="Moist Open","12",IF(R80="Moist Shady","10",IF(R80="Sub-Alpine Slopes","0")))))))</f>
        <v>10</v>
      </c>
      <c r="U80" s="123" t="str">
        <f>IF(R80="Bogs Ponds Streams","52",IF(R80="Coastal Areas","51",IF(R80="Meadows Dry Open","53",IF(R80="Forest &amp; Understory","52",IF(R80="Moist Open","50",IF(R80="Moist Shady","46",IF(R80="Sub-Alpine Slopes","40")))))))</f>
        <v>53</v>
      </c>
      <c r="V80" s="123" t="str">
        <f>IF(R80="Bogs Ponds Streams","84",IF(R80="Coastal Areas","76",IF(R80="Meadows Dry Open","96", IF(R80="Forest &amp; Understory","90", IF(R80="Moist Open","88", IF(R80="Moist Shady","82", IF(R80="Sub-Alpine Slopes","80")))))))</f>
        <v>96</v>
      </c>
      <c r="W80" s="59">
        <v>200</v>
      </c>
      <c r="X80" s="59">
        <v>0</v>
      </c>
      <c r="Y80" s="59">
        <v>3500</v>
      </c>
      <c r="Z80" s="59" t="s">
        <v>2519</v>
      </c>
      <c r="AA80" s="59" t="s">
        <v>2518</v>
      </c>
      <c r="AB80" s="59">
        <v>6.8</v>
      </c>
      <c r="AC80" s="45">
        <f>C80+AK80+(0.1)*AL80</f>
        <v>107.3</v>
      </c>
      <c r="AD80" s="77">
        <v>88</v>
      </c>
      <c r="AE80" s="59">
        <v>5</v>
      </c>
      <c r="AF80" s="59">
        <v>5</v>
      </c>
      <c r="AG80" s="59">
        <v>1900</v>
      </c>
      <c r="AH80" s="77">
        <v>0</v>
      </c>
      <c r="AI80" s="59">
        <f ca="1">AJ80</f>
        <v>2019</v>
      </c>
      <c r="AJ80" s="18">
        <f ca="1">YEAR(TODAY())</f>
        <v>2019</v>
      </c>
      <c r="AK80" s="18">
        <v>99</v>
      </c>
      <c r="AL80" s="18">
        <v>3</v>
      </c>
      <c r="AM80" s="18">
        <v>1</v>
      </c>
      <c r="AN80" s="18">
        <v>1</v>
      </c>
      <c r="AO80" s="18">
        <v>5</v>
      </c>
      <c r="AP80" s="18">
        <v>1</v>
      </c>
      <c r="AQ80" s="18">
        <v>0</v>
      </c>
      <c r="AR80" s="18">
        <v>0</v>
      </c>
      <c r="AS80" s="18">
        <v>0</v>
      </c>
      <c r="AT80" s="18">
        <v>0</v>
      </c>
      <c r="AU80" s="18">
        <v>0</v>
      </c>
      <c r="AV80" s="18">
        <v>0</v>
      </c>
      <c r="AW80" s="18">
        <v>0</v>
      </c>
      <c r="AX80" s="18">
        <v>0</v>
      </c>
      <c r="AY80" s="233"/>
      <c r="AZ80" s="4"/>
      <c r="BA80" s="35" t="str">
        <f ca="1">IF(OR(S80="North America",S80="Rocky Mountain"), "Widespread",BC80)</f>
        <v>Abundant</v>
      </c>
      <c r="BB80" s="4"/>
      <c r="BC80" s="35" t="str">
        <f ca="1">IF(BE80&gt;2046, "Abundant",BE80)</f>
        <v>Abundant</v>
      </c>
      <c r="BD80" s="4"/>
      <c r="BE80" s="81">
        <f ca="1">YEAR($C$13)+(BG80*80)</f>
        <v>2124.9551999999999</v>
      </c>
      <c r="BF80" s="4"/>
      <c r="BG80" s="137">
        <f ca="1">BH80*$BH$14</f>
        <v>1.3244400000000001</v>
      </c>
      <c r="BH80" s="137">
        <f ca="1">(((BJ80+BK80+BM80+BN80)/4)*$BM$11)+(((BP80+BQ80)/2)*$BQ$11)+(((BU80+BV80+BW80)/3)*$BU$11)+(((BY80+BZ80+CA80+CB80+CC80)/5)*$CA$11)</f>
        <v>1.3244400000000001</v>
      </c>
      <c r="BI80" s="4"/>
      <c r="BJ80" s="33">
        <f>AP80/(AM80+AO80)</f>
        <v>0.16666666666666666</v>
      </c>
      <c r="BK80" s="33">
        <f>(AN80+AO80)/(AM80+AO80)</f>
        <v>1</v>
      </c>
      <c r="BL80" s="4"/>
      <c r="BM80" s="127">
        <f>CF80/102</f>
        <v>1</v>
      </c>
      <c r="BN80" s="127">
        <f>C80/2</f>
        <v>4</v>
      </c>
      <c r="BO80" s="4"/>
      <c r="BP80" s="127">
        <f>(AK80)/($AW$6)</f>
        <v>1</v>
      </c>
      <c r="BQ80" s="127">
        <f ca="1">(CH80-$AW$4)/((YEAR($C$13))-$AW$4)</f>
        <v>1</v>
      </c>
      <c r="BR80" s="127">
        <f>(AL80)/($AW$6)</f>
        <v>3.0303030303030304E-2</v>
      </c>
      <c r="BS80" s="4"/>
      <c r="BT80" s="127"/>
      <c r="BU80" s="127">
        <f ca="1">(CG80-$AW$4)/((YEAR($C$13))-$AW$4)</f>
        <v>1</v>
      </c>
      <c r="BV80" s="127">
        <f>AE80/5</f>
        <v>1</v>
      </c>
      <c r="BW80" s="127">
        <f>AF80/5</f>
        <v>1</v>
      </c>
      <c r="BX80" s="4"/>
      <c r="BY80" s="148" t="str">
        <f>IF(E80="A",".98",IF(E80="B",".99",IF(E80="C","1.00",IF(E80="D","1.00" ))))</f>
        <v>1.00</v>
      </c>
      <c r="BZ80" s="127">
        <f>(CE80+7)/10</f>
        <v>1</v>
      </c>
      <c r="CA80" s="76" t="str">
        <f>IF(D80="Fern",".97",IF(D80="Grass",".99",IF(D80="Herb",".97",IF(D80="Shrub",".99",IF(D80="Tree","1.00",IF(D80="Vine",".98"))))))</f>
        <v>1.00</v>
      </c>
      <c r="CB80" s="149" t="str">
        <f>IF(R80="Bogs Ponds Streams",".96", IF(R80="Coastal Areas",".97",IF(R80="Meadows Dry Open",".96",IF(R80="Forest &amp; Understory",".97",IF(R80="Moist Open",".98",IF(R80="Moist Shady",".96",IF(R80="Sub-Alpine","1.0")))))))</f>
        <v>.96</v>
      </c>
      <c r="CC80" s="76" t="str">
        <f>IF(S80="Local Endemic",".50",IF(S80="Regional Endemic",".70",IF(S80="Cascadia",".90",IF(S80="Rocky Mountain",".95",IF(S80="North America",".99")))))</f>
        <v>.90</v>
      </c>
      <c r="CD80" s="4"/>
      <c r="CE80" s="21">
        <f>IF(W80&gt;3,3,W80)</f>
        <v>3</v>
      </c>
      <c r="CF80" s="21">
        <f>IF(AC80&gt;102,102,AC80)</f>
        <v>102</v>
      </c>
      <c r="CG80" s="34">
        <f ca="1">IF(AI80&lt;$AW$4,$AW$4,AI80)</f>
        <v>2019</v>
      </c>
      <c r="CH80" s="34">
        <f ca="1">IF(AJ80&lt;$AW$4,$AW$4,AJ80)</f>
        <v>2019</v>
      </c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12"/>
    </row>
    <row r="81" spans="1:115" s="13" customFormat="1" ht="15" customHeight="1" x14ac:dyDescent="0.3">
      <c r="A81" s="235"/>
      <c r="B81" s="218"/>
      <c r="C81" s="375">
        <v>1</v>
      </c>
      <c r="D81" s="67" t="s">
        <v>2505</v>
      </c>
      <c r="E81" s="67" t="s">
        <v>2501</v>
      </c>
      <c r="F81" s="403">
        <f ca="1">IF(BC81&lt;2025, "Extinct&lt; 6Yrs?",BA81)</f>
        <v>2032.7330899584076</v>
      </c>
      <c r="G81" s="376" t="s">
        <v>525</v>
      </c>
      <c r="H81" s="376" t="s">
        <v>4028</v>
      </c>
      <c r="I81" s="380" t="s">
        <v>1887</v>
      </c>
      <c r="J81" s="378" t="s">
        <v>3666</v>
      </c>
      <c r="K81" s="378" t="s">
        <v>397</v>
      </c>
      <c r="L81" s="63" t="s">
        <v>1776</v>
      </c>
      <c r="M81" s="64" t="s">
        <v>4162</v>
      </c>
      <c r="N81" s="64" t="s">
        <v>5054</v>
      </c>
      <c r="O81" s="64" t="s">
        <v>5953</v>
      </c>
      <c r="P81" s="61" t="s">
        <v>4037</v>
      </c>
      <c r="Q81" s="67" t="s">
        <v>2552</v>
      </c>
      <c r="R81" s="61" t="s">
        <v>2530</v>
      </c>
      <c r="S81" s="61" t="s">
        <v>2459</v>
      </c>
      <c r="T81" s="134" t="str">
        <f>IF(R81="Bogs Ponds Streams","20",IF(R81="Coastal Areas","26",IF(R81="Meadows Dry Open","10",IF(R81="Forest &amp; Understory","14",IF(R81="Moist Open","12",IF(R81="Moist Shady","10",IF(R81="Sub-Alpine Slopes","0")))))))</f>
        <v>14</v>
      </c>
      <c r="U81" s="134" t="str">
        <f>IF(R81="Bogs Ponds Streams","52",IF(R81="Coastal Areas","51",IF(R81="Meadows Dry Open","53",IF(R81="Forest &amp; Understory","52",IF(R81="Moist Open","50",IF(R81="Moist Shady","46",IF(R81="Sub-Alpine Slopes","40")))))))</f>
        <v>52</v>
      </c>
      <c r="V81" s="134" t="str">
        <f>IF(R81="Bogs Ponds Streams","84",IF(R81="Coastal Areas","76",IF(R81="Meadows Dry Open","96", IF(R81="Forest &amp; Understory","90", IF(R81="Moist Open","88", IF(R81="Moist Shady","82", IF(R81="Sub-Alpine Slopes","80")))))))</f>
        <v>90</v>
      </c>
      <c r="W81" s="67">
        <v>20</v>
      </c>
      <c r="X81" s="67">
        <v>0</v>
      </c>
      <c r="Y81" s="67">
        <v>3500</v>
      </c>
      <c r="Z81" s="67" t="s">
        <v>2519</v>
      </c>
      <c r="AA81" s="67" t="s">
        <v>2518</v>
      </c>
      <c r="AB81" s="67">
        <v>6.8</v>
      </c>
      <c r="AC81" s="85">
        <f>C81+AK81+(0.1)*AL81</f>
        <v>5.2</v>
      </c>
      <c r="AD81" s="78">
        <v>23</v>
      </c>
      <c r="AE81" s="67">
        <v>5</v>
      </c>
      <c r="AF81" s="67">
        <v>5</v>
      </c>
      <c r="AG81" s="67">
        <v>1900</v>
      </c>
      <c r="AH81" s="78">
        <v>0</v>
      </c>
      <c r="AI81" s="67">
        <f>AJ81</f>
        <v>2005</v>
      </c>
      <c r="AJ81" s="69">
        <v>2005</v>
      </c>
      <c r="AK81" s="69">
        <v>3</v>
      </c>
      <c r="AL81" s="69">
        <v>12</v>
      </c>
      <c r="AM81" s="70">
        <v>5</v>
      </c>
      <c r="AN81" s="70">
        <v>0</v>
      </c>
      <c r="AO81" s="86">
        <v>0</v>
      </c>
      <c r="AP81" s="70">
        <v>0</v>
      </c>
      <c r="AQ81" s="70">
        <v>0</v>
      </c>
      <c r="AR81" s="70">
        <v>0</v>
      </c>
      <c r="AS81" s="86">
        <v>0</v>
      </c>
      <c r="AT81" s="70">
        <v>0</v>
      </c>
      <c r="AU81" s="70">
        <v>0</v>
      </c>
      <c r="AV81" s="70">
        <v>0</v>
      </c>
      <c r="AW81" s="86">
        <v>0</v>
      </c>
      <c r="AX81" s="70">
        <v>0</v>
      </c>
      <c r="AY81" s="233"/>
      <c r="AZ81" s="4"/>
      <c r="BA81" s="35">
        <f ca="1">IF(OR(S81="North America",S81="Rocky Mountain"), "Widespread",BC81)</f>
        <v>2032.7330899584076</v>
      </c>
      <c r="BB81" s="4"/>
      <c r="BC81" s="35">
        <f ca="1">IF(BE81&gt;2046, "Abundant",BE81)</f>
        <v>2032.7330899584076</v>
      </c>
      <c r="BD81" s="4"/>
      <c r="BE81" s="81">
        <f ca="1">YEAR($C$13)+(BG81*80)</f>
        <v>2032.7330899584076</v>
      </c>
      <c r="BF81" s="4"/>
      <c r="BG81" s="137">
        <f ca="1">BH81*$BH$14</f>
        <v>0.17166362448009506</v>
      </c>
      <c r="BH81" s="137">
        <f ca="1">(((BJ81+BK81+BM81+BN81)/4)*$BM$11)+(((BP81+BQ81)/2)*$BQ$11)+(((BU81+BV81+BW81)/3)*$BU$11)+(((BY81+BZ81+CA81+CB81+CC81)/5)*$CA$11)</f>
        <v>0.17166362448009506</v>
      </c>
      <c r="BI81" s="4"/>
      <c r="BJ81" s="33">
        <f>AP81/(AM81+AO81)</f>
        <v>0</v>
      </c>
      <c r="BK81" s="33">
        <f>(AN81+AO81)/(AM81+AO81)</f>
        <v>0</v>
      </c>
      <c r="BL81" s="4"/>
      <c r="BM81" s="127">
        <f>CF81/102</f>
        <v>5.0980392156862744E-2</v>
      </c>
      <c r="BN81" s="127">
        <f>C81/2</f>
        <v>0.5</v>
      </c>
      <c r="BO81" s="4"/>
      <c r="BP81" s="127">
        <f>(AK81)/($AW$6)</f>
        <v>3.0303030303030304E-2</v>
      </c>
      <c r="BQ81" s="127">
        <f ca="1">(CH81-$AW$4)/((YEAR($C$13))-$AW$4)</f>
        <v>6.6666666666666666E-2</v>
      </c>
      <c r="BR81" s="127">
        <f>(AL81)/($AW$6)</f>
        <v>0.12121212121212122</v>
      </c>
      <c r="BS81" s="4"/>
      <c r="BT81" s="127"/>
      <c r="BU81" s="127">
        <f ca="1">(CG81-$AW$4)/((YEAR($C$13))-$AW$4)</f>
        <v>6.6666666666666666E-2</v>
      </c>
      <c r="BV81" s="127">
        <f>AE81/5</f>
        <v>1</v>
      </c>
      <c r="BW81" s="127">
        <f>AF81/5</f>
        <v>1</v>
      </c>
      <c r="BX81" s="4"/>
      <c r="BY81" s="148" t="str">
        <f>IF(E81="A",".98",IF(E81="B",".99",IF(E81="C","1.00",IF(E81="D","1.00" ))))</f>
        <v>1.00</v>
      </c>
      <c r="BZ81" s="127">
        <f>(CE81+7)/10</f>
        <v>1</v>
      </c>
      <c r="CA81" s="76" t="str">
        <f>IF(D81="Fern",".97",IF(D81="Grass",".99",IF(D81="Herb",".97",IF(D81="Shrub",".99",IF(D81="Tree","1.00",IF(D81="Vine",".98"))))))</f>
        <v>.97</v>
      </c>
      <c r="CB81" s="149" t="str">
        <f>IF(R81="Bogs Ponds Streams",".96", IF(R81="Coastal Areas",".97",IF(R81="Meadows Dry Open",".96",IF(R81="Forest &amp; Understory",".97",IF(R81="Moist Open",".98",IF(R81="Moist Shady",".96",IF(R81="Sub-Alpine","1.0")))))))</f>
        <v>.97</v>
      </c>
      <c r="CC81" s="76" t="str">
        <f>IF(S81="Local Endemic",".50",IF(S81="Regional Endemic",".70",IF(S81="Cascadia",".90",IF(S81="Rocky Mountain",".95",IF(S81="North America",".99")))))</f>
        <v>.90</v>
      </c>
      <c r="CD81" s="4"/>
      <c r="CE81" s="21">
        <f>IF(W81&gt;3,3,W81)</f>
        <v>3</v>
      </c>
      <c r="CF81" s="21">
        <f>IF(AC81&gt;102,102,AC81)</f>
        <v>5.2</v>
      </c>
      <c r="CG81" s="34">
        <f>IF(AI81&lt;$AW$4,$AW$4,AI81)</f>
        <v>2005</v>
      </c>
      <c r="CH81" s="34">
        <f>IF(AJ81&lt;$AW$4,$AW$4,AJ81)</f>
        <v>2005</v>
      </c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12"/>
    </row>
    <row r="82" spans="1:115" s="13" customFormat="1" ht="15" customHeight="1" x14ac:dyDescent="0.3">
      <c r="A82" s="235"/>
      <c r="B82" s="218"/>
      <c r="C82" s="375">
        <v>1</v>
      </c>
      <c r="D82" s="67" t="s">
        <v>2505</v>
      </c>
      <c r="E82" s="67" t="s">
        <v>2501</v>
      </c>
      <c r="F82" s="403">
        <f ca="1">IF(BC82&lt;2025, "Extinct&lt; 6Yrs?",BA82)</f>
        <v>2042.2911885918004</v>
      </c>
      <c r="G82" s="376" t="s">
        <v>525</v>
      </c>
      <c r="H82" s="376" t="s">
        <v>4028</v>
      </c>
      <c r="I82" s="379" t="s">
        <v>2597</v>
      </c>
      <c r="J82" s="378" t="s">
        <v>3665</v>
      </c>
      <c r="K82" s="378" t="s">
        <v>2740</v>
      </c>
      <c r="L82" s="63" t="s">
        <v>1777</v>
      </c>
      <c r="M82" s="64" t="s">
        <v>4163</v>
      </c>
      <c r="N82" s="64" t="s">
        <v>5055</v>
      </c>
      <c r="O82" s="64" t="s">
        <v>5954</v>
      </c>
      <c r="P82" s="61" t="s">
        <v>4037</v>
      </c>
      <c r="Q82" s="67" t="s">
        <v>2552</v>
      </c>
      <c r="R82" s="61" t="s">
        <v>2530</v>
      </c>
      <c r="S82" s="63" t="s">
        <v>2459</v>
      </c>
      <c r="T82" s="134" t="str">
        <f>IF(R82="Bogs Ponds Streams","20",IF(R82="Coastal Areas","26",IF(R82="Meadows Dry Open","10",IF(R82="Forest &amp; Understory","14",IF(R82="Moist Open","12",IF(R82="Moist Shady","10",IF(R82="Sub-Alpine Slopes","0")))))))</f>
        <v>14</v>
      </c>
      <c r="U82" s="134" t="str">
        <f>IF(R82="Bogs Ponds Streams","52",IF(R82="Coastal Areas","51",IF(R82="Meadows Dry Open","53",IF(R82="Forest &amp; Understory","52",IF(R82="Moist Open","50",IF(R82="Moist Shady","46",IF(R82="Sub-Alpine Slopes","40")))))))</f>
        <v>52</v>
      </c>
      <c r="V82" s="134" t="str">
        <f>IF(R82="Bogs Ponds Streams","84",IF(R82="Coastal Areas","76",IF(R82="Meadows Dry Open","96", IF(R82="Forest &amp; Understory","90", IF(R82="Moist Open","88", IF(R82="Moist Shady","82", IF(R82="Sub-Alpine Slopes","80")))))))</f>
        <v>90</v>
      </c>
      <c r="W82" s="67">
        <v>20</v>
      </c>
      <c r="X82" s="67">
        <v>0</v>
      </c>
      <c r="Y82" s="67">
        <v>3500</v>
      </c>
      <c r="Z82" s="67" t="s">
        <v>2519</v>
      </c>
      <c r="AA82" s="67" t="s">
        <v>2518</v>
      </c>
      <c r="AB82" s="67">
        <v>6.8</v>
      </c>
      <c r="AC82" s="85">
        <f>C82+AK82+(0.1)*AL82</f>
        <v>13.1</v>
      </c>
      <c r="AD82" s="78">
        <v>41</v>
      </c>
      <c r="AE82" s="67">
        <v>5</v>
      </c>
      <c r="AF82" s="67">
        <v>5</v>
      </c>
      <c r="AG82" s="67">
        <v>1900</v>
      </c>
      <c r="AH82" s="78">
        <v>0</v>
      </c>
      <c r="AI82" s="67">
        <f>AJ82</f>
        <v>2013</v>
      </c>
      <c r="AJ82" s="69">
        <v>2013</v>
      </c>
      <c r="AK82" s="69">
        <v>12</v>
      </c>
      <c r="AL82" s="69">
        <v>1</v>
      </c>
      <c r="AM82" s="70">
        <v>5</v>
      </c>
      <c r="AN82" s="70">
        <v>0</v>
      </c>
      <c r="AO82" s="86">
        <v>0</v>
      </c>
      <c r="AP82" s="70">
        <v>0</v>
      </c>
      <c r="AQ82" s="70">
        <v>0</v>
      </c>
      <c r="AR82" s="70">
        <v>0</v>
      </c>
      <c r="AS82" s="86">
        <v>0</v>
      </c>
      <c r="AT82" s="70">
        <v>0</v>
      </c>
      <c r="AU82" s="70">
        <v>0</v>
      </c>
      <c r="AV82" s="70">
        <v>0</v>
      </c>
      <c r="AW82" s="86">
        <v>0</v>
      </c>
      <c r="AX82" s="70">
        <v>0</v>
      </c>
      <c r="AY82" s="233"/>
      <c r="AZ82" s="4"/>
      <c r="BA82" s="35">
        <f ca="1">IF(OR(S82="North America",S82="Rocky Mountain"), "Widespread",BC82)</f>
        <v>2042.2911885918004</v>
      </c>
      <c r="BB82" s="4"/>
      <c r="BC82" s="35">
        <f ca="1">IF(BE82&gt;2046, "Abundant",BE82)</f>
        <v>2042.2911885918004</v>
      </c>
      <c r="BD82" s="4"/>
      <c r="BE82" s="81">
        <f ca="1">YEAR($C$13)+(BG82*80)</f>
        <v>2042.2911885918004</v>
      </c>
      <c r="BF82" s="4"/>
      <c r="BG82" s="137">
        <f ca="1">BH82*$BH$14</f>
        <v>0.29113985739750442</v>
      </c>
      <c r="BH82" s="137">
        <f ca="1">(((BJ82+BK82+BM82+BN82)/4)*$BM$11)+(((BP82+BQ82)/2)*$BQ$11)+(((BU82+BV82+BW82)/3)*$BU$11)+(((BY82+BZ82+CA82+CB82+CC82)/5)*$CA$11)</f>
        <v>0.29113985739750442</v>
      </c>
      <c r="BI82" s="4"/>
      <c r="BJ82" s="33">
        <f>AP82/(AM82+AO82)</f>
        <v>0</v>
      </c>
      <c r="BK82" s="33">
        <f>(AN82+AO82)/(AM82+AO82)</f>
        <v>0</v>
      </c>
      <c r="BL82" s="4"/>
      <c r="BM82" s="127">
        <f>CF82/102</f>
        <v>0.1284313725490196</v>
      </c>
      <c r="BN82" s="127">
        <f>C82/2</f>
        <v>0.5</v>
      </c>
      <c r="BO82" s="4"/>
      <c r="BP82" s="127">
        <f>(AK82)/($AW$6)</f>
        <v>0.12121212121212122</v>
      </c>
      <c r="BQ82" s="127">
        <f ca="1">(CH82-$AW$4)/((YEAR($C$13))-$AW$4)</f>
        <v>0.6</v>
      </c>
      <c r="BR82" s="127">
        <f>(AL82)/($AW$6)</f>
        <v>1.0101010101010102E-2</v>
      </c>
      <c r="BS82" s="4"/>
      <c r="BT82" s="127"/>
      <c r="BU82" s="127">
        <f ca="1">(CG82-$AW$4)/((YEAR($C$13))-$AW$4)</f>
        <v>0.6</v>
      </c>
      <c r="BV82" s="127">
        <f>AE82/5</f>
        <v>1</v>
      </c>
      <c r="BW82" s="127">
        <f>AF82/5</f>
        <v>1</v>
      </c>
      <c r="BX82" s="4"/>
      <c r="BY82" s="148" t="str">
        <f>IF(E82="A",".98",IF(E82="B",".99",IF(E82="C","1.00",IF(E82="D","1.00" ))))</f>
        <v>1.00</v>
      </c>
      <c r="BZ82" s="127">
        <f>(CE82+7)/10</f>
        <v>1</v>
      </c>
      <c r="CA82" s="76" t="str">
        <f>IF(D82="Fern",".97",IF(D82="Grass",".99",IF(D82="Herb",".97",IF(D82="Shrub",".99",IF(D82="Tree","1.00",IF(D82="Vine",".98"))))))</f>
        <v>.97</v>
      </c>
      <c r="CB82" s="149" t="str">
        <f>IF(R82="Bogs Ponds Streams",".96", IF(R82="Coastal Areas",".97",IF(R82="Meadows Dry Open",".96",IF(R82="Forest &amp; Understory",".97",IF(R82="Moist Open",".98",IF(R82="Moist Shady",".96",IF(R82="Sub-Alpine","1.0")))))))</f>
        <v>.97</v>
      </c>
      <c r="CC82" s="76" t="str">
        <f>IF(S82="Local Endemic",".50",IF(S82="Regional Endemic",".70",IF(S82="Cascadia",".90",IF(S82="Rocky Mountain",".95",IF(S82="North America",".99")))))</f>
        <v>.90</v>
      </c>
      <c r="CD82" s="4"/>
      <c r="CE82" s="21">
        <f>IF(W82&gt;3,3,W82)</f>
        <v>3</v>
      </c>
      <c r="CF82" s="21">
        <f>IF(AC82&gt;102,102,AC82)</f>
        <v>13.1</v>
      </c>
      <c r="CG82" s="34">
        <f>IF(AI82&lt;$AW$4,$AW$4,AI82)</f>
        <v>2013</v>
      </c>
      <c r="CH82" s="34">
        <f>IF(AJ82&lt;$AW$4,$AW$4,AJ82)</f>
        <v>2013</v>
      </c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12"/>
    </row>
    <row r="83" spans="1:115" s="13" customFormat="1" ht="15" customHeight="1" x14ac:dyDescent="0.3">
      <c r="A83" s="235"/>
      <c r="B83" s="218"/>
      <c r="C83" s="225">
        <v>8</v>
      </c>
      <c r="D83" s="59" t="s">
        <v>2506</v>
      </c>
      <c r="E83" s="60" t="s">
        <v>2501</v>
      </c>
      <c r="F83" s="397" t="str">
        <f ca="1">IF(BC83&lt;2025, "Extinct&lt; 6Yrs?",BA83)</f>
        <v>Widespread</v>
      </c>
      <c r="G83" s="363" t="s">
        <v>525</v>
      </c>
      <c r="H83" s="363" t="s">
        <v>696</v>
      </c>
      <c r="I83" s="10" t="s">
        <v>1888</v>
      </c>
      <c r="J83" s="365" t="s">
        <v>3224</v>
      </c>
      <c r="K83" s="365" t="s">
        <v>706</v>
      </c>
      <c r="L83" s="17" t="s">
        <v>1778</v>
      </c>
      <c r="M83" s="8" t="s">
        <v>4164</v>
      </c>
      <c r="N83" s="8" t="s">
        <v>5056</v>
      </c>
      <c r="O83" s="8" t="s">
        <v>5955</v>
      </c>
      <c r="P83" s="9" t="s">
        <v>198</v>
      </c>
      <c r="Q83" s="59" t="s">
        <v>2558</v>
      </c>
      <c r="R83" s="9" t="s">
        <v>2498</v>
      </c>
      <c r="S83" s="9" t="s">
        <v>2495</v>
      </c>
      <c r="T83" s="123" t="str">
        <f>IF(R83="Bogs Ponds Streams","20",IF(R83="Coastal Areas","26",IF(R83="Meadows Dry Open","10",IF(R83="Forest &amp; Understory","14",IF(R83="Moist Open","12",IF(R83="Moist Shady","10",IF(R83="Sub-Alpine Slopes","0")))))))</f>
        <v>10</v>
      </c>
      <c r="U83" s="123" t="str">
        <f>IF(R83="Bogs Ponds Streams","52",IF(R83="Coastal Areas","51",IF(R83="Meadows Dry Open","53",IF(R83="Forest &amp; Understory","52",IF(R83="Moist Open","50",IF(R83="Moist Shady","46",IF(R83="Sub-Alpine Slopes","40")))))))</f>
        <v>46</v>
      </c>
      <c r="V83" s="123" t="str">
        <f>IF(R83="Bogs Ponds Streams","84",IF(R83="Coastal Areas","76",IF(R83="Meadows Dry Open","96", IF(R83="Forest &amp; Understory","90", IF(R83="Moist Open","88", IF(R83="Moist Shady","82", IF(R83="Sub-Alpine Slopes","80")))))))</f>
        <v>82</v>
      </c>
      <c r="W83" s="59">
        <v>20</v>
      </c>
      <c r="X83" s="59">
        <v>0</v>
      </c>
      <c r="Y83" s="59">
        <v>3500</v>
      </c>
      <c r="Z83" s="59" t="s">
        <v>2519</v>
      </c>
      <c r="AA83" s="59" t="s">
        <v>2518</v>
      </c>
      <c r="AB83" s="59">
        <v>6.8</v>
      </c>
      <c r="AC83" s="45">
        <f>C83+AK83+(0.1)*AL83</f>
        <v>41</v>
      </c>
      <c r="AD83" s="77">
        <v>161</v>
      </c>
      <c r="AE83" s="59">
        <v>5</v>
      </c>
      <c r="AF83" s="59">
        <v>5</v>
      </c>
      <c r="AG83" s="59">
        <v>1900</v>
      </c>
      <c r="AH83" s="77">
        <v>0</v>
      </c>
      <c r="AI83" s="59">
        <f ca="1">AJ83</f>
        <v>2019</v>
      </c>
      <c r="AJ83" s="18">
        <f ca="1">YEAR(TODAY())</f>
        <v>2019</v>
      </c>
      <c r="AK83" s="18">
        <v>33</v>
      </c>
      <c r="AL83" s="18">
        <v>0</v>
      </c>
      <c r="AM83" s="18">
        <v>1</v>
      </c>
      <c r="AN83" s="18">
        <v>1</v>
      </c>
      <c r="AO83" s="18">
        <v>5</v>
      </c>
      <c r="AP83" s="18">
        <v>1</v>
      </c>
      <c r="AQ83" s="18">
        <v>0</v>
      </c>
      <c r="AR83" s="18">
        <v>0</v>
      </c>
      <c r="AS83" s="18">
        <v>0</v>
      </c>
      <c r="AT83" s="18">
        <v>0</v>
      </c>
      <c r="AU83" s="18">
        <v>0</v>
      </c>
      <c r="AV83" s="18">
        <v>0</v>
      </c>
      <c r="AW83" s="18">
        <v>0</v>
      </c>
      <c r="AX83" s="18">
        <v>0</v>
      </c>
      <c r="AY83" s="233"/>
      <c r="AZ83" s="4"/>
      <c r="BA83" s="35" t="str">
        <f>IF(OR(S83="North America",S83="Rocky Mountain"), "Widespread",BC83)</f>
        <v>Widespread</v>
      </c>
      <c r="BB83" s="4"/>
      <c r="BC83" s="35" t="str">
        <f ca="1">IF(BE83&gt;2046, "Abundant",BE83)</f>
        <v>Abundant</v>
      </c>
      <c r="BD83" s="4"/>
      <c r="BE83" s="81">
        <f ca="1">YEAR($C$13)+(BG83*80)</f>
        <v>2109.8043294117647</v>
      </c>
      <c r="BF83" s="4"/>
      <c r="BG83" s="137">
        <f ca="1">BH83*$BH$14</f>
        <v>1.1350541176470588</v>
      </c>
      <c r="BH83" s="137">
        <f ca="1">(((BJ83+BK83+BM83+BN83)/4)*$BM$11)+(((BP83+BQ83)/2)*$BQ$11)+(((BU83+BV83+BW83)/3)*$BU$11)+(((BY83+BZ83+CA83+CB83+CC83)/5)*$CA$11)</f>
        <v>1.1350541176470588</v>
      </c>
      <c r="BI83" s="4"/>
      <c r="BJ83" s="33">
        <f>AP83/(AM83+AO83)</f>
        <v>0.16666666666666666</v>
      </c>
      <c r="BK83" s="33">
        <f>(AN83+AO83)/(AM83+AO83)</f>
        <v>1</v>
      </c>
      <c r="BL83" s="4"/>
      <c r="BM83" s="127">
        <f>CF83/102</f>
        <v>0.40196078431372551</v>
      </c>
      <c r="BN83" s="127">
        <f>C83/2</f>
        <v>4</v>
      </c>
      <c r="BO83" s="4"/>
      <c r="BP83" s="127">
        <f>(AK83)/($AW$6)</f>
        <v>0.33333333333333331</v>
      </c>
      <c r="BQ83" s="127">
        <f ca="1">(CH83-$AW$4)/((YEAR($C$13))-$AW$4)</f>
        <v>1</v>
      </c>
      <c r="BR83" s="127">
        <f>(AL83)/($AW$6)</f>
        <v>0</v>
      </c>
      <c r="BS83" s="4"/>
      <c r="BT83" s="127"/>
      <c r="BU83" s="127">
        <f ca="1">(CG83-$AW$4)/((YEAR($C$13))-$AW$4)</f>
        <v>1</v>
      </c>
      <c r="BV83" s="127">
        <f>AE83/5</f>
        <v>1</v>
      </c>
      <c r="BW83" s="127">
        <f>AF83/5</f>
        <v>1</v>
      </c>
      <c r="BX83" s="4"/>
      <c r="BY83" s="148" t="str">
        <f>IF(E83="A",".98",IF(E83="B",".99",IF(E83="C","1.00",IF(E83="D","1.00" ))))</f>
        <v>1.00</v>
      </c>
      <c r="BZ83" s="127">
        <f>(CE83+7)/10</f>
        <v>1</v>
      </c>
      <c r="CA83" s="76" t="str">
        <f>IF(D83="Fern",".97",IF(D83="Grass",".99",IF(D83="Herb",".97",IF(D83="Shrub",".99",IF(D83="Tree","1.00",IF(D83="Vine",".98"))))))</f>
        <v>.99</v>
      </c>
      <c r="CB83" s="149" t="str">
        <f>IF(R83="Bogs Ponds Streams",".96", IF(R83="Coastal Areas",".97",IF(R83="Meadows Dry Open",".96",IF(R83="Forest &amp; Understory",".97",IF(R83="Moist Open",".98",IF(R83="Moist Shady",".96",IF(R83="Sub-Alpine","1.0")))))))</f>
        <v>.96</v>
      </c>
      <c r="CC83" s="76" t="str">
        <f>IF(S83="Local Endemic",".50",IF(S83="Regional Endemic",".70",IF(S83="Cascadia",".90",IF(S83="Rocky Mountain",".95",IF(S83="North America",".99")))))</f>
        <v>.99</v>
      </c>
      <c r="CD83" s="4"/>
      <c r="CE83" s="21">
        <f>IF(W83&gt;3,3,W83)</f>
        <v>3</v>
      </c>
      <c r="CF83" s="21">
        <f>IF(AC83&gt;102,102,AC83)</f>
        <v>41</v>
      </c>
      <c r="CG83" s="34">
        <f ca="1">IF(AI83&lt;$AW$4,$AW$4,AI83)</f>
        <v>2019</v>
      </c>
      <c r="CH83" s="34">
        <f ca="1">IF(AJ83&lt;$AW$4,$AW$4,AJ83)</f>
        <v>2019</v>
      </c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12"/>
    </row>
    <row r="84" spans="1:115" s="13" customFormat="1" ht="15" customHeight="1" x14ac:dyDescent="0.3">
      <c r="A84" s="235"/>
      <c r="B84" s="218"/>
      <c r="C84" s="225">
        <v>8</v>
      </c>
      <c r="D84" s="59" t="s">
        <v>2506</v>
      </c>
      <c r="E84" s="60" t="s">
        <v>2501</v>
      </c>
      <c r="F84" s="397" t="str">
        <f ca="1">IF(BC84&lt;2025, "Extinct&lt; 6Yrs?",BA84)</f>
        <v>Abundant</v>
      </c>
      <c r="G84" s="363" t="s">
        <v>525</v>
      </c>
      <c r="H84" s="363" t="s">
        <v>691</v>
      </c>
      <c r="I84" s="10" t="s">
        <v>1889</v>
      </c>
      <c r="J84" s="365" t="s">
        <v>2742</v>
      </c>
      <c r="K84" s="365" t="s">
        <v>2741</v>
      </c>
      <c r="L84" s="10" t="s">
        <v>3226</v>
      </c>
      <c r="M84" s="8" t="s">
        <v>4165</v>
      </c>
      <c r="N84" s="8" t="s">
        <v>5057</v>
      </c>
      <c r="O84" s="8" t="s">
        <v>5956</v>
      </c>
      <c r="P84" s="9" t="s">
        <v>198</v>
      </c>
      <c r="Q84" s="59" t="s">
        <v>2558</v>
      </c>
      <c r="R84" s="9" t="s">
        <v>2500</v>
      </c>
      <c r="S84" s="9" t="s">
        <v>2316</v>
      </c>
      <c r="T84" s="123" t="str">
        <f>IF(R84="Bogs Ponds Streams","20",IF(R84="Coastal Areas","26",IF(R84="Meadows Dry Open","10",IF(R84="Forest &amp; Understory","14",IF(R84="Moist Open","12",IF(R84="Moist Shady","10",IF(R84="Sub-Alpine Slopes","0")))))))</f>
        <v>10</v>
      </c>
      <c r="U84" s="123" t="str">
        <f>IF(R84="Bogs Ponds Streams","52",IF(R84="Coastal Areas","51",IF(R84="Meadows Dry Open","53",IF(R84="Forest &amp; Understory","52",IF(R84="Moist Open","50",IF(R84="Moist Shady","46",IF(R84="Sub-Alpine Slopes","40")))))))</f>
        <v>53</v>
      </c>
      <c r="V84" s="123" t="str">
        <f>IF(R84="Bogs Ponds Streams","84",IF(R84="Coastal Areas","76",IF(R84="Meadows Dry Open","96", IF(R84="Forest &amp; Understory","90", IF(R84="Moist Open","88", IF(R84="Moist Shady","82", IF(R84="Sub-Alpine Slopes","80")))))))</f>
        <v>96</v>
      </c>
      <c r="W84" s="59">
        <v>20</v>
      </c>
      <c r="X84" s="59">
        <v>0</v>
      </c>
      <c r="Y84" s="59">
        <v>3500</v>
      </c>
      <c r="Z84" s="59" t="s">
        <v>2519</v>
      </c>
      <c r="AA84" s="59" t="s">
        <v>2518</v>
      </c>
      <c r="AB84" s="59">
        <v>6.8</v>
      </c>
      <c r="AC84" s="45">
        <f>C84+AK84+(0.1)*AL84</f>
        <v>52</v>
      </c>
      <c r="AD84" s="77">
        <v>45</v>
      </c>
      <c r="AE84" s="59">
        <v>5</v>
      </c>
      <c r="AF84" s="59">
        <v>5</v>
      </c>
      <c r="AG84" s="59">
        <v>1900</v>
      </c>
      <c r="AH84" s="77">
        <v>0</v>
      </c>
      <c r="AI84" s="59">
        <f ca="1">AJ84</f>
        <v>2019</v>
      </c>
      <c r="AJ84" s="18">
        <f ca="1">YEAR(TODAY())</f>
        <v>2019</v>
      </c>
      <c r="AK84" s="18">
        <v>44</v>
      </c>
      <c r="AL84" s="18">
        <v>0</v>
      </c>
      <c r="AM84" s="18">
        <v>1</v>
      </c>
      <c r="AN84" s="18">
        <v>1</v>
      </c>
      <c r="AO84" s="18">
        <v>5</v>
      </c>
      <c r="AP84" s="18">
        <v>1</v>
      </c>
      <c r="AQ84" s="18">
        <v>0</v>
      </c>
      <c r="AR84" s="18">
        <v>0</v>
      </c>
      <c r="AS84" s="18">
        <v>0</v>
      </c>
      <c r="AT84" s="18">
        <v>0</v>
      </c>
      <c r="AU84" s="18">
        <v>0</v>
      </c>
      <c r="AV84" s="18">
        <v>0</v>
      </c>
      <c r="AW84" s="18">
        <v>0</v>
      </c>
      <c r="AX84" s="18">
        <v>0</v>
      </c>
      <c r="AY84" s="233"/>
      <c r="AZ84" s="4"/>
      <c r="BA84" s="35" t="str">
        <f ca="1">IF(OR(S84="North America",S84="Rocky Mountain"), "Widespread",BC84)</f>
        <v>Abundant</v>
      </c>
      <c r="BB84" s="4"/>
      <c r="BC84" s="35" t="str">
        <f ca="1">IF(BE84&gt;2046, "Abundant",BE84)</f>
        <v>Abundant</v>
      </c>
      <c r="BD84" s="4"/>
      <c r="BE84" s="81">
        <f ca="1">YEAR($C$13)+(BG84*80)</f>
        <v>2112.274980392157</v>
      </c>
      <c r="BF84" s="4"/>
      <c r="BG84" s="137">
        <f ca="1">BH84*$BH$14</f>
        <v>1.1659372549019609</v>
      </c>
      <c r="BH84" s="137">
        <f ca="1">(((BJ84+BK84+BM84+BN84)/4)*$BM$11)+(((BP84+BQ84)/2)*$BQ$11)+(((BU84+BV84+BW84)/3)*$BU$11)+(((BY84+BZ84+CA84+CB84+CC84)/5)*$CA$11)</f>
        <v>1.1659372549019609</v>
      </c>
      <c r="BI84" s="4"/>
      <c r="BJ84" s="33">
        <f>AP84/(AM84+AO84)</f>
        <v>0.16666666666666666</v>
      </c>
      <c r="BK84" s="33">
        <f>(AN84+AO84)/(AM84+AO84)</f>
        <v>1</v>
      </c>
      <c r="BL84" s="4"/>
      <c r="BM84" s="127">
        <f>CF84/102</f>
        <v>0.50980392156862742</v>
      </c>
      <c r="BN84" s="127">
        <f>C84/2</f>
        <v>4</v>
      </c>
      <c r="BO84" s="4"/>
      <c r="BP84" s="127">
        <f>(AK84)/($AW$6)</f>
        <v>0.44444444444444442</v>
      </c>
      <c r="BQ84" s="127">
        <f ca="1">(CH84-$AW$4)/((YEAR($C$13))-$AW$4)</f>
        <v>1</v>
      </c>
      <c r="BR84" s="127">
        <f>(AL84)/($AW$6)</f>
        <v>0</v>
      </c>
      <c r="BS84" s="4"/>
      <c r="BT84" s="127"/>
      <c r="BU84" s="127">
        <f ca="1">(CG84-$AW$4)/((YEAR($C$13))-$AW$4)</f>
        <v>1</v>
      </c>
      <c r="BV84" s="127">
        <f>AE84/5</f>
        <v>1</v>
      </c>
      <c r="BW84" s="127">
        <f>AF84/5</f>
        <v>1</v>
      </c>
      <c r="BX84" s="4"/>
      <c r="BY84" s="148" t="str">
        <f>IF(E84="A",".98",IF(E84="B",".99",IF(E84="C","1.00",IF(E84="D","1.00" ))))</f>
        <v>1.00</v>
      </c>
      <c r="BZ84" s="127">
        <f>(CE84+7)/10</f>
        <v>1</v>
      </c>
      <c r="CA84" s="76" t="str">
        <f>IF(D84="Fern",".97",IF(D84="Grass",".99",IF(D84="Herb",".97",IF(D84="Shrub",".99",IF(D84="Tree","1.00",IF(D84="Vine",".98"))))))</f>
        <v>.99</v>
      </c>
      <c r="CB84" s="149" t="str">
        <f>IF(R84="Bogs Ponds Streams",".96", IF(R84="Coastal Areas",".97",IF(R84="Meadows Dry Open",".96",IF(R84="Forest &amp; Understory",".97",IF(R84="Moist Open",".98",IF(R84="Moist Shady",".96",IF(R84="Sub-Alpine","1.0")))))))</f>
        <v>.96</v>
      </c>
      <c r="CC84" s="76" t="str">
        <f>IF(S84="Local Endemic",".50",IF(S84="Regional Endemic",".70",IF(S84="Cascadia",".90",IF(S84="Rocky Mountain",".95",IF(S84="North America",".99")))))</f>
        <v>.50</v>
      </c>
      <c r="CD84" s="4"/>
      <c r="CE84" s="21">
        <f>IF(W84&gt;3,3,W84)</f>
        <v>3</v>
      </c>
      <c r="CF84" s="21">
        <f>IF(AC84&gt;102,102,AC84)</f>
        <v>52</v>
      </c>
      <c r="CG84" s="34">
        <f ca="1">IF(AI84&lt;$AW$4,$AW$4,AI84)</f>
        <v>2019</v>
      </c>
      <c r="CH84" s="34">
        <f ca="1">IF(AJ84&lt;$AW$4,$AW$4,AJ84)</f>
        <v>2019</v>
      </c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12"/>
    </row>
    <row r="85" spans="1:115" s="13" customFormat="1" ht="15" customHeight="1" x14ac:dyDescent="0.3">
      <c r="A85" s="235"/>
      <c r="B85" s="218"/>
      <c r="C85" s="225">
        <v>8</v>
      </c>
      <c r="D85" s="59" t="s">
        <v>2506</v>
      </c>
      <c r="E85" s="60" t="s">
        <v>2501</v>
      </c>
      <c r="F85" s="397" t="str">
        <f ca="1">IF(BC85&lt;2025, "Extinct&lt; 6Yrs?",BA85)</f>
        <v>Widespread</v>
      </c>
      <c r="G85" s="363" t="s">
        <v>525</v>
      </c>
      <c r="H85" s="363" t="s">
        <v>691</v>
      </c>
      <c r="I85" s="10" t="s">
        <v>1890</v>
      </c>
      <c r="J85" s="365" t="s">
        <v>3225</v>
      </c>
      <c r="K85" s="365" t="s">
        <v>860</v>
      </c>
      <c r="L85" s="17" t="s">
        <v>1779</v>
      </c>
      <c r="M85" s="8" t="s">
        <v>4166</v>
      </c>
      <c r="N85" s="8" t="s">
        <v>5058</v>
      </c>
      <c r="O85" s="8" t="s">
        <v>5957</v>
      </c>
      <c r="P85" s="9" t="s">
        <v>198</v>
      </c>
      <c r="Q85" s="59" t="s">
        <v>2558</v>
      </c>
      <c r="R85" s="58" t="s">
        <v>2500</v>
      </c>
      <c r="S85" s="9" t="s">
        <v>2495</v>
      </c>
      <c r="T85" s="123" t="str">
        <f>IF(R85="Bogs Ponds Streams","20",IF(R85="Coastal Areas","26",IF(R85="Meadows Dry Open","10",IF(R85="Forest &amp; Understory","14",IF(R85="Moist Open","12",IF(R85="Moist Shady","10",IF(R85="Sub-Alpine Slopes","0")))))))</f>
        <v>10</v>
      </c>
      <c r="U85" s="123" t="str">
        <f>IF(R85="Bogs Ponds Streams","52",IF(R85="Coastal Areas","51",IF(R85="Meadows Dry Open","53",IF(R85="Forest &amp; Understory","52",IF(R85="Moist Open","50",IF(R85="Moist Shady","46",IF(R85="Sub-Alpine Slopes","40")))))))</f>
        <v>53</v>
      </c>
      <c r="V85" s="123" t="str">
        <f>IF(R85="Bogs Ponds Streams","84",IF(R85="Coastal Areas","76",IF(R85="Meadows Dry Open","96", IF(R85="Forest &amp; Understory","90", IF(R85="Moist Open","88", IF(R85="Moist Shady","82", IF(R85="Sub-Alpine Slopes","80")))))))</f>
        <v>96</v>
      </c>
      <c r="W85" s="59">
        <v>20</v>
      </c>
      <c r="X85" s="59">
        <v>0</v>
      </c>
      <c r="Y85" s="59">
        <v>3500</v>
      </c>
      <c r="Z85" s="59" t="s">
        <v>2519</v>
      </c>
      <c r="AA85" s="59" t="s">
        <v>2518</v>
      </c>
      <c r="AB85" s="59">
        <v>6.8</v>
      </c>
      <c r="AC85" s="45">
        <f>C85+AK85+(0.1)*AL85</f>
        <v>102.6</v>
      </c>
      <c r="AD85" s="77">
        <v>218</v>
      </c>
      <c r="AE85" s="59">
        <v>5</v>
      </c>
      <c r="AF85" s="59">
        <v>5</v>
      </c>
      <c r="AG85" s="59">
        <v>1900</v>
      </c>
      <c r="AH85" s="77">
        <v>0</v>
      </c>
      <c r="AI85" s="59">
        <f ca="1">AJ85</f>
        <v>2019</v>
      </c>
      <c r="AJ85" s="18">
        <f ca="1">YEAR(TODAY())</f>
        <v>2019</v>
      </c>
      <c r="AK85" s="18">
        <v>88</v>
      </c>
      <c r="AL85" s="18">
        <v>66</v>
      </c>
      <c r="AM85" s="18">
        <v>1</v>
      </c>
      <c r="AN85" s="18">
        <v>1</v>
      </c>
      <c r="AO85" s="24">
        <v>1</v>
      </c>
      <c r="AP85" s="24">
        <v>0</v>
      </c>
      <c r="AQ85" s="18">
        <v>0</v>
      </c>
      <c r="AR85" s="18">
        <v>0</v>
      </c>
      <c r="AS85" s="18">
        <v>0</v>
      </c>
      <c r="AT85" s="18">
        <v>0</v>
      </c>
      <c r="AU85" s="18">
        <v>0</v>
      </c>
      <c r="AV85" s="18">
        <v>0</v>
      </c>
      <c r="AW85" s="18">
        <v>0</v>
      </c>
      <c r="AX85" s="18">
        <v>0</v>
      </c>
      <c r="AY85" s="233"/>
      <c r="AZ85" s="4"/>
      <c r="BA85" s="35" t="str">
        <f>IF(OR(S85="North America",S85="Rocky Mountain"), "Widespread",BC85)</f>
        <v>Widespread</v>
      </c>
      <c r="BB85" s="4"/>
      <c r="BC85" s="35" t="str">
        <f ca="1">IF(BE85&gt;2046, "Abundant",BE85)</f>
        <v>Abundant</v>
      </c>
      <c r="BD85" s="4"/>
      <c r="BE85" s="81">
        <f ca="1">YEAR($C$13)+(BG85*80)</f>
        <v>2121.6474666666668</v>
      </c>
      <c r="BF85" s="4"/>
      <c r="BG85" s="137">
        <f ca="1">BH85*$BH$14</f>
        <v>1.2830933333333332</v>
      </c>
      <c r="BH85" s="137">
        <f ca="1">(((BJ85+BK85+BM85+BN85)/4)*$BM$11)+(((BP85+BQ85)/2)*$BQ$11)+(((BU85+BV85+BW85)/3)*$BU$11)+(((BY85+BZ85+CA85+CB85+CC85)/5)*$CA$11)</f>
        <v>1.2830933333333332</v>
      </c>
      <c r="BI85" s="4"/>
      <c r="BJ85" s="33">
        <f>AP85/(AM85+AO85)</f>
        <v>0</v>
      </c>
      <c r="BK85" s="33">
        <f>(AN85+AO85)/(AM85+AO85)</f>
        <v>1</v>
      </c>
      <c r="BL85" s="4"/>
      <c r="BM85" s="127">
        <f>CF85/102</f>
        <v>1</v>
      </c>
      <c r="BN85" s="127">
        <f>C85/2</f>
        <v>4</v>
      </c>
      <c r="BO85" s="4"/>
      <c r="BP85" s="127">
        <f>(AK85)/($AW$6)</f>
        <v>0.88888888888888884</v>
      </c>
      <c r="BQ85" s="127">
        <f ca="1">(CH85-$AW$4)/((YEAR($C$13))-$AW$4)</f>
        <v>1</v>
      </c>
      <c r="BR85" s="127">
        <f>(AL85)/($AW$6)</f>
        <v>0.66666666666666663</v>
      </c>
      <c r="BS85" s="4"/>
      <c r="BT85" s="127"/>
      <c r="BU85" s="127">
        <f ca="1">(CG85-$AW$4)/((YEAR($C$13))-$AW$4)</f>
        <v>1</v>
      </c>
      <c r="BV85" s="127">
        <f>AE85/5</f>
        <v>1</v>
      </c>
      <c r="BW85" s="127">
        <f>AF85/5</f>
        <v>1</v>
      </c>
      <c r="BX85" s="4"/>
      <c r="BY85" s="148" t="str">
        <f>IF(E85="A",".98",IF(E85="B",".99",IF(E85="C","1.00",IF(E85="D","1.00" ))))</f>
        <v>1.00</v>
      </c>
      <c r="BZ85" s="127">
        <f>(CE85+7)/10</f>
        <v>1</v>
      </c>
      <c r="CA85" s="76" t="str">
        <f>IF(D85="Fern",".97",IF(D85="Grass",".99",IF(D85="Herb",".97",IF(D85="Shrub",".99",IF(D85="Tree","1.00",IF(D85="Vine",".98"))))))</f>
        <v>.99</v>
      </c>
      <c r="CB85" s="149" t="str">
        <f>IF(R85="Bogs Ponds Streams",".96", IF(R85="Coastal Areas",".97",IF(R85="Meadows Dry Open",".96",IF(R85="Forest &amp; Understory",".97",IF(R85="Moist Open",".98",IF(R85="Moist Shady",".96",IF(R85="Sub-Alpine","1.0")))))))</f>
        <v>.96</v>
      </c>
      <c r="CC85" s="76" t="str">
        <f>IF(S85="Local Endemic",".50",IF(S85="Regional Endemic",".70",IF(S85="Cascadia",".90",IF(S85="Rocky Mountain",".95",IF(S85="North America",".99")))))</f>
        <v>.99</v>
      </c>
      <c r="CD85" s="4"/>
      <c r="CE85" s="21">
        <f>IF(W85&gt;3,3,W85)</f>
        <v>3</v>
      </c>
      <c r="CF85" s="21">
        <f>IF(AC85&gt;102,102,AC85)</f>
        <v>102</v>
      </c>
      <c r="CG85" s="34">
        <f ca="1">IF(AI85&lt;$AW$4,$AW$4,AI85)</f>
        <v>2019</v>
      </c>
      <c r="CH85" s="34">
        <f ca="1">IF(AJ85&lt;$AW$4,$AW$4,AJ85)</f>
        <v>2019</v>
      </c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12"/>
    </row>
    <row r="86" spans="1:115" s="13" customFormat="1" ht="15" customHeight="1" x14ac:dyDescent="0.3">
      <c r="A86" s="235"/>
      <c r="B86" s="218"/>
      <c r="C86" s="225">
        <v>8</v>
      </c>
      <c r="D86" s="59" t="s">
        <v>2505</v>
      </c>
      <c r="E86" s="59" t="s">
        <v>2501</v>
      </c>
      <c r="F86" s="397" t="str">
        <f ca="1">IF(BC86&lt;2025, "Extinct&lt; 6Yrs?",BA86)</f>
        <v>Widespread</v>
      </c>
      <c r="G86" s="363" t="s">
        <v>525</v>
      </c>
      <c r="H86" s="363" t="s">
        <v>679</v>
      </c>
      <c r="I86" s="366" t="s">
        <v>1891</v>
      </c>
      <c r="J86" s="365" t="s">
        <v>3227</v>
      </c>
      <c r="K86" s="365" t="s">
        <v>861</v>
      </c>
      <c r="L86" s="10" t="s">
        <v>1780</v>
      </c>
      <c r="M86" s="8" t="s">
        <v>4167</v>
      </c>
      <c r="N86" s="8" t="s">
        <v>5059</v>
      </c>
      <c r="O86" s="8" t="s">
        <v>5958</v>
      </c>
      <c r="P86" s="9" t="s">
        <v>3228</v>
      </c>
      <c r="Q86" s="59" t="s">
        <v>2558</v>
      </c>
      <c r="R86" s="9" t="s">
        <v>2453</v>
      </c>
      <c r="S86" s="9" t="s">
        <v>2495</v>
      </c>
      <c r="T86" s="123" t="str">
        <f>IF(R86="Bogs Ponds Streams","20",IF(R86="Coastal Areas","26",IF(R86="Meadows Dry Open","10",IF(R86="Forest &amp; Understory","14",IF(R86="Moist Open","12",IF(R86="Moist Shady","10",IF(R86="Sub-Alpine Slopes","0")))))))</f>
        <v>26</v>
      </c>
      <c r="U86" s="123" t="str">
        <f>IF(R86="Bogs Ponds Streams","52",IF(R86="Coastal Areas","51",IF(R86="Meadows Dry Open","53",IF(R86="Forest &amp; Understory","52",IF(R86="Moist Open","50",IF(R86="Moist Shady","46",IF(R86="Sub-Alpine Slopes","40")))))))</f>
        <v>51</v>
      </c>
      <c r="V86" s="123" t="str">
        <f>IF(R86="Bogs Ponds Streams","84",IF(R86="Coastal Areas","76",IF(R86="Meadows Dry Open","96", IF(R86="Forest &amp; Understory","90", IF(R86="Moist Open","88", IF(R86="Moist Shady","82", IF(R86="Sub-Alpine Slopes","80")))))))</f>
        <v>76</v>
      </c>
      <c r="W86" s="59">
        <v>20</v>
      </c>
      <c r="X86" s="59">
        <v>0</v>
      </c>
      <c r="Y86" s="59">
        <v>3500</v>
      </c>
      <c r="Z86" s="59" t="s">
        <v>2519</v>
      </c>
      <c r="AA86" s="59" t="s">
        <v>2518</v>
      </c>
      <c r="AB86" s="59">
        <v>6.8</v>
      </c>
      <c r="AC86" s="45">
        <f>C86+AK86+(0.1)*AL86</f>
        <v>52</v>
      </c>
      <c r="AD86" s="77">
        <v>81</v>
      </c>
      <c r="AE86" s="59">
        <v>5</v>
      </c>
      <c r="AF86" s="59">
        <v>5</v>
      </c>
      <c r="AG86" s="59">
        <v>1900</v>
      </c>
      <c r="AH86" s="77">
        <v>0</v>
      </c>
      <c r="AI86" s="59">
        <f ca="1">AJ86</f>
        <v>2019</v>
      </c>
      <c r="AJ86" s="18">
        <f ca="1">YEAR(TODAY())</f>
        <v>2019</v>
      </c>
      <c r="AK86" s="18">
        <v>44</v>
      </c>
      <c r="AL86" s="18">
        <v>0</v>
      </c>
      <c r="AM86" s="18">
        <v>1</v>
      </c>
      <c r="AN86" s="18">
        <v>1</v>
      </c>
      <c r="AO86" s="18">
        <v>5</v>
      </c>
      <c r="AP86" s="18">
        <v>1</v>
      </c>
      <c r="AQ86" s="18">
        <v>0</v>
      </c>
      <c r="AR86" s="18">
        <v>0</v>
      </c>
      <c r="AS86" s="18">
        <v>0</v>
      </c>
      <c r="AT86" s="18">
        <v>0</v>
      </c>
      <c r="AU86" s="18">
        <v>0</v>
      </c>
      <c r="AV86" s="18">
        <v>0</v>
      </c>
      <c r="AW86" s="18">
        <v>0</v>
      </c>
      <c r="AX86" s="18">
        <v>0</v>
      </c>
      <c r="AY86" s="233"/>
      <c r="AZ86" s="4"/>
      <c r="BA86" s="35" t="str">
        <f>IF(OR(S86="North America",S86="Rocky Mountain"), "Widespread",BC86)</f>
        <v>Widespread</v>
      </c>
      <c r="BB86" s="4"/>
      <c r="BC86" s="35" t="str">
        <f ca="1">IF(BE86&gt;2046, "Abundant",BE86)</f>
        <v>Abundant</v>
      </c>
      <c r="BD86" s="4"/>
      <c r="BE86" s="81">
        <f ca="1">YEAR($C$13)+(BG86*80)</f>
        <v>2112.4285803921571</v>
      </c>
      <c r="BF86" s="4"/>
      <c r="BG86" s="137">
        <f ca="1">BH86*$BH$14</f>
        <v>1.1678572549019608</v>
      </c>
      <c r="BH86" s="137">
        <f ca="1">(((BJ86+BK86+BM86+BN86)/4)*$BM$11)+(((BP86+BQ86)/2)*$BQ$11)+(((BU86+BV86+BW86)/3)*$BU$11)+(((BY86+BZ86+CA86+CB86+CC86)/5)*$CA$11)</f>
        <v>1.1678572549019608</v>
      </c>
      <c r="BI86" s="4"/>
      <c r="BJ86" s="33">
        <f>AP86/(AM86+AO86)</f>
        <v>0.16666666666666666</v>
      </c>
      <c r="BK86" s="33">
        <f>(AN86+AO86)/(AM86+AO86)</f>
        <v>1</v>
      </c>
      <c r="BL86" s="4"/>
      <c r="BM86" s="127">
        <f>CF86/102</f>
        <v>0.50980392156862742</v>
      </c>
      <c r="BN86" s="127">
        <f>C86/2</f>
        <v>4</v>
      </c>
      <c r="BO86" s="4"/>
      <c r="BP86" s="127">
        <f>(AK86)/($AW$6)</f>
        <v>0.44444444444444442</v>
      </c>
      <c r="BQ86" s="127">
        <f ca="1">(CH86-$AW$4)/((YEAR($C$13))-$AW$4)</f>
        <v>1</v>
      </c>
      <c r="BR86" s="127">
        <f>(AL86)/($AW$6)</f>
        <v>0</v>
      </c>
      <c r="BS86" s="4"/>
      <c r="BT86" s="127"/>
      <c r="BU86" s="127">
        <f ca="1">(CG86-$AW$4)/((YEAR($C$13))-$AW$4)</f>
        <v>1</v>
      </c>
      <c r="BV86" s="127">
        <f>AE86/5</f>
        <v>1</v>
      </c>
      <c r="BW86" s="127">
        <f>AF86/5</f>
        <v>1</v>
      </c>
      <c r="BX86" s="4"/>
      <c r="BY86" s="148" t="str">
        <f>IF(E86="A",".98",IF(E86="B",".99",IF(E86="C","1.00",IF(E86="D","1.00" ))))</f>
        <v>1.00</v>
      </c>
      <c r="BZ86" s="127">
        <f>(CE86+7)/10</f>
        <v>1</v>
      </c>
      <c r="CA86" s="76" t="str">
        <f>IF(D86="Fern",".97",IF(D86="Grass",".99",IF(D86="Herb",".97",IF(D86="Shrub",".99",IF(D86="Tree","1.00",IF(D86="Vine",".98"))))))</f>
        <v>.97</v>
      </c>
      <c r="CB86" s="149" t="str">
        <f>IF(R86="Bogs Ponds Streams",".96", IF(R86="Coastal Areas",".97",IF(R86="Meadows Dry Open",".96",IF(R86="Forest &amp; Understory",".97",IF(R86="Moist Open",".98",IF(R86="Moist Shady",".96",IF(R86="Sub-Alpine","1.0")))))))</f>
        <v>.97</v>
      </c>
      <c r="CC86" s="76" t="str">
        <f>IF(S86="Local Endemic",".50",IF(S86="Regional Endemic",".70",IF(S86="Cascadia",".90",IF(S86="Rocky Mountain",".95",IF(S86="North America",".99")))))</f>
        <v>.99</v>
      </c>
      <c r="CD86" s="4"/>
      <c r="CE86" s="21">
        <f>IF(W86&gt;3,3,W86)</f>
        <v>3</v>
      </c>
      <c r="CF86" s="21">
        <f>IF(AC86&gt;102,102,AC86)</f>
        <v>52</v>
      </c>
      <c r="CG86" s="34">
        <f ca="1">IF(AI86&lt;$AW$4,$AW$4,AI86)</f>
        <v>2019</v>
      </c>
      <c r="CH86" s="34">
        <f ca="1">IF(AJ86&lt;$AW$4,$AW$4,AJ86)</f>
        <v>2019</v>
      </c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12"/>
    </row>
    <row r="87" spans="1:115" s="13" customFormat="1" ht="15" customHeight="1" x14ac:dyDescent="0.3">
      <c r="A87" s="235"/>
      <c r="B87" s="218"/>
      <c r="C87" s="225">
        <v>8</v>
      </c>
      <c r="D87" s="59" t="s">
        <v>2505</v>
      </c>
      <c r="E87" s="59" t="s">
        <v>2501</v>
      </c>
      <c r="F87" s="397" t="str">
        <f ca="1">IF(BC87&lt;2025, "Extinct&lt; 6Yrs?",BA87)</f>
        <v>Widespread</v>
      </c>
      <c r="G87" s="363" t="s">
        <v>525</v>
      </c>
      <c r="H87" s="363" t="s">
        <v>689</v>
      </c>
      <c r="I87" s="364" t="s">
        <v>2598</v>
      </c>
      <c r="J87" s="365" t="s">
        <v>3229</v>
      </c>
      <c r="K87" s="365" t="s">
        <v>863</v>
      </c>
      <c r="L87" s="17" t="s">
        <v>1783</v>
      </c>
      <c r="M87" s="8" t="s">
        <v>4168</v>
      </c>
      <c r="N87" s="8" t="s">
        <v>5060</v>
      </c>
      <c r="O87" s="8" t="s">
        <v>5959</v>
      </c>
      <c r="P87" s="9" t="s">
        <v>51</v>
      </c>
      <c r="Q87" s="59" t="s">
        <v>2557</v>
      </c>
      <c r="R87" s="9" t="s">
        <v>2500</v>
      </c>
      <c r="S87" s="9" t="s">
        <v>2495</v>
      </c>
      <c r="T87" s="123" t="str">
        <f>IF(R87="Bogs Ponds Streams","20",IF(R87="Coastal Areas","26",IF(R87="Meadows Dry Open","10",IF(R87="Forest &amp; Understory","14",IF(R87="Moist Open","12",IF(R87="Moist Shady","10",IF(R87="Sub-Alpine Slopes","0")))))))</f>
        <v>10</v>
      </c>
      <c r="U87" s="123" t="str">
        <f>IF(R87="Bogs Ponds Streams","52",IF(R87="Coastal Areas","51",IF(R87="Meadows Dry Open","53",IF(R87="Forest &amp; Understory","52",IF(R87="Moist Open","50",IF(R87="Moist Shady","46",IF(R87="Sub-Alpine Slopes","40")))))))</f>
        <v>53</v>
      </c>
      <c r="V87" s="123" t="str">
        <f>IF(R87="Bogs Ponds Streams","84",IF(R87="Coastal Areas","76",IF(R87="Meadows Dry Open","96", IF(R87="Forest &amp; Understory","90", IF(R87="Moist Open","88", IF(R87="Moist Shady","82", IF(R87="Sub-Alpine Slopes","80")))))))</f>
        <v>96</v>
      </c>
      <c r="W87" s="59">
        <v>20</v>
      </c>
      <c r="X87" s="59">
        <v>0</v>
      </c>
      <c r="Y87" s="59">
        <v>3500</v>
      </c>
      <c r="Z87" s="59" t="s">
        <v>2519</v>
      </c>
      <c r="AA87" s="59" t="s">
        <v>2518</v>
      </c>
      <c r="AB87" s="59">
        <v>6.8</v>
      </c>
      <c r="AC87" s="45">
        <f>C87+AK87+(0.1)*AL87</f>
        <v>21.8</v>
      </c>
      <c r="AD87" s="77">
        <v>227</v>
      </c>
      <c r="AE87" s="59">
        <v>5</v>
      </c>
      <c r="AF87" s="59">
        <v>5</v>
      </c>
      <c r="AG87" s="59">
        <v>1900</v>
      </c>
      <c r="AH87" s="77">
        <v>0</v>
      </c>
      <c r="AI87" s="59">
        <f ca="1">AJ87</f>
        <v>2019</v>
      </c>
      <c r="AJ87" s="18">
        <f ca="1">YEAR(TODAY())</f>
        <v>2019</v>
      </c>
      <c r="AK87" s="18">
        <v>5</v>
      </c>
      <c r="AL87" s="18">
        <v>88</v>
      </c>
      <c r="AM87" s="18">
        <v>1</v>
      </c>
      <c r="AN87" s="18">
        <v>1</v>
      </c>
      <c r="AO87" s="18">
        <v>5</v>
      </c>
      <c r="AP87" s="18">
        <v>1</v>
      </c>
      <c r="AQ87" s="18">
        <v>0</v>
      </c>
      <c r="AR87" s="18">
        <v>0</v>
      </c>
      <c r="AS87" s="18">
        <v>0</v>
      </c>
      <c r="AT87" s="18">
        <v>0</v>
      </c>
      <c r="AU87" s="18">
        <v>0</v>
      </c>
      <c r="AV87" s="18">
        <v>0</v>
      </c>
      <c r="AW87" s="18">
        <v>0</v>
      </c>
      <c r="AX87" s="18">
        <v>0</v>
      </c>
      <c r="AY87" s="233"/>
      <c r="AZ87" s="4"/>
      <c r="BA87" s="35" t="str">
        <f>IF(OR(S87="North America",S87="Rocky Mountain"), "Widespread",BC87)</f>
        <v>Widespread</v>
      </c>
      <c r="BB87" s="4"/>
      <c r="BC87" s="35" t="str">
        <f ca="1">IF(BE87&gt;2046, "Abundant",BE87)</f>
        <v>Abundant</v>
      </c>
      <c r="BD87" s="4"/>
      <c r="BE87" s="81">
        <f ca="1">YEAR($C$13)+(BG87*80)</f>
        <v>2104.1451664884135</v>
      </c>
      <c r="BF87" s="4"/>
      <c r="BG87" s="137">
        <f ca="1">BH87*$BH$14</f>
        <v>1.0643145811051693</v>
      </c>
      <c r="BH87" s="137">
        <f ca="1">(((BJ87+BK87+BM87+BN87)/4)*$BM$11)+(((BP87+BQ87)/2)*$BQ$11)+(((BU87+BV87+BW87)/3)*$BU$11)+(((BY87+BZ87+CA87+CB87+CC87)/5)*$CA$11)</f>
        <v>1.0643145811051693</v>
      </c>
      <c r="BI87" s="4"/>
      <c r="BJ87" s="33">
        <f>AP87/(AM87+AO87)</f>
        <v>0.16666666666666666</v>
      </c>
      <c r="BK87" s="33">
        <f>(AN87+AO87)/(AM87+AO87)</f>
        <v>1</v>
      </c>
      <c r="BL87" s="4"/>
      <c r="BM87" s="127">
        <f>CF87/102</f>
        <v>0.21372549019607845</v>
      </c>
      <c r="BN87" s="127">
        <f>C87/2</f>
        <v>4</v>
      </c>
      <c r="BO87" s="4"/>
      <c r="BP87" s="127">
        <f>(AK87)/($AW$6)</f>
        <v>5.0505050505050504E-2</v>
      </c>
      <c r="BQ87" s="127">
        <f ca="1">(CH87-$AW$4)/((YEAR($C$13))-$AW$4)</f>
        <v>1</v>
      </c>
      <c r="BR87" s="127">
        <f>(AL87)/($AW$6)</f>
        <v>0.88888888888888884</v>
      </c>
      <c r="BS87" s="4"/>
      <c r="BT87" s="127"/>
      <c r="BU87" s="127">
        <f ca="1">(CG87-$AW$4)/((YEAR($C$13))-$AW$4)</f>
        <v>1</v>
      </c>
      <c r="BV87" s="127">
        <f>AE87/5</f>
        <v>1</v>
      </c>
      <c r="BW87" s="127">
        <f>AF87/5</f>
        <v>1</v>
      </c>
      <c r="BX87" s="4"/>
      <c r="BY87" s="148" t="str">
        <f>IF(E87="A",".98",IF(E87="B",".99",IF(E87="C","1.00",IF(E87="D","1.00" ))))</f>
        <v>1.00</v>
      </c>
      <c r="BZ87" s="127">
        <f>(CE87+7)/10</f>
        <v>1</v>
      </c>
      <c r="CA87" s="76" t="str">
        <f>IF(D87="Fern",".97",IF(D87="Grass",".99",IF(D87="Herb",".97",IF(D87="Shrub",".99",IF(D87="Tree","1.00",IF(D87="Vine",".98"))))))</f>
        <v>.97</v>
      </c>
      <c r="CB87" s="149" t="str">
        <f>IF(R87="Bogs Ponds Streams",".96", IF(R87="Coastal Areas",".97",IF(R87="Meadows Dry Open",".96",IF(R87="Forest &amp; Understory",".97",IF(R87="Moist Open",".98",IF(R87="Moist Shady",".96",IF(R87="Sub-Alpine","1.0")))))))</f>
        <v>.96</v>
      </c>
      <c r="CC87" s="76" t="str">
        <f>IF(S87="Local Endemic",".50",IF(S87="Regional Endemic",".70",IF(S87="Cascadia",".90",IF(S87="Rocky Mountain",".95",IF(S87="North America",".99")))))</f>
        <v>.99</v>
      </c>
      <c r="CD87" s="4"/>
      <c r="CE87" s="21">
        <f>IF(W87&gt;3,3,W87)</f>
        <v>3</v>
      </c>
      <c r="CF87" s="21">
        <f>IF(AC87&gt;102,102,AC87)</f>
        <v>21.8</v>
      </c>
      <c r="CG87" s="34">
        <f ca="1">IF(AI87&lt;$AW$4,$AW$4,AI87)</f>
        <v>2019</v>
      </c>
      <c r="CH87" s="34">
        <f ca="1">IF(AJ87&lt;$AW$4,$AW$4,AJ87)</f>
        <v>2019</v>
      </c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12"/>
    </row>
    <row r="88" spans="1:115" s="13" customFormat="1" ht="15" customHeight="1" x14ac:dyDescent="0.3">
      <c r="A88" s="235"/>
      <c r="B88" s="218"/>
      <c r="C88" s="375">
        <v>1</v>
      </c>
      <c r="D88" s="67" t="s">
        <v>2505</v>
      </c>
      <c r="E88" s="67" t="s">
        <v>2501</v>
      </c>
      <c r="F88" s="403">
        <f ca="1">IF(BC88&lt;2025, "Extinct&lt; 6Yrs?",BA88)</f>
        <v>2033.0054930481283</v>
      </c>
      <c r="G88" s="376" t="s">
        <v>525</v>
      </c>
      <c r="H88" s="376" t="s">
        <v>4028</v>
      </c>
      <c r="I88" s="379" t="s">
        <v>3168</v>
      </c>
      <c r="J88" s="378" t="s">
        <v>3664</v>
      </c>
      <c r="K88" s="378" t="s">
        <v>1193</v>
      </c>
      <c r="L88" s="63" t="s">
        <v>1781</v>
      </c>
      <c r="M88" s="64" t="s">
        <v>4169</v>
      </c>
      <c r="N88" s="64" t="s">
        <v>5061</v>
      </c>
      <c r="O88" s="64" t="s">
        <v>5960</v>
      </c>
      <c r="P88" s="61" t="s">
        <v>51</v>
      </c>
      <c r="Q88" s="67" t="s">
        <v>2557</v>
      </c>
      <c r="R88" s="61" t="s">
        <v>2500</v>
      </c>
      <c r="S88" s="65" t="s">
        <v>2459</v>
      </c>
      <c r="T88" s="134" t="str">
        <f>IF(R88="Bogs Ponds Streams","20",IF(R88="Coastal Areas","26",IF(R88="Meadows Dry Open","10",IF(R88="Forest &amp; Understory","14",IF(R88="Moist Open","12",IF(R88="Moist Shady","10",IF(R88="Sub-Alpine Slopes","0")))))))</f>
        <v>10</v>
      </c>
      <c r="U88" s="134" t="str">
        <f>IF(R88="Bogs Ponds Streams","52",IF(R88="Coastal Areas","51",IF(R88="Meadows Dry Open","53",IF(R88="Forest &amp; Understory","52",IF(R88="Moist Open","50",IF(R88="Moist Shady","46",IF(R88="Sub-Alpine Slopes","40")))))))</f>
        <v>53</v>
      </c>
      <c r="V88" s="134" t="str">
        <f>IF(R88="Bogs Ponds Streams","84",IF(R88="Coastal Areas","76",IF(R88="Meadows Dry Open","96", IF(R88="Forest &amp; Understory","90", IF(R88="Moist Open","88", IF(R88="Moist Shady","82", IF(R88="Sub-Alpine Slopes","80")))))))</f>
        <v>96</v>
      </c>
      <c r="W88" s="67">
        <v>20</v>
      </c>
      <c r="X88" s="67">
        <v>0</v>
      </c>
      <c r="Y88" s="67">
        <v>3500</v>
      </c>
      <c r="Z88" s="67" t="s">
        <v>2519</v>
      </c>
      <c r="AA88" s="67" t="s">
        <v>2518</v>
      </c>
      <c r="AB88" s="67">
        <v>6.8</v>
      </c>
      <c r="AC88" s="85">
        <f>C88+AK88+(0.1)*AL88</f>
        <v>10.4</v>
      </c>
      <c r="AD88" s="78">
        <v>73</v>
      </c>
      <c r="AE88" s="67">
        <v>5</v>
      </c>
      <c r="AF88" s="67">
        <v>5</v>
      </c>
      <c r="AG88" s="67">
        <v>1900</v>
      </c>
      <c r="AH88" s="78">
        <v>0</v>
      </c>
      <c r="AI88" s="67">
        <f>AJ88</f>
        <v>1995</v>
      </c>
      <c r="AJ88" s="69">
        <v>1995</v>
      </c>
      <c r="AK88" s="69">
        <v>8</v>
      </c>
      <c r="AL88" s="69">
        <v>14</v>
      </c>
      <c r="AM88" s="70">
        <v>5</v>
      </c>
      <c r="AN88" s="70">
        <v>0</v>
      </c>
      <c r="AO88" s="86">
        <v>0</v>
      </c>
      <c r="AP88" s="70">
        <v>0</v>
      </c>
      <c r="AQ88" s="70">
        <v>0</v>
      </c>
      <c r="AR88" s="70">
        <v>0</v>
      </c>
      <c r="AS88" s="86">
        <v>0</v>
      </c>
      <c r="AT88" s="70">
        <v>0</v>
      </c>
      <c r="AU88" s="70">
        <v>0</v>
      </c>
      <c r="AV88" s="70">
        <v>0</v>
      </c>
      <c r="AW88" s="86">
        <v>0</v>
      </c>
      <c r="AX88" s="70">
        <v>0</v>
      </c>
      <c r="AY88" s="233"/>
      <c r="AZ88" s="4"/>
      <c r="BA88" s="35">
        <f ca="1">IF(OR(S88="North America",S88="Rocky Mountain"), "Widespread",BC88)</f>
        <v>2033.0054930481283</v>
      </c>
      <c r="BB88" s="4"/>
      <c r="BC88" s="35">
        <f ca="1">IF(BE88&gt;2046, "Abundant",BE88)</f>
        <v>2033.0054930481283</v>
      </c>
      <c r="BD88" s="4"/>
      <c r="BE88" s="81">
        <f ca="1">YEAR($C$13)+(BG88*80)</f>
        <v>2033.0054930481283</v>
      </c>
      <c r="BF88" s="4"/>
      <c r="BG88" s="137">
        <f ca="1">BH88*$BH$14</f>
        <v>0.17506866310160427</v>
      </c>
      <c r="BH88" s="137">
        <f ca="1">(((BJ88+BK88+BM88+BN88)/4)*$BM$11)+(((BP88+BQ88)/2)*$BQ$11)+(((BU88+BV88+BW88)/3)*$BU$11)+(((BY88+BZ88+CA88+CB88+CC88)/5)*$CA$11)</f>
        <v>0.17506866310160427</v>
      </c>
      <c r="BI88" s="4"/>
      <c r="BJ88" s="33">
        <f>AP88/(AM88+AO88)</f>
        <v>0</v>
      </c>
      <c r="BK88" s="33">
        <f>(AN88+AO88)/(AM88+AO88)</f>
        <v>0</v>
      </c>
      <c r="BL88" s="4"/>
      <c r="BM88" s="127">
        <f>CF88/102</f>
        <v>0.10196078431372549</v>
      </c>
      <c r="BN88" s="127">
        <f>C88/2</f>
        <v>0.5</v>
      </c>
      <c r="BO88" s="4"/>
      <c r="BP88" s="127">
        <f>(AK88)/($AW$6)</f>
        <v>8.0808080808080815E-2</v>
      </c>
      <c r="BQ88" s="127">
        <f ca="1">(CH88-$AW$4)/((YEAR($C$13))-$AW$4)</f>
        <v>0</v>
      </c>
      <c r="BR88" s="127">
        <f>(AL88)/($AW$6)</f>
        <v>0.14141414141414141</v>
      </c>
      <c r="BS88" s="4"/>
      <c r="BT88" s="127"/>
      <c r="BU88" s="127">
        <f ca="1">(CG88-$AW$4)/((YEAR($C$13))-$AW$4)</f>
        <v>0</v>
      </c>
      <c r="BV88" s="127">
        <f>AE88/5</f>
        <v>1</v>
      </c>
      <c r="BW88" s="127">
        <f>AF88/5</f>
        <v>1</v>
      </c>
      <c r="BX88" s="4"/>
      <c r="BY88" s="148" t="str">
        <f>IF(E88="A",".98",IF(E88="B",".99",IF(E88="C","1.00",IF(E88="D","1.00" ))))</f>
        <v>1.00</v>
      </c>
      <c r="BZ88" s="127">
        <f>(CE88+7)/10</f>
        <v>1</v>
      </c>
      <c r="CA88" s="76" t="str">
        <f>IF(D88="Fern",".97",IF(D88="Grass",".99",IF(D88="Herb",".97",IF(D88="Shrub",".99",IF(D88="Tree","1.00",IF(D88="Vine",".98"))))))</f>
        <v>.97</v>
      </c>
      <c r="CB88" s="149" t="str">
        <f>IF(R88="Bogs Ponds Streams",".96", IF(R88="Coastal Areas",".97",IF(R88="Meadows Dry Open",".96",IF(R88="Forest &amp; Understory",".97",IF(R88="Moist Open",".98",IF(R88="Moist Shady",".96",IF(R88="Sub-Alpine","1.0")))))))</f>
        <v>.96</v>
      </c>
      <c r="CC88" s="76" t="str">
        <f>IF(S88="Local Endemic",".50",IF(S88="Regional Endemic",".70",IF(S88="Cascadia",".90",IF(S88="Rocky Mountain",".95",IF(S88="North America",".99")))))</f>
        <v>.90</v>
      </c>
      <c r="CD88" s="4"/>
      <c r="CE88" s="21">
        <f>IF(W88&gt;3,3,W88)</f>
        <v>3</v>
      </c>
      <c r="CF88" s="21">
        <f>IF(AC88&gt;102,102,AC88)</f>
        <v>10.4</v>
      </c>
      <c r="CG88" s="34">
        <f>IF(AI88&lt;$AW$4,$AW$4,AI88)</f>
        <v>2004</v>
      </c>
      <c r="CH88" s="34">
        <f>IF(AJ88&lt;$AW$4,$AW$4,AJ88)</f>
        <v>2004</v>
      </c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12"/>
    </row>
    <row r="89" spans="1:115" s="13" customFormat="1" ht="15" customHeight="1" x14ac:dyDescent="0.3">
      <c r="A89" s="235"/>
      <c r="B89" s="218"/>
      <c r="C89" s="226">
        <v>2</v>
      </c>
      <c r="D89" s="104" t="s">
        <v>2505</v>
      </c>
      <c r="E89" s="104" t="s">
        <v>2501</v>
      </c>
      <c r="F89" s="400">
        <f ca="1">IF(BC89&lt;2025, "Extinct&lt; 6Yrs?",BA89)</f>
        <v>2041.5841026737967</v>
      </c>
      <c r="G89" s="369" t="s">
        <v>525</v>
      </c>
      <c r="H89" s="369" t="s">
        <v>4028</v>
      </c>
      <c r="I89" s="371" t="s">
        <v>1892</v>
      </c>
      <c r="J89" s="371" t="s">
        <v>3843</v>
      </c>
      <c r="K89" s="371" t="s">
        <v>1376</v>
      </c>
      <c r="L89" s="106" t="s">
        <v>2123</v>
      </c>
      <c r="M89" s="111" t="s">
        <v>4170</v>
      </c>
      <c r="N89" s="111" t="s">
        <v>5062</v>
      </c>
      <c r="O89" s="111" t="s">
        <v>5961</v>
      </c>
      <c r="P89" s="105" t="s">
        <v>51</v>
      </c>
      <c r="Q89" s="104" t="s">
        <v>2557</v>
      </c>
      <c r="R89" s="106" t="s">
        <v>2498</v>
      </c>
      <c r="S89" s="114" t="s">
        <v>2459</v>
      </c>
      <c r="T89" s="133" t="str">
        <f>IF(R89="Bogs Ponds Streams","20",IF(R89="Coastal Areas","26",IF(R89="Meadows Dry Open","10",IF(R89="Forest &amp; Understory","14",IF(R89="Moist Open","12",IF(R89="Moist Shady","10",IF(R89="Sub-Alpine Slopes","0")))))))</f>
        <v>10</v>
      </c>
      <c r="U89" s="133" t="str">
        <f>IF(R89="Bogs Ponds Streams","52",IF(R89="Coastal Areas","51",IF(R89="Meadows Dry Open","53",IF(R89="Forest &amp; Understory","52",IF(R89="Moist Open","50",IF(R89="Moist Shady","46",IF(R89="Sub-Alpine Slopes","40")))))))</f>
        <v>46</v>
      </c>
      <c r="V89" s="133" t="str">
        <f>IF(R89="Bogs Ponds Streams","84",IF(R89="Coastal Areas","76",IF(R89="Meadows Dry Open","96", IF(R89="Forest &amp; Understory","90", IF(R89="Moist Open","88", IF(R89="Moist Shady","82", IF(R89="Sub-Alpine Slopes","80")))))))</f>
        <v>82</v>
      </c>
      <c r="W89" s="104">
        <v>20</v>
      </c>
      <c r="X89" s="104">
        <v>0</v>
      </c>
      <c r="Y89" s="104">
        <v>3500</v>
      </c>
      <c r="Z89" s="104" t="s">
        <v>2519</v>
      </c>
      <c r="AA89" s="104" t="s">
        <v>2518</v>
      </c>
      <c r="AB89" s="104">
        <v>6.8</v>
      </c>
      <c r="AC89" s="107">
        <f>C89+AK89+(0.1)*AL89</f>
        <v>4.5</v>
      </c>
      <c r="AD89" s="113">
        <v>51</v>
      </c>
      <c r="AE89" s="104">
        <v>5</v>
      </c>
      <c r="AF89" s="104">
        <v>5</v>
      </c>
      <c r="AG89" s="104">
        <v>1900</v>
      </c>
      <c r="AH89" s="113">
        <v>0</v>
      </c>
      <c r="AI89" s="104">
        <f>AJ89</f>
        <v>2003</v>
      </c>
      <c r="AJ89" s="108">
        <v>2003</v>
      </c>
      <c r="AK89" s="108">
        <v>2</v>
      </c>
      <c r="AL89" s="108">
        <v>5</v>
      </c>
      <c r="AM89" s="109">
        <v>5</v>
      </c>
      <c r="AN89" s="109">
        <v>1</v>
      </c>
      <c r="AO89" s="109">
        <v>1</v>
      </c>
      <c r="AP89" s="108">
        <v>0</v>
      </c>
      <c r="AQ89" s="109">
        <v>0</v>
      </c>
      <c r="AR89" s="109">
        <v>0</v>
      </c>
      <c r="AS89" s="110">
        <v>0</v>
      </c>
      <c r="AT89" s="109">
        <v>0</v>
      </c>
      <c r="AU89" s="109">
        <v>0</v>
      </c>
      <c r="AV89" s="109">
        <v>0</v>
      </c>
      <c r="AW89" s="110">
        <v>0</v>
      </c>
      <c r="AX89" s="109">
        <v>0</v>
      </c>
      <c r="AY89" s="233"/>
      <c r="AZ89" s="4"/>
      <c r="BA89" s="35">
        <f ca="1">IF(OR(S89="North America",S89="Rocky Mountain"), "Widespread",BC89)</f>
        <v>2041.5841026737967</v>
      </c>
      <c r="BB89" s="4"/>
      <c r="BC89" s="35">
        <f ca="1">IF(BE89&gt;2046, "Abundant",BE89)</f>
        <v>2041.5841026737967</v>
      </c>
      <c r="BD89" s="4"/>
      <c r="BE89" s="81">
        <f ca="1">YEAR($C$13)+(BG89*80)</f>
        <v>2041.5841026737967</v>
      </c>
      <c r="BF89" s="4"/>
      <c r="BG89" s="137">
        <f ca="1">BH89*$BH$14</f>
        <v>0.28230128342245986</v>
      </c>
      <c r="BH89" s="137">
        <f ca="1">(((BJ89+BK89+BM89+BN89)/4)*$BM$11)+(((BP89+BQ89)/2)*$BQ$11)+(((BU89+BV89+BW89)/3)*$BU$11)+(((BY89+BZ89+CA89+CB89+CC89)/5)*$CA$11)</f>
        <v>0.28230128342245986</v>
      </c>
      <c r="BI89" s="4"/>
      <c r="BJ89" s="33">
        <f>AP89/(AM89+AO89)</f>
        <v>0</v>
      </c>
      <c r="BK89" s="33">
        <f>(AN89+AO89)/(AM89+AO89)</f>
        <v>0.33333333333333331</v>
      </c>
      <c r="BL89" s="4"/>
      <c r="BM89" s="127">
        <f>CF89/102</f>
        <v>4.4117647058823532E-2</v>
      </c>
      <c r="BN89" s="127">
        <f>C89/2</f>
        <v>1</v>
      </c>
      <c r="BO89" s="4"/>
      <c r="BP89" s="127">
        <f>(AK89)/($AW$6)</f>
        <v>2.0202020202020204E-2</v>
      </c>
      <c r="BQ89" s="127">
        <f ca="1">(CH89-$AW$4)/((YEAR($C$13))-$AW$4)</f>
        <v>0</v>
      </c>
      <c r="BR89" s="127">
        <f>(AL89)/($AW$6)</f>
        <v>5.0505050505050504E-2</v>
      </c>
      <c r="BS89" s="4"/>
      <c r="BT89" s="127"/>
      <c r="BU89" s="127">
        <f ca="1">(CG89-$AW$4)/((YEAR($C$13))-$AW$4)</f>
        <v>0</v>
      </c>
      <c r="BV89" s="127">
        <f>AE89/5</f>
        <v>1</v>
      </c>
      <c r="BW89" s="127">
        <f>AF89/5</f>
        <v>1</v>
      </c>
      <c r="BX89" s="4"/>
      <c r="BY89" s="148" t="str">
        <f>IF(E89="A",".98",IF(E89="B",".99",IF(E89="C","1.00",IF(E89="D","1.00" ))))</f>
        <v>1.00</v>
      </c>
      <c r="BZ89" s="127">
        <f>(CE89+7)/10</f>
        <v>1</v>
      </c>
      <c r="CA89" s="76" t="str">
        <f>IF(D89="Fern",".97",IF(D89="Grass",".99",IF(D89="Herb",".97",IF(D89="Shrub",".99",IF(D89="Tree","1.00",IF(D89="Vine",".98"))))))</f>
        <v>.97</v>
      </c>
      <c r="CB89" s="149" t="str">
        <f>IF(R89="Bogs Ponds Streams",".96", IF(R89="Coastal Areas",".97",IF(R89="Meadows Dry Open",".96",IF(R89="Forest &amp; Understory",".97",IF(R89="Moist Open",".98",IF(R89="Moist Shady",".96",IF(R89="Sub-Alpine","1.0")))))))</f>
        <v>.96</v>
      </c>
      <c r="CC89" s="76" t="str">
        <f>IF(S89="Local Endemic",".50",IF(S89="Regional Endemic",".70",IF(S89="Cascadia",".90",IF(S89="Rocky Mountain",".95",IF(S89="North America",".99")))))</f>
        <v>.90</v>
      </c>
      <c r="CD89" s="4"/>
      <c r="CE89" s="21">
        <f>IF(W89&gt;3,3,W89)</f>
        <v>3</v>
      </c>
      <c r="CF89" s="21">
        <f>IF(AC89&gt;102,102,AC89)</f>
        <v>4.5</v>
      </c>
      <c r="CG89" s="34">
        <f>IF(AI89&lt;$AW$4,$AW$4,AI89)</f>
        <v>2004</v>
      </c>
      <c r="CH89" s="34">
        <f>IF(AJ89&lt;$AW$4,$AW$4,AJ89)</f>
        <v>2004</v>
      </c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12"/>
    </row>
    <row r="90" spans="1:115" s="13" customFormat="1" ht="15" customHeight="1" x14ac:dyDescent="0.3">
      <c r="A90" s="235"/>
      <c r="B90" s="218"/>
      <c r="C90" s="375">
        <v>1</v>
      </c>
      <c r="D90" s="67" t="s">
        <v>2505</v>
      </c>
      <c r="E90" s="67" t="s">
        <v>2503</v>
      </c>
      <c r="F90" s="403" t="str">
        <f ca="1">IF(BC90&lt;2025, "Extinct&lt; 6Yrs?",BA90)</f>
        <v>Widespread</v>
      </c>
      <c r="G90" s="376" t="s">
        <v>525</v>
      </c>
      <c r="H90" s="376" t="s">
        <v>4028</v>
      </c>
      <c r="I90" s="379" t="s">
        <v>1893</v>
      </c>
      <c r="J90" s="378" t="s">
        <v>3663</v>
      </c>
      <c r="K90" s="378" t="s">
        <v>2743</v>
      </c>
      <c r="L90" s="63" t="s">
        <v>2122</v>
      </c>
      <c r="M90" s="64" t="s">
        <v>4171</v>
      </c>
      <c r="N90" s="64" t="s">
        <v>5063</v>
      </c>
      <c r="O90" s="64" t="s">
        <v>5962</v>
      </c>
      <c r="P90" s="61" t="s">
        <v>51</v>
      </c>
      <c r="Q90" s="67" t="s">
        <v>2552</v>
      </c>
      <c r="R90" s="61" t="s">
        <v>2500</v>
      </c>
      <c r="S90" s="61" t="s">
        <v>2495</v>
      </c>
      <c r="T90" s="134" t="str">
        <f>IF(R90="Bogs Ponds Streams","20",IF(R90="Coastal Areas","26",IF(R90="Meadows Dry Open","10",IF(R90="Forest &amp; Understory","14",IF(R90="Moist Open","12",IF(R90="Moist Shady","10",IF(R90="Sub-Alpine Slopes","0")))))))</f>
        <v>10</v>
      </c>
      <c r="U90" s="134" t="str">
        <f>IF(R90="Bogs Ponds Streams","52",IF(R90="Coastal Areas","51",IF(R90="Meadows Dry Open","53",IF(R90="Forest &amp; Understory","52",IF(R90="Moist Open","50",IF(R90="Moist Shady","46",IF(R90="Sub-Alpine Slopes","40")))))))</f>
        <v>53</v>
      </c>
      <c r="V90" s="134" t="str">
        <f>IF(R90="Bogs Ponds Streams","84",IF(R90="Coastal Areas","76",IF(R90="Meadows Dry Open","96", IF(R90="Forest &amp; Understory","90", IF(R90="Moist Open","88", IF(R90="Moist Shady","82", IF(R90="Sub-Alpine Slopes","80")))))))</f>
        <v>96</v>
      </c>
      <c r="W90" s="67">
        <v>2</v>
      </c>
      <c r="X90" s="67">
        <v>0</v>
      </c>
      <c r="Y90" s="67">
        <v>3500</v>
      </c>
      <c r="Z90" s="67" t="s">
        <v>2519</v>
      </c>
      <c r="AA90" s="67" t="s">
        <v>2518</v>
      </c>
      <c r="AB90" s="67">
        <v>6.8</v>
      </c>
      <c r="AC90" s="85">
        <f>C90+AK90+(0.1)*AL90</f>
        <v>15.4</v>
      </c>
      <c r="AD90" s="78">
        <v>68</v>
      </c>
      <c r="AE90" s="67">
        <v>5</v>
      </c>
      <c r="AF90" s="67">
        <v>5</v>
      </c>
      <c r="AG90" s="67">
        <v>1900</v>
      </c>
      <c r="AH90" s="78">
        <v>0</v>
      </c>
      <c r="AI90" s="67">
        <f>AJ90</f>
        <v>2004</v>
      </c>
      <c r="AJ90" s="69">
        <v>2004</v>
      </c>
      <c r="AK90" s="69">
        <v>14</v>
      </c>
      <c r="AL90" s="69">
        <v>4</v>
      </c>
      <c r="AM90" s="70">
        <v>5</v>
      </c>
      <c r="AN90" s="70">
        <v>0</v>
      </c>
      <c r="AO90" s="86">
        <v>0</v>
      </c>
      <c r="AP90" s="70">
        <v>0</v>
      </c>
      <c r="AQ90" s="70">
        <v>0</v>
      </c>
      <c r="AR90" s="70">
        <v>0</v>
      </c>
      <c r="AS90" s="86">
        <v>0</v>
      </c>
      <c r="AT90" s="70">
        <v>0</v>
      </c>
      <c r="AU90" s="70">
        <v>0</v>
      </c>
      <c r="AV90" s="70">
        <v>0</v>
      </c>
      <c r="AW90" s="86">
        <v>0</v>
      </c>
      <c r="AX90" s="70">
        <v>0</v>
      </c>
      <c r="AY90" s="233"/>
      <c r="AZ90" s="4"/>
      <c r="BA90" s="35" t="str">
        <f>IF(OR(S90="North America",S90="Rocky Mountain"), "Widespread",BC90)</f>
        <v>Widespread</v>
      </c>
      <c r="BB90" s="4"/>
      <c r="BC90" s="35">
        <f ca="1">IF(BE90&gt;2046, "Abundant",BE90)</f>
        <v>2034.3146010695186</v>
      </c>
      <c r="BD90" s="4"/>
      <c r="BE90" s="81">
        <f ca="1">YEAR($C$13)+(BG90*80)</f>
        <v>2034.3146010695186</v>
      </c>
      <c r="BF90" s="4"/>
      <c r="BG90" s="137">
        <f ca="1">BH90*$BH$14</f>
        <v>0.19143251336898395</v>
      </c>
      <c r="BH90" s="137">
        <f ca="1">(((BJ90+BK90+BM90+BN90)/4)*$BM$11)+(((BP90+BQ90)/2)*$BQ$11)+(((BU90+BV90+BW90)/3)*$BU$11)+(((BY90+BZ90+CA90+CB90+CC90)/5)*$CA$11)</f>
        <v>0.19143251336898395</v>
      </c>
      <c r="BI90" s="4"/>
      <c r="BJ90" s="33">
        <f>AP90/(AM90+AO90)</f>
        <v>0</v>
      </c>
      <c r="BK90" s="33">
        <f>(AN90+AO90)/(AM90+AO90)</f>
        <v>0</v>
      </c>
      <c r="BL90" s="4"/>
      <c r="BM90" s="127">
        <f>CF90/102</f>
        <v>0.15098039215686274</v>
      </c>
      <c r="BN90" s="127">
        <f>C90/2</f>
        <v>0.5</v>
      </c>
      <c r="BO90" s="4"/>
      <c r="BP90" s="127">
        <f>(AK90)/($AW$6)</f>
        <v>0.14141414141414141</v>
      </c>
      <c r="BQ90" s="127">
        <f ca="1">(CH90-$AW$4)/((YEAR($C$13))-$AW$4)</f>
        <v>0</v>
      </c>
      <c r="BR90" s="127">
        <f>(AL90)/($AW$6)</f>
        <v>4.0404040404040407E-2</v>
      </c>
      <c r="BS90" s="4"/>
      <c r="BT90" s="127"/>
      <c r="BU90" s="127">
        <f ca="1">(CG90-$AW$4)/((YEAR($C$13))-$AW$4)</f>
        <v>0</v>
      </c>
      <c r="BV90" s="127">
        <f>AE90/5</f>
        <v>1</v>
      </c>
      <c r="BW90" s="127">
        <f>AF90/5</f>
        <v>1</v>
      </c>
      <c r="BX90" s="4"/>
      <c r="BY90" s="148" t="str">
        <f>IF(E90="A",".98",IF(E90="B",".99",IF(E90="C","1.00",IF(E90="D","1.00" ))))</f>
        <v>.99</v>
      </c>
      <c r="BZ90" s="127">
        <f>(CE90+7)/10</f>
        <v>0.9</v>
      </c>
      <c r="CA90" s="76" t="str">
        <f>IF(D90="Fern",".97",IF(D90="Grass",".99",IF(D90="Herb",".97",IF(D90="Shrub",".99",IF(D90="Tree","1.00",IF(D90="Vine",".98"))))))</f>
        <v>.97</v>
      </c>
      <c r="CB90" s="149" t="str">
        <f>IF(R90="Bogs Ponds Streams",".96", IF(R90="Coastal Areas",".97",IF(R90="Meadows Dry Open",".96",IF(R90="Forest &amp; Understory",".97",IF(R90="Moist Open",".98",IF(R90="Moist Shady",".96",IF(R90="Sub-Alpine","1.0")))))))</f>
        <v>.96</v>
      </c>
      <c r="CC90" s="76" t="str">
        <f>IF(S90="Local Endemic",".50",IF(S90="Regional Endemic",".70",IF(S90="Cascadia",".90",IF(S90="Rocky Mountain",".95",IF(S90="North America",".99")))))</f>
        <v>.99</v>
      </c>
      <c r="CD90" s="4"/>
      <c r="CE90" s="21">
        <f>IF(W90&gt;3,3,W90)</f>
        <v>2</v>
      </c>
      <c r="CF90" s="21">
        <f>IF(AC90&gt;102,102,AC90)</f>
        <v>15.4</v>
      </c>
      <c r="CG90" s="34">
        <f>IF(AI90&lt;$AW$4,$AW$4,AI90)</f>
        <v>2004</v>
      </c>
      <c r="CH90" s="34">
        <f>IF(AJ90&lt;$AW$4,$AW$4,AJ90)</f>
        <v>2004</v>
      </c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12"/>
    </row>
    <row r="91" spans="1:115" s="13" customFormat="1" ht="15" customHeight="1" x14ac:dyDescent="0.3">
      <c r="A91" s="235"/>
      <c r="B91" s="218"/>
      <c r="C91" s="226">
        <v>2</v>
      </c>
      <c r="D91" s="104" t="s">
        <v>2505</v>
      </c>
      <c r="E91" s="104" t="s">
        <v>2502</v>
      </c>
      <c r="F91" s="400" t="str">
        <f ca="1">IF(BC91&lt;2025, "Extinct&lt; 6Yrs?",BA91)</f>
        <v>Abundant</v>
      </c>
      <c r="G91" s="369" t="s">
        <v>525</v>
      </c>
      <c r="H91" s="369" t="s">
        <v>4028</v>
      </c>
      <c r="I91" s="372" t="s">
        <v>2599</v>
      </c>
      <c r="J91" s="371" t="s">
        <v>3842</v>
      </c>
      <c r="K91" s="371" t="s">
        <v>1257</v>
      </c>
      <c r="L91" s="114" t="s">
        <v>2121</v>
      </c>
      <c r="M91" s="111" t="s">
        <v>4172</v>
      </c>
      <c r="N91" s="111" t="s">
        <v>5064</v>
      </c>
      <c r="O91" s="111" t="s">
        <v>5963</v>
      </c>
      <c r="P91" s="105" t="s">
        <v>51</v>
      </c>
      <c r="Q91" s="104" t="s">
        <v>2552</v>
      </c>
      <c r="R91" s="105" t="s">
        <v>2497</v>
      </c>
      <c r="S91" s="105" t="s">
        <v>2309</v>
      </c>
      <c r="T91" s="133" t="str">
        <f>IF(R91="Bogs Ponds Streams","20",IF(R91="Coastal Areas","26",IF(R91="Meadows Dry Open","10",IF(R91="Forest &amp; Understory","14",IF(R91="Moist Open","12",IF(R91="Moist Shady","10",IF(R91="Sub-Alpine Slopes","0")))))))</f>
        <v>12</v>
      </c>
      <c r="U91" s="133" t="str">
        <f>IF(R91="Bogs Ponds Streams","52",IF(R91="Coastal Areas","51",IF(R91="Meadows Dry Open","53",IF(R91="Forest &amp; Understory","52",IF(R91="Moist Open","50",IF(R91="Moist Shady","46",IF(R91="Sub-Alpine Slopes","40")))))))</f>
        <v>50</v>
      </c>
      <c r="V91" s="133" t="str">
        <f>IF(R91="Bogs Ponds Streams","84",IF(R91="Coastal Areas","76",IF(R91="Meadows Dry Open","96", IF(R91="Forest &amp; Understory","90", IF(R91="Moist Open","88", IF(R91="Moist Shady","82", IF(R91="Sub-Alpine Slopes","80")))))))</f>
        <v>88</v>
      </c>
      <c r="W91" s="104">
        <v>1</v>
      </c>
      <c r="X91" s="104">
        <v>0</v>
      </c>
      <c r="Y91" s="104">
        <v>3500</v>
      </c>
      <c r="Z91" s="104" t="s">
        <v>2519</v>
      </c>
      <c r="AA91" s="104" t="s">
        <v>2518</v>
      </c>
      <c r="AB91" s="104">
        <v>6.8</v>
      </c>
      <c r="AC91" s="107">
        <f>C91+AK91+(0.1)*AL91</f>
        <v>7.8</v>
      </c>
      <c r="AD91" s="113">
        <v>32</v>
      </c>
      <c r="AE91" s="104">
        <v>5</v>
      </c>
      <c r="AF91" s="104">
        <v>5</v>
      </c>
      <c r="AG91" s="104">
        <v>1900</v>
      </c>
      <c r="AH91" s="113">
        <v>0</v>
      </c>
      <c r="AI91" s="104">
        <f ca="1">AJ91</f>
        <v>2019</v>
      </c>
      <c r="AJ91" s="108">
        <f ca="1">YEAR(TODAY())</f>
        <v>2019</v>
      </c>
      <c r="AK91" s="108">
        <v>5</v>
      </c>
      <c r="AL91" s="108">
        <v>8</v>
      </c>
      <c r="AM91" s="108">
        <v>1</v>
      </c>
      <c r="AN91" s="108">
        <v>1</v>
      </c>
      <c r="AO91" s="108">
        <v>5</v>
      </c>
      <c r="AP91" s="108">
        <v>1</v>
      </c>
      <c r="AQ91" s="108">
        <v>0</v>
      </c>
      <c r="AR91" s="108">
        <v>0</v>
      </c>
      <c r="AS91" s="108">
        <v>0</v>
      </c>
      <c r="AT91" s="108">
        <v>0</v>
      </c>
      <c r="AU91" s="108">
        <v>0</v>
      </c>
      <c r="AV91" s="108">
        <v>0</v>
      </c>
      <c r="AW91" s="108">
        <v>0</v>
      </c>
      <c r="AX91" s="108">
        <v>0</v>
      </c>
      <c r="AY91" s="233"/>
      <c r="AZ91" s="4"/>
      <c r="BA91" s="35" t="str">
        <f ca="1">IF(OR(S91="North America",S91="Rocky Mountain"), "Widespread",BC91)</f>
        <v>Abundant</v>
      </c>
      <c r="BB91" s="4"/>
      <c r="BC91" s="35" t="str">
        <f ca="1">IF(BE91&gt;2046, "Abundant",BE91)</f>
        <v>Abundant</v>
      </c>
      <c r="BD91" s="4"/>
      <c r="BE91" s="81">
        <f ca="1">YEAR($C$13)+(BG91*80)</f>
        <v>2066.341307664884</v>
      </c>
      <c r="BF91" s="4"/>
      <c r="BG91" s="137">
        <f ca="1">BH91*$BH$14</f>
        <v>0.5917663458110517</v>
      </c>
      <c r="BH91" s="137">
        <f ca="1">(((BJ91+BK91+BM91+BN91)/4)*$BM$11)+(((BP91+BQ91)/2)*$BQ$11)+(((BU91+BV91+BW91)/3)*$BU$11)+(((BY91+BZ91+CA91+CB91+CC91)/5)*$CA$11)</f>
        <v>0.5917663458110517</v>
      </c>
      <c r="BI91" s="4"/>
      <c r="BJ91" s="33">
        <f>AP91/(AM91+AO91)</f>
        <v>0.16666666666666666</v>
      </c>
      <c r="BK91" s="33">
        <f>(AN91+AO91)/(AM91+AO91)</f>
        <v>1</v>
      </c>
      <c r="BL91" s="4"/>
      <c r="BM91" s="127">
        <f>CF91/102</f>
        <v>7.647058823529411E-2</v>
      </c>
      <c r="BN91" s="127">
        <f>C91/2</f>
        <v>1</v>
      </c>
      <c r="BO91" s="4"/>
      <c r="BP91" s="127">
        <f>(AK91)/($AW$6)</f>
        <v>5.0505050505050504E-2</v>
      </c>
      <c r="BQ91" s="127">
        <f ca="1">(CH91-$AW$4)/((YEAR($C$13))-$AW$4)</f>
        <v>1</v>
      </c>
      <c r="BR91" s="127">
        <f>(AL91)/($AW$6)</f>
        <v>8.0808080808080815E-2</v>
      </c>
      <c r="BS91" s="4"/>
      <c r="BT91" s="127"/>
      <c r="BU91" s="127">
        <f ca="1">(CG91-$AW$4)/((YEAR($C$13))-$AW$4)</f>
        <v>1</v>
      </c>
      <c r="BV91" s="127">
        <f>AE91/5</f>
        <v>1</v>
      </c>
      <c r="BW91" s="127">
        <f>AF91/5</f>
        <v>1</v>
      </c>
      <c r="BX91" s="4"/>
      <c r="BY91" s="148" t="str">
        <f>IF(E91="A",".98",IF(E91="B",".99",IF(E91="C","1.00",IF(E91="D","1.00" ))))</f>
        <v>.98</v>
      </c>
      <c r="BZ91" s="127">
        <f>(CE91+7)/10</f>
        <v>0.8</v>
      </c>
      <c r="CA91" s="76" t="str">
        <f>IF(D91="Fern",".97",IF(D91="Grass",".99",IF(D91="Herb",".97",IF(D91="Shrub",".99",IF(D91="Tree","1.00",IF(D91="Vine",".98"))))))</f>
        <v>.97</v>
      </c>
      <c r="CB91" s="149" t="str">
        <f>IF(R91="Bogs Ponds Streams",".96", IF(R91="Coastal Areas",".97",IF(R91="Meadows Dry Open",".96",IF(R91="Forest &amp; Understory",".97",IF(R91="Moist Open",".98",IF(R91="Moist Shady",".96",IF(R91="Sub-Alpine","1.0")))))))</f>
        <v>.98</v>
      </c>
      <c r="CC91" s="76" t="str">
        <f>IF(S91="Local Endemic",".50",IF(S91="Regional Endemic",".70",IF(S91="Cascadia",".90",IF(S91="Rocky Mountain",".95",IF(S91="North America",".99")))))</f>
        <v>.70</v>
      </c>
      <c r="CD91" s="4"/>
      <c r="CE91" s="21">
        <f>IF(W91&gt;3,3,W91)</f>
        <v>1</v>
      </c>
      <c r="CF91" s="21">
        <f>IF(AC91&gt;102,102,AC91)</f>
        <v>7.8</v>
      </c>
      <c r="CG91" s="34">
        <f ca="1">IF(AI91&lt;$AW$4,$AW$4,AI91)</f>
        <v>2019</v>
      </c>
      <c r="CH91" s="34">
        <f ca="1">IF(AJ91&lt;$AW$4,$AW$4,AJ91)</f>
        <v>2019</v>
      </c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</row>
    <row r="92" spans="1:115" s="13" customFormat="1" ht="15" customHeight="1" x14ac:dyDescent="0.3">
      <c r="A92" s="235"/>
      <c r="B92" s="218"/>
      <c r="C92" s="226">
        <v>2</v>
      </c>
      <c r="D92" s="104" t="s">
        <v>2505</v>
      </c>
      <c r="E92" s="104" t="s">
        <v>2501</v>
      </c>
      <c r="F92" s="400">
        <f ca="1">IF(BC92&lt;2025, "Extinct&lt; 6Yrs?",BA92)</f>
        <v>2044.1726298276888</v>
      </c>
      <c r="G92" s="369" t="s">
        <v>525</v>
      </c>
      <c r="H92" s="369" t="s">
        <v>4028</v>
      </c>
      <c r="I92" s="371" t="s">
        <v>1894</v>
      </c>
      <c r="J92" s="371" t="s">
        <v>3841</v>
      </c>
      <c r="K92" s="371" t="s">
        <v>1377</v>
      </c>
      <c r="L92" s="106" t="s">
        <v>2120</v>
      </c>
      <c r="M92" s="111" t="s">
        <v>4173</v>
      </c>
      <c r="N92" s="111" t="s">
        <v>5065</v>
      </c>
      <c r="O92" s="111" t="s">
        <v>5964</v>
      </c>
      <c r="P92" s="401" t="s">
        <v>51</v>
      </c>
      <c r="Q92" s="104" t="s">
        <v>2552</v>
      </c>
      <c r="R92" s="105" t="s">
        <v>2497</v>
      </c>
      <c r="S92" s="114" t="s">
        <v>2459</v>
      </c>
      <c r="T92" s="133" t="str">
        <f>IF(R92="Bogs Ponds Streams","20",IF(R92="Coastal Areas","26",IF(R92="Meadows Dry Open","10",IF(R92="Forest &amp; Understory","14",IF(R92="Moist Open","12",IF(R92="Moist Shady","10",IF(R92="Sub-Alpine Slopes","0")))))))</f>
        <v>12</v>
      </c>
      <c r="U92" s="133" t="str">
        <f>IF(R92="Bogs Ponds Streams","52",IF(R92="Coastal Areas","51",IF(R92="Meadows Dry Open","53",IF(R92="Forest &amp; Understory","52",IF(R92="Moist Open","50",IF(R92="Moist Shady","46",IF(R92="Sub-Alpine Slopes","40")))))))</f>
        <v>50</v>
      </c>
      <c r="V92" s="133" t="str">
        <f>IF(R92="Bogs Ponds Streams","84",IF(R92="Coastal Areas","76",IF(R92="Meadows Dry Open","96", IF(R92="Forest &amp; Understory","90", IF(R92="Moist Open","88", IF(R92="Moist Shady","82", IF(R92="Sub-Alpine Slopes","80")))))))</f>
        <v>88</v>
      </c>
      <c r="W92" s="104">
        <v>20</v>
      </c>
      <c r="X92" s="104">
        <v>0</v>
      </c>
      <c r="Y92" s="104">
        <v>3500</v>
      </c>
      <c r="Z92" s="104" t="s">
        <v>2519</v>
      </c>
      <c r="AA92" s="104" t="s">
        <v>2518</v>
      </c>
      <c r="AB92" s="104">
        <v>6.8</v>
      </c>
      <c r="AC92" s="107">
        <f>C92+AK92+(0.1)*AL92</f>
        <v>9.4</v>
      </c>
      <c r="AD92" s="113">
        <v>207</v>
      </c>
      <c r="AE92" s="104">
        <v>5</v>
      </c>
      <c r="AF92" s="104">
        <v>5</v>
      </c>
      <c r="AG92" s="104">
        <v>1900</v>
      </c>
      <c r="AH92" s="113">
        <v>0</v>
      </c>
      <c r="AI92" s="104">
        <f>AJ92</f>
        <v>2006</v>
      </c>
      <c r="AJ92" s="108">
        <v>2006</v>
      </c>
      <c r="AK92" s="108">
        <v>3</v>
      </c>
      <c r="AL92" s="108">
        <v>44</v>
      </c>
      <c r="AM92" s="109">
        <v>5</v>
      </c>
      <c r="AN92" s="109">
        <v>1</v>
      </c>
      <c r="AO92" s="109">
        <v>1</v>
      </c>
      <c r="AP92" s="109">
        <v>0</v>
      </c>
      <c r="AQ92" s="109">
        <v>0</v>
      </c>
      <c r="AR92" s="109">
        <v>0</v>
      </c>
      <c r="AS92" s="110">
        <v>0</v>
      </c>
      <c r="AT92" s="109">
        <v>0</v>
      </c>
      <c r="AU92" s="109">
        <v>0</v>
      </c>
      <c r="AV92" s="109">
        <v>0</v>
      </c>
      <c r="AW92" s="110">
        <v>0</v>
      </c>
      <c r="AX92" s="109">
        <v>0</v>
      </c>
      <c r="AY92" s="233"/>
      <c r="AZ92" s="4"/>
      <c r="BA92" s="35">
        <f ca="1">IF(OR(S92="North America",S92="Rocky Mountain"), "Widespread",BC92)</f>
        <v>2044.1726298276888</v>
      </c>
      <c r="BB92" s="4"/>
      <c r="BC92" s="35">
        <f ca="1">IF(BE92&gt;2046, "Abundant",BE92)</f>
        <v>2044.1726298276888</v>
      </c>
      <c r="BD92" s="4"/>
      <c r="BE92" s="81">
        <f ca="1">YEAR($C$13)+(BG92*80)</f>
        <v>2044.1726298276888</v>
      </c>
      <c r="BF92" s="4"/>
      <c r="BG92" s="137">
        <f ca="1">BH92*$BH$14</f>
        <v>0.31465787284610813</v>
      </c>
      <c r="BH92" s="137">
        <f ca="1">(((BJ92+BK92+BM92+BN92)/4)*$BM$11)+(((BP92+BQ92)/2)*$BQ$11)+(((BU92+BV92+BW92)/3)*$BU$11)+(((BY92+BZ92+CA92+CB92+CC92)/5)*$CA$11)</f>
        <v>0.31465787284610813</v>
      </c>
      <c r="BI92" s="4"/>
      <c r="BJ92" s="33">
        <f>AP92/(AM92+AO92)</f>
        <v>0</v>
      </c>
      <c r="BK92" s="33">
        <f>(AN92+AO92)/(AM92+AO92)</f>
        <v>0.33333333333333331</v>
      </c>
      <c r="BL92" s="4"/>
      <c r="BM92" s="127">
        <f>CF92/102</f>
        <v>9.2156862745098045E-2</v>
      </c>
      <c r="BN92" s="127">
        <f>C92/2</f>
        <v>1</v>
      </c>
      <c r="BO92" s="4"/>
      <c r="BP92" s="127">
        <f>(AK92)/($AW$6)</f>
        <v>3.0303030303030304E-2</v>
      </c>
      <c r="BQ92" s="127">
        <f ca="1">(CH92-$AW$4)/((YEAR($C$13))-$AW$4)</f>
        <v>0.13333333333333333</v>
      </c>
      <c r="BR92" s="127">
        <f>(AL92)/($AW$6)</f>
        <v>0.44444444444444442</v>
      </c>
      <c r="BS92" s="4"/>
      <c r="BT92" s="127"/>
      <c r="BU92" s="127">
        <f ca="1">(CG92-$AW$4)/((YEAR($C$13))-$AW$4)</f>
        <v>0.13333333333333333</v>
      </c>
      <c r="BV92" s="127">
        <f>AE92/5</f>
        <v>1</v>
      </c>
      <c r="BW92" s="127">
        <f>AF92/5</f>
        <v>1</v>
      </c>
      <c r="BX92" s="4"/>
      <c r="BY92" s="148" t="str">
        <f>IF(E92="A",".98",IF(E92="B",".99",IF(E92="C","1.00",IF(E92="D","1.00" ))))</f>
        <v>1.00</v>
      </c>
      <c r="BZ92" s="127">
        <f>(CE92+7)/10</f>
        <v>1</v>
      </c>
      <c r="CA92" s="76" t="str">
        <f>IF(D92="Fern",".97",IF(D92="Grass",".99",IF(D92="Herb",".97",IF(D92="Shrub",".99",IF(D92="Tree","1.00",IF(D92="Vine",".98"))))))</f>
        <v>.97</v>
      </c>
      <c r="CB92" s="149" t="str">
        <f>IF(R92="Bogs Ponds Streams",".96", IF(R92="Coastal Areas",".97",IF(R92="Meadows Dry Open",".96",IF(R92="Forest &amp; Understory",".97",IF(R92="Moist Open",".98",IF(R92="Moist Shady",".96",IF(R92="Sub-Alpine","1.0")))))))</f>
        <v>.98</v>
      </c>
      <c r="CC92" s="76" t="str">
        <f>IF(S92="Local Endemic",".50",IF(S92="Regional Endemic",".70",IF(S92="Cascadia",".90",IF(S92="Rocky Mountain",".95",IF(S92="North America",".99")))))</f>
        <v>.90</v>
      </c>
      <c r="CD92" s="4"/>
      <c r="CE92" s="21">
        <f>IF(W92&gt;3,3,W92)</f>
        <v>3</v>
      </c>
      <c r="CF92" s="21">
        <f>IF(AC92&gt;102,102,AC92)</f>
        <v>9.4</v>
      </c>
      <c r="CG92" s="34">
        <f>IF(AI92&lt;$AW$4,$AW$4,AI92)</f>
        <v>2006</v>
      </c>
      <c r="CH92" s="34">
        <f>IF(AJ92&lt;$AW$4,$AW$4,AJ92)</f>
        <v>2006</v>
      </c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</row>
    <row r="93" spans="1:115" s="13" customFormat="1" ht="15" customHeight="1" x14ac:dyDescent="0.3">
      <c r="A93" s="235"/>
      <c r="B93" s="218"/>
      <c r="C93" s="375">
        <v>1</v>
      </c>
      <c r="D93" s="67" t="s">
        <v>2505</v>
      </c>
      <c r="E93" s="67" t="s">
        <v>2501</v>
      </c>
      <c r="F93" s="403">
        <f ca="1">IF(BC93&lt;2025, "Extinct&lt; 6Yrs?",BA93)</f>
        <v>2031.4222317290553</v>
      </c>
      <c r="G93" s="376" t="s">
        <v>525</v>
      </c>
      <c r="H93" s="376" t="s">
        <v>4028</v>
      </c>
      <c r="I93" s="378" t="s">
        <v>1895</v>
      </c>
      <c r="J93" s="378" t="s">
        <v>3662</v>
      </c>
      <c r="K93" s="378" t="s">
        <v>1737</v>
      </c>
      <c r="L93" s="63" t="s">
        <v>2119</v>
      </c>
      <c r="M93" s="64" t="s">
        <v>4174</v>
      </c>
      <c r="N93" s="64" t="s">
        <v>5066</v>
      </c>
      <c r="O93" s="64" t="s">
        <v>5965</v>
      </c>
      <c r="P93" s="61" t="s">
        <v>51</v>
      </c>
      <c r="Q93" s="67" t="s">
        <v>2552</v>
      </c>
      <c r="R93" s="61" t="s">
        <v>2497</v>
      </c>
      <c r="S93" s="65" t="s">
        <v>2459</v>
      </c>
      <c r="T93" s="134" t="str">
        <f>IF(R93="Bogs Ponds Streams","20",IF(R93="Coastal Areas","26",IF(R93="Meadows Dry Open","10",IF(R93="Forest &amp; Understory","14",IF(R93="Moist Open","12",IF(R93="Moist Shady","10",IF(R93="Sub-Alpine Slopes","0")))))))</f>
        <v>12</v>
      </c>
      <c r="U93" s="134" t="str">
        <f>IF(R93="Bogs Ponds Streams","52",IF(R93="Coastal Areas","51",IF(R93="Meadows Dry Open","53",IF(R93="Forest &amp; Understory","52",IF(R93="Moist Open","50",IF(R93="Moist Shady","46",IF(R93="Sub-Alpine Slopes","40")))))))</f>
        <v>50</v>
      </c>
      <c r="V93" s="134" t="str">
        <f>IF(R93="Bogs Ponds Streams","84",IF(R93="Coastal Areas","76",IF(R93="Meadows Dry Open","96", IF(R93="Forest &amp; Understory","90", IF(R93="Moist Open","88", IF(R93="Moist Shady","82", IF(R93="Sub-Alpine Slopes","80")))))))</f>
        <v>88</v>
      </c>
      <c r="W93" s="67">
        <v>20</v>
      </c>
      <c r="X93" s="67">
        <v>0</v>
      </c>
      <c r="Y93" s="67">
        <v>3500</v>
      </c>
      <c r="Z93" s="67" t="s">
        <v>2519</v>
      </c>
      <c r="AA93" s="67" t="s">
        <v>2518</v>
      </c>
      <c r="AB93" s="67">
        <v>6.8</v>
      </c>
      <c r="AC93" s="85">
        <f>C93+AK93+(0.1)*AL93</f>
        <v>4.0999999999999996</v>
      </c>
      <c r="AD93" s="78">
        <v>56</v>
      </c>
      <c r="AE93" s="67">
        <v>5</v>
      </c>
      <c r="AF93" s="67">
        <v>5</v>
      </c>
      <c r="AG93" s="67">
        <v>1900</v>
      </c>
      <c r="AH93" s="78">
        <v>0</v>
      </c>
      <c r="AI93" s="67">
        <f>AJ93</f>
        <v>2002</v>
      </c>
      <c r="AJ93" s="69">
        <v>2002</v>
      </c>
      <c r="AK93" s="69">
        <v>1</v>
      </c>
      <c r="AL93" s="69">
        <v>21</v>
      </c>
      <c r="AM93" s="70">
        <v>5</v>
      </c>
      <c r="AN93" s="70">
        <v>0</v>
      </c>
      <c r="AO93" s="86">
        <v>0</v>
      </c>
      <c r="AP93" s="70">
        <v>0</v>
      </c>
      <c r="AQ93" s="70">
        <v>0</v>
      </c>
      <c r="AR93" s="70">
        <v>0</v>
      </c>
      <c r="AS93" s="86">
        <v>0</v>
      </c>
      <c r="AT93" s="70">
        <v>0</v>
      </c>
      <c r="AU93" s="70">
        <v>0</v>
      </c>
      <c r="AV93" s="70">
        <v>0</v>
      </c>
      <c r="AW93" s="86">
        <v>0</v>
      </c>
      <c r="AX93" s="70">
        <v>0</v>
      </c>
      <c r="AY93" s="233"/>
      <c r="AZ93" s="4"/>
      <c r="BA93" s="35">
        <f ca="1">IF(OR(S93="North America",S93="Rocky Mountain"), "Widespread",BC93)</f>
        <v>2031.4222317290553</v>
      </c>
      <c r="BB93" s="4"/>
      <c r="BC93" s="35">
        <f ca="1">IF(BE93&gt;2046, "Abundant",BE93)</f>
        <v>2031.4222317290553</v>
      </c>
      <c r="BD93" s="4"/>
      <c r="BE93" s="81">
        <f ca="1">YEAR($C$13)+(BG93*80)</f>
        <v>2031.4222317290553</v>
      </c>
      <c r="BF93" s="4"/>
      <c r="BG93" s="137">
        <f ca="1">BH93*$BH$14</f>
        <v>0.15527789661319072</v>
      </c>
      <c r="BH93" s="137">
        <f ca="1">(((BJ93+BK93+BM93+BN93)/4)*$BM$11)+(((BP93+BQ93)/2)*$BQ$11)+(((BU93+BV93+BW93)/3)*$BU$11)+(((BY93+BZ93+CA93+CB93+CC93)/5)*$CA$11)</f>
        <v>0.15527789661319072</v>
      </c>
      <c r="BI93" s="4"/>
      <c r="BJ93" s="33">
        <f>AP93/(AM93+AO93)</f>
        <v>0</v>
      </c>
      <c r="BK93" s="33">
        <f>(AN93+AO93)/(AM93+AO93)</f>
        <v>0</v>
      </c>
      <c r="BL93" s="4"/>
      <c r="BM93" s="127">
        <f>CF93/102</f>
        <v>4.0196078431372545E-2</v>
      </c>
      <c r="BN93" s="127">
        <f>C93/2</f>
        <v>0.5</v>
      </c>
      <c r="BO93" s="4"/>
      <c r="BP93" s="127">
        <f>(AK93)/($AW$6)</f>
        <v>1.0101010101010102E-2</v>
      </c>
      <c r="BQ93" s="127">
        <f ca="1">(CH93-$AW$4)/((YEAR($C$13))-$AW$4)</f>
        <v>0</v>
      </c>
      <c r="BR93" s="127">
        <f>(AL93)/($AW$6)</f>
        <v>0.21212121212121213</v>
      </c>
      <c r="BS93" s="4"/>
      <c r="BT93" s="127"/>
      <c r="BU93" s="127">
        <f ca="1">(CG93-$AW$4)/((YEAR($C$13))-$AW$4)</f>
        <v>0</v>
      </c>
      <c r="BV93" s="127">
        <f>AE93/5</f>
        <v>1</v>
      </c>
      <c r="BW93" s="127">
        <f>AF93/5</f>
        <v>1</v>
      </c>
      <c r="BX93" s="4"/>
      <c r="BY93" s="148" t="str">
        <f>IF(E93="A",".98",IF(E93="B",".99",IF(E93="C","1.00",IF(E93="D","1.00" ))))</f>
        <v>1.00</v>
      </c>
      <c r="BZ93" s="127">
        <f>(CE93+7)/10</f>
        <v>1</v>
      </c>
      <c r="CA93" s="76" t="str">
        <f>IF(D93="Fern",".97",IF(D93="Grass",".99",IF(D93="Herb",".97",IF(D93="Shrub",".99",IF(D93="Tree","1.00",IF(D93="Vine",".98"))))))</f>
        <v>.97</v>
      </c>
      <c r="CB93" s="149" t="str">
        <f>IF(R93="Bogs Ponds Streams",".96", IF(R93="Coastal Areas",".97",IF(R93="Meadows Dry Open",".96",IF(R93="Forest &amp; Understory",".97",IF(R93="Moist Open",".98",IF(R93="Moist Shady",".96",IF(R93="Sub-Alpine","1.0")))))))</f>
        <v>.98</v>
      </c>
      <c r="CC93" s="76" t="str">
        <f>IF(S93="Local Endemic",".50",IF(S93="Regional Endemic",".70",IF(S93="Cascadia",".90",IF(S93="Rocky Mountain",".95",IF(S93="North America",".99")))))</f>
        <v>.90</v>
      </c>
      <c r="CD93" s="4"/>
      <c r="CE93" s="21">
        <f>IF(W93&gt;3,3,W93)</f>
        <v>3</v>
      </c>
      <c r="CF93" s="21">
        <f>IF(AC93&gt;102,102,AC93)</f>
        <v>4.0999999999999996</v>
      </c>
      <c r="CG93" s="34">
        <f>IF(AI93&lt;$AW$4,$AW$4,AI93)</f>
        <v>2004</v>
      </c>
      <c r="CH93" s="34">
        <f>IF(AJ93&lt;$AW$4,$AW$4,AJ93)</f>
        <v>2004</v>
      </c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12"/>
    </row>
    <row r="94" spans="1:115" s="13" customFormat="1" ht="15" customHeight="1" x14ac:dyDescent="0.3">
      <c r="A94" s="235"/>
      <c r="B94" s="218"/>
      <c r="C94" s="226">
        <v>2</v>
      </c>
      <c r="D94" s="104" t="s">
        <v>2505</v>
      </c>
      <c r="E94" s="104" t="s">
        <v>2502</v>
      </c>
      <c r="F94" s="400" t="str">
        <f ca="1">IF(BC94&lt;2025, "Extinct&lt; 6Yrs?",BA94)</f>
        <v>Widespread</v>
      </c>
      <c r="G94" s="369" t="s">
        <v>525</v>
      </c>
      <c r="H94" s="369" t="s">
        <v>4028</v>
      </c>
      <c r="I94" s="370" t="s">
        <v>1896</v>
      </c>
      <c r="J94" s="371" t="s">
        <v>3840</v>
      </c>
      <c r="K94" s="371" t="s">
        <v>862</v>
      </c>
      <c r="L94" s="106" t="s">
        <v>2118</v>
      </c>
      <c r="M94" s="111" t="s">
        <v>4174</v>
      </c>
      <c r="N94" s="111" t="s">
        <v>5067</v>
      </c>
      <c r="O94" s="111" t="s">
        <v>5966</v>
      </c>
      <c r="P94" s="105" t="s">
        <v>51</v>
      </c>
      <c r="Q94" s="104" t="s">
        <v>2552</v>
      </c>
      <c r="R94" s="105" t="s">
        <v>2499</v>
      </c>
      <c r="S94" s="105" t="s">
        <v>2495</v>
      </c>
      <c r="T94" s="133" t="str">
        <f>IF(R94="Bogs Ponds Streams","20",IF(R94="Coastal Areas","26",IF(R94="Meadows Dry Open","10",IF(R94="Forest &amp; Understory","14",IF(R94="Moist Open","12",IF(R94="Moist Shady","10",IF(R94="Sub-Alpine Slopes","0")))))))</f>
        <v>20</v>
      </c>
      <c r="U94" s="133" t="str">
        <f>IF(R94="Bogs Ponds Streams","52",IF(R94="Coastal Areas","51",IF(R94="Meadows Dry Open","53",IF(R94="Forest &amp; Understory","52",IF(R94="Moist Open","50",IF(R94="Moist Shady","46",IF(R94="Sub-Alpine Slopes","40")))))))</f>
        <v>52</v>
      </c>
      <c r="V94" s="133" t="str">
        <f>IF(R94="Bogs Ponds Streams","84",IF(R94="Coastal Areas","76",IF(R94="Meadows Dry Open","96", IF(R94="Forest &amp; Understory","90", IF(R94="Moist Open","88", IF(R94="Moist Shady","82", IF(R94="Sub-Alpine Slopes","80")))))))</f>
        <v>84</v>
      </c>
      <c r="W94" s="104">
        <v>1</v>
      </c>
      <c r="X94" s="104">
        <v>0</v>
      </c>
      <c r="Y94" s="104">
        <v>3500</v>
      </c>
      <c r="Z94" s="104" t="s">
        <v>2519</v>
      </c>
      <c r="AA94" s="104" t="s">
        <v>2518</v>
      </c>
      <c r="AB94" s="104">
        <v>6.8</v>
      </c>
      <c r="AC94" s="107">
        <f>C94+AK94+(0.1)*AL94</f>
        <v>43</v>
      </c>
      <c r="AD94" s="113">
        <v>47</v>
      </c>
      <c r="AE94" s="104">
        <v>5</v>
      </c>
      <c r="AF94" s="104">
        <v>5</v>
      </c>
      <c r="AG94" s="104">
        <v>1900</v>
      </c>
      <c r="AH94" s="113">
        <v>0</v>
      </c>
      <c r="AI94" s="104">
        <f>AJ94</f>
        <v>2004</v>
      </c>
      <c r="AJ94" s="108">
        <v>2004</v>
      </c>
      <c r="AK94" s="108">
        <v>41</v>
      </c>
      <c r="AL94" s="108">
        <v>0</v>
      </c>
      <c r="AM94" s="109">
        <v>5</v>
      </c>
      <c r="AN94" s="109">
        <v>1</v>
      </c>
      <c r="AO94" s="110">
        <v>0</v>
      </c>
      <c r="AP94" s="109">
        <v>0</v>
      </c>
      <c r="AQ94" s="109">
        <v>0</v>
      </c>
      <c r="AR94" s="109">
        <v>0</v>
      </c>
      <c r="AS94" s="110">
        <v>0</v>
      </c>
      <c r="AT94" s="109">
        <v>0</v>
      </c>
      <c r="AU94" s="109">
        <v>0</v>
      </c>
      <c r="AV94" s="109">
        <v>0</v>
      </c>
      <c r="AW94" s="110">
        <v>0</v>
      </c>
      <c r="AX94" s="109">
        <v>0</v>
      </c>
      <c r="AY94" s="233"/>
      <c r="AZ94" s="4"/>
      <c r="BA94" s="35" t="str">
        <f>IF(OR(S94="North America",S94="Rocky Mountain"), "Widespread",BC94)</f>
        <v>Widespread</v>
      </c>
      <c r="BB94" s="4"/>
      <c r="BC94" s="35" t="str">
        <f ca="1">IF(BE94&gt;2046, "Abundant",BE94)</f>
        <v>Abundant</v>
      </c>
      <c r="BD94" s="4"/>
      <c r="BE94" s="81">
        <f ca="1">YEAR($C$13)+(BG94*80)</f>
        <v>2049.1991871657756</v>
      </c>
      <c r="BF94" s="4"/>
      <c r="BG94" s="137">
        <f ca="1">BH94*$BH$14</f>
        <v>0.37748983957219251</v>
      </c>
      <c r="BH94" s="137">
        <f ca="1">(((BJ94+BK94+BM94+BN94)/4)*$BM$11)+(((BP94+BQ94)/2)*$BQ$11)+(((BU94+BV94+BW94)/3)*$BU$11)+(((BY94+BZ94+CA94+CB94+CC94)/5)*$CA$11)</f>
        <v>0.37748983957219251</v>
      </c>
      <c r="BI94" s="4"/>
      <c r="BJ94" s="33">
        <f>AP94/(AM94+AO94)</f>
        <v>0</v>
      </c>
      <c r="BK94" s="33">
        <f>(AN94+AO94)/(AM94+AO94)</f>
        <v>0.2</v>
      </c>
      <c r="BL94" s="4"/>
      <c r="BM94" s="127">
        <f>CF94/102</f>
        <v>0.42156862745098039</v>
      </c>
      <c r="BN94" s="127">
        <f>C94/2</f>
        <v>1</v>
      </c>
      <c r="BO94" s="4"/>
      <c r="BP94" s="127">
        <f>(AK94)/($AW$6)</f>
        <v>0.41414141414141414</v>
      </c>
      <c r="BQ94" s="127">
        <f ca="1">(CH94-$AW$4)/((YEAR($C$13))-$AW$4)</f>
        <v>0</v>
      </c>
      <c r="BR94" s="127">
        <f>(AL94)/($AW$6)</f>
        <v>0</v>
      </c>
      <c r="BS94" s="4"/>
      <c r="BT94" s="127"/>
      <c r="BU94" s="127">
        <f ca="1">(CG94-$AW$4)/((YEAR($C$13))-$AW$4)</f>
        <v>0</v>
      </c>
      <c r="BV94" s="127">
        <f>AE94/5</f>
        <v>1</v>
      </c>
      <c r="BW94" s="127">
        <f>AF94/5</f>
        <v>1</v>
      </c>
      <c r="BX94" s="4"/>
      <c r="BY94" s="148" t="str">
        <f>IF(E94="A",".98",IF(E94="B",".99",IF(E94="C","1.00",IF(E94="D","1.00" ))))</f>
        <v>.98</v>
      </c>
      <c r="BZ94" s="127">
        <f>(CE94+7)/10</f>
        <v>0.8</v>
      </c>
      <c r="CA94" s="76" t="str">
        <f>IF(D94="Fern",".97",IF(D94="Grass",".99",IF(D94="Herb",".97",IF(D94="Shrub",".99",IF(D94="Tree","1.00",IF(D94="Vine",".98"))))))</f>
        <v>.97</v>
      </c>
      <c r="CB94" s="149" t="str">
        <f>IF(R94="Bogs Ponds Streams",".96", IF(R94="Coastal Areas",".97",IF(R94="Meadows Dry Open",".96",IF(R94="Forest &amp; Understory",".97",IF(R94="Moist Open",".98",IF(R94="Moist Shady",".96",IF(R94="Sub-Alpine","1.0")))))))</f>
        <v>.96</v>
      </c>
      <c r="CC94" s="76" t="str">
        <f>IF(S94="Local Endemic",".50",IF(S94="Regional Endemic",".70",IF(S94="Cascadia",".90",IF(S94="Rocky Mountain",".95",IF(S94="North America",".99")))))</f>
        <v>.99</v>
      </c>
      <c r="CD94" s="4"/>
      <c r="CE94" s="21">
        <f>IF(W94&gt;3,3,W94)</f>
        <v>1</v>
      </c>
      <c r="CF94" s="21">
        <f>IF(AC94&gt;102,102,AC94)</f>
        <v>43</v>
      </c>
      <c r="CG94" s="34">
        <f>IF(AI94&lt;$AW$4,$AW$4,AI94)</f>
        <v>2004</v>
      </c>
      <c r="CH94" s="34">
        <f>IF(AJ94&lt;$AW$4,$AW$4,AJ94)</f>
        <v>2004</v>
      </c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</row>
    <row r="95" spans="1:115" s="13" customFormat="1" ht="15" customHeight="1" x14ac:dyDescent="0.3">
      <c r="A95" s="235"/>
      <c r="B95" s="218"/>
      <c r="C95" s="225">
        <v>8</v>
      </c>
      <c r="D95" s="59" t="s">
        <v>2505</v>
      </c>
      <c r="E95" s="59" t="s">
        <v>2501</v>
      </c>
      <c r="F95" s="397" t="str">
        <f ca="1">IF(BC95&lt;2025, "Extinct&lt; 6Yrs?",BA95)</f>
        <v>Abundant</v>
      </c>
      <c r="G95" s="363" t="s">
        <v>525</v>
      </c>
      <c r="H95" s="363" t="s">
        <v>687</v>
      </c>
      <c r="I95" s="366" t="s">
        <v>1897</v>
      </c>
      <c r="J95" s="365" t="s">
        <v>3230</v>
      </c>
      <c r="K95" s="365" t="s">
        <v>307</v>
      </c>
      <c r="L95" s="10" t="s">
        <v>2117</v>
      </c>
      <c r="M95" s="8" t="s">
        <v>4175</v>
      </c>
      <c r="N95" s="8" t="s">
        <v>5068</v>
      </c>
      <c r="O95" s="8" t="s">
        <v>5967</v>
      </c>
      <c r="P95" s="9" t="s">
        <v>303</v>
      </c>
      <c r="Q95" s="59" t="s">
        <v>2552</v>
      </c>
      <c r="R95" s="9" t="s">
        <v>2498</v>
      </c>
      <c r="S95" s="9" t="s">
        <v>2309</v>
      </c>
      <c r="T95" s="123" t="str">
        <f>IF(R95="Bogs Ponds Streams","20",IF(R95="Coastal Areas","26",IF(R95="Meadows Dry Open","10",IF(R95="Forest &amp; Understory","14",IF(R95="Moist Open","12",IF(R95="Moist Shady","10",IF(R95="Sub-Alpine Slopes","0")))))))</f>
        <v>10</v>
      </c>
      <c r="U95" s="123" t="str">
        <f>IF(R95="Bogs Ponds Streams","52",IF(R95="Coastal Areas","51",IF(R95="Meadows Dry Open","53",IF(R95="Forest &amp; Understory","52",IF(R95="Moist Open","50",IF(R95="Moist Shady","46",IF(R95="Sub-Alpine Slopes","40")))))))</f>
        <v>46</v>
      </c>
      <c r="V95" s="123" t="str">
        <f>IF(R95="Bogs Ponds Streams","84",IF(R95="Coastal Areas","76",IF(R95="Meadows Dry Open","96", IF(R95="Forest &amp; Understory","90", IF(R95="Moist Open","88", IF(R95="Moist Shady","82", IF(R95="Sub-Alpine Slopes","80")))))))</f>
        <v>82</v>
      </c>
      <c r="W95" s="59">
        <v>20</v>
      </c>
      <c r="X95" s="59">
        <v>0</v>
      </c>
      <c r="Y95" s="59">
        <v>3500</v>
      </c>
      <c r="Z95" s="59" t="s">
        <v>2519</v>
      </c>
      <c r="AA95" s="59" t="s">
        <v>2518</v>
      </c>
      <c r="AB95" s="59">
        <v>6.8</v>
      </c>
      <c r="AC95" s="45">
        <f>C95+AK95+(0.1)*AL95</f>
        <v>18</v>
      </c>
      <c r="AD95" s="77">
        <v>98</v>
      </c>
      <c r="AE95" s="59">
        <v>5</v>
      </c>
      <c r="AF95" s="59">
        <v>5</v>
      </c>
      <c r="AG95" s="59">
        <v>1900</v>
      </c>
      <c r="AH95" s="77">
        <v>0</v>
      </c>
      <c r="AI95" s="59">
        <f ca="1">AJ95</f>
        <v>2019</v>
      </c>
      <c r="AJ95" s="18">
        <f ca="1">YEAR(TODAY())</f>
        <v>2019</v>
      </c>
      <c r="AK95" s="18">
        <v>10</v>
      </c>
      <c r="AL95" s="18">
        <v>0</v>
      </c>
      <c r="AM95" s="18">
        <v>1</v>
      </c>
      <c r="AN95" s="18">
        <v>1</v>
      </c>
      <c r="AO95" s="18">
        <v>5</v>
      </c>
      <c r="AP95" s="18">
        <v>1</v>
      </c>
      <c r="AQ95" s="18">
        <v>0</v>
      </c>
      <c r="AR95" s="18">
        <v>0</v>
      </c>
      <c r="AS95" s="18">
        <v>0</v>
      </c>
      <c r="AT95" s="18">
        <v>0</v>
      </c>
      <c r="AU95" s="18">
        <v>0</v>
      </c>
      <c r="AV95" s="18">
        <v>0</v>
      </c>
      <c r="AW95" s="18">
        <v>0</v>
      </c>
      <c r="AX95" s="18">
        <v>0</v>
      </c>
      <c r="AY95" s="233"/>
      <c r="AZ95" s="4"/>
      <c r="BA95" s="35" t="str">
        <f ca="1">IF(OR(S95="North America",S95="Rocky Mountain"), "Widespread",BC95)</f>
        <v>Abundant</v>
      </c>
      <c r="BB95" s="4"/>
      <c r="BC95" s="35" t="str">
        <f ca="1">IF(BE95&gt;2046, "Abundant",BE95)</f>
        <v>Abundant</v>
      </c>
      <c r="BD95" s="4"/>
      <c r="BE95" s="81">
        <f ca="1">YEAR($C$13)+(BG95*80)</f>
        <v>2104.2113682709446</v>
      </c>
      <c r="BF95" s="4"/>
      <c r="BG95" s="137">
        <f ca="1">BH95*$BH$14</f>
        <v>1.0651421033868094</v>
      </c>
      <c r="BH95" s="137">
        <f ca="1">(((BJ95+BK95+BM95+BN95)/4)*$BM$11)+(((BP95+BQ95)/2)*$BQ$11)+(((BU95+BV95+BW95)/3)*$BU$11)+(((BY95+BZ95+CA95+CB95+CC95)/5)*$CA$11)</f>
        <v>1.0651421033868094</v>
      </c>
      <c r="BI95" s="4"/>
      <c r="BJ95" s="33">
        <f>AP95/(AM95+AO95)</f>
        <v>0.16666666666666666</v>
      </c>
      <c r="BK95" s="33">
        <f>(AN95+AO95)/(AM95+AO95)</f>
        <v>1</v>
      </c>
      <c r="BL95" s="4"/>
      <c r="BM95" s="127">
        <f>CF95/102</f>
        <v>0.17647058823529413</v>
      </c>
      <c r="BN95" s="127">
        <f>C95/2</f>
        <v>4</v>
      </c>
      <c r="BO95" s="4"/>
      <c r="BP95" s="127">
        <f>(AK95)/($AW$6)</f>
        <v>0.10101010101010101</v>
      </c>
      <c r="BQ95" s="127">
        <f ca="1">(CH95-$AW$4)/((YEAR($C$13))-$AW$4)</f>
        <v>1</v>
      </c>
      <c r="BR95" s="127">
        <f>(AL95)/($AW$6)</f>
        <v>0</v>
      </c>
      <c r="BS95" s="4"/>
      <c r="BT95" s="127"/>
      <c r="BU95" s="127">
        <f ca="1">(CG95-$AW$4)/((YEAR($C$13))-$AW$4)</f>
        <v>1</v>
      </c>
      <c r="BV95" s="127">
        <f>AE95/5</f>
        <v>1</v>
      </c>
      <c r="BW95" s="127">
        <f>AF95/5</f>
        <v>1</v>
      </c>
      <c r="BX95" s="4"/>
      <c r="BY95" s="148" t="str">
        <f>IF(E95="A",".98",IF(E95="B",".99",IF(E95="C","1.00",IF(E95="D","1.00" ))))</f>
        <v>1.00</v>
      </c>
      <c r="BZ95" s="127">
        <f>(CE95+7)/10</f>
        <v>1</v>
      </c>
      <c r="CA95" s="76" t="str">
        <f>IF(D95="Fern",".97",IF(D95="Grass",".99",IF(D95="Herb",".97",IF(D95="Shrub",".99",IF(D95="Tree","1.00",IF(D95="Vine",".98"))))))</f>
        <v>.97</v>
      </c>
      <c r="CB95" s="149" t="str">
        <f>IF(R95="Bogs Ponds Streams",".96", IF(R95="Coastal Areas",".97",IF(R95="Meadows Dry Open",".96",IF(R95="Forest &amp; Understory",".97",IF(R95="Moist Open",".98",IF(R95="Moist Shady",".96",IF(R95="Sub-Alpine","1.0")))))))</f>
        <v>.96</v>
      </c>
      <c r="CC95" s="76" t="str">
        <f>IF(S95="Local Endemic",".50",IF(S95="Regional Endemic",".70",IF(S95="Cascadia",".90",IF(S95="Rocky Mountain",".95",IF(S95="North America",".99")))))</f>
        <v>.70</v>
      </c>
      <c r="CD95" s="4"/>
      <c r="CE95" s="21">
        <f>IF(W95&gt;3,3,W95)</f>
        <v>3</v>
      </c>
      <c r="CF95" s="21">
        <f>IF(AC95&gt;102,102,AC95)</f>
        <v>18</v>
      </c>
      <c r="CG95" s="34">
        <f ca="1">IF(AI95&lt;$AW$4,$AW$4,AI95)</f>
        <v>2019</v>
      </c>
      <c r="CH95" s="34">
        <f ca="1">IF(AJ95&lt;$AW$4,$AW$4,AJ95)</f>
        <v>2019</v>
      </c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12"/>
    </row>
    <row r="96" spans="1:115" s="13" customFormat="1" ht="15" customHeight="1" x14ac:dyDescent="0.3">
      <c r="A96" s="235"/>
      <c r="B96" s="218"/>
      <c r="C96" s="225">
        <v>8</v>
      </c>
      <c r="D96" s="59" t="s">
        <v>2505</v>
      </c>
      <c r="E96" s="59" t="s">
        <v>2501</v>
      </c>
      <c r="F96" s="397" t="str">
        <f ca="1">IF(BC96&lt;2025, "Extinct&lt; 6Yrs?",BA96)</f>
        <v>Widespread</v>
      </c>
      <c r="G96" s="363" t="s">
        <v>525</v>
      </c>
      <c r="H96" s="363" t="s">
        <v>686</v>
      </c>
      <c r="I96" s="366" t="s">
        <v>1898</v>
      </c>
      <c r="J96" s="365" t="s">
        <v>3231</v>
      </c>
      <c r="K96" s="365" t="s">
        <v>864</v>
      </c>
      <c r="L96" s="10" t="s">
        <v>2116</v>
      </c>
      <c r="M96" s="8" t="s">
        <v>4176</v>
      </c>
      <c r="N96" s="8" t="s">
        <v>5069</v>
      </c>
      <c r="O96" s="8" t="s">
        <v>5968</v>
      </c>
      <c r="P96" s="9" t="s">
        <v>117</v>
      </c>
      <c r="Q96" s="59" t="s">
        <v>2552</v>
      </c>
      <c r="R96" s="9" t="s">
        <v>2498</v>
      </c>
      <c r="S96" s="9" t="s">
        <v>2495</v>
      </c>
      <c r="T96" s="123" t="str">
        <f>IF(R96="Bogs Ponds Streams","20",IF(R96="Coastal Areas","26",IF(R96="Meadows Dry Open","10",IF(R96="Forest &amp; Understory","14",IF(R96="Moist Open","12",IF(R96="Moist Shady","10",IF(R96="Sub-Alpine Slopes","0")))))))</f>
        <v>10</v>
      </c>
      <c r="U96" s="123" t="str">
        <f>IF(R96="Bogs Ponds Streams","52",IF(R96="Coastal Areas","51",IF(R96="Meadows Dry Open","53",IF(R96="Forest &amp; Understory","52",IF(R96="Moist Open","50",IF(R96="Moist Shady","46",IF(R96="Sub-Alpine Slopes","40")))))))</f>
        <v>46</v>
      </c>
      <c r="V96" s="123" t="str">
        <f>IF(R96="Bogs Ponds Streams","84",IF(R96="Coastal Areas","76",IF(R96="Meadows Dry Open","96", IF(R96="Forest &amp; Understory","90", IF(R96="Moist Open","88", IF(R96="Moist Shady","82", IF(R96="Sub-Alpine Slopes","80")))))))</f>
        <v>82</v>
      </c>
      <c r="W96" s="59">
        <v>20</v>
      </c>
      <c r="X96" s="59">
        <v>0</v>
      </c>
      <c r="Y96" s="59">
        <v>3500</v>
      </c>
      <c r="Z96" s="59" t="s">
        <v>2519</v>
      </c>
      <c r="AA96" s="59" t="s">
        <v>2518</v>
      </c>
      <c r="AB96" s="59">
        <v>6.8</v>
      </c>
      <c r="AC96" s="45">
        <f>C96+AK96+(0.1)*AL96</f>
        <v>22.2</v>
      </c>
      <c r="AD96" s="77">
        <v>131</v>
      </c>
      <c r="AE96" s="59">
        <v>5</v>
      </c>
      <c r="AF96" s="59">
        <v>5</v>
      </c>
      <c r="AG96" s="59">
        <v>1900</v>
      </c>
      <c r="AH96" s="77">
        <v>0</v>
      </c>
      <c r="AI96" s="59">
        <f ca="1">AJ96</f>
        <v>2019</v>
      </c>
      <c r="AJ96" s="18">
        <f ca="1">YEAR(TODAY())</f>
        <v>2019</v>
      </c>
      <c r="AK96" s="18">
        <v>12</v>
      </c>
      <c r="AL96" s="18">
        <v>22</v>
      </c>
      <c r="AM96" s="18">
        <v>1</v>
      </c>
      <c r="AN96" s="18">
        <v>1</v>
      </c>
      <c r="AO96" s="18">
        <v>5</v>
      </c>
      <c r="AP96" s="18">
        <v>1</v>
      </c>
      <c r="AQ96" s="18">
        <v>0</v>
      </c>
      <c r="AR96" s="18">
        <v>0</v>
      </c>
      <c r="AS96" s="18">
        <v>0</v>
      </c>
      <c r="AT96" s="18">
        <v>0</v>
      </c>
      <c r="AU96" s="18">
        <v>0</v>
      </c>
      <c r="AV96" s="18">
        <v>0</v>
      </c>
      <c r="AW96" s="18">
        <v>0</v>
      </c>
      <c r="AX96" s="18">
        <v>0</v>
      </c>
      <c r="AY96" s="233"/>
      <c r="AZ96" s="4"/>
      <c r="BA96" s="35" t="str">
        <f>IF(OR(S96="North America",S96="Rocky Mountain"), "Widespread",BC96)</f>
        <v>Widespread</v>
      </c>
      <c r="BB96" s="4"/>
      <c r="BC96" s="35" t="str">
        <f ca="1">IF(BE96&gt;2046, "Abundant",BE96)</f>
        <v>Abundant</v>
      </c>
      <c r="BD96" s="4"/>
      <c r="BE96" s="81">
        <f ca="1">YEAR($C$13)+(BG96*80)</f>
        <v>2105.0407101604278</v>
      </c>
      <c r="BF96" s="4"/>
      <c r="BG96" s="137">
        <f ca="1">BH96*$BH$14</f>
        <v>1.0755088770053476</v>
      </c>
      <c r="BH96" s="137">
        <f ca="1">(((BJ96+BK96+BM96+BN96)/4)*$BM$11)+(((BP96+BQ96)/2)*$BQ$11)+(((BU96+BV96+BW96)/3)*$BU$11)+(((BY96+BZ96+CA96+CB96+CC96)/5)*$CA$11)</f>
        <v>1.0755088770053476</v>
      </c>
      <c r="BI96" s="4"/>
      <c r="BJ96" s="33">
        <f>AP96/(AM96+AO96)</f>
        <v>0.16666666666666666</v>
      </c>
      <c r="BK96" s="33">
        <f>(AN96+AO96)/(AM96+AO96)</f>
        <v>1</v>
      </c>
      <c r="BL96" s="4"/>
      <c r="BM96" s="127">
        <f>CF96/102</f>
        <v>0.21764705882352942</v>
      </c>
      <c r="BN96" s="127">
        <f>C96/2</f>
        <v>4</v>
      </c>
      <c r="BO96" s="4"/>
      <c r="BP96" s="127">
        <f>(AK96)/($AW$6)</f>
        <v>0.12121212121212122</v>
      </c>
      <c r="BQ96" s="127">
        <f ca="1">(CH96-$AW$4)/((YEAR($C$13))-$AW$4)</f>
        <v>1</v>
      </c>
      <c r="BR96" s="127">
        <f>(AL96)/($AW$6)</f>
        <v>0.22222222222222221</v>
      </c>
      <c r="BS96" s="4"/>
      <c r="BT96" s="127"/>
      <c r="BU96" s="127">
        <f ca="1">(CG96-$AW$4)/((YEAR($C$13))-$AW$4)</f>
        <v>1</v>
      </c>
      <c r="BV96" s="127">
        <f>AE96/5</f>
        <v>1</v>
      </c>
      <c r="BW96" s="127">
        <f>AF96/5</f>
        <v>1</v>
      </c>
      <c r="BX96" s="4"/>
      <c r="BY96" s="148" t="str">
        <f>IF(E96="A",".98",IF(E96="B",".99",IF(E96="C","1.00",IF(E96="D","1.00" ))))</f>
        <v>1.00</v>
      </c>
      <c r="BZ96" s="127">
        <f>(CE96+7)/10</f>
        <v>1</v>
      </c>
      <c r="CA96" s="76" t="str">
        <f>IF(D96="Fern",".97",IF(D96="Grass",".99",IF(D96="Herb",".97",IF(D96="Shrub",".99",IF(D96="Tree","1.00",IF(D96="Vine",".98"))))))</f>
        <v>.97</v>
      </c>
      <c r="CB96" s="149" t="str">
        <f>IF(R96="Bogs Ponds Streams",".96", IF(R96="Coastal Areas",".97",IF(R96="Meadows Dry Open",".96",IF(R96="Forest &amp; Understory",".97",IF(R96="Moist Open",".98",IF(R96="Moist Shady",".96",IF(R96="Sub-Alpine","1.0")))))))</f>
        <v>.96</v>
      </c>
      <c r="CC96" s="76" t="str">
        <f>IF(S96="Local Endemic",".50",IF(S96="Regional Endemic",".70",IF(S96="Cascadia",".90",IF(S96="Rocky Mountain",".95",IF(S96="North America",".99")))))</f>
        <v>.99</v>
      </c>
      <c r="CD96" s="4"/>
      <c r="CE96" s="21">
        <f>IF(W96&gt;3,3,W96)</f>
        <v>3</v>
      </c>
      <c r="CF96" s="21">
        <f>IF(AC96&gt;102,102,AC96)</f>
        <v>22.2</v>
      </c>
      <c r="CG96" s="34">
        <f ca="1">IF(AI96&lt;$AW$4,$AW$4,AI96)</f>
        <v>2019</v>
      </c>
      <c r="CH96" s="34">
        <f ca="1">IF(AJ96&lt;$AW$4,$AW$4,AJ96)</f>
        <v>2019</v>
      </c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12"/>
    </row>
    <row r="97" spans="1:115" s="13" customFormat="1" ht="15" customHeight="1" x14ac:dyDescent="0.3">
      <c r="A97" s="235"/>
      <c r="B97" s="218"/>
      <c r="C97" s="226">
        <v>2</v>
      </c>
      <c r="D97" s="104" t="s">
        <v>2505</v>
      </c>
      <c r="E97" s="104" t="s">
        <v>2501</v>
      </c>
      <c r="F97" s="400" t="str">
        <f ca="1">IF(BC97&lt;2025, "Extinct&lt; 6Yrs?",BA97)</f>
        <v>Abundant</v>
      </c>
      <c r="G97" s="369" t="s">
        <v>525</v>
      </c>
      <c r="H97" s="369" t="s">
        <v>4028</v>
      </c>
      <c r="I97" s="372" t="s">
        <v>1899</v>
      </c>
      <c r="J97" s="371" t="s">
        <v>3839</v>
      </c>
      <c r="K97" s="371" t="s">
        <v>1201</v>
      </c>
      <c r="L97" s="106" t="s">
        <v>2115</v>
      </c>
      <c r="M97" s="111" t="s">
        <v>4177</v>
      </c>
      <c r="N97" s="111" t="s">
        <v>5070</v>
      </c>
      <c r="O97" s="111" t="s">
        <v>5969</v>
      </c>
      <c r="P97" s="105" t="s">
        <v>45</v>
      </c>
      <c r="Q97" s="104" t="s">
        <v>2552</v>
      </c>
      <c r="R97" s="105" t="s">
        <v>2500</v>
      </c>
      <c r="S97" s="114" t="s">
        <v>2459</v>
      </c>
      <c r="T97" s="133" t="str">
        <f>IF(R97="Bogs Ponds Streams","20",IF(R97="Coastal Areas","26",IF(R97="Meadows Dry Open","10",IF(R97="Forest &amp; Understory","14",IF(R97="Moist Open","12",IF(R97="Moist Shady","10",IF(R97="Sub-Alpine Slopes","0")))))))</f>
        <v>10</v>
      </c>
      <c r="U97" s="133" t="str">
        <f>IF(R97="Bogs Ponds Streams","52",IF(R97="Coastal Areas","51",IF(R97="Meadows Dry Open","53",IF(R97="Forest &amp; Understory","52",IF(R97="Moist Open","50",IF(R97="Moist Shady","46",IF(R97="Sub-Alpine Slopes","40")))))))</f>
        <v>53</v>
      </c>
      <c r="V97" s="133" t="str">
        <f>IF(R97="Bogs Ponds Streams","84",IF(R97="Coastal Areas","76",IF(R97="Meadows Dry Open","96", IF(R97="Forest &amp; Understory","90", IF(R97="Moist Open","88", IF(R97="Moist Shady","82", IF(R97="Sub-Alpine Slopes","80")))))))</f>
        <v>96</v>
      </c>
      <c r="W97" s="104">
        <v>20</v>
      </c>
      <c r="X97" s="104">
        <v>0</v>
      </c>
      <c r="Y97" s="104">
        <v>3500</v>
      </c>
      <c r="Z97" s="104" t="s">
        <v>2519</v>
      </c>
      <c r="AA97" s="104" t="s">
        <v>2518</v>
      </c>
      <c r="AB97" s="104">
        <v>6.8</v>
      </c>
      <c r="AC97" s="107">
        <f>C97+AK97+(0.1)*AL97</f>
        <v>3</v>
      </c>
      <c r="AD97" s="113">
        <v>7</v>
      </c>
      <c r="AE97" s="104">
        <v>5</v>
      </c>
      <c r="AF97" s="104">
        <v>5</v>
      </c>
      <c r="AG97" s="104">
        <v>1900</v>
      </c>
      <c r="AH97" s="113">
        <v>0</v>
      </c>
      <c r="AI97" s="104">
        <f ca="1">AJ97</f>
        <v>2019</v>
      </c>
      <c r="AJ97" s="108">
        <f ca="1">YEAR(TODAY())</f>
        <v>2019</v>
      </c>
      <c r="AK97" s="108">
        <v>1</v>
      </c>
      <c r="AL97" s="108">
        <v>0</v>
      </c>
      <c r="AM97" s="108">
        <v>1</v>
      </c>
      <c r="AN97" s="108">
        <v>1</v>
      </c>
      <c r="AO97" s="110">
        <v>0</v>
      </c>
      <c r="AP97" s="108">
        <v>1</v>
      </c>
      <c r="AQ97" s="108">
        <v>0</v>
      </c>
      <c r="AR97" s="108">
        <v>0</v>
      </c>
      <c r="AS97" s="108">
        <v>0</v>
      </c>
      <c r="AT97" s="108">
        <v>0</v>
      </c>
      <c r="AU97" s="108">
        <v>0</v>
      </c>
      <c r="AV97" s="108">
        <v>0</v>
      </c>
      <c r="AW97" s="108">
        <v>0</v>
      </c>
      <c r="AX97" s="108">
        <v>0</v>
      </c>
      <c r="AY97" s="233"/>
      <c r="AZ97" s="4"/>
      <c r="BA97" s="35" t="str">
        <f ca="1">IF(OR(S97="North America",S97="Rocky Mountain"), "Widespread",BC97)</f>
        <v>Abundant</v>
      </c>
      <c r="BB97" s="4"/>
      <c r="BC97" s="35" t="str">
        <f ca="1">IF(BE97&gt;2046, "Abundant",BE97)</f>
        <v>Abundant</v>
      </c>
      <c r="BD97" s="4"/>
      <c r="BE97" s="81">
        <f ca="1">YEAR($C$13)+(BG97*80)</f>
        <v>2075.4197532976827</v>
      </c>
      <c r="BF97" s="4"/>
      <c r="BG97" s="137">
        <f ca="1">BH97*$BH$14</f>
        <v>0.70524691622103375</v>
      </c>
      <c r="BH97" s="137">
        <f ca="1">(((BJ97+BK97+BM97+BN97)/4)*$BM$11)+(((BP97+BQ97)/2)*$BQ$11)+(((BU97+BV97+BW97)/3)*$BU$11)+(((BY97+BZ97+CA97+CB97+CC97)/5)*$CA$11)</f>
        <v>0.70524691622103375</v>
      </c>
      <c r="BI97" s="4"/>
      <c r="BJ97" s="33">
        <f>AP97/(AM97+AO97)</f>
        <v>1</v>
      </c>
      <c r="BK97" s="33">
        <f>(AN97+AO97)/(AM97+AO97)</f>
        <v>1</v>
      </c>
      <c r="BL97" s="4"/>
      <c r="BM97" s="127">
        <f>CF97/102</f>
        <v>2.9411764705882353E-2</v>
      </c>
      <c r="BN97" s="127">
        <f>C97/2</f>
        <v>1</v>
      </c>
      <c r="BO97" s="4"/>
      <c r="BP97" s="127">
        <f>(AK97)/($AW$6)</f>
        <v>1.0101010101010102E-2</v>
      </c>
      <c r="BQ97" s="127">
        <f ca="1">(CH97-$AW$4)/((YEAR($C$13))-$AW$4)</f>
        <v>1</v>
      </c>
      <c r="BR97" s="127">
        <f>(AL97)/($AW$6)</f>
        <v>0</v>
      </c>
      <c r="BS97" s="4"/>
      <c r="BT97" s="127"/>
      <c r="BU97" s="127">
        <f ca="1">(CG97-$AW$4)/((YEAR($C$13))-$AW$4)</f>
        <v>1</v>
      </c>
      <c r="BV97" s="127">
        <f>AE97/5</f>
        <v>1</v>
      </c>
      <c r="BW97" s="127">
        <f>AF97/5</f>
        <v>1</v>
      </c>
      <c r="BX97" s="4"/>
      <c r="BY97" s="148" t="str">
        <f>IF(E97="A",".98",IF(E97="B",".99",IF(E97="C","1.00",IF(E97="D","1.00" ))))</f>
        <v>1.00</v>
      </c>
      <c r="BZ97" s="127">
        <f>(CE97+7)/10</f>
        <v>1</v>
      </c>
      <c r="CA97" s="76" t="str">
        <f>IF(D97="Fern",".97",IF(D97="Grass",".99",IF(D97="Herb",".97",IF(D97="Shrub",".99",IF(D97="Tree","1.00",IF(D97="Vine",".98"))))))</f>
        <v>.97</v>
      </c>
      <c r="CB97" s="149" t="str">
        <f>IF(R97="Bogs Ponds Streams",".96", IF(R97="Coastal Areas",".97",IF(R97="Meadows Dry Open",".96",IF(R97="Forest &amp; Understory",".97",IF(R97="Moist Open",".98",IF(R97="Moist Shady",".96",IF(R97="Sub-Alpine","1.0")))))))</f>
        <v>.96</v>
      </c>
      <c r="CC97" s="76" t="str">
        <f>IF(S97="Local Endemic",".50",IF(S97="Regional Endemic",".70",IF(S97="Cascadia",".90",IF(S97="Rocky Mountain",".95",IF(S97="North America",".99")))))</f>
        <v>.90</v>
      </c>
      <c r="CD97" s="4"/>
      <c r="CE97" s="21">
        <f>IF(W97&gt;3,3,W97)</f>
        <v>3</v>
      </c>
      <c r="CF97" s="21">
        <f>IF(AC97&gt;102,102,AC97)</f>
        <v>3</v>
      </c>
      <c r="CG97" s="34">
        <f ca="1">IF(AI97&lt;$AW$4,$AW$4,AI97)</f>
        <v>2019</v>
      </c>
      <c r="CH97" s="34">
        <f ca="1">IF(AJ97&lt;$AW$4,$AW$4,AJ97)</f>
        <v>2019</v>
      </c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</row>
    <row r="98" spans="1:115" s="13" customFormat="1" ht="15" customHeight="1" x14ac:dyDescent="0.3">
      <c r="A98" s="235"/>
      <c r="B98" s="218"/>
      <c r="C98" s="225">
        <v>8</v>
      </c>
      <c r="D98" s="59" t="s">
        <v>2505</v>
      </c>
      <c r="E98" s="59" t="s">
        <v>2501</v>
      </c>
      <c r="F98" s="397" t="str">
        <f ca="1">IF(BC98&lt;2025, "Extinct&lt; 6Yrs?",BA98)</f>
        <v>Abundant</v>
      </c>
      <c r="G98" s="363" t="s">
        <v>525</v>
      </c>
      <c r="H98" s="363" t="s">
        <v>696</v>
      </c>
      <c r="I98" s="364" t="s">
        <v>1900</v>
      </c>
      <c r="J98" s="365" t="s">
        <v>3232</v>
      </c>
      <c r="K98" s="365" t="s">
        <v>1183</v>
      </c>
      <c r="L98" s="10" t="s">
        <v>2114</v>
      </c>
      <c r="M98" s="8" t="s">
        <v>4178</v>
      </c>
      <c r="N98" s="8" t="s">
        <v>5071</v>
      </c>
      <c r="O98" s="8" t="s">
        <v>5970</v>
      </c>
      <c r="P98" s="9" t="s">
        <v>45</v>
      </c>
      <c r="Q98" s="59" t="s">
        <v>2552</v>
      </c>
      <c r="R98" s="9" t="s">
        <v>2500</v>
      </c>
      <c r="S98" s="17" t="s">
        <v>2459</v>
      </c>
      <c r="T98" s="123" t="str">
        <f>IF(R98="Bogs Ponds Streams","20",IF(R98="Coastal Areas","26",IF(R98="Meadows Dry Open","10",IF(R98="Forest &amp; Understory","14",IF(R98="Moist Open","12",IF(R98="Moist Shady","10",IF(R98="Sub-Alpine Slopes","0")))))))</f>
        <v>10</v>
      </c>
      <c r="U98" s="123" t="str">
        <f>IF(R98="Bogs Ponds Streams","52",IF(R98="Coastal Areas","51",IF(R98="Meadows Dry Open","53",IF(R98="Forest &amp; Understory","52",IF(R98="Moist Open","50",IF(R98="Moist Shady","46",IF(R98="Sub-Alpine Slopes","40")))))))</f>
        <v>53</v>
      </c>
      <c r="V98" s="123" t="str">
        <f>IF(R98="Bogs Ponds Streams","84",IF(R98="Coastal Areas","76",IF(R98="Meadows Dry Open","96", IF(R98="Forest &amp; Understory","90", IF(R98="Moist Open","88", IF(R98="Moist Shady","82", IF(R98="Sub-Alpine Slopes","80")))))))</f>
        <v>96</v>
      </c>
      <c r="W98" s="59">
        <v>20</v>
      </c>
      <c r="X98" s="59">
        <v>0</v>
      </c>
      <c r="Y98" s="59">
        <v>3500</v>
      </c>
      <c r="Z98" s="59" t="s">
        <v>2519</v>
      </c>
      <c r="AA98" s="59" t="s">
        <v>2518</v>
      </c>
      <c r="AB98" s="59">
        <v>6.8</v>
      </c>
      <c r="AC98" s="45">
        <f>C98+AK98+(0.1)*AL98</f>
        <v>12.3</v>
      </c>
      <c r="AD98" s="77">
        <v>65</v>
      </c>
      <c r="AE98" s="59">
        <v>5</v>
      </c>
      <c r="AF98" s="59">
        <v>5</v>
      </c>
      <c r="AG98" s="59">
        <v>1900</v>
      </c>
      <c r="AH98" s="77">
        <v>0</v>
      </c>
      <c r="AI98" s="59">
        <f ca="1">AJ98</f>
        <v>2019</v>
      </c>
      <c r="AJ98" s="18">
        <f ca="1">YEAR(TODAY())</f>
        <v>2019</v>
      </c>
      <c r="AK98" s="18">
        <v>1</v>
      </c>
      <c r="AL98" s="18">
        <v>33</v>
      </c>
      <c r="AM98" s="18">
        <v>1</v>
      </c>
      <c r="AN98" s="18">
        <v>1</v>
      </c>
      <c r="AO98" s="25">
        <v>0</v>
      </c>
      <c r="AP98" s="24">
        <v>1</v>
      </c>
      <c r="AQ98" s="18">
        <v>0</v>
      </c>
      <c r="AR98" s="18">
        <v>0</v>
      </c>
      <c r="AS98" s="18">
        <v>0</v>
      </c>
      <c r="AT98" s="18">
        <v>0</v>
      </c>
      <c r="AU98" s="18">
        <v>0</v>
      </c>
      <c r="AV98" s="18">
        <v>0</v>
      </c>
      <c r="AW98" s="18">
        <v>0</v>
      </c>
      <c r="AX98" s="18">
        <v>0</v>
      </c>
      <c r="AY98" s="233"/>
      <c r="AZ98" s="4"/>
      <c r="BA98" s="35" t="str">
        <f ca="1">IF(OR(S98="North America",S98="Rocky Mountain"), "Widespread",BC98)</f>
        <v>Abundant</v>
      </c>
      <c r="BB98" s="4"/>
      <c r="BC98" s="35" t="str">
        <f ca="1">IF(BE98&gt;2046, "Abundant",BE98)</f>
        <v>Abundant</v>
      </c>
      <c r="BD98" s="4"/>
      <c r="BE98" s="81">
        <f ca="1">YEAR($C$13)+(BG98*80)</f>
        <v>2112.5138709447415</v>
      </c>
      <c r="BF98" s="4"/>
      <c r="BG98" s="137">
        <f ca="1">BH98*$BH$14</f>
        <v>1.1689233868092692</v>
      </c>
      <c r="BH98" s="137">
        <f ca="1">(((BJ98+BK98+BM98+BN98)/4)*$BM$11)+(((BP98+BQ98)/2)*$BQ$11)+(((BU98+BV98+BW98)/3)*$BU$11)+(((BY98+BZ98+CA98+CB98+CC98)/5)*$CA$11)</f>
        <v>1.1689233868092692</v>
      </c>
      <c r="BI98" s="4"/>
      <c r="BJ98" s="33">
        <f>AP98/(AM98+AO98)</f>
        <v>1</v>
      </c>
      <c r="BK98" s="33">
        <f>(AN98+AO98)/(AM98+AO98)</f>
        <v>1</v>
      </c>
      <c r="BL98" s="4"/>
      <c r="BM98" s="127">
        <f>CF98/102</f>
        <v>0.12058823529411765</v>
      </c>
      <c r="BN98" s="127">
        <f>C98/2</f>
        <v>4</v>
      </c>
      <c r="BO98" s="4"/>
      <c r="BP98" s="127">
        <f>(AK98)/($AW$6)</f>
        <v>1.0101010101010102E-2</v>
      </c>
      <c r="BQ98" s="127">
        <f ca="1">(CH98-$AW$4)/((YEAR($C$13))-$AW$4)</f>
        <v>1</v>
      </c>
      <c r="BR98" s="127">
        <f>(AL98)/($AW$6)</f>
        <v>0.33333333333333331</v>
      </c>
      <c r="BS98" s="4"/>
      <c r="BT98" s="127"/>
      <c r="BU98" s="127">
        <f ca="1">(CG98-$AW$4)/((YEAR($C$13))-$AW$4)</f>
        <v>1</v>
      </c>
      <c r="BV98" s="127">
        <f>AE98/5</f>
        <v>1</v>
      </c>
      <c r="BW98" s="127">
        <f>AF98/5</f>
        <v>1</v>
      </c>
      <c r="BX98" s="4"/>
      <c r="BY98" s="148" t="str">
        <f>IF(E98="A",".98",IF(E98="B",".99",IF(E98="C","1.00",IF(E98="D","1.00" ))))</f>
        <v>1.00</v>
      </c>
      <c r="BZ98" s="127">
        <f>(CE98+7)/10</f>
        <v>1</v>
      </c>
      <c r="CA98" s="76" t="str">
        <f>IF(D98="Fern",".97",IF(D98="Grass",".99",IF(D98="Herb",".97",IF(D98="Shrub",".99",IF(D98="Tree","1.00",IF(D98="Vine",".98"))))))</f>
        <v>.97</v>
      </c>
      <c r="CB98" s="149" t="str">
        <f>IF(R98="Bogs Ponds Streams",".96", IF(R98="Coastal Areas",".97",IF(R98="Meadows Dry Open",".96",IF(R98="Forest &amp; Understory",".97",IF(R98="Moist Open",".98",IF(R98="Moist Shady",".96",IF(R98="Sub-Alpine","1.0")))))))</f>
        <v>.96</v>
      </c>
      <c r="CC98" s="76" t="str">
        <f>IF(S98="Local Endemic",".50",IF(S98="Regional Endemic",".70",IF(S98="Cascadia",".90",IF(S98="Rocky Mountain",".95",IF(S98="North America",".99")))))</f>
        <v>.90</v>
      </c>
      <c r="CD98" s="4"/>
      <c r="CE98" s="21">
        <f>IF(W98&gt;3,3,W98)</f>
        <v>3</v>
      </c>
      <c r="CF98" s="21">
        <f>IF(AC98&gt;102,102,AC98)</f>
        <v>12.3</v>
      </c>
      <c r="CG98" s="34">
        <f ca="1">IF(AI98&lt;$AW$4,$AW$4,AI98)</f>
        <v>2019</v>
      </c>
      <c r="CH98" s="34">
        <f ca="1">IF(AJ98&lt;$AW$4,$AW$4,AJ98)</f>
        <v>2019</v>
      </c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12"/>
    </row>
    <row r="99" spans="1:115" s="13" customFormat="1" ht="15" customHeight="1" x14ac:dyDescent="0.3">
      <c r="A99" s="235"/>
      <c r="B99" s="218"/>
      <c r="C99" s="225">
        <v>8</v>
      </c>
      <c r="D99" s="59" t="s">
        <v>1154</v>
      </c>
      <c r="E99" s="59" t="s">
        <v>2501</v>
      </c>
      <c r="F99" s="397" t="str">
        <f ca="1">IF(BC99&lt;2025, "Extinct&lt; 6Yrs?",BA99)</f>
        <v>Widespread</v>
      </c>
      <c r="G99" s="363" t="s">
        <v>525</v>
      </c>
      <c r="H99" s="363" t="s">
        <v>680</v>
      </c>
      <c r="I99" s="366" t="s">
        <v>1901</v>
      </c>
      <c r="J99" s="365" t="s">
        <v>3233</v>
      </c>
      <c r="K99" s="365" t="s">
        <v>1229</v>
      </c>
      <c r="L99" s="10" t="s">
        <v>2113</v>
      </c>
      <c r="M99" s="8" t="s">
        <v>4179</v>
      </c>
      <c r="N99" s="8" t="s">
        <v>5072</v>
      </c>
      <c r="O99" s="8" t="s">
        <v>5971</v>
      </c>
      <c r="P99" s="9" t="s">
        <v>739</v>
      </c>
      <c r="Q99" s="59" t="s">
        <v>2552</v>
      </c>
      <c r="R99" s="58" t="s">
        <v>2500</v>
      </c>
      <c r="S99" s="9" t="s">
        <v>2495</v>
      </c>
      <c r="T99" s="123" t="str">
        <f>IF(R99="Bogs Ponds Streams","20",IF(R99="Coastal Areas","26",IF(R99="Meadows Dry Open","10",IF(R99="Forest &amp; Understory","14",IF(R99="Moist Open","12",IF(R99="Moist Shady","10",IF(R99="Sub-Alpine Slopes","0")))))))</f>
        <v>10</v>
      </c>
      <c r="U99" s="123" t="str">
        <f>IF(R99="Bogs Ponds Streams","52",IF(R99="Coastal Areas","51",IF(R99="Meadows Dry Open","53",IF(R99="Forest &amp; Understory","52",IF(R99="Moist Open","50",IF(R99="Moist Shady","46",IF(R99="Sub-Alpine Slopes","40")))))))</f>
        <v>53</v>
      </c>
      <c r="V99" s="123" t="str">
        <f>IF(R99="Bogs Ponds Streams","84",IF(R99="Coastal Areas","76",IF(R99="Meadows Dry Open","96", IF(R99="Forest &amp; Understory","90", IF(R99="Moist Open","88", IF(R99="Moist Shady","82", IF(R99="Sub-Alpine Slopes","80")))))))</f>
        <v>96</v>
      </c>
      <c r="W99" s="59">
        <v>20</v>
      </c>
      <c r="X99" s="59">
        <v>0</v>
      </c>
      <c r="Y99" s="59">
        <v>3500</v>
      </c>
      <c r="Z99" s="59" t="s">
        <v>2519</v>
      </c>
      <c r="AA99" s="59" t="s">
        <v>2518</v>
      </c>
      <c r="AB99" s="59">
        <v>6.8</v>
      </c>
      <c r="AC99" s="45">
        <f>C99+AK99+(0.1)*AL99</f>
        <v>22</v>
      </c>
      <c r="AD99" s="77">
        <v>145</v>
      </c>
      <c r="AE99" s="59">
        <v>5</v>
      </c>
      <c r="AF99" s="59">
        <v>5</v>
      </c>
      <c r="AG99" s="59">
        <v>1900</v>
      </c>
      <c r="AH99" s="77">
        <v>0</v>
      </c>
      <c r="AI99" s="59">
        <f ca="1">AJ99</f>
        <v>2019</v>
      </c>
      <c r="AJ99" s="18">
        <f ca="1">YEAR(TODAY())</f>
        <v>2019</v>
      </c>
      <c r="AK99" s="18">
        <v>14</v>
      </c>
      <c r="AL99" s="18">
        <v>0</v>
      </c>
      <c r="AM99" s="18">
        <v>1</v>
      </c>
      <c r="AN99" s="18">
        <v>1</v>
      </c>
      <c r="AO99" s="18">
        <v>5</v>
      </c>
      <c r="AP99" s="18">
        <v>1</v>
      </c>
      <c r="AQ99" s="18">
        <v>0</v>
      </c>
      <c r="AR99" s="18">
        <v>0</v>
      </c>
      <c r="AS99" s="18">
        <v>0</v>
      </c>
      <c r="AT99" s="18">
        <v>0</v>
      </c>
      <c r="AU99" s="18">
        <v>0</v>
      </c>
      <c r="AV99" s="18">
        <v>0</v>
      </c>
      <c r="AW99" s="18">
        <v>0</v>
      </c>
      <c r="AX99" s="18">
        <v>0</v>
      </c>
      <c r="AY99" s="233"/>
      <c r="AZ99" s="4"/>
      <c r="BA99" s="35" t="str">
        <f>IF(OR(S99="North America",S99="Rocky Mountain"), "Widespread",BC99)</f>
        <v>Widespread</v>
      </c>
      <c r="BB99" s="4"/>
      <c r="BC99" s="35" t="str">
        <f ca="1">IF(BE99&gt;2046, "Abundant",BE99)</f>
        <v>Abundant</v>
      </c>
      <c r="BD99" s="4"/>
      <c r="BE99" s="81">
        <f ca="1">YEAR($C$13)+(BG99*80)</f>
        <v>2105.2596049910871</v>
      </c>
      <c r="BF99" s="4"/>
      <c r="BG99" s="137">
        <f ca="1">BH99*$BH$14</f>
        <v>1.0782450623885917</v>
      </c>
      <c r="BH99" s="137">
        <f ca="1">(((BJ99+BK99+BM99+BN99)/4)*$BM$11)+(((BP99+BQ99)/2)*$BQ$11)+(((BU99+BV99+BW99)/3)*$BU$11)+(((BY99+BZ99+CA99+CB99+CC99)/5)*$CA$11)</f>
        <v>1.0782450623885917</v>
      </c>
      <c r="BI99" s="4"/>
      <c r="BJ99" s="33">
        <f>AP99/(AM99+AO99)</f>
        <v>0.16666666666666666</v>
      </c>
      <c r="BK99" s="33">
        <f>(AN99+AO99)/(AM99+AO99)</f>
        <v>1</v>
      </c>
      <c r="BL99" s="4"/>
      <c r="BM99" s="127">
        <f>CF99/102</f>
        <v>0.21568627450980393</v>
      </c>
      <c r="BN99" s="127">
        <f>C99/2</f>
        <v>4</v>
      </c>
      <c r="BO99" s="4"/>
      <c r="BP99" s="127">
        <f>(AK99)/($AW$6)</f>
        <v>0.14141414141414141</v>
      </c>
      <c r="BQ99" s="127">
        <f ca="1">(CH99-$AW$4)/((YEAR($C$13))-$AW$4)</f>
        <v>1</v>
      </c>
      <c r="BR99" s="127">
        <f>(AL99)/($AW$6)</f>
        <v>0</v>
      </c>
      <c r="BS99" s="4"/>
      <c r="BT99" s="127"/>
      <c r="BU99" s="127">
        <f ca="1">(CG99-$AW$4)/((YEAR($C$13))-$AW$4)</f>
        <v>1</v>
      </c>
      <c r="BV99" s="127">
        <f>AE99/5</f>
        <v>1</v>
      </c>
      <c r="BW99" s="127">
        <f>AF99/5</f>
        <v>1</v>
      </c>
      <c r="BX99" s="4"/>
      <c r="BY99" s="148" t="str">
        <f>IF(E99="A",".98",IF(E99="B",".99",IF(E99="C","1.00",IF(E99="D","1.00" ))))</f>
        <v>1.00</v>
      </c>
      <c r="BZ99" s="127">
        <f>(CE99+7)/10</f>
        <v>1</v>
      </c>
      <c r="CA99" s="76" t="str">
        <f>IF(D99="Fern",".97",IF(D99="Grass",".99",IF(D99="Herb",".97",IF(D99="Shrub",".99",IF(D99="Tree","1.00",IF(D99="Vine",".98"))))))</f>
        <v>.97</v>
      </c>
      <c r="CB99" s="149" t="str">
        <f>IF(R99="Bogs Ponds Streams",".96", IF(R99="Coastal Areas",".97",IF(R99="Meadows Dry Open",".96",IF(R99="Forest &amp; Understory",".97",IF(R99="Moist Open",".98",IF(R99="Moist Shady",".96",IF(R99="Sub-Alpine","1.0")))))))</f>
        <v>.96</v>
      </c>
      <c r="CC99" s="76" t="str">
        <f>IF(S99="Local Endemic",".50",IF(S99="Regional Endemic",".70",IF(S99="Cascadia",".90",IF(S99="Rocky Mountain",".95",IF(S99="North America",".99")))))</f>
        <v>.99</v>
      </c>
      <c r="CD99" s="4"/>
      <c r="CE99" s="21">
        <f>IF(W99&gt;3,3,W99)</f>
        <v>3</v>
      </c>
      <c r="CF99" s="21">
        <f>IF(AC99&gt;102,102,AC99)</f>
        <v>22</v>
      </c>
      <c r="CG99" s="34">
        <f ca="1">IF(AI99&lt;$AW$4,$AW$4,AI99)</f>
        <v>2019</v>
      </c>
      <c r="CH99" s="34">
        <f ca="1">IF(AJ99&lt;$AW$4,$AW$4,AJ99)</f>
        <v>2019</v>
      </c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</row>
    <row r="100" spans="1:115" s="13" customFormat="1" ht="15" customHeight="1" x14ac:dyDescent="0.3">
      <c r="A100" s="235"/>
      <c r="B100" s="218"/>
      <c r="C100" s="225">
        <v>8</v>
      </c>
      <c r="D100" s="59" t="s">
        <v>1154</v>
      </c>
      <c r="E100" s="59" t="s">
        <v>2501</v>
      </c>
      <c r="F100" s="397" t="str">
        <f ca="1">IF(BC100&lt;2025, "Extinct&lt; 6Yrs?",BA100)</f>
        <v>Widespread</v>
      </c>
      <c r="G100" s="363" t="s">
        <v>525</v>
      </c>
      <c r="H100" s="363" t="s">
        <v>691</v>
      </c>
      <c r="I100" s="366" t="s">
        <v>1902</v>
      </c>
      <c r="J100" s="365" t="s">
        <v>3234</v>
      </c>
      <c r="K100" s="365" t="s">
        <v>7</v>
      </c>
      <c r="L100" s="10" t="s">
        <v>2487</v>
      </c>
      <c r="M100" s="8" t="s">
        <v>4180</v>
      </c>
      <c r="N100" s="8" t="s">
        <v>5073</v>
      </c>
      <c r="O100" s="8" t="s">
        <v>5972</v>
      </c>
      <c r="P100" s="9" t="s">
        <v>743</v>
      </c>
      <c r="Q100" s="59" t="s">
        <v>2552</v>
      </c>
      <c r="R100" s="58" t="s">
        <v>2500</v>
      </c>
      <c r="S100" s="9" t="s">
        <v>2495</v>
      </c>
      <c r="T100" s="123" t="str">
        <f>IF(R100="Bogs Ponds Streams","20",IF(R100="Coastal Areas","26",IF(R100="Meadows Dry Open","10",IF(R100="Forest &amp; Understory","14",IF(R100="Moist Open","12",IF(R100="Moist Shady","10",IF(R100="Sub-Alpine Slopes","0")))))))</f>
        <v>10</v>
      </c>
      <c r="U100" s="123" t="str">
        <f>IF(R100="Bogs Ponds Streams","52",IF(R100="Coastal Areas","51",IF(R100="Meadows Dry Open","53",IF(R100="Forest &amp; Understory","52",IF(R100="Moist Open","50",IF(R100="Moist Shady","46",IF(R100="Sub-Alpine Slopes","40")))))))</f>
        <v>53</v>
      </c>
      <c r="V100" s="123" t="str">
        <f>IF(R100="Bogs Ponds Streams","84",IF(R100="Coastal Areas","76",IF(R100="Meadows Dry Open","96", IF(R100="Forest &amp; Understory","90", IF(R100="Moist Open","88", IF(R100="Moist Shady","82", IF(R100="Sub-Alpine Slopes","80")))))))</f>
        <v>96</v>
      </c>
      <c r="W100" s="59">
        <v>20</v>
      </c>
      <c r="X100" s="59">
        <v>0</v>
      </c>
      <c r="Y100" s="59">
        <v>3500</v>
      </c>
      <c r="Z100" s="59" t="s">
        <v>2519</v>
      </c>
      <c r="AA100" s="59" t="s">
        <v>2518</v>
      </c>
      <c r="AB100" s="59">
        <v>6.8</v>
      </c>
      <c r="AC100" s="45">
        <f>C100+AK100+(0.1)*AL100</f>
        <v>26.3</v>
      </c>
      <c r="AD100" s="77">
        <v>74</v>
      </c>
      <c r="AE100" s="59">
        <v>5</v>
      </c>
      <c r="AF100" s="59">
        <v>5</v>
      </c>
      <c r="AG100" s="59">
        <v>1900</v>
      </c>
      <c r="AH100" s="77">
        <v>0</v>
      </c>
      <c r="AI100" s="59">
        <f ca="1">AJ100</f>
        <v>2019</v>
      </c>
      <c r="AJ100" s="18">
        <f ca="1">YEAR(TODAY())</f>
        <v>2019</v>
      </c>
      <c r="AK100" s="18">
        <v>18</v>
      </c>
      <c r="AL100" s="18">
        <v>3</v>
      </c>
      <c r="AM100" s="18">
        <v>1</v>
      </c>
      <c r="AN100" s="18">
        <v>1</v>
      </c>
      <c r="AO100" s="18">
        <v>5</v>
      </c>
      <c r="AP100" s="18">
        <v>1</v>
      </c>
      <c r="AQ100" s="18">
        <v>0</v>
      </c>
      <c r="AR100" s="18">
        <v>0</v>
      </c>
      <c r="AS100" s="18">
        <v>0</v>
      </c>
      <c r="AT100" s="18">
        <v>0</v>
      </c>
      <c r="AU100" s="18">
        <v>0</v>
      </c>
      <c r="AV100" s="18">
        <v>0</v>
      </c>
      <c r="AW100" s="18">
        <v>0</v>
      </c>
      <c r="AX100" s="18">
        <v>0</v>
      </c>
      <c r="AY100" s="233"/>
      <c r="AZ100" s="4"/>
      <c r="BA100" s="35" t="str">
        <f>IF(OR(S100="North America",S100="Rocky Mountain"), "Widespread",BC100)</f>
        <v>Widespread</v>
      </c>
      <c r="BB100" s="4"/>
      <c r="BC100" s="35" t="str">
        <f ca="1">IF(BE100&gt;2046, "Abundant",BE100)</f>
        <v>Abundant</v>
      </c>
      <c r="BD100" s="4"/>
      <c r="BE100" s="81">
        <f ca="1">YEAR($C$13)+(BG100*80)</f>
        <v>2106.2503358288768</v>
      </c>
      <c r="BF100" s="4"/>
      <c r="BG100" s="137">
        <f ca="1">BH100*$BH$14</f>
        <v>1.0906291978609626</v>
      </c>
      <c r="BH100" s="137">
        <f ca="1">(((BJ100+BK100+BM100+BN100)/4)*$BM$11)+(((BP100+BQ100)/2)*$BQ$11)+(((BU100+BV100+BW100)/3)*$BU$11)+(((BY100+BZ100+CA100+CB100+CC100)/5)*$CA$11)</f>
        <v>1.0906291978609626</v>
      </c>
      <c r="BI100" s="4"/>
      <c r="BJ100" s="33">
        <f>AP100/(AM100+AO100)</f>
        <v>0.16666666666666666</v>
      </c>
      <c r="BK100" s="33">
        <f>(AN100+AO100)/(AM100+AO100)</f>
        <v>1</v>
      </c>
      <c r="BL100" s="4"/>
      <c r="BM100" s="127">
        <f>CF100/102</f>
        <v>0.25784313725490199</v>
      </c>
      <c r="BN100" s="127">
        <f>C100/2</f>
        <v>4</v>
      </c>
      <c r="BO100" s="4"/>
      <c r="BP100" s="127">
        <f>(AK100)/($AW$6)</f>
        <v>0.18181818181818182</v>
      </c>
      <c r="BQ100" s="127">
        <f ca="1">(CH100-$AW$4)/((YEAR($C$13))-$AW$4)</f>
        <v>1</v>
      </c>
      <c r="BR100" s="127">
        <f>(AL100)/($AW$6)</f>
        <v>3.0303030303030304E-2</v>
      </c>
      <c r="BS100" s="4"/>
      <c r="BT100" s="127"/>
      <c r="BU100" s="127">
        <f ca="1">(CG100-$AW$4)/((YEAR($C$13))-$AW$4)</f>
        <v>1</v>
      </c>
      <c r="BV100" s="127">
        <f>AE100/5</f>
        <v>1</v>
      </c>
      <c r="BW100" s="127">
        <f>AF100/5</f>
        <v>1</v>
      </c>
      <c r="BX100" s="4"/>
      <c r="BY100" s="148" t="str">
        <f>IF(E100="A",".98",IF(E100="B",".99",IF(E100="C","1.00",IF(E100="D","1.00" ))))</f>
        <v>1.00</v>
      </c>
      <c r="BZ100" s="127">
        <f>(CE100+7)/10</f>
        <v>1</v>
      </c>
      <c r="CA100" s="76" t="str">
        <f>IF(D100="Fern",".97",IF(D100="Grass",".99",IF(D100="Herb",".97",IF(D100="Shrub",".99",IF(D100="Tree","1.00",IF(D100="Vine",".98"))))))</f>
        <v>.97</v>
      </c>
      <c r="CB100" s="149" t="str">
        <f>IF(R100="Bogs Ponds Streams",".96", IF(R100="Coastal Areas",".97",IF(R100="Meadows Dry Open",".96",IF(R100="Forest &amp; Understory",".97",IF(R100="Moist Open",".98",IF(R100="Moist Shady",".96",IF(R100="Sub-Alpine","1.0")))))))</f>
        <v>.96</v>
      </c>
      <c r="CC100" s="76" t="str">
        <f>IF(S100="Local Endemic",".50",IF(S100="Regional Endemic",".70",IF(S100="Cascadia",".90",IF(S100="Rocky Mountain",".95",IF(S100="North America",".99")))))</f>
        <v>.99</v>
      </c>
      <c r="CD100" s="4"/>
      <c r="CE100" s="21">
        <f>IF(W100&gt;3,3,W100)</f>
        <v>3</v>
      </c>
      <c r="CF100" s="21">
        <f>IF(AC100&gt;102,102,AC100)</f>
        <v>26.3</v>
      </c>
      <c r="CG100" s="34">
        <f ca="1">IF(AI100&lt;$AW$4,$AW$4,AI100)</f>
        <v>2019</v>
      </c>
      <c r="CH100" s="34">
        <f ca="1">IF(AJ100&lt;$AW$4,$AW$4,AJ100)</f>
        <v>2019</v>
      </c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</row>
    <row r="101" spans="1:115" s="13" customFormat="1" ht="15" customHeight="1" x14ac:dyDescent="0.3">
      <c r="A101" s="235"/>
      <c r="B101" s="218"/>
      <c r="C101" s="225">
        <v>8</v>
      </c>
      <c r="D101" s="59" t="s">
        <v>1154</v>
      </c>
      <c r="E101" s="59" t="s">
        <v>2501</v>
      </c>
      <c r="F101" s="397" t="str">
        <f ca="1">IF(BC101&lt;2025, "Extinct&lt; 6Yrs?",BA101)</f>
        <v>Widespread</v>
      </c>
      <c r="G101" s="363" t="s">
        <v>525</v>
      </c>
      <c r="H101" s="363" t="s">
        <v>687</v>
      </c>
      <c r="I101" s="366" t="s">
        <v>499</v>
      </c>
      <c r="J101" s="365" t="s">
        <v>3235</v>
      </c>
      <c r="K101" s="365" t="s">
        <v>2830</v>
      </c>
      <c r="L101" s="10" t="s">
        <v>1784</v>
      </c>
      <c r="M101" s="8" t="s">
        <v>4181</v>
      </c>
      <c r="N101" s="8" t="s">
        <v>5074</v>
      </c>
      <c r="O101" s="8" t="s">
        <v>5973</v>
      </c>
      <c r="P101" s="9" t="s">
        <v>3236</v>
      </c>
      <c r="Q101" s="59" t="s">
        <v>2552</v>
      </c>
      <c r="R101" s="9" t="s">
        <v>2500</v>
      </c>
      <c r="S101" s="9" t="s">
        <v>2495</v>
      </c>
      <c r="T101" s="123" t="str">
        <f>IF(R101="Bogs Ponds Streams","20",IF(R101="Coastal Areas","26",IF(R101="Meadows Dry Open","10",IF(R101="Forest &amp; Understory","14",IF(R101="Moist Open","12",IF(R101="Moist Shady","10",IF(R101="Sub-Alpine Slopes","0")))))))</f>
        <v>10</v>
      </c>
      <c r="U101" s="123" t="str">
        <f>IF(R101="Bogs Ponds Streams","52",IF(R101="Coastal Areas","51",IF(R101="Meadows Dry Open","53",IF(R101="Forest &amp; Understory","52",IF(R101="Moist Open","50",IF(R101="Moist Shady","46",IF(R101="Sub-Alpine Slopes","40")))))))</f>
        <v>53</v>
      </c>
      <c r="V101" s="123" t="str">
        <f>IF(R101="Bogs Ponds Streams","84",IF(R101="Coastal Areas","76",IF(R101="Meadows Dry Open","96", IF(R101="Forest &amp; Understory","90", IF(R101="Moist Open","88", IF(R101="Moist Shady","82", IF(R101="Sub-Alpine Slopes","80")))))))</f>
        <v>96</v>
      </c>
      <c r="W101" s="59">
        <v>20</v>
      </c>
      <c r="X101" s="59">
        <v>0</v>
      </c>
      <c r="Y101" s="59">
        <v>3500</v>
      </c>
      <c r="Z101" s="59" t="s">
        <v>2519</v>
      </c>
      <c r="AA101" s="59" t="s">
        <v>2518</v>
      </c>
      <c r="AB101" s="59">
        <v>6.8</v>
      </c>
      <c r="AC101" s="45">
        <f>C101+AK101+(0.1)*AL101</f>
        <v>107.9</v>
      </c>
      <c r="AD101" s="77">
        <v>230</v>
      </c>
      <c r="AE101" s="59">
        <v>5</v>
      </c>
      <c r="AF101" s="59">
        <v>5</v>
      </c>
      <c r="AG101" s="59">
        <v>1900</v>
      </c>
      <c r="AH101" s="77">
        <v>0</v>
      </c>
      <c r="AI101" s="59">
        <f ca="1">AJ101</f>
        <v>2019</v>
      </c>
      <c r="AJ101" s="18">
        <f ca="1">YEAR(TODAY())</f>
        <v>2019</v>
      </c>
      <c r="AK101" s="18">
        <v>99</v>
      </c>
      <c r="AL101" s="18">
        <v>9</v>
      </c>
      <c r="AM101" s="18">
        <v>1</v>
      </c>
      <c r="AN101" s="18">
        <v>1</v>
      </c>
      <c r="AO101" s="18">
        <v>5</v>
      </c>
      <c r="AP101" s="18">
        <v>1</v>
      </c>
      <c r="AQ101" s="18">
        <v>0</v>
      </c>
      <c r="AR101" s="18">
        <v>0</v>
      </c>
      <c r="AS101" s="18">
        <v>0</v>
      </c>
      <c r="AT101" s="18">
        <v>0</v>
      </c>
      <c r="AU101" s="18">
        <v>0</v>
      </c>
      <c r="AV101" s="18">
        <v>0</v>
      </c>
      <c r="AW101" s="18">
        <v>0</v>
      </c>
      <c r="AX101" s="18">
        <v>0</v>
      </c>
      <c r="AY101" s="233"/>
      <c r="AZ101" s="4"/>
      <c r="BA101" s="35" t="str">
        <f>IF(OR(S101="North America",S101="Rocky Mountain"), "Widespread",BC101)</f>
        <v>Widespread</v>
      </c>
      <c r="BB101" s="4"/>
      <c r="BC101" s="35" t="str">
        <f ca="1">IF(BE101&gt;2046, "Abundant",BE101)</f>
        <v>Abundant</v>
      </c>
      <c r="BD101" s="4"/>
      <c r="BE101" s="81">
        <f ca="1">YEAR($C$13)+(BG101*80)</f>
        <v>2124.9744000000001</v>
      </c>
      <c r="BF101" s="4"/>
      <c r="BG101" s="137">
        <f ca="1">BH101*$BH$14</f>
        <v>1.3246800000000001</v>
      </c>
      <c r="BH101" s="137">
        <f ca="1">(((BJ101+BK101+BM101+BN101)/4)*$BM$11)+(((BP101+BQ101)/2)*$BQ$11)+(((BU101+BV101+BW101)/3)*$BU$11)+(((BY101+BZ101+CA101+CB101+CC101)/5)*$CA$11)</f>
        <v>1.3246800000000001</v>
      </c>
      <c r="BI101" s="4"/>
      <c r="BJ101" s="33">
        <f>AP101/(AM101+AO101)</f>
        <v>0.16666666666666666</v>
      </c>
      <c r="BK101" s="33">
        <f>(AN101+AO101)/(AM101+AO101)</f>
        <v>1</v>
      </c>
      <c r="BL101" s="4"/>
      <c r="BM101" s="127">
        <f>CF101/102</f>
        <v>1</v>
      </c>
      <c r="BN101" s="127">
        <f>C101/2</f>
        <v>4</v>
      </c>
      <c r="BO101" s="4"/>
      <c r="BP101" s="127">
        <f>(AK101)/($AW$6)</f>
        <v>1</v>
      </c>
      <c r="BQ101" s="127">
        <f ca="1">(CH101-$AW$4)/((YEAR($C$13))-$AW$4)</f>
        <v>1</v>
      </c>
      <c r="BR101" s="127">
        <f>(AL101)/($AW$6)</f>
        <v>9.0909090909090912E-2</v>
      </c>
      <c r="BS101" s="4"/>
      <c r="BT101" s="127"/>
      <c r="BU101" s="127">
        <f ca="1">(CG101-$AW$4)/((YEAR($C$13))-$AW$4)</f>
        <v>1</v>
      </c>
      <c r="BV101" s="127">
        <f>AE101/5</f>
        <v>1</v>
      </c>
      <c r="BW101" s="127">
        <f>AF101/5</f>
        <v>1</v>
      </c>
      <c r="BX101" s="4"/>
      <c r="BY101" s="148" t="str">
        <f>IF(E101="A",".98",IF(E101="B",".99",IF(E101="C","1.00",IF(E101="D","1.00" ))))</f>
        <v>1.00</v>
      </c>
      <c r="BZ101" s="127">
        <f>(CE101+7)/10</f>
        <v>1</v>
      </c>
      <c r="CA101" s="76" t="str">
        <f>IF(D101="Fern",".97",IF(D101="Grass",".99",IF(D101="Herb",".97",IF(D101="Shrub",".99",IF(D101="Tree","1.00",IF(D101="Vine",".98"))))))</f>
        <v>.97</v>
      </c>
      <c r="CB101" s="149" t="str">
        <f>IF(R101="Bogs Ponds Streams",".96", IF(R101="Coastal Areas",".97",IF(R101="Meadows Dry Open",".96",IF(R101="Forest &amp; Understory",".97",IF(R101="Moist Open",".98",IF(R101="Moist Shady",".96",IF(R101="Sub-Alpine","1.0")))))))</f>
        <v>.96</v>
      </c>
      <c r="CC101" s="76" t="str">
        <f>IF(S101="Local Endemic",".50",IF(S101="Regional Endemic",".70",IF(S101="Cascadia",".90",IF(S101="Rocky Mountain",".95",IF(S101="North America",".99")))))</f>
        <v>.99</v>
      </c>
      <c r="CD101" s="4"/>
      <c r="CE101" s="21">
        <f>IF(W101&gt;3,3,W101)</f>
        <v>3</v>
      </c>
      <c r="CF101" s="21">
        <f>IF(AC101&gt;102,102,AC101)</f>
        <v>102</v>
      </c>
      <c r="CG101" s="34">
        <f ca="1">IF(AI101&lt;$AW$4,$AW$4,AI101)</f>
        <v>2019</v>
      </c>
      <c r="CH101" s="34">
        <f ca="1">IF(AJ101&lt;$AW$4,$AW$4,AJ101)</f>
        <v>2019</v>
      </c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</row>
    <row r="102" spans="1:115" s="13" customFormat="1" ht="15" customHeight="1" x14ac:dyDescent="0.3">
      <c r="A102" s="235"/>
      <c r="B102" s="218"/>
      <c r="C102" s="226">
        <v>2</v>
      </c>
      <c r="D102" s="104" t="s">
        <v>2505</v>
      </c>
      <c r="E102" s="104" t="s">
        <v>2502</v>
      </c>
      <c r="F102" s="400" t="str">
        <f ca="1">IF(BC102&lt;2025, "Extinct&lt; 6Yrs?",BA102)</f>
        <v>Widespread</v>
      </c>
      <c r="G102" s="369" t="s">
        <v>525</v>
      </c>
      <c r="H102" s="369" t="s">
        <v>4028</v>
      </c>
      <c r="I102" s="370" t="s">
        <v>145</v>
      </c>
      <c r="J102" s="371" t="s">
        <v>3838</v>
      </c>
      <c r="K102" s="371" t="s">
        <v>865</v>
      </c>
      <c r="L102" s="114" t="s">
        <v>1785</v>
      </c>
      <c r="M102" s="111" t="s">
        <v>4182</v>
      </c>
      <c r="N102" s="111" t="s">
        <v>5075</v>
      </c>
      <c r="O102" s="111" t="s">
        <v>5974</v>
      </c>
      <c r="P102" s="105" t="s">
        <v>144</v>
      </c>
      <c r="Q102" s="104" t="s">
        <v>2552</v>
      </c>
      <c r="R102" s="105" t="s">
        <v>2500</v>
      </c>
      <c r="S102" s="105" t="s">
        <v>2495</v>
      </c>
      <c r="T102" s="133" t="str">
        <f>IF(R102="Bogs Ponds Streams","20",IF(R102="Coastal Areas","26",IF(R102="Meadows Dry Open","10",IF(R102="Forest &amp; Understory","14",IF(R102="Moist Open","12",IF(R102="Moist Shady","10",IF(R102="Sub-Alpine Slopes","0")))))))</f>
        <v>10</v>
      </c>
      <c r="U102" s="133" t="str">
        <f>IF(R102="Bogs Ponds Streams","52",IF(R102="Coastal Areas","51",IF(R102="Meadows Dry Open","53",IF(R102="Forest &amp; Understory","52",IF(R102="Moist Open","50",IF(R102="Moist Shady","46",IF(R102="Sub-Alpine Slopes","40")))))))</f>
        <v>53</v>
      </c>
      <c r="V102" s="133" t="str">
        <f>IF(R102="Bogs Ponds Streams","84",IF(R102="Coastal Areas","76",IF(R102="Meadows Dry Open","96", IF(R102="Forest &amp; Understory","90", IF(R102="Moist Open","88", IF(R102="Moist Shady","82", IF(R102="Sub-Alpine Slopes","80")))))))</f>
        <v>96</v>
      </c>
      <c r="W102" s="104">
        <v>1</v>
      </c>
      <c r="X102" s="104">
        <v>0</v>
      </c>
      <c r="Y102" s="104">
        <v>3500</v>
      </c>
      <c r="Z102" s="104" t="s">
        <v>2519</v>
      </c>
      <c r="AA102" s="104" t="s">
        <v>2518</v>
      </c>
      <c r="AB102" s="104">
        <v>6.8</v>
      </c>
      <c r="AC102" s="107">
        <f>C102+AK102+(0.1)*AL102</f>
        <v>5</v>
      </c>
      <c r="AD102" s="113">
        <v>45</v>
      </c>
      <c r="AE102" s="104">
        <v>5</v>
      </c>
      <c r="AF102" s="104">
        <v>5</v>
      </c>
      <c r="AG102" s="104">
        <v>1900</v>
      </c>
      <c r="AH102" s="113">
        <v>0</v>
      </c>
      <c r="AI102" s="104">
        <f>AJ102</f>
        <v>2005</v>
      </c>
      <c r="AJ102" s="108">
        <v>2005</v>
      </c>
      <c r="AK102" s="108">
        <v>3</v>
      </c>
      <c r="AL102" s="108">
        <v>0</v>
      </c>
      <c r="AM102" s="109">
        <v>5</v>
      </c>
      <c r="AN102" s="109">
        <v>1</v>
      </c>
      <c r="AO102" s="110">
        <v>0</v>
      </c>
      <c r="AP102" s="109">
        <v>0</v>
      </c>
      <c r="AQ102" s="109">
        <v>0</v>
      </c>
      <c r="AR102" s="109">
        <v>0</v>
      </c>
      <c r="AS102" s="110">
        <v>0</v>
      </c>
      <c r="AT102" s="109">
        <v>0</v>
      </c>
      <c r="AU102" s="109">
        <v>0</v>
      </c>
      <c r="AV102" s="109">
        <v>0</v>
      </c>
      <c r="AW102" s="110">
        <v>0</v>
      </c>
      <c r="AX102" s="109">
        <v>0</v>
      </c>
      <c r="AY102" s="233"/>
      <c r="AZ102" s="4"/>
      <c r="BA102" s="35" t="str">
        <f>IF(OR(S102="North America",S102="Rocky Mountain"), "Widespread",BC102)</f>
        <v>Widespread</v>
      </c>
      <c r="BB102" s="4"/>
      <c r="BC102" s="35">
        <f ca="1">IF(BE102&gt;2046, "Abundant",BE102)</f>
        <v>2041.0647605466429</v>
      </c>
      <c r="BD102" s="4"/>
      <c r="BE102" s="81">
        <f ca="1">YEAR($C$13)+(BG102*80)</f>
        <v>2041.0647605466429</v>
      </c>
      <c r="BF102" s="4"/>
      <c r="BG102" s="137">
        <f ca="1">BH102*$BH$14</f>
        <v>0.27580950683303623</v>
      </c>
      <c r="BH102" s="137">
        <f ca="1">(((BJ102+BK102+BM102+BN102)/4)*$BM$11)+(((BP102+BQ102)/2)*$BQ$11)+(((BU102+BV102+BW102)/3)*$BU$11)+(((BY102+BZ102+CA102+CB102+CC102)/5)*$CA$11)</f>
        <v>0.27580950683303623</v>
      </c>
      <c r="BI102" s="4"/>
      <c r="BJ102" s="33">
        <f>AP102/(AM102+AO102)</f>
        <v>0</v>
      </c>
      <c r="BK102" s="33">
        <f>(AN102+AO102)/(AM102+AO102)</f>
        <v>0.2</v>
      </c>
      <c r="BL102" s="4"/>
      <c r="BM102" s="127">
        <f>CF102/102</f>
        <v>4.9019607843137254E-2</v>
      </c>
      <c r="BN102" s="127">
        <f>C102/2</f>
        <v>1</v>
      </c>
      <c r="BO102" s="4"/>
      <c r="BP102" s="127">
        <f>(AK102)/($AW$6)</f>
        <v>3.0303030303030304E-2</v>
      </c>
      <c r="BQ102" s="127">
        <f ca="1">(CH102-$AW$4)/((YEAR($C$13))-$AW$4)</f>
        <v>6.6666666666666666E-2</v>
      </c>
      <c r="BR102" s="127">
        <f>(AL102)/($AW$6)</f>
        <v>0</v>
      </c>
      <c r="BS102" s="4"/>
      <c r="BT102" s="127"/>
      <c r="BU102" s="127">
        <f ca="1">(CG102-$AW$4)/((YEAR($C$13))-$AW$4)</f>
        <v>6.6666666666666666E-2</v>
      </c>
      <c r="BV102" s="127">
        <f>AE102/5</f>
        <v>1</v>
      </c>
      <c r="BW102" s="127">
        <f>AF102/5</f>
        <v>1</v>
      </c>
      <c r="BX102" s="4"/>
      <c r="BY102" s="148" t="str">
        <f>IF(E102="A",".98",IF(E102="B",".99",IF(E102="C","1.00",IF(E102="D","1.00" ))))</f>
        <v>.98</v>
      </c>
      <c r="BZ102" s="127">
        <f>(CE102+7)/10</f>
        <v>0.8</v>
      </c>
      <c r="CA102" s="76" t="str">
        <f>IF(D102="Fern",".97",IF(D102="Grass",".99",IF(D102="Herb",".97",IF(D102="Shrub",".99",IF(D102="Tree","1.00",IF(D102="Vine",".98"))))))</f>
        <v>.97</v>
      </c>
      <c r="CB102" s="149" t="str">
        <f>IF(R102="Bogs Ponds Streams",".96", IF(R102="Coastal Areas",".97",IF(R102="Meadows Dry Open",".96",IF(R102="Forest &amp; Understory",".97",IF(R102="Moist Open",".98",IF(R102="Moist Shady",".96",IF(R102="Sub-Alpine","1.0")))))))</f>
        <v>.96</v>
      </c>
      <c r="CC102" s="76" t="str">
        <f>IF(S102="Local Endemic",".50",IF(S102="Regional Endemic",".70",IF(S102="Cascadia",".90",IF(S102="Rocky Mountain",".95",IF(S102="North America",".99")))))</f>
        <v>.99</v>
      </c>
      <c r="CD102" s="4"/>
      <c r="CE102" s="21">
        <f>IF(W102&gt;3,3,W102)</f>
        <v>1</v>
      </c>
      <c r="CF102" s="21">
        <f>IF(AC102&gt;102,102,AC102)</f>
        <v>5</v>
      </c>
      <c r="CG102" s="34">
        <f>IF(AI102&lt;$AW$4,$AW$4,AI102)</f>
        <v>2005</v>
      </c>
      <c r="CH102" s="34">
        <f>IF(AJ102&lt;$AW$4,$AW$4,AJ102)</f>
        <v>2005</v>
      </c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12"/>
    </row>
    <row r="103" spans="1:115" s="13" customFormat="1" ht="15" customHeight="1" x14ac:dyDescent="0.3">
      <c r="A103" s="235"/>
      <c r="B103" s="218"/>
      <c r="C103" s="225">
        <v>8</v>
      </c>
      <c r="D103" s="59" t="s">
        <v>1154</v>
      </c>
      <c r="E103" s="59" t="s">
        <v>2501</v>
      </c>
      <c r="F103" s="397" t="str">
        <f ca="1">IF(BC103&lt;2025, "Extinct&lt; 6Yrs?",BA103)</f>
        <v>Widespread</v>
      </c>
      <c r="G103" s="363" t="s">
        <v>525</v>
      </c>
      <c r="H103" s="363" t="s">
        <v>681</v>
      </c>
      <c r="I103" s="366" t="s">
        <v>141</v>
      </c>
      <c r="J103" s="365" t="s">
        <v>3238</v>
      </c>
      <c r="K103" s="365" t="s">
        <v>866</v>
      </c>
      <c r="L103" s="10" t="s">
        <v>1786</v>
      </c>
      <c r="M103" s="8" t="s">
        <v>4183</v>
      </c>
      <c r="N103" s="8" t="s">
        <v>5076</v>
      </c>
      <c r="O103" s="8" t="s">
        <v>5975</v>
      </c>
      <c r="P103" s="9" t="s">
        <v>3237</v>
      </c>
      <c r="Q103" s="59" t="s">
        <v>2552</v>
      </c>
      <c r="R103" s="9" t="s">
        <v>2499</v>
      </c>
      <c r="S103" s="9" t="s">
        <v>2495</v>
      </c>
      <c r="T103" s="123" t="str">
        <f>IF(R103="Bogs Ponds Streams","20",IF(R103="Coastal Areas","26",IF(R103="Meadows Dry Open","10",IF(R103="Forest &amp; Understory","14",IF(R103="Moist Open","12",IF(R103="Moist Shady","10",IF(R103="Sub-Alpine Slopes","0")))))))</f>
        <v>20</v>
      </c>
      <c r="U103" s="123" t="str">
        <f>IF(R103="Bogs Ponds Streams","52",IF(R103="Coastal Areas","51",IF(R103="Meadows Dry Open","53",IF(R103="Forest &amp; Understory","52",IF(R103="Moist Open","50",IF(R103="Moist Shady","46",IF(R103="Sub-Alpine Slopes","40")))))))</f>
        <v>52</v>
      </c>
      <c r="V103" s="123" t="str">
        <f>IF(R103="Bogs Ponds Streams","84",IF(R103="Coastal Areas","76",IF(R103="Meadows Dry Open","96", IF(R103="Forest &amp; Understory","90", IF(R103="Moist Open","88", IF(R103="Moist Shady","82", IF(R103="Sub-Alpine Slopes","80")))))))</f>
        <v>84</v>
      </c>
      <c r="W103" s="59">
        <v>20</v>
      </c>
      <c r="X103" s="59">
        <v>0</v>
      </c>
      <c r="Y103" s="59">
        <v>3500</v>
      </c>
      <c r="Z103" s="59" t="s">
        <v>2519</v>
      </c>
      <c r="AA103" s="59" t="s">
        <v>2518</v>
      </c>
      <c r="AB103" s="59">
        <v>6.8</v>
      </c>
      <c r="AC103" s="45">
        <f>C103+AK103+(0.1)*AL103</f>
        <v>24.3</v>
      </c>
      <c r="AD103" s="77">
        <v>33</v>
      </c>
      <c r="AE103" s="59">
        <v>5</v>
      </c>
      <c r="AF103" s="59">
        <v>5</v>
      </c>
      <c r="AG103" s="59">
        <v>1900</v>
      </c>
      <c r="AH103" s="77">
        <v>0</v>
      </c>
      <c r="AI103" s="59">
        <f>AJ103</f>
        <v>1985</v>
      </c>
      <c r="AJ103" s="18">
        <v>1985</v>
      </c>
      <c r="AK103" s="18">
        <v>16</v>
      </c>
      <c r="AL103" s="18">
        <v>3</v>
      </c>
      <c r="AM103" s="18">
        <v>1</v>
      </c>
      <c r="AN103" s="18">
        <v>1</v>
      </c>
      <c r="AO103" s="18">
        <v>5</v>
      </c>
      <c r="AP103" s="18">
        <v>1</v>
      </c>
      <c r="AQ103" s="18">
        <v>0</v>
      </c>
      <c r="AR103" s="18">
        <v>0</v>
      </c>
      <c r="AS103" s="18">
        <v>0</v>
      </c>
      <c r="AT103" s="18">
        <v>0</v>
      </c>
      <c r="AU103" s="18">
        <v>0</v>
      </c>
      <c r="AV103" s="18">
        <v>0</v>
      </c>
      <c r="AW103" s="18">
        <v>0</v>
      </c>
      <c r="AX103" s="18">
        <v>0</v>
      </c>
      <c r="AY103" s="233"/>
      <c r="AZ103" s="4"/>
      <c r="BA103" s="35" t="str">
        <f>IF(OR(S103="North America",S103="Rocky Mountain"), "Widespread",BC103)</f>
        <v>Widespread</v>
      </c>
      <c r="BB103" s="4"/>
      <c r="BC103" s="35" t="str">
        <f ca="1">IF(BE103&gt;2046, "Abundant",BE103)</f>
        <v>Abundant</v>
      </c>
      <c r="BD103" s="4"/>
      <c r="BE103" s="81">
        <f ca="1">YEAR($C$13)+(BG103*80)</f>
        <v>2091.6392841354723</v>
      </c>
      <c r="BF103" s="4"/>
      <c r="BG103" s="137">
        <f ca="1">BH103*$BH$14</f>
        <v>0.90799105169340477</v>
      </c>
      <c r="BH103" s="137">
        <f ca="1">(((BJ103+BK103+BM103+BN103)/4)*$BM$11)+(((BP103+BQ103)/2)*$BQ$11)+(((BU103+BV103+BW103)/3)*$BU$11)+(((BY103+BZ103+CA103+CB103+CC103)/5)*$CA$11)</f>
        <v>0.90799105169340477</v>
      </c>
      <c r="BI103" s="4"/>
      <c r="BJ103" s="33">
        <f>AP103/(AM103+AO103)</f>
        <v>0.16666666666666666</v>
      </c>
      <c r="BK103" s="33">
        <f>(AN103+AO103)/(AM103+AO103)</f>
        <v>1</v>
      </c>
      <c r="BL103" s="4"/>
      <c r="BM103" s="127">
        <f>CF103/102</f>
        <v>0.23823529411764707</v>
      </c>
      <c r="BN103" s="127">
        <f>C103/2</f>
        <v>4</v>
      </c>
      <c r="BO103" s="4"/>
      <c r="BP103" s="127">
        <f>(AK103)/($AW$6)</f>
        <v>0.16161616161616163</v>
      </c>
      <c r="BQ103" s="127">
        <f ca="1">(CH103-$AW$4)/((YEAR($C$13))-$AW$4)</f>
        <v>0</v>
      </c>
      <c r="BR103" s="127">
        <f>(AL103)/($AW$6)</f>
        <v>3.0303030303030304E-2</v>
      </c>
      <c r="BS103" s="4"/>
      <c r="BT103" s="127"/>
      <c r="BU103" s="127">
        <f ca="1">(CG103-$AW$4)/((YEAR($C$13))-$AW$4)</f>
        <v>0</v>
      </c>
      <c r="BV103" s="127">
        <f>AE103/5</f>
        <v>1</v>
      </c>
      <c r="BW103" s="127">
        <f>AF103/5</f>
        <v>1</v>
      </c>
      <c r="BX103" s="4"/>
      <c r="BY103" s="148" t="str">
        <f>IF(E103="A",".98",IF(E103="B",".99",IF(E103="C","1.00",IF(E103="D","1.00" ))))</f>
        <v>1.00</v>
      </c>
      <c r="BZ103" s="127">
        <f>(CE103+7)/10</f>
        <v>1</v>
      </c>
      <c r="CA103" s="76" t="str">
        <f>IF(D103="Fern",".97",IF(D103="Grass",".99",IF(D103="Herb",".97",IF(D103="Shrub",".99",IF(D103="Tree","1.00",IF(D103="Vine",".98"))))))</f>
        <v>.97</v>
      </c>
      <c r="CB103" s="149" t="str">
        <f>IF(R103="Bogs Ponds Streams",".96", IF(R103="Coastal Areas",".97",IF(R103="Meadows Dry Open",".96",IF(R103="Forest &amp; Understory",".97",IF(R103="Moist Open",".98",IF(R103="Moist Shady",".96",IF(R103="Sub-Alpine","1.0")))))))</f>
        <v>.96</v>
      </c>
      <c r="CC103" s="76" t="str">
        <f>IF(S103="Local Endemic",".50",IF(S103="Regional Endemic",".70",IF(S103="Cascadia",".90",IF(S103="Rocky Mountain",".95",IF(S103="North America",".99")))))</f>
        <v>.99</v>
      </c>
      <c r="CD103" s="4"/>
      <c r="CE103" s="21">
        <f>IF(W103&gt;3,3,W103)</f>
        <v>3</v>
      </c>
      <c r="CF103" s="21">
        <f>IF(AC103&gt;102,102,AC103)</f>
        <v>24.3</v>
      </c>
      <c r="CG103" s="34">
        <f>IF(AI103&lt;$AW$4,$AW$4,AI103)</f>
        <v>2004</v>
      </c>
      <c r="CH103" s="34">
        <f>IF(AJ103&lt;$AW$4,$AW$4,AJ103)</f>
        <v>2004</v>
      </c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</row>
    <row r="104" spans="1:115" s="13" customFormat="1" ht="15" customHeight="1" x14ac:dyDescent="0.3">
      <c r="A104" s="235"/>
      <c r="B104" s="218"/>
      <c r="C104" s="226">
        <v>2</v>
      </c>
      <c r="D104" s="104" t="s">
        <v>1154</v>
      </c>
      <c r="E104" s="104" t="s">
        <v>2501</v>
      </c>
      <c r="F104" s="400" t="str">
        <f ca="1">IF(BC104&lt;2025, "Extinct&lt; 6Yrs?",BA104)</f>
        <v>Widespread</v>
      </c>
      <c r="G104" s="369" t="s">
        <v>525</v>
      </c>
      <c r="H104" s="369" t="s">
        <v>4028</v>
      </c>
      <c r="I104" s="370" t="s">
        <v>142</v>
      </c>
      <c r="J104" s="371" t="s">
        <v>3837</v>
      </c>
      <c r="K104" s="371" t="s">
        <v>473</v>
      </c>
      <c r="L104" s="106" t="s">
        <v>1787</v>
      </c>
      <c r="M104" s="111" t="s">
        <v>4184</v>
      </c>
      <c r="N104" s="111" t="s">
        <v>5077</v>
      </c>
      <c r="O104" s="111" t="s">
        <v>5976</v>
      </c>
      <c r="P104" s="105" t="s">
        <v>3237</v>
      </c>
      <c r="Q104" s="104" t="s">
        <v>2552</v>
      </c>
      <c r="R104" s="105" t="s">
        <v>2499</v>
      </c>
      <c r="S104" s="105" t="s">
        <v>2495</v>
      </c>
      <c r="T104" s="133" t="str">
        <f>IF(R104="Bogs Ponds Streams","20",IF(R104="Coastal Areas","26",IF(R104="Meadows Dry Open","10",IF(R104="Forest &amp; Understory","14",IF(R104="Moist Open","12",IF(R104="Moist Shady","10",IF(R104="Sub-Alpine Slopes","0")))))))</f>
        <v>20</v>
      </c>
      <c r="U104" s="133" t="str">
        <f>IF(R104="Bogs Ponds Streams","52",IF(R104="Coastal Areas","51",IF(R104="Meadows Dry Open","53",IF(R104="Forest &amp; Understory","52",IF(R104="Moist Open","50",IF(R104="Moist Shady","46",IF(R104="Sub-Alpine Slopes","40")))))))</f>
        <v>52</v>
      </c>
      <c r="V104" s="133" t="str">
        <f>IF(R104="Bogs Ponds Streams","84",IF(R104="Coastal Areas","76",IF(R104="Meadows Dry Open","96", IF(R104="Forest &amp; Understory","90", IF(R104="Moist Open","88", IF(R104="Moist Shady","82", IF(R104="Sub-Alpine Slopes","80")))))))</f>
        <v>84</v>
      </c>
      <c r="W104" s="104">
        <v>20</v>
      </c>
      <c r="X104" s="104">
        <v>0</v>
      </c>
      <c r="Y104" s="104">
        <v>3500</v>
      </c>
      <c r="Z104" s="104" t="s">
        <v>2519</v>
      </c>
      <c r="AA104" s="104" t="s">
        <v>2518</v>
      </c>
      <c r="AB104" s="104">
        <v>6.8</v>
      </c>
      <c r="AC104" s="107">
        <f>C104+AK104+(0.1)*AL104</f>
        <v>4</v>
      </c>
      <c r="AD104" s="113">
        <v>16</v>
      </c>
      <c r="AE104" s="104">
        <v>5</v>
      </c>
      <c r="AF104" s="104">
        <v>5</v>
      </c>
      <c r="AG104" s="104">
        <v>1900</v>
      </c>
      <c r="AH104" s="113">
        <v>0</v>
      </c>
      <c r="AI104" s="104">
        <f>AJ104</f>
        <v>1985</v>
      </c>
      <c r="AJ104" s="108">
        <v>1985</v>
      </c>
      <c r="AK104" s="108">
        <v>2</v>
      </c>
      <c r="AL104" s="108">
        <v>0</v>
      </c>
      <c r="AM104" s="108">
        <v>1</v>
      </c>
      <c r="AN104" s="108">
        <v>1</v>
      </c>
      <c r="AO104" s="108">
        <v>5</v>
      </c>
      <c r="AP104" s="108">
        <v>1</v>
      </c>
      <c r="AQ104" s="108">
        <v>0</v>
      </c>
      <c r="AR104" s="108">
        <v>0</v>
      </c>
      <c r="AS104" s="108">
        <v>0</v>
      </c>
      <c r="AT104" s="108">
        <v>0</v>
      </c>
      <c r="AU104" s="108">
        <v>0</v>
      </c>
      <c r="AV104" s="108">
        <v>0</v>
      </c>
      <c r="AW104" s="108">
        <v>0</v>
      </c>
      <c r="AX104" s="108">
        <v>0</v>
      </c>
      <c r="AY104" s="233"/>
      <c r="AZ104" s="4"/>
      <c r="BA104" s="35" t="str">
        <f>IF(OR(S104="North America",S104="Rocky Mountain"), "Widespread",BC104)</f>
        <v>Widespread</v>
      </c>
      <c r="BB104" s="4"/>
      <c r="BC104" s="35" t="str">
        <f ca="1">IF(BE104&gt;2046, "Abundant",BE104)</f>
        <v>Abundant</v>
      </c>
      <c r="BD104" s="4"/>
      <c r="BE104" s="81">
        <f ca="1">YEAR($C$13)+(BG104*80)</f>
        <v>2051.554079144385</v>
      </c>
      <c r="BF104" s="4"/>
      <c r="BG104" s="137">
        <f ca="1">BH104*$BH$14</f>
        <v>0.40692598930481283</v>
      </c>
      <c r="BH104" s="137">
        <f ca="1">(((BJ104+BK104+BM104+BN104)/4)*$BM$11)+(((BP104+BQ104)/2)*$BQ$11)+(((BU104+BV104+BW104)/3)*$BU$11)+(((BY104+BZ104+CA104+CB104+CC104)/5)*$CA$11)</f>
        <v>0.40692598930481283</v>
      </c>
      <c r="BI104" s="4"/>
      <c r="BJ104" s="33">
        <f>AP104/(AM104+AO104)</f>
        <v>0.16666666666666666</v>
      </c>
      <c r="BK104" s="33">
        <f>(AN104+AO104)/(AM104+AO104)</f>
        <v>1</v>
      </c>
      <c r="BL104" s="4"/>
      <c r="BM104" s="127">
        <f>CF104/102</f>
        <v>3.9215686274509803E-2</v>
      </c>
      <c r="BN104" s="127">
        <f>C104/2</f>
        <v>1</v>
      </c>
      <c r="BO104" s="4"/>
      <c r="BP104" s="127">
        <f>(AK104)/($AW$6)</f>
        <v>2.0202020202020204E-2</v>
      </c>
      <c r="BQ104" s="127">
        <f ca="1">(CH104-$AW$4)/((YEAR($C$13))-$AW$4)</f>
        <v>0</v>
      </c>
      <c r="BR104" s="127">
        <f>(AL104)/($AW$6)</f>
        <v>0</v>
      </c>
      <c r="BS104" s="4"/>
      <c r="BT104" s="127"/>
      <c r="BU104" s="127">
        <f ca="1">(CG104-$AW$4)/((YEAR($C$13))-$AW$4)</f>
        <v>0</v>
      </c>
      <c r="BV104" s="127">
        <f>AE104/5</f>
        <v>1</v>
      </c>
      <c r="BW104" s="127">
        <f>AF104/5</f>
        <v>1</v>
      </c>
      <c r="BX104" s="4"/>
      <c r="BY104" s="148" t="str">
        <f>IF(E104="A",".98",IF(E104="B",".99",IF(E104="C","1.00",IF(E104="D","1.00" ))))</f>
        <v>1.00</v>
      </c>
      <c r="BZ104" s="127">
        <f>(CE104+7)/10</f>
        <v>1</v>
      </c>
      <c r="CA104" s="76" t="str">
        <f>IF(D104="Fern",".97",IF(D104="Grass",".99",IF(D104="Herb",".97",IF(D104="Shrub",".99",IF(D104="Tree","1.00",IF(D104="Vine",".98"))))))</f>
        <v>.97</v>
      </c>
      <c r="CB104" s="149" t="str">
        <f>IF(R104="Bogs Ponds Streams",".96", IF(R104="Coastal Areas",".97",IF(R104="Meadows Dry Open",".96",IF(R104="Forest &amp; Understory",".97",IF(R104="Moist Open",".98",IF(R104="Moist Shady",".96",IF(R104="Sub-Alpine","1.0")))))))</f>
        <v>.96</v>
      </c>
      <c r="CC104" s="76" t="str">
        <f>IF(S104="Local Endemic",".50",IF(S104="Regional Endemic",".70",IF(S104="Cascadia",".90",IF(S104="Rocky Mountain",".95",IF(S104="North America",".99")))))</f>
        <v>.99</v>
      </c>
      <c r="CD104" s="4"/>
      <c r="CE104" s="21">
        <f>IF(W104&gt;3,3,W104)</f>
        <v>3</v>
      </c>
      <c r="CF104" s="21">
        <f>IF(AC104&gt;102,102,AC104)</f>
        <v>4</v>
      </c>
      <c r="CG104" s="34">
        <f>IF(AI104&lt;$AW$4,$AW$4,AI104)</f>
        <v>2004</v>
      </c>
      <c r="CH104" s="34">
        <f>IF(AJ104&lt;$AW$4,$AW$4,AJ104)</f>
        <v>2004</v>
      </c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</row>
    <row r="105" spans="1:115" s="13" customFormat="1" ht="15" customHeight="1" x14ac:dyDescent="0.3">
      <c r="A105" s="235"/>
      <c r="B105" s="218"/>
      <c r="C105" s="375">
        <v>1</v>
      </c>
      <c r="D105" s="68" t="s">
        <v>2506</v>
      </c>
      <c r="E105" s="68" t="s">
        <v>2501</v>
      </c>
      <c r="F105" s="403">
        <f ca="1">IF(BC105&lt;2025, "Extinct&lt; 6Yrs?",BA105)</f>
        <v>2030.8700320855614</v>
      </c>
      <c r="G105" s="376" t="s">
        <v>525</v>
      </c>
      <c r="H105" s="376" t="s">
        <v>4028</v>
      </c>
      <c r="I105" s="377" t="s">
        <v>2379</v>
      </c>
      <c r="J105" s="378" t="s">
        <v>2380</v>
      </c>
      <c r="K105" s="378" t="s">
        <v>2323</v>
      </c>
      <c r="L105" s="64" t="s">
        <v>2378</v>
      </c>
      <c r="M105" s="64" t="s">
        <v>4185</v>
      </c>
      <c r="N105" s="64" t="s">
        <v>5078</v>
      </c>
      <c r="O105" s="64" t="s">
        <v>5977</v>
      </c>
      <c r="P105" s="61" t="s">
        <v>51</v>
      </c>
      <c r="Q105" s="67" t="s">
        <v>2552</v>
      </c>
      <c r="R105" s="61" t="s">
        <v>2500</v>
      </c>
      <c r="S105" s="164" t="s">
        <v>2309</v>
      </c>
      <c r="T105" s="134" t="str">
        <f>IF(R105="Bogs Ponds Streams","20",IF(R105="Coastal Areas","26",IF(R105="Meadows Dry Open","10",IF(R105="Forest &amp; Understory","14",IF(R105="Moist Open","12",IF(R105="Moist Shady","10",IF(R105="Sub-Alpine Slopes","0")))))))</f>
        <v>10</v>
      </c>
      <c r="U105" s="134" t="str">
        <f>IF(R105="Bogs Ponds Streams","52",IF(R105="Coastal Areas","51",IF(R105="Meadows Dry Open","53",IF(R105="Forest &amp; Understory","52",IF(R105="Moist Open","50",IF(R105="Moist Shady","46",IF(R105="Sub-Alpine Slopes","40")))))))</f>
        <v>53</v>
      </c>
      <c r="V105" s="134" t="str">
        <f>IF(R105="Bogs Ponds Streams","84",IF(R105="Coastal Areas","76",IF(R105="Meadows Dry Open","96", IF(R105="Forest &amp; Understory","90", IF(R105="Moist Open","88", IF(R105="Moist Shady","82", IF(R105="Sub-Alpine Slopes","80")))))))</f>
        <v>96</v>
      </c>
      <c r="W105" s="67">
        <v>20</v>
      </c>
      <c r="X105" s="67">
        <v>0</v>
      </c>
      <c r="Y105" s="67">
        <v>3500</v>
      </c>
      <c r="Z105" s="67" t="s">
        <v>2519</v>
      </c>
      <c r="AA105" s="67" t="s">
        <v>2518</v>
      </c>
      <c r="AB105" s="67">
        <v>6.8</v>
      </c>
      <c r="AC105" s="85">
        <f>C105+AK105+(0.1)*AL105</f>
        <v>3</v>
      </c>
      <c r="AD105" s="78">
        <v>13</v>
      </c>
      <c r="AE105" s="68">
        <v>2</v>
      </c>
      <c r="AF105" s="68">
        <v>5</v>
      </c>
      <c r="AG105" s="78">
        <v>1981</v>
      </c>
      <c r="AH105" s="78">
        <v>0</v>
      </c>
      <c r="AI105" s="78">
        <v>2004</v>
      </c>
      <c r="AJ105" s="67">
        <v>2005</v>
      </c>
      <c r="AK105" s="67">
        <v>2</v>
      </c>
      <c r="AL105" s="67">
        <v>0</v>
      </c>
      <c r="AM105" s="70">
        <v>5</v>
      </c>
      <c r="AN105" s="70">
        <v>0</v>
      </c>
      <c r="AO105" s="86">
        <v>0</v>
      </c>
      <c r="AP105" s="70">
        <v>0</v>
      </c>
      <c r="AQ105" s="70">
        <v>0</v>
      </c>
      <c r="AR105" s="70">
        <v>0</v>
      </c>
      <c r="AS105" s="86">
        <v>0</v>
      </c>
      <c r="AT105" s="70">
        <v>0</v>
      </c>
      <c r="AU105" s="70">
        <v>0</v>
      </c>
      <c r="AV105" s="70">
        <v>0</v>
      </c>
      <c r="AW105" s="86">
        <v>0</v>
      </c>
      <c r="AX105" s="70">
        <v>0</v>
      </c>
      <c r="AY105" s="233"/>
      <c r="AZ105" s="11"/>
      <c r="BA105" s="35">
        <f ca="1">IF(OR(S105="North America",S105="Rocky Mountain"), "Widespread",BC105)</f>
        <v>2030.8700320855614</v>
      </c>
      <c r="BB105" s="11"/>
      <c r="BC105" s="35">
        <f ca="1">IF(BE105&gt;2046, "Abundant",BE105)</f>
        <v>2030.8700320855614</v>
      </c>
      <c r="BD105" s="11"/>
      <c r="BE105" s="81">
        <f ca="1">YEAR($C$13)+(BG105*80)</f>
        <v>2030.8700320855614</v>
      </c>
      <c r="BF105" s="11"/>
      <c r="BG105" s="137">
        <f ca="1">BH105*$BH$14</f>
        <v>0.14837540106951871</v>
      </c>
      <c r="BH105" s="137">
        <f ca="1">(((BJ105+BK105+BM105+BN105)/4)*$BM$11)+(((BP105+BQ105)/2)*$BQ$11)+(((BU105+BV105+BW105)/3)*$BU$11)+(((BY105+BZ105+CA105+CB105+CC105)/5)*$CA$11)</f>
        <v>0.14837540106951871</v>
      </c>
      <c r="BI105" s="11"/>
      <c r="BJ105" s="33">
        <f>AP105/(AM105+AO105)</f>
        <v>0</v>
      </c>
      <c r="BK105" s="33">
        <f>(AN105+AO105)/(AM105+AO105)</f>
        <v>0</v>
      </c>
      <c r="BL105" s="11"/>
      <c r="BM105" s="127">
        <f>CF105/102</f>
        <v>2.9411764705882353E-2</v>
      </c>
      <c r="BN105" s="127">
        <f>C105/2</f>
        <v>0.5</v>
      </c>
      <c r="BO105" s="11"/>
      <c r="BP105" s="127">
        <f>(AK105)/($AW$6)</f>
        <v>2.0202020202020204E-2</v>
      </c>
      <c r="BQ105" s="127">
        <f ca="1">(CH105-$AW$4)/((YEAR($C$13))-$AW$4)</f>
        <v>6.6666666666666666E-2</v>
      </c>
      <c r="BR105" s="127">
        <f>(AL105)/($AW$6)</f>
        <v>0</v>
      </c>
      <c r="BS105" s="11"/>
      <c r="BT105" s="127"/>
      <c r="BU105" s="127">
        <f ca="1">(CG105-$AW$4)/((YEAR($C$13))-$AW$4)</f>
        <v>0</v>
      </c>
      <c r="BV105" s="127">
        <f>AE105/5</f>
        <v>0.4</v>
      </c>
      <c r="BW105" s="127">
        <f>AF105/5</f>
        <v>1</v>
      </c>
      <c r="BX105" s="11"/>
      <c r="BY105" s="148" t="str">
        <f>IF(E105="A",".98",IF(E105="B",".99",IF(E105="C","1.00",IF(E105="D","1.00" ))))</f>
        <v>1.00</v>
      </c>
      <c r="BZ105" s="127">
        <f>(CE105+7)/10</f>
        <v>1</v>
      </c>
      <c r="CA105" s="76" t="str">
        <f>IF(D105="Fern",".97",IF(D105="Grass",".99",IF(D105="Herb",".97",IF(D105="Shrub",".99",IF(D105="Tree","1.00",IF(D105="Vine",".98"))))))</f>
        <v>.99</v>
      </c>
      <c r="CB105" s="149" t="str">
        <f>IF(R105="Bogs Ponds Streams",".96", IF(R105="Coastal Areas",".97",IF(R105="Meadows Dry Open",".96",IF(R105="Forest &amp; Understory",".97",IF(R105="Moist Open",".98",IF(R105="Moist Shady",".96",IF(R105="Sub-Alpine","1.0")))))))</f>
        <v>.96</v>
      </c>
      <c r="CC105" s="76" t="str">
        <f>IF(S105="Local Endemic",".50",IF(S105="Regional Endemic",".70",IF(S105="Cascadia",".90",IF(S105="Rocky Mountain",".95",IF(S105="North America",".99")))))</f>
        <v>.70</v>
      </c>
      <c r="CD105" s="11"/>
      <c r="CE105" s="21">
        <f>IF(W105&gt;3,3,W105)</f>
        <v>3</v>
      </c>
      <c r="CF105" s="21">
        <f>IF(AC105&gt;102,102,AC105)</f>
        <v>3</v>
      </c>
      <c r="CG105" s="34">
        <f>IF(AI105&lt;$AW$4,$AW$4,AI105)</f>
        <v>2004</v>
      </c>
      <c r="CH105" s="34">
        <f>IF(AJ105&lt;$AW$4,$AW$4,AJ105)</f>
        <v>2005</v>
      </c>
      <c r="CI105" s="11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11"/>
      <c r="DC105" s="11"/>
      <c r="DD105" s="11"/>
      <c r="DE105" s="11"/>
      <c r="DF105" s="11"/>
      <c r="DG105" s="11"/>
      <c r="DH105" s="11"/>
      <c r="DI105" s="11"/>
      <c r="DJ105" s="11"/>
      <c r="DK105" s="12"/>
    </row>
    <row r="106" spans="1:115" s="13" customFormat="1" ht="15" customHeight="1" x14ac:dyDescent="0.3">
      <c r="A106" s="235"/>
      <c r="B106" s="218"/>
      <c r="C106" s="225">
        <v>8</v>
      </c>
      <c r="D106" s="59" t="s">
        <v>2505</v>
      </c>
      <c r="E106" s="59" t="s">
        <v>2501</v>
      </c>
      <c r="F106" s="397" t="str">
        <f ca="1">IF(BC106&lt;2025, "Extinct&lt; 6Yrs?",BA106)</f>
        <v>Widespread</v>
      </c>
      <c r="G106" s="363" t="s">
        <v>525</v>
      </c>
      <c r="H106" s="363" t="s">
        <v>691</v>
      </c>
      <c r="I106" s="366" t="s">
        <v>63</v>
      </c>
      <c r="J106" s="365" t="s">
        <v>3239</v>
      </c>
      <c r="K106" s="365" t="s">
        <v>326</v>
      </c>
      <c r="L106" s="10" t="s">
        <v>1788</v>
      </c>
      <c r="M106" s="8" t="s">
        <v>4186</v>
      </c>
      <c r="N106" s="8" t="s">
        <v>5079</v>
      </c>
      <c r="O106" s="8" t="s">
        <v>5978</v>
      </c>
      <c r="P106" s="9" t="s">
        <v>3237</v>
      </c>
      <c r="Q106" s="59" t="s">
        <v>2557</v>
      </c>
      <c r="R106" s="9" t="s">
        <v>2500</v>
      </c>
      <c r="S106" s="9" t="s">
        <v>2495</v>
      </c>
      <c r="T106" s="123" t="str">
        <f>IF(R106="Bogs Ponds Streams","20",IF(R106="Coastal Areas","26",IF(R106="Meadows Dry Open","10",IF(R106="Forest &amp; Understory","14",IF(R106="Moist Open","12",IF(R106="Moist Shady","10",IF(R106="Sub-Alpine Slopes","0")))))))</f>
        <v>10</v>
      </c>
      <c r="U106" s="123" t="str">
        <f>IF(R106="Bogs Ponds Streams","52",IF(R106="Coastal Areas","51",IF(R106="Meadows Dry Open","53",IF(R106="Forest &amp; Understory","52",IF(R106="Moist Open","50",IF(R106="Moist Shady","46",IF(R106="Sub-Alpine Slopes","40")))))))</f>
        <v>53</v>
      </c>
      <c r="V106" s="123" t="str">
        <f>IF(R106="Bogs Ponds Streams","84",IF(R106="Coastal Areas","76",IF(R106="Meadows Dry Open","96", IF(R106="Forest &amp; Understory","90", IF(R106="Moist Open","88", IF(R106="Moist Shady","82", IF(R106="Sub-Alpine Slopes","80")))))))</f>
        <v>96</v>
      </c>
      <c r="W106" s="59">
        <v>20</v>
      </c>
      <c r="X106" s="59">
        <v>0</v>
      </c>
      <c r="Y106" s="59">
        <v>3500</v>
      </c>
      <c r="Z106" s="59" t="s">
        <v>2519</v>
      </c>
      <c r="AA106" s="59" t="s">
        <v>2518</v>
      </c>
      <c r="AB106" s="59">
        <v>6.8</v>
      </c>
      <c r="AC106" s="45">
        <f>C106+AK106+(0.1)*AL106</f>
        <v>12.5</v>
      </c>
      <c r="AD106" s="77">
        <v>27</v>
      </c>
      <c r="AE106" s="59">
        <v>5</v>
      </c>
      <c r="AF106" s="59">
        <v>5</v>
      </c>
      <c r="AG106" s="59">
        <v>1900</v>
      </c>
      <c r="AH106" s="77">
        <v>0</v>
      </c>
      <c r="AI106" s="59">
        <f>AJ106</f>
        <v>2003</v>
      </c>
      <c r="AJ106" s="18">
        <v>2003</v>
      </c>
      <c r="AK106" s="18">
        <v>4</v>
      </c>
      <c r="AL106" s="18">
        <v>5</v>
      </c>
      <c r="AM106" s="18">
        <v>1</v>
      </c>
      <c r="AN106" s="18">
        <v>1</v>
      </c>
      <c r="AO106" s="25">
        <v>0</v>
      </c>
      <c r="AP106" s="24">
        <v>0</v>
      </c>
      <c r="AQ106" s="18">
        <v>0</v>
      </c>
      <c r="AR106" s="18">
        <v>0</v>
      </c>
      <c r="AS106" s="18">
        <v>0</v>
      </c>
      <c r="AT106" s="18">
        <v>0</v>
      </c>
      <c r="AU106" s="18">
        <v>0</v>
      </c>
      <c r="AV106" s="18">
        <v>0</v>
      </c>
      <c r="AW106" s="18">
        <v>0</v>
      </c>
      <c r="AX106" s="18">
        <v>0</v>
      </c>
      <c r="AY106" s="233"/>
      <c r="AZ106" s="4"/>
      <c r="BA106" s="35" t="str">
        <f>IF(OR(S106="North America",S106="Rocky Mountain"), "Widespread",BC106)</f>
        <v>Widespread</v>
      </c>
      <c r="BB106" s="4"/>
      <c r="BC106" s="35" t="str">
        <f ca="1">IF(BE106&gt;2046, "Abundant",BE106)</f>
        <v>Abundant</v>
      </c>
      <c r="BD106" s="4"/>
      <c r="BE106" s="81">
        <f ca="1">YEAR($C$13)+(BG106*80)</f>
        <v>2086.7965033868095</v>
      </c>
      <c r="BF106" s="4"/>
      <c r="BG106" s="137">
        <f ca="1">BH106*$BH$14</f>
        <v>0.84745629233511599</v>
      </c>
      <c r="BH106" s="137">
        <f ca="1">(((BJ106+BK106+BM106+BN106)/4)*$BM$11)+(((BP106+BQ106)/2)*$BQ$11)+(((BU106+BV106+BW106)/3)*$BU$11)+(((BY106+BZ106+CA106+CB106+CC106)/5)*$CA$11)</f>
        <v>0.84745629233511599</v>
      </c>
      <c r="BI106" s="4"/>
      <c r="BJ106" s="33">
        <f>AP106/(AM106+AO106)</f>
        <v>0</v>
      </c>
      <c r="BK106" s="33">
        <f>(AN106+AO106)/(AM106+AO106)</f>
        <v>1</v>
      </c>
      <c r="BL106" s="4"/>
      <c r="BM106" s="127">
        <f>CF106/102</f>
        <v>0.12254901960784313</v>
      </c>
      <c r="BN106" s="127">
        <f>C106/2</f>
        <v>4</v>
      </c>
      <c r="BO106" s="4"/>
      <c r="BP106" s="127">
        <f>(AK106)/($AW$6)</f>
        <v>4.0404040404040407E-2</v>
      </c>
      <c r="BQ106" s="127">
        <f ca="1">(CH106-$AW$4)/((YEAR($C$13))-$AW$4)</f>
        <v>0</v>
      </c>
      <c r="BR106" s="127">
        <f>(AL106)/($AW$6)</f>
        <v>5.0505050505050504E-2</v>
      </c>
      <c r="BS106" s="4"/>
      <c r="BT106" s="127"/>
      <c r="BU106" s="127">
        <f ca="1">(CG106-$AW$4)/((YEAR($C$13))-$AW$4)</f>
        <v>0</v>
      </c>
      <c r="BV106" s="127">
        <f>AE106/5</f>
        <v>1</v>
      </c>
      <c r="BW106" s="127">
        <f>AF106/5</f>
        <v>1</v>
      </c>
      <c r="BX106" s="4"/>
      <c r="BY106" s="148" t="str">
        <f>IF(E106="A",".98",IF(E106="B",".99",IF(E106="C","1.00",IF(E106="D","1.00" ))))</f>
        <v>1.00</v>
      </c>
      <c r="BZ106" s="127">
        <f>(CE106+7)/10</f>
        <v>1</v>
      </c>
      <c r="CA106" s="76" t="str">
        <f>IF(D106="Fern",".97",IF(D106="Grass",".99",IF(D106="Herb",".97",IF(D106="Shrub",".99",IF(D106="Tree","1.00",IF(D106="Vine",".98"))))))</f>
        <v>.97</v>
      </c>
      <c r="CB106" s="149" t="str">
        <f>IF(R106="Bogs Ponds Streams",".96", IF(R106="Coastal Areas",".97",IF(R106="Meadows Dry Open",".96",IF(R106="Forest &amp; Understory",".97",IF(R106="Moist Open",".98",IF(R106="Moist Shady",".96",IF(R106="Sub-Alpine","1.0")))))))</f>
        <v>.96</v>
      </c>
      <c r="CC106" s="76" t="str">
        <f>IF(S106="Local Endemic",".50",IF(S106="Regional Endemic",".70",IF(S106="Cascadia",".90",IF(S106="Rocky Mountain",".95",IF(S106="North America",".99")))))</f>
        <v>.99</v>
      </c>
      <c r="CD106" s="4"/>
      <c r="CE106" s="21">
        <f>IF(W106&gt;3,3,W106)</f>
        <v>3</v>
      </c>
      <c r="CF106" s="21">
        <f>IF(AC106&gt;102,102,AC106)</f>
        <v>12.5</v>
      </c>
      <c r="CG106" s="34">
        <f>IF(AI106&lt;$AW$4,$AW$4,AI106)</f>
        <v>2004</v>
      </c>
      <c r="CH106" s="34">
        <f>IF(AJ106&lt;$AW$4,$AW$4,AJ106)</f>
        <v>2004</v>
      </c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12"/>
    </row>
    <row r="107" spans="1:115" s="13" customFormat="1" ht="15" customHeight="1" x14ac:dyDescent="0.3">
      <c r="A107" s="235"/>
      <c r="B107" s="218"/>
      <c r="C107" s="226">
        <v>2</v>
      </c>
      <c r="D107" s="104" t="s">
        <v>2505</v>
      </c>
      <c r="E107" s="104" t="s">
        <v>2503</v>
      </c>
      <c r="F107" s="400" t="str">
        <f ca="1">IF(BC107&lt;2025, "Extinct&lt; 6Yrs?",BA107)</f>
        <v>Widespread</v>
      </c>
      <c r="G107" s="369" t="s">
        <v>525</v>
      </c>
      <c r="H107" s="369" t="s">
        <v>4028</v>
      </c>
      <c r="I107" s="370" t="s">
        <v>146</v>
      </c>
      <c r="J107" s="371" t="s">
        <v>3836</v>
      </c>
      <c r="K107" s="371" t="s">
        <v>867</v>
      </c>
      <c r="L107" s="106" t="s">
        <v>2124</v>
      </c>
      <c r="M107" s="111" t="s">
        <v>4187</v>
      </c>
      <c r="N107" s="111" t="s">
        <v>5080</v>
      </c>
      <c r="O107" s="111" t="s">
        <v>5979</v>
      </c>
      <c r="P107" s="105" t="s">
        <v>144</v>
      </c>
      <c r="Q107" s="104" t="s">
        <v>2552</v>
      </c>
      <c r="R107" s="105" t="s">
        <v>2497</v>
      </c>
      <c r="S107" s="105" t="s">
        <v>2495</v>
      </c>
      <c r="T107" s="133" t="str">
        <f>IF(R107="Bogs Ponds Streams","20",IF(R107="Coastal Areas","26",IF(R107="Meadows Dry Open","10",IF(R107="Forest &amp; Understory","14",IF(R107="Moist Open","12",IF(R107="Moist Shady","10",IF(R107="Sub-Alpine Slopes","0")))))))</f>
        <v>12</v>
      </c>
      <c r="U107" s="133" t="str">
        <f>IF(R107="Bogs Ponds Streams","52",IF(R107="Coastal Areas","51",IF(R107="Meadows Dry Open","53",IF(R107="Forest &amp; Understory","52",IF(R107="Moist Open","50",IF(R107="Moist Shady","46",IF(R107="Sub-Alpine Slopes","40")))))))</f>
        <v>50</v>
      </c>
      <c r="V107" s="133" t="str">
        <f>IF(R107="Bogs Ponds Streams","84",IF(R107="Coastal Areas","76",IF(R107="Meadows Dry Open","96", IF(R107="Forest &amp; Understory","90", IF(R107="Moist Open","88", IF(R107="Moist Shady","82", IF(R107="Sub-Alpine Slopes","80")))))))</f>
        <v>88</v>
      </c>
      <c r="W107" s="104">
        <v>2</v>
      </c>
      <c r="X107" s="104">
        <v>0</v>
      </c>
      <c r="Y107" s="104">
        <v>3500</v>
      </c>
      <c r="Z107" s="104" t="s">
        <v>2519</v>
      </c>
      <c r="AA107" s="104" t="s">
        <v>2518</v>
      </c>
      <c r="AB107" s="104">
        <v>6.8</v>
      </c>
      <c r="AC107" s="107">
        <f>C107+AK107+(0.1)*AL107</f>
        <v>18</v>
      </c>
      <c r="AD107" s="113">
        <v>117</v>
      </c>
      <c r="AE107" s="104">
        <v>5</v>
      </c>
      <c r="AF107" s="104">
        <v>5</v>
      </c>
      <c r="AG107" s="104">
        <v>1900</v>
      </c>
      <c r="AH107" s="113">
        <v>0</v>
      </c>
      <c r="AI107" s="104">
        <f>AJ107</f>
        <v>1996</v>
      </c>
      <c r="AJ107" s="108">
        <v>1996</v>
      </c>
      <c r="AK107" s="108">
        <v>15</v>
      </c>
      <c r="AL107" s="108">
        <v>10</v>
      </c>
      <c r="AM107" s="109">
        <v>5</v>
      </c>
      <c r="AN107" s="109">
        <v>1</v>
      </c>
      <c r="AO107" s="110">
        <v>0</v>
      </c>
      <c r="AP107" s="109">
        <v>0</v>
      </c>
      <c r="AQ107" s="109">
        <v>0</v>
      </c>
      <c r="AR107" s="109">
        <v>0</v>
      </c>
      <c r="AS107" s="110">
        <v>0</v>
      </c>
      <c r="AT107" s="109">
        <v>0</v>
      </c>
      <c r="AU107" s="109">
        <v>0</v>
      </c>
      <c r="AV107" s="109">
        <v>0</v>
      </c>
      <c r="AW107" s="110">
        <v>0</v>
      </c>
      <c r="AX107" s="109">
        <v>0</v>
      </c>
      <c r="AY107" s="233"/>
      <c r="AZ107" s="4"/>
      <c r="BA107" s="35" t="str">
        <f>IF(OR(S107="North America",S107="Rocky Mountain"), "Widespread",BC107)</f>
        <v>Widespread</v>
      </c>
      <c r="BB107" s="4"/>
      <c r="BC107" s="35">
        <f ca="1">IF(BE107&gt;2046, "Abundant",BE107)</f>
        <v>2043.1480955436721</v>
      </c>
      <c r="BD107" s="4"/>
      <c r="BE107" s="81">
        <f ca="1">YEAR($C$13)+(BG107*80)</f>
        <v>2043.1480955436721</v>
      </c>
      <c r="BF107" s="4"/>
      <c r="BG107" s="137">
        <f ca="1">BH107*$BH$14</f>
        <v>0.30185119429590018</v>
      </c>
      <c r="BH107" s="137">
        <f ca="1">(((BJ107+BK107+BM107+BN107)/4)*$BM$11)+(((BP107+BQ107)/2)*$BQ$11)+(((BU107+BV107+BW107)/3)*$BU$11)+(((BY107+BZ107+CA107+CB107+CC107)/5)*$CA$11)</f>
        <v>0.30185119429590018</v>
      </c>
      <c r="BI107" s="4"/>
      <c r="BJ107" s="33">
        <f>AP107/(AM107+AO107)</f>
        <v>0</v>
      </c>
      <c r="BK107" s="33">
        <f>(AN107+AO107)/(AM107+AO107)</f>
        <v>0.2</v>
      </c>
      <c r="BL107" s="4"/>
      <c r="BM107" s="127">
        <f>CF107/102</f>
        <v>0.17647058823529413</v>
      </c>
      <c r="BN107" s="127">
        <f>C107/2</f>
        <v>1</v>
      </c>
      <c r="BO107" s="4"/>
      <c r="BP107" s="127">
        <f>(AK107)/($AW$6)</f>
        <v>0.15151515151515152</v>
      </c>
      <c r="BQ107" s="127">
        <f ca="1">(CH107-$AW$4)/((YEAR($C$13))-$AW$4)</f>
        <v>0</v>
      </c>
      <c r="BR107" s="127">
        <f>(AL107)/($AW$6)</f>
        <v>0.10101010101010101</v>
      </c>
      <c r="BS107" s="4"/>
      <c r="BT107" s="127"/>
      <c r="BU107" s="127">
        <f ca="1">(CG107-$AW$4)/((YEAR($C$13))-$AW$4)</f>
        <v>0</v>
      </c>
      <c r="BV107" s="127">
        <f>AE107/5</f>
        <v>1</v>
      </c>
      <c r="BW107" s="127">
        <f>AF107/5</f>
        <v>1</v>
      </c>
      <c r="BX107" s="4"/>
      <c r="BY107" s="148" t="str">
        <f>IF(E107="A",".98",IF(E107="B",".99",IF(E107="C","1.00",IF(E107="D","1.00" ))))</f>
        <v>.99</v>
      </c>
      <c r="BZ107" s="127">
        <f>(CE107+7)/10</f>
        <v>0.9</v>
      </c>
      <c r="CA107" s="76" t="str">
        <f>IF(D107="Fern",".97",IF(D107="Grass",".99",IF(D107="Herb",".97",IF(D107="Shrub",".99",IF(D107="Tree","1.00",IF(D107="Vine",".98"))))))</f>
        <v>.97</v>
      </c>
      <c r="CB107" s="149" t="str">
        <f>IF(R107="Bogs Ponds Streams",".96", IF(R107="Coastal Areas",".97",IF(R107="Meadows Dry Open",".96",IF(R107="Forest &amp; Understory",".97",IF(R107="Moist Open",".98",IF(R107="Moist Shady",".96",IF(R107="Sub-Alpine","1.0")))))))</f>
        <v>.98</v>
      </c>
      <c r="CC107" s="76" t="str">
        <f>IF(S107="Local Endemic",".50",IF(S107="Regional Endemic",".70",IF(S107="Cascadia",".90",IF(S107="Rocky Mountain",".95",IF(S107="North America",".99")))))</f>
        <v>.99</v>
      </c>
      <c r="CD107" s="4"/>
      <c r="CE107" s="21">
        <f>IF(W107&gt;3,3,W107)</f>
        <v>2</v>
      </c>
      <c r="CF107" s="21">
        <f>IF(AC107&gt;102,102,AC107)</f>
        <v>18</v>
      </c>
      <c r="CG107" s="34">
        <f>IF(AI107&lt;$AW$4,$AW$4,AI107)</f>
        <v>2004</v>
      </c>
      <c r="CH107" s="34">
        <f>IF(AJ107&lt;$AW$4,$AW$4,AJ107)</f>
        <v>2004</v>
      </c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</row>
    <row r="108" spans="1:115" s="13" customFormat="1" ht="15" customHeight="1" x14ac:dyDescent="0.3">
      <c r="A108" s="235"/>
      <c r="B108" s="218"/>
      <c r="C108" s="225">
        <v>8</v>
      </c>
      <c r="D108" s="59" t="s">
        <v>2507</v>
      </c>
      <c r="E108" s="59" t="s">
        <v>2501</v>
      </c>
      <c r="F108" s="397" t="str">
        <f ca="1">IF(BC108&lt;2025, "Extinct&lt; 6Yrs?",BA108)</f>
        <v>Widespread</v>
      </c>
      <c r="G108" s="363" t="s">
        <v>525</v>
      </c>
      <c r="H108" s="363" t="s">
        <v>683</v>
      </c>
      <c r="I108" s="366" t="s">
        <v>733</v>
      </c>
      <c r="J108" s="365" t="s">
        <v>3240</v>
      </c>
      <c r="K108" s="365" t="s">
        <v>143</v>
      </c>
      <c r="L108" s="17" t="s">
        <v>1789</v>
      </c>
      <c r="M108" s="8" t="s">
        <v>4188</v>
      </c>
      <c r="N108" s="8" t="s">
        <v>5081</v>
      </c>
      <c r="O108" s="8" t="s">
        <v>5980</v>
      </c>
      <c r="P108" s="9" t="s">
        <v>50</v>
      </c>
      <c r="Q108" s="59" t="s">
        <v>2552</v>
      </c>
      <c r="R108" s="9" t="s">
        <v>2500</v>
      </c>
      <c r="S108" s="9" t="s">
        <v>2495</v>
      </c>
      <c r="T108" s="123" t="str">
        <f>IF(R108="Bogs Ponds Streams","20",IF(R108="Coastal Areas","26",IF(R108="Meadows Dry Open","10",IF(R108="Forest &amp; Understory","14",IF(R108="Moist Open","12",IF(R108="Moist Shady","10",IF(R108="Sub-Alpine Slopes","0")))))))</f>
        <v>10</v>
      </c>
      <c r="U108" s="123" t="str">
        <f>IF(R108="Bogs Ponds Streams","52",IF(R108="Coastal Areas","51",IF(R108="Meadows Dry Open","53",IF(R108="Forest &amp; Understory","52",IF(R108="Moist Open","50",IF(R108="Moist Shady","46",IF(R108="Sub-Alpine Slopes","40")))))))</f>
        <v>53</v>
      </c>
      <c r="V108" s="123" t="str">
        <f>IF(R108="Bogs Ponds Streams","84",IF(R108="Coastal Areas","76",IF(R108="Meadows Dry Open","96", IF(R108="Forest &amp; Understory","90", IF(R108="Moist Open","88", IF(R108="Moist Shady","82", IF(R108="Sub-Alpine Slopes","80")))))))</f>
        <v>96</v>
      </c>
      <c r="W108" s="59">
        <v>20</v>
      </c>
      <c r="X108" s="59">
        <v>0</v>
      </c>
      <c r="Y108" s="59">
        <v>3500</v>
      </c>
      <c r="Z108" s="59" t="s">
        <v>2519</v>
      </c>
      <c r="AA108" s="59" t="s">
        <v>2518</v>
      </c>
      <c r="AB108" s="59">
        <v>6.8</v>
      </c>
      <c r="AC108" s="45">
        <f>C108+AK108+(0.1)*AL108</f>
        <v>107.9</v>
      </c>
      <c r="AD108" s="77">
        <v>131</v>
      </c>
      <c r="AE108" s="59">
        <v>5</v>
      </c>
      <c r="AF108" s="59">
        <v>5</v>
      </c>
      <c r="AG108" s="59">
        <v>1900</v>
      </c>
      <c r="AH108" s="77">
        <v>0</v>
      </c>
      <c r="AI108" s="59">
        <f ca="1">AJ108</f>
        <v>2019</v>
      </c>
      <c r="AJ108" s="18">
        <f ca="1">YEAR(TODAY())</f>
        <v>2019</v>
      </c>
      <c r="AK108" s="18">
        <v>99</v>
      </c>
      <c r="AL108" s="18">
        <v>9</v>
      </c>
      <c r="AM108" s="18">
        <v>1</v>
      </c>
      <c r="AN108" s="18">
        <v>1</v>
      </c>
      <c r="AO108" s="18">
        <v>5</v>
      </c>
      <c r="AP108" s="18">
        <v>1</v>
      </c>
      <c r="AQ108" s="18">
        <v>0</v>
      </c>
      <c r="AR108" s="18">
        <v>0</v>
      </c>
      <c r="AS108" s="18">
        <v>0</v>
      </c>
      <c r="AT108" s="18">
        <v>0</v>
      </c>
      <c r="AU108" s="18">
        <v>0</v>
      </c>
      <c r="AV108" s="18">
        <v>0</v>
      </c>
      <c r="AW108" s="18">
        <v>0</v>
      </c>
      <c r="AX108" s="18">
        <v>0</v>
      </c>
      <c r="AY108" s="233"/>
      <c r="AZ108" s="4"/>
      <c r="BA108" s="35" t="str">
        <f>IF(OR(S108="North America",S108="Rocky Mountain"), "Widespread",BC108)</f>
        <v>Widespread</v>
      </c>
      <c r="BB108" s="4"/>
      <c r="BC108" s="35" t="str">
        <f ca="1">IF(BE108&gt;2046, "Abundant",BE108)</f>
        <v>Abundant</v>
      </c>
      <c r="BD108" s="4"/>
      <c r="BE108" s="81">
        <f ca="1">YEAR($C$13)+(BG108*80)</f>
        <v>2124.9839999999999</v>
      </c>
      <c r="BF108" s="4"/>
      <c r="BG108" s="137">
        <f ca="1">BH108*$BH$14</f>
        <v>1.3248000000000002</v>
      </c>
      <c r="BH108" s="137">
        <f ca="1">(((BJ108+BK108+BM108+BN108)/4)*$BM$11)+(((BP108+BQ108)/2)*$BQ$11)+(((BU108+BV108+BW108)/3)*$BU$11)+(((BY108+BZ108+CA108+CB108+CC108)/5)*$CA$11)</f>
        <v>1.3248000000000002</v>
      </c>
      <c r="BI108" s="4"/>
      <c r="BJ108" s="33">
        <f>AP108/(AM108+AO108)</f>
        <v>0.16666666666666666</v>
      </c>
      <c r="BK108" s="33">
        <f>(AN108+AO108)/(AM108+AO108)</f>
        <v>1</v>
      </c>
      <c r="BL108" s="4"/>
      <c r="BM108" s="127">
        <f>CF108/102</f>
        <v>1</v>
      </c>
      <c r="BN108" s="127">
        <f>C108/2</f>
        <v>4</v>
      </c>
      <c r="BO108" s="4"/>
      <c r="BP108" s="127">
        <f>(AK108)/($AW$6)</f>
        <v>1</v>
      </c>
      <c r="BQ108" s="127">
        <f ca="1">(CH108-$AW$4)/((YEAR($C$13))-$AW$4)</f>
        <v>1</v>
      </c>
      <c r="BR108" s="127">
        <f>(AL108)/($AW$6)</f>
        <v>9.0909090909090912E-2</v>
      </c>
      <c r="BS108" s="4"/>
      <c r="BT108" s="127"/>
      <c r="BU108" s="127">
        <f ca="1">(CG108-$AW$4)/((YEAR($C$13))-$AW$4)</f>
        <v>1</v>
      </c>
      <c r="BV108" s="127">
        <f>AE108/5</f>
        <v>1</v>
      </c>
      <c r="BW108" s="127">
        <f>AF108/5</f>
        <v>1</v>
      </c>
      <c r="BX108" s="4"/>
      <c r="BY108" s="148" t="str">
        <f>IF(E108="A",".98",IF(E108="B",".99",IF(E108="C","1.00",IF(E108="D","1.00" ))))</f>
        <v>1.00</v>
      </c>
      <c r="BZ108" s="127">
        <f>(CE108+7)/10</f>
        <v>1</v>
      </c>
      <c r="CA108" s="76" t="str">
        <f>IF(D108="Fern",".97",IF(D108="Grass",".99",IF(D108="Herb",".97",IF(D108="Shrub",".99",IF(D108="Tree","1.00",IF(D108="Vine",".98"))))))</f>
        <v>1.00</v>
      </c>
      <c r="CB108" s="149" t="str">
        <f>IF(R108="Bogs Ponds Streams",".96", IF(R108="Coastal Areas",".97",IF(R108="Meadows Dry Open",".96",IF(R108="Forest &amp; Understory",".97",IF(R108="Moist Open",".98",IF(R108="Moist Shady",".96",IF(R108="Sub-Alpine","1.0")))))))</f>
        <v>.96</v>
      </c>
      <c r="CC108" s="76" t="str">
        <f>IF(S108="Local Endemic",".50",IF(S108="Regional Endemic",".70",IF(S108="Cascadia",".90",IF(S108="Rocky Mountain",".95",IF(S108="North America",".99")))))</f>
        <v>.99</v>
      </c>
      <c r="CD108" s="4"/>
      <c r="CE108" s="21">
        <f>IF(W108&gt;3,3,W108)</f>
        <v>3</v>
      </c>
      <c r="CF108" s="21">
        <f>IF(AC108&gt;102,102,AC108)</f>
        <v>102</v>
      </c>
      <c r="CG108" s="34">
        <f ca="1">IF(AI108&lt;$AW$4,$AW$4,AI108)</f>
        <v>2019</v>
      </c>
      <c r="CH108" s="34">
        <f ca="1">IF(AJ108&lt;$AW$4,$AW$4,AJ108)</f>
        <v>2019</v>
      </c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12"/>
    </row>
    <row r="109" spans="1:115" s="13" customFormat="1" ht="15" customHeight="1" x14ac:dyDescent="0.3">
      <c r="A109" s="235"/>
      <c r="B109" s="218"/>
      <c r="C109" s="225">
        <v>8</v>
      </c>
      <c r="D109" s="59" t="s">
        <v>2506</v>
      </c>
      <c r="E109" s="60" t="s">
        <v>2501</v>
      </c>
      <c r="F109" s="397" t="str">
        <f ca="1">IF(BC109&lt;2025, "Extinct&lt; 6Yrs?",BA109)</f>
        <v>Widespread</v>
      </c>
      <c r="G109" s="363" t="s">
        <v>525</v>
      </c>
      <c r="H109" s="363" t="s">
        <v>683</v>
      </c>
      <c r="I109" s="366" t="s">
        <v>734</v>
      </c>
      <c r="J109" s="365" t="s">
        <v>3241</v>
      </c>
      <c r="K109" s="365" t="s">
        <v>869</v>
      </c>
      <c r="L109" s="10" t="s">
        <v>1790</v>
      </c>
      <c r="M109" s="8" t="s">
        <v>4189</v>
      </c>
      <c r="N109" s="8" t="s">
        <v>5082</v>
      </c>
      <c r="O109" s="8" t="s">
        <v>5981</v>
      </c>
      <c r="P109" s="9" t="s">
        <v>50</v>
      </c>
      <c r="Q109" s="59" t="s">
        <v>2552</v>
      </c>
      <c r="R109" s="9" t="s">
        <v>2500</v>
      </c>
      <c r="S109" s="9" t="s">
        <v>2495</v>
      </c>
      <c r="T109" s="123" t="str">
        <f>IF(R109="Bogs Ponds Streams","20",IF(R109="Coastal Areas","26",IF(R109="Meadows Dry Open","10",IF(R109="Forest &amp; Understory","14",IF(R109="Moist Open","12",IF(R109="Moist Shady","10",IF(R109="Sub-Alpine Slopes","0")))))))</f>
        <v>10</v>
      </c>
      <c r="U109" s="123" t="str">
        <f>IF(R109="Bogs Ponds Streams","52",IF(R109="Coastal Areas","51",IF(R109="Meadows Dry Open","53",IF(R109="Forest &amp; Understory","52",IF(R109="Moist Open","50",IF(R109="Moist Shady","46",IF(R109="Sub-Alpine Slopes","40")))))))</f>
        <v>53</v>
      </c>
      <c r="V109" s="123" t="str">
        <f>IF(R109="Bogs Ponds Streams","84",IF(R109="Coastal Areas","76",IF(R109="Meadows Dry Open","96", IF(R109="Forest &amp; Understory","90", IF(R109="Moist Open","88", IF(R109="Moist Shady","82", IF(R109="Sub-Alpine Slopes","80")))))))</f>
        <v>96</v>
      </c>
      <c r="W109" s="59">
        <v>20</v>
      </c>
      <c r="X109" s="59">
        <v>0</v>
      </c>
      <c r="Y109" s="59">
        <v>3500</v>
      </c>
      <c r="Z109" s="59" t="s">
        <v>2519</v>
      </c>
      <c r="AA109" s="59" t="s">
        <v>2518</v>
      </c>
      <c r="AB109" s="59">
        <v>6.8</v>
      </c>
      <c r="AC109" s="45">
        <f>C109+AK109+(0.1)*AL109</f>
        <v>107.9</v>
      </c>
      <c r="AD109" s="77">
        <v>88</v>
      </c>
      <c r="AE109" s="59">
        <v>5</v>
      </c>
      <c r="AF109" s="59">
        <v>5</v>
      </c>
      <c r="AG109" s="59">
        <v>1900</v>
      </c>
      <c r="AH109" s="77">
        <v>0</v>
      </c>
      <c r="AI109" s="59">
        <f ca="1">AJ109</f>
        <v>2019</v>
      </c>
      <c r="AJ109" s="18">
        <f ca="1">YEAR(TODAY())</f>
        <v>2019</v>
      </c>
      <c r="AK109" s="18">
        <v>99</v>
      </c>
      <c r="AL109" s="18">
        <v>9</v>
      </c>
      <c r="AM109" s="18">
        <v>1</v>
      </c>
      <c r="AN109" s="18">
        <v>1</v>
      </c>
      <c r="AO109" s="18">
        <v>5</v>
      </c>
      <c r="AP109" s="18">
        <v>1</v>
      </c>
      <c r="AQ109" s="18">
        <v>0</v>
      </c>
      <c r="AR109" s="18">
        <v>0</v>
      </c>
      <c r="AS109" s="18">
        <v>0</v>
      </c>
      <c r="AT109" s="18">
        <v>0</v>
      </c>
      <c r="AU109" s="18">
        <v>0</v>
      </c>
      <c r="AV109" s="18">
        <v>0</v>
      </c>
      <c r="AW109" s="18">
        <v>0</v>
      </c>
      <c r="AX109" s="18">
        <v>0</v>
      </c>
      <c r="AY109" s="233"/>
      <c r="AZ109" s="4"/>
      <c r="BA109" s="35" t="str">
        <f>IF(OR(S109="North America",S109="Rocky Mountain"), "Widespread",BC109)</f>
        <v>Widespread</v>
      </c>
      <c r="BB109" s="4"/>
      <c r="BC109" s="35" t="str">
        <f ca="1">IF(BE109&gt;2046, "Abundant",BE109)</f>
        <v>Abundant</v>
      </c>
      <c r="BD109" s="4"/>
      <c r="BE109" s="81">
        <f ca="1">YEAR($C$13)+(BG109*80)</f>
        <v>2124.9807999999998</v>
      </c>
      <c r="BF109" s="4"/>
      <c r="BG109" s="137">
        <f ca="1">BH109*$BH$14</f>
        <v>1.3247600000000002</v>
      </c>
      <c r="BH109" s="137">
        <f ca="1">(((BJ109+BK109+BM109+BN109)/4)*$BM$11)+(((BP109+BQ109)/2)*$BQ$11)+(((BU109+BV109+BW109)/3)*$BU$11)+(((BY109+BZ109+CA109+CB109+CC109)/5)*$CA$11)</f>
        <v>1.3247600000000002</v>
      </c>
      <c r="BI109" s="4"/>
      <c r="BJ109" s="33">
        <f>AP109/(AM109+AO109)</f>
        <v>0.16666666666666666</v>
      </c>
      <c r="BK109" s="33">
        <f>(AN109+AO109)/(AM109+AO109)</f>
        <v>1</v>
      </c>
      <c r="BL109" s="4"/>
      <c r="BM109" s="127">
        <f>CF109/102</f>
        <v>1</v>
      </c>
      <c r="BN109" s="127">
        <f>C109/2</f>
        <v>4</v>
      </c>
      <c r="BO109" s="4"/>
      <c r="BP109" s="127">
        <f>(AK109)/($AW$6)</f>
        <v>1</v>
      </c>
      <c r="BQ109" s="127">
        <f ca="1">(CH109-$AW$4)/((YEAR($C$13))-$AW$4)</f>
        <v>1</v>
      </c>
      <c r="BR109" s="127">
        <f>(AL109)/($AW$6)</f>
        <v>9.0909090909090912E-2</v>
      </c>
      <c r="BS109" s="4"/>
      <c r="BT109" s="127"/>
      <c r="BU109" s="127">
        <f ca="1">(CG109-$AW$4)/((YEAR($C$13))-$AW$4)</f>
        <v>1</v>
      </c>
      <c r="BV109" s="127">
        <f>AE109/5</f>
        <v>1</v>
      </c>
      <c r="BW109" s="127">
        <f>AF109/5</f>
        <v>1</v>
      </c>
      <c r="BX109" s="4"/>
      <c r="BY109" s="148" t="str">
        <f>IF(E109="A",".98",IF(E109="B",".99",IF(E109="C","1.00",IF(E109="D","1.00" ))))</f>
        <v>1.00</v>
      </c>
      <c r="BZ109" s="127">
        <f>(CE109+7)/10</f>
        <v>1</v>
      </c>
      <c r="CA109" s="76" t="str">
        <f>IF(D109="Fern",".97",IF(D109="Grass",".99",IF(D109="Herb",".97",IF(D109="Shrub",".99",IF(D109="Tree","1.00",IF(D109="Vine",".98"))))))</f>
        <v>.99</v>
      </c>
      <c r="CB109" s="149" t="str">
        <f>IF(R109="Bogs Ponds Streams",".96", IF(R109="Coastal Areas",".97",IF(R109="Meadows Dry Open",".96",IF(R109="Forest &amp; Understory",".97",IF(R109="Moist Open",".98",IF(R109="Moist Shady",".96",IF(R109="Sub-Alpine","1.0")))))))</f>
        <v>.96</v>
      </c>
      <c r="CC109" s="76" t="str">
        <f>IF(S109="Local Endemic",".50",IF(S109="Regional Endemic",".70",IF(S109="Cascadia",".90",IF(S109="Rocky Mountain",".95",IF(S109="North America",".99")))))</f>
        <v>.99</v>
      </c>
      <c r="CD109" s="4"/>
      <c r="CE109" s="21">
        <f>IF(W109&gt;3,3,W109)</f>
        <v>3</v>
      </c>
      <c r="CF109" s="21">
        <f>IF(AC109&gt;102,102,AC109)</f>
        <v>102</v>
      </c>
      <c r="CG109" s="34">
        <f ca="1">IF(AI109&lt;$AW$4,$AW$4,AI109)</f>
        <v>2019</v>
      </c>
      <c r="CH109" s="34">
        <f ca="1">IF(AJ109&lt;$AW$4,$AW$4,AJ109)</f>
        <v>2019</v>
      </c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12"/>
    </row>
    <row r="110" spans="1:115" s="13" customFormat="1" ht="15" customHeight="1" x14ac:dyDescent="0.3">
      <c r="A110" s="235"/>
      <c r="B110" s="218"/>
      <c r="C110" s="225">
        <v>8</v>
      </c>
      <c r="D110" s="59" t="s">
        <v>2506</v>
      </c>
      <c r="E110" s="60" t="s">
        <v>2501</v>
      </c>
      <c r="F110" s="397" t="str">
        <f ca="1">IF(BC110&lt;2025, "Extinct&lt; 6Yrs?",BA110)</f>
        <v>Abundant</v>
      </c>
      <c r="G110" s="363" t="s">
        <v>525</v>
      </c>
      <c r="H110" s="363" t="s">
        <v>683</v>
      </c>
      <c r="I110" s="364" t="s">
        <v>744</v>
      </c>
      <c r="J110" s="365" t="s">
        <v>3242</v>
      </c>
      <c r="K110" s="365" t="s">
        <v>704</v>
      </c>
      <c r="L110" s="10" t="s">
        <v>1791</v>
      </c>
      <c r="M110" s="8" t="s">
        <v>4190</v>
      </c>
      <c r="N110" s="8" t="s">
        <v>5083</v>
      </c>
      <c r="O110" s="8" t="s">
        <v>5982</v>
      </c>
      <c r="P110" s="9" t="s">
        <v>50</v>
      </c>
      <c r="Q110" s="59" t="s">
        <v>2557</v>
      </c>
      <c r="R110" s="9" t="s">
        <v>2500</v>
      </c>
      <c r="S110" s="17" t="s">
        <v>2459</v>
      </c>
      <c r="T110" s="123" t="str">
        <f>IF(R110="Bogs Ponds Streams","20",IF(R110="Coastal Areas","26",IF(R110="Meadows Dry Open","10",IF(R110="Forest &amp; Understory","14",IF(R110="Moist Open","12",IF(R110="Moist Shady","10",IF(R110="Sub-Alpine Slopes","0")))))))</f>
        <v>10</v>
      </c>
      <c r="U110" s="123" t="str">
        <f>IF(R110="Bogs Ponds Streams","52",IF(R110="Coastal Areas","51",IF(R110="Meadows Dry Open","53",IF(R110="Forest &amp; Understory","52",IF(R110="Moist Open","50",IF(R110="Moist Shady","46",IF(R110="Sub-Alpine Slopes","40")))))))</f>
        <v>53</v>
      </c>
      <c r="V110" s="123" t="str">
        <f>IF(R110="Bogs Ponds Streams","84",IF(R110="Coastal Areas","76",IF(R110="Meadows Dry Open","96", IF(R110="Forest &amp; Understory","90", IF(R110="Moist Open","88", IF(R110="Moist Shady","82", IF(R110="Sub-Alpine Slopes","80")))))))</f>
        <v>96</v>
      </c>
      <c r="W110" s="59">
        <v>20</v>
      </c>
      <c r="X110" s="59">
        <v>0</v>
      </c>
      <c r="Y110" s="59">
        <v>3500</v>
      </c>
      <c r="Z110" s="59" t="s">
        <v>2519</v>
      </c>
      <c r="AA110" s="59" t="s">
        <v>2518</v>
      </c>
      <c r="AB110" s="59">
        <v>6.8</v>
      </c>
      <c r="AC110" s="45">
        <f>C110+AK110+(0.1)*AL110</f>
        <v>14.3</v>
      </c>
      <c r="AD110" s="77">
        <v>85</v>
      </c>
      <c r="AE110" s="59">
        <v>5</v>
      </c>
      <c r="AF110" s="59">
        <v>5</v>
      </c>
      <c r="AG110" s="59">
        <v>1900</v>
      </c>
      <c r="AH110" s="77">
        <v>0</v>
      </c>
      <c r="AI110" s="59">
        <f ca="1">AJ110</f>
        <v>2019</v>
      </c>
      <c r="AJ110" s="18">
        <f ca="1">YEAR(TODAY())</f>
        <v>2019</v>
      </c>
      <c r="AK110" s="18">
        <v>3</v>
      </c>
      <c r="AL110" s="18">
        <v>33</v>
      </c>
      <c r="AM110" s="18">
        <v>1</v>
      </c>
      <c r="AN110" s="18">
        <v>1</v>
      </c>
      <c r="AO110" s="18">
        <v>5</v>
      </c>
      <c r="AP110" s="18">
        <v>1</v>
      </c>
      <c r="AQ110" s="18">
        <v>0</v>
      </c>
      <c r="AR110" s="18">
        <v>0</v>
      </c>
      <c r="AS110" s="18">
        <v>0</v>
      </c>
      <c r="AT110" s="18">
        <v>0</v>
      </c>
      <c r="AU110" s="18">
        <v>0</v>
      </c>
      <c r="AV110" s="18">
        <v>0</v>
      </c>
      <c r="AW110" s="18">
        <v>0</v>
      </c>
      <c r="AX110" s="18">
        <v>0</v>
      </c>
      <c r="AY110" s="233"/>
      <c r="AZ110" s="4"/>
      <c r="BA110" s="35" t="str">
        <f ca="1">IF(OR(S110="North America",S110="Rocky Mountain"), "Widespread",BC110)</f>
        <v>Abundant</v>
      </c>
      <c r="BB110" s="4"/>
      <c r="BC110" s="35" t="str">
        <f ca="1">IF(BE110&gt;2046, "Abundant",BE110)</f>
        <v>Abundant</v>
      </c>
      <c r="BD110" s="4"/>
      <c r="BE110" s="81">
        <f ca="1">YEAR($C$13)+(BG110*80)</f>
        <v>2102.997989304813</v>
      </c>
      <c r="BF110" s="4"/>
      <c r="BG110" s="137">
        <f ca="1">BH110*$BH$14</f>
        <v>1.0499748663101605</v>
      </c>
      <c r="BH110" s="137">
        <f ca="1">(((BJ110+BK110+BM110+BN110)/4)*$BM$11)+(((BP110+BQ110)/2)*$BQ$11)+(((BU110+BV110+BW110)/3)*$BU$11)+(((BY110+BZ110+CA110+CB110+CC110)/5)*$CA$11)</f>
        <v>1.0499748663101605</v>
      </c>
      <c r="BI110" s="4"/>
      <c r="BJ110" s="33">
        <f>AP110/(AM110+AO110)</f>
        <v>0.16666666666666666</v>
      </c>
      <c r="BK110" s="33">
        <f>(AN110+AO110)/(AM110+AO110)</f>
        <v>1</v>
      </c>
      <c r="BL110" s="4"/>
      <c r="BM110" s="127">
        <f>CF110/102</f>
        <v>0.14019607843137255</v>
      </c>
      <c r="BN110" s="127">
        <f>C110/2</f>
        <v>4</v>
      </c>
      <c r="BO110" s="4"/>
      <c r="BP110" s="127">
        <f>(AK110)/($AW$6)</f>
        <v>3.0303030303030304E-2</v>
      </c>
      <c r="BQ110" s="127">
        <f ca="1">(CH110-$AW$4)/((YEAR($C$13))-$AW$4)</f>
        <v>1</v>
      </c>
      <c r="BR110" s="127">
        <f>(AL110)/($AW$6)</f>
        <v>0.33333333333333331</v>
      </c>
      <c r="BS110" s="4"/>
      <c r="BT110" s="127"/>
      <c r="BU110" s="127">
        <f ca="1">(CG110-$AW$4)/((YEAR($C$13))-$AW$4)</f>
        <v>1</v>
      </c>
      <c r="BV110" s="127">
        <f>AE110/5</f>
        <v>1</v>
      </c>
      <c r="BW110" s="127">
        <f>AF110/5</f>
        <v>1</v>
      </c>
      <c r="BX110" s="4"/>
      <c r="BY110" s="148" t="str">
        <f>IF(E110="A",".98",IF(E110="B",".99",IF(E110="C","1.00",IF(E110="D","1.00" ))))</f>
        <v>1.00</v>
      </c>
      <c r="BZ110" s="127">
        <f>(CE110+7)/10</f>
        <v>1</v>
      </c>
      <c r="CA110" s="76" t="str">
        <f>IF(D110="Fern",".97",IF(D110="Grass",".99",IF(D110="Herb",".97",IF(D110="Shrub",".99",IF(D110="Tree","1.00",IF(D110="Vine",".98"))))))</f>
        <v>.99</v>
      </c>
      <c r="CB110" s="149" t="str">
        <f>IF(R110="Bogs Ponds Streams",".96", IF(R110="Coastal Areas",".97",IF(R110="Meadows Dry Open",".96",IF(R110="Forest &amp; Understory",".97",IF(R110="Moist Open",".98",IF(R110="Moist Shady",".96",IF(R110="Sub-Alpine","1.0")))))))</f>
        <v>.96</v>
      </c>
      <c r="CC110" s="76" t="str">
        <f>IF(S110="Local Endemic",".50",IF(S110="Regional Endemic",".70",IF(S110="Cascadia",".90",IF(S110="Rocky Mountain",".95",IF(S110="North America",".99")))))</f>
        <v>.90</v>
      </c>
      <c r="CD110" s="4"/>
      <c r="CE110" s="21">
        <f>IF(W110&gt;3,3,W110)</f>
        <v>3</v>
      </c>
      <c r="CF110" s="21">
        <f>IF(AC110&gt;102,102,AC110)</f>
        <v>14.3</v>
      </c>
      <c r="CG110" s="34">
        <f ca="1">IF(AI110&lt;$AW$4,$AW$4,AI110)</f>
        <v>2019</v>
      </c>
      <c r="CH110" s="34">
        <f ca="1">IF(AJ110&lt;$AW$4,$AW$4,AJ110)</f>
        <v>2019</v>
      </c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12"/>
    </row>
    <row r="111" spans="1:115" s="13" customFormat="1" ht="15" customHeight="1" x14ac:dyDescent="0.3">
      <c r="A111" s="235"/>
      <c r="B111" s="218"/>
      <c r="C111" s="225">
        <v>8</v>
      </c>
      <c r="D111" s="59" t="s">
        <v>2506</v>
      </c>
      <c r="E111" s="60" t="s">
        <v>2501</v>
      </c>
      <c r="F111" s="397" t="str">
        <f ca="1">IF(BC111&lt;2025, "Extinct&lt; 6Yrs?",BA111)</f>
        <v>Widespread</v>
      </c>
      <c r="G111" s="363" t="s">
        <v>525</v>
      </c>
      <c r="H111" s="363" t="s">
        <v>680</v>
      </c>
      <c r="I111" s="366" t="s">
        <v>546</v>
      </c>
      <c r="J111" s="365" t="s">
        <v>3243</v>
      </c>
      <c r="K111" s="365" t="s">
        <v>871</v>
      </c>
      <c r="L111" s="10" t="s">
        <v>1792</v>
      </c>
      <c r="M111" s="8" t="s">
        <v>4191</v>
      </c>
      <c r="N111" s="8" t="s">
        <v>5084</v>
      </c>
      <c r="O111" s="8" t="s">
        <v>5983</v>
      </c>
      <c r="P111" s="9" t="s">
        <v>543</v>
      </c>
      <c r="Q111" s="59" t="s">
        <v>2552</v>
      </c>
      <c r="R111" s="9" t="s">
        <v>2497</v>
      </c>
      <c r="S111" s="9" t="s">
        <v>2495</v>
      </c>
      <c r="T111" s="123" t="str">
        <f>IF(R111="Bogs Ponds Streams","20",IF(R111="Coastal Areas","26",IF(R111="Meadows Dry Open","10",IF(R111="Forest &amp; Understory","14",IF(R111="Moist Open","12",IF(R111="Moist Shady","10",IF(R111="Sub-Alpine Slopes","0")))))))</f>
        <v>12</v>
      </c>
      <c r="U111" s="123" t="str">
        <f>IF(R111="Bogs Ponds Streams","52",IF(R111="Coastal Areas","51",IF(R111="Meadows Dry Open","53",IF(R111="Forest &amp; Understory","52",IF(R111="Moist Open","50",IF(R111="Moist Shady","46",IF(R111="Sub-Alpine Slopes","40")))))))</f>
        <v>50</v>
      </c>
      <c r="V111" s="123" t="str">
        <f>IF(R111="Bogs Ponds Streams","84",IF(R111="Coastal Areas","76",IF(R111="Meadows Dry Open","96", IF(R111="Forest &amp; Understory","90", IF(R111="Moist Open","88", IF(R111="Moist Shady","82", IF(R111="Sub-Alpine Slopes","80")))))))</f>
        <v>88</v>
      </c>
      <c r="W111" s="59">
        <v>20</v>
      </c>
      <c r="X111" s="59">
        <v>0</v>
      </c>
      <c r="Y111" s="59">
        <v>3500</v>
      </c>
      <c r="Z111" s="59" t="s">
        <v>2519</v>
      </c>
      <c r="AA111" s="59" t="s">
        <v>2518</v>
      </c>
      <c r="AB111" s="59">
        <v>6.8</v>
      </c>
      <c r="AC111" s="45">
        <f>C111+AK111+(0.1)*AL111</f>
        <v>12.2</v>
      </c>
      <c r="AD111" s="77">
        <v>106</v>
      </c>
      <c r="AE111" s="59">
        <v>5</v>
      </c>
      <c r="AF111" s="59">
        <v>5</v>
      </c>
      <c r="AG111" s="59">
        <v>1900</v>
      </c>
      <c r="AH111" s="77">
        <v>0</v>
      </c>
      <c r="AI111" s="59">
        <f ca="1">AJ111</f>
        <v>2019</v>
      </c>
      <c r="AJ111" s="18">
        <f ca="1">YEAR(TODAY())</f>
        <v>2019</v>
      </c>
      <c r="AK111" s="18">
        <v>2</v>
      </c>
      <c r="AL111" s="18">
        <v>22</v>
      </c>
      <c r="AM111" s="18">
        <v>1</v>
      </c>
      <c r="AN111" s="18">
        <v>1</v>
      </c>
      <c r="AO111" s="24">
        <v>1</v>
      </c>
      <c r="AP111" s="24">
        <v>0</v>
      </c>
      <c r="AQ111" s="18">
        <v>0</v>
      </c>
      <c r="AR111" s="18">
        <v>0</v>
      </c>
      <c r="AS111" s="18">
        <v>0</v>
      </c>
      <c r="AT111" s="18">
        <v>0</v>
      </c>
      <c r="AU111" s="18">
        <v>0</v>
      </c>
      <c r="AV111" s="18">
        <v>0</v>
      </c>
      <c r="AW111" s="18">
        <v>0</v>
      </c>
      <c r="AX111" s="18">
        <v>0</v>
      </c>
      <c r="AY111" s="233"/>
      <c r="AZ111" s="4"/>
      <c r="BA111" s="35" t="str">
        <f>IF(OR(S111="North America",S111="Rocky Mountain"), "Widespread",BC111)</f>
        <v>Widespread</v>
      </c>
      <c r="BB111" s="4"/>
      <c r="BC111" s="35" t="str">
        <f ca="1">IF(BE111&gt;2046, "Abundant",BE111)</f>
        <v>Abundant</v>
      </c>
      <c r="BD111" s="4"/>
      <c r="BE111" s="81">
        <f ca="1">YEAR($C$13)+(BG111*80)</f>
        <v>2100.6649183600712</v>
      </c>
      <c r="BF111" s="4"/>
      <c r="BG111" s="137">
        <f ca="1">BH111*$BH$14</f>
        <v>1.0208114795008914</v>
      </c>
      <c r="BH111" s="137">
        <f ca="1">(((BJ111+BK111+BM111+BN111)/4)*$BM$11)+(((BP111+BQ111)/2)*$BQ$11)+(((BU111+BV111+BW111)/3)*$BU$11)+(((BY111+BZ111+CA111+CB111+CC111)/5)*$CA$11)</f>
        <v>1.0208114795008914</v>
      </c>
      <c r="BI111" s="4"/>
      <c r="BJ111" s="33">
        <f>AP111/(AM111+AO111)</f>
        <v>0</v>
      </c>
      <c r="BK111" s="33">
        <f>(AN111+AO111)/(AM111+AO111)</f>
        <v>1</v>
      </c>
      <c r="BL111" s="4"/>
      <c r="BM111" s="127">
        <f>CF111/102</f>
        <v>0.11960784313725489</v>
      </c>
      <c r="BN111" s="127">
        <f>C111/2</f>
        <v>4</v>
      </c>
      <c r="BO111" s="4"/>
      <c r="BP111" s="127">
        <f>(AK111)/($AW$6)</f>
        <v>2.0202020202020204E-2</v>
      </c>
      <c r="BQ111" s="127">
        <f ca="1">(CH111-$AW$4)/((YEAR($C$13))-$AW$4)</f>
        <v>1</v>
      </c>
      <c r="BR111" s="127">
        <f>(AL111)/($AW$6)</f>
        <v>0.22222222222222221</v>
      </c>
      <c r="BS111" s="4"/>
      <c r="BT111" s="127"/>
      <c r="BU111" s="127">
        <f ca="1">(CG111-$AW$4)/((YEAR($C$13))-$AW$4)</f>
        <v>1</v>
      </c>
      <c r="BV111" s="127">
        <f>AE111/5</f>
        <v>1</v>
      </c>
      <c r="BW111" s="127">
        <f>AF111/5</f>
        <v>1</v>
      </c>
      <c r="BX111" s="4"/>
      <c r="BY111" s="148" t="str">
        <f>IF(E111="A",".98",IF(E111="B",".99",IF(E111="C","1.00",IF(E111="D","1.00" ))))</f>
        <v>1.00</v>
      </c>
      <c r="BZ111" s="127">
        <f>(CE111+7)/10</f>
        <v>1</v>
      </c>
      <c r="CA111" s="76" t="str">
        <f>IF(D111="Fern",".97",IF(D111="Grass",".99",IF(D111="Herb",".97",IF(D111="Shrub",".99",IF(D111="Tree","1.00",IF(D111="Vine",".98"))))))</f>
        <v>.99</v>
      </c>
      <c r="CB111" s="149" t="str">
        <f>IF(R111="Bogs Ponds Streams",".96", IF(R111="Coastal Areas",".97",IF(R111="Meadows Dry Open",".96",IF(R111="Forest &amp; Understory",".97",IF(R111="Moist Open",".98",IF(R111="Moist Shady",".96",IF(R111="Sub-Alpine","1.0")))))))</f>
        <v>.98</v>
      </c>
      <c r="CC111" s="76" t="str">
        <f>IF(S111="Local Endemic",".50",IF(S111="Regional Endemic",".70",IF(S111="Cascadia",".90",IF(S111="Rocky Mountain",".95",IF(S111="North America",".99")))))</f>
        <v>.99</v>
      </c>
      <c r="CD111" s="4"/>
      <c r="CE111" s="21">
        <f>IF(W111&gt;3,3,W111)</f>
        <v>3</v>
      </c>
      <c r="CF111" s="21">
        <f>IF(AC111&gt;102,102,AC111)</f>
        <v>12.2</v>
      </c>
      <c r="CG111" s="34">
        <f ca="1">IF(AI111&lt;$AW$4,$AW$4,AI111)</f>
        <v>2019</v>
      </c>
      <c r="CH111" s="34">
        <f ca="1">IF(AJ111&lt;$AW$4,$AW$4,AJ111)</f>
        <v>2019</v>
      </c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12"/>
    </row>
    <row r="112" spans="1:115" s="13" customFormat="1" ht="15" customHeight="1" x14ac:dyDescent="0.3">
      <c r="A112" s="235"/>
      <c r="B112" s="218"/>
      <c r="C112" s="225">
        <v>7</v>
      </c>
      <c r="D112" s="59" t="s">
        <v>2507</v>
      </c>
      <c r="E112" s="59" t="s">
        <v>2501</v>
      </c>
      <c r="F112" s="397" t="str">
        <f ca="1">IF(BC112&lt;2025, "Extinct&lt; 6Yrs?",BA112)</f>
        <v>Abundant</v>
      </c>
      <c r="G112" s="363" t="s">
        <v>525</v>
      </c>
      <c r="H112" s="363" t="s">
        <v>680</v>
      </c>
      <c r="I112" s="366" t="s">
        <v>695</v>
      </c>
      <c r="J112" s="365" t="s">
        <v>3244</v>
      </c>
      <c r="K112" s="365" t="s">
        <v>872</v>
      </c>
      <c r="L112" s="10" t="s">
        <v>1793</v>
      </c>
      <c r="M112" s="8" t="s">
        <v>4192</v>
      </c>
      <c r="N112" s="8" t="s">
        <v>5085</v>
      </c>
      <c r="O112" s="8" t="s">
        <v>5984</v>
      </c>
      <c r="P112" s="9" t="s">
        <v>543</v>
      </c>
      <c r="Q112" s="59" t="s">
        <v>2552</v>
      </c>
      <c r="R112" s="9" t="s">
        <v>2497</v>
      </c>
      <c r="S112" s="17" t="s">
        <v>2459</v>
      </c>
      <c r="T112" s="123" t="str">
        <f>IF(R112="Bogs Ponds Streams","20",IF(R112="Coastal Areas","26",IF(R112="Meadows Dry Open","10",IF(R112="Forest &amp; Understory","14",IF(R112="Moist Open","12",IF(R112="Moist Shady","10",IF(R112="Sub-Alpine Slopes","0")))))))</f>
        <v>12</v>
      </c>
      <c r="U112" s="123" t="str">
        <f>IF(R112="Bogs Ponds Streams","52",IF(R112="Coastal Areas","51",IF(R112="Meadows Dry Open","53",IF(R112="Forest &amp; Understory","52",IF(R112="Moist Open","50",IF(R112="Moist Shady","46",IF(R112="Sub-Alpine Slopes","40")))))))</f>
        <v>50</v>
      </c>
      <c r="V112" s="123" t="str">
        <f>IF(R112="Bogs Ponds Streams","84",IF(R112="Coastal Areas","76",IF(R112="Meadows Dry Open","96", IF(R112="Forest &amp; Understory","90", IF(R112="Moist Open","88", IF(R112="Moist Shady","82", IF(R112="Sub-Alpine Slopes","80")))))))</f>
        <v>88</v>
      </c>
      <c r="W112" s="59">
        <v>20</v>
      </c>
      <c r="X112" s="59">
        <v>0</v>
      </c>
      <c r="Y112" s="59">
        <v>3500</v>
      </c>
      <c r="Z112" s="59" t="s">
        <v>2519</v>
      </c>
      <c r="AA112" s="59" t="s">
        <v>2518</v>
      </c>
      <c r="AB112" s="59">
        <v>6.8</v>
      </c>
      <c r="AC112" s="45">
        <f>C112+AK112+(0.1)*AL112</f>
        <v>16.399999999999999</v>
      </c>
      <c r="AD112" s="77">
        <v>95</v>
      </c>
      <c r="AE112" s="59">
        <v>5</v>
      </c>
      <c r="AF112" s="59">
        <v>5</v>
      </c>
      <c r="AG112" s="59">
        <v>1900</v>
      </c>
      <c r="AH112" s="77">
        <v>0</v>
      </c>
      <c r="AI112" s="59">
        <f ca="1">AJ112</f>
        <v>2019</v>
      </c>
      <c r="AJ112" s="18">
        <f ca="1">YEAR(TODAY())</f>
        <v>2019</v>
      </c>
      <c r="AK112" s="18">
        <v>5</v>
      </c>
      <c r="AL112" s="18">
        <v>44</v>
      </c>
      <c r="AM112" s="18">
        <v>1</v>
      </c>
      <c r="AN112" s="18">
        <v>1</v>
      </c>
      <c r="AO112" s="18">
        <v>5</v>
      </c>
      <c r="AP112" s="18">
        <v>1</v>
      </c>
      <c r="AQ112" s="18">
        <v>0</v>
      </c>
      <c r="AR112" s="18">
        <v>0</v>
      </c>
      <c r="AS112" s="18">
        <v>0</v>
      </c>
      <c r="AT112" s="18">
        <v>0</v>
      </c>
      <c r="AU112" s="18">
        <v>0</v>
      </c>
      <c r="AV112" s="18">
        <v>0</v>
      </c>
      <c r="AW112" s="18">
        <v>0</v>
      </c>
      <c r="AX112" s="18">
        <v>0</v>
      </c>
      <c r="AY112" s="233"/>
      <c r="AZ112" s="4"/>
      <c r="BA112" s="35" t="str">
        <f ca="1">IF(OR(S112="North America",S112="Rocky Mountain"), "Widespread",BC112)</f>
        <v>Abundant</v>
      </c>
      <c r="BB112" s="4"/>
      <c r="BC112" s="35" t="str">
        <f ca="1">IF(BE112&gt;2046, "Abundant",BE112)</f>
        <v>Abundant</v>
      </c>
      <c r="BD112" s="4"/>
      <c r="BE112" s="81">
        <f ca="1">YEAR($C$13)+(BG112*80)</f>
        <v>2097.4970723707665</v>
      </c>
      <c r="BF112" s="4"/>
      <c r="BG112" s="137">
        <f ca="1">BH112*$BH$14</f>
        <v>0.98121340463458118</v>
      </c>
      <c r="BH112" s="137">
        <f ca="1">(((BJ112+BK112+BM112+BN112)/4)*$BM$11)+(((BP112+BQ112)/2)*$BQ$11)+(((BU112+BV112+BW112)/3)*$BU$11)+(((BY112+BZ112+CA112+CB112+CC112)/5)*$CA$11)</f>
        <v>0.98121340463458118</v>
      </c>
      <c r="BI112" s="4"/>
      <c r="BJ112" s="33">
        <f>AP112/(AM112+AO112)</f>
        <v>0.16666666666666666</v>
      </c>
      <c r="BK112" s="33">
        <f>(AN112+AO112)/(AM112+AO112)</f>
        <v>1</v>
      </c>
      <c r="BL112" s="4"/>
      <c r="BM112" s="127">
        <f>CF112/102</f>
        <v>0.16078431372549018</v>
      </c>
      <c r="BN112" s="127">
        <f>C112/2</f>
        <v>3.5</v>
      </c>
      <c r="BO112" s="4"/>
      <c r="BP112" s="127">
        <f>(AK112)/($AW$6)</f>
        <v>5.0505050505050504E-2</v>
      </c>
      <c r="BQ112" s="127">
        <f ca="1">(CH112-$AW$4)/((YEAR($C$13))-$AW$4)</f>
        <v>1</v>
      </c>
      <c r="BR112" s="127">
        <f>(AL112)/($AW$6)</f>
        <v>0.44444444444444442</v>
      </c>
      <c r="BS112" s="4"/>
      <c r="BT112" s="127"/>
      <c r="BU112" s="127">
        <f ca="1">(CG112-$AW$4)/((YEAR($C$13))-$AW$4)</f>
        <v>1</v>
      </c>
      <c r="BV112" s="127">
        <f>AE112/5</f>
        <v>1</v>
      </c>
      <c r="BW112" s="127">
        <f>AF112/5</f>
        <v>1</v>
      </c>
      <c r="BX112" s="4"/>
      <c r="BY112" s="148" t="str">
        <f>IF(E112="A",".98",IF(E112="B",".99",IF(E112="C","1.00",IF(E112="D","1.00" ))))</f>
        <v>1.00</v>
      </c>
      <c r="BZ112" s="127">
        <f>(CE112+7)/10</f>
        <v>1</v>
      </c>
      <c r="CA112" s="76" t="str">
        <f>IF(D112="Fern",".97",IF(D112="Grass",".99",IF(D112="Herb",".97",IF(D112="Shrub",".99",IF(D112="Tree","1.00",IF(D112="Vine",".98"))))))</f>
        <v>1.00</v>
      </c>
      <c r="CB112" s="149" t="str">
        <f>IF(R112="Bogs Ponds Streams",".96", IF(R112="Coastal Areas",".97",IF(R112="Meadows Dry Open",".96",IF(R112="Forest &amp; Understory",".97",IF(R112="Moist Open",".98",IF(R112="Moist Shady",".96",IF(R112="Sub-Alpine","1.0")))))))</f>
        <v>.98</v>
      </c>
      <c r="CC112" s="76" t="str">
        <f>IF(S112="Local Endemic",".50",IF(S112="Regional Endemic",".70",IF(S112="Cascadia",".90",IF(S112="Rocky Mountain",".95",IF(S112="North America",".99")))))</f>
        <v>.90</v>
      </c>
      <c r="CD112" s="4"/>
      <c r="CE112" s="21">
        <f>IF(W112&gt;3,3,W112)</f>
        <v>3</v>
      </c>
      <c r="CF112" s="21">
        <f>IF(AC112&gt;102,102,AC112)</f>
        <v>16.399999999999999</v>
      </c>
      <c r="CG112" s="34">
        <f ca="1">IF(AI112&lt;$AW$4,$AW$4,AI112)</f>
        <v>2019</v>
      </c>
      <c r="CH112" s="34">
        <f ca="1">IF(AJ112&lt;$AW$4,$AW$4,AJ112)</f>
        <v>2019</v>
      </c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12"/>
    </row>
    <row r="113" spans="1:115" s="13" customFormat="1" ht="15" customHeight="1" x14ac:dyDescent="0.3">
      <c r="A113" s="235"/>
      <c r="B113" s="218"/>
      <c r="C113" s="225">
        <v>8</v>
      </c>
      <c r="D113" s="59" t="s">
        <v>2507</v>
      </c>
      <c r="E113" s="59" t="s">
        <v>2501</v>
      </c>
      <c r="F113" s="397" t="str">
        <f ca="1">IF(BC113&lt;2025, "Extinct&lt; 6Yrs?",BA113)</f>
        <v>Widespread</v>
      </c>
      <c r="G113" s="363" t="s">
        <v>525</v>
      </c>
      <c r="H113" s="363" t="s">
        <v>680</v>
      </c>
      <c r="I113" s="366" t="s">
        <v>548</v>
      </c>
      <c r="J113" s="365" t="s">
        <v>3245</v>
      </c>
      <c r="K113" s="365" t="s">
        <v>870</v>
      </c>
      <c r="L113" s="10" t="s">
        <v>1794</v>
      </c>
      <c r="M113" s="8" t="s">
        <v>4193</v>
      </c>
      <c r="N113" s="8" t="s">
        <v>5086</v>
      </c>
      <c r="O113" s="8" t="s">
        <v>5985</v>
      </c>
      <c r="P113" s="9" t="s">
        <v>543</v>
      </c>
      <c r="Q113" s="59" t="s">
        <v>2552</v>
      </c>
      <c r="R113" s="9" t="s">
        <v>2497</v>
      </c>
      <c r="S113" s="9" t="s">
        <v>2495</v>
      </c>
      <c r="T113" s="123" t="str">
        <f>IF(R113="Bogs Ponds Streams","20",IF(R113="Coastal Areas","26",IF(R113="Meadows Dry Open","10",IF(R113="Forest &amp; Understory","14",IF(R113="Moist Open","12",IF(R113="Moist Shady","10",IF(R113="Sub-Alpine Slopes","0")))))))</f>
        <v>12</v>
      </c>
      <c r="U113" s="123" t="str">
        <f>IF(R113="Bogs Ponds Streams","52",IF(R113="Coastal Areas","51",IF(R113="Meadows Dry Open","53",IF(R113="Forest &amp; Understory","52",IF(R113="Moist Open","50",IF(R113="Moist Shady","46",IF(R113="Sub-Alpine Slopes","40")))))))</f>
        <v>50</v>
      </c>
      <c r="V113" s="123" t="str">
        <f>IF(R113="Bogs Ponds Streams","84",IF(R113="Coastal Areas","76",IF(R113="Meadows Dry Open","96", IF(R113="Forest &amp; Understory","90", IF(R113="Moist Open","88", IF(R113="Moist Shady","82", IF(R113="Sub-Alpine Slopes","80")))))))</f>
        <v>88</v>
      </c>
      <c r="W113" s="59">
        <v>20</v>
      </c>
      <c r="X113" s="59">
        <v>0</v>
      </c>
      <c r="Y113" s="59">
        <v>3500</v>
      </c>
      <c r="Z113" s="59" t="s">
        <v>2519</v>
      </c>
      <c r="AA113" s="59" t="s">
        <v>2518</v>
      </c>
      <c r="AB113" s="59">
        <v>6.8</v>
      </c>
      <c r="AC113" s="45">
        <f>C113+AK113+(0.1)*AL113</f>
        <v>21.2</v>
      </c>
      <c r="AD113" s="77">
        <v>79</v>
      </c>
      <c r="AE113" s="59">
        <v>5</v>
      </c>
      <c r="AF113" s="59">
        <v>5</v>
      </c>
      <c r="AG113" s="59">
        <v>1900</v>
      </c>
      <c r="AH113" s="77">
        <v>0</v>
      </c>
      <c r="AI113" s="59">
        <f ca="1">AJ113</f>
        <v>2019</v>
      </c>
      <c r="AJ113" s="18">
        <f ca="1">YEAR(TODAY())</f>
        <v>2019</v>
      </c>
      <c r="AK113" s="18">
        <v>12</v>
      </c>
      <c r="AL113" s="18">
        <v>12</v>
      </c>
      <c r="AM113" s="18">
        <v>1</v>
      </c>
      <c r="AN113" s="18">
        <v>1</v>
      </c>
      <c r="AO113" s="18">
        <v>5</v>
      </c>
      <c r="AP113" s="18">
        <v>1</v>
      </c>
      <c r="AQ113" s="18">
        <v>0</v>
      </c>
      <c r="AR113" s="18">
        <v>0</v>
      </c>
      <c r="AS113" s="18">
        <v>0</v>
      </c>
      <c r="AT113" s="18">
        <v>0</v>
      </c>
      <c r="AU113" s="18">
        <v>0</v>
      </c>
      <c r="AV113" s="18">
        <v>0</v>
      </c>
      <c r="AW113" s="18">
        <v>0</v>
      </c>
      <c r="AX113" s="18">
        <v>0</v>
      </c>
      <c r="AY113" s="233"/>
      <c r="AZ113" s="4"/>
      <c r="BA113" s="35" t="str">
        <f>IF(OR(S113="North America",S113="Rocky Mountain"), "Widespread",BC113)</f>
        <v>Widespread</v>
      </c>
      <c r="BB113" s="4"/>
      <c r="BC113" s="35" t="str">
        <f ca="1">IF(BE113&gt;2046, "Abundant",BE113)</f>
        <v>Abundant</v>
      </c>
      <c r="BD113" s="4"/>
      <c r="BE113" s="81">
        <f ca="1">YEAR($C$13)+(BG113*80)</f>
        <v>2104.9390631016045</v>
      </c>
      <c r="BF113" s="4"/>
      <c r="BG113" s="137">
        <f ca="1">BH113*$BH$14</f>
        <v>1.0742382887700535</v>
      </c>
      <c r="BH113" s="137">
        <f ca="1">(((BJ113+BK113+BM113+BN113)/4)*$BM$11)+(((BP113+BQ113)/2)*$BQ$11)+(((BU113+BV113+BW113)/3)*$BU$11)+(((BY113+BZ113+CA113+CB113+CC113)/5)*$CA$11)</f>
        <v>1.0742382887700535</v>
      </c>
      <c r="BI113" s="4"/>
      <c r="BJ113" s="33">
        <f>AP113/(AM113+AO113)</f>
        <v>0.16666666666666666</v>
      </c>
      <c r="BK113" s="33">
        <f>(AN113+AO113)/(AM113+AO113)</f>
        <v>1</v>
      </c>
      <c r="BL113" s="4"/>
      <c r="BM113" s="127">
        <f>CF113/102</f>
        <v>0.20784313725490194</v>
      </c>
      <c r="BN113" s="127">
        <f>C113/2</f>
        <v>4</v>
      </c>
      <c r="BO113" s="4"/>
      <c r="BP113" s="127">
        <f>(AK113)/($AW$6)</f>
        <v>0.12121212121212122</v>
      </c>
      <c r="BQ113" s="127">
        <f ca="1">(CH113-$AW$4)/((YEAR($C$13))-$AW$4)</f>
        <v>1</v>
      </c>
      <c r="BR113" s="127">
        <f>(AL113)/($AW$6)</f>
        <v>0.12121212121212122</v>
      </c>
      <c r="BS113" s="4"/>
      <c r="BT113" s="127"/>
      <c r="BU113" s="127">
        <f ca="1">(CG113-$AW$4)/((YEAR($C$13))-$AW$4)</f>
        <v>1</v>
      </c>
      <c r="BV113" s="127">
        <f>AE113/5</f>
        <v>1</v>
      </c>
      <c r="BW113" s="127">
        <f>AF113/5</f>
        <v>1</v>
      </c>
      <c r="BX113" s="4"/>
      <c r="BY113" s="148" t="str">
        <f>IF(E113="A",".98",IF(E113="B",".99",IF(E113="C","1.00",IF(E113="D","1.00" ))))</f>
        <v>1.00</v>
      </c>
      <c r="BZ113" s="127">
        <f>(CE113+7)/10</f>
        <v>1</v>
      </c>
      <c r="CA113" s="76" t="str">
        <f>IF(D113="Fern",".97",IF(D113="Grass",".99",IF(D113="Herb",".97",IF(D113="Shrub",".99",IF(D113="Tree","1.00",IF(D113="Vine",".98"))))))</f>
        <v>1.00</v>
      </c>
      <c r="CB113" s="149" t="str">
        <f>IF(R113="Bogs Ponds Streams",".96", IF(R113="Coastal Areas",".97",IF(R113="Meadows Dry Open",".96",IF(R113="Forest &amp; Understory",".97",IF(R113="Moist Open",".98",IF(R113="Moist Shady",".96",IF(R113="Sub-Alpine","1.0")))))))</f>
        <v>.98</v>
      </c>
      <c r="CC113" s="76" t="str">
        <f>IF(S113="Local Endemic",".50",IF(S113="Regional Endemic",".70",IF(S113="Cascadia",".90",IF(S113="Rocky Mountain",".95",IF(S113="North America",".99")))))</f>
        <v>.99</v>
      </c>
      <c r="CD113" s="4"/>
      <c r="CE113" s="21">
        <f>IF(W113&gt;3,3,W113)</f>
        <v>3</v>
      </c>
      <c r="CF113" s="21">
        <f>IF(AC113&gt;102,102,AC113)</f>
        <v>21.2</v>
      </c>
      <c r="CG113" s="34">
        <f ca="1">IF(AI113&lt;$AW$4,$AW$4,AI113)</f>
        <v>2019</v>
      </c>
      <c r="CH113" s="34">
        <f ca="1">IF(AJ113&lt;$AW$4,$AW$4,AJ113)</f>
        <v>2019</v>
      </c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12"/>
    </row>
    <row r="114" spans="1:115" s="13" customFormat="1" ht="15" customHeight="1" x14ac:dyDescent="0.3">
      <c r="A114" s="235"/>
      <c r="B114" s="218"/>
      <c r="C114" s="225">
        <v>8</v>
      </c>
      <c r="D114" s="59" t="s">
        <v>2507</v>
      </c>
      <c r="E114" s="59" t="s">
        <v>2501</v>
      </c>
      <c r="F114" s="397" t="str">
        <f ca="1">IF(BC114&lt;2025, "Extinct&lt; 6Yrs?",BA114)</f>
        <v>Abundant</v>
      </c>
      <c r="G114" s="363" t="s">
        <v>525</v>
      </c>
      <c r="H114" s="363" t="s">
        <v>680</v>
      </c>
      <c r="I114" s="364" t="s">
        <v>2600</v>
      </c>
      <c r="J114" s="365" t="s">
        <v>3246</v>
      </c>
      <c r="K114" s="365" t="s">
        <v>868</v>
      </c>
      <c r="L114" s="17" t="s">
        <v>1795</v>
      </c>
      <c r="M114" s="8" t="s">
        <v>4194</v>
      </c>
      <c r="N114" s="8" t="s">
        <v>5087</v>
      </c>
      <c r="O114" s="8" t="s">
        <v>5986</v>
      </c>
      <c r="P114" s="9" t="s">
        <v>543</v>
      </c>
      <c r="Q114" s="59" t="s">
        <v>2552</v>
      </c>
      <c r="R114" s="9" t="s">
        <v>2498</v>
      </c>
      <c r="S114" s="17" t="s">
        <v>2459</v>
      </c>
      <c r="T114" s="123" t="str">
        <f>IF(R114="Bogs Ponds Streams","20",IF(R114="Coastal Areas","26",IF(R114="Meadows Dry Open","10",IF(R114="Forest &amp; Understory","14",IF(R114="Moist Open","12",IF(R114="Moist Shady","10",IF(R114="Sub-Alpine Slopes","0")))))))</f>
        <v>10</v>
      </c>
      <c r="U114" s="123" t="str">
        <f>IF(R114="Bogs Ponds Streams","52",IF(R114="Coastal Areas","51",IF(R114="Meadows Dry Open","53",IF(R114="Forest &amp; Understory","52",IF(R114="Moist Open","50",IF(R114="Moist Shady","46",IF(R114="Sub-Alpine Slopes","40")))))))</f>
        <v>46</v>
      </c>
      <c r="V114" s="123" t="str">
        <f>IF(R114="Bogs Ponds Streams","84",IF(R114="Coastal Areas","76",IF(R114="Meadows Dry Open","96", IF(R114="Forest &amp; Understory","90", IF(R114="Moist Open","88", IF(R114="Moist Shady","82", IF(R114="Sub-Alpine Slopes","80")))))))</f>
        <v>82</v>
      </c>
      <c r="W114" s="59">
        <v>20</v>
      </c>
      <c r="X114" s="59">
        <v>0</v>
      </c>
      <c r="Y114" s="59">
        <v>3500</v>
      </c>
      <c r="Z114" s="59" t="s">
        <v>2519</v>
      </c>
      <c r="AA114" s="59" t="s">
        <v>2518</v>
      </c>
      <c r="AB114" s="59">
        <v>6.8</v>
      </c>
      <c r="AC114" s="45">
        <f>C114+AK114+(0.1)*AL114</f>
        <v>18</v>
      </c>
      <c r="AD114" s="77">
        <v>21</v>
      </c>
      <c r="AE114" s="59">
        <v>5</v>
      </c>
      <c r="AF114" s="59">
        <v>5</v>
      </c>
      <c r="AG114" s="59">
        <v>1900</v>
      </c>
      <c r="AH114" s="77">
        <v>0</v>
      </c>
      <c r="AI114" s="59">
        <f ca="1">AJ114</f>
        <v>2019</v>
      </c>
      <c r="AJ114" s="18">
        <f ca="1">YEAR(TODAY())</f>
        <v>2019</v>
      </c>
      <c r="AK114" s="18">
        <v>10</v>
      </c>
      <c r="AL114" s="18">
        <v>0</v>
      </c>
      <c r="AM114" s="18">
        <v>1</v>
      </c>
      <c r="AN114" s="18">
        <v>1</v>
      </c>
      <c r="AO114" s="18">
        <v>5</v>
      </c>
      <c r="AP114" s="18">
        <v>1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0</v>
      </c>
      <c r="AX114" s="18">
        <v>0</v>
      </c>
      <c r="AY114" s="233"/>
      <c r="AZ114" s="4"/>
      <c r="BA114" s="35" t="str">
        <f ca="1">IF(OR(S114="North America",S114="Rocky Mountain"), "Widespread",BC114)</f>
        <v>Abundant</v>
      </c>
      <c r="BB114" s="4"/>
      <c r="BC114" s="35" t="str">
        <f ca="1">IF(BE114&gt;2046, "Abundant",BE114)</f>
        <v>Abundant</v>
      </c>
      <c r="BD114" s="4"/>
      <c r="BE114" s="81">
        <f ca="1">YEAR($C$13)+(BG114*80)</f>
        <v>2104.2849682709448</v>
      </c>
      <c r="BF114" s="4"/>
      <c r="BG114" s="137">
        <f ca="1">BH114*$BH$14</f>
        <v>1.0660621033868092</v>
      </c>
      <c r="BH114" s="137">
        <f ca="1">(((BJ114+BK114+BM114+BN114)/4)*$BM$11)+(((BP114+BQ114)/2)*$BQ$11)+(((BU114+BV114+BW114)/3)*$BU$11)+(((BY114+BZ114+CA114+CB114+CC114)/5)*$CA$11)</f>
        <v>1.0660621033868092</v>
      </c>
      <c r="BI114" s="4"/>
      <c r="BJ114" s="33">
        <f>AP114/(AM114+AO114)</f>
        <v>0.16666666666666666</v>
      </c>
      <c r="BK114" s="33">
        <f>(AN114+AO114)/(AM114+AO114)</f>
        <v>1</v>
      </c>
      <c r="BL114" s="4"/>
      <c r="BM114" s="127">
        <f>CF114/102</f>
        <v>0.17647058823529413</v>
      </c>
      <c r="BN114" s="127">
        <f>C114/2</f>
        <v>4</v>
      </c>
      <c r="BO114" s="4"/>
      <c r="BP114" s="127">
        <f>(AK114)/($AW$6)</f>
        <v>0.10101010101010101</v>
      </c>
      <c r="BQ114" s="127">
        <f ca="1">(CH114-$AW$4)/((YEAR($C$13))-$AW$4)</f>
        <v>1</v>
      </c>
      <c r="BR114" s="127">
        <f>(AL114)/($AW$6)</f>
        <v>0</v>
      </c>
      <c r="BS114" s="4"/>
      <c r="BT114" s="127"/>
      <c r="BU114" s="127">
        <f ca="1">(CG114-$AW$4)/((YEAR($C$13))-$AW$4)</f>
        <v>1</v>
      </c>
      <c r="BV114" s="127">
        <f>AE114/5</f>
        <v>1</v>
      </c>
      <c r="BW114" s="127">
        <f>AF114/5</f>
        <v>1</v>
      </c>
      <c r="BX114" s="4"/>
      <c r="BY114" s="148" t="str">
        <f>IF(E114="A",".98",IF(E114="B",".99",IF(E114="C","1.00",IF(E114="D","1.00" ))))</f>
        <v>1.00</v>
      </c>
      <c r="BZ114" s="127">
        <f>(CE114+7)/10</f>
        <v>1</v>
      </c>
      <c r="CA114" s="76" t="str">
        <f>IF(D114="Fern",".97",IF(D114="Grass",".99",IF(D114="Herb",".97",IF(D114="Shrub",".99",IF(D114="Tree","1.00",IF(D114="Vine",".98"))))))</f>
        <v>1.00</v>
      </c>
      <c r="CB114" s="149" t="str">
        <f>IF(R114="Bogs Ponds Streams",".96", IF(R114="Coastal Areas",".97",IF(R114="Meadows Dry Open",".96",IF(R114="Forest &amp; Understory",".97",IF(R114="Moist Open",".98",IF(R114="Moist Shady",".96",IF(R114="Sub-Alpine","1.0")))))))</f>
        <v>.96</v>
      </c>
      <c r="CC114" s="76" t="str">
        <f>IF(S114="Local Endemic",".50",IF(S114="Regional Endemic",".70",IF(S114="Cascadia",".90",IF(S114="Rocky Mountain",".95",IF(S114="North America",".99")))))</f>
        <v>.90</v>
      </c>
      <c r="CD114" s="4"/>
      <c r="CE114" s="21">
        <f>IF(W114&gt;3,3,W114)</f>
        <v>3</v>
      </c>
      <c r="CF114" s="21">
        <f>IF(AC114&gt;102,102,AC114)</f>
        <v>18</v>
      </c>
      <c r="CG114" s="34">
        <f ca="1">IF(AI114&lt;$AW$4,$AW$4,AI114)</f>
        <v>2019</v>
      </c>
      <c r="CH114" s="34">
        <f ca="1">IF(AJ114&lt;$AW$4,$AW$4,AJ114)</f>
        <v>2019</v>
      </c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12"/>
    </row>
    <row r="115" spans="1:115" s="13" customFormat="1" ht="15" customHeight="1" x14ac:dyDescent="0.3">
      <c r="A115" s="235"/>
      <c r="B115" s="218"/>
      <c r="C115" s="226">
        <v>2</v>
      </c>
      <c r="D115" s="104" t="s">
        <v>2505</v>
      </c>
      <c r="E115" s="104" t="s">
        <v>2502</v>
      </c>
      <c r="F115" s="400">
        <f ca="1">IF(BC115&lt;2025, "Extinct&lt; 6Yrs?",BA115)</f>
        <v>2040.571456684492</v>
      </c>
      <c r="G115" s="369" t="s">
        <v>525</v>
      </c>
      <c r="H115" s="369" t="s">
        <v>4028</v>
      </c>
      <c r="I115" s="372" t="s">
        <v>1796</v>
      </c>
      <c r="J115" s="371" t="s">
        <v>3835</v>
      </c>
      <c r="K115" s="371" t="s">
        <v>64</v>
      </c>
      <c r="L115" s="106" t="s">
        <v>1797</v>
      </c>
      <c r="M115" s="111" t="s">
        <v>4195</v>
      </c>
      <c r="N115" s="111" t="s">
        <v>5088</v>
      </c>
      <c r="O115" s="111" t="s">
        <v>5987</v>
      </c>
      <c r="P115" s="105" t="s">
        <v>51</v>
      </c>
      <c r="Q115" s="104" t="s">
        <v>2552</v>
      </c>
      <c r="R115" s="105" t="s">
        <v>2500</v>
      </c>
      <c r="S115" s="114" t="s">
        <v>2459</v>
      </c>
      <c r="T115" s="133" t="str">
        <f>IF(R115="Bogs Ponds Streams","20",IF(R115="Coastal Areas","26",IF(R115="Meadows Dry Open","10",IF(R115="Forest &amp; Understory","14",IF(R115="Moist Open","12",IF(R115="Moist Shady","10",IF(R115="Sub-Alpine Slopes","0")))))))</f>
        <v>10</v>
      </c>
      <c r="U115" s="133" t="str">
        <f>IF(R115="Bogs Ponds Streams","52",IF(R115="Coastal Areas","51",IF(R115="Meadows Dry Open","53",IF(R115="Forest &amp; Understory","52",IF(R115="Moist Open","50",IF(R115="Moist Shady","46",IF(R115="Sub-Alpine Slopes","40")))))))</f>
        <v>53</v>
      </c>
      <c r="V115" s="133" t="str">
        <f>IF(R115="Bogs Ponds Streams","84",IF(R115="Coastal Areas","76",IF(R115="Meadows Dry Open","96", IF(R115="Forest &amp; Understory","90", IF(R115="Moist Open","88", IF(R115="Moist Shady","82", IF(R115="Sub-Alpine Slopes","80")))))))</f>
        <v>96</v>
      </c>
      <c r="W115" s="104">
        <v>1</v>
      </c>
      <c r="X115" s="104">
        <v>0</v>
      </c>
      <c r="Y115" s="104">
        <v>3500</v>
      </c>
      <c r="Z115" s="104" t="s">
        <v>2519</v>
      </c>
      <c r="AA115" s="104" t="s">
        <v>2518</v>
      </c>
      <c r="AB115" s="104">
        <v>6.8</v>
      </c>
      <c r="AC115" s="107">
        <f>C115+AK115+(0.1)*AL115</f>
        <v>7</v>
      </c>
      <c r="AD115" s="113">
        <v>8</v>
      </c>
      <c r="AE115" s="104">
        <v>5</v>
      </c>
      <c r="AF115" s="104">
        <v>5</v>
      </c>
      <c r="AG115" s="104">
        <v>1900</v>
      </c>
      <c r="AH115" s="113">
        <v>0</v>
      </c>
      <c r="AI115" s="104">
        <f>AJ115</f>
        <v>1996</v>
      </c>
      <c r="AJ115" s="108">
        <v>1996</v>
      </c>
      <c r="AK115" s="108">
        <v>5</v>
      </c>
      <c r="AL115" s="108">
        <v>0</v>
      </c>
      <c r="AM115" s="109">
        <v>5</v>
      </c>
      <c r="AN115" s="109">
        <v>1</v>
      </c>
      <c r="AO115" s="110">
        <v>0</v>
      </c>
      <c r="AP115" s="109">
        <v>0</v>
      </c>
      <c r="AQ115" s="109">
        <v>0</v>
      </c>
      <c r="AR115" s="109">
        <v>0</v>
      </c>
      <c r="AS115" s="110">
        <v>0</v>
      </c>
      <c r="AT115" s="109">
        <v>0</v>
      </c>
      <c r="AU115" s="109">
        <v>0</v>
      </c>
      <c r="AV115" s="109">
        <v>0</v>
      </c>
      <c r="AW115" s="110">
        <v>0</v>
      </c>
      <c r="AX115" s="109">
        <v>0</v>
      </c>
      <c r="AY115" s="233"/>
      <c r="AZ115" s="4"/>
      <c r="BA115" s="35">
        <f ca="1">IF(OR(S115="North America",S115="Rocky Mountain"), "Widespread",BC115)</f>
        <v>2040.571456684492</v>
      </c>
      <c r="BB115" s="4"/>
      <c r="BC115" s="35">
        <f ca="1">IF(BE115&gt;2046, "Abundant",BE115)</f>
        <v>2040.571456684492</v>
      </c>
      <c r="BD115" s="4"/>
      <c r="BE115" s="81">
        <f ca="1">YEAR($C$13)+(BG115*80)</f>
        <v>2040.571456684492</v>
      </c>
      <c r="BF115" s="4"/>
      <c r="BG115" s="137">
        <f ca="1">BH115*$BH$14</f>
        <v>0.2696432085561497</v>
      </c>
      <c r="BH115" s="137">
        <f ca="1">(((BJ115+BK115+BM115+BN115)/4)*$BM$11)+(((BP115+BQ115)/2)*$BQ$11)+(((BU115+BV115+BW115)/3)*$BU$11)+(((BY115+BZ115+CA115+CB115+CC115)/5)*$CA$11)</f>
        <v>0.2696432085561497</v>
      </c>
      <c r="BI115" s="4"/>
      <c r="BJ115" s="33">
        <f>AP115/(AM115+AO115)</f>
        <v>0</v>
      </c>
      <c r="BK115" s="33">
        <f>(AN115+AO115)/(AM115+AO115)</f>
        <v>0.2</v>
      </c>
      <c r="BL115" s="4"/>
      <c r="BM115" s="127">
        <f>CF115/102</f>
        <v>6.8627450980392163E-2</v>
      </c>
      <c r="BN115" s="127">
        <f>C115/2</f>
        <v>1</v>
      </c>
      <c r="BO115" s="4"/>
      <c r="BP115" s="127">
        <f>(AK115)/($AW$6)</f>
        <v>5.0505050505050504E-2</v>
      </c>
      <c r="BQ115" s="127">
        <f ca="1">(CH115-$AW$4)/((YEAR($C$13))-$AW$4)</f>
        <v>0</v>
      </c>
      <c r="BR115" s="127">
        <f>(AL115)/($AW$6)</f>
        <v>0</v>
      </c>
      <c r="BS115" s="4"/>
      <c r="BT115" s="127"/>
      <c r="BU115" s="127">
        <f ca="1">(CG115-$AW$4)/((YEAR($C$13))-$AW$4)</f>
        <v>0</v>
      </c>
      <c r="BV115" s="127">
        <f>AE115/5</f>
        <v>1</v>
      </c>
      <c r="BW115" s="127">
        <f>AF115/5</f>
        <v>1</v>
      </c>
      <c r="BX115" s="4"/>
      <c r="BY115" s="148" t="str">
        <f>IF(E115="A",".98",IF(E115="B",".99",IF(E115="C","1.00",IF(E115="D","1.00" ))))</f>
        <v>.98</v>
      </c>
      <c r="BZ115" s="127">
        <f>(CE115+7)/10</f>
        <v>0.8</v>
      </c>
      <c r="CA115" s="76" t="str">
        <f>IF(D115="Fern",".97",IF(D115="Grass",".99",IF(D115="Herb",".97",IF(D115="Shrub",".99",IF(D115="Tree","1.00",IF(D115="Vine",".98"))))))</f>
        <v>.97</v>
      </c>
      <c r="CB115" s="149" t="str">
        <f>IF(R115="Bogs Ponds Streams",".96", IF(R115="Coastal Areas",".97",IF(R115="Meadows Dry Open",".96",IF(R115="Forest &amp; Understory",".97",IF(R115="Moist Open",".98",IF(R115="Moist Shady",".96",IF(R115="Sub-Alpine","1.0")))))))</f>
        <v>.96</v>
      </c>
      <c r="CC115" s="76" t="str">
        <f>IF(S115="Local Endemic",".50",IF(S115="Regional Endemic",".70",IF(S115="Cascadia",".90",IF(S115="Rocky Mountain",".95",IF(S115="North America",".99")))))</f>
        <v>.90</v>
      </c>
      <c r="CD115" s="4"/>
      <c r="CE115" s="21">
        <f>IF(W115&gt;3,3,W115)</f>
        <v>1</v>
      </c>
      <c r="CF115" s="21">
        <f>IF(AC115&gt;102,102,AC115)</f>
        <v>7</v>
      </c>
      <c r="CG115" s="34">
        <f>IF(AI115&lt;$AW$4,$AW$4,AI115)</f>
        <v>2004</v>
      </c>
      <c r="CH115" s="34">
        <f>IF(AJ115&lt;$AW$4,$AW$4,AJ115)</f>
        <v>2004</v>
      </c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12"/>
    </row>
    <row r="116" spans="1:115" s="13" customFormat="1" ht="15" customHeight="1" x14ac:dyDescent="0.3">
      <c r="A116" s="235"/>
      <c r="B116" s="218"/>
      <c r="C116" s="226">
        <v>2</v>
      </c>
      <c r="D116" s="104" t="s">
        <v>2505</v>
      </c>
      <c r="E116" s="104" t="s">
        <v>2502</v>
      </c>
      <c r="F116" s="400" t="str">
        <f ca="1">IF(BC116&lt;2025, "Extinct&lt; 6Yrs?",BA116)</f>
        <v>Widespread</v>
      </c>
      <c r="G116" s="369" t="s">
        <v>525</v>
      </c>
      <c r="H116" s="369" t="s">
        <v>4028</v>
      </c>
      <c r="I116" s="370" t="s">
        <v>65</v>
      </c>
      <c r="J116" s="371" t="s">
        <v>3834</v>
      </c>
      <c r="K116" s="371" t="s">
        <v>12</v>
      </c>
      <c r="L116" s="106" t="s">
        <v>1798</v>
      </c>
      <c r="M116" s="111" t="s">
        <v>4196</v>
      </c>
      <c r="N116" s="111" t="s">
        <v>5089</v>
      </c>
      <c r="O116" s="111" t="s">
        <v>5988</v>
      </c>
      <c r="P116" s="105" t="s">
        <v>51</v>
      </c>
      <c r="Q116" s="104" t="s">
        <v>2552</v>
      </c>
      <c r="R116" s="105" t="s">
        <v>2497</v>
      </c>
      <c r="S116" s="105" t="s">
        <v>2495</v>
      </c>
      <c r="T116" s="133" t="str">
        <f>IF(R116="Bogs Ponds Streams","20",IF(R116="Coastal Areas","26",IF(R116="Meadows Dry Open","10",IF(R116="Forest &amp; Understory","14",IF(R116="Moist Open","12",IF(R116="Moist Shady","10",IF(R116="Sub-Alpine Slopes","0")))))))</f>
        <v>12</v>
      </c>
      <c r="U116" s="133" t="str">
        <f>IF(R116="Bogs Ponds Streams","52",IF(R116="Coastal Areas","51",IF(R116="Meadows Dry Open","53",IF(R116="Forest &amp; Understory","52",IF(R116="Moist Open","50",IF(R116="Moist Shady","46",IF(R116="Sub-Alpine Slopes","40")))))))</f>
        <v>50</v>
      </c>
      <c r="V116" s="133" t="str">
        <f>IF(R116="Bogs Ponds Streams","84",IF(R116="Coastal Areas","76",IF(R116="Meadows Dry Open","96", IF(R116="Forest &amp; Understory","90", IF(R116="Moist Open","88", IF(R116="Moist Shady","82", IF(R116="Sub-Alpine Slopes","80")))))))</f>
        <v>88</v>
      </c>
      <c r="W116" s="104">
        <v>1</v>
      </c>
      <c r="X116" s="104">
        <v>0</v>
      </c>
      <c r="Y116" s="104">
        <v>3500</v>
      </c>
      <c r="Z116" s="104" t="s">
        <v>2519</v>
      </c>
      <c r="AA116" s="104" t="s">
        <v>2518</v>
      </c>
      <c r="AB116" s="104">
        <v>6.8</v>
      </c>
      <c r="AC116" s="107">
        <f>C116+AK116+(0.1)*AL116</f>
        <v>18.5</v>
      </c>
      <c r="AD116" s="113">
        <v>79</v>
      </c>
      <c r="AE116" s="104">
        <v>5</v>
      </c>
      <c r="AF116" s="104">
        <v>5</v>
      </c>
      <c r="AG116" s="104">
        <v>1900</v>
      </c>
      <c r="AH116" s="113">
        <v>0</v>
      </c>
      <c r="AI116" s="104">
        <f>AJ116</f>
        <v>2004</v>
      </c>
      <c r="AJ116" s="108">
        <v>2004</v>
      </c>
      <c r="AK116" s="108">
        <v>15</v>
      </c>
      <c r="AL116" s="108">
        <v>15</v>
      </c>
      <c r="AM116" s="109">
        <v>5</v>
      </c>
      <c r="AN116" s="109">
        <v>1</v>
      </c>
      <c r="AO116" s="110">
        <v>0</v>
      </c>
      <c r="AP116" s="109">
        <v>0</v>
      </c>
      <c r="AQ116" s="109">
        <v>0</v>
      </c>
      <c r="AR116" s="109">
        <v>0</v>
      </c>
      <c r="AS116" s="110">
        <v>0</v>
      </c>
      <c r="AT116" s="109">
        <v>0</v>
      </c>
      <c r="AU116" s="109">
        <v>0</v>
      </c>
      <c r="AV116" s="109">
        <v>0</v>
      </c>
      <c r="AW116" s="110">
        <v>0</v>
      </c>
      <c r="AX116" s="109">
        <v>0</v>
      </c>
      <c r="AY116" s="233"/>
      <c r="AZ116" s="4"/>
      <c r="BA116" s="35" t="str">
        <f>IF(OR(S116="North America",S116="Rocky Mountain"), "Widespread",BC116)</f>
        <v>Widespread</v>
      </c>
      <c r="BB116" s="4"/>
      <c r="BC116" s="35">
        <f ca="1">IF(BE116&gt;2046, "Abundant",BE116)</f>
        <v>2043.1717190730838</v>
      </c>
      <c r="BD116" s="4"/>
      <c r="BE116" s="81">
        <f ca="1">YEAR($C$13)+(BG116*80)</f>
        <v>2043.1717190730838</v>
      </c>
      <c r="BF116" s="4"/>
      <c r="BG116" s="137">
        <f ca="1">BH116*$BH$14</f>
        <v>0.30214648841354724</v>
      </c>
      <c r="BH116" s="137">
        <f ca="1">(((BJ116+BK116+BM116+BN116)/4)*$BM$11)+(((BP116+BQ116)/2)*$BQ$11)+(((BU116+BV116+BW116)/3)*$BU$11)+(((BY116+BZ116+CA116+CB116+CC116)/5)*$CA$11)</f>
        <v>0.30214648841354724</v>
      </c>
      <c r="BI116" s="4"/>
      <c r="BJ116" s="33">
        <f>AP116/(AM116+AO116)</f>
        <v>0</v>
      </c>
      <c r="BK116" s="33">
        <f>(AN116+AO116)/(AM116+AO116)</f>
        <v>0.2</v>
      </c>
      <c r="BL116" s="4"/>
      <c r="BM116" s="127">
        <f>CF116/102</f>
        <v>0.18137254901960784</v>
      </c>
      <c r="BN116" s="127">
        <f>C116/2</f>
        <v>1</v>
      </c>
      <c r="BO116" s="4"/>
      <c r="BP116" s="127">
        <f>(AK116)/($AW$6)</f>
        <v>0.15151515151515152</v>
      </c>
      <c r="BQ116" s="127">
        <f ca="1">(CH116-$AW$4)/((YEAR($C$13))-$AW$4)</f>
        <v>0</v>
      </c>
      <c r="BR116" s="127">
        <f>(AL116)/($AW$6)</f>
        <v>0.15151515151515152</v>
      </c>
      <c r="BS116" s="4"/>
      <c r="BT116" s="127"/>
      <c r="BU116" s="127">
        <f ca="1">(CG116-$AW$4)/((YEAR($C$13))-$AW$4)</f>
        <v>0</v>
      </c>
      <c r="BV116" s="127">
        <f>AE116/5</f>
        <v>1</v>
      </c>
      <c r="BW116" s="127">
        <f>AF116/5</f>
        <v>1</v>
      </c>
      <c r="BX116" s="4"/>
      <c r="BY116" s="148" t="str">
        <f>IF(E116="A",".98",IF(E116="B",".99",IF(E116="C","1.00",IF(E116="D","1.00" ))))</f>
        <v>.98</v>
      </c>
      <c r="BZ116" s="127">
        <f>(CE116+7)/10</f>
        <v>0.8</v>
      </c>
      <c r="CA116" s="76" t="str">
        <f>IF(D116="Fern",".97",IF(D116="Grass",".99",IF(D116="Herb",".97",IF(D116="Shrub",".99",IF(D116="Tree","1.00",IF(D116="Vine",".98"))))))</f>
        <v>.97</v>
      </c>
      <c r="CB116" s="149" t="str">
        <f>IF(R116="Bogs Ponds Streams",".96", IF(R116="Coastal Areas",".97",IF(R116="Meadows Dry Open",".96",IF(R116="Forest &amp; Understory",".97",IF(R116="Moist Open",".98",IF(R116="Moist Shady",".96",IF(R116="Sub-Alpine","1.0")))))))</f>
        <v>.98</v>
      </c>
      <c r="CC116" s="76" t="str">
        <f>IF(S116="Local Endemic",".50",IF(S116="Regional Endemic",".70",IF(S116="Cascadia",".90",IF(S116="Rocky Mountain",".95",IF(S116="North America",".99")))))</f>
        <v>.99</v>
      </c>
      <c r="CD116" s="4"/>
      <c r="CE116" s="21">
        <f>IF(W116&gt;3,3,W116)</f>
        <v>1</v>
      </c>
      <c r="CF116" s="21">
        <f>IF(AC116&gt;102,102,AC116)</f>
        <v>18.5</v>
      </c>
      <c r="CG116" s="34">
        <f>IF(AI116&lt;$AW$4,$AW$4,AI116)</f>
        <v>2004</v>
      </c>
      <c r="CH116" s="34">
        <f>IF(AJ116&lt;$AW$4,$AW$4,AJ116)</f>
        <v>2004</v>
      </c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12"/>
    </row>
    <row r="117" spans="1:115" s="13" customFormat="1" ht="15" customHeight="1" x14ac:dyDescent="0.3">
      <c r="A117" s="235"/>
      <c r="B117" s="218"/>
      <c r="C117" s="226">
        <v>2</v>
      </c>
      <c r="D117" s="104" t="s">
        <v>2505</v>
      </c>
      <c r="E117" s="104" t="s">
        <v>2502</v>
      </c>
      <c r="F117" s="400" t="str">
        <f ca="1">IF(BC117&lt;2025, "Extinct&lt; 6Yrs?",BA117)</f>
        <v>Widespread</v>
      </c>
      <c r="G117" s="369" t="s">
        <v>525</v>
      </c>
      <c r="H117" s="369" t="s">
        <v>4028</v>
      </c>
      <c r="I117" s="372" t="s">
        <v>66</v>
      </c>
      <c r="J117" s="371" t="s">
        <v>3833</v>
      </c>
      <c r="K117" s="371" t="s">
        <v>873</v>
      </c>
      <c r="L117" s="106" t="s">
        <v>1799</v>
      </c>
      <c r="M117" s="111" t="s">
        <v>4197</v>
      </c>
      <c r="N117" s="111" t="s">
        <v>5090</v>
      </c>
      <c r="O117" s="111" t="s">
        <v>5989</v>
      </c>
      <c r="P117" s="105" t="s">
        <v>51</v>
      </c>
      <c r="Q117" s="104" t="s">
        <v>2557</v>
      </c>
      <c r="R117" s="105" t="s">
        <v>2498</v>
      </c>
      <c r="S117" s="105" t="s">
        <v>2495</v>
      </c>
      <c r="T117" s="133" t="str">
        <f>IF(R117="Bogs Ponds Streams","20",IF(R117="Coastal Areas","26",IF(R117="Meadows Dry Open","10",IF(R117="Forest &amp; Understory","14",IF(R117="Moist Open","12",IF(R117="Moist Shady","10",IF(R117="Sub-Alpine Slopes","0")))))))</f>
        <v>10</v>
      </c>
      <c r="U117" s="133" t="str">
        <f>IF(R117="Bogs Ponds Streams","52",IF(R117="Coastal Areas","51",IF(R117="Meadows Dry Open","53",IF(R117="Forest &amp; Understory","52",IF(R117="Moist Open","50",IF(R117="Moist Shady","46",IF(R117="Sub-Alpine Slopes","40")))))))</f>
        <v>46</v>
      </c>
      <c r="V117" s="133" t="str">
        <f>IF(R117="Bogs Ponds Streams","84",IF(R117="Coastal Areas","76",IF(R117="Meadows Dry Open","96", IF(R117="Forest &amp; Understory","90", IF(R117="Moist Open","88", IF(R117="Moist Shady","82", IF(R117="Sub-Alpine Slopes","80")))))))</f>
        <v>82</v>
      </c>
      <c r="W117" s="104">
        <v>1</v>
      </c>
      <c r="X117" s="104">
        <v>0</v>
      </c>
      <c r="Y117" s="104">
        <v>3500</v>
      </c>
      <c r="Z117" s="104" t="s">
        <v>2519</v>
      </c>
      <c r="AA117" s="104" t="s">
        <v>2518</v>
      </c>
      <c r="AB117" s="104">
        <v>6.8</v>
      </c>
      <c r="AC117" s="107">
        <f>C117+AK117+(0.1)*AL117</f>
        <v>8.1999999999999993</v>
      </c>
      <c r="AD117" s="113">
        <v>48</v>
      </c>
      <c r="AE117" s="104">
        <v>5</v>
      </c>
      <c r="AF117" s="104">
        <v>5</v>
      </c>
      <c r="AG117" s="104">
        <v>1900</v>
      </c>
      <c r="AH117" s="113">
        <v>0</v>
      </c>
      <c r="AI117" s="104">
        <f>AJ117</f>
        <v>2006</v>
      </c>
      <c r="AJ117" s="108">
        <v>2006</v>
      </c>
      <c r="AK117" s="108">
        <v>4</v>
      </c>
      <c r="AL117" s="108">
        <v>22</v>
      </c>
      <c r="AM117" s="109">
        <v>5</v>
      </c>
      <c r="AN117" s="109">
        <v>1</v>
      </c>
      <c r="AO117" s="110">
        <v>0</v>
      </c>
      <c r="AP117" s="109">
        <v>0</v>
      </c>
      <c r="AQ117" s="109">
        <v>0</v>
      </c>
      <c r="AR117" s="109">
        <v>0</v>
      </c>
      <c r="AS117" s="110">
        <v>0</v>
      </c>
      <c r="AT117" s="109">
        <v>0</v>
      </c>
      <c r="AU117" s="109">
        <v>0</v>
      </c>
      <c r="AV117" s="109">
        <v>0</v>
      </c>
      <c r="AW117" s="110">
        <v>0</v>
      </c>
      <c r="AX117" s="109">
        <v>0</v>
      </c>
      <c r="AY117" s="233"/>
      <c r="AZ117" s="4"/>
      <c r="BA117" s="35" t="str">
        <f>IF(OR(S117="North America",S117="Rocky Mountain"), "Widespread",BC117)</f>
        <v>Widespread</v>
      </c>
      <c r="BB117" s="4"/>
      <c r="BC117" s="35">
        <f ca="1">IF(BE117&gt;2046, "Abundant",BE117)</f>
        <v>2042.5046654783125</v>
      </c>
      <c r="BD117" s="4"/>
      <c r="BE117" s="81">
        <f ca="1">YEAR($C$13)+(BG117*80)</f>
        <v>2042.5046654783125</v>
      </c>
      <c r="BF117" s="4"/>
      <c r="BG117" s="137">
        <f ca="1">BH117*$BH$14</f>
        <v>0.2938083184789067</v>
      </c>
      <c r="BH117" s="137">
        <f ca="1">(((BJ117+BK117+BM117+BN117)/4)*$BM$11)+(((BP117+BQ117)/2)*$BQ$11)+(((BU117+BV117+BW117)/3)*$BU$11)+(((BY117+BZ117+CA117+CB117+CC117)/5)*$CA$11)</f>
        <v>0.2938083184789067</v>
      </c>
      <c r="BI117" s="4"/>
      <c r="BJ117" s="33">
        <f>AP117/(AM117+AO117)</f>
        <v>0</v>
      </c>
      <c r="BK117" s="33">
        <f>(AN117+AO117)/(AM117+AO117)</f>
        <v>0.2</v>
      </c>
      <c r="BL117" s="4"/>
      <c r="BM117" s="127">
        <f>CF117/102</f>
        <v>8.039215686274509E-2</v>
      </c>
      <c r="BN117" s="127">
        <f>C117/2</f>
        <v>1</v>
      </c>
      <c r="BO117" s="4"/>
      <c r="BP117" s="127">
        <f>(AK117)/($AW$6)</f>
        <v>4.0404040404040407E-2</v>
      </c>
      <c r="BQ117" s="127">
        <f ca="1">(CH117-$AW$4)/((YEAR($C$13))-$AW$4)</f>
        <v>0.13333333333333333</v>
      </c>
      <c r="BR117" s="127">
        <f>(AL117)/($AW$6)</f>
        <v>0.22222222222222221</v>
      </c>
      <c r="BS117" s="4"/>
      <c r="BT117" s="127"/>
      <c r="BU117" s="127">
        <f ca="1">(CG117-$AW$4)/((YEAR($C$13))-$AW$4)</f>
        <v>0.13333333333333333</v>
      </c>
      <c r="BV117" s="127">
        <f>AE117/5</f>
        <v>1</v>
      </c>
      <c r="BW117" s="127">
        <f>AF117/5</f>
        <v>1</v>
      </c>
      <c r="BX117" s="4"/>
      <c r="BY117" s="148" t="str">
        <f>IF(E117="A",".98",IF(E117="B",".99",IF(E117="C","1.00",IF(E117="D","1.00" ))))</f>
        <v>.98</v>
      </c>
      <c r="BZ117" s="127">
        <f>(CE117+7)/10</f>
        <v>0.8</v>
      </c>
      <c r="CA117" s="76" t="str">
        <f>IF(D117="Fern",".97",IF(D117="Grass",".99",IF(D117="Herb",".97",IF(D117="Shrub",".99",IF(D117="Tree","1.00",IF(D117="Vine",".98"))))))</f>
        <v>.97</v>
      </c>
      <c r="CB117" s="149" t="str">
        <f>IF(R117="Bogs Ponds Streams",".96", IF(R117="Coastal Areas",".97",IF(R117="Meadows Dry Open",".96",IF(R117="Forest &amp; Understory",".97",IF(R117="Moist Open",".98",IF(R117="Moist Shady",".96",IF(R117="Sub-Alpine","1.0")))))))</f>
        <v>.96</v>
      </c>
      <c r="CC117" s="76" t="str">
        <f>IF(S117="Local Endemic",".50",IF(S117="Regional Endemic",".70",IF(S117="Cascadia",".90",IF(S117="Rocky Mountain",".95",IF(S117="North America",".99")))))</f>
        <v>.99</v>
      </c>
      <c r="CD117" s="4"/>
      <c r="CE117" s="21">
        <f>IF(W117&gt;3,3,W117)</f>
        <v>1</v>
      </c>
      <c r="CF117" s="21">
        <f>IF(AC117&gt;102,102,AC117)</f>
        <v>8.1999999999999993</v>
      </c>
      <c r="CG117" s="34">
        <f>IF(AI117&lt;$AW$4,$AW$4,AI117)</f>
        <v>2006</v>
      </c>
      <c r="CH117" s="34">
        <f>IF(AJ117&lt;$AW$4,$AW$4,AJ117)</f>
        <v>2006</v>
      </c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12"/>
    </row>
    <row r="118" spans="1:115" s="13" customFormat="1" ht="15" customHeight="1" x14ac:dyDescent="0.3">
      <c r="A118" s="235"/>
      <c r="B118" s="218"/>
      <c r="C118" s="375">
        <v>1</v>
      </c>
      <c r="D118" s="67" t="s">
        <v>2505</v>
      </c>
      <c r="E118" s="67" t="s">
        <v>2501</v>
      </c>
      <c r="F118" s="403">
        <f ca="1">IF(BC118&lt;2025, "Extinct&lt; 6Yrs?",BA118)</f>
        <v>2033.6250533571003</v>
      </c>
      <c r="G118" s="376" t="s">
        <v>525</v>
      </c>
      <c r="H118" s="376" t="s">
        <v>4028</v>
      </c>
      <c r="I118" s="379" t="s">
        <v>1800</v>
      </c>
      <c r="J118" s="378" t="s">
        <v>3661</v>
      </c>
      <c r="K118" s="378" t="s">
        <v>1258</v>
      </c>
      <c r="L118" s="65" t="s">
        <v>1801</v>
      </c>
      <c r="M118" s="64" t="s">
        <v>4198</v>
      </c>
      <c r="N118" s="64" t="s">
        <v>5091</v>
      </c>
      <c r="O118" s="64" t="s">
        <v>5990</v>
      </c>
      <c r="P118" s="61" t="s">
        <v>51</v>
      </c>
      <c r="Q118" s="67" t="s">
        <v>2557</v>
      </c>
      <c r="R118" s="61" t="s">
        <v>2498</v>
      </c>
      <c r="S118" s="65" t="s">
        <v>2459</v>
      </c>
      <c r="T118" s="134" t="str">
        <f>IF(R118="Bogs Ponds Streams","20",IF(R118="Coastal Areas","26",IF(R118="Meadows Dry Open","10",IF(R118="Forest &amp; Understory","14",IF(R118="Moist Open","12",IF(R118="Moist Shady","10",IF(R118="Sub-Alpine Slopes","0")))))))</f>
        <v>10</v>
      </c>
      <c r="U118" s="134" t="str">
        <f>IF(R118="Bogs Ponds Streams","52",IF(R118="Coastal Areas","51",IF(R118="Meadows Dry Open","53",IF(R118="Forest &amp; Understory","52",IF(R118="Moist Open","50",IF(R118="Moist Shady","46",IF(R118="Sub-Alpine Slopes","40")))))))</f>
        <v>46</v>
      </c>
      <c r="V118" s="134" t="str">
        <f>IF(R118="Bogs Ponds Streams","84",IF(R118="Coastal Areas","76",IF(R118="Meadows Dry Open","96", IF(R118="Forest &amp; Understory","90", IF(R118="Moist Open","88", IF(R118="Moist Shady","82", IF(R118="Sub-Alpine Slopes","80")))))))</f>
        <v>82</v>
      </c>
      <c r="W118" s="67">
        <v>20</v>
      </c>
      <c r="X118" s="67">
        <v>0</v>
      </c>
      <c r="Y118" s="67">
        <v>3500</v>
      </c>
      <c r="Z118" s="67" t="s">
        <v>2519</v>
      </c>
      <c r="AA118" s="67" t="s">
        <v>2518</v>
      </c>
      <c r="AB118" s="67">
        <v>6.8</v>
      </c>
      <c r="AC118" s="85">
        <f>C118+AK118+(0.1)*AL118</f>
        <v>4.8</v>
      </c>
      <c r="AD118" s="78">
        <v>25</v>
      </c>
      <c r="AE118" s="67">
        <v>5</v>
      </c>
      <c r="AF118" s="67">
        <v>5</v>
      </c>
      <c r="AG118" s="67">
        <v>1900</v>
      </c>
      <c r="AH118" s="78">
        <v>0</v>
      </c>
      <c r="AI118" s="67">
        <f>AJ118</f>
        <v>2006</v>
      </c>
      <c r="AJ118" s="69">
        <v>2006</v>
      </c>
      <c r="AK118" s="69">
        <v>3</v>
      </c>
      <c r="AL118" s="69">
        <v>8</v>
      </c>
      <c r="AM118" s="70">
        <v>5</v>
      </c>
      <c r="AN118" s="70">
        <v>0</v>
      </c>
      <c r="AO118" s="86">
        <v>0</v>
      </c>
      <c r="AP118" s="70">
        <v>0</v>
      </c>
      <c r="AQ118" s="70">
        <v>0</v>
      </c>
      <c r="AR118" s="70">
        <v>0</v>
      </c>
      <c r="AS118" s="86">
        <v>0</v>
      </c>
      <c r="AT118" s="70">
        <v>0</v>
      </c>
      <c r="AU118" s="70">
        <v>0</v>
      </c>
      <c r="AV118" s="70">
        <v>0</v>
      </c>
      <c r="AW118" s="86">
        <v>0</v>
      </c>
      <c r="AX118" s="70">
        <v>0</v>
      </c>
      <c r="AY118" s="233"/>
      <c r="AZ118" s="4"/>
      <c r="BA118" s="35">
        <f ca="1">IF(OR(S118="North America",S118="Rocky Mountain"), "Widespread",BC118)</f>
        <v>2033.6250533571003</v>
      </c>
      <c r="BB118" s="4"/>
      <c r="BC118" s="35">
        <f ca="1">IF(BE118&gt;2046, "Abundant",BE118)</f>
        <v>2033.6250533571003</v>
      </c>
      <c r="BD118" s="4"/>
      <c r="BE118" s="81">
        <f ca="1">YEAR($C$13)+(BG118*80)</f>
        <v>2033.6250533571003</v>
      </c>
      <c r="BF118" s="4"/>
      <c r="BG118" s="137">
        <f ca="1">BH118*$BH$14</f>
        <v>0.18281316696375521</v>
      </c>
      <c r="BH118" s="137">
        <f ca="1">(((BJ118+BK118+BM118+BN118)/4)*$BM$11)+(((BP118+BQ118)/2)*$BQ$11)+(((BU118+BV118+BW118)/3)*$BU$11)+(((BY118+BZ118+CA118+CB118+CC118)/5)*$CA$11)</f>
        <v>0.18281316696375521</v>
      </c>
      <c r="BI118" s="4"/>
      <c r="BJ118" s="33">
        <f>AP118/(AM118+AO118)</f>
        <v>0</v>
      </c>
      <c r="BK118" s="33">
        <f>(AN118+AO118)/(AM118+AO118)</f>
        <v>0</v>
      </c>
      <c r="BL118" s="4"/>
      <c r="BM118" s="127">
        <f>CF118/102</f>
        <v>4.7058823529411764E-2</v>
      </c>
      <c r="BN118" s="127">
        <f>C118/2</f>
        <v>0.5</v>
      </c>
      <c r="BO118" s="4"/>
      <c r="BP118" s="127">
        <f>(AK118)/($AW$6)</f>
        <v>3.0303030303030304E-2</v>
      </c>
      <c r="BQ118" s="127">
        <f ca="1">(CH118-$AW$4)/((YEAR($C$13))-$AW$4)</f>
        <v>0.13333333333333333</v>
      </c>
      <c r="BR118" s="127">
        <f>(AL118)/($AW$6)</f>
        <v>8.0808080808080815E-2</v>
      </c>
      <c r="BS118" s="4"/>
      <c r="BT118" s="127"/>
      <c r="BU118" s="127">
        <f ca="1">(CG118-$AW$4)/((YEAR($C$13))-$AW$4)</f>
        <v>0.13333333333333333</v>
      </c>
      <c r="BV118" s="127">
        <f>AE118/5</f>
        <v>1</v>
      </c>
      <c r="BW118" s="127">
        <f>AF118/5</f>
        <v>1</v>
      </c>
      <c r="BX118" s="4"/>
      <c r="BY118" s="148" t="str">
        <f>IF(E118="A",".98",IF(E118="B",".99",IF(E118="C","1.00",IF(E118="D","1.00" ))))</f>
        <v>1.00</v>
      </c>
      <c r="BZ118" s="127">
        <f>(CE118+7)/10</f>
        <v>1</v>
      </c>
      <c r="CA118" s="76" t="str">
        <f>IF(D118="Fern",".97",IF(D118="Grass",".99",IF(D118="Herb",".97",IF(D118="Shrub",".99",IF(D118="Tree","1.00",IF(D118="Vine",".98"))))))</f>
        <v>.97</v>
      </c>
      <c r="CB118" s="149" t="str">
        <f>IF(R118="Bogs Ponds Streams",".96", IF(R118="Coastal Areas",".97",IF(R118="Meadows Dry Open",".96",IF(R118="Forest &amp; Understory",".97",IF(R118="Moist Open",".98",IF(R118="Moist Shady",".96",IF(R118="Sub-Alpine","1.0")))))))</f>
        <v>.96</v>
      </c>
      <c r="CC118" s="76" t="str">
        <f>IF(S118="Local Endemic",".50",IF(S118="Regional Endemic",".70",IF(S118="Cascadia",".90",IF(S118="Rocky Mountain",".95",IF(S118="North America",".99")))))</f>
        <v>.90</v>
      </c>
      <c r="CD118" s="4"/>
      <c r="CE118" s="21">
        <f>IF(W118&gt;3,3,W118)</f>
        <v>3</v>
      </c>
      <c r="CF118" s="21">
        <f>IF(AC118&gt;102,102,AC118)</f>
        <v>4.8</v>
      </c>
      <c r="CG118" s="34">
        <f>IF(AI118&lt;$AW$4,$AW$4,AI118)</f>
        <v>2006</v>
      </c>
      <c r="CH118" s="34">
        <f>IF(AJ118&lt;$AW$4,$AW$4,AJ118)</f>
        <v>2006</v>
      </c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12"/>
    </row>
    <row r="119" spans="1:115" s="13" customFormat="1" ht="15" customHeight="1" x14ac:dyDescent="0.3">
      <c r="A119" s="235"/>
      <c r="B119" s="218"/>
      <c r="C119" s="225">
        <v>8</v>
      </c>
      <c r="D119" s="59" t="s">
        <v>1154</v>
      </c>
      <c r="E119" s="59" t="s">
        <v>2501</v>
      </c>
      <c r="F119" s="397" t="str">
        <f ca="1">IF(BC119&lt;2025, "Extinct&lt; 6Yrs?",BA119)</f>
        <v>Widespread</v>
      </c>
      <c r="G119" s="363" t="s">
        <v>525</v>
      </c>
      <c r="H119" s="363" t="s">
        <v>686</v>
      </c>
      <c r="I119" s="366" t="s">
        <v>3037</v>
      </c>
      <c r="J119" s="365" t="s">
        <v>492</v>
      </c>
      <c r="K119" s="365" t="s">
        <v>492</v>
      </c>
      <c r="L119" s="10" t="s">
        <v>1802</v>
      </c>
      <c r="M119" s="8" t="s">
        <v>4199</v>
      </c>
      <c r="N119" s="8" t="s">
        <v>5092</v>
      </c>
      <c r="O119" s="8" t="s">
        <v>5991</v>
      </c>
      <c r="P119" s="9" t="s">
        <v>742</v>
      </c>
      <c r="Q119" s="59" t="s">
        <v>2552</v>
      </c>
      <c r="R119" s="9" t="s">
        <v>2498</v>
      </c>
      <c r="S119" s="9" t="s">
        <v>2495</v>
      </c>
      <c r="T119" s="123" t="str">
        <f>IF(R119="Bogs Ponds Streams","20",IF(R119="Coastal Areas","26",IF(R119="Meadows Dry Open","10",IF(R119="Forest &amp; Understory","14",IF(R119="Moist Open","12",IF(R119="Moist Shady","10",IF(R119="Sub-Alpine Slopes","0")))))))</f>
        <v>10</v>
      </c>
      <c r="U119" s="123" t="str">
        <f>IF(R119="Bogs Ponds Streams","52",IF(R119="Coastal Areas","51",IF(R119="Meadows Dry Open","53",IF(R119="Forest &amp; Understory","52",IF(R119="Moist Open","50",IF(R119="Moist Shady","46",IF(R119="Sub-Alpine Slopes","40")))))))</f>
        <v>46</v>
      </c>
      <c r="V119" s="123" t="str">
        <f>IF(R119="Bogs Ponds Streams","84",IF(R119="Coastal Areas","76",IF(R119="Meadows Dry Open","96", IF(R119="Forest &amp; Understory","90", IF(R119="Moist Open","88", IF(R119="Moist Shady","82", IF(R119="Sub-Alpine Slopes","80")))))))</f>
        <v>82</v>
      </c>
      <c r="W119" s="59">
        <v>20</v>
      </c>
      <c r="X119" s="59">
        <v>0</v>
      </c>
      <c r="Y119" s="59">
        <v>3500</v>
      </c>
      <c r="Z119" s="59" t="s">
        <v>2519</v>
      </c>
      <c r="AA119" s="59" t="s">
        <v>2518</v>
      </c>
      <c r="AB119" s="59">
        <v>6.8</v>
      </c>
      <c r="AC119" s="45">
        <f>C119+AK119+(0.1)*AL119</f>
        <v>107.9</v>
      </c>
      <c r="AD119" s="77">
        <v>114</v>
      </c>
      <c r="AE119" s="59">
        <v>5</v>
      </c>
      <c r="AF119" s="59">
        <v>5</v>
      </c>
      <c r="AG119" s="59">
        <v>1900</v>
      </c>
      <c r="AH119" s="77">
        <v>0</v>
      </c>
      <c r="AI119" s="59">
        <f ca="1">AJ119</f>
        <v>2019</v>
      </c>
      <c r="AJ119" s="18">
        <f ca="1">YEAR(TODAY())</f>
        <v>2019</v>
      </c>
      <c r="AK119" s="18">
        <v>99</v>
      </c>
      <c r="AL119" s="18">
        <v>9</v>
      </c>
      <c r="AM119" s="18">
        <v>1</v>
      </c>
      <c r="AN119" s="18">
        <v>1</v>
      </c>
      <c r="AO119" s="18">
        <v>5</v>
      </c>
      <c r="AP119" s="18">
        <v>1</v>
      </c>
      <c r="AQ119" s="18">
        <v>0</v>
      </c>
      <c r="AR119" s="18">
        <v>0</v>
      </c>
      <c r="AS119" s="18">
        <v>0</v>
      </c>
      <c r="AT119" s="18">
        <v>0</v>
      </c>
      <c r="AU119" s="18">
        <v>0</v>
      </c>
      <c r="AV119" s="18">
        <v>0</v>
      </c>
      <c r="AW119" s="18">
        <v>0</v>
      </c>
      <c r="AX119" s="18">
        <v>0</v>
      </c>
      <c r="AY119" s="233"/>
      <c r="AZ119" s="4"/>
      <c r="BA119" s="35" t="str">
        <f>IF(OR(S119="North America",S119="Rocky Mountain"), "Widespread",BC119)</f>
        <v>Widespread</v>
      </c>
      <c r="BB119" s="4"/>
      <c r="BC119" s="35" t="str">
        <f ca="1">IF(BE119&gt;2046, "Abundant",BE119)</f>
        <v>Abundant</v>
      </c>
      <c r="BD119" s="4"/>
      <c r="BE119" s="81">
        <f ca="1">YEAR($C$13)+(BG119*80)</f>
        <v>2124.9744000000001</v>
      </c>
      <c r="BF119" s="4"/>
      <c r="BG119" s="137">
        <f ca="1">BH119*$BH$14</f>
        <v>1.3246800000000001</v>
      </c>
      <c r="BH119" s="137">
        <f ca="1">(((BJ119+BK119+BM119+BN119)/4)*$BM$11)+(((BP119+BQ119)/2)*$BQ$11)+(((BU119+BV119+BW119)/3)*$BU$11)+(((BY119+BZ119+CA119+CB119+CC119)/5)*$CA$11)</f>
        <v>1.3246800000000001</v>
      </c>
      <c r="BI119" s="4"/>
      <c r="BJ119" s="33">
        <f>AP119/(AM119+AO119)</f>
        <v>0.16666666666666666</v>
      </c>
      <c r="BK119" s="33">
        <f>(AN119+AO119)/(AM119+AO119)</f>
        <v>1</v>
      </c>
      <c r="BL119" s="4"/>
      <c r="BM119" s="127">
        <f>CF119/102</f>
        <v>1</v>
      </c>
      <c r="BN119" s="127">
        <f>C119/2</f>
        <v>4</v>
      </c>
      <c r="BO119" s="4"/>
      <c r="BP119" s="127">
        <f>(AK119)/($AW$6)</f>
        <v>1</v>
      </c>
      <c r="BQ119" s="127">
        <f ca="1">(CH119-$AW$4)/((YEAR($C$13))-$AW$4)</f>
        <v>1</v>
      </c>
      <c r="BR119" s="127">
        <f>(AL119)/($AW$6)</f>
        <v>9.0909090909090912E-2</v>
      </c>
      <c r="BS119" s="4"/>
      <c r="BT119" s="127"/>
      <c r="BU119" s="127">
        <f ca="1">(CG119-$AW$4)/((YEAR($C$13))-$AW$4)</f>
        <v>1</v>
      </c>
      <c r="BV119" s="127">
        <f>AE119/5</f>
        <v>1</v>
      </c>
      <c r="BW119" s="127">
        <f>AF119/5</f>
        <v>1</v>
      </c>
      <c r="BX119" s="4"/>
      <c r="BY119" s="148" t="str">
        <f>IF(E119="A",".98",IF(E119="B",".99",IF(E119="C","1.00",IF(E119="D","1.00" ))))</f>
        <v>1.00</v>
      </c>
      <c r="BZ119" s="127">
        <f>(CE119+7)/10</f>
        <v>1</v>
      </c>
      <c r="CA119" s="76" t="str">
        <f>IF(D119="Fern",".97",IF(D119="Grass",".99",IF(D119="Herb",".97",IF(D119="Shrub",".99",IF(D119="Tree","1.00",IF(D119="Vine",".98"))))))</f>
        <v>.97</v>
      </c>
      <c r="CB119" s="149" t="str">
        <f>IF(R119="Bogs Ponds Streams",".96", IF(R119="Coastal Areas",".97",IF(R119="Meadows Dry Open",".96",IF(R119="Forest &amp; Understory",".97",IF(R119="Moist Open",".98",IF(R119="Moist Shady",".96",IF(R119="Sub-Alpine","1.0")))))))</f>
        <v>.96</v>
      </c>
      <c r="CC119" s="76" t="str">
        <f>IF(S119="Local Endemic",".50",IF(S119="Regional Endemic",".70",IF(S119="Cascadia",".90",IF(S119="Rocky Mountain",".95",IF(S119="North America",".99")))))</f>
        <v>.99</v>
      </c>
      <c r="CD119" s="4"/>
      <c r="CE119" s="21">
        <f>IF(W119&gt;3,3,W119)</f>
        <v>3</v>
      </c>
      <c r="CF119" s="21">
        <f>IF(AC119&gt;102,102,AC119)</f>
        <v>102</v>
      </c>
      <c r="CG119" s="34">
        <f ca="1">IF(AI119&lt;$AW$4,$AW$4,AI119)</f>
        <v>2019</v>
      </c>
      <c r="CH119" s="34">
        <f ca="1">IF(AJ119&lt;$AW$4,$AW$4,AJ119)</f>
        <v>2019</v>
      </c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</row>
    <row r="120" spans="1:115" s="13" customFormat="1" ht="15" customHeight="1" x14ac:dyDescent="0.3">
      <c r="A120" s="235"/>
      <c r="B120" s="218"/>
      <c r="C120" s="375">
        <v>1</v>
      </c>
      <c r="D120" s="68" t="s">
        <v>2505</v>
      </c>
      <c r="E120" s="67" t="s">
        <v>2501</v>
      </c>
      <c r="F120" s="403">
        <f ca="1">IF(BC120&lt;2025, "Extinct&lt; 6Yrs?",BA120)</f>
        <v>2031.4520337492572</v>
      </c>
      <c r="G120" s="376" t="s">
        <v>525</v>
      </c>
      <c r="H120" s="376" t="s">
        <v>4028</v>
      </c>
      <c r="I120" s="377" t="s">
        <v>2308</v>
      </c>
      <c r="J120" s="378" t="s">
        <v>2381</v>
      </c>
      <c r="K120" s="378" t="s">
        <v>2382</v>
      </c>
      <c r="L120" s="64" t="s">
        <v>2383</v>
      </c>
      <c r="M120" s="64" t="s">
        <v>4200</v>
      </c>
      <c r="N120" s="64" t="s">
        <v>5093</v>
      </c>
      <c r="O120" s="64" t="s">
        <v>5992</v>
      </c>
      <c r="P120" s="61" t="s">
        <v>361</v>
      </c>
      <c r="Q120" s="67" t="s">
        <v>2552</v>
      </c>
      <c r="R120" s="66" t="s">
        <v>2500</v>
      </c>
      <c r="S120" s="164" t="s">
        <v>2309</v>
      </c>
      <c r="T120" s="134" t="str">
        <f>IF(R120="Bogs Ponds Streams","20",IF(R120="Coastal Areas","26",IF(R120="Meadows Dry Open","10",IF(R120="Forest &amp; Understory","14",IF(R120="Moist Open","12",IF(R120="Moist Shady","10",IF(R120="Sub-Alpine Slopes","0")))))))</f>
        <v>10</v>
      </c>
      <c r="U120" s="134" t="str">
        <f>IF(R120="Bogs Ponds Streams","52",IF(R120="Coastal Areas","51",IF(R120="Meadows Dry Open","53",IF(R120="Forest &amp; Understory","52",IF(R120="Moist Open","50",IF(R120="Moist Shady","46",IF(R120="Sub-Alpine Slopes","40")))))))</f>
        <v>53</v>
      </c>
      <c r="V120" s="134" t="str">
        <f>IF(R120="Bogs Ponds Streams","84",IF(R120="Coastal Areas","76",IF(R120="Meadows Dry Open","96", IF(R120="Forest &amp; Understory","90", IF(R120="Moist Open","88", IF(R120="Moist Shady","82", IF(R120="Sub-Alpine Slopes","80")))))))</f>
        <v>96</v>
      </c>
      <c r="W120" s="67">
        <v>20</v>
      </c>
      <c r="X120" s="67">
        <v>0</v>
      </c>
      <c r="Y120" s="67">
        <v>3500</v>
      </c>
      <c r="Z120" s="67" t="s">
        <v>2519</v>
      </c>
      <c r="AA120" s="67" t="s">
        <v>2518</v>
      </c>
      <c r="AB120" s="67">
        <v>6.8</v>
      </c>
      <c r="AC120" s="85">
        <f>C120+AK120+(0.1)*AL120</f>
        <v>4.0999999999999996</v>
      </c>
      <c r="AD120" s="78">
        <v>18</v>
      </c>
      <c r="AE120" s="68">
        <v>2</v>
      </c>
      <c r="AF120" s="68">
        <v>3</v>
      </c>
      <c r="AG120" s="78">
        <v>1923</v>
      </c>
      <c r="AH120" s="78">
        <v>0</v>
      </c>
      <c r="AI120" s="78">
        <v>2018</v>
      </c>
      <c r="AJ120" s="67">
        <v>1990</v>
      </c>
      <c r="AK120" s="67">
        <v>3</v>
      </c>
      <c r="AL120" s="67">
        <v>1</v>
      </c>
      <c r="AM120" s="70">
        <v>5</v>
      </c>
      <c r="AN120" s="70">
        <v>0</v>
      </c>
      <c r="AO120" s="86">
        <v>0</v>
      </c>
      <c r="AP120" s="70">
        <v>0</v>
      </c>
      <c r="AQ120" s="70">
        <v>0</v>
      </c>
      <c r="AR120" s="70">
        <v>0</v>
      </c>
      <c r="AS120" s="86">
        <v>0</v>
      </c>
      <c r="AT120" s="70">
        <v>0</v>
      </c>
      <c r="AU120" s="70">
        <v>0</v>
      </c>
      <c r="AV120" s="70">
        <v>0</v>
      </c>
      <c r="AW120" s="86">
        <v>0</v>
      </c>
      <c r="AX120" s="70">
        <v>0</v>
      </c>
      <c r="AY120" s="233"/>
      <c r="AZ120" s="11"/>
      <c r="BA120" s="35">
        <f ca="1">IF(OR(S120="North America",S120="Rocky Mountain"), "Widespread",BC120)</f>
        <v>2031.4520337492572</v>
      </c>
      <c r="BB120" s="11"/>
      <c r="BC120" s="35">
        <f ca="1">IF(BE120&gt;2046, "Abundant",BE120)</f>
        <v>2031.4520337492572</v>
      </c>
      <c r="BD120" s="11"/>
      <c r="BE120" s="81">
        <f ca="1">YEAR($C$13)+(BG120*80)</f>
        <v>2031.4520337492572</v>
      </c>
      <c r="BF120" s="11"/>
      <c r="BG120" s="137">
        <f ca="1">BH120*$BH$14</f>
        <v>0.15565042186571601</v>
      </c>
      <c r="BH120" s="137">
        <f ca="1">(((BJ120+BK120+BM120+BN120)/4)*$BM$11)+(((BP120+BQ120)/2)*$BQ$11)+(((BU120+BV120+BW120)/3)*$BU$11)+(((BY120+BZ120+CA120+CB120+CC120)/5)*$CA$11)</f>
        <v>0.15565042186571601</v>
      </c>
      <c r="BI120" s="11"/>
      <c r="BJ120" s="33">
        <f>AP120/(AM120+AO120)</f>
        <v>0</v>
      </c>
      <c r="BK120" s="33">
        <f>(AN120+AO120)/(AM120+AO120)</f>
        <v>0</v>
      </c>
      <c r="BL120" s="11"/>
      <c r="BM120" s="127">
        <f>CF120/102</f>
        <v>4.0196078431372545E-2</v>
      </c>
      <c r="BN120" s="127">
        <f>C120/2</f>
        <v>0.5</v>
      </c>
      <c r="BO120" s="11"/>
      <c r="BP120" s="127">
        <f>(AK120)/($AW$6)</f>
        <v>3.0303030303030304E-2</v>
      </c>
      <c r="BQ120" s="127">
        <f ca="1">(CH120-$AW$4)/((YEAR($C$13))-$AW$4)</f>
        <v>0</v>
      </c>
      <c r="BR120" s="127">
        <f>(AL120)/($AW$6)</f>
        <v>1.0101010101010102E-2</v>
      </c>
      <c r="BS120" s="11"/>
      <c r="BT120" s="127"/>
      <c r="BU120" s="127">
        <f ca="1">(CG120-$AW$4)/((YEAR($C$13))-$AW$4)</f>
        <v>0.93333333333333335</v>
      </c>
      <c r="BV120" s="127">
        <f>AE120/5</f>
        <v>0.4</v>
      </c>
      <c r="BW120" s="127">
        <f>AF120/5</f>
        <v>0.6</v>
      </c>
      <c r="BX120" s="11"/>
      <c r="BY120" s="148" t="str">
        <f>IF(E120="A",".98",IF(E120="B",".99",IF(E120="C","1.00",IF(E120="D","1.00" ))))</f>
        <v>1.00</v>
      </c>
      <c r="BZ120" s="127">
        <f>(CE120+7)/10</f>
        <v>1</v>
      </c>
      <c r="CA120" s="76" t="str">
        <f>IF(D120="Fern",".97",IF(D120="Grass",".99",IF(D120="Herb",".97",IF(D120="Shrub",".99",IF(D120="Tree","1.00",IF(D120="Vine",".98"))))))</f>
        <v>.97</v>
      </c>
      <c r="CB120" s="149" t="str">
        <f>IF(R120="Bogs Ponds Streams",".96", IF(R120="Coastal Areas",".97",IF(R120="Meadows Dry Open",".96",IF(R120="Forest &amp; Understory",".97",IF(R120="Moist Open",".98",IF(R120="Moist Shady",".96",IF(R120="Sub-Alpine","1.0")))))))</f>
        <v>.96</v>
      </c>
      <c r="CC120" s="76" t="str">
        <f>IF(S120="Local Endemic",".50",IF(S120="Regional Endemic",".70",IF(S120="Cascadia",".90",IF(S120="Rocky Mountain",".95",IF(S120="North America",".99")))))</f>
        <v>.70</v>
      </c>
      <c r="CD120" s="11"/>
      <c r="CE120" s="21">
        <f>IF(W120&gt;3,3,W120)</f>
        <v>3</v>
      </c>
      <c r="CF120" s="21">
        <f>IF(AC120&gt;102,102,AC120)</f>
        <v>4.0999999999999996</v>
      </c>
      <c r="CG120" s="34">
        <f>IF(AI120&lt;$AW$4,$AW$4,AI120)</f>
        <v>2018</v>
      </c>
      <c r="CH120" s="34">
        <f>IF(AJ120&lt;$AW$4,$AW$4,AJ120)</f>
        <v>2004</v>
      </c>
      <c r="CI120" s="11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11"/>
      <c r="DC120" s="11"/>
      <c r="DD120" s="11"/>
      <c r="DE120" s="11"/>
      <c r="DF120" s="11"/>
      <c r="DG120" s="11"/>
      <c r="DH120" s="11"/>
      <c r="DI120" s="11"/>
      <c r="DJ120" s="11"/>
      <c r="DK120" s="12"/>
    </row>
    <row r="121" spans="1:115" s="13" customFormat="1" ht="15" customHeight="1" x14ac:dyDescent="0.3">
      <c r="A121" s="235"/>
      <c r="B121" s="218"/>
      <c r="C121" s="375">
        <v>1</v>
      </c>
      <c r="D121" s="67" t="s">
        <v>2505</v>
      </c>
      <c r="E121" s="67" t="s">
        <v>2502</v>
      </c>
      <c r="F121" s="403" t="str">
        <f ca="1">IF(BC121&lt;2025, "Extinct&lt; 6Yrs?",BA121)</f>
        <v>Widespread</v>
      </c>
      <c r="G121" s="376" t="s">
        <v>525</v>
      </c>
      <c r="H121" s="376" t="s">
        <v>4028</v>
      </c>
      <c r="I121" s="379" t="s">
        <v>139</v>
      </c>
      <c r="J121" s="378" t="s">
        <v>3660</v>
      </c>
      <c r="K121" s="378" t="s">
        <v>2744</v>
      </c>
      <c r="L121" s="63" t="s">
        <v>1811</v>
      </c>
      <c r="M121" s="64" t="s">
        <v>4201</v>
      </c>
      <c r="N121" s="64" t="s">
        <v>5094</v>
      </c>
      <c r="O121" s="64" t="s">
        <v>5993</v>
      </c>
      <c r="P121" s="61" t="s">
        <v>403</v>
      </c>
      <c r="Q121" s="67" t="s">
        <v>2552</v>
      </c>
      <c r="R121" s="61" t="s">
        <v>2499</v>
      </c>
      <c r="S121" s="61" t="s">
        <v>2495</v>
      </c>
      <c r="T121" s="134" t="str">
        <f>IF(R121="Bogs Ponds Streams","20",IF(R121="Coastal Areas","26",IF(R121="Meadows Dry Open","10",IF(R121="Forest &amp; Understory","14",IF(R121="Moist Open","12",IF(R121="Moist Shady","10",IF(R121="Sub-Alpine Slopes","0")))))))</f>
        <v>20</v>
      </c>
      <c r="U121" s="134" t="str">
        <f>IF(R121="Bogs Ponds Streams","52",IF(R121="Coastal Areas","51",IF(R121="Meadows Dry Open","53",IF(R121="Forest &amp; Understory","52",IF(R121="Moist Open","50",IF(R121="Moist Shady","46",IF(R121="Sub-Alpine Slopes","40")))))))</f>
        <v>52</v>
      </c>
      <c r="V121" s="134" t="str">
        <f>IF(R121="Bogs Ponds Streams","84",IF(R121="Coastal Areas","76",IF(R121="Meadows Dry Open","96", IF(R121="Forest &amp; Understory","90", IF(R121="Moist Open","88", IF(R121="Moist Shady","82", IF(R121="Sub-Alpine Slopes","80")))))))</f>
        <v>84</v>
      </c>
      <c r="W121" s="67">
        <v>1</v>
      </c>
      <c r="X121" s="67">
        <v>0</v>
      </c>
      <c r="Y121" s="67">
        <v>3500</v>
      </c>
      <c r="Z121" s="67" t="s">
        <v>2519</v>
      </c>
      <c r="AA121" s="67" t="s">
        <v>2518</v>
      </c>
      <c r="AB121" s="67">
        <v>6.8</v>
      </c>
      <c r="AC121" s="85">
        <f>C121+AK121+(0.1)*AL121</f>
        <v>22.1</v>
      </c>
      <c r="AD121" s="78">
        <v>106</v>
      </c>
      <c r="AE121" s="67">
        <v>5</v>
      </c>
      <c r="AF121" s="67">
        <v>5</v>
      </c>
      <c r="AG121" s="67">
        <v>1900</v>
      </c>
      <c r="AH121" s="78">
        <v>0</v>
      </c>
      <c r="AI121" s="67">
        <f>AJ121</f>
        <v>2004</v>
      </c>
      <c r="AJ121" s="69">
        <v>2004</v>
      </c>
      <c r="AK121" s="69">
        <v>20</v>
      </c>
      <c r="AL121" s="69">
        <v>11</v>
      </c>
      <c r="AM121" s="70">
        <v>5</v>
      </c>
      <c r="AN121" s="70">
        <v>0</v>
      </c>
      <c r="AO121" s="86">
        <v>0</v>
      </c>
      <c r="AP121" s="70">
        <v>0</v>
      </c>
      <c r="AQ121" s="70">
        <v>0</v>
      </c>
      <c r="AR121" s="70">
        <v>0</v>
      </c>
      <c r="AS121" s="86">
        <v>0</v>
      </c>
      <c r="AT121" s="70">
        <v>0</v>
      </c>
      <c r="AU121" s="70">
        <v>0</v>
      </c>
      <c r="AV121" s="70">
        <v>0</v>
      </c>
      <c r="AW121" s="86">
        <v>0</v>
      </c>
      <c r="AX121" s="70">
        <v>0</v>
      </c>
      <c r="AY121" s="233"/>
      <c r="AZ121" s="4"/>
      <c r="BA121" s="35" t="str">
        <f>IF(OR(S121="North America",S121="Rocky Mountain"), "Widespread",BC121)</f>
        <v>Widespread</v>
      </c>
      <c r="BB121" s="4"/>
      <c r="BC121" s="35">
        <f ca="1">IF(BE121&gt;2046, "Abundant",BE121)</f>
        <v>2035.7949090909092</v>
      </c>
      <c r="BD121" s="4"/>
      <c r="BE121" s="81">
        <f ca="1">YEAR($C$13)+(BG121*80)</f>
        <v>2035.7949090909092</v>
      </c>
      <c r="BF121" s="4"/>
      <c r="BG121" s="137">
        <f ca="1">BH121*$BH$14</f>
        <v>0.20993636363636362</v>
      </c>
      <c r="BH121" s="137">
        <f ca="1">(((BJ121+BK121+BM121+BN121)/4)*$BM$11)+(((BP121+BQ121)/2)*$BQ$11)+(((BU121+BV121+BW121)/3)*$BU$11)+(((BY121+BZ121+CA121+CB121+CC121)/5)*$CA$11)</f>
        <v>0.20993636363636362</v>
      </c>
      <c r="BI121" s="4"/>
      <c r="BJ121" s="33">
        <f>AP121/(AM121+AO121)</f>
        <v>0</v>
      </c>
      <c r="BK121" s="33">
        <f>(AN121+AO121)/(AM121+AO121)</f>
        <v>0</v>
      </c>
      <c r="BL121" s="4"/>
      <c r="BM121" s="127">
        <f>CF121/102</f>
        <v>0.21666666666666667</v>
      </c>
      <c r="BN121" s="127">
        <f>C121/2</f>
        <v>0.5</v>
      </c>
      <c r="BO121" s="4"/>
      <c r="BP121" s="127">
        <f>(AK121)/($AW$6)</f>
        <v>0.20202020202020202</v>
      </c>
      <c r="BQ121" s="127">
        <f ca="1">(CH121-$AW$4)/((YEAR($C$13))-$AW$4)</f>
        <v>0</v>
      </c>
      <c r="BR121" s="127">
        <f>(AL121)/($AW$6)</f>
        <v>0.1111111111111111</v>
      </c>
      <c r="BS121" s="4"/>
      <c r="BT121" s="127"/>
      <c r="BU121" s="127">
        <f ca="1">(CG121-$AW$4)/((YEAR($C$13))-$AW$4)</f>
        <v>0</v>
      </c>
      <c r="BV121" s="127">
        <f>AE121/5</f>
        <v>1</v>
      </c>
      <c r="BW121" s="127">
        <f>AF121/5</f>
        <v>1</v>
      </c>
      <c r="BX121" s="4"/>
      <c r="BY121" s="148" t="str">
        <f>IF(E121="A",".98",IF(E121="B",".99",IF(E121="C","1.00",IF(E121="D","1.00" ))))</f>
        <v>.98</v>
      </c>
      <c r="BZ121" s="127">
        <f>(CE121+7)/10</f>
        <v>0.8</v>
      </c>
      <c r="CA121" s="76" t="str">
        <f>IF(D121="Fern",".97",IF(D121="Grass",".99",IF(D121="Herb",".97",IF(D121="Shrub",".99",IF(D121="Tree","1.00",IF(D121="Vine",".98"))))))</f>
        <v>.97</v>
      </c>
      <c r="CB121" s="149" t="str">
        <f>IF(R121="Bogs Ponds Streams",".96", IF(R121="Coastal Areas",".97",IF(R121="Meadows Dry Open",".96",IF(R121="Forest &amp; Understory",".97",IF(R121="Moist Open",".98",IF(R121="Moist Shady",".96",IF(R121="Sub-Alpine","1.0")))))))</f>
        <v>.96</v>
      </c>
      <c r="CC121" s="76" t="str">
        <f>IF(S121="Local Endemic",".50",IF(S121="Regional Endemic",".70",IF(S121="Cascadia",".90",IF(S121="Rocky Mountain",".95",IF(S121="North America",".99")))))</f>
        <v>.99</v>
      </c>
      <c r="CD121" s="4"/>
      <c r="CE121" s="21">
        <f>IF(W121&gt;3,3,W121)</f>
        <v>1</v>
      </c>
      <c r="CF121" s="21">
        <f>IF(AC121&gt;102,102,AC121)</f>
        <v>22.1</v>
      </c>
      <c r="CG121" s="34">
        <f>IF(AI121&lt;$AW$4,$AW$4,AI121)</f>
        <v>2004</v>
      </c>
      <c r="CH121" s="34">
        <f>IF(AJ121&lt;$AW$4,$AW$4,AJ121)</f>
        <v>2004</v>
      </c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12"/>
    </row>
    <row r="122" spans="1:115" s="13" customFormat="1" ht="15" customHeight="1" x14ac:dyDescent="0.3">
      <c r="A122" s="235"/>
      <c r="B122" s="218"/>
      <c r="C122" s="225">
        <v>8</v>
      </c>
      <c r="D122" s="59" t="s">
        <v>1154</v>
      </c>
      <c r="E122" s="59" t="s">
        <v>2501</v>
      </c>
      <c r="F122" s="397" t="str">
        <f ca="1">IF(BC122&lt;2025, "Extinct&lt; 6Yrs?",BA122)</f>
        <v>Widespread</v>
      </c>
      <c r="G122" s="363" t="s">
        <v>525</v>
      </c>
      <c r="H122" s="363" t="s">
        <v>683</v>
      </c>
      <c r="I122" s="366" t="s">
        <v>501</v>
      </c>
      <c r="J122" s="365" t="s">
        <v>3247</v>
      </c>
      <c r="K122" s="365" t="s">
        <v>5</v>
      </c>
      <c r="L122" s="10" t="s">
        <v>1810</v>
      </c>
      <c r="M122" s="8" t="s">
        <v>4202</v>
      </c>
      <c r="N122" s="8" t="s">
        <v>5095</v>
      </c>
      <c r="O122" s="8" t="s">
        <v>5994</v>
      </c>
      <c r="P122" s="9" t="s">
        <v>500</v>
      </c>
      <c r="Q122" s="59" t="s">
        <v>2552</v>
      </c>
      <c r="R122" s="160" t="s">
        <v>2497</v>
      </c>
      <c r="S122" s="9" t="s">
        <v>2495</v>
      </c>
      <c r="T122" s="123" t="str">
        <f>IF(R122="Bogs Ponds Streams","20",IF(R122="Coastal Areas","26",IF(R122="Meadows Dry Open","10",IF(R122="Forest &amp; Understory","14",IF(R122="Moist Open","12",IF(R122="Moist Shady","10",IF(R122="Sub-Alpine Slopes","0")))))))</f>
        <v>12</v>
      </c>
      <c r="U122" s="123" t="str">
        <f>IF(R122="Bogs Ponds Streams","52",IF(R122="Coastal Areas","51",IF(R122="Meadows Dry Open","53",IF(R122="Forest &amp; Understory","52",IF(R122="Moist Open","50",IF(R122="Moist Shady","46",IF(R122="Sub-Alpine Slopes","40")))))))</f>
        <v>50</v>
      </c>
      <c r="V122" s="123" t="str">
        <f>IF(R122="Bogs Ponds Streams","84",IF(R122="Coastal Areas","76",IF(R122="Meadows Dry Open","96", IF(R122="Forest &amp; Understory","90", IF(R122="Moist Open","88", IF(R122="Moist Shady","82", IF(R122="Sub-Alpine Slopes","80")))))))</f>
        <v>88</v>
      </c>
      <c r="W122" s="59">
        <v>20</v>
      </c>
      <c r="X122" s="59">
        <v>0</v>
      </c>
      <c r="Y122" s="59">
        <v>3500</v>
      </c>
      <c r="Z122" s="59" t="s">
        <v>2519</v>
      </c>
      <c r="AA122" s="59" t="s">
        <v>2518</v>
      </c>
      <c r="AB122" s="59">
        <v>6.8</v>
      </c>
      <c r="AC122" s="45">
        <f>C122+AK122+(0.1)*AL122</f>
        <v>19.3</v>
      </c>
      <c r="AD122" s="77">
        <v>101</v>
      </c>
      <c r="AE122" s="59">
        <v>5</v>
      </c>
      <c r="AF122" s="59">
        <v>5</v>
      </c>
      <c r="AG122" s="59">
        <v>1900</v>
      </c>
      <c r="AH122" s="77">
        <v>0</v>
      </c>
      <c r="AI122" s="59">
        <f ca="1">AJ122</f>
        <v>2019</v>
      </c>
      <c r="AJ122" s="18">
        <f ca="1">YEAR(TODAY())</f>
        <v>2019</v>
      </c>
      <c r="AK122" s="18">
        <v>8</v>
      </c>
      <c r="AL122" s="18">
        <v>33</v>
      </c>
      <c r="AM122" s="18">
        <v>1</v>
      </c>
      <c r="AN122" s="18">
        <v>1</v>
      </c>
      <c r="AO122" s="18">
        <v>5</v>
      </c>
      <c r="AP122" s="18">
        <v>1</v>
      </c>
      <c r="AQ122" s="18"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v>0</v>
      </c>
      <c r="AW122" s="18">
        <v>0</v>
      </c>
      <c r="AX122" s="18">
        <v>0</v>
      </c>
      <c r="AY122" s="233"/>
      <c r="AZ122" s="4"/>
      <c r="BA122" s="35" t="str">
        <f>IF(OR(S122="North America",S122="Rocky Mountain"), "Widespread",BC122)</f>
        <v>Widespread</v>
      </c>
      <c r="BB122" s="4"/>
      <c r="BC122" s="35" t="str">
        <f ca="1">IF(BE122&gt;2046, "Abundant",BE122)</f>
        <v>Abundant</v>
      </c>
      <c r="BD122" s="4"/>
      <c r="BE122" s="81">
        <f ca="1">YEAR($C$13)+(BG122*80)</f>
        <v>2104.2210852049911</v>
      </c>
      <c r="BF122" s="4"/>
      <c r="BG122" s="137">
        <f ca="1">BH122*$BH$14</f>
        <v>1.0652635650623885</v>
      </c>
      <c r="BH122" s="137">
        <f ca="1">(((BJ122+BK122+BM122+BN122)/4)*$BM$11)+(((BP122+BQ122)/2)*$BQ$11)+(((BU122+BV122+BW122)/3)*$BU$11)+(((BY122+BZ122+CA122+CB122+CC122)/5)*$CA$11)</f>
        <v>1.0652635650623885</v>
      </c>
      <c r="BI122" s="4"/>
      <c r="BJ122" s="33">
        <f>AP122/(AM122+AO122)</f>
        <v>0.16666666666666666</v>
      </c>
      <c r="BK122" s="33">
        <f>(AN122+AO122)/(AM122+AO122)</f>
        <v>1</v>
      </c>
      <c r="BL122" s="4"/>
      <c r="BM122" s="127">
        <f>CF122/102</f>
        <v>0.1892156862745098</v>
      </c>
      <c r="BN122" s="127">
        <f>C122/2</f>
        <v>4</v>
      </c>
      <c r="BO122" s="4"/>
      <c r="BP122" s="127">
        <f>(AK122)/($AW$6)</f>
        <v>8.0808080808080815E-2</v>
      </c>
      <c r="BQ122" s="127">
        <f ca="1">(CH122-$AW$4)/((YEAR($C$13))-$AW$4)</f>
        <v>1</v>
      </c>
      <c r="BR122" s="127">
        <f>(AL122)/($AW$6)</f>
        <v>0.33333333333333331</v>
      </c>
      <c r="BS122" s="4"/>
      <c r="BT122" s="127"/>
      <c r="BU122" s="127">
        <f ca="1">(CG122-$AW$4)/((YEAR($C$13))-$AW$4)</f>
        <v>1</v>
      </c>
      <c r="BV122" s="127">
        <f>AE122/5</f>
        <v>1</v>
      </c>
      <c r="BW122" s="127">
        <f>AF122/5</f>
        <v>1</v>
      </c>
      <c r="BX122" s="4"/>
      <c r="BY122" s="148" t="str">
        <f>IF(E122="A",".98",IF(E122="B",".99",IF(E122="C","1.00",IF(E122="D","1.00" ))))</f>
        <v>1.00</v>
      </c>
      <c r="BZ122" s="127">
        <f>(CE122+7)/10</f>
        <v>1</v>
      </c>
      <c r="CA122" s="76" t="str">
        <f>IF(D122="Fern",".97",IF(D122="Grass",".99",IF(D122="Herb",".97",IF(D122="Shrub",".99",IF(D122="Tree","1.00",IF(D122="Vine",".98"))))))</f>
        <v>.97</v>
      </c>
      <c r="CB122" s="149" t="str">
        <f>IF(R122="Bogs Ponds Streams",".96", IF(R122="Coastal Areas",".97",IF(R122="Meadows Dry Open",".96",IF(R122="Forest &amp; Understory",".97",IF(R122="Moist Open",".98",IF(R122="Moist Shady",".96",IF(R122="Sub-Alpine","1.0")))))))</f>
        <v>.98</v>
      </c>
      <c r="CC122" s="76" t="str">
        <f>IF(S122="Local Endemic",".50",IF(S122="Regional Endemic",".70",IF(S122="Cascadia",".90",IF(S122="Rocky Mountain",".95",IF(S122="North America",".99")))))</f>
        <v>.99</v>
      </c>
      <c r="CD122" s="4"/>
      <c r="CE122" s="21">
        <f>IF(W122&gt;3,3,W122)</f>
        <v>3</v>
      </c>
      <c r="CF122" s="21">
        <f>IF(AC122&gt;102,102,AC122)</f>
        <v>19.3</v>
      </c>
      <c r="CG122" s="34">
        <f ca="1">IF(AI122&lt;$AW$4,$AW$4,AI122)</f>
        <v>2019</v>
      </c>
      <c r="CH122" s="34">
        <f ca="1">IF(AJ122&lt;$AW$4,$AW$4,AJ122)</f>
        <v>2019</v>
      </c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</row>
    <row r="123" spans="1:115" s="13" customFormat="1" ht="15" customHeight="1" x14ac:dyDescent="0.3">
      <c r="A123" s="235"/>
      <c r="B123" s="218"/>
      <c r="C123" s="225">
        <v>8</v>
      </c>
      <c r="D123" s="59" t="s">
        <v>1154</v>
      </c>
      <c r="E123" s="59" t="s">
        <v>2501</v>
      </c>
      <c r="F123" s="397" t="str">
        <f ca="1">IF(BC123&lt;2025, "Extinct&lt; 6Yrs?",BA123)</f>
        <v>Widespread</v>
      </c>
      <c r="G123" s="363" t="s">
        <v>525</v>
      </c>
      <c r="H123" s="363" t="s">
        <v>686</v>
      </c>
      <c r="I123" s="366" t="s">
        <v>502</v>
      </c>
      <c r="J123" s="365" t="s">
        <v>3248</v>
      </c>
      <c r="K123" s="365" t="s">
        <v>6</v>
      </c>
      <c r="L123" s="10" t="s">
        <v>1809</v>
      </c>
      <c r="M123" s="8" t="s">
        <v>4203</v>
      </c>
      <c r="N123" s="8" t="s">
        <v>5096</v>
      </c>
      <c r="O123" s="8" t="s">
        <v>5995</v>
      </c>
      <c r="P123" s="9" t="s">
        <v>500</v>
      </c>
      <c r="Q123" s="59" t="s">
        <v>2552</v>
      </c>
      <c r="R123" s="160" t="s">
        <v>2497</v>
      </c>
      <c r="S123" s="9" t="s">
        <v>2495</v>
      </c>
      <c r="T123" s="123" t="str">
        <f>IF(R123="Bogs Ponds Streams","20",IF(R123="Coastal Areas","26",IF(R123="Meadows Dry Open","10",IF(R123="Forest &amp; Understory","14",IF(R123="Moist Open","12",IF(R123="Moist Shady","10",IF(R123="Sub-Alpine Slopes","0")))))))</f>
        <v>12</v>
      </c>
      <c r="U123" s="123" t="str">
        <f>IF(R123="Bogs Ponds Streams","52",IF(R123="Coastal Areas","51",IF(R123="Meadows Dry Open","53",IF(R123="Forest &amp; Understory","52",IF(R123="Moist Open","50",IF(R123="Moist Shady","46",IF(R123="Sub-Alpine Slopes","40")))))))</f>
        <v>50</v>
      </c>
      <c r="V123" s="123" t="str">
        <f>IF(R123="Bogs Ponds Streams","84",IF(R123="Coastal Areas","76",IF(R123="Meadows Dry Open","96", IF(R123="Forest &amp; Understory","90", IF(R123="Moist Open","88", IF(R123="Moist Shady","82", IF(R123="Sub-Alpine Slopes","80")))))))</f>
        <v>88</v>
      </c>
      <c r="W123" s="59">
        <v>20</v>
      </c>
      <c r="X123" s="59">
        <v>0</v>
      </c>
      <c r="Y123" s="59">
        <v>3500</v>
      </c>
      <c r="Z123" s="59" t="s">
        <v>2519</v>
      </c>
      <c r="AA123" s="59" t="s">
        <v>2518</v>
      </c>
      <c r="AB123" s="59">
        <v>6.8</v>
      </c>
      <c r="AC123" s="45">
        <f>C123+AK123+(0.1)*AL123</f>
        <v>41.1</v>
      </c>
      <c r="AD123" s="77">
        <v>86</v>
      </c>
      <c r="AE123" s="59">
        <v>5</v>
      </c>
      <c r="AF123" s="59">
        <v>5</v>
      </c>
      <c r="AG123" s="59">
        <v>1900</v>
      </c>
      <c r="AH123" s="77">
        <v>0</v>
      </c>
      <c r="AI123" s="59">
        <f ca="1">AJ123</f>
        <v>2019</v>
      </c>
      <c r="AJ123" s="18">
        <f ca="1">YEAR(TODAY())</f>
        <v>2019</v>
      </c>
      <c r="AK123" s="18">
        <v>32</v>
      </c>
      <c r="AL123" s="18">
        <v>11</v>
      </c>
      <c r="AM123" s="18">
        <v>1</v>
      </c>
      <c r="AN123" s="18">
        <v>1</v>
      </c>
      <c r="AO123" s="25">
        <v>0</v>
      </c>
      <c r="AP123" s="24">
        <v>0</v>
      </c>
      <c r="AQ123" s="18"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v>0</v>
      </c>
      <c r="AW123" s="18">
        <v>0</v>
      </c>
      <c r="AX123" s="18">
        <v>0</v>
      </c>
      <c r="AY123" s="233"/>
      <c r="AZ123" s="4"/>
      <c r="BA123" s="35" t="str">
        <f>IF(OR(S123="North America",S123="Rocky Mountain"), "Widespread",BC123)</f>
        <v>Widespread</v>
      </c>
      <c r="BB123" s="4"/>
      <c r="BC123" s="35" t="str">
        <f ca="1">IF(BE123&gt;2046, "Abundant",BE123)</f>
        <v>Abundant</v>
      </c>
      <c r="BD123" s="4"/>
      <c r="BE123" s="81">
        <f ca="1">YEAR($C$13)+(BG123*80)</f>
        <v>2107.694881996435</v>
      </c>
      <c r="BF123" s="4"/>
      <c r="BG123" s="137">
        <f ca="1">BH123*$BH$14</f>
        <v>1.1086860249554367</v>
      </c>
      <c r="BH123" s="137">
        <f ca="1">(((BJ123+BK123+BM123+BN123)/4)*$BM$11)+(((BP123+BQ123)/2)*$BQ$11)+(((BU123+BV123+BW123)/3)*$BU$11)+(((BY123+BZ123+CA123+CB123+CC123)/5)*$CA$11)</f>
        <v>1.1086860249554367</v>
      </c>
      <c r="BI123" s="4"/>
      <c r="BJ123" s="33">
        <f>AP123/(AM123+AO123)</f>
        <v>0</v>
      </c>
      <c r="BK123" s="33">
        <f>(AN123+AO123)/(AM123+AO123)</f>
        <v>1</v>
      </c>
      <c r="BL123" s="4"/>
      <c r="BM123" s="127">
        <f>CF123/102</f>
        <v>0.40294117647058825</v>
      </c>
      <c r="BN123" s="127">
        <f>C123/2</f>
        <v>4</v>
      </c>
      <c r="BO123" s="4"/>
      <c r="BP123" s="127">
        <f>(AK123)/($AW$6)</f>
        <v>0.32323232323232326</v>
      </c>
      <c r="BQ123" s="127">
        <f ca="1">(CH123-$AW$4)/((YEAR($C$13))-$AW$4)</f>
        <v>1</v>
      </c>
      <c r="BR123" s="127">
        <f>(AL123)/($AW$6)</f>
        <v>0.1111111111111111</v>
      </c>
      <c r="BS123" s="4"/>
      <c r="BT123" s="127"/>
      <c r="BU123" s="127">
        <f ca="1">(CG123-$AW$4)/((YEAR($C$13))-$AW$4)</f>
        <v>1</v>
      </c>
      <c r="BV123" s="127">
        <f>AE123/5</f>
        <v>1</v>
      </c>
      <c r="BW123" s="127">
        <f>AF123/5</f>
        <v>1</v>
      </c>
      <c r="BX123" s="4"/>
      <c r="BY123" s="148" t="str">
        <f>IF(E123="A",".98",IF(E123="B",".99",IF(E123="C","1.00",IF(E123="D","1.00" ))))</f>
        <v>1.00</v>
      </c>
      <c r="BZ123" s="127">
        <f>(CE123+7)/10</f>
        <v>1</v>
      </c>
      <c r="CA123" s="76" t="str">
        <f>IF(D123="Fern",".97",IF(D123="Grass",".99",IF(D123="Herb",".97",IF(D123="Shrub",".99",IF(D123="Tree","1.00",IF(D123="Vine",".98"))))))</f>
        <v>.97</v>
      </c>
      <c r="CB123" s="149" t="str">
        <f>IF(R123="Bogs Ponds Streams",".96", IF(R123="Coastal Areas",".97",IF(R123="Meadows Dry Open",".96",IF(R123="Forest &amp; Understory",".97",IF(R123="Moist Open",".98",IF(R123="Moist Shady",".96",IF(R123="Sub-Alpine","1.0")))))))</f>
        <v>.98</v>
      </c>
      <c r="CC123" s="76" t="str">
        <f>IF(S123="Local Endemic",".50",IF(S123="Regional Endemic",".70",IF(S123="Cascadia",".90",IF(S123="Rocky Mountain",".95",IF(S123="North America",".99")))))</f>
        <v>.99</v>
      </c>
      <c r="CD123" s="4"/>
      <c r="CE123" s="21">
        <f>IF(W123&gt;3,3,W123)</f>
        <v>3</v>
      </c>
      <c r="CF123" s="21">
        <f>IF(AC123&gt;102,102,AC123)</f>
        <v>41.1</v>
      </c>
      <c r="CG123" s="34">
        <f ca="1">IF(AI123&lt;$AW$4,$AW$4,AI123)</f>
        <v>2019</v>
      </c>
      <c r="CH123" s="34">
        <f ca="1">IF(AJ123&lt;$AW$4,$AW$4,AJ123)</f>
        <v>2019</v>
      </c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</row>
    <row r="124" spans="1:115" s="13" customFormat="1" ht="15" customHeight="1" x14ac:dyDescent="0.3">
      <c r="A124" s="235"/>
      <c r="B124" s="218"/>
      <c r="C124" s="225">
        <v>8</v>
      </c>
      <c r="D124" s="59" t="s">
        <v>1154</v>
      </c>
      <c r="E124" s="59" t="s">
        <v>2501</v>
      </c>
      <c r="F124" s="397" t="str">
        <f ca="1">IF(BC124&lt;2025, "Extinct&lt; 6Yrs?",BA124)</f>
        <v>Widespread</v>
      </c>
      <c r="G124" s="363" t="s">
        <v>525</v>
      </c>
      <c r="H124" s="363" t="s">
        <v>683</v>
      </c>
      <c r="I124" s="364" t="s">
        <v>2601</v>
      </c>
      <c r="J124" s="365" t="s">
        <v>3249</v>
      </c>
      <c r="K124" s="365" t="s">
        <v>874</v>
      </c>
      <c r="L124" s="17" t="s">
        <v>1808</v>
      </c>
      <c r="M124" s="8" t="s">
        <v>4204</v>
      </c>
      <c r="N124" s="8" t="s">
        <v>5097</v>
      </c>
      <c r="O124" s="8" t="s">
        <v>5996</v>
      </c>
      <c r="P124" s="9" t="s">
        <v>500</v>
      </c>
      <c r="Q124" s="59" t="s">
        <v>2552</v>
      </c>
      <c r="R124" s="9" t="s">
        <v>2498</v>
      </c>
      <c r="S124" s="9" t="s">
        <v>2495</v>
      </c>
      <c r="T124" s="123" t="str">
        <f>IF(R124="Bogs Ponds Streams","20",IF(R124="Coastal Areas","26",IF(R124="Meadows Dry Open","10",IF(R124="Forest &amp; Understory","14",IF(R124="Moist Open","12",IF(R124="Moist Shady","10",IF(R124="Sub-Alpine Slopes","0")))))))</f>
        <v>10</v>
      </c>
      <c r="U124" s="123" t="str">
        <f>IF(R124="Bogs Ponds Streams","52",IF(R124="Coastal Areas","51",IF(R124="Meadows Dry Open","53",IF(R124="Forest &amp; Understory","52",IF(R124="Moist Open","50",IF(R124="Moist Shady","46",IF(R124="Sub-Alpine Slopes","40")))))))</f>
        <v>46</v>
      </c>
      <c r="V124" s="123" t="str">
        <f>IF(R124="Bogs Ponds Streams","84",IF(R124="Coastal Areas","76",IF(R124="Meadows Dry Open","96", IF(R124="Forest &amp; Understory","90", IF(R124="Moist Open","88", IF(R124="Moist Shady","82", IF(R124="Sub-Alpine Slopes","80")))))))</f>
        <v>82</v>
      </c>
      <c r="W124" s="59">
        <v>20</v>
      </c>
      <c r="X124" s="59">
        <v>0</v>
      </c>
      <c r="Y124" s="59">
        <v>3500</v>
      </c>
      <c r="Z124" s="59" t="s">
        <v>2519</v>
      </c>
      <c r="AA124" s="59" t="s">
        <v>2518</v>
      </c>
      <c r="AB124" s="59">
        <v>6.8</v>
      </c>
      <c r="AC124" s="45">
        <f>C124+AK124+(0.1)*AL124</f>
        <v>18.8</v>
      </c>
      <c r="AD124" s="77">
        <v>49</v>
      </c>
      <c r="AE124" s="59">
        <v>5</v>
      </c>
      <c r="AF124" s="59">
        <v>5</v>
      </c>
      <c r="AG124" s="59">
        <v>1900</v>
      </c>
      <c r="AH124" s="77">
        <v>0</v>
      </c>
      <c r="AI124" s="59">
        <f ca="1">AJ124</f>
        <v>2019</v>
      </c>
      <c r="AJ124" s="18">
        <f ca="1">YEAR(TODAY())</f>
        <v>2019</v>
      </c>
      <c r="AK124" s="18">
        <v>9</v>
      </c>
      <c r="AL124" s="18">
        <v>18</v>
      </c>
      <c r="AM124" s="18">
        <v>1</v>
      </c>
      <c r="AN124" s="18">
        <v>1</v>
      </c>
      <c r="AO124" s="18">
        <v>5</v>
      </c>
      <c r="AP124" s="18">
        <v>1</v>
      </c>
      <c r="AQ124" s="18"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v>0</v>
      </c>
      <c r="AW124" s="18">
        <v>0</v>
      </c>
      <c r="AX124" s="18">
        <v>0</v>
      </c>
      <c r="AY124" s="233"/>
      <c r="AZ124" s="4"/>
      <c r="BA124" s="35" t="str">
        <f>IF(OR(S124="North America",S124="Rocky Mountain"), "Widespread",BC124)</f>
        <v>Widespread</v>
      </c>
      <c r="BB124" s="4"/>
      <c r="BC124" s="35" t="str">
        <f ca="1">IF(BE124&gt;2046, "Abundant",BE124)</f>
        <v>Abundant</v>
      </c>
      <c r="BD124" s="4"/>
      <c r="BE124" s="81">
        <f ca="1">YEAR($C$13)+(BG124*80)</f>
        <v>2104.2770737967912</v>
      </c>
      <c r="BF124" s="4"/>
      <c r="BG124" s="137">
        <f ca="1">BH124*$BH$14</f>
        <v>1.0659634224598931</v>
      </c>
      <c r="BH124" s="137">
        <f ca="1">(((BJ124+BK124+BM124+BN124)/4)*$BM$11)+(((BP124+BQ124)/2)*$BQ$11)+(((BU124+BV124+BW124)/3)*$BU$11)+(((BY124+BZ124+CA124+CB124+CC124)/5)*$CA$11)</f>
        <v>1.0659634224598931</v>
      </c>
      <c r="BI124" s="4"/>
      <c r="BJ124" s="33">
        <f>AP124/(AM124+AO124)</f>
        <v>0.16666666666666666</v>
      </c>
      <c r="BK124" s="33">
        <f>(AN124+AO124)/(AM124+AO124)</f>
        <v>1</v>
      </c>
      <c r="BL124" s="4"/>
      <c r="BM124" s="127">
        <f>CF124/102</f>
        <v>0.18431372549019609</v>
      </c>
      <c r="BN124" s="127">
        <f>C124/2</f>
        <v>4</v>
      </c>
      <c r="BO124" s="4"/>
      <c r="BP124" s="127">
        <f>(AK124)/($AW$6)</f>
        <v>9.0909090909090912E-2</v>
      </c>
      <c r="BQ124" s="127">
        <f ca="1">(CH124-$AW$4)/((YEAR($C$13))-$AW$4)</f>
        <v>1</v>
      </c>
      <c r="BR124" s="127">
        <f>(AL124)/($AW$6)</f>
        <v>0.18181818181818182</v>
      </c>
      <c r="BS124" s="4"/>
      <c r="BT124" s="127"/>
      <c r="BU124" s="127">
        <f ca="1">(CG124-$AW$4)/((YEAR($C$13))-$AW$4)</f>
        <v>1</v>
      </c>
      <c r="BV124" s="127">
        <f>AE124/5</f>
        <v>1</v>
      </c>
      <c r="BW124" s="127">
        <f>AF124/5</f>
        <v>1</v>
      </c>
      <c r="BX124" s="4"/>
      <c r="BY124" s="148" t="str">
        <f>IF(E124="A",".98",IF(E124="B",".99",IF(E124="C","1.00",IF(E124="D","1.00" ))))</f>
        <v>1.00</v>
      </c>
      <c r="BZ124" s="127">
        <f>(CE124+7)/10</f>
        <v>1</v>
      </c>
      <c r="CA124" s="76" t="str">
        <f>IF(D124="Fern",".97",IF(D124="Grass",".99",IF(D124="Herb",".97",IF(D124="Shrub",".99",IF(D124="Tree","1.00",IF(D124="Vine",".98"))))))</f>
        <v>.97</v>
      </c>
      <c r="CB124" s="149" t="str">
        <f>IF(R124="Bogs Ponds Streams",".96", IF(R124="Coastal Areas",".97",IF(R124="Meadows Dry Open",".96",IF(R124="Forest &amp; Understory",".97",IF(R124="Moist Open",".98",IF(R124="Moist Shady",".96",IF(R124="Sub-Alpine","1.0")))))))</f>
        <v>.96</v>
      </c>
      <c r="CC124" s="76" t="str">
        <f>IF(S124="Local Endemic",".50",IF(S124="Regional Endemic",".70",IF(S124="Cascadia",".90",IF(S124="Rocky Mountain",".95",IF(S124="North America",".99")))))</f>
        <v>.99</v>
      </c>
      <c r="CD124" s="4"/>
      <c r="CE124" s="21">
        <f>IF(W124&gt;3,3,W124)</f>
        <v>3</v>
      </c>
      <c r="CF124" s="21">
        <f>IF(AC124&gt;102,102,AC124)</f>
        <v>18.8</v>
      </c>
      <c r="CG124" s="34">
        <f ca="1">IF(AI124&lt;$AW$4,$AW$4,AI124)</f>
        <v>2019</v>
      </c>
      <c r="CH124" s="34">
        <f ca="1">IF(AJ124&lt;$AW$4,$AW$4,AJ124)</f>
        <v>2019</v>
      </c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</row>
    <row r="125" spans="1:115" s="13" customFormat="1" ht="15" customHeight="1" x14ac:dyDescent="0.3">
      <c r="A125" s="235"/>
      <c r="B125" s="218"/>
      <c r="C125" s="226">
        <v>2</v>
      </c>
      <c r="D125" s="104" t="s">
        <v>2505</v>
      </c>
      <c r="E125" s="104" t="s">
        <v>2501</v>
      </c>
      <c r="F125" s="400" t="str">
        <f ca="1">IF(BC125&lt;2025, "Extinct&lt; 6Yrs?",BA125)</f>
        <v>Abundant</v>
      </c>
      <c r="G125" s="369" t="s">
        <v>525</v>
      </c>
      <c r="H125" s="369" t="s">
        <v>4028</v>
      </c>
      <c r="I125" s="372" t="s">
        <v>1342</v>
      </c>
      <c r="J125" s="371" t="s">
        <v>3832</v>
      </c>
      <c r="K125" s="371" t="s">
        <v>1341</v>
      </c>
      <c r="L125" s="106" t="s">
        <v>1807</v>
      </c>
      <c r="M125" s="111" t="s">
        <v>4205</v>
      </c>
      <c r="N125" s="111" t="s">
        <v>5098</v>
      </c>
      <c r="O125" s="111" t="s">
        <v>5997</v>
      </c>
      <c r="P125" s="105" t="s">
        <v>361</v>
      </c>
      <c r="Q125" s="104" t="s">
        <v>2552</v>
      </c>
      <c r="R125" s="105" t="s">
        <v>2500</v>
      </c>
      <c r="S125" s="114" t="s">
        <v>2309</v>
      </c>
      <c r="T125" s="133" t="str">
        <f>IF(R125="Bogs Ponds Streams","20",IF(R125="Coastal Areas","26",IF(R125="Meadows Dry Open","10",IF(R125="Forest &amp; Understory","14",IF(R125="Moist Open","12",IF(R125="Moist Shady","10",IF(R125="Sub-Alpine Slopes","0")))))))</f>
        <v>10</v>
      </c>
      <c r="U125" s="133" t="str">
        <f>IF(R125="Bogs Ponds Streams","52",IF(R125="Coastal Areas","51",IF(R125="Meadows Dry Open","53",IF(R125="Forest &amp; Understory","52",IF(R125="Moist Open","50",IF(R125="Moist Shady","46",IF(R125="Sub-Alpine Slopes","40")))))))</f>
        <v>53</v>
      </c>
      <c r="V125" s="133" t="str">
        <f>IF(R125="Bogs Ponds Streams","84",IF(R125="Coastal Areas","76",IF(R125="Meadows Dry Open","96", IF(R125="Forest &amp; Understory","90", IF(R125="Moist Open","88", IF(R125="Moist Shady","82", IF(R125="Sub-Alpine Slopes","80")))))))</f>
        <v>96</v>
      </c>
      <c r="W125" s="104">
        <v>20</v>
      </c>
      <c r="X125" s="104">
        <v>0</v>
      </c>
      <c r="Y125" s="104">
        <v>3500</v>
      </c>
      <c r="Z125" s="104" t="s">
        <v>2519</v>
      </c>
      <c r="AA125" s="104" t="s">
        <v>2518</v>
      </c>
      <c r="AB125" s="104">
        <v>6.8</v>
      </c>
      <c r="AC125" s="107">
        <f>C125+AK125+(0.1)*AL125</f>
        <v>14</v>
      </c>
      <c r="AD125" s="113">
        <v>20</v>
      </c>
      <c r="AE125" s="104">
        <v>5</v>
      </c>
      <c r="AF125" s="104">
        <v>5</v>
      </c>
      <c r="AG125" s="104">
        <v>1900</v>
      </c>
      <c r="AH125" s="113">
        <v>0</v>
      </c>
      <c r="AI125" s="104">
        <f ca="1">AJ125</f>
        <v>2019</v>
      </c>
      <c r="AJ125" s="108">
        <f ca="1">YEAR(TODAY())</f>
        <v>2019</v>
      </c>
      <c r="AK125" s="108">
        <v>12</v>
      </c>
      <c r="AL125" s="108">
        <v>0</v>
      </c>
      <c r="AM125" s="108">
        <v>1</v>
      </c>
      <c r="AN125" s="108">
        <v>1</v>
      </c>
      <c r="AO125" s="108">
        <v>5</v>
      </c>
      <c r="AP125" s="108">
        <v>1</v>
      </c>
      <c r="AQ125" s="108">
        <v>0</v>
      </c>
      <c r="AR125" s="108">
        <v>0</v>
      </c>
      <c r="AS125" s="108">
        <v>0</v>
      </c>
      <c r="AT125" s="108">
        <v>0</v>
      </c>
      <c r="AU125" s="108">
        <v>0</v>
      </c>
      <c r="AV125" s="108">
        <v>0</v>
      </c>
      <c r="AW125" s="108">
        <v>0</v>
      </c>
      <c r="AX125" s="108">
        <v>0</v>
      </c>
      <c r="AY125" s="233"/>
      <c r="AZ125" s="4"/>
      <c r="BA125" s="35" t="str">
        <f ca="1">IF(OR(S125="North America",S125="Rocky Mountain"), "Widespread",BC125)</f>
        <v>Abundant</v>
      </c>
      <c r="BB125" s="4"/>
      <c r="BC125" s="35" t="str">
        <f ca="1">IF(BE125&gt;2046, "Abundant",BE125)</f>
        <v>Abundant</v>
      </c>
      <c r="BD125" s="4"/>
      <c r="BE125" s="81">
        <f ca="1">YEAR($C$13)+(BG125*80)</f>
        <v>2067.9832042780749</v>
      </c>
      <c r="BF125" s="4"/>
      <c r="BG125" s="137">
        <f ca="1">BH125*$BH$14</f>
        <v>0.61229005347593568</v>
      </c>
      <c r="BH125" s="137">
        <f ca="1">(((BJ125+BK125+BM125+BN125)/4)*$BM$11)+(((BP125+BQ125)/2)*$BQ$11)+(((BU125+BV125+BW125)/3)*$BU$11)+(((BY125+BZ125+CA125+CB125+CC125)/5)*$CA$11)</f>
        <v>0.61229005347593568</v>
      </c>
      <c r="BI125" s="4"/>
      <c r="BJ125" s="33">
        <f>AP125/(AM125+AO125)</f>
        <v>0.16666666666666666</v>
      </c>
      <c r="BK125" s="33">
        <f>(AN125+AO125)/(AM125+AO125)</f>
        <v>1</v>
      </c>
      <c r="BL125" s="4"/>
      <c r="BM125" s="127">
        <f>CF125/102</f>
        <v>0.13725490196078433</v>
      </c>
      <c r="BN125" s="127">
        <f>C125/2</f>
        <v>1</v>
      </c>
      <c r="BO125" s="4"/>
      <c r="BP125" s="127">
        <f>(AK125)/($AW$6)</f>
        <v>0.12121212121212122</v>
      </c>
      <c r="BQ125" s="127">
        <f ca="1">(CH125-$AW$4)/((YEAR($C$13))-$AW$4)</f>
        <v>1</v>
      </c>
      <c r="BR125" s="127">
        <f>(AL125)/($AW$6)</f>
        <v>0</v>
      </c>
      <c r="BS125" s="4"/>
      <c r="BT125" s="127"/>
      <c r="BU125" s="127">
        <f ca="1">(CG125-$AW$4)/((YEAR($C$13))-$AW$4)</f>
        <v>1</v>
      </c>
      <c r="BV125" s="127">
        <f>AE125/5</f>
        <v>1</v>
      </c>
      <c r="BW125" s="127">
        <f>AF125/5</f>
        <v>1</v>
      </c>
      <c r="BX125" s="4"/>
      <c r="BY125" s="148" t="str">
        <f>IF(E125="A",".98",IF(E125="B",".99",IF(E125="C","1.00",IF(E125="D","1.00" ))))</f>
        <v>1.00</v>
      </c>
      <c r="BZ125" s="127">
        <f>(CE125+7)/10</f>
        <v>1</v>
      </c>
      <c r="CA125" s="76" t="str">
        <f>IF(D125="Fern",".97",IF(D125="Grass",".99",IF(D125="Herb",".97",IF(D125="Shrub",".99",IF(D125="Tree","1.00",IF(D125="Vine",".98"))))))</f>
        <v>.97</v>
      </c>
      <c r="CB125" s="149" t="str">
        <f>IF(R125="Bogs Ponds Streams",".96", IF(R125="Coastal Areas",".97",IF(R125="Meadows Dry Open",".96",IF(R125="Forest &amp; Understory",".97",IF(R125="Moist Open",".98",IF(R125="Moist Shady",".96",IF(R125="Sub-Alpine","1.0")))))))</f>
        <v>.96</v>
      </c>
      <c r="CC125" s="76" t="str">
        <f>IF(S125="Local Endemic",".50",IF(S125="Regional Endemic",".70",IF(S125="Cascadia",".90",IF(S125="Rocky Mountain",".95",IF(S125="North America",".99")))))</f>
        <v>.70</v>
      </c>
      <c r="CD125" s="4"/>
      <c r="CE125" s="21">
        <f>IF(W125&gt;3,3,W125)</f>
        <v>3</v>
      </c>
      <c r="CF125" s="21">
        <f>IF(AC125&gt;102,102,AC125)</f>
        <v>14</v>
      </c>
      <c r="CG125" s="34">
        <f ca="1">IF(AI125&lt;$AW$4,$AW$4,AI125)</f>
        <v>2019</v>
      </c>
      <c r="CH125" s="34">
        <f ca="1">IF(AJ125&lt;$AW$4,$AW$4,AJ125)</f>
        <v>2019</v>
      </c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</row>
    <row r="126" spans="1:115" s="13" customFormat="1" ht="15" customHeight="1" x14ac:dyDescent="0.3">
      <c r="A126" s="235"/>
      <c r="B126" s="218"/>
      <c r="C126" s="225">
        <v>8</v>
      </c>
      <c r="D126" s="59" t="s">
        <v>2505</v>
      </c>
      <c r="E126" s="59" t="s">
        <v>2501</v>
      </c>
      <c r="F126" s="397" t="str">
        <f ca="1">IF(BC126&lt;2025, "Extinct&lt; 6Yrs?",BA126)</f>
        <v>Abundant</v>
      </c>
      <c r="G126" s="363" t="s">
        <v>525</v>
      </c>
      <c r="H126" s="363" t="s">
        <v>685</v>
      </c>
      <c r="I126" s="366" t="s">
        <v>364</v>
      </c>
      <c r="J126" s="365" t="s">
        <v>3250</v>
      </c>
      <c r="K126" s="365" t="s">
        <v>875</v>
      </c>
      <c r="L126" s="10" t="s">
        <v>1806</v>
      </c>
      <c r="M126" s="8" t="s">
        <v>4206</v>
      </c>
      <c r="N126" s="8" t="s">
        <v>5099</v>
      </c>
      <c r="O126" s="8" t="s">
        <v>5998</v>
      </c>
      <c r="P126" s="9" t="s">
        <v>361</v>
      </c>
      <c r="Q126" s="59" t="s">
        <v>2552</v>
      </c>
      <c r="R126" s="9" t="s">
        <v>2500</v>
      </c>
      <c r="S126" s="17" t="s">
        <v>2459</v>
      </c>
      <c r="T126" s="123" t="str">
        <f>IF(R126="Bogs Ponds Streams","20",IF(R126="Coastal Areas","26",IF(R126="Meadows Dry Open","10",IF(R126="Forest &amp; Understory","14",IF(R126="Moist Open","12",IF(R126="Moist Shady","10",IF(R126="Sub-Alpine Slopes","0")))))))</f>
        <v>10</v>
      </c>
      <c r="U126" s="123" t="str">
        <f>IF(R126="Bogs Ponds Streams","52",IF(R126="Coastal Areas","51",IF(R126="Meadows Dry Open","53",IF(R126="Forest &amp; Understory","52",IF(R126="Moist Open","50",IF(R126="Moist Shady","46",IF(R126="Sub-Alpine Slopes","40")))))))</f>
        <v>53</v>
      </c>
      <c r="V126" s="123" t="str">
        <f>IF(R126="Bogs Ponds Streams","84",IF(R126="Coastal Areas","76",IF(R126="Meadows Dry Open","96", IF(R126="Forest &amp; Understory","90", IF(R126="Moist Open","88", IF(R126="Moist Shady","82", IF(R126="Sub-Alpine Slopes","80")))))))</f>
        <v>96</v>
      </c>
      <c r="W126" s="59">
        <v>20</v>
      </c>
      <c r="X126" s="59">
        <v>0</v>
      </c>
      <c r="Y126" s="59">
        <v>3500</v>
      </c>
      <c r="Z126" s="59" t="s">
        <v>2519</v>
      </c>
      <c r="AA126" s="59" t="s">
        <v>2518</v>
      </c>
      <c r="AB126" s="59">
        <v>6.8</v>
      </c>
      <c r="AC126" s="45">
        <f>C126+AK126+(0.1)*AL126</f>
        <v>50.1</v>
      </c>
      <c r="AD126" s="77">
        <v>67</v>
      </c>
      <c r="AE126" s="59">
        <v>5</v>
      </c>
      <c r="AF126" s="59">
        <v>5</v>
      </c>
      <c r="AG126" s="59">
        <v>1900</v>
      </c>
      <c r="AH126" s="77">
        <v>0</v>
      </c>
      <c r="AI126" s="59">
        <f ca="1">AJ126</f>
        <v>2019</v>
      </c>
      <c r="AJ126" s="18">
        <f ca="1">YEAR(TODAY())</f>
        <v>2019</v>
      </c>
      <c r="AK126" s="18">
        <v>42</v>
      </c>
      <c r="AL126" s="18">
        <v>1</v>
      </c>
      <c r="AM126" s="18">
        <v>1</v>
      </c>
      <c r="AN126" s="18">
        <v>1</v>
      </c>
      <c r="AO126" s="18">
        <v>5</v>
      </c>
      <c r="AP126" s="18">
        <v>1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233"/>
      <c r="AZ126" s="4"/>
      <c r="BA126" s="35" t="str">
        <f ca="1">IF(OR(S126="North America",S126="Rocky Mountain"), "Widespread",BC126)</f>
        <v>Abundant</v>
      </c>
      <c r="BB126" s="4"/>
      <c r="BC126" s="35" t="str">
        <f ca="1">IF(BE126&gt;2046, "Abundant",BE126)</f>
        <v>Abundant</v>
      </c>
      <c r="BD126" s="4"/>
      <c r="BE126" s="81">
        <f ca="1">YEAR($C$13)+(BG126*80)</f>
        <v>2111.9306267379679</v>
      </c>
      <c r="BF126" s="4"/>
      <c r="BG126" s="137">
        <f ca="1">BH126*$BH$14</f>
        <v>1.1616328342245992</v>
      </c>
      <c r="BH126" s="137">
        <f ca="1">(((BJ126+BK126+BM126+BN126)/4)*$BM$11)+(((BP126+BQ126)/2)*$BQ$11)+(((BU126+BV126+BW126)/3)*$BU$11)+(((BY126+BZ126+CA126+CB126+CC126)/5)*$CA$11)</f>
        <v>1.1616328342245992</v>
      </c>
      <c r="BI126" s="4"/>
      <c r="BJ126" s="33">
        <f>AP126/(AM126+AO126)</f>
        <v>0.16666666666666666</v>
      </c>
      <c r="BK126" s="33">
        <f>(AN126+AO126)/(AM126+AO126)</f>
        <v>1</v>
      </c>
      <c r="BL126" s="4"/>
      <c r="BM126" s="127">
        <f>CF126/102</f>
        <v>0.49117647058823533</v>
      </c>
      <c r="BN126" s="127">
        <f>C126/2</f>
        <v>4</v>
      </c>
      <c r="BO126" s="4"/>
      <c r="BP126" s="127">
        <f>(AK126)/($AW$6)</f>
        <v>0.42424242424242425</v>
      </c>
      <c r="BQ126" s="127">
        <f ca="1">(CH126-$AW$4)/((YEAR($C$13))-$AW$4)</f>
        <v>1</v>
      </c>
      <c r="BR126" s="127">
        <f>(AL126)/($AW$6)</f>
        <v>1.0101010101010102E-2</v>
      </c>
      <c r="BS126" s="4"/>
      <c r="BT126" s="127"/>
      <c r="BU126" s="127">
        <f ca="1">(CG126-$AW$4)/((YEAR($C$13))-$AW$4)</f>
        <v>1</v>
      </c>
      <c r="BV126" s="127">
        <f>AE126/5</f>
        <v>1</v>
      </c>
      <c r="BW126" s="127">
        <f>AF126/5</f>
        <v>1</v>
      </c>
      <c r="BX126" s="4"/>
      <c r="BY126" s="148" t="str">
        <f>IF(E126="A",".98",IF(E126="B",".99",IF(E126="C","1.00",IF(E126="D","1.00" ))))</f>
        <v>1.00</v>
      </c>
      <c r="BZ126" s="127">
        <f>(CE126+7)/10</f>
        <v>1</v>
      </c>
      <c r="CA126" s="76" t="str">
        <f>IF(D126="Fern",".97",IF(D126="Grass",".99",IF(D126="Herb",".97",IF(D126="Shrub",".99",IF(D126="Tree","1.00",IF(D126="Vine",".98"))))))</f>
        <v>.97</v>
      </c>
      <c r="CB126" s="149" t="str">
        <f>IF(R126="Bogs Ponds Streams",".96", IF(R126="Coastal Areas",".97",IF(R126="Meadows Dry Open",".96",IF(R126="Forest &amp; Understory",".97",IF(R126="Moist Open",".98",IF(R126="Moist Shady",".96",IF(R126="Sub-Alpine","1.0")))))))</f>
        <v>.96</v>
      </c>
      <c r="CC126" s="76" t="str">
        <f>IF(S126="Local Endemic",".50",IF(S126="Regional Endemic",".70",IF(S126="Cascadia",".90",IF(S126="Rocky Mountain",".95",IF(S126="North America",".99")))))</f>
        <v>.90</v>
      </c>
      <c r="CD126" s="4"/>
      <c r="CE126" s="21">
        <f>IF(W126&gt;3,3,W126)</f>
        <v>3</v>
      </c>
      <c r="CF126" s="21">
        <f>IF(AC126&gt;102,102,AC126)</f>
        <v>50.1</v>
      </c>
      <c r="CG126" s="34">
        <f ca="1">IF(AI126&lt;$AW$4,$AW$4,AI126)</f>
        <v>2019</v>
      </c>
      <c r="CH126" s="34">
        <f ca="1">IF(AJ126&lt;$AW$4,$AW$4,AJ126)</f>
        <v>2019</v>
      </c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12"/>
    </row>
    <row r="127" spans="1:115" s="13" customFormat="1" ht="15" customHeight="1" x14ac:dyDescent="0.3">
      <c r="A127" s="235"/>
      <c r="B127" s="218"/>
      <c r="C127" s="226">
        <v>2</v>
      </c>
      <c r="D127" s="104" t="s">
        <v>2505</v>
      </c>
      <c r="E127" s="104" t="s">
        <v>2501</v>
      </c>
      <c r="F127" s="400" t="str">
        <f ca="1">IF(BC127&lt;2025, "Extinct&lt; 6Yrs?",BA127)</f>
        <v>Widespread</v>
      </c>
      <c r="G127" s="369" t="s">
        <v>525</v>
      </c>
      <c r="H127" s="369" t="s">
        <v>4028</v>
      </c>
      <c r="I127" s="372" t="s">
        <v>420</v>
      </c>
      <c r="J127" s="371" t="s">
        <v>3831</v>
      </c>
      <c r="K127" s="371" t="s">
        <v>876</v>
      </c>
      <c r="L127" s="106" t="s">
        <v>2125</v>
      </c>
      <c r="M127" s="111" t="s">
        <v>4207</v>
      </c>
      <c r="N127" s="111" t="s">
        <v>5100</v>
      </c>
      <c r="O127" s="111" t="s">
        <v>5999</v>
      </c>
      <c r="P127" s="105" t="s">
        <v>4045</v>
      </c>
      <c r="Q127" s="104" t="s">
        <v>2552</v>
      </c>
      <c r="R127" s="105" t="s">
        <v>2499</v>
      </c>
      <c r="S127" s="114" t="s">
        <v>2495</v>
      </c>
      <c r="T127" s="133" t="str">
        <f>IF(R127="Bogs Ponds Streams","20",IF(R127="Coastal Areas","26",IF(R127="Meadows Dry Open","10",IF(R127="Forest &amp; Understory","14",IF(R127="Moist Open","12",IF(R127="Moist Shady","10",IF(R127="Sub-Alpine Slopes","0")))))))</f>
        <v>20</v>
      </c>
      <c r="U127" s="133" t="str">
        <f>IF(R127="Bogs Ponds Streams","52",IF(R127="Coastal Areas","51",IF(R127="Meadows Dry Open","53",IF(R127="Forest &amp; Understory","52",IF(R127="Moist Open","50",IF(R127="Moist Shady","46",IF(R127="Sub-Alpine Slopes","40")))))))</f>
        <v>52</v>
      </c>
      <c r="V127" s="133" t="str">
        <f>IF(R127="Bogs Ponds Streams","84",IF(R127="Coastal Areas","76",IF(R127="Meadows Dry Open","96", IF(R127="Forest &amp; Understory","90", IF(R127="Moist Open","88", IF(R127="Moist Shady","82", IF(R127="Sub-Alpine Slopes","80")))))))</f>
        <v>84</v>
      </c>
      <c r="W127" s="104">
        <v>20</v>
      </c>
      <c r="X127" s="104">
        <v>0</v>
      </c>
      <c r="Y127" s="104">
        <v>3500</v>
      </c>
      <c r="Z127" s="104" t="s">
        <v>2519</v>
      </c>
      <c r="AA127" s="104" t="s">
        <v>2518</v>
      </c>
      <c r="AB127" s="104">
        <v>6.8</v>
      </c>
      <c r="AC127" s="107">
        <f>C127+AK127+(0.1)*AL127</f>
        <v>35.299999999999997</v>
      </c>
      <c r="AD127" s="113">
        <v>41</v>
      </c>
      <c r="AE127" s="104">
        <v>5</v>
      </c>
      <c r="AF127" s="104">
        <v>5</v>
      </c>
      <c r="AG127" s="104">
        <v>1900</v>
      </c>
      <c r="AH127" s="113">
        <v>0</v>
      </c>
      <c r="AI127" s="104">
        <f>AJ127</f>
        <v>2006</v>
      </c>
      <c r="AJ127" s="108">
        <v>2006</v>
      </c>
      <c r="AK127" s="108">
        <v>33</v>
      </c>
      <c r="AL127" s="108">
        <v>3</v>
      </c>
      <c r="AM127" s="109">
        <v>5</v>
      </c>
      <c r="AN127" s="109">
        <v>1</v>
      </c>
      <c r="AO127" s="110">
        <v>0</v>
      </c>
      <c r="AP127" s="109">
        <v>0</v>
      </c>
      <c r="AQ127" s="109">
        <v>0</v>
      </c>
      <c r="AR127" s="109">
        <v>0</v>
      </c>
      <c r="AS127" s="110">
        <v>0</v>
      </c>
      <c r="AT127" s="109">
        <v>0</v>
      </c>
      <c r="AU127" s="109">
        <v>0</v>
      </c>
      <c r="AV127" s="109">
        <v>0</v>
      </c>
      <c r="AW127" s="110">
        <v>0</v>
      </c>
      <c r="AX127" s="109">
        <v>0</v>
      </c>
      <c r="AY127" s="233"/>
      <c r="AZ127" s="4"/>
      <c r="BA127" s="35" t="str">
        <f>IF(OR(S127="North America",S127="Rocky Mountain"), "Widespread",BC127)</f>
        <v>Widespread</v>
      </c>
      <c r="BB127" s="4"/>
      <c r="BC127" s="35" t="str">
        <f ca="1">IF(BE127&gt;2046, "Abundant",BE127)</f>
        <v>Abundant</v>
      </c>
      <c r="BD127" s="4"/>
      <c r="BE127" s="81">
        <f ca="1">YEAR($C$13)+(BG127*80)</f>
        <v>2049.2784522875818</v>
      </c>
      <c r="BF127" s="4"/>
      <c r="BG127" s="137">
        <f ca="1">BH127*$BH$14</f>
        <v>0.37848065359477118</v>
      </c>
      <c r="BH127" s="137">
        <f ca="1">(((BJ127+BK127+BM127+BN127)/4)*$BM$11)+(((BP127+BQ127)/2)*$BQ$11)+(((BU127+BV127+BW127)/3)*$BU$11)+(((BY127+BZ127+CA127+CB127+CC127)/5)*$CA$11)</f>
        <v>0.37848065359477118</v>
      </c>
      <c r="BI127" s="4"/>
      <c r="BJ127" s="33">
        <f>AP127/(AM127+AO127)</f>
        <v>0</v>
      </c>
      <c r="BK127" s="33">
        <f>(AN127+AO127)/(AM127+AO127)</f>
        <v>0.2</v>
      </c>
      <c r="BL127" s="4"/>
      <c r="BM127" s="127">
        <f>CF127/102</f>
        <v>0.34607843137254901</v>
      </c>
      <c r="BN127" s="127">
        <f>C127/2</f>
        <v>1</v>
      </c>
      <c r="BO127" s="4"/>
      <c r="BP127" s="127">
        <f>(AK127)/($AW$6)</f>
        <v>0.33333333333333331</v>
      </c>
      <c r="BQ127" s="127">
        <f ca="1">(CH127-$AW$4)/((YEAR($C$13))-$AW$4)</f>
        <v>0.13333333333333333</v>
      </c>
      <c r="BR127" s="127">
        <f>(AL127)/($AW$6)</f>
        <v>3.0303030303030304E-2</v>
      </c>
      <c r="BS127" s="4"/>
      <c r="BT127" s="127"/>
      <c r="BU127" s="127">
        <f ca="1">(CG127-$AW$4)/((YEAR($C$13))-$AW$4)</f>
        <v>0.13333333333333333</v>
      </c>
      <c r="BV127" s="127">
        <f>AE127/5</f>
        <v>1</v>
      </c>
      <c r="BW127" s="127">
        <f>AF127/5</f>
        <v>1</v>
      </c>
      <c r="BX127" s="4"/>
      <c r="BY127" s="148" t="str">
        <f>IF(E127="A",".98",IF(E127="B",".99",IF(E127="C","1.00",IF(E127="D","1.00" ))))</f>
        <v>1.00</v>
      </c>
      <c r="BZ127" s="127">
        <f>(CE127+7)/10</f>
        <v>1</v>
      </c>
      <c r="CA127" s="76" t="str">
        <f>IF(D127="Fern",".97",IF(D127="Grass",".99",IF(D127="Herb",".97",IF(D127="Shrub",".99",IF(D127="Tree","1.00",IF(D127="Vine",".98"))))))</f>
        <v>.97</v>
      </c>
      <c r="CB127" s="149" t="str">
        <f>IF(R127="Bogs Ponds Streams",".96", IF(R127="Coastal Areas",".97",IF(R127="Meadows Dry Open",".96",IF(R127="Forest &amp; Understory",".97",IF(R127="Moist Open",".98",IF(R127="Moist Shady",".96",IF(R127="Sub-Alpine","1.0")))))))</f>
        <v>.96</v>
      </c>
      <c r="CC127" s="76" t="str">
        <f>IF(S127="Local Endemic",".50",IF(S127="Regional Endemic",".70",IF(S127="Cascadia",".90",IF(S127="Rocky Mountain",".95",IF(S127="North America",".99")))))</f>
        <v>.99</v>
      </c>
      <c r="CD127" s="4"/>
      <c r="CE127" s="21">
        <f>IF(W127&gt;3,3,W127)</f>
        <v>3</v>
      </c>
      <c r="CF127" s="21">
        <f>IF(AC127&gt;102,102,AC127)</f>
        <v>35.299999999999997</v>
      </c>
      <c r="CG127" s="34">
        <f>IF(AI127&lt;$AW$4,$AW$4,AI127)</f>
        <v>2006</v>
      </c>
      <c r="CH127" s="34">
        <f>IF(AJ127&lt;$AW$4,$AW$4,AJ127)</f>
        <v>2006</v>
      </c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12"/>
    </row>
    <row r="128" spans="1:115" s="13" customFormat="1" ht="15" customHeight="1" x14ac:dyDescent="0.3">
      <c r="A128" s="235"/>
      <c r="B128" s="218"/>
      <c r="C128" s="375">
        <v>1</v>
      </c>
      <c r="D128" s="67" t="s">
        <v>2505</v>
      </c>
      <c r="E128" s="67" t="s">
        <v>2501</v>
      </c>
      <c r="F128" s="403">
        <f ca="1">IF(BC128&lt;2025, "Extinct&lt; 6Yrs?",BA128)</f>
        <v>2039.3108049910873</v>
      </c>
      <c r="G128" s="376" t="s">
        <v>525</v>
      </c>
      <c r="H128" s="376" t="s">
        <v>4028</v>
      </c>
      <c r="I128" s="380" t="s">
        <v>442</v>
      </c>
      <c r="J128" s="378" t="s">
        <v>3659</v>
      </c>
      <c r="K128" s="378" t="s">
        <v>877</v>
      </c>
      <c r="L128" s="63" t="s">
        <v>1805</v>
      </c>
      <c r="M128" s="64" t="s">
        <v>4208</v>
      </c>
      <c r="N128" s="64" t="s">
        <v>5101</v>
      </c>
      <c r="O128" s="64" t="s">
        <v>6000</v>
      </c>
      <c r="P128" s="61" t="s">
        <v>749</v>
      </c>
      <c r="Q128" s="67" t="s">
        <v>2552</v>
      </c>
      <c r="R128" s="61" t="s">
        <v>2499</v>
      </c>
      <c r="S128" s="61" t="s">
        <v>2459</v>
      </c>
      <c r="T128" s="134" t="str">
        <f>IF(R128="Bogs Ponds Streams","20",IF(R128="Coastal Areas","26",IF(R128="Meadows Dry Open","10",IF(R128="Forest &amp; Understory","14",IF(R128="Moist Open","12",IF(R128="Moist Shady","10",IF(R128="Sub-Alpine Slopes","0")))))))</f>
        <v>20</v>
      </c>
      <c r="U128" s="134" t="str">
        <f>IF(R128="Bogs Ponds Streams","52",IF(R128="Coastal Areas","51",IF(R128="Meadows Dry Open","53",IF(R128="Forest &amp; Understory","52",IF(R128="Moist Open","50",IF(R128="Moist Shady","46",IF(R128="Sub-Alpine Slopes","40")))))))</f>
        <v>52</v>
      </c>
      <c r="V128" s="134" t="str">
        <f>IF(R128="Bogs Ponds Streams","84",IF(R128="Coastal Areas","76",IF(R128="Meadows Dry Open","96", IF(R128="Forest &amp; Understory","90", IF(R128="Moist Open","88", IF(R128="Moist Shady","82", IF(R128="Sub-Alpine Slopes","80")))))))</f>
        <v>84</v>
      </c>
      <c r="W128" s="67">
        <v>20</v>
      </c>
      <c r="X128" s="67">
        <v>0</v>
      </c>
      <c r="Y128" s="67">
        <v>3500</v>
      </c>
      <c r="Z128" s="67" t="s">
        <v>2519</v>
      </c>
      <c r="AA128" s="67" t="s">
        <v>2518</v>
      </c>
      <c r="AB128" s="67">
        <v>6.8</v>
      </c>
      <c r="AC128" s="85">
        <f>C128+AK128+(0.1)*AL128</f>
        <v>15.2</v>
      </c>
      <c r="AD128" s="78">
        <v>46</v>
      </c>
      <c r="AE128" s="68">
        <v>1</v>
      </c>
      <c r="AF128" s="68">
        <v>2</v>
      </c>
      <c r="AG128" s="78">
        <v>1895</v>
      </c>
      <c r="AH128" s="78">
        <v>0</v>
      </c>
      <c r="AI128" s="78">
        <v>1908</v>
      </c>
      <c r="AJ128" s="67">
        <v>2014</v>
      </c>
      <c r="AK128" s="67">
        <v>14</v>
      </c>
      <c r="AL128" s="67">
        <v>2</v>
      </c>
      <c r="AM128" s="70">
        <v>5</v>
      </c>
      <c r="AN128" s="70">
        <v>0</v>
      </c>
      <c r="AO128" s="86">
        <v>0</v>
      </c>
      <c r="AP128" s="70">
        <v>0</v>
      </c>
      <c r="AQ128" s="70">
        <v>0</v>
      </c>
      <c r="AR128" s="70">
        <v>0</v>
      </c>
      <c r="AS128" s="86">
        <v>0</v>
      </c>
      <c r="AT128" s="70">
        <v>0</v>
      </c>
      <c r="AU128" s="70">
        <v>0</v>
      </c>
      <c r="AV128" s="70">
        <v>0</v>
      </c>
      <c r="AW128" s="86">
        <v>0</v>
      </c>
      <c r="AX128" s="70">
        <v>0</v>
      </c>
      <c r="AY128" s="233"/>
      <c r="AZ128" s="4"/>
      <c r="BA128" s="35">
        <f ca="1">IF(OR(S128="North America",S128="Rocky Mountain"), "Widespread",BC128)</f>
        <v>2039.3108049910873</v>
      </c>
      <c r="BB128" s="4"/>
      <c r="BC128" s="35">
        <f ca="1">IF(BE128&gt;2046, "Abundant",BE128)</f>
        <v>2039.3108049910873</v>
      </c>
      <c r="BD128" s="4"/>
      <c r="BE128" s="81">
        <f ca="1">YEAR($C$13)+(BG128*80)</f>
        <v>2039.3108049910873</v>
      </c>
      <c r="BF128" s="4"/>
      <c r="BG128" s="137">
        <f ca="1">BH128*$BH$14</f>
        <v>0.25388506238859182</v>
      </c>
      <c r="BH128" s="137">
        <f ca="1">(((BJ128+BK128+BM128+BN128)/4)*$BM$11)+(((BP128+BQ128)/2)*$BQ$11)+(((BU128+BV128+BW128)/3)*$BU$11)+(((BY128+BZ128+CA128+CB128+CC128)/5)*$CA$11)</f>
        <v>0.25388506238859182</v>
      </c>
      <c r="BI128" s="4"/>
      <c r="BJ128" s="33">
        <f>AP128/(AM128+AO128)</f>
        <v>0</v>
      </c>
      <c r="BK128" s="33">
        <f>(AN128+AO128)/(AM128+AO128)</f>
        <v>0</v>
      </c>
      <c r="BL128" s="4"/>
      <c r="BM128" s="127">
        <f>CF128/102</f>
        <v>0.14901960784313725</v>
      </c>
      <c r="BN128" s="127">
        <f>C128/2</f>
        <v>0.5</v>
      </c>
      <c r="BO128" s="4"/>
      <c r="BP128" s="127">
        <f>(AK128)/($AW$6)</f>
        <v>0.14141414141414141</v>
      </c>
      <c r="BQ128" s="127">
        <f ca="1">(CH128-$AW$4)/((YEAR($C$13))-$AW$4)</f>
        <v>0.66666666666666663</v>
      </c>
      <c r="BR128" s="127">
        <f>(AL128)/($AW$6)</f>
        <v>2.0202020202020204E-2</v>
      </c>
      <c r="BS128" s="4"/>
      <c r="BT128" s="127"/>
      <c r="BU128" s="127">
        <f ca="1">(CG128-$AW$4)/((YEAR($C$13))-$AW$4)</f>
        <v>0</v>
      </c>
      <c r="BV128" s="127">
        <f>AE128/5</f>
        <v>0.2</v>
      </c>
      <c r="BW128" s="127">
        <f>AF128/5</f>
        <v>0.4</v>
      </c>
      <c r="BX128" s="4"/>
      <c r="BY128" s="148" t="str">
        <f>IF(E128="A",".98",IF(E128="B",".99",IF(E128="C","1.00",IF(E128="D","1.00" ))))</f>
        <v>1.00</v>
      </c>
      <c r="BZ128" s="127">
        <f>(CE128+7)/10</f>
        <v>1</v>
      </c>
      <c r="CA128" s="76" t="str">
        <f>IF(D128="Fern",".97",IF(D128="Grass",".99",IF(D128="Herb",".97",IF(D128="Shrub",".99",IF(D128="Tree","1.00",IF(D128="Vine",".98"))))))</f>
        <v>.97</v>
      </c>
      <c r="CB128" s="149" t="str">
        <f>IF(R128="Bogs Ponds Streams",".96", IF(R128="Coastal Areas",".97",IF(R128="Meadows Dry Open",".96",IF(R128="Forest &amp; Understory",".97",IF(R128="Moist Open",".98",IF(R128="Moist Shady",".96",IF(R128="Sub-Alpine","1.0")))))))</f>
        <v>.96</v>
      </c>
      <c r="CC128" s="76" t="str">
        <f>IF(S128="Local Endemic",".50",IF(S128="Regional Endemic",".70",IF(S128="Cascadia",".90",IF(S128="Rocky Mountain",".95",IF(S128="North America",".99")))))</f>
        <v>.90</v>
      </c>
      <c r="CD128" s="4"/>
      <c r="CE128" s="21">
        <f>IF(W128&gt;3,3,W128)</f>
        <v>3</v>
      </c>
      <c r="CF128" s="21">
        <f>IF(AC128&gt;102,102,AC128)</f>
        <v>15.2</v>
      </c>
      <c r="CG128" s="34">
        <f>IF(AI128&lt;$AW$4,$AW$4,AI128)</f>
        <v>2004</v>
      </c>
      <c r="CH128" s="34">
        <f>IF(AJ128&lt;$AW$4,$AW$4,AJ128)</f>
        <v>2014</v>
      </c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12"/>
    </row>
    <row r="129" spans="1:115" s="13" customFormat="1" ht="15" customHeight="1" x14ac:dyDescent="0.3">
      <c r="A129" s="235"/>
      <c r="B129" s="218"/>
      <c r="C129" s="225">
        <v>7</v>
      </c>
      <c r="D129" s="94" t="s">
        <v>1155</v>
      </c>
      <c r="E129" s="59" t="s">
        <v>2501</v>
      </c>
      <c r="F129" s="397" t="str">
        <f ca="1">IF(BC129&lt;2025, "Extinct&lt; 6Yrs?",BA129)</f>
        <v>Abundant</v>
      </c>
      <c r="G129" s="363" t="s">
        <v>525</v>
      </c>
      <c r="H129" s="363" t="s">
        <v>681</v>
      </c>
      <c r="I129" s="366" t="s">
        <v>472</v>
      </c>
      <c r="J129" s="365" t="s">
        <v>3251</v>
      </c>
      <c r="K129" s="365" t="s">
        <v>878</v>
      </c>
      <c r="L129" s="10" t="s">
        <v>1804</v>
      </c>
      <c r="M129" s="8" t="s">
        <v>4209</v>
      </c>
      <c r="N129" s="8" t="s">
        <v>5102</v>
      </c>
      <c r="O129" s="8" t="s">
        <v>6001</v>
      </c>
      <c r="P129" s="9" t="s">
        <v>468</v>
      </c>
      <c r="Q129" s="59" t="s">
        <v>2552</v>
      </c>
      <c r="R129" s="160" t="s">
        <v>2497</v>
      </c>
      <c r="S129" s="17" t="s">
        <v>2459</v>
      </c>
      <c r="T129" s="123" t="str">
        <f>IF(R129="Bogs Ponds Streams","20",IF(R129="Coastal Areas","26",IF(R129="Meadows Dry Open","10",IF(R129="Forest &amp; Understory","14",IF(R129="Moist Open","12",IF(R129="Moist Shady","10",IF(R129="Sub-Alpine Slopes","0")))))))</f>
        <v>12</v>
      </c>
      <c r="U129" s="123" t="str">
        <f>IF(R129="Bogs Ponds Streams","52",IF(R129="Coastal Areas","51",IF(R129="Meadows Dry Open","53",IF(R129="Forest &amp; Understory","52",IF(R129="Moist Open","50",IF(R129="Moist Shady","46",IF(R129="Sub-Alpine Slopes","40")))))))</f>
        <v>50</v>
      </c>
      <c r="V129" s="123" t="str">
        <f>IF(R129="Bogs Ponds Streams","84",IF(R129="Coastal Areas","76",IF(R129="Meadows Dry Open","96", IF(R129="Forest &amp; Understory","90", IF(R129="Moist Open","88", IF(R129="Moist Shady","82", IF(R129="Sub-Alpine Slopes","80")))))))</f>
        <v>88</v>
      </c>
      <c r="W129" s="59">
        <v>20</v>
      </c>
      <c r="X129" s="59">
        <v>0</v>
      </c>
      <c r="Y129" s="59">
        <v>3500</v>
      </c>
      <c r="Z129" s="59" t="s">
        <v>2519</v>
      </c>
      <c r="AA129" s="59" t="s">
        <v>2518</v>
      </c>
      <c r="AB129" s="59">
        <v>6.8</v>
      </c>
      <c r="AC129" s="45">
        <f>C129+AK129+(0.1)*AL129</f>
        <v>54.3</v>
      </c>
      <c r="AD129" s="77">
        <v>0</v>
      </c>
      <c r="AE129" s="59">
        <v>5</v>
      </c>
      <c r="AF129" s="59">
        <v>5</v>
      </c>
      <c r="AG129" s="59">
        <v>1900</v>
      </c>
      <c r="AH129" s="77">
        <v>0</v>
      </c>
      <c r="AI129" s="59">
        <f ca="1">AJ129</f>
        <v>2019</v>
      </c>
      <c r="AJ129" s="18">
        <f ca="1">YEAR(TODAY())</f>
        <v>2019</v>
      </c>
      <c r="AK129" s="18">
        <v>44</v>
      </c>
      <c r="AL129" s="18">
        <v>33</v>
      </c>
      <c r="AM129" s="18">
        <v>1</v>
      </c>
      <c r="AN129" s="18">
        <v>1</v>
      </c>
      <c r="AO129" s="18">
        <v>5</v>
      </c>
      <c r="AP129" s="18">
        <v>1</v>
      </c>
      <c r="AQ129" s="18">
        <v>0</v>
      </c>
      <c r="AR129" s="18">
        <v>0</v>
      </c>
      <c r="AS129" s="18">
        <v>0</v>
      </c>
      <c r="AT129" s="18">
        <v>0</v>
      </c>
      <c r="AU129" s="18">
        <v>0</v>
      </c>
      <c r="AV129" s="18">
        <v>0</v>
      </c>
      <c r="AW129" s="18">
        <v>0</v>
      </c>
      <c r="AX129" s="18">
        <v>0</v>
      </c>
      <c r="AY129" s="233"/>
      <c r="AZ129" s="4"/>
      <c r="BA129" s="35" t="str">
        <f ca="1">IF(OR(S129="North America",S129="Rocky Mountain"), "Widespread",BC129)</f>
        <v>Abundant</v>
      </c>
      <c r="BB129" s="4"/>
      <c r="BC129" s="35" t="str">
        <f ca="1">IF(BE129&gt;2046, "Abundant",BE129)</f>
        <v>Abundant</v>
      </c>
      <c r="BD129" s="4"/>
      <c r="BE129" s="81">
        <f ca="1">YEAR($C$13)+(BG129*80)</f>
        <v>2106.6799686274508</v>
      </c>
      <c r="BF129" s="4"/>
      <c r="BG129" s="137">
        <f ca="1">BH129*$BH$14</f>
        <v>1.0959996078431373</v>
      </c>
      <c r="BH129" s="137">
        <f ca="1">(((BJ129+BK129+BM129+BN129)/4)*$BM$11)+(((BP129+BQ129)/2)*$BQ$11)+(((BU129+BV129+BW129)/3)*$BU$11)+(((BY129+BZ129+CA129+CB129+CC129)/5)*$CA$11)</f>
        <v>1.0959996078431373</v>
      </c>
      <c r="BI129" s="4"/>
      <c r="BJ129" s="33">
        <f>AP129/(AM129+AO129)</f>
        <v>0.16666666666666666</v>
      </c>
      <c r="BK129" s="33">
        <f>(AN129+AO129)/(AM129+AO129)</f>
        <v>1</v>
      </c>
      <c r="BL129" s="4"/>
      <c r="BM129" s="127">
        <f>CF129/102</f>
        <v>0.53235294117647058</v>
      </c>
      <c r="BN129" s="127">
        <f>C129/2</f>
        <v>3.5</v>
      </c>
      <c r="BO129" s="4"/>
      <c r="BP129" s="127">
        <f>(AK129)/($AW$6)</f>
        <v>0.44444444444444442</v>
      </c>
      <c r="BQ129" s="127">
        <f ca="1">(CH129-$AW$4)/((YEAR($C$13))-$AW$4)</f>
        <v>1</v>
      </c>
      <c r="BR129" s="127">
        <f>(AL129)/($AW$6)</f>
        <v>0.33333333333333331</v>
      </c>
      <c r="BS129" s="4"/>
      <c r="BT129" s="127"/>
      <c r="BU129" s="127">
        <f ca="1">(CG129-$AW$4)/((YEAR($C$13))-$AW$4)</f>
        <v>1</v>
      </c>
      <c r="BV129" s="127">
        <f>AE129/5</f>
        <v>1</v>
      </c>
      <c r="BW129" s="127">
        <f>AF129/5</f>
        <v>1</v>
      </c>
      <c r="BX129" s="4"/>
      <c r="BY129" s="148" t="str">
        <f>IF(E129="A",".98",IF(E129="B",".99",IF(E129="C","1.00",IF(E129="D","1.00" ))))</f>
        <v>1.00</v>
      </c>
      <c r="BZ129" s="127">
        <f>(CE129+7)/10</f>
        <v>1</v>
      </c>
      <c r="CA129" s="76" t="str">
        <f>IF(D129="Fern",".97",IF(D129="Grass",".99",IF(D129="Herb",".97",IF(D129="Shrub",".99",IF(D129="Tree","1.00",IF(D129="Vine",".98"))))))</f>
        <v>.99</v>
      </c>
      <c r="CB129" s="149" t="str">
        <f>IF(R129="Bogs Ponds Streams",".96", IF(R129="Coastal Areas",".97",IF(R129="Meadows Dry Open",".96",IF(R129="Forest &amp; Understory",".97",IF(R129="Moist Open",".98",IF(R129="Moist Shady",".96",IF(R129="Sub-Alpine","1.0")))))))</f>
        <v>.98</v>
      </c>
      <c r="CC129" s="76" t="str">
        <f>IF(S129="Local Endemic",".50",IF(S129="Regional Endemic",".70",IF(S129="Cascadia",".90",IF(S129="Rocky Mountain",".95",IF(S129="North America",".99")))))</f>
        <v>.90</v>
      </c>
      <c r="CD129" s="4"/>
      <c r="CE129" s="21">
        <f>IF(W129&gt;3,3,W129)</f>
        <v>3</v>
      </c>
      <c r="CF129" s="21">
        <f>IF(AC129&gt;102,102,AC129)</f>
        <v>54.3</v>
      </c>
      <c r="CG129" s="34">
        <f ca="1">IF(AI129&lt;$AW$4,$AW$4,AI129)</f>
        <v>2019</v>
      </c>
      <c r="CH129" s="34">
        <f ca="1">IF(AJ129&lt;$AW$4,$AW$4,AJ129)</f>
        <v>2019</v>
      </c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</row>
    <row r="130" spans="1:115" s="13" customFormat="1" ht="15" customHeight="1" x14ac:dyDescent="0.3">
      <c r="A130" s="235"/>
      <c r="B130" s="218"/>
      <c r="C130" s="226">
        <v>2</v>
      </c>
      <c r="D130" s="119" t="s">
        <v>1155</v>
      </c>
      <c r="E130" s="104" t="s">
        <v>2501</v>
      </c>
      <c r="F130" s="400" t="str">
        <f ca="1">IF(BC130&lt;2025, "Extinct&lt; 6Yrs?",BA130)</f>
        <v>Abundant</v>
      </c>
      <c r="G130" s="369" t="s">
        <v>525</v>
      </c>
      <c r="H130" s="369" t="s">
        <v>4028</v>
      </c>
      <c r="I130" s="372" t="s">
        <v>2602</v>
      </c>
      <c r="J130" s="371" t="s">
        <v>3830</v>
      </c>
      <c r="K130" s="371" t="s">
        <v>2745</v>
      </c>
      <c r="L130" s="114" t="s">
        <v>1803</v>
      </c>
      <c r="M130" s="111" t="s">
        <v>4210</v>
      </c>
      <c r="N130" s="111" t="s">
        <v>5103</v>
      </c>
      <c r="O130" s="111" t="s">
        <v>6002</v>
      </c>
      <c r="P130" s="105" t="s">
        <v>468</v>
      </c>
      <c r="Q130" s="104" t="s">
        <v>2552</v>
      </c>
      <c r="R130" s="161" t="s">
        <v>2497</v>
      </c>
      <c r="S130" s="114" t="s">
        <v>2459</v>
      </c>
      <c r="T130" s="133" t="str">
        <f>IF(R130="Bogs Ponds Streams","20",IF(R130="Coastal Areas","26",IF(R130="Meadows Dry Open","10",IF(R130="Forest &amp; Understory","14",IF(R130="Moist Open","12",IF(R130="Moist Shady","10",IF(R130="Sub-Alpine Slopes","0")))))))</f>
        <v>12</v>
      </c>
      <c r="U130" s="133" t="str">
        <f>IF(R130="Bogs Ponds Streams","52",IF(R130="Coastal Areas","51",IF(R130="Meadows Dry Open","53",IF(R130="Forest &amp; Understory","52",IF(R130="Moist Open","50",IF(R130="Moist Shady","46",IF(R130="Sub-Alpine Slopes","40")))))))</f>
        <v>50</v>
      </c>
      <c r="V130" s="133" t="str">
        <f>IF(R130="Bogs Ponds Streams","84",IF(R130="Coastal Areas","76",IF(R130="Meadows Dry Open","96", IF(R130="Forest &amp; Understory","90", IF(R130="Moist Open","88", IF(R130="Moist Shady","82", IF(R130="Sub-Alpine Slopes","80")))))))</f>
        <v>88</v>
      </c>
      <c r="W130" s="104">
        <v>20</v>
      </c>
      <c r="X130" s="104">
        <v>0</v>
      </c>
      <c r="Y130" s="104">
        <v>3500</v>
      </c>
      <c r="Z130" s="104" t="s">
        <v>2519</v>
      </c>
      <c r="AA130" s="104" t="s">
        <v>2518</v>
      </c>
      <c r="AB130" s="104">
        <v>6.8</v>
      </c>
      <c r="AC130" s="107">
        <f>C130+AK130+(0.1)*AL130</f>
        <v>90.8</v>
      </c>
      <c r="AD130" s="113">
        <v>173</v>
      </c>
      <c r="AE130" s="104">
        <v>5</v>
      </c>
      <c r="AF130" s="104">
        <v>5</v>
      </c>
      <c r="AG130" s="104">
        <v>1900</v>
      </c>
      <c r="AH130" s="113">
        <v>0</v>
      </c>
      <c r="AI130" s="104">
        <f>AJ130</f>
        <v>2006</v>
      </c>
      <c r="AJ130" s="108">
        <v>2006</v>
      </c>
      <c r="AK130" s="108">
        <v>88</v>
      </c>
      <c r="AL130" s="108">
        <v>8</v>
      </c>
      <c r="AM130" s="109">
        <v>5</v>
      </c>
      <c r="AN130" s="109">
        <v>1</v>
      </c>
      <c r="AO130" s="110">
        <v>0</v>
      </c>
      <c r="AP130" s="109">
        <v>0</v>
      </c>
      <c r="AQ130" s="109">
        <v>0</v>
      </c>
      <c r="AR130" s="109">
        <v>0</v>
      </c>
      <c r="AS130" s="110">
        <v>0</v>
      </c>
      <c r="AT130" s="109">
        <v>0</v>
      </c>
      <c r="AU130" s="109">
        <v>0</v>
      </c>
      <c r="AV130" s="109">
        <v>0</v>
      </c>
      <c r="AW130" s="110">
        <v>0</v>
      </c>
      <c r="AX130" s="109">
        <v>0</v>
      </c>
      <c r="AY130" s="233"/>
      <c r="AZ130" s="4"/>
      <c r="BA130" s="35" t="str">
        <f ca="1">IF(OR(S130="North America",S130="Rocky Mountain"), "Widespread",BC130)</f>
        <v>Abundant</v>
      </c>
      <c r="BB130" s="4"/>
      <c r="BC130" s="35" t="str">
        <f ca="1">IF(BE130&gt;2046, "Abundant",BE130)</f>
        <v>Abundant</v>
      </c>
      <c r="BD130" s="4"/>
      <c r="BE130" s="81">
        <f ca="1">YEAR($C$13)+(BG130*80)</f>
        <v>2062.4585307189541</v>
      </c>
      <c r="BF130" s="4"/>
      <c r="BG130" s="137">
        <f ca="1">BH130*$BH$14</f>
        <v>0.54323163398692809</v>
      </c>
      <c r="BH130" s="137">
        <f ca="1">(((BJ130+BK130+BM130+BN130)/4)*$BM$11)+(((BP130+BQ130)/2)*$BQ$11)+(((BU130+BV130+BW130)/3)*$BU$11)+(((BY130+BZ130+CA130+CB130+CC130)/5)*$CA$11)</f>
        <v>0.54323163398692809</v>
      </c>
      <c r="BI130" s="4"/>
      <c r="BJ130" s="33">
        <f>AP130/(AM130+AO130)</f>
        <v>0</v>
      </c>
      <c r="BK130" s="33">
        <f>(AN130+AO130)/(AM130+AO130)</f>
        <v>0.2</v>
      </c>
      <c r="BL130" s="4"/>
      <c r="BM130" s="127">
        <f>CF130/102</f>
        <v>0.8901960784313725</v>
      </c>
      <c r="BN130" s="127">
        <f>C130/2</f>
        <v>1</v>
      </c>
      <c r="BO130" s="4"/>
      <c r="BP130" s="127">
        <f>(AK130)/($AW$6)</f>
        <v>0.88888888888888884</v>
      </c>
      <c r="BQ130" s="127">
        <f ca="1">(CH130-$AW$4)/((YEAR($C$13))-$AW$4)</f>
        <v>0.13333333333333333</v>
      </c>
      <c r="BR130" s="127">
        <f>(AL130)/($AW$6)</f>
        <v>8.0808080808080815E-2</v>
      </c>
      <c r="BS130" s="4"/>
      <c r="BT130" s="127"/>
      <c r="BU130" s="127">
        <f ca="1">(CG130-$AW$4)/((YEAR($C$13))-$AW$4)</f>
        <v>0.13333333333333333</v>
      </c>
      <c r="BV130" s="127">
        <f>AE130/5</f>
        <v>1</v>
      </c>
      <c r="BW130" s="127">
        <f>AF130/5</f>
        <v>1</v>
      </c>
      <c r="BX130" s="4"/>
      <c r="BY130" s="148" t="str">
        <f>IF(E130="A",".98",IF(E130="B",".99",IF(E130="C","1.00",IF(E130="D","1.00" ))))</f>
        <v>1.00</v>
      </c>
      <c r="BZ130" s="127">
        <f>(CE130+7)/10</f>
        <v>1</v>
      </c>
      <c r="CA130" s="76" t="str">
        <f>IF(D130="Fern",".97",IF(D130="Grass",".99",IF(D130="Herb",".97",IF(D130="Shrub",".99",IF(D130="Tree","1.00",IF(D130="Vine",".98"))))))</f>
        <v>.99</v>
      </c>
      <c r="CB130" s="149" t="str">
        <f>IF(R130="Bogs Ponds Streams",".96", IF(R130="Coastal Areas",".97",IF(R130="Meadows Dry Open",".96",IF(R130="Forest &amp; Understory",".97",IF(R130="Moist Open",".98",IF(R130="Moist Shady",".96",IF(R130="Sub-Alpine","1.0")))))))</f>
        <v>.98</v>
      </c>
      <c r="CC130" s="76" t="str">
        <f>IF(S130="Local Endemic",".50",IF(S130="Regional Endemic",".70",IF(S130="Cascadia",".90",IF(S130="Rocky Mountain",".95",IF(S130="North America",".99")))))</f>
        <v>.90</v>
      </c>
      <c r="CD130" s="4"/>
      <c r="CE130" s="21">
        <f>IF(W130&gt;3,3,W130)</f>
        <v>3</v>
      </c>
      <c r="CF130" s="21">
        <f>IF(AC130&gt;102,102,AC130)</f>
        <v>90.8</v>
      </c>
      <c r="CG130" s="34">
        <f>IF(AI130&lt;$AW$4,$AW$4,AI130)</f>
        <v>2006</v>
      </c>
      <c r="CH130" s="34">
        <f>IF(AJ130&lt;$AW$4,$AW$4,AJ130)</f>
        <v>2006</v>
      </c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</row>
    <row r="131" spans="1:115" s="13" customFormat="1" ht="15" customHeight="1" x14ac:dyDescent="0.3">
      <c r="A131" s="235"/>
      <c r="B131" s="218"/>
      <c r="C131" s="226">
        <v>2</v>
      </c>
      <c r="D131" s="104" t="s">
        <v>1155</v>
      </c>
      <c r="E131" s="104" t="s">
        <v>2501</v>
      </c>
      <c r="F131" s="400" t="str">
        <f ca="1">IF(BC131&lt;2025, "Extinct&lt; 6Yrs?",BA131)</f>
        <v>Abundant</v>
      </c>
      <c r="G131" s="369" t="s">
        <v>525</v>
      </c>
      <c r="H131" s="369" t="s">
        <v>4028</v>
      </c>
      <c r="I131" s="371" t="s">
        <v>1362</v>
      </c>
      <c r="J131" s="371" t="s">
        <v>3829</v>
      </c>
      <c r="K131" s="371" t="s">
        <v>1378</v>
      </c>
      <c r="L131" s="106" t="s">
        <v>1834</v>
      </c>
      <c r="M131" s="111" t="s">
        <v>4211</v>
      </c>
      <c r="N131" s="111" t="s">
        <v>5104</v>
      </c>
      <c r="O131" s="111" t="s">
        <v>6003</v>
      </c>
      <c r="P131" s="401" t="s">
        <v>144</v>
      </c>
      <c r="Q131" s="104" t="s">
        <v>2552</v>
      </c>
      <c r="R131" s="161" t="s">
        <v>2497</v>
      </c>
      <c r="S131" s="114" t="s">
        <v>2459</v>
      </c>
      <c r="T131" s="133" t="str">
        <f>IF(R131="Bogs Ponds Streams","20",IF(R131="Coastal Areas","26",IF(R131="Meadows Dry Open","10",IF(R131="Forest &amp; Understory","14",IF(R131="Moist Open","12",IF(R131="Moist Shady","10",IF(R131="Sub-Alpine Slopes","0")))))))</f>
        <v>12</v>
      </c>
      <c r="U131" s="133" t="str">
        <f>IF(R131="Bogs Ponds Streams","52",IF(R131="Coastal Areas","51",IF(R131="Meadows Dry Open","53",IF(R131="Forest &amp; Understory","52",IF(R131="Moist Open","50",IF(R131="Moist Shady","46",IF(R131="Sub-Alpine Slopes","40")))))))</f>
        <v>50</v>
      </c>
      <c r="V131" s="133" t="str">
        <f>IF(R131="Bogs Ponds Streams","84",IF(R131="Coastal Areas","76",IF(R131="Meadows Dry Open","96", IF(R131="Forest &amp; Understory","90", IF(R131="Moist Open","88", IF(R131="Moist Shady","82", IF(R131="Sub-Alpine Slopes","80")))))))</f>
        <v>88</v>
      </c>
      <c r="W131" s="104">
        <v>20</v>
      </c>
      <c r="X131" s="104">
        <v>0</v>
      </c>
      <c r="Y131" s="104">
        <v>3500</v>
      </c>
      <c r="Z131" s="104" t="s">
        <v>2519</v>
      </c>
      <c r="AA131" s="104" t="s">
        <v>2518</v>
      </c>
      <c r="AB131" s="104">
        <v>6.8</v>
      </c>
      <c r="AC131" s="107">
        <f>C130+AK131+(0.1)*AL131</f>
        <v>16</v>
      </c>
      <c r="AD131" s="113">
        <v>49</v>
      </c>
      <c r="AE131" s="104">
        <v>5</v>
      </c>
      <c r="AF131" s="104">
        <v>5</v>
      </c>
      <c r="AG131" s="104">
        <v>1900</v>
      </c>
      <c r="AH131" s="113">
        <v>0</v>
      </c>
      <c r="AI131" s="104">
        <f>AJ131</f>
        <v>2018</v>
      </c>
      <c r="AJ131" s="108">
        <v>2018</v>
      </c>
      <c r="AK131" s="108">
        <v>14</v>
      </c>
      <c r="AL131" s="108">
        <v>0</v>
      </c>
      <c r="AM131" s="109">
        <v>5</v>
      </c>
      <c r="AN131" s="109">
        <v>1</v>
      </c>
      <c r="AO131" s="109">
        <v>1</v>
      </c>
      <c r="AP131" s="109">
        <v>1</v>
      </c>
      <c r="AQ131" s="109">
        <v>0</v>
      </c>
      <c r="AR131" s="109">
        <v>0</v>
      </c>
      <c r="AS131" s="110">
        <v>0</v>
      </c>
      <c r="AT131" s="109">
        <v>0</v>
      </c>
      <c r="AU131" s="109">
        <v>0</v>
      </c>
      <c r="AV131" s="109">
        <v>0</v>
      </c>
      <c r="AW131" s="110">
        <v>0</v>
      </c>
      <c r="AX131" s="109">
        <v>0</v>
      </c>
      <c r="AY131" s="233"/>
      <c r="AZ131" s="4"/>
      <c r="BA131" s="35" t="str">
        <f ca="1">IF(OR(S131="North America",S131="Rocky Mountain"), "Widespread",BC131)</f>
        <v>Abundant</v>
      </c>
      <c r="BB131" s="4"/>
      <c r="BC131" s="35" t="str">
        <f ca="1">IF(BE131&gt;2046, "Abundant",BE131)</f>
        <v>Abundant</v>
      </c>
      <c r="BD131" s="4"/>
      <c r="BE131" s="81">
        <f ca="1">YEAR($C$13)+(BG131*80)</f>
        <v>2059.5955004159241</v>
      </c>
      <c r="BF131" s="4"/>
      <c r="BG131" s="137">
        <f ca="1">BH131*$BH$14</f>
        <v>0.50744375519904938</v>
      </c>
      <c r="BH131" s="137">
        <f ca="1">(((BJ131+BK131+BM131+BN131)/4)*$BM$11)+(((BP131+BQ131)/2)*$BQ$11)+(((BU131+BV131+BW131)/3)*$BU$11)+(((BY131+BZ131+CA131+CB131+CC131)/5)*$CA$11)</f>
        <v>0.50744375519904938</v>
      </c>
      <c r="BI131" s="4"/>
      <c r="BJ131" s="33">
        <f>AP131/(AM131+AO131)</f>
        <v>0.16666666666666666</v>
      </c>
      <c r="BK131" s="33">
        <f>(AN131+AO131)/(AM131+AO131)</f>
        <v>0.33333333333333331</v>
      </c>
      <c r="BL131" s="4"/>
      <c r="BM131" s="127">
        <f>CF131/102</f>
        <v>0.15686274509803921</v>
      </c>
      <c r="BN131" s="127">
        <f>C130/2</f>
        <v>1</v>
      </c>
      <c r="BO131" s="4"/>
      <c r="BP131" s="127">
        <f>(AK131)/($AW$6)</f>
        <v>0.14141414141414141</v>
      </c>
      <c r="BQ131" s="127">
        <f ca="1">(CH131-$AW$4)/((YEAR($C$13))-$AW$4)</f>
        <v>0.93333333333333335</v>
      </c>
      <c r="BR131" s="127">
        <f>(AL131)/($AW$6)</f>
        <v>0</v>
      </c>
      <c r="BS131" s="4"/>
      <c r="BT131" s="127"/>
      <c r="BU131" s="127">
        <f ca="1">(CG131-$AW$4)/((YEAR($C$13))-$AW$4)</f>
        <v>0.93333333333333335</v>
      </c>
      <c r="BV131" s="127">
        <f>AE131/5</f>
        <v>1</v>
      </c>
      <c r="BW131" s="127">
        <f>AF131/5</f>
        <v>1</v>
      </c>
      <c r="BX131" s="4"/>
      <c r="BY131" s="148" t="str">
        <f>IF(E131="A",".98",IF(E131="B",".99",IF(E131="C","1.00",IF(E131="D","1.00" ))))</f>
        <v>1.00</v>
      </c>
      <c r="BZ131" s="127">
        <f>(CE131+7)/10</f>
        <v>1</v>
      </c>
      <c r="CA131" s="76" t="str">
        <f>IF(D131="Fern",".97",IF(D131="Grass",".99",IF(D131="Herb",".97",IF(D131="Shrub",".99",IF(D131="Tree","1.00",IF(D131="Vine",".98"))))))</f>
        <v>.99</v>
      </c>
      <c r="CB131" s="149" t="str">
        <f>IF(R131="Bogs Ponds Streams",".96", IF(R131="Coastal Areas",".97",IF(R131="Meadows Dry Open",".96",IF(R131="Forest &amp; Understory",".97",IF(R131="Moist Open",".98",IF(R131="Moist Shady",".96",IF(R131="Sub-Alpine","1.0")))))))</f>
        <v>.98</v>
      </c>
      <c r="CC131" s="76" t="str">
        <f>IF(S131="Local Endemic",".50",IF(S131="Regional Endemic",".70",IF(S131="Cascadia",".90",IF(S131="Rocky Mountain",".95",IF(S131="North America",".99")))))</f>
        <v>.90</v>
      </c>
      <c r="CD131" s="4"/>
      <c r="CE131" s="21">
        <f>IF(W131&gt;3,3,W131)</f>
        <v>3</v>
      </c>
      <c r="CF131" s="21">
        <f>IF(AC131&gt;102,102,AC131)</f>
        <v>16</v>
      </c>
      <c r="CG131" s="34">
        <f>IF(AI131&lt;$AW$4,$AW$4,AI131)</f>
        <v>2018</v>
      </c>
      <c r="CH131" s="34">
        <f>IF(AJ131&lt;$AW$4,$AW$4,AJ131)</f>
        <v>2018</v>
      </c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</row>
    <row r="132" spans="1:115" s="13" customFormat="1" ht="15" customHeight="1" x14ac:dyDescent="0.3">
      <c r="A132" s="235"/>
      <c r="B132" s="218"/>
      <c r="C132" s="226">
        <v>2</v>
      </c>
      <c r="D132" s="119" t="s">
        <v>1155</v>
      </c>
      <c r="E132" s="104" t="s">
        <v>2501</v>
      </c>
      <c r="F132" s="400" t="str">
        <f ca="1">IF(BC132&lt;2025, "Extinct&lt; 6Yrs?",BA132)</f>
        <v>Widespread</v>
      </c>
      <c r="G132" s="369" t="s">
        <v>525</v>
      </c>
      <c r="H132" s="369" t="s">
        <v>4028</v>
      </c>
      <c r="I132" s="370" t="s">
        <v>208</v>
      </c>
      <c r="J132" s="371" t="s">
        <v>3828</v>
      </c>
      <c r="K132" s="371" t="s">
        <v>879</v>
      </c>
      <c r="L132" s="106" t="s">
        <v>1833</v>
      </c>
      <c r="M132" s="111" t="s">
        <v>4212</v>
      </c>
      <c r="N132" s="111" t="s">
        <v>5105</v>
      </c>
      <c r="O132" s="111" t="s">
        <v>6004</v>
      </c>
      <c r="P132" s="105" t="s">
        <v>468</v>
      </c>
      <c r="Q132" s="104" t="s">
        <v>2552</v>
      </c>
      <c r="R132" s="105" t="s">
        <v>2498</v>
      </c>
      <c r="S132" s="105" t="s">
        <v>2495</v>
      </c>
      <c r="T132" s="133" t="str">
        <f>IF(R132="Bogs Ponds Streams","20",IF(R132="Coastal Areas","26",IF(R132="Meadows Dry Open","10",IF(R132="Forest &amp; Understory","14",IF(R132="Moist Open","12",IF(R132="Moist Shady","10",IF(R132="Sub-Alpine Slopes","0")))))))</f>
        <v>10</v>
      </c>
      <c r="U132" s="133" t="str">
        <f>IF(R132="Bogs Ponds Streams","52",IF(R132="Coastal Areas","51",IF(R132="Meadows Dry Open","53",IF(R132="Forest &amp; Understory","52",IF(R132="Moist Open","50",IF(R132="Moist Shady","46",IF(R132="Sub-Alpine Slopes","40")))))))</f>
        <v>46</v>
      </c>
      <c r="V132" s="133" t="str">
        <f>IF(R132="Bogs Ponds Streams","84",IF(R132="Coastal Areas","76",IF(R132="Meadows Dry Open","96", IF(R132="Forest &amp; Understory","90", IF(R132="Moist Open","88", IF(R132="Moist Shady","82", IF(R132="Sub-Alpine Slopes","80")))))))</f>
        <v>82</v>
      </c>
      <c r="W132" s="104">
        <v>20</v>
      </c>
      <c r="X132" s="104">
        <v>0</v>
      </c>
      <c r="Y132" s="104">
        <v>3500</v>
      </c>
      <c r="Z132" s="104" t="s">
        <v>2519</v>
      </c>
      <c r="AA132" s="104" t="s">
        <v>2518</v>
      </c>
      <c r="AB132" s="104">
        <v>6.8</v>
      </c>
      <c r="AC132" s="107">
        <f>C132+AK132+(0.1)*AL132</f>
        <v>28.3</v>
      </c>
      <c r="AD132" s="113">
        <v>253</v>
      </c>
      <c r="AE132" s="104">
        <v>5</v>
      </c>
      <c r="AF132" s="104">
        <v>5</v>
      </c>
      <c r="AG132" s="104">
        <v>1900</v>
      </c>
      <c r="AH132" s="113">
        <v>0</v>
      </c>
      <c r="AI132" s="104">
        <f>AJ132</f>
        <v>1994</v>
      </c>
      <c r="AJ132" s="108">
        <v>1994</v>
      </c>
      <c r="AK132" s="108">
        <v>23</v>
      </c>
      <c r="AL132" s="108">
        <v>33</v>
      </c>
      <c r="AM132" s="109">
        <v>5</v>
      </c>
      <c r="AN132" s="109">
        <v>1</v>
      </c>
      <c r="AO132" s="110">
        <v>0</v>
      </c>
      <c r="AP132" s="109">
        <v>0</v>
      </c>
      <c r="AQ132" s="109">
        <v>0</v>
      </c>
      <c r="AR132" s="109">
        <v>0</v>
      </c>
      <c r="AS132" s="110">
        <v>0</v>
      </c>
      <c r="AT132" s="109">
        <v>0</v>
      </c>
      <c r="AU132" s="109">
        <v>0</v>
      </c>
      <c r="AV132" s="109">
        <v>0</v>
      </c>
      <c r="AW132" s="110">
        <v>0</v>
      </c>
      <c r="AX132" s="109">
        <v>0</v>
      </c>
      <c r="AY132" s="233"/>
      <c r="AZ132" s="4"/>
      <c r="BA132" s="35" t="str">
        <f>IF(OR(S132="North America",S132="Rocky Mountain"), "Widespread",BC132)</f>
        <v>Widespread</v>
      </c>
      <c r="BB132" s="4"/>
      <c r="BC132" s="35">
        <f ca="1">IF(BE132&gt;2046, "Abundant",BE132)</f>
        <v>2045.3647572192513</v>
      </c>
      <c r="BD132" s="4"/>
      <c r="BE132" s="81">
        <f ca="1">YEAR($C$13)+(BG132*80)</f>
        <v>2045.3647572192513</v>
      </c>
      <c r="BF132" s="4"/>
      <c r="BG132" s="137">
        <f ca="1">BH132*$BH$14</f>
        <v>0.32955946524064172</v>
      </c>
      <c r="BH132" s="137">
        <f ca="1">(((BJ132+BK132+BM132+BN132)/4)*$BM$11)+(((BP132+BQ132)/2)*$BQ$11)+(((BU132+BV132+BW132)/3)*$BU$11)+(((BY132+BZ132+CA132+CB132+CC132)/5)*$CA$11)</f>
        <v>0.32955946524064172</v>
      </c>
      <c r="BI132" s="4"/>
      <c r="BJ132" s="33">
        <f>AP132/(AM132+AO132)</f>
        <v>0</v>
      </c>
      <c r="BK132" s="33">
        <f>(AN132+AO132)/(AM132+AO132)</f>
        <v>0.2</v>
      </c>
      <c r="BL132" s="4"/>
      <c r="BM132" s="127">
        <f>CF132/102</f>
        <v>0.27745098039215688</v>
      </c>
      <c r="BN132" s="127">
        <f>C132/2</f>
        <v>1</v>
      </c>
      <c r="BO132" s="4"/>
      <c r="BP132" s="127">
        <f>(AK132)/($AW$6)</f>
        <v>0.23232323232323232</v>
      </c>
      <c r="BQ132" s="127">
        <f ca="1">(CH132-$AW$4)/((YEAR($C$13))-$AW$4)</f>
        <v>0</v>
      </c>
      <c r="BR132" s="127">
        <f>(AL132)/($AW$6)</f>
        <v>0.33333333333333331</v>
      </c>
      <c r="BS132" s="4"/>
      <c r="BT132" s="127"/>
      <c r="BU132" s="127">
        <f ca="1">(CG132-$AW$4)/((YEAR($C$13))-$AW$4)</f>
        <v>0</v>
      </c>
      <c r="BV132" s="127">
        <f>AE132/5</f>
        <v>1</v>
      </c>
      <c r="BW132" s="127">
        <f>AF132/5</f>
        <v>1</v>
      </c>
      <c r="BX132" s="4"/>
      <c r="BY132" s="148" t="str">
        <f>IF(E132="A",".98",IF(E132="B",".99",IF(E132="C","1.00",IF(E132="D","1.00" ))))</f>
        <v>1.00</v>
      </c>
      <c r="BZ132" s="127">
        <f>(CE132+7)/10</f>
        <v>1</v>
      </c>
      <c r="CA132" s="76" t="str">
        <f>IF(D132="Fern",".97",IF(D132="Grass",".99",IF(D132="Herb",".97",IF(D132="Shrub",".99",IF(D132="Tree","1.00",IF(D132="Vine",".98"))))))</f>
        <v>.99</v>
      </c>
      <c r="CB132" s="149" t="str">
        <f>IF(R132="Bogs Ponds Streams",".96", IF(R132="Coastal Areas",".97",IF(R132="Meadows Dry Open",".96",IF(R132="Forest &amp; Understory",".97",IF(R132="Moist Open",".98",IF(R132="Moist Shady",".96",IF(R132="Sub-Alpine","1.0")))))))</f>
        <v>.96</v>
      </c>
      <c r="CC132" s="76" t="str">
        <f>IF(S132="Local Endemic",".50",IF(S132="Regional Endemic",".70",IF(S132="Cascadia",".90",IF(S132="Rocky Mountain",".95",IF(S132="North America",".99")))))</f>
        <v>.99</v>
      </c>
      <c r="CD132" s="4"/>
      <c r="CE132" s="21">
        <f>IF(W132&gt;3,3,W132)</f>
        <v>3</v>
      </c>
      <c r="CF132" s="21">
        <f>IF(AC132&gt;102,102,AC132)</f>
        <v>28.3</v>
      </c>
      <c r="CG132" s="34">
        <f>IF(AI132&lt;$AW$4,$AW$4,AI132)</f>
        <v>2004</v>
      </c>
      <c r="CH132" s="34">
        <f>IF(AJ132&lt;$AW$4,$AW$4,AJ132)</f>
        <v>2004</v>
      </c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</row>
    <row r="133" spans="1:115" s="13" customFormat="1" ht="15" customHeight="1" x14ac:dyDescent="0.3">
      <c r="A133" s="235"/>
      <c r="B133" s="218"/>
      <c r="C133" s="225">
        <v>8</v>
      </c>
      <c r="D133" s="94" t="s">
        <v>1155</v>
      </c>
      <c r="E133" s="59" t="s">
        <v>2501</v>
      </c>
      <c r="F133" s="397" t="str">
        <f ca="1">IF(BC133&lt;2025, "Extinct&lt; 6Yrs?",BA133)</f>
        <v>Abundant</v>
      </c>
      <c r="G133" s="363" t="s">
        <v>525</v>
      </c>
      <c r="H133" s="363" t="s">
        <v>681</v>
      </c>
      <c r="I133" s="365" t="s">
        <v>1249</v>
      </c>
      <c r="J133" s="365" t="s">
        <v>3252</v>
      </c>
      <c r="K133" s="365" t="s">
        <v>1248</v>
      </c>
      <c r="L133" s="10" t="s">
        <v>1832</v>
      </c>
      <c r="M133" s="8" t="s">
        <v>4213</v>
      </c>
      <c r="N133" s="8" t="s">
        <v>5106</v>
      </c>
      <c r="O133" s="8" t="s">
        <v>6005</v>
      </c>
      <c r="P133" s="9" t="s">
        <v>468</v>
      </c>
      <c r="Q133" s="59" t="s">
        <v>2552</v>
      </c>
      <c r="R133" s="160" t="s">
        <v>2497</v>
      </c>
      <c r="S133" s="17" t="s">
        <v>2459</v>
      </c>
      <c r="T133" s="123" t="str">
        <f>IF(R133="Bogs Ponds Streams","20",IF(R133="Coastal Areas","26",IF(R133="Meadows Dry Open","10",IF(R133="Forest &amp; Understory","14",IF(R133="Moist Open","12",IF(R133="Moist Shady","10",IF(R133="Sub-Alpine Slopes","0")))))))</f>
        <v>12</v>
      </c>
      <c r="U133" s="123" t="str">
        <f>IF(R133="Bogs Ponds Streams","52",IF(R133="Coastal Areas","51",IF(R133="Meadows Dry Open","53",IF(R133="Forest &amp; Understory","52",IF(R133="Moist Open","50",IF(R133="Moist Shady","46",IF(R133="Sub-Alpine Slopes","40")))))))</f>
        <v>50</v>
      </c>
      <c r="V133" s="123" t="str">
        <f>IF(R133="Bogs Ponds Streams","84",IF(R133="Coastal Areas","76",IF(R133="Meadows Dry Open","96", IF(R133="Forest &amp; Understory","90", IF(R133="Moist Open","88", IF(R133="Moist Shady","82", IF(R133="Sub-Alpine Slopes","80")))))))</f>
        <v>88</v>
      </c>
      <c r="W133" s="59">
        <v>20</v>
      </c>
      <c r="X133" s="59">
        <v>0</v>
      </c>
      <c r="Y133" s="59">
        <v>3500</v>
      </c>
      <c r="Z133" s="59" t="s">
        <v>2519</v>
      </c>
      <c r="AA133" s="59" t="s">
        <v>2518</v>
      </c>
      <c r="AB133" s="59">
        <v>6.8</v>
      </c>
      <c r="AC133" s="45">
        <f>C133+AK133+(0.1)*AL133</f>
        <v>15</v>
      </c>
      <c r="AD133" s="77">
        <v>45</v>
      </c>
      <c r="AE133" s="59">
        <v>5</v>
      </c>
      <c r="AF133" s="59">
        <v>5</v>
      </c>
      <c r="AG133" s="59">
        <v>1900</v>
      </c>
      <c r="AH133" s="77">
        <v>0</v>
      </c>
      <c r="AI133" s="59">
        <f>AJ133</f>
        <v>2004</v>
      </c>
      <c r="AJ133" s="18">
        <v>2004</v>
      </c>
      <c r="AK133" s="18">
        <v>7</v>
      </c>
      <c r="AL133" s="18">
        <v>0</v>
      </c>
      <c r="AM133" s="18">
        <v>1</v>
      </c>
      <c r="AN133" s="18">
        <v>1</v>
      </c>
      <c r="AO133" s="18">
        <v>0</v>
      </c>
      <c r="AP133" s="18">
        <v>0</v>
      </c>
      <c r="AQ133" s="18">
        <v>0</v>
      </c>
      <c r="AR133" s="18">
        <v>0</v>
      </c>
      <c r="AS133" s="18">
        <v>0</v>
      </c>
      <c r="AT133" s="18">
        <v>0</v>
      </c>
      <c r="AU133" s="18">
        <v>0</v>
      </c>
      <c r="AV133" s="18">
        <v>0</v>
      </c>
      <c r="AW133" s="18">
        <v>0</v>
      </c>
      <c r="AX133" s="18">
        <v>0</v>
      </c>
      <c r="AY133" s="233"/>
      <c r="AZ133" s="4"/>
      <c r="BA133" s="35" t="str">
        <f ca="1">IF(OR(S133="North America",S133="Rocky Mountain"), "Widespread",BC133)</f>
        <v>Abundant</v>
      </c>
      <c r="BB133" s="4"/>
      <c r="BC133" s="35" t="str">
        <f ca="1">IF(BE133&gt;2046, "Abundant",BE133)</f>
        <v>Abundant</v>
      </c>
      <c r="BD133" s="4"/>
      <c r="BE133" s="81">
        <f ca="1">YEAR($C$13)+(BG133*80)</f>
        <v>2087.4382573975045</v>
      </c>
      <c r="BF133" s="4"/>
      <c r="BG133" s="137">
        <f ca="1">BH133*$BH$14</f>
        <v>0.8554782174688057</v>
      </c>
      <c r="BH133" s="137">
        <f ca="1">(((BJ133+BK133+BM133+BN133)/4)*$BM$11)+(((BP133+BQ133)/2)*$BQ$11)+(((BU133+BV133+BW133)/3)*$BU$11)+(((BY133+BZ133+CA133+CB133+CC133)/5)*$CA$11)</f>
        <v>0.8554782174688057</v>
      </c>
      <c r="BI133" s="4"/>
      <c r="BJ133" s="33">
        <f>AP133/(AM133+AO133)</f>
        <v>0</v>
      </c>
      <c r="BK133" s="33">
        <f>(AN133+AO133)/(AM133+AO133)</f>
        <v>1</v>
      </c>
      <c r="BL133" s="4"/>
      <c r="BM133" s="127">
        <f>CF133/102</f>
        <v>0.14705882352941177</v>
      </c>
      <c r="BN133" s="127">
        <f>C133/2</f>
        <v>4</v>
      </c>
      <c r="BO133" s="4"/>
      <c r="BP133" s="127">
        <f>(AK133)/($AW$6)</f>
        <v>7.0707070707070704E-2</v>
      </c>
      <c r="BQ133" s="127">
        <f ca="1">(CH133-$AW$4)/((YEAR($C$13))-$AW$4)</f>
        <v>0</v>
      </c>
      <c r="BR133" s="127">
        <f>(AL133)/($AW$6)</f>
        <v>0</v>
      </c>
      <c r="BS133" s="4"/>
      <c r="BT133" s="127"/>
      <c r="BU133" s="127">
        <f ca="1">(CG133-$AW$4)/((YEAR($C$13))-$AW$4)</f>
        <v>0</v>
      </c>
      <c r="BV133" s="127">
        <f>AE133/5</f>
        <v>1</v>
      </c>
      <c r="BW133" s="127">
        <f>AF133/5</f>
        <v>1</v>
      </c>
      <c r="BX133" s="4"/>
      <c r="BY133" s="148" t="str">
        <f>IF(E133="A",".98",IF(E133="B",".99",IF(E133="C","1.00",IF(E133="D","1.00" ))))</f>
        <v>1.00</v>
      </c>
      <c r="BZ133" s="127">
        <f>(CE133+7)/10</f>
        <v>1</v>
      </c>
      <c r="CA133" s="76" t="str">
        <f>IF(D133="Fern",".97",IF(D133="Grass",".99",IF(D133="Herb",".97",IF(D133="Shrub",".99",IF(D133="Tree","1.00",IF(D133="Vine",".98"))))))</f>
        <v>.99</v>
      </c>
      <c r="CB133" s="149" t="str">
        <f>IF(R133="Bogs Ponds Streams",".96", IF(R133="Coastal Areas",".97",IF(R133="Meadows Dry Open",".96",IF(R133="Forest &amp; Understory",".97",IF(R133="Moist Open",".98",IF(R133="Moist Shady",".96",IF(R133="Sub-Alpine","1.0")))))))</f>
        <v>.98</v>
      </c>
      <c r="CC133" s="76" t="str">
        <f>IF(S133="Local Endemic",".50",IF(S133="Regional Endemic",".70",IF(S133="Cascadia",".90",IF(S133="Rocky Mountain",".95",IF(S133="North America",".99")))))</f>
        <v>.90</v>
      </c>
      <c r="CD133" s="4"/>
      <c r="CE133" s="21">
        <f>IF(W133&gt;3,3,W133)</f>
        <v>3</v>
      </c>
      <c r="CF133" s="21">
        <f>IF(AC133&gt;102,102,AC133)</f>
        <v>15</v>
      </c>
      <c r="CG133" s="34">
        <f>IF(AI133&lt;$AW$4,$AW$4,AI133)</f>
        <v>2004</v>
      </c>
      <c r="CH133" s="34">
        <f>IF(AJ133&lt;$AW$4,$AW$4,AJ133)</f>
        <v>2004</v>
      </c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</row>
    <row r="134" spans="1:115" s="13" customFormat="1" ht="15" customHeight="1" x14ac:dyDescent="0.3">
      <c r="A134" s="235"/>
      <c r="B134" s="218"/>
      <c r="C134" s="375">
        <v>1</v>
      </c>
      <c r="D134" s="95" t="s">
        <v>1155</v>
      </c>
      <c r="E134" s="67" t="s">
        <v>2501</v>
      </c>
      <c r="F134" s="403" t="str">
        <f ca="1">IF(BC134&lt;2025, "Extinct&lt; 6Yrs?",BA134)</f>
        <v>Widespread</v>
      </c>
      <c r="G134" s="376" t="s">
        <v>525</v>
      </c>
      <c r="H134" s="376" t="s">
        <v>4028</v>
      </c>
      <c r="I134" s="379" t="s">
        <v>1185</v>
      </c>
      <c r="J134" s="378" t="s">
        <v>1219</v>
      </c>
      <c r="K134" s="378" t="s">
        <v>1184</v>
      </c>
      <c r="L134" s="63" t="s">
        <v>1831</v>
      </c>
      <c r="M134" s="64" t="s">
        <v>4214</v>
      </c>
      <c r="N134" s="64" t="s">
        <v>5107</v>
      </c>
      <c r="O134" s="64" t="s">
        <v>6006</v>
      </c>
      <c r="P134" s="61" t="s">
        <v>468</v>
      </c>
      <c r="Q134" s="67" t="s">
        <v>2552</v>
      </c>
      <c r="R134" s="163" t="s">
        <v>2497</v>
      </c>
      <c r="S134" s="65" t="s">
        <v>2495</v>
      </c>
      <c r="T134" s="134" t="str">
        <f>IF(R134="Bogs Ponds Streams","20",IF(R134="Coastal Areas","26",IF(R134="Meadows Dry Open","10",IF(R134="Forest &amp; Understory","14",IF(R134="Moist Open","12",IF(R134="Moist Shady","10",IF(R134="Sub-Alpine Slopes","0")))))))</f>
        <v>12</v>
      </c>
      <c r="U134" s="134" t="str">
        <f>IF(R134="Bogs Ponds Streams","52",IF(R134="Coastal Areas","51",IF(R134="Meadows Dry Open","53",IF(R134="Forest &amp; Understory","52",IF(R134="Moist Open","50",IF(R134="Moist Shady","46",IF(R134="Sub-Alpine Slopes","40")))))))</f>
        <v>50</v>
      </c>
      <c r="V134" s="134" t="str">
        <f>IF(R134="Bogs Ponds Streams","84",IF(R134="Coastal Areas","76",IF(R134="Meadows Dry Open","96", IF(R134="Forest &amp; Understory","90", IF(R134="Moist Open","88", IF(R134="Moist Shady","82", IF(R134="Sub-Alpine Slopes","80")))))))</f>
        <v>88</v>
      </c>
      <c r="W134" s="67">
        <v>20</v>
      </c>
      <c r="X134" s="67">
        <v>0</v>
      </c>
      <c r="Y134" s="67">
        <v>3500</v>
      </c>
      <c r="Z134" s="67" t="s">
        <v>2519</v>
      </c>
      <c r="AA134" s="67" t="s">
        <v>2518</v>
      </c>
      <c r="AB134" s="67">
        <v>6.8</v>
      </c>
      <c r="AC134" s="85">
        <f>C134+AK134+(0.1)*AL134</f>
        <v>6.1</v>
      </c>
      <c r="AD134" s="78">
        <v>97</v>
      </c>
      <c r="AE134" s="67">
        <v>5</v>
      </c>
      <c r="AF134" s="67">
        <v>5</v>
      </c>
      <c r="AG134" s="67">
        <v>1900</v>
      </c>
      <c r="AH134" s="78">
        <v>0</v>
      </c>
      <c r="AI134" s="67">
        <f>AJ134</f>
        <v>1998</v>
      </c>
      <c r="AJ134" s="69">
        <v>1998</v>
      </c>
      <c r="AK134" s="69">
        <v>4</v>
      </c>
      <c r="AL134" s="69">
        <v>11</v>
      </c>
      <c r="AM134" s="70">
        <v>5</v>
      </c>
      <c r="AN134" s="70">
        <v>0</v>
      </c>
      <c r="AO134" s="86">
        <v>0</v>
      </c>
      <c r="AP134" s="70">
        <v>0</v>
      </c>
      <c r="AQ134" s="70">
        <v>0</v>
      </c>
      <c r="AR134" s="70">
        <v>0</v>
      </c>
      <c r="AS134" s="86">
        <v>0</v>
      </c>
      <c r="AT134" s="70">
        <v>0</v>
      </c>
      <c r="AU134" s="70">
        <v>0</v>
      </c>
      <c r="AV134" s="70">
        <v>0</v>
      </c>
      <c r="AW134" s="86">
        <v>0</v>
      </c>
      <c r="AX134" s="70">
        <v>0</v>
      </c>
      <c r="AY134" s="233"/>
      <c r="AZ134" s="4"/>
      <c r="BA134" s="35" t="str">
        <f>IF(OR(S134="North America",S134="Rocky Mountain"), "Widespread",BC134)</f>
        <v>Widespread</v>
      </c>
      <c r="BB134" s="4"/>
      <c r="BC134" s="35">
        <f ca="1">IF(BE134&gt;2046, "Abundant",BE134)</f>
        <v>2032.0563622103386</v>
      </c>
      <c r="BD134" s="4"/>
      <c r="BE134" s="81">
        <f ca="1">YEAR($C$13)+(BG134*80)</f>
        <v>2032.0563622103386</v>
      </c>
      <c r="BF134" s="4"/>
      <c r="BG134" s="137">
        <f ca="1">BH134*$BH$14</f>
        <v>0.16320452762923351</v>
      </c>
      <c r="BH134" s="137">
        <f ca="1">(((BJ134+BK134+BM134+BN134)/4)*$BM$11)+(((BP134+BQ134)/2)*$BQ$11)+(((BU134+BV134+BW134)/3)*$BU$11)+(((BY134+BZ134+CA134+CB134+CC134)/5)*$CA$11)</f>
        <v>0.16320452762923351</v>
      </c>
      <c r="BI134" s="4"/>
      <c r="BJ134" s="33">
        <f>AP134/(AM134+AO134)</f>
        <v>0</v>
      </c>
      <c r="BK134" s="33">
        <f>(AN134+AO134)/(AM134+AO134)</f>
        <v>0</v>
      </c>
      <c r="BL134" s="4"/>
      <c r="BM134" s="127">
        <f>CF134/102</f>
        <v>5.9803921568627447E-2</v>
      </c>
      <c r="BN134" s="127">
        <f>C134/2</f>
        <v>0.5</v>
      </c>
      <c r="BO134" s="4"/>
      <c r="BP134" s="127">
        <f>(AK134)/($AW$6)</f>
        <v>4.0404040404040407E-2</v>
      </c>
      <c r="BQ134" s="127">
        <f ca="1">(CH134-$AW$4)/((YEAR($C$13))-$AW$4)</f>
        <v>0</v>
      </c>
      <c r="BR134" s="127">
        <f>(AL134)/($AW$6)</f>
        <v>0.1111111111111111</v>
      </c>
      <c r="BS134" s="4"/>
      <c r="BT134" s="127"/>
      <c r="BU134" s="127">
        <f ca="1">(CG134-$AW$4)/((YEAR($C$13))-$AW$4)</f>
        <v>0</v>
      </c>
      <c r="BV134" s="127">
        <f>AE134/5</f>
        <v>1</v>
      </c>
      <c r="BW134" s="127">
        <f>AF134/5</f>
        <v>1</v>
      </c>
      <c r="BX134" s="4"/>
      <c r="BY134" s="148" t="str">
        <f>IF(E134="A",".98",IF(E134="B",".99",IF(E134="C","1.00",IF(E134="D","1.00" ))))</f>
        <v>1.00</v>
      </c>
      <c r="BZ134" s="127">
        <f>(CE134+7)/10</f>
        <v>1</v>
      </c>
      <c r="CA134" s="76" t="str">
        <f>IF(D134="Fern",".97",IF(D134="Grass",".99",IF(D134="Herb",".97",IF(D134="Shrub",".99",IF(D134="Tree","1.00",IF(D134="Vine",".98"))))))</f>
        <v>.99</v>
      </c>
      <c r="CB134" s="149" t="str">
        <f>IF(R134="Bogs Ponds Streams",".96", IF(R134="Coastal Areas",".97",IF(R134="Meadows Dry Open",".96",IF(R134="Forest &amp; Understory",".97",IF(R134="Moist Open",".98",IF(R134="Moist Shady",".96",IF(R134="Sub-Alpine","1.0")))))))</f>
        <v>.98</v>
      </c>
      <c r="CC134" s="76" t="str">
        <f>IF(S134="Local Endemic",".50",IF(S134="Regional Endemic",".70",IF(S134="Cascadia",".90",IF(S134="Rocky Mountain",".95",IF(S134="North America",".99")))))</f>
        <v>.99</v>
      </c>
      <c r="CD134" s="4"/>
      <c r="CE134" s="21">
        <f>IF(W134&gt;3,3,W134)</f>
        <v>3</v>
      </c>
      <c r="CF134" s="21">
        <f>IF(AC134&gt;102,102,AC134)</f>
        <v>6.1</v>
      </c>
      <c r="CG134" s="34">
        <f>IF(AI134&lt;$AW$4,$AW$4,AI134)</f>
        <v>2004</v>
      </c>
      <c r="CH134" s="34">
        <f>IF(AJ134&lt;$AW$4,$AW$4,AJ134)</f>
        <v>2004</v>
      </c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</row>
    <row r="135" spans="1:115" s="13" customFormat="1" ht="15" customHeight="1" x14ac:dyDescent="0.3">
      <c r="A135" s="235"/>
      <c r="B135" s="218"/>
      <c r="C135" s="226">
        <v>3</v>
      </c>
      <c r="D135" s="104" t="s">
        <v>2505</v>
      </c>
      <c r="E135" s="104" t="s">
        <v>2502</v>
      </c>
      <c r="F135" s="400" t="str">
        <f ca="1">IF(BC135&lt;2025, "Extinct&lt; 6Yrs?",BA135)</f>
        <v>Abundant</v>
      </c>
      <c r="G135" s="369" t="s">
        <v>525</v>
      </c>
      <c r="H135" s="369" t="s">
        <v>4028</v>
      </c>
      <c r="I135" s="370" t="s">
        <v>273</v>
      </c>
      <c r="J135" s="371" t="s">
        <v>3827</v>
      </c>
      <c r="K135" s="371" t="s">
        <v>272</v>
      </c>
      <c r="L135" s="106" t="s">
        <v>1830</v>
      </c>
      <c r="M135" s="111" t="s">
        <v>4215</v>
      </c>
      <c r="N135" s="111" t="s">
        <v>5108</v>
      </c>
      <c r="O135" s="111" t="s">
        <v>6007</v>
      </c>
      <c r="P135" s="105" t="s">
        <v>752</v>
      </c>
      <c r="Q135" s="104" t="s">
        <v>2552</v>
      </c>
      <c r="R135" s="105" t="s">
        <v>2500</v>
      </c>
      <c r="S135" s="105" t="s">
        <v>2459</v>
      </c>
      <c r="T135" s="133" t="str">
        <f>IF(R135="Bogs Ponds Streams","20",IF(R135="Coastal Areas","26",IF(R135="Meadows Dry Open","10",IF(R135="Forest &amp; Understory","14",IF(R135="Moist Open","12",IF(R135="Moist Shady","10",IF(R135="Sub-Alpine Slopes","0")))))))</f>
        <v>10</v>
      </c>
      <c r="U135" s="133" t="str">
        <f>IF(R135="Bogs Ponds Streams","52",IF(R135="Coastal Areas","51",IF(R135="Meadows Dry Open","53",IF(R135="Forest &amp; Understory","52",IF(R135="Moist Open","50",IF(R135="Moist Shady","46",IF(R135="Sub-Alpine Slopes","40")))))))</f>
        <v>53</v>
      </c>
      <c r="V135" s="133" t="str">
        <f>IF(R135="Bogs Ponds Streams","84",IF(R135="Coastal Areas","76",IF(R135="Meadows Dry Open","96", IF(R135="Forest &amp; Understory","90", IF(R135="Moist Open","88", IF(R135="Moist Shady","82", IF(R135="Sub-Alpine Slopes","80")))))))</f>
        <v>96</v>
      </c>
      <c r="W135" s="104">
        <v>1</v>
      </c>
      <c r="X135" s="104">
        <v>0</v>
      </c>
      <c r="Y135" s="104">
        <v>3500</v>
      </c>
      <c r="Z135" s="104" t="s">
        <v>2519</v>
      </c>
      <c r="AA135" s="104" t="s">
        <v>2518</v>
      </c>
      <c r="AB135" s="104">
        <v>6.8</v>
      </c>
      <c r="AC135" s="107">
        <f>C135+AK135+(0.1)*AL135</f>
        <v>9.1999999999999993</v>
      </c>
      <c r="AD135" s="113">
        <v>34</v>
      </c>
      <c r="AE135" s="104">
        <v>5</v>
      </c>
      <c r="AF135" s="104">
        <v>5</v>
      </c>
      <c r="AG135" s="104">
        <v>1900</v>
      </c>
      <c r="AH135" s="113">
        <v>0</v>
      </c>
      <c r="AI135" s="104">
        <f>AJ135</f>
        <v>2004</v>
      </c>
      <c r="AJ135" s="108">
        <v>2004</v>
      </c>
      <c r="AK135" s="108">
        <v>6</v>
      </c>
      <c r="AL135" s="108">
        <v>2</v>
      </c>
      <c r="AM135" s="109">
        <v>5</v>
      </c>
      <c r="AN135" s="109">
        <v>1</v>
      </c>
      <c r="AO135" s="110">
        <v>0</v>
      </c>
      <c r="AP135" s="109">
        <v>0</v>
      </c>
      <c r="AQ135" s="109">
        <v>0</v>
      </c>
      <c r="AR135" s="109">
        <v>0</v>
      </c>
      <c r="AS135" s="110">
        <v>0</v>
      </c>
      <c r="AT135" s="109">
        <v>0</v>
      </c>
      <c r="AU135" s="109">
        <v>0</v>
      </c>
      <c r="AV135" s="109">
        <v>0</v>
      </c>
      <c r="AW135" s="110">
        <v>0</v>
      </c>
      <c r="AX135" s="109">
        <v>0</v>
      </c>
      <c r="AY135" s="233"/>
      <c r="AZ135" s="4"/>
      <c r="BA135" s="35" t="str">
        <f ca="1">IF(OR(S135="North America",S135="Rocky Mountain"), "Widespread",BC135)</f>
        <v>Abundant</v>
      </c>
      <c r="BB135" s="4"/>
      <c r="BC135" s="35" t="str">
        <f ca="1">IF(BE135&gt;2046, "Abundant",BE135)</f>
        <v>Abundant</v>
      </c>
      <c r="BD135" s="4"/>
      <c r="BE135" s="81">
        <f ca="1">YEAR($C$13)+(BG135*80)</f>
        <v>2046.951492335116</v>
      </c>
      <c r="BF135" s="4"/>
      <c r="BG135" s="137">
        <f ca="1">BH135*$BH$14</f>
        <v>0.34939365418894835</v>
      </c>
      <c r="BH135" s="137">
        <f ca="1">(((BJ135+BK135+BM135+BN135)/4)*$BM$11)+(((BP135+BQ135)/2)*$BQ$11)+(((BU135+BV135+BW135)/3)*$BU$11)+(((BY135+BZ135+CA135+CB135+CC135)/5)*$CA$11)</f>
        <v>0.34939365418894835</v>
      </c>
      <c r="BI135" s="4"/>
      <c r="BJ135" s="33">
        <f>AP135/(AM135+AO135)</f>
        <v>0</v>
      </c>
      <c r="BK135" s="33">
        <f>(AN135+AO135)/(AM135+AO135)</f>
        <v>0.2</v>
      </c>
      <c r="BL135" s="4"/>
      <c r="BM135" s="127">
        <f>CF135/102</f>
        <v>9.0196078431372548E-2</v>
      </c>
      <c r="BN135" s="127">
        <f>C135/2</f>
        <v>1.5</v>
      </c>
      <c r="BO135" s="4"/>
      <c r="BP135" s="127">
        <f>(AK135)/($AW$6)</f>
        <v>6.0606060606060608E-2</v>
      </c>
      <c r="BQ135" s="127">
        <f ca="1">(CH135-$AW$4)/((YEAR($C$13))-$AW$4)</f>
        <v>0</v>
      </c>
      <c r="BR135" s="127">
        <f>(AL135)/($AW$6)</f>
        <v>2.0202020202020204E-2</v>
      </c>
      <c r="BS135" s="4"/>
      <c r="BT135" s="127"/>
      <c r="BU135" s="127">
        <f ca="1">(CG135-$AW$4)/((YEAR($C$13))-$AW$4)</f>
        <v>0</v>
      </c>
      <c r="BV135" s="127">
        <f>AE135/5</f>
        <v>1</v>
      </c>
      <c r="BW135" s="127">
        <f>AF135/5</f>
        <v>1</v>
      </c>
      <c r="BX135" s="4"/>
      <c r="BY135" s="148" t="str">
        <f>IF(E135="A",".98",IF(E135="B",".99",IF(E135="C","1.00",IF(E135="D","1.00" ))))</f>
        <v>.98</v>
      </c>
      <c r="BZ135" s="127">
        <f>(CE135+7)/10</f>
        <v>0.8</v>
      </c>
      <c r="CA135" s="76" t="str">
        <f>IF(D135="Fern",".97",IF(D135="Grass",".99",IF(D135="Herb",".97",IF(D135="Shrub",".99",IF(D135="Tree","1.00",IF(D135="Vine",".98"))))))</f>
        <v>.97</v>
      </c>
      <c r="CB135" s="149" t="str">
        <f>IF(R135="Bogs Ponds Streams",".96", IF(R135="Coastal Areas",".97",IF(R135="Meadows Dry Open",".96",IF(R135="Forest &amp; Understory",".97",IF(R135="Moist Open",".98",IF(R135="Moist Shady",".96",IF(R135="Sub-Alpine","1.0")))))))</f>
        <v>.96</v>
      </c>
      <c r="CC135" s="76" t="str">
        <f>IF(S135="Local Endemic",".50",IF(S135="Regional Endemic",".70",IF(S135="Cascadia",".90",IF(S135="Rocky Mountain",".95",IF(S135="North America",".99")))))</f>
        <v>.90</v>
      </c>
      <c r="CD135" s="4"/>
      <c r="CE135" s="21">
        <f>IF(W135&gt;3,3,W135)</f>
        <v>1</v>
      </c>
      <c r="CF135" s="21">
        <f>IF(AC135&gt;102,102,AC135)</f>
        <v>9.1999999999999993</v>
      </c>
      <c r="CG135" s="34">
        <f>IF(AI135&lt;$AW$4,$AW$4,AI135)</f>
        <v>2004</v>
      </c>
      <c r="CH135" s="34">
        <f>IF(AJ135&lt;$AW$4,$AW$4,AJ135)</f>
        <v>2004</v>
      </c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</row>
    <row r="136" spans="1:115" s="13" customFormat="1" ht="15" customHeight="1" x14ac:dyDescent="0.3">
      <c r="A136" s="235"/>
      <c r="B136" s="218"/>
      <c r="C136" s="375">
        <v>1</v>
      </c>
      <c r="D136" s="67" t="s">
        <v>2505</v>
      </c>
      <c r="E136" s="67" t="s">
        <v>2501</v>
      </c>
      <c r="F136" s="403" t="str">
        <f ca="1">IF(BC136&lt;2025, "Extinct&lt; 6Yrs?",BA136)</f>
        <v>Widespread</v>
      </c>
      <c r="G136" s="376" t="s">
        <v>525</v>
      </c>
      <c r="H136" s="376" t="s">
        <v>4028</v>
      </c>
      <c r="I136" s="380" t="s">
        <v>880</v>
      </c>
      <c r="J136" s="378" t="s">
        <v>4080</v>
      </c>
      <c r="K136" s="378" t="s">
        <v>151</v>
      </c>
      <c r="L136" s="63" t="s">
        <v>1829</v>
      </c>
      <c r="M136" s="64" t="s">
        <v>4216</v>
      </c>
      <c r="N136" s="64" t="s">
        <v>5109</v>
      </c>
      <c r="O136" s="64" t="s">
        <v>6008</v>
      </c>
      <c r="P136" s="61" t="s">
        <v>672</v>
      </c>
      <c r="Q136" s="67" t="s">
        <v>2552</v>
      </c>
      <c r="R136" s="61" t="s">
        <v>2499</v>
      </c>
      <c r="S136" s="65" t="s">
        <v>2495</v>
      </c>
      <c r="T136" s="134" t="str">
        <f>IF(R136="Bogs Ponds Streams","20",IF(R136="Coastal Areas","26",IF(R136="Meadows Dry Open","10",IF(R136="Forest &amp; Understory","14",IF(R136="Moist Open","12",IF(R136="Moist Shady","10",IF(R136="Sub-Alpine Slopes","0")))))))</f>
        <v>20</v>
      </c>
      <c r="U136" s="134" t="str">
        <f>IF(R136="Bogs Ponds Streams","52",IF(R136="Coastal Areas","51",IF(R136="Meadows Dry Open","53",IF(R136="Forest &amp; Understory","52",IF(R136="Moist Open","50",IF(R136="Moist Shady","46",IF(R136="Sub-Alpine Slopes","40")))))))</f>
        <v>52</v>
      </c>
      <c r="V136" s="134" t="str">
        <f>IF(R136="Bogs Ponds Streams","84",IF(R136="Coastal Areas","76",IF(R136="Meadows Dry Open","96", IF(R136="Forest &amp; Understory","90", IF(R136="Moist Open","88", IF(R136="Moist Shady","82", IF(R136="Sub-Alpine Slopes","80")))))))</f>
        <v>84</v>
      </c>
      <c r="W136" s="67">
        <v>20</v>
      </c>
      <c r="X136" s="67">
        <v>0</v>
      </c>
      <c r="Y136" s="67">
        <v>3500</v>
      </c>
      <c r="Z136" s="67" t="s">
        <v>2519</v>
      </c>
      <c r="AA136" s="67" t="s">
        <v>2518</v>
      </c>
      <c r="AB136" s="67">
        <v>6.8</v>
      </c>
      <c r="AC136" s="85">
        <f>C136+AK136+(0.1)*AL136</f>
        <v>14.3</v>
      </c>
      <c r="AD136" s="78">
        <v>35</v>
      </c>
      <c r="AE136" s="67">
        <v>5</v>
      </c>
      <c r="AF136" s="67">
        <v>5</v>
      </c>
      <c r="AG136" s="67">
        <v>1900</v>
      </c>
      <c r="AH136" s="78">
        <v>0</v>
      </c>
      <c r="AI136" s="67">
        <f>AJ136</f>
        <v>2006</v>
      </c>
      <c r="AJ136" s="69">
        <v>2006</v>
      </c>
      <c r="AK136" s="69">
        <v>13</v>
      </c>
      <c r="AL136" s="69">
        <v>3</v>
      </c>
      <c r="AM136" s="70">
        <v>5</v>
      </c>
      <c r="AN136" s="70">
        <v>0</v>
      </c>
      <c r="AO136" s="86">
        <v>0</v>
      </c>
      <c r="AP136" s="70">
        <v>0</v>
      </c>
      <c r="AQ136" s="70">
        <v>0</v>
      </c>
      <c r="AR136" s="70">
        <v>0</v>
      </c>
      <c r="AS136" s="86">
        <v>0</v>
      </c>
      <c r="AT136" s="70">
        <v>0</v>
      </c>
      <c r="AU136" s="70">
        <v>0</v>
      </c>
      <c r="AV136" s="70">
        <v>0</v>
      </c>
      <c r="AW136" s="86">
        <v>0</v>
      </c>
      <c r="AX136" s="70">
        <v>0</v>
      </c>
      <c r="AY136" s="233"/>
      <c r="AZ136" s="4"/>
      <c r="BA136" s="35" t="str">
        <f>IF(OR(S136="North America",S136="Rocky Mountain"), "Widespread",BC136)</f>
        <v>Widespread</v>
      </c>
      <c r="BB136" s="4"/>
      <c r="BC136" s="35">
        <f ca="1">IF(BE136&gt;2046, "Abundant",BE136)</f>
        <v>2035.9836216280451</v>
      </c>
      <c r="BD136" s="4"/>
      <c r="BE136" s="81">
        <f ca="1">YEAR($C$13)+(BG136*80)</f>
        <v>2035.9836216280451</v>
      </c>
      <c r="BF136" s="4"/>
      <c r="BG136" s="137">
        <f ca="1">BH136*$BH$14</f>
        <v>0.21229527035056447</v>
      </c>
      <c r="BH136" s="137">
        <f ca="1">(((BJ136+BK136+BM136+BN136)/4)*$BM$11)+(((BP136+BQ136)/2)*$BQ$11)+(((BU136+BV136+BW136)/3)*$BU$11)+(((BY136+BZ136+CA136+CB136+CC136)/5)*$CA$11)</f>
        <v>0.21229527035056447</v>
      </c>
      <c r="BI136" s="4"/>
      <c r="BJ136" s="33">
        <f>AP136/(AM136+AO136)</f>
        <v>0</v>
      </c>
      <c r="BK136" s="33">
        <f>(AN136+AO136)/(AM136+AO136)</f>
        <v>0</v>
      </c>
      <c r="BL136" s="4"/>
      <c r="BM136" s="127">
        <f>CF136/102</f>
        <v>0.14019607843137255</v>
      </c>
      <c r="BN136" s="127">
        <f>C136/2</f>
        <v>0.5</v>
      </c>
      <c r="BO136" s="4"/>
      <c r="BP136" s="127">
        <f>(AK136)/($AW$6)</f>
        <v>0.13131313131313133</v>
      </c>
      <c r="BQ136" s="127">
        <f ca="1">(CH136-$AW$4)/((YEAR($C$13))-$AW$4)</f>
        <v>0.13333333333333333</v>
      </c>
      <c r="BR136" s="127">
        <f>(AL136)/($AW$6)</f>
        <v>3.0303030303030304E-2</v>
      </c>
      <c r="BS136" s="4"/>
      <c r="BT136" s="127"/>
      <c r="BU136" s="127">
        <f ca="1">(CG136-$AW$4)/((YEAR($C$13))-$AW$4)</f>
        <v>0.13333333333333333</v>
      </c>
      <c r="BV136" s="127">
        <f>AE136/5</f>
        <v>1</v>
      </c>
      <c r="BW136" s="127">
        <f>AF136/5</f>
        <v>1</v>
      </c>
      <c r="BX136" s="4"/>
      <c r="BY136" s="148" t="str">
        <f>IF(E136="A",".98",IF(E136="B",".99",IF(E136="C","1.00",IF(E136="D","1.00" ))))</f>
        <v>1.00</v>
      </c>
      <c r="BZ136" s="127">
        <f>(CE136+7)/10</f>
        <v>1</v>
      </c>
      <c r="CA136" s="76" t="str">
        <f>IF(D136="Fern",".97",IF(D136="Grass",".99",IF(D136="Herb",".97",IF(D136="Shrub",".99",IF(D136="Tree","1.00",IF(D136="Vine",".98"))))))</f>
        <v>.97</v>
      </c>
      <c r="CB136" s="149" t="str">
        <f>IF(R136="Bogs Ponds Streams",".96", IF(R136="Coastal Areas",".97",IF(R136="Meadows Dry Open",".96",IF(R136="Forest &amp; Understory",".97",IF(R136="Moist Open",".98",IF(R136="Moist Shady",".96",IF(R136="Sub-Alpine","1.0")))))))</f>
        <v>.96</v>
      </c>
      <c r="CC136" s="76" t="str">
        <f>IF(S136="Local Endemic",".50",IF(S136="Regional Endemic",".70",IF(S136="Cascadia",".90",IF(S136="Rocky Mountain",".95",IF(S136="North America",".99")))))</f>
        <v>.99</v>
      </c>
      <c r="CD136" s="4"/>
      <c r="CE136" s="21">
        <f>IF(W136&gt;3,3,W136)</f>
        <v>3</v>
      </c>
      <c r="CF136" s="21">
        <f>IF(AC136&gt;102,102,AC136)</f>
        <v>14.3</v>
      </c>
      <c r="CG136" s="34">
        <f>IF(AI136&lt;$AW$4,$AW$4,AI136)</f>
        <v>2006</v>
      </c>
      <c r="CH136" s="34">
        <f>IF(AJ136&lt;$AW$4,$AW$4,AJ136)</f>
        <v>2006</v>
      </c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12"/>
    </row>
    <row r="137" spans="1:115" s="13" customFormat="1" ht="15" customHeight="1" x14ac:dyDescent="0.3">
      <c r="A137" s="235"/>
      <c r="B137" s="218"/>
      <c r="C137" s="226">
        <v>2</v>
      </c>
      <c r="D137" s="104" t="s">
        <v>2505</v>
      </c>
      <c r="E137" s="104" t="s">
        <v>2501</v>
      </c>
      <c r="F137" s="400" t="str">
        <f ca="1">IF(BC137&lt;2025, "Extinct&lt; 6Yrs?",BA137)</f>
        <v>Widespread</v>
      </c>
      <c r="G137" s="369" t="s">
        <v>525</v>
      </c>
      <c r="H137" s="369" t="s">
        <v>4028</v>
      </c>
      <c r="I137" s="370" t="s">
        <v>152</v>
      </c>
      <c r="J137" s="371" t="s">
        <v>3826</v>
      </c>
      <c r="K137" s="371" t="s">
        <v>881</v>
      </c>
      <c r="L137" s="106" t="s">
        <v>1828</v>
      </c>
      <c r="M137" s="111" t="s">
        <v>4217</v>
      </c>
      <c r="N137" s="111" t="s">
        <v>5110</v>
      </c>
      <c r="O137" s="111" t="s">
        <v>6009</v>
      </c>
      <c r="P137" s="105" t="s">
        <v>672</v>
      </c>
      <c r="Q137" s="104" t="s">
        <v>2552</v>
      </c>
      <c r="R137" s="105" t="s">
        <v>2499</v>
      </c>
      <c r="S137" s="105" t="s">
        <v>2495</v>
      </c>
      <c r="T137" s="133" t="str">
        <f>IF(R137="Bogs Ponds Streams","20",IF(R137="Coastal Areas","26",IF(R137="Meadows Dry Open","10",IF(R137="Forest &amp; Understory","14",IF(R137="Moist Open","12",IF(R137="Moist Shady","10",IF(R137="Sub-Alpine Slopes","0")))))))</f>
        <v>20</v>
      </c>
      <c r="U137" s="133" t="str">
        <f>IF(R137="Bogs Ponds Streams","52",IF(R137="Coastal Areas","51",IF(R137="Meadows Dry Open","53",IF(R137="Forest &amp; Understory","52",IF(R137="Moist Open","50",IF(R137="Moist Shady","46",IF(R137="Sub-Alpine Slopes","40")))))))</f>
        <v>52</v>
      </c>
      <c r="V137" s="133" t="str">
        <f>IF(R137="Bogs Ponds Streams","84",IF(R137="Coastal Areas","76",IF(R137="Meadows Dry Open","96", IF(R137="Forest &amp; Understory","90", IF(R137="Moist Open","88", IF(R137="Moist Shady","82", IF(R137="Sub-Alpine Slopes","80")))))))</f>
        <v>84</v>
      </c>
      <c r="W137" s="104">
        <v>20</v>
      </c>
      <c r="X137" s="104">
        <v>0</v>
      </c>
      <c r="Y137" s="104">
        <v>3500</v>
      </c>
      <c r="Z137" s="104" t="s">
        <v>2519</v>
      </c>
      <c r="AA137" s="104" t="s">
        <v>2518</v>
      </c>
      <c r="AB137" s="104">
        <v>6.8</v>
      </c>
      <c r="AC137" s="107">
        <f>C137+AK137+(0.1)*AL137</f>
        <v>6.8</v>
      </c>
      <c r="AD137" s="113">
        <v>62</v>
      </c>
      <c r="AE137" s="104">
        <v>5</v>
      </c>
      <c r="AF137" s="104">
        <v>5</v>
      </c>
      <c r="AG137" s="104">
        <v>1900</v>
      </c>
      <c r="AH137" s="113">
        <v>0</v>
      </c>
      <c r="AI137" s="104">
        <f>AJ137</f>
        <v>2005</v>
      </c>
      <c r="AJ137" s="108">
        <v>2005</v>
      </c>
      <c r="AK137" s="108">
        <v>4</v>
      </c>
      <c r="AL137" s="108">
        <v>8</v>
      </c>
      <c r="AM137" s="109">
        <v>5</v>
      </c>
      <c r="AN137" s="109">
        <v>1</v>
      </c>
      <c r="AO137" s="110">
        <v>0</v>
      </c>
      <c r="AP137" s="109">
        <v>0</v>
      </c>
      <c r="AQ137" s="109">
        <v>0</v>
      </c>
      <c r="AR137" s="109">
        <v>0</v>
      </c>
      <c r="AS137" s="110">
        <v>0</v>
      </c>
      <c r="AT137" s="109">
        <v>0</v>
      </c>
      <c r="AU137" s="109">
        <v>0</v>
      </c>
      <c r="AV137" s="109">
        <v>0</v>
      </c>
      <c r="AW137" s="110">
        <v>0</v>
      </c>
      <c r="AX137" s="109">
        <v>0</v>
      </c>
      <c r="AY137" s="233"/>
      <c r="AZ137" s="4"/>
      <c r="BA137" s="35" t="str">
        <f>IF(OR(S137="North America",S137="Rocky Mountain"), "Widespread",BC137)</f>
        <v>Widespread</v>
      </c>
      <c r="BB137" s="4"/>
      <c r="BC137" s="35">
        <f ca="1">IF(BE137&gt;2046, "Abundant",BE137)</f>
        <v>2041.4681373737374</v>
      </c>
      <c r="BD137" s="4"/>
      <c r="BE137" s="81">
        <f ca="1">YEAR($C$13)+(BG137*80)</f>
        <v>2041.4681373737374</v>
      </c>
      <c r="BF137" s="4"/>
      <c r="BG137" s="137">
        <f ca="1">BH137*$BH$14</f>
        <v>0.28085171717171709</v>
      </c>
      <c r="BH137" s="137">
        <f ca="1">(((BJ137+BK137+BM137+BN137)/4)*$BM$11)+(((BP137+BQ137)/2)*$BQ$11)+(((BU137+BV137+BW137)/3)*$BU$11)+(((BY137+BZ137+CA137+CB137+CC137)/5)*$CA$11)</f>
        <v>0.28085171717171709</v>
      </c>
      <c r="BI137" s="4"/>
      <c r="BJ137" s="33">
        <f>AP137/(AM137+AO137)</f>
        <v>0</v>
      </c>
      <c r="BK137" s="33">
        <f>(AN137+AO137)/(AM137+AO137)</f>
        <v>0.2</v>
      </c>
      <c r="BL137" s="4"/>
      <c r="BM137" s="127">
        <f>CF137/102</f>
        <v>6.6666666666666666E-2</v>
      </c>
      <c r="BN137" s="127">
        <f>C137/2</f>
        <v>1</v>
      </c>
      <c r="BO137" s="4"/>
      <c r="BP137" s="127">
        <f>(AK137)/($AW$6)</f>
        <v>4.0404040404040407E-2</v>
      </c>
      <c r="BQ137" s="127">
        <f ca="1">(CH137-$AW$4)/((YEAR($C$13))-$AW$4)</f>
        <v>6.6666666666666666E-2</v>
      </c>
      <c r="BR137" s="127">
        <f>(AL137)/($AW$6)</f>
        <v>8.0808080808080815E-2</v>
      </c>
      <c r="BS137" s="4"/>
      <c r="BT137" s="127"/>
      <c r="BU137" s="127">
        <f ca="1">(CG137-$AW$4)/((YEAR($C$13))-$AW$4)</f>
        <v>6.6666666666666666E-2</v>
      </c>
      <c r="BV137" s="127">
        <f>AE137/5</f>
        <v>1</v>
      </c>
      <c r="BW137" s="127">
        <f>AF137/5</f>
        <v>1</v>
      </c>
      <c r="BX137" s="4"/>
      <c r="BY137" s="148" t="str">
        <f>IF(E137="A",".98",IF(E137="B",".99",IF(E137="C","1.00",IF(E137="D","1.00" ))))</f>
        <v>1.00</v>
      </c>
      <c r="BZ137" s="127">
        <f>(CE137+7)/10</f>
        <v>1</v>
      </c>
      <c r="CA137" s="76" t="str">
        <f>IF(D137="Fern",".97",IF(D137="Grass",".99",IF(D137="Herb",".97",IF(D137="Shrub",".99",IF(D137="Tree","1.00",IF(D137="Vine",".98"))))))</f>
        <v>.97</v>
      </c>
      <c r="CB137" s="149" t="str">
        <f>IF(R137="Bogs Ponds Streams",".96", IF(R137="Coastal Areas",".97",IF(R137="Meadows Dry Open",".96",IF(R137="Forest &amp; Understory",".97",IF(R137="Moist Open",".98",IF(R137="Moist Shady",".96",IF(R137="Sub-Alpine","1.0")))))))</f>
        <v>.96</v>
      </c>
      <c r="CC137" s="76" t="str">
        <f>IF(S137="Local Endemic",".50",IF(S137="Regional Endemic",".70",IF(S137="Cascadia",".90",IF(S137="Rocky Mountain",".95",IF(S137="North America",".99")))))</f>
        <v>.99</v>
      </c>
      <c r="CD137" s="4"/>
      <c r="CE137" s="21">
        <f>IF(W137&gt;3,3,W137)</f>
        <v>3</v>
      </c>
      <c r="CF137" s="21">
        <f>IF(AC137&gt;102,102,AC137)</f>
        <v>6.8</v>
      </c>
      <c r="CG137" s="34">
        <f>IF(AI137&lt;$AW$4,$AW$4,AI137)</f>
        <v>2005</v>
      </c>
      <c r="CH137" s="34">
        <f>IF(AJ137&lt;$AW$4,$AW$4,AJ137)</f>
        <v>2005</v>
      </c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12"/>
    </row>
    <row r="138" spans="1:115" s="13" customFormat="1" ht="15" customHeight="1" x14ac:dyDescent="0.3">
      <c r="A138" s="235"/>
      <c r="B138" s="218"/>
      <c r="C138" s="225">
        <v>8</v>
      </c>
      <c r="D138" s="59" t="s">
        <v>2507</v>
      </c>
      <c r="E138" s="59" t="s">
        <v>2504</v>
      </c>
      <c r="F138" s="397" t="str">
        <f ca="1">IF(BC138&lt;2025, "Extinct&lt; 6Yrs?",BA138)</f>
        <v>Abundant</v>
      </c>
      <c r="G138" s="363" t="s">
        <v>525</v>
      </c>
      <c r="H138" s="363" t="s">
        <v>689</v>
      </c>
      <c r="I138" s="366" t="s">
        <v>2581</v>
      </c>
      <c r="J138" s="365" t="s">
        <v>3253</v>
      </c>
      <c r="K138" s="365" t="s">
        <v>882</v>
      </c>
      <c r="L138" s="10" t="s">
        <v>1827</v>
      </c>
      <c r="M138" s="8" t="s">
        <v>4218</v>
      </c>
      <c r="N138" s="8" t="s">
        <v>5111</v>
      </c>
      <c r="O138" s="8" t="s">
        <v>6010</v>
      </c>
      <c r="P138" s="9" t="s">
        <v>536</v>
      </c>
      <c r="Q138" s="59" t="s">
        <v>2552</v>
      </c>
      <c r="R138" s="9" t="s">
        <v>2498</v>
      </c>
      <c r="S138" s="9" t="s">
        <v>2459</v>
      </c>
      <c r="T138" s="123" t="str">
        <f>IF(R138="Bogs Ponds Streams","20",IF(R138="Coastal Areas","26",IF(R138="Meadows Dry Open","10",IF(R138="Forest &amp; Understory","14",IF(R138="Moist Open","12",IF(R138="Moist Shady","10",IF(R138="Sub-Alpine Slopes","0")))))))</f>
        <v>10</v>
      </c>
      <c r="U138" s="123" t="str">
        <f>IF(R138="Bogs Ponds Streams","52",IF(R138="Coastal Areas","51",IF(R138="Meadows Dry Open","53",IF(R138="Forest &amp; Understory","52",IF(R138="Moist Open","50",IF(R138="Moist Shady","46",IF(R138="Sub-Alpine Slopes","40")))))))</f>
        <v>46</v>
      </c>
      <c r="V138" s="123" t="str">
        <f>IF(R138="Bogs Ponds Streams","84",IF(R138="Coastal Areas","76",IF(R138="Meadows Dry Open","96", IF(R138="Forest &amp; Understory","90", IF(R138="Moist Open","88", IF(R138="Moist Shady","82", IF(R138="Sub-Alpine Slopes","80")))))))</f>
        <v>82</v>
      </c>
      <c r="W138" s="59">
        <v>200</v>
      </c>
      <c r="X138" s="59">
        <v>0</v>
      </c>
      <c r="Y138" s="59">
        <v>3500</v>
      </c>
      <c r="Z138" s="59" t="s">
        <v>2519</v>
      </c>
      <c r="AA138" s="59" t="s">
        <v>2518</v>
      </c>
      <c r="AB138" s="59">
        <v>6.8</v>
      </c>
      <c r="AC138" s="45">
        <f>C138+AK138+(0.1)*AL138</f>
        <v>24.8</v>
      </c>
      <c r="AD138" s="77">
        <v>54</v>
      </c>
      <c r="AE138" s="59">
        <v>5</v>
      </c>
      <c r="AF138" s="59">
        <v>5</v>
      </c>
      <c r="AG138" s="59">
        <v>1900</v>
      </c>
      <c r="AH138" s="77">
        <v>0</v>
      </c>
      <c r="AI138" s="59">
        <f ca="1">AJ138</f>
        <v>2019</v>
      </c>
      <c r="AJ138" s="18">
        <f ca="1">YEAR(TODAY())</f>
        <v>2019</v>
      </c>
      <c r="AK138" s="18">
        <v>14</v>
      </c>
      <c r="AL138" s="18">
        <v>28</v>
      </c>
      <c r="AM138" s="18">
        <v>1</v>
      </c>
      <c r="AN138" s="18">
        <v>1</v>
      </c>
      <c r="AO138" s="18">
        <v>5</v>
      </c>
      <c r="AP138" s="18">
        <v>1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233"/>
      <c r="AZ138" s="4"/>
      <c r="BA138" s="35" t="str">
        <f ca="1">IF(OR(S138="North America",S138="Rocky Mountain"), "Widespread",BC138)</f>
        <v>Abundant</v>
      </c>
      <c r="BB138" s="4"/>
      <c r="BC138" s="35" t="str">
        <f ca="1">IF(BE138&gt;2046, "Abundant",BE138)</f>
        <v>Abundant</v>
      </c>
      <c r="BD138" s="4"/>
      <c r="BE138" s="81">
        <f ca="1">YEAR($C$13)+(BG138*80)</f>
        <v>2105.569816755793</v>
      </c>
      <c r="BF138" s="4"/>
      <c r="BG138" s="137">
        <f ca="1">BH138*$BH$14</f>
        <v>1.0821227094474153</v>
      </c>
      <c r="BH138" s="137">
        <f ca="1">(((BJ138+BK138+BM138+BN138)/4)*$BM$11)+(((BP138+BQ138)/2)*$BQ$11)+(((BU138+BV138+BW138)/3)*$BU$11)+(((BY138+BZ138+CA138+CB138+CC138)/5)*$CA$11)</f>
        <v>1.0821227094474153</v>
      </c>
      <c r="BI138" s="4"/>
      <c r="BJ138" s="33">
        <f>AP138/(AM138+AO138)</f>
        <v>0.16666666666666666</v>
      </c>
      <c r="BK138" s="33">
        <f>(AN138+AO138)/(AM138+AO138)</f>
        <v>1</v>
      </c>
      <c r="BL138" s="4"/>
      <c r="BM138" s="127">
        <f>CF138/102</f>
        <v>0.24313725490196078</v>
      </c>
      <c r="BN138" s="127">
        <f>C138/2</f>
        <v>4</v>
      </c>
      <c r="BO138" s="4"/>
      <c r="BP138" s="127">
        <f>(AK138)/($AW$6)</f>
        <v>0.14141414141414141</v>
      </c>
      <c r="BQ138" s="127">
        <f ca="1">(CH138-$AW$4)/((YEAR($C$13))-$AW$4)</f>
        <v>1</v>
      </c>
      <c r="BR138" s="127">
        <f>(AL138)/($AW$6)</f>
        <v>0.28282828282828282</v>
      </c>
      <c r="BS138" s="4"/>
      <c r="BT138" s="127"/>
      <c r="BU138" s="127">
        <f ca="1">(CG138-$AW$4)/((YEAR($C$13))-$AW$4)</f>
        <v>1</v>
      </c>
      <c r="BV138" s="127">
        <f>AE138/5</f>
        <v>1</v>
      </c>
      <c r="BW138" s="127">
        <f>AF138/5</f>
        <v>1</v>
      </c>
      <c r="BX138" s="4"/>
      <c r="BY138" s="148" t="str">
        <f>IF(E138="A",".98",IF(E138="B",".99",IF(E138="C","1.00",IF(E138="D","1.00" ))))</f>
        <v>1.00</v>
      </c>
      <c r="BZ138" s="127">
        <f>(CE138+7)/10</f>
        <v>1</v>
      </c>
      <c r="CA138" s="76" t="str">
        <f>IF(D138="Fern",".97",IF(D138="Grass",".99",IF(D138="Herb",".97",IF(D138="Shrub",".99",IF(D138="Tree","1.00",IF(D138="Vine",".98"))))))</f>
        <v>1.00</v>
      </c>
      <c r="CB138" s="149" t="str">
        <f>IF(R138="Bogs Ponds Streams",".96", IF(R138="Coastal Areas",".97",IF(R138="Meadows Dry Open",".96",IF(R138="Forest &amp; Understory",".97",IF(R138="Moist Open",".98",IF(R138="Moist Shady",".96",IF(R138="Sub-Alpine","1.0")))))))</f>
        <v>.96</v>
      </c>
      <c r="CC138" s="76" t="str">
        <f>IF(S138="Local Endemic",".50",IF(S138="Regional Endemic",".70",IF(S138="Cascadia",".90",IF(S138="Rocky Mountain",".95",IF(S138="North America",".99")))))</f>
        <v>.90</v>
      </c>
      <c r="CD138" s="4"/>
      <c r="CE138" s="21">
        <f>IF(W138&gt;3,3,W138)</f>
        <v>3</v>
      </c>
      <c r="CF138" s="21">
        <f>IF(AC138&gt;102,102,AC138)</f>
        <v>24.8</v>
      </c>
      <c r="CG138" s="34">
        <f ca="1">IF(AI138&lt;$AW$4,$AW$4,AI138)</f>
        <v>2019</v>
      </c>
      <c r="CH138" s="34">
        <f ca="1">IF(AJ138&lt;$AW$4,$AW$4,AJ138)</f>
        <v>2019</v>
      </c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12"/>
    </row>
    <row r="139" spans="1:115" s="13" customFormat="1" ht="15" customHeight="1" x14ac:dyDescent="0.3">
      <c r="A139" s="235"/>
      <c r="B139" s="218"/>
      <c r="C139" s="225">
        <v>8</v>
      </c>
      <c r="D139" s="59" t="s">
        <v>2505</v>
      </c>
      <c r="E139" s="59" t="s">
        <v>2501</v>
      </c>
      <c r="F139" s="397" t="str">
        <f ca="1">IF(BC139&lt;2025, "Extinct&lt; 6Yrs?",BA139)</f>
        <v>Widespread</v>
      </c>
      <c r="G139" s="363" t="s">
        <v>525</v>
      </c>
      <c r="H139" s="363" t="s">
        <v>684</v>
      </c>
      <c r="I139" s="367" t="s">
        <v>708</v>
      </c>
      <c r="J139" s="365" t="s">
        <v>3254</v>
      </c>
      <c r="K139" s="365" t="s">
        <v>707</v>
      </c>
      <c r="L139" s="10" t="s">
        <v>1826</v>
      </c>
      <c r="M139" s="8" t="s">
        <v>4219</v>
      </c>
      <c r="N139" s="8" t="s">
        <v>5112</v>
      </c>
      <c r="O139" s="8" t="s">
        <v>6011</v>
      </c>
      <c r="P139" s="9" t="s">
        <v>285</v>
      </c>
      <c r="Q139" s="59" t="s">
        <v>2552</v>
      </c>
      <c r="R139" s="9" t="s">
        <v>2498</v>
      </c>
      <c r="S139" s="9" t="s">
        <v>2479</v>
      </c>
      <c r="T139" s="123" t="str">
        <f>IF(R139="Bogs Ponds Streams","20",IF(R139="Coastal Areas","26",IF(R139="Meadows Dry Open","10",IF(R139="Forest &amp; Understory","14",IF(R139="Moist Open","12",IF(R139="Moist Shady","10",IF(R139="Sub-Alpine Slopes","0")))))))</f>
        <v>10</v>
      </c>
      <c r="U139" s="123" t="str">
        <f>IF(R139="Bogs Ponds Streams","52",IF(R139="Coastal Areas","51",IF(R139="Meadows Dry Open","53",IF(R139="Forest &amp; Understory","52",IF(R139="Moist Open","50",IF(R139="Moist Shady","46",IF(R139="Sub-Alpine Slopes","40")))))))</f>
        <v>46</v>
      </c>
      <c r="V139" s="123" t="str">
        <f>IF(R139="Bogs Ponds Streams","84",IF(R139="Coastal Areas","76",IF(R139="Meadows Dry Open","96", IF(R139="Forest &amp; Understory","90", IF(R139="Moist Open","88", IF(R139="Moist Shady","82", IF(R139="Sub-Alpine Slopes","80")))))))</f>
        <v>82</v>
      </c>
      <c r="W139" s="59">
        <v>20</v>
      </c>
      <c r="X139" s="59">
        <v>0</v>
      </c>
      <c r="Y139" s="59">
        <v>3500</v>
      </c>
      <c r="Z139" s="59" t="s">
        <v>2519</v>
      </c>
      <c r="AA139" s="59" t="s">
        <v>2518</v>
      </c>
      <c r="AB139" s="59">
        <v>6.8</v>
      </c>
      <c r="AC139" s="45">
        <f>C139+AK139+(0.1)*AL139</f>
        <v>15.2</v>
      </c>
      <c r="AD139" s="77">
        <v>74</v>
      </c>
      <c r="AE139" s="59">
        <v>5</v>
      </c>
      <c r="AF139" s="59">
        <v>5</v>
      </c>
      <c r="AG139" s="59">
        <v>1900</v>
      </c>
      <c r="AH139" s="77">
        <v>0</v>
      </c>
      <c r="AI139" s="59">
        <f ca="1">AJ139</f>
        <v>2019</v>
      </c>
      <c r="AJ139" s="18">
        <f ca="1">YEAR(TODAY())</f>
        <v>2019</v>
      </c>
      <c r="AK139" s="18">
        <v>5</v>
      </c>
      <c r="AL139" s="18">
        <v>22</v>
      </c>
      <c r="AM139" s="18">
        <v>1</v>
      </c>
      <c r="AN139" s="18">
        <v>1</v>
      </c>
      <c r="AO139" s="24">
        <v>5</v>
      </c>
      <c r="AP139" s="24">
        <v>5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0</v>
      </c>
      <c r="AX139" s="18">
        <v>0</v>
      </c>
      <c r="AY139" s="233"/>
      <c r="AZ139" s="4"/>
      <c r="BA139" s="35" t="str">
        <f>IF(OR(S139="North America",S139="Rocky Mountain"), "Widespread",BC139)</f>
        <v>Widespread</v>
      </c>
      <c r="BB139" s="4"/>
      <c r="BC139" s="35" t="str">
        <f ca="1">IF(BE139&gt;2046, "Abundant",BE139)</f>
        <v>Abundant</v>
      </c>
      <c r="BD139" s="4"/>
      <c r="BE139" s="81">
        <f ca="1">YEAR($C$13)+(BG139*80)</f>
        <v>2111.3558959001784</v>
      </c>
      <c r="BF139" s="4"/>
      <c r="BG139" s="137">
        <f ca="1">BH139*$BH$14</f>
        <v>1.1544486987522282</v>
      </c>
      <c r="BH139" s="137">
        <f ca="1">(((BJ139+BK139+BM139+BN139)/4)*$BM$11)+(((BP139+BQ139)/2)*$BQ$11)+(((BU139+BV139+BW139)/3)*$BU$11)+(((BY139+BZ139+CA139+CB139+CC139)/5)*$CA$11)</f>
        <v>1.1544486987522282</v>
      </c>
      <c r="BI139" s="4"/>
      <c r="BJ139" s="33">
        <f>AP139/(AM139+AO139)</f>
        <v>0.83333333333333337</v>
      </c>
      <c r="BK139" s="33">
        <f>(AN139+AO139)/(AM139+AO139)</f>
        <v>1</v>
      </c>
      <c r="BL139" s="4"/>
      <c r="BM139" s="127">
        <f>CF139/102</f>
        <v>0.14901960784313725</v>
      </c>
      <c r="BN139" s="127">
        <f>C139/2</f>
        <v>4</v>
      </c>
      <c r="BO139" s="4"/>
      <c r="BP139" s="127">
        <f>(AK139)/($AW$6)</f>
        <v>5.0505050505050504E-2</v>
      </c>
      <c r="BQ139" s="127">
        <f ca="1">(CH139-$AW$4)/((YEAR($C$13))-$AW$4)</f>
        <v>1</v>
      </c>
      <c r="BR139" s="127">
        <f>(AL139)/($AW$6)</f>
        <v>0.22222222222222221</v>
      </c>
      <c r="BS139" s="4"/>
      <c r="BT139" s="127"/>
      <c r="BU139" s="127">
        <f ca="1">(CG139-$AW$4)/((YEAR($C$13))-$AW$4)</f>
        <v>1</v>
      </c>
      <c r="BV139" s="127">
        <f>AE139/5</f>
        <v>1</v>
      </c>
      <c r="BW139" s="127">
        <f>AF139/5</f>
        <v>1</v>
      </c>
      <c r="BX139" s="4"/>
      <c r="BY139" s="148" t="str">
        <f>IF(E139="A",".98",IF(E139="B",".99",IF(E139="C","1.00",IF(E139="D","1.00" ))))</f>
        <v>1.00</v>
      </c>
      <c r="BZ139" s="127">
        <f>(CE139+7)/10</f>
        <v>1</v>
      </c>
      <c r="CA139" s="76" t="str">
        <f>IF(D139="Fern",".97",IF(D139="Grass",".99",IF(D139="Herb",".97",IF(D139="Shrub",".99",IF(D139="Tree","1.00",IF(D139="Vine",".98"))))))</f>
        <v>.97</v>
      </c>
      <c r="CB139" s="149" t="str">
        <f>IF(R139="Bogs Ponds Streams",".96", IF(R139="Coastal Areas",".97",IF(R139="Meadows Dry Open",".96",IF(R139="Forest &amp; Understory",".97",IF(R139="Moist Open",".98",IF(R139="Moist Shady",".96",IF(R139="Sub-Alpine","1.0")))))))</f>
        <v>.96</v>
      </c>
      <c r="CC139" s="76" t="str">
        <f>IF(S139="Local Endemic",".50",IF(S139="Regional Endemic",".70",IF(S139="Cascadia",".90",IF(S139="Rocky Mountain",".95",IF(S139="North America",".99")))))</f>
        <v>.95</v>
      </c>
      <c r="CD139" s="4"/>
      <c r="CE139" s="21">
        <f>IF(W139&gt;3,3,W139)</f>
        <v>3</v>
      </c>
      <c r="CF139" s="21">
        <f>IF(AC139&gt;102,102,AC139)</f>
        <v>15.2</v>
      </c>
      <c r="CG139" s="34">
        <f ca="1">IF(AI139&lt;$AW$4,$AW$4,AI139)</f>
        <v>2019</v>
      </c>
      <c r="CH139" s="34">
        <f ca="1">IF(AJ139&lt;$AW$4,$AW$4,AJ139)</f>
        <v>2019</v>
      </c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12"/>
    </row>
    <row r="140" spans="1:115" s="13" customFormat="1" ht="15" customHeight="1" x14ac:dyDescent="0.3">
      <c r="A140" s="235"/>
      <c r="B140" s="218"/>
      <c r="C140" s="375">
        <v>1</v>
      </c>
      <c r="D140" s="67" t="s">
        <v>2505</v>
      </c>
      <c r="E140" s="67" t="s">
        <v>2501</v>
      </c>
      <c r="F140" s="403" t="str">
        <f ca="1">IF(BC140&lt;2025, "Extinct&lt; 6Yrs?",BA140)</f>
        <v>Widespread</v>
      </c>
      <c r="G140" s="376" t="s">
        <v>525</v>
      </c>
      <c r="H140" s="376" t="s">
        <v>4028</v>
      </c>
      <c r="I140" s="379" t="s">
        <v>2603</v>
      </c>
      <c r="J140" s="378" t="s">
        <v>989</v>
      </c>
      <c r="K140" s="378" t="s">
        <v>989</v>
      </c>
      <c r="L140" s="65" t="s">
        <v>1825</v>
      </c>
      <c r="M140" s="64" t="s">
        <v>4220</v>
      </c>
      <c r="N140" s="64" t="s">
        <v>5113</v>
      </c>
      <c r="O140" s="64" t="s">
        <v>6012</v>
      </c>
      <c r="P140" s="61" t="s">
        <v>285</v>
      </c>
      <c r="Q140" s="67" t="s">
        <v>2557</v>
      </c>
      <c r="R140" s="61" t="s">
        <v>2499</v>
      </c>
      <c r="S140" s="61" t="s">
        <v>2495</v>
      </c>
      <c r="T140" s="134" t="str">
        <f>IF(R140="Bogs Ponds Streams","20",IF(R140="Coastal Areas","26",IF(R140="Meadows Dry Open","10",IF(R140="Forest &amp; Understory","14",IF(R140="Moist Open","12",IF(R140="Moist Shady","10",IF(R140="Sub-Alpine Slopes","0")))))))</f>
        <v>20</v>
      </c>
      <c r="U140" s="134" t="str">
        <f>IF(R140="Bogs Ponds Streams","52",IF(R140="Coastal Areas","51",IF(R140="Meadows Dry Open","53",IF(R140="Forest &amp; Understory","52",IF(R140="Moist Open","50",IF(R140="Moist Shady","46",IF(R140="Sub-Alpine Slopes","40")))))))</f>
        <v>52</v>
      </c>
      <c r="V140" s="134" t="str">
        <f>IF(R140="Bogs Ponds Streams","84",IF(R140="Coastal Areas","76",IF(R140="Meadows Dry Open","96", IF(R140="Forest &amp; Understory","90", IF(R140="Moist Open","88", IF(R140="Moist Shady","82", IF(R140="Sub-Alpine Slopes","80")))))))</f>
        <v>84</v>
      </c>
      <c r="W140" s="67">
        <v>20</v>
      </c>
      <c r="X140" s="67">
        <v>0</v>
      </c>
      <c r="Y140" s="67">
        <v>3500</v>
      </c>
      <c r="Z140" s="67" t="s">
        <v>2519</v>
      </c>
      <c r="AA140" s="67" t="s">
        <v>2518</v>
      </c>
      <c r="AB140" s="67">
        <v>6.8</v>
      </c>
      <c r="AC140" s="85">
        <f>C140+AK140+(0.1)*AL140</f>
        <v>7</v>
      </c>
      <c r="AD140" s="78">
        <v>49</v>
      </c>
      <c r="AE140" s="67">
        <v>5</v>
      </c>
      <c r="AF140" s="67">
        <v>5</v>
      </c>
      <c r="AG140" s="67">
        <v>1900</v>
      </c>
      <c r="AH140" s="78">
        <v>0</v>
      </c>
      <c r="AI140" s="67">
        <f>AJ140</f>
        <v>1994</v>
      </c>
      <c r="AJ140" s="69">
        <v>1994</v>
      </c>
      <c r="AK140" s="69">
        <v>6</v>
      </c>
      <c r="AL140" s="69">
        <v>0</v>
      </c>
      <c r="AM140" s="70">
        <v>5</v>
      </c>
      <c r="AN140" s="70">
        <v>0</v>
      </c>
      <c r="AO140" s="86">
        <v>0</v>
      </c>
      <c r="AP140" s="70">
        <v>0</v>
      </c>
      <c r="AQ140" s="70">
        <v>0</v>
      </c>
      <c r="AR140" s="70">
        <v>0</v>
      </c>
      <c r="AS140" s="86">
        <v>0</v>
      </c>
      <c r="AT140" s="70">
        <v>0</v>
      </c>
      <c r="AU140" s="70">
        <v>0</v>
      </c>
      <c r="AV140" s="70">
        <v>0</v>
      </c>
      <c r="AW140" s="86">
        <v>0</v>
      </c>
      <c r="AX140" s="70">
        <v>0</v>
      </c>
      <c r="AY140" s="233"/>
      <c r="AZ140" s="4"/>
      <c r="BA140" s="35" t="str">
        <f>IF(OR(S140="North America",S140="Rocky Mountain"), "Widespread",BC140)</f>
        <v>Widespread</v>
      </c>
      <c r="BB140" s="4"/>
      <c r="BC140" s="35">
        <f ca="1">IF(BE140&gt;2046, "Abundant",BE140)</f>
        <v>2032.391868805704</v>
      </c>
      <c r="BD140" s="4"/>
      <c r="BE140" s="81">
        <f ca="1">YEAR($C$13)+(BG140*80)</f>
        <v>2032.391868805704</v>
      </c>
      <c r="BF140" s="4"/>
      <c r="BG140" s="137">
        <f ca="1">BH140*$BH$14</f>
        <v>0.16739836007130124</v>
      </c>
      <c r="BH140" s="137">
        <f ca="1">(((BJ140+BK140+BM140+BN140)/4)*$BM$11)+(((BP140+BQ140)/2)*$BQ$11)+(((BU140+BV140+BW140)/3)*$BU$11)+(((BY140+BZ140+CA140+CB140+CC140)/5)*$CA$11)</f>
        <v>0.16739836007130124</v>
      </c>
      <c r="BI140" s="4"/>
      <c r="BJ140" s="33">
        <f>AP140/(AM140+AO140)</f>
        <v>0</v>
      </c>
      <c r="BK140" s="33">
        <f>(AN140+AO140)/(AM140+AO140)</f>
        <v>0</v>
      </c>
      <c r="BL140" s="4"/>
      <c r="BM140" s="127">
        <f>CF140/102</f>
        <v>6.8627450980392163E-2</v>
      </c>
      <c r="BN140" s="127">
        <f>C140/2</f>
        <v>0.5</v>
      </c>
      <c r="BO140" s="4"/>
      <c r="BP140" s="127">
        <f>(AK140)/($AW$6)</f>
        <v>6.0606060606060608E-2</v>
      </c>
      <c r="BQ140" s="127">
        <f ca="1">(CH140-$AW$4)/((YEAR($C$13))-$AW$4)</f>
        <v>0</v>
      </c>
      <c r="BR140" s="127">
        <f>(AL140)/($AW$6)</f>
        <v>0</v>
      </c>
      <c r="BS140" s="4"/>
      <c r="BT140" s="127"/>
      <c r="BU140" s="127">
        <f ca="1">(CG140-$AW$4)/((YEAR($C$13))-$AW$4)</f>
        <v>0</v>
      </c>
      <c r="BV140" s="127">
        <f>AE140/5</f>
        <v>1</v>
      </c>
      <c r="BW140" s="127">
        <f>AF140/5</f>
        <v>1</v>
      </c>
      <c r="BX140" s="4"/>
      <c r="BY140" s="148" t="str">
        <f>IF(E140="A",".98",IF(E140="B",".99",IF(E140="C","1.00",IF(E140="D","1.00" ))))</f>
        <v>1.00</v>
      </c>
      <c r="BZ140" s="127">
        <f>(CE140+7)/10</f>
        <v>1</v>
      </c>
      <c r="CA140" s="76" t="str">
        <f>IF(D140="Fern",".97",IF(D140="Grass",".99",IF(D140="Herb",".97",IF(D140="Shrub",".99",IF(D140="Tree","1.00",IF(D140="Vine",".98"))))))</f>
        <v>.97</v>
      </c>
      <c r="CB140" s="149" t="str">
        <f>IF(R140="Bogs Ponds Streams",".96", IF(R140="Coastal Areas",".97",IF(R140="Meadows Dry Open",".96",IF(R140="Forest &amp; Understory",".97",IF(R140="Moist Open",".98",IF(R140="Moist Shady",".96",IF(R140="Sub-Alpine","1.0")))))))</f>
        <v>.96</v>
      </c>
      <c r="CC140" s="76" t="str">
        <f>IF(S140="Local Endemic",".50",IF(S140="Regional Endemic",".70",IF(S140="Cascadia",".90",IF(S140="Rocky Mountain",".95",IF(S140="North America",".99")))))</f>
        <v>.99</v>
      </c>
      <c r="CD140" s="4"/>
      <c r="CE140" s="21">
        <f>IF(W140&gt;3,3,W140)</f>
        <v>3</v>
      </c>
      <c r="CF140" s="21">
        <f>IF(AC140&gt;102,102,AC140)</f>
        <v>7</v>
      </c>
      <c r="CG140" s="34">
        <f>IF(AI140&lt;$AW$4,$AW$4,AI140)</f>
        <v>2004</v>
      </c>
      <c r="CH140" s="34">
        <f>IF(AJ140&lt;$AW$4,$AW$4,AJ140)</f>
        <v>2004</v>
      </c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12"/>
    </row>
    <row r="141" spans="1:115" s="13" customFormat="1" ht="15" customHeight="1" x14ac:dyDescent="0.3">
      <c r="A141" s="235"/>
      <c r="B141" s="218"/>
      <c r="C141" s="226">
        <v>2</v>
      </c>
      <c r="D141" s="104" t="s">
        <v>2505</v>
      </c>
      <c r="E141" s="104" t="s">
        <v>2501</v>
      </c>
      <c r="F141" s="400" t="str">
        <f ca="1">IF(BC141&lt;2025, "Extinct&lt; 6Yrs?",BA141)</f>
        <v>Widespread</v>
      </c>
      <c r="G141" s="369" t="s">
        <v>525</v>
      </c>
      <c r="H141" s="369" t="s">
        <v>4028</v>
      </c>
      <c r="I141" s="370" t="s">
        <v>460</v>
      </c>
      <c r="J141" s="371" t="s">
        <v>3825</v>
      </c>
      <c r="K141" s="371" t="s">
        <v>459</v>
      </c>
      <c r="L141" s="106" t="s">
        <v>1824</v>
      </c>
      <c r="M141" s="111" t="s">
        <v>4221</v>
      </c>
      <c r="N141" s="111" t="s">
        <v>5114</v>
      </c>
      <c r="O141" s="111" t="s">
        <v>6013</v>
      </c>
      <c r="P141" s="105" t="s">
        <v>458</v>
      </c>
      <c r="Q141" s="104" t="s">
        <v>2558</v>
      </c>
      <c r="R141" s="105" t="s">
        <v>2530</v>
      </c>
      <c r="S141" s="105" t="s">
        <v>2495</v>
      </c>
      <c r="T141" s="133" t="str">
        <f>IF(R141="Bogs Ponds Streams","20",IF(R141="Coastal Areas","26",IF(R141="Meadows Dry Open","10",IF(R141="Forest &amp; Understory","14",IF(R141="Moist Open","12",IF(R141="Moist Shady","10",IF(R141="Sub-Alpine Slopes","0")))))))</f>
        <v>14</v>
      </c>
      <c r="U141" s="133" t="str">
        <f>IF(R141="Bogs Ponds Streams","52",IF(R141="Coastal Areas","51",IF(R141="Meadows Dry Open","53",IF(R141="Forest &amp; Understory","52",IF(R141="Moist Open","50",IF(R141="Moist Shady","46",IF(R141="Sub-Alpine Slopes","40")))))))</f>
        <v>52</v>
      </c>
      <c r="V141" s="133" t="str">
        <f>IF(R141="Bogs Ponds Streams","84",IF(R141="Coastal Areas","76",IF(R141="Meadows Dry Open","96", IF(R141="Forest &amp; Understory","90", IF(R141="Moist Open","88", IF(R141="Moist Shady","82", IF(R141="Sub-Alpine Slopes","80")))))))</f>
        <v>90</v>
      </c>
      <c r="W141" s="104">
        <v>20</v>
      </c>
      <c r="X141" s="104">
        <v>0</v>
      </c>
      <c r="Y141" s="104">
        <v>3500</v>
      </c>
      <c r="Z141" s="104" t="s">
        <v>2519</v>
      </c>
      <c r="AA141" s="104" t="s">
        <v>2518</v>
      </c>
      <c r="AB141" s="104">
        <v>6.8</v>
      </c>
      <c r="AC141" s="107">
        <f>C141+AK141+(0.1)*AL141</f>
        <v>27.3</v>
      </c>
      <c r="AD141" s="113">
        <v>86</v>
      </c>
      <c r="AE141" s="104">
        <v>5</v>
      </c>
      <c r="AF141" s="104">
        <v>5</v>
      </c>
      <c r="AG141" s="104">
        <v>1900</v>
      </c>
      <c r="AH141" s="113">
        <v>0</v>
      </c>
      <c r="AI141" s="104">
        <f>AJ141</f>
        <v>2004</v>
      </c>
      <c r="AJ141" s="108">
        <v>2004</v>
      </c>
      <c r="AK141" s="108">
        <v>22</v>
      </c>
      <c r="AL141" s="108">
        <v>33</v>
      </c>
      <c r="AM141" s="109">
        <v>5</v>
      </c>
      <c r="AN141" s="109">
        <v>1</v>
      </c>
      <c r="AO141" s="110">
        <v>0</v>
      </c>
      <c r="AP141" s="109">
        <v>0</v>
      </c>
      <c r="AQ141" s="109">
        <v>0</v>
      </c>
      <c r="AR141" s="109">
        <v>0</v>
      </c>
      <c r="AS141" s="110">
        <v>0</v>
      </c>
      <c r="AT141" s="109">
        <v>0</v>
      </c>
      <c r="AU141" s="109">
        <v>0</v>
      </c>
      <c r="AV141" s="109">
        <v>0</v>
      </c>
      <c r="AW141" s="110">
        <v>0</v>
      </c>
      <c r="AX141" s="109">
        <v>0</v>
      </c>
      <c r="AY141" s="233"/>
      <c r="AZ141" s="4"/>
      <c r="BA141" s="35" t="str">
        <f>IF(OR(S141="North America",S141="Rocky Mountain"), "Widespread",BC141)</f>
        <v>Widespread</v>
      </c>
      <c r="BB141" s="4"/>
      <c r="BC141" s="35">
        <f ca="1">IF(BE141&gt;2046, "Abundant",BE141)</f>
        <v>2045.1226980392157</v>
      </c>
      <c r="BD141" s="4"/>
      <c r="BE141" s="81">
        <f ca="1">YEAR($C$13)+(BG141*80)</f>
        <v>2045.1226980392157</v>
      </c>
      <c r="BF141" s="4"/>
      <c r="BG141" s="137">
        <f ca="1">BH141*$BH$14</f>
        <v>0.3265337254901961</v>
      </c>
      <c r="BH141" s="137">
        <f ca="1">(((BJ141+BK141+BM141+BN141)/4)*$BM$11)+(((BP141+BQ141)/2)*$BQ$11)+(((BU141+BV141+BW141)/3)*$BU$11)+(((BY141+BZ141+CA141+CB141+CC141)/5)*$CA$11)</f>
        <v>0.3265337254901961</v>
      </c>
      <c r="BI141" s="4"/>
      <c r="BJ141" s="33">
        <f>AP141/(AM141+AO141)</f>
        <v>0</v>
      </c>
      <c r="BK141" s="33">
        <f>(AN141+AO141)/(AM141+AO141)</f>
        <v>0.2</v>
      </c>
      <c r="BL141" s="4"/>
      <c r="BM141" s="127">
        <f>CF141/102</f>
        <v>0.2676470588235294</v>
      </c>
      <c r="BN141" s="127">
        <f>C141/2</f>
        <v>1</v>
      </c>
      <c r="BO141" s="4"/>
      <c r="BP141" s="127">
        <f>(AK141)/($AW$6)</f>
        <v>0.22222222222222221</v>
      </c>
      <c r="BQ141" s="127">
        <f ca="1">(CH141-$AW$4)/((YEAR($C$13))-$AW$4)</f>
        <v>0</v>
      </c>
      <c r="BR141" s="127">
        <f>(AL141)/($AW$6)</f>
        <v>0.33333333333333331</v>
      </c>
      <c r="BS141" s="4"/>
      <c r="BT141" s="127"/>
      <c r="BU141" s="127">
        <f ca="1">(CG141-$AW$4)/((YEAR($C$13))-$AW$4)</f>
        <v>0</v>
      </c>
      <c r="BV141" s="127">
        <f>AE141/5</f>
        <v>1</v>
      </c>
      <c r="BW141" s="127">
        <f>AF141/5</f>
        <v>1</v>
      </c>
      <c r="BX141" s="4"/>
      <c r="BY141" s="148" t="str">
        <f>IF(E141="A",".98",IF(E141="B",".99",IF(E141="C","1.00",IF(E141="D","1.00" ))))</f>
        <v>1.00</v>
      </c>
      <c r="BZ141" s="127">
        <f>(CE141+7)/10</f>
        <v>1</v>
      </c>
      <c r="CA141" s="76" t="str">
        <f>IF(D141="Fern",".97",IF(D141="Grass",".99",IF(D141="Herb",".97",IF(D141="Shrub",".99",IF(D141="Tree","1.00",IF(D141="Vine",".98"))))))</f>
        <v>.97</v>
      </c>
      <c r="CB141" s="149" t="str">
        <f>IF(R141="Bogs Ponds Streams",".96", IF(R141="Coastal Areas",".97",IF(R141="Meadows Dry Open",".96",IF(R141="Forest &amp; Understory",".97",IF(R141="Moist Open",".98",IF(R141="Moist Shady",".96",IF(R141="Sub-Alpine","1.0")))))))</f>
        <v>.97</v>
      </c>
      <c r="CC141" s="76" t="str">
        <f>IF(S141="Local Endemic",".50",IF(S141="Regional Endemic",".70",IF(S141="Cascadia",".90",IF(S141="Rocky Mountain",".95",IF(S141="North America",".99")))))</f>
        <v>.99</v>
      </c>
      <c r="CD141" s="4"/>
      <c r="CE141" s="21">
        <f>IF(W141&gt;3,3,W141)</f>
        <v>3</v>
      </c>
      <c r="CF141" s="21">
        <f>IF(AC141&gt;102,102,AC141)</f>
        <v>27.3</v>
      </c>
      <c r="CG141" s="34">
        <f>IF(AI141&lt;$AW$4,$AW$4,AI141)</f>
        <v>2004</v>
      </c>
      <c r="CH141" s="34">
        <f>IF(AJ141&lt;$AW$4,$AW$4,AJ141)</f>
        <v>2004</v>
      </c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12"/>
    </row>
    <row r="142" spans="1:115" s="13" customFormat="1" ht="15" customHeight="1" x14ac:dyDescent="0.3">
      <c r="A142" s="235"/>
      <c r="B142" s="218"/>
      <c r="C142" s="375">
        <v>1</v>
      </c>
      <c r="D142" s="67" t="s">
        <v>2505</v>
      </c>
      <c r="E142" s="67" t="s">
        <v>2501</v>
      </c>
      <c r="F142" s="403">
        <f ca="1">IF(BC142&lt;2025, "Extinct&lt; 6Yrs?",BA142)</f>
        <v>2033.735423885918</v>
      </c>
      <c r="G142" s="376" t="s">
        <v>525</v>
      </c>
      <c r="H142" s="376" t="s">
        <v>4028</v>
      </c>
      <c r="I142" s="379" t="s">
        <v>3170</v>
      </c>
      <c r="J142" s="378" t="s">
        <v>3658</v>
      </c>
      <c r="K142" s="378" t="s">
        <v>923</v>
      </c>
      <c r="L142" s="65" t="s">
        <v>1962</v>
      </c>
      <c r="M142" s="64" t="s">
        <v>4222</v>
      </c>
      <c r="N142" s="64" t="s">
        <v>5115</v>
      </c>
      <c r="O142" s="64" t="s">
        <v>6014</v>
      </c>
      <c r="P142" s="404" t="s">
        <v>1167</v>
      </c>
      <c r="Q142" s="67" t="s">
        <v>2552</v>
      </c>
      <c r="R142" s="61" t="s">
        <v>2453</v>
      </c>
      <c r="S142" s="61" t="s">
        <v>2309</v>
      </c>
      <c r="T142" s="134" t="str">
        <f>IF(R142="Bogs Ponds Streams","20",IF(R142="Coastal Areas","26",IF(R142="Meadows Dry Open","10",IF(R142="Forest &amp; Understory","14",IF(R142="Moist Open","12",IF(R142="Moist Shady","10",IF(R142="Sub-Alpine Slopes","0")))))))</f>
        <v>26</v>
      </c>
      <c r="U142" s="134" t="str">
        <f>IF(R142="Bogs Ponds Streams","52",IF(R142="Coastal Areas","51",IF(R142="Meadows Dry Open","53",IF(R142="Forest &amp; Understory","52",IF(R142="Moist Open","50",IF(R142="Moist Shady","46",IF(R142="Sub-Alpine Slopes","40")))))))</f>
        <v>51</v>
      </c>
      <c r="V142" s="134" t="str">
        <f>IF(R142="Bogs Ponds Streams","84",IF(R142="Coastal Areas","76",IF(R142="Meadows Dry Open","96", IF(R142="Forest &amp; Understory","90", IF(R142="Moist Open","88", IF(R142="Moist Shady","82", IF(R142="Sub-Alpine Slopes","80")))))))</f>
        <v>76</v>
      </c>
      <c r="W142" s="67">
        <v>20</v>
      </c>
      <c r="X142" s="67">
        <v>0</v>
      </c>
      <c r="Y142" s="67">
        <v>3500</v>
      </c>
      <c r="Z142" s="67" t="s">
        <v>2519</v>
      </c>
      <c r="AA142" s="67" t="s">
        <v>2518</v>
      </c>
      <c r="AB142" s="67">
        <v>6.8</v>
      </c>
      <c r="AC142" s="85">
        <f>C142+AK142+(0.1)*AL142</f>
        <v>13</v>
      </c>
      <c r="AD142" s="78">
        <v>24</v>
      </c>
      <c r="AE142" s="67">
        <v>5</v>
      </c>
      <c r="AF142" s="67">
        <v>5</v>
      </c>
      <c r="AG142" s="67">
        <v>1900</v>
      </c>
      <c r="AH142" s="78">
        <v>0</v>
      </c>
      <c r="AI142" s="67">
        <f>AJ142</f>
        <v>2004</v>
      </c>
      <c r="AJ142" s="69">
        <v>2004</v>
      </c>
      <c r="AK142" s="69">
        <v>12</v>
      </c>
      <c r="AL142" s="69">
        <v>0</v>
      </c>
      <c r="AM142" s="70">
        <v>5</v>
      </c>
      <c r="AN142" s="70">
        <v>0</v>
      </c>
      <c r="AO142" s="86">
        <v>0</v>
      </c>
      <c r="AP142" s="70">
        <v>0</v>
      </c>
      <c r="AQ142" s="70">
        <v>0</v>
      </c>
      <c r="AR142" s="70">
        <v>0</v>
      </c>
      <c r="AS142" s="86">
        <v>0</v>
      </c>
      <c r="AT142" s="70">
        <v>0</v>
      </c>
      <c r="AU142" s="70">
        <v>0</v>
      </c>
      <c r="AV142" s="70">
        <v>0</v>
      </c>
      <c r="AW142" s="86">
        <v>0</v>
      </c>
      <c r="AX142" s="70">
        <v>0</v>
      </c>
      <c r="AY142" s="233"/>
      <c r="AZ142" s="4"/>
      <c r="BA142" s="35">
        <f ca="1">IF(OR(S142="North America",S142="Rocky Mountain"), "Widespread",BC142)</f>
        <v>2033.735423885918</v>
      </c>
      <c r="BB142" s="4"/>
      <c r="BC142" s="35">
        <f ca="1">IF(BE142&gt;2046, "Abundant",BE142)</f>
        <v>2033.735423885918</v>
      </c>
      <c r="BD142" s="4"/>
      <c r="BE142" s="81">
        <f ca="1">YEAR($C$13)+(BG142*80)</f>
        <v>2033.735423885918</v>
      </c>
      <c r="BF142" s="4"/>
      <c r="BG142" s="137">
        <f ca="1">BH142*$BH$14</f>
        <v>0.18419279857397505</v>
      </c>
      <c r="BH142" s="137">
        <f ca="1">(((BJ142+BK142+BM142+BN142)/4)*$BM$11)+(((BP142+BQ142)/2)*$BQ$11)+(((BU142+BV142+BW142)/3)*$BU$11)+(((BY142+BZ142+CA142+CB142+CC142)/5)*$CA$11)</f>
        <v>0.18419279857397505</v>
      </c>
      <c r="BI142" s="4"/>
      <c r="BJ142" s="33">
        <f>AP142/(AM142+AO142)</f>
        <v>0</v>
      </c>
      <c r="BK142" s="33">
        <f>(AN142+AO142)/(AM142+AO142)</f>
        <v>0</v>
      </c>
      <c r="BL142" s="4"/>
      <c r="BM142" s="127">
        <f>CF142/102</f>
        <v>0.12745098039215685</v>
      </c>
      <c r="BN142" s="127">
        <f>C142/2</f>
        <v>0.5</v>
      </c>
      <c r="BO142" s="4"/>
      <c r="BP142" s="127">
        <f>(AK142)/($AW$6)</f>
        <v>0.12121212121212122</v>
      </c>
      <c r="BQ142" s="127">
        <f ca="1">(CH142-$AW$4)/((YEAR($C$13))-$AW$4)</f>
        <v>0</v>
      </c>
      <c r="BR142" s="127">
        <f>(AL142)/($AW$6)</f>
        <v>0</v>
      </c>
      <c r="BS142" s="4"/>
      <c r="BT142" s="127"/>
      <c r="BU142" s="127">
        <f ca="1">(CG142-$AW$4)/((YEAR($C$13))-$AW$4)</f>
        <v>0</v>
      </c>
      <c r="BV142" s="127">
        <f>AE142/5</f>
        <v>1</v>
      </c>
      <c r="BW142" s="127">
        <f>AF142/5</f>
        <v>1</v>
      </c>
      <c r="BX142" s="4"/>
      <c r="BY142" s="148" t="str">
        <f>IF(E142="A",".98",IF(E142="B",".99",IF(E142="C","1.00",IF(E142="D","1.00" ))))</f>
        <v>1.00</v>
      </c>
      <c r="BZ142" s="127">
        <f>(CE142+7)/10</f>
        <v>1</v>
      </c>
      <c r="CA142" s="76" t="str">
        <f>IF(D142="Fern",".97",IF(D142="Grass",".99",IF(D142="Herb",".97",IF(D142="Shrub",".99",IF(D142="Tree","1.00",IF(D142="Vine",".98"))))))</f>
        <v>.97</v>
      </c>
      <c r="CB142" s="149" t="str">
        <f>IF(R142="Bogs Ponds Streams",".96", IF(R142="Coastal Areas",".97",IF(R142="Meadows Dry Open",".96",IF(R142="Forest &amp; Understory",".97",IF(R142="Moist Open",".98",IF(R142="Moist Shady",".96",IF(R142="Sub-Alpine","1.0")))))))</f>
        <v>.97</v>
      </c>
      <c r="CC142" s="76" t="str">
        <f>IF(S142="Local Endemic",".50",IF(S142="Regional Endemic",".70",IF(S142="Cascadia",".90",IF(S142="Rocky Mountain",".95",IF(S142="North America",".99")))))</f>
        <v>.70</v>
      </c>
      <c r="CD142" s="4"/>
      <c r="CE142" s="21">
        <f>IF(W142&gt;3,3,W142)</f>
        <v>3</v>
      </c>
      <c r="CF142" s="21">
        <f>IF(AC142&gt;102,102,AC142)</f>
        <v>13</v>
      </c>
      <c r="CG142" s="34">
        <f>IF(AI142&lt;$AW$4,$AW$4,AI142)</f>
        <v>2004</v>
      </c>
      <c r="CH142" s="34">
        <f>IF(AJ142&lt;$AW$4,$AW$4,AJ142)</f>
        <v>2004</v>
      </c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12"/>
    </row>
    <row r="143" spans="1:115" s="13" customFormat="1" ht="15" customHeight="1" x14ac:dyDescent="0.3">
      <c r="A143" s="235"/>
      <c r="B143" s="218"/>
      <c r="C143" s="225">
        <v>8</v>
      </c>
      <c r="D143" s="59" t="s">
        <v>2505</v>
      </c>
      <c r="E143" s="59" t="s">
        <v>2501</v>
      </c>
      <c r="F143" s="397" t="str">
        <f ca="1">IF(BC143&lt;2025, "Extinct&lt; 6Yrs?",BA143)</f>
        <v>Abundant</v>
      </c>
      <c r="G143" s="363" t="s">
        <v>525</v>
      </c>
      <c r="H143" s="363" t="s">
        <v>683</v>
      </c>
      <c r="I143" s="366" t="s">
        <v>750</v>
      </c>
      <c r="J143" s="365" t="s">
        <v>3255</v>
      </c>
      <c r="K143" s="365" t="s">
        <v>883</v>
      </c>
      <c r="L143" s="10" t="s">
        <v>1823</v>
      </c>
      <c r="M143" s="8" t="s">
        <v>4223</v>
      </c>
      <c r="N143" s="8" t="s">
        <v>5116</v>
      </c>
      <c r="O143" s="8" t="s">
        <v>6015</v>
      </c>
      <c r="P143" s="9" t="s">
        <v>749</v>
      </c>
      <c r="Q143" s="59" t="s">
        <v>2552</v>
      </c>
      <c r="R143" s="9" t="s">
        <v>2497</v>
      </c>
      <c r="S143" s="9" t="s">
        <v>2459</v>
      </c>
      <c r="T143" s="123" t="str">
        <f>IF(R143="Bogs Ponds Streams","20",IF(R143="Coastal Areas","26",IF(R143="Meadows Dry Open","10",IF(R143="Forest &amp; Understory","14",IF(R143="Moist Open","12",IF(R143="Moist Shady","10",IF(R143="Sub-Alpine Slopes","0")))))))</f>
        <v>12</v>
      </c>
      <c r="U143" s="123" t="str">
        <f>IF(R143="Bogs Ponds Streams","52",IF(R143="Coastal Areas","51",IF(R143="Meadows Dry Open","53",IF(R143="Forest &amp; Understory","52",IF(R143="Moist Open","50",IF(R143="Moist Shady","46",IF(R143="Sub-Alpine Slopes","40")))))))</f>
        <v>50</v>
      </c>
      <c r="V143" s="123" t="str">
        <f>IF(R143="Bogs Ponds Streams","84",IF(R143="Coastal Areas","76",IF(R143="Meadows Dry Open","96", IF(R143="Forest &amp; Understory","90", IF(R143="Moist Open","88", IF(R143="Moist Shady","82", IF(R143="Sub-Alpine Slopes","80")))))))</f>
        <v>88</v>
      </c>
      <c r="W143" s="59">
        <v>20</v>
      </c>
      <c r="X143" s="59">
        <v>0</v>
      </c>
      <c r="Y143" s="59">
        <v>3500</v>
      </c>
      <c r="Z143" s="59" t="s">
        <v>2519</v>
      </c>
      <c r="AA143" s="59" t="s">
        <v>2518</v>
      </c>
      <c r="AB143" s="59">
        <v>6.8</v>
      </c>
      <c r="AC143" s="45">
        <f>C143+AK143+(0.1)*AL143</f>
        <v>30.1</v>
      </c>
      <c r="AD143" s="77">
        <v>89</v>
      </c>
      <c r="AE143" s="59">
        <v>5</v>
      </c>
      <c r="AF143" s="59">
        <v>5</v>
      </c>
      <c r="AG143" s="59">
        <v>1900</v>
      </c>
      <c r="AH143" s="77">
        <v>0</v>
      </c>
      <c r="AI143" s="59">
        <f ca="1">AJ143</f>
        <v>2019</v>
      </c>
      <c r="AJ143" s="18">
        <f ca="1">YEAR(TODAY())</f>
        <v>2019</v>
      </c>
      <c r="AK143" s="18">
        <v>22</v>
      </c>
      <c r="AL143" s="18">
        <v>1</v>
      </c>
      <c r="AM143" s="18">
        <v>1</v>
      </c>
      <c r="AN143" s="18">
        <v>1</v>
      </c>
      <c r="AO143" s="18">
        <v>5</v>
      </c>
      <c r="AP143" s="18">
        <v>1</v>
      </c>
      <c r="AQ143" s="18">
        <v>0</v>
      </c>
      <c r="AR143" s="18">
        <v>0</v>
      </c>
      <c r="AS143" s="18">
        <v>0</v>
      </c>
      <c r="AT143" s="18">
        <v>0</v>
      </c>
      <c r="AU143" s="18">
        <v>0</v>
      </c>
      <c r="AV143" s="18">
        <v>0</v>
      </c>
      <c r="AW143" s="18">
        <v>0</v>
      </c>
      <c r="AX143" s="18">
        <v>0</v>
      </c>
      <c r="AY143" s="233"/>
      <c r="AZ143" s="4"/>
      <c r="BA143" s="35" t="str">
        <f ca="1">IF(OR(S143="North America",S143="Rocky Mountain"), "Widespread",BC143)</f>
        <v>Abundant</v>
      </c>
      <c r="BB143" s="4"/>
      <c r="BC143" s="35" t="str">
        <f ca="1">IF(BE143&gt;2046, "Abundant",BE143)</f>
        <v>Abundant</v>
      </c>
      <c r="BD143" s="4"/>
      <c r="BE143" s="81">
        <f ca="1">YEAR($C$13)+(BG143*80)</f>
        <v>2107.1598431372549</v>
      </c>
      <c r="BF143" s="4"/>
      <c r="BG143" s="137">
        <f ca="1">BH143*$BH$14</f>
        <v>1.1019980392156863</v>
      </c>
      <c r="BH143" s="137">
        <f ca="1">(((BJ143+BK143+BM143+BN143)/4)*$BM$11)+(((BP143+BQ143)/2)*$BQ$11)+(((BU143+BV143+BW143)/3)*$BU$11)+(((BY143+BZ143+CA143+CB143+CC143)/5)*$CA$11)</f>
        <v>1.1019980392156863</v>
      </c>
      <c r="BI143" s="4"/>
      <c r="BJ143" s="33">
        <f>AP143/(AM143+AO143)</f>
        <v>0.16666666666666666</v>
      </c>
      <c r="BK143" s="33">
        <f>(AN143+AO143)/(AM143+AO143)</f>
        <v>1</v>
      </c>
      <c r="BL143" s="4"/>
      <c r="BM143" s="127">
        <f>CF143/102</f>
        <v>0.29509803921568628</v>
      </c>
      <c r="BN143" s="127">
        <f>C143/2</f>
        <v>4</v>
      </c>
      <c r="BO143" s="4"/>
      <c r="BP143" s="127">
        <f>(AK143)/($AW$6)</f>
        <v>0.22222222222222221</v>
      </c>
      <c r="BQ143" s="127">
        <f ca="1">(CH143-$AW$4)/((YEAR($C$13))-$AW$4)</f>
        <v>1</v>
      </c>
      <c r="BR143" s="127">
        <f>(AL143)/($AW$6)</f>
        <v>1.0101010101010102E-2</v>
      </c>
      <c r="BS143" s="4"/>
      <c r="BT143" s="127"/>
      <c r="BU143" s="127">
        <f ca="1">(CG143-$AW$4)/((YEAR($C$13))-$AW$4)</f>
        <v>1</v>
      </c>
      <c r="BV143" s="127">
        <f>AE143/5</f>
        <v>1</v>
      </c>
      <c r="BW143" s="127">
        <f>AF143/5</f>
        <v>1</v>
      </c>
      <c r="BX143" s="4"/>
      <c r="BY143" s="148" t="str">
        <f>IF(E143="A",".98",IF(E143="B",".99",IF(E143="C","1.00",IF(E143="D","1.00" ))))</f>
        <v>1.00</v>
      </c>
      <c r="BZ143" s="127">
        <f>(CE143+7)/10</f>
        <v>1</v>
      </c>
      <c r="CA143" s="76" t="str">
        <f>IF(D143="Fern",".97",IF(D143="Grass",".99",IF(D143="Herb",".97",IF(D143="Shrub",".99",IF(D143="Tree","1.00",IF(D143="Vine",".98"))))))</f>
        <v>.97</v>
      </c>
      <c r="CB143" s="149" t="str">
        <f>IF(R143="Bogs Ponds Streams",".96", IF(R143="Coastal Areas",".97",IF(R143="Meadows Dry Open",".96",IF(R143="Forest &amp; Understory",".97",IF(R143="Moist Open",".98",IF(R143="Moist Shady",".96",IF(R143="Sub-Alpine","1.0")))))))</f>
        <v>.98</v>
      </c>
      <c r="CC143" s="76" t="str">
        <f>IF(S143="Local Endemic",".50",IF(S143="Regional Endemic",".70",IF(S143="Cascadia",".90",IF(S143="Rocky Mountain",".95",IF(S143="North America",".99")))))</f>
        <v>.90</v>
      </c>
      <c r="CD143" s="4"/>
      <c r="CE143" s="21">
        <f>IF(W143&gt;3,3,W143)</f>
        <v>3</v>
      </c>
      <c r="CF143" s="21">
        <f>IF(AC143&gt;102,102,AC143)</f>
        <v>30.1</v>
      </c>
      <c r="CG143" s="34">
        <f ca="1">IF(AI143&lt;$AW$4,$AW$4,AI143)</f>
        <v>2019</v>
      </c>
      <c r="CH143" s="34">
        <f ca="1">IF(AJ143&lt;$AW$4,$AW$4,AJ143)</f>
        <v>2019</v>
      </c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12"/>
    </row>
    <row r="144" spans="1:115" s="13" customFormat="1" ht="15" customHeight="1" x14ac:dyDescent="0.3">
      <c r="A144" s="235"/>
      <c r="B144" s="218"/>
      <c r="C144" s="225">
        <v>8</v>
      </c>
      <c r="D144" s="59" t="s">
        <v>2505</v>
      </c>
      <c r="E144" s="59" t="s">
        <v>2501</v>
      </c>
      <c r="F144" s="397" t="str">
        <f ca="1">IF(BC144&lt;2025, "Extinct&lt; 6Yrs?",BA144)</f>
        <v>Widespread</v>
      </c>
      <c r="G144" s="363" t="s">
        <v>525</v>
      </c>
      <c r="H144" s="363" t="s">
        <v>683</v>
      </c>
      <c r="I144" s="366" t="s">
        <v>443</v>
      </c>
      <c r="J144" s="365" t="s">
        <v>3256</v>
      </c>
      <c r="K144" s="365" t="s">
        <v>884</v>
      </c>
      <c r="L144" s="10" t="s">
        <v>1822</v>
      </c>
      <c r="M144" s="8" t="s">
        <v>4224</v>
      </c>
      <c r="N144" s="8" t="s">
        <v>5117</v>
      </c>
      <c r="O144" s="8" t="s">
        <v>6016</v>
      </c>
      <c r="P144" s="9" t="s">
        <v>749</v>
      </c>
      <c r="Q144" s="59" t="s">
        <v>2552</v>
      </c>
      <c r="R144" s="9" t="s">
        <v>2500</v>
      </c>
      <c r="S144" s="9" t="s">
        <v>2479</v>
      </c>
      <c r="T144" s="123" t="str">
        <f>IF(R144="Bogs Ponds Streams","20",IF(R144="Coastal Areas","26",IF(R144="Meadows Dry Open","10",IF(R144="Forest &amp; Understory","14",IF(R144="Moist Open","12",IF(R144="Moist Shady","10",IF(R144="Sub-Alpine Slopes","0")))))))</f>
        <v>10</v>
      </c>
      <c r="U144" s="123" t="str">
        <f>IF(R144="Bogs Ponds Streams","52",IF(R144="Coastal Areas","51",IF(R144="Meadows Dry Open","53",IF(R144="Forest &amp; Understory","52",IF(R144="Moist Open","50",IF(R144="Moist Shady","46",IF(R144="Sub-Alpine Slopes","40")))))))</f>
        <v>53</v>
      </c>
      <c r="V144" s="123" t="str">
        <f>IF(R144="Bogs Ponds Streams","84",IF(R144="Coastal Areas","76",IF(R144="Meadows Dry Open","96", IF(R144="Forest &amp; Understory","90", IF(R144="Moist Open","88", IF(R144="Moist Shady","82", IF(R144="Sub-Alpine Slopes","80")))))))</f>
        <v>96</v>
      </c>
      <c r="W144" s="59">
        <v>20</v>
      </c>
      <c r="X144" s="59">
        <v>0</v>
      </c>
      <c r="Y144" s="59">
        <v>3500</v>
      </c>
      <c r="Z144" s="59" t="s">
        <v>2519</v>
      </c>
      <c r="AA144" s="59" t="s">
        <v>2518</v>
      </c>
      <c r="AB144" s="59">
        <v>6.8</v>
      </c>
      <c r="AC144" s="45">
        <f>C144+AK144+(0.1)*AL144</f>
        <v>44.3</v>
      </c>
      <c r="AD144" s="77">
        <v>216</v>
      </c>
      <c r="AE144" s="59">
        <v>5</v>
      </c>
      <c r="AF144" s="59">
        <v>5</v>
      </c>
      <c r="AG144" s="59">
        <v>1900</v>
      </c>
      <c r="AH144" s="77">
        <v>0</v>
      </c>
      <c r="AI144" s="59">
        <f ca="1">AJ144</f>
        <v>2019</v>
      </c>
      <c r="AJ144" s="18">
        <f ca="1">YEAR(TODAY())</f>
        <v>2019</v>
      </c>
      <c r="AK144" s="18">
        <v>33</v>
      </c>
      <c r="AL144" s="18">
        <v>33</v>
      </c>
      <c r="AM144" s="18">
        <v>1</v>
      </c>
      <c r="AN144" s="18">
        <v>1</v>
      </c>
      <c r="AO144" s="18">
        <v>5</v>
      </c>
      <c r="AP144" s="18">
        <v>1</v>
      </c>
      <c r="AQ144" s="18">
        <v>0</v>
      </c>
      <c r="AR144" s="18">
        <v>0</v>
      </c>
      <c r="AS144" s="18">
        <v>0</v>
      </c>
      <c r="AT144" s="18">
        <v>0</v>
      </c>
      <c r="AU144" s="18">
        <v>0</v>
      </c>
      <c r="AV144" s="18">
        <v>0</v>
      </c>
      <c r="AW144" s="18">
        <v>0</v>
      </c>
      <c r="AX144" s="18">
        <v>0</v>
      </c>
      <c r="AY144" s="233"/>
      <c r="AZ144" s="4"/>
      <c r="BA144" s="35" t="str">
        <f>IF(OR(S144="North America",S144="Rocky Mountain"), "Widespread",BC144)</f>
        <v>Widespread</v>
      </c>
      <c r="BB144" s="4"/>
      <c r="BC144" s="35" t="str">
        <f ca="1">IF(BE144&gt;2046, "Abundant",BE144)</f>
        <v>Abundant</v>
      </c>
      <c r="BD144" s="4"/>
      <c r="BE144" s="81">
        <f ca="1">YEAR($C$13)+(BG144*80)</f>
        <v>2110.1733647058822</v>
      </c>
      <c r="BF144" s="4"/>
      <c r="BG144" s="137">
        <f ca="1">BH144*$BH$14</f>
        <v>1.1396670588235296</v>
      </c>
      <c r="BH144" s="137">
        <f ca="1">(((BJ144+BK144+BM144+BN144)/4)*$BM$11)+(((BP144+BQ144)/2)*$BQ$11)+(((BU144+BV144+BW144)/3)*$BU$11)+(((BY144+BZ144+CA144+CB144+CC144)/5)*$CA$11)</f>
        <v>1.1396670588235296</v>
      </c>
      <c r="BI144" s="4"/>
      <c r="BJ144" s="33">
        <f>AP144/(AM144+AO144)</f>
        <v>0.16666666666666666</v>
      </c>
      <c r="BK144" s="33">
        <f>(AN144+AO144)/(AM144+AO144)</f>
        <v>1</v>
      </c>
      <c r="BL144" s="4"/>
      <c r="BM144" s="127">
        <f>CF144/102</f>
        <v>0.43431372549019603</v>
      </c>
      <c r="BN144" s="127">
        <f>C144/2</f>
        <v>4</v>
      </c>
      <c r="BO144" s="4"/>
      <c r="BP144" s="127">
        <f>(AK144)/($AW$6)</f>
        <v>0.33333333333333331</v>
      </c>
      <c r="BQ144" s="127">
        <f ca="1">(CH144-$AW$4)/((YEAR($C$13))-$AW$4)</f>
        <v>1</v>
      </c>
      <c r="BR144" s="127">
        <f>(AL144)/($AW$6)</f>
        <v>0.33333333333333331</v>
      </c>
      <c r="BS144" s="4"/>
      <c r="BT144" s="127"/>
      <c r="BU144" s="127">
        <f ca="1">(CG144-$AW$4)/((YEAR($C$13))-$AW$4)</f>
        <v>1</v>
      </c>
      <c r="BV144" s="127">
        <f>AE144/5</f>
        <v>1</v>
      </c>
      <c r="BW144" s="127">
        <f>AF144/5</f>
        <v>1</v>
      </c>
      <c r="BX144" s="4"/>
      <c r="BY144" s="148" t="str">
        <f>IF(E144="A",".98",IF(E144="B",".99",IF(E144="C","1.00",IF(E144="D","1.00" ))))</f>
        <v>1.00</v>
      </c>
      <c r="BZ144" s="127">
        <f>(CE144+7)/10</f>
        <v>1</v>
      </c>
      <c r="CA144" s="76" t="str">
        <f>IF(D144="Fern",".97",IF(D144="Grass",".99",IF(D144="Herb",".97",IF(D144="Shrub",".99",IF(D144="Tree","1.00",IF(D144="Vine",".98"))))))</f>
        <v>.97</v>
      </c>
      <c r="CB144" s="149" t="str">
        <f>IF(R144="Bogs Ponds Streams",".96", IF(R144="Coastal Areas",".97",IF(R144="Meadows Dry Open",".96",IF(R144="Forest &amp; Understory",".97",IF(R144="Moist Open",".98",IF(R144="Moist Shady",".96",IF(R144="Sub-Alpine","1.0")))))))</f>
        <v>.96</v>
      </c>
      <c r="CC144" s="76" t="str">
        <f>IF(S144="Local Endemic",".50",IF(S144="Regional Endemic",".70",IF(S144="Cascadia",".90",IF(S144="Rocky Mountain",".95",IF(S144="North America",".99")))))</f>
        <v>.95</v>
      </c>
      <c r="CD144" s="4"/>
      <c r="CE144" s="21">
        <f>IF(W144&gt;3,3,W144)</f>
        <v>3</v>
      </c>
      <c r="CF144" s="21">
        <f>IF(AC144&gt;102,102,AC144)</f>
        <v>44.3</v>
      </c>
      <c r="CG144" s="34">
        <f ca="1">IF(AI144&lt;$AW$4,$AW$4,AI144)</f>
        <v>2019</v>
      </c>
      <c r="CH144" s="34">
        <f ca="1">IF(AJ144&lt;$AW$4,$AW$4,AJ144)</f>
        <v>2019</v>
      </c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12"/>
    </row>
    <row r="145" spans="1:115" s="13" customFormat="1" ht="15" customHeight="1" x14ac:dyDescent="0.3">
      <c r="A145" s="235"/>
      <c r="B145" s="218"/>
      <c r="C145" s="375">
        <v>1</v>
      </c>
      <c r="D145" s="67" t="s">
        <v>2505</v>
      </c>
      <c r="E145" s="67" t="s">
        <v>2502</v>
      </c>
      <c r="F145" s="403">
        <f ca="1">IF(BC145&lt;2025, "Extinct&lt; 6Yrs?",BA145)</f>
        <v>2036.1135667260844</v>
      </c>
      <c r="G145" s="376" t="s">
        <v>525</v>
      </c>
      <c r="H145" s="376" t="s">
        <v>4028</v>
      </c>
      <c r="I145" s="379" t="s">
        <v>2604</v>
      </c>
      <c r="J145" s="378" t="s">
        <v>3657</v>
      </c>
      <c r="K145" s="378" t="s">
        <v>885</v>
      </c>
      <c r="L145" s="65" t="s">
        <v>1821</v>
      </c>
      <c r="M145" s="64" t="s">
        <v>4225</v>
      </c>
      <c r="N145" s="64" t="s">
        <v>5118</v>
      </c>
      <c r="O145" s="64" t="s">
        <v>6017</v>
      </c>
      <c r="P145" s="404" t="s">
        <v>660</v>
      </c>
      <c r="Q145" s="67" t="s">
        <v>2552</v>
      </c>
      <c r="R145" s="61" t="s">
        <v>2497</v>
      </c>
      <c r="S145" s="61" t="s">
        <v>2459</v>
      </c>
      <c r="T145" s="134" t="str">
        <f>IF(R145="Bogs Ponds Streams","20",IF(R145="Coastal Areas","26",IF(R145="Meadows Dry Open","10",IF(R145="Forest &amp; Understory","14",IF(R145="Moist Open","12",IF(R145="Moist Shady","10",IF(R145="Sub-Alpine Slopes","0")))))))</f>
        <v>12</v>
      </c>
      <c r="U145" s="134" t="str">
        <f>IF(R145="Bogs Ponds Streams","52",IF(R145="Coastal Areas","51",IF(R145="Meadows Dry Open","53",IF(R145="Forest &amp; Understory","52",IF(R145="Moist Open","50",IF(R145="Moist Shady","46",IF(R145="Sub-Alpine Slopes","40")))))))</f>
        <v>50</v>
      </c>
      <c r="V145" s="134" t="str">
        <f>IF(R145="Bogs Ponds Streams","84",IF(R145="Coastal Areas","76",IF(R145="Meadows Dry Open","96", IF(R145="Forest &amp; Understory","90", IF(R145="Moist Open","88", IF(R145="Moist Shady","82", IF(R145="Sub-Alpine Slopes","80")))))))</f>
        <v>88</v>
      </c>
      <c r="W145" s="67">
        <v>1</v>
      </c>
      <c r="X145" s="67">
        <v>0</v>
      </c>
      <c r="Y145" s="67">
        <v>3500</v>
      </c>
      <c r="Z145" s="67" t="s">
        <v>2519</v>
      </c>
      <c r="AA145" s="67" t="s">
        <v>2518</v>
      </c>
      <c r="AB145" s="67">
        <v>6.8</v>
      </c>
      <c r="AC145" s="85">
        <f>C145+AK145+(0.1)*AL145</f>
        <v>3.5</v>
      </c>
      <c r="AD145" s="78">
        <v>31</v>
      </c>
      <c r="AE145" s="67">
        <v>5</v>
      </c>
      <c r="AF145" s="67">
        <v>5</v>
      </c>
      <c r="AG145" s="67">
        <v>1900</v>
      </c>
      <c r="AH145" s="78">
        <v>0</v>
      </c>
      <c r="AI145" s="67">
        <f>AJ145</f>
        <v>2009</v>
      </c>
      <c r="AJ145" s="69">
        <v>2009</v>
      </c>
      <c r="AK145" s="69">
        <v>2</v>
      </c>
      <c r="AL145" s="69">
        <v>5</v>
      </c>
      <c r="AM145" s="70">
        <v>5</v>
      </c>
      <c r="AN145" s="70">
        <v>0</v>
      </c>
      <c r="AO145" s="86">
        <v>0</v>
      </c>
      <c r="AP145" s="70">
        <v>0</v>
      </c>
      <c r="AQ145" s="70">
        <v>0</v>
      </c>
      <c r="AR145" s="70">
        <v>0</v>
      </c>
      <c r="AS145" s="86">
        <v>0</v>
      </c>
      <c r="AT145" s="70">
        <v>0</v>
      </c>
      <c r="AU145" s="70">
        <v>0</v>
      </c>
      <c r="AV145" s="70">
        <v>0</v>
      </c>
      <c r="AW145" s="86">
        <v>0</v>
      </c>
      <c r="AX145" s="70">
        <v>0</v>
      </c>
      <c r="AY145" s="233"/>
      <c r="AZ145" s="4"/>
      <c r="BA145" s="35">
        <f ca="1">IF(OR(S145="North America",S145="Rocky Mountain"), "Widespread",BC145)</f>
        <v>2036.1135667260844</v>
      </c>
      <c r="BB145" s="4"/>
      <c r="BC145" s="35">
        <f ca="1">IF(BE145&gt;2046, "Abundant",BE145)</f>
        <v>2036.1135667260844</v>
      </c>
      <c r="BD145" s="4"/>
      <c r="BE145" s="81">
        <f ca="1">YEAR($C$13)+(BG145*80)</f>
        <v>2036.1135667260844</v>
      </c>
      <c r="BF145" s="4"/>
      <c r="BG145" s="137">
        <f ca="1">BH145*$BH$14</f>
        <v>0.21391958407605466</v>
      </c>
      <c r="BH145" s="137">
        <f ca="1">(((BJ145+BK145+BM145+BN145)/4)*$BM$11)+(((BP145+BQ145)/2)*$BQ$11)+(((BU145+BV145+BW145)/3)*$BU$11)+(((BY145+BZ145+CA145+CB145+CC145)/5)*$CA$11)</f>
        <v>0.21391958407605466</v>
      </c>
      <c r="BI145" s="4"/>
      <c r="BJ145" s="33">
        <f>AP145/(AM145+AO145)</f>
        <v>0</v>
      </c>
      <c r="BK145" s="33">
        <f>(AN145+AO145)/(AM145+AO145)</f>
        <v>0</v>
      </c>
      <c r="BL145" s="4"/>
      <c r="BM145" s="127">
        <f>CF145/102</f>
        <v>3.4313725490196081E-2</v>
      </c>
      <c r="BN145" s="127">
        <f>C145/2</f>
        <v>0.5</v>
      </c>
      <c r="BO145" s="4"/>
      <c r="BP145" s="127">
        <f>(AK145)/($AW$6)</f>
        <v>2.0202020202020204E-2</v>
      </c>
      <c r="BQ145" s="127">
        <f ca="1">(CH145-$AW$4)/((YEAR($C$13))-$AW$4)</f>
        <v>0.33333333333333331</v>
      </c>
      <c r="BR145" s="127">
        <f>(AL145)/($AW$6)</f>
        <v>5.0505050505050504E-2</v>
      </c>
      <c r="BS145" s="4"/>
      <c r="BT145" s="127"/>
      <c r="BU145" s="127">
        <f ca="1">(CG145-$AW$4)/((YEAR($C$13))-$AW$4)</f>
        <v>0.33333333333333331</v>
      </c>
      <c r="BV145" s="127">
        <f>AE145/5</f>
        <v>1</v>
      </c>
      <c r="BW145" s="127">
        <f>AF145/5</f>
        <v>1</v>
      </c>
      <c r="BX145" s="4"/>
      <c r="BY145" s="148" t="str">
        <f>IF(E145="A",".98",IF(E145="B",".99",IF(E145="C","1.00",IF(E145="D","1.00" ))))</f>
        <v>.98</v>
      </c>
      <c r="BZ145" s="127">
        <f>(CE145+7)/10</f>
        <v>0.8</v>
      </c>
      <c r="CA145" s="76" t="str">
        <f>IF(D145="Fern",".97",IF(D145="Grass",".99",IF(D145="Herb",".97",IF(D145="Shrub",".99",IF(D145="Tree","1.00",IF(D145="Vine",".98"))))))</f>
        <v>.97</v>
      </c>
      <c r="CB145" s="149" t="str">
        <f>IF(R145="Bogs Ponds Streams",".96", IF(R145="Coastal Areas",".97",IF(R145="Meadows Dry Open",".96",IF(R145="Forest &amp; Understory",".97",IF(R145="Moist Open",".98",IF(R145="Moist Shady",".96",IF(R145="Sub-Alpine","1.0")))))))</f>
        <v>.98</v>
      </c>
      <c r="CC145" s="76" t="str">
        <f>IF(S145="Local Endemic",".50",IF(S145="Regional Endemic",".70",IF(S145="Cascadia",".90",IF(S145="Rocky Mountain",".95",IF(S145="North America",".99")))))</f>
        <v>.90</v>
      </c>
      <c r="CD145" s="4"/>
      <c r="CE145" s="21">
        <f>IF(W145&gt;3,3,W145)</f>
        <v>1</v>
      </c>
      <c r="CF145" s="21">
        <f>IF(AC145&gt;102,102,AC145)</f>
        <v>3.5</v>
      </c>
      <c r="CG145" s="34">
        <f>IF(AI145&lt;$AW$4,$AW$4,AI145)</f>
        <v>2009</v>
      </c>
      <c r="CH145" s="34">
        <f>IF(AJ145&lt;$AW$4,$AW$4,AJ145)</f>
        <v>2009</v>
      </c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12"/>
    </row>
    <row r="146" spans="1:115" s="13" customFormat="1" ht="15" customHeight="1" x14ac:dyDescent="0.3">
      <c r="A146" s="235"/>
      <c r="B146" s="218"/>
      <c r="C146" s="225">
        <v>8</v>
      </c>
      <c r="D146" s="59" t="s">
        <v>2505</v>
      </c>
      <c r="E146" s="59" t="s">
        <v>2501</v>
      </c>
      <c r="F146" s="397" t="str">
        <f ca="1">IF(BC146&lt;2025, "Extinct&lt; 6Yrs?",BA146)</f>
        <v>Widespread</v>
      </c>
      <c r="G146" s="363" t="s">
        <v>525</v>
      </c>
      <c r="H146" s="363" t="s">
        <v>690</v>
      </c>
      <c r="I146" s="366" t="s">
        <v>158</v>
      </c>
      <c r="J146" s="365" t="s">
        <v>3257</v>
      </c>
      <c r="K146" s="365" t="s">
        <v>886</v>
      </c>
      <c r="L146" s="10" t="s">
        <v>1820</v>
      </c>
      <c r="M146" s="8" t="s">
        <v>4226</v>
      </c>
      <c r="N146" s="8" t="s">
        <v>5119</v>
      </c>
      <c r="O146" s="8" t="s">
        <v>6018</v>
      </c>
      <c r="P146" s="9" t="s">
        <v>154</v>
      </c>
      <c r="Q146" s="59" t="s">
        <v>2552</v>
      </c>
      <c r="R146" s="9" t="s">
        <v>2500</v>
      </c>
      <c r="S146" s="9" t="s">
        <v>2495</v>
      </c>
      <c r="T146" s="123" t="str">
        <f>IF(R146="Bogs Ponds Streams","20",IF(R146="Coastal Areas","26",IF(R146="Meadows Dry Open","10",IF(R146="Forest &amp; Understory","14",IF(R146="Moist Open","12",IF(R146="Moist Shady","10",IF(R146="Sub-Alpine Slopes","0")))))))</f>
        <v>10</v>
      </c>
      <c r="U146" s="123" t="str">
        <f>IF(R146="Bogs Ponds Streams","52",IF(R146="Coastal Areas","51",IF(R146="Meadows Dry Open","53",IF(R146="Forest &amp; Understory","52",IF(R146="Moist Open","50",IF(R146="Moist Shady","46",IF(R146="Sub-Alpine Slopes","40")))))))</f>
        <v>53</v>
      </c>
      <c r="V146" s="123" t="str">
        <f>IF(R146="Bogs Ponds Streams","84",IF(R146="Coastal Areas","76",IF(R146="Meadows Dry Open","96", IF(R146="Forest &amp; Understory","90", IF(R146="Moist Open","88", IF(R146="Moist Shady","82", IF(R146="Sub-Alpine Slopes","80")))))))</f>
        <v>96</v>
      </c>
      <c r="W146" s="59">
        <v>20</v>
      </c>
      <c r="X146" s="59">
        <v>0</v>
      </c>
      <c r="Y146" s="59">
        <v>3500</v>
      </c>
      <c r="Z146" s="59" t="s">
        <v>2519</v>
      </c>
      <c r="AA146" s="59" t="s">
        <v>2518</v>
      </c>
      <c r="AB146" s="59">
        <v>6.8</v>
      </c>
      <c r="AC146" s="45">
        <f>C146+AK146+(0.1)*AL146</f>
        <v>25.2</v>
      </c>
      <c r="AD146" s="77">
        <v>235</v>
      </c>
      <c r="AE146" s="59">
        <v>5</v>
      </c>
      <c r="AF146" s="59">
        <v>5</v>
      </c>
      <c r="AG146" s="59">
        <v>1900</v>
      </c>
      <c r="AH146" s="77">
        <v>0</v>
      </c>
      <c r="AI146" s="59">
        <f ca="1">AJ146</f>
        <v>2019</v>
      </c>
      <c r="AJ146" s="18">
        <f ca="1">YEAR(TODAY())</f>
        <v>2019</v>
      </c>
      <c r="AK146" s="18">
        <v>15</v>
      </c>
      <c r="AL146" s="18">
        <v>22</v>
      </c>
      <c r="AM146" s="18">
        <v>1</v>
      </c>
      <c r="AN146" s="18">
        <v>1</v>
      </c>
      <c r="AO146" s="25">
        <v>0</v>
      </c>
      <c r="AP146" s="24">
        <v>1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0</v>
      </c>
      <c r="AX146" s="18">
        <v>0</v>
      </c>
      <c r="AY146" s="233"/>
      <c r="AZ146" s="4"/>
      <c r="BA146" s="35" t="str">
        <f>IF(OR(S146="North America",S146="Rocky Mountain"), "Widespread",BC146)</f>
        <v>Widespread</v>
      </c>
      <c r="BB146" s="4"/>
      <c r="BC146" s="35" t="str">
        <f ca="1">IF(BE146&gt;2046, "Abundant",BE146)</f>
        <v>Abundant</v>
      </c>
      <c r="BD146" s="4"/>
      <c r="BE146" s="81">
        <f ca="1">YEAR($C$13)+(BG146*80)</f>
        <v>2115.7572877005346</v>
      </c>
      <c r="BF146" s="4"/>
      <c r="BG146" s="137">
        <f ca="1">BH146*$BH$14</f>
        <v>1.2094660962566846</v>
      </c>
      <c r="BH146" s="137">
        <f ca="1">(((BJ146+BK146+BM146+BN146)/4)*$BM$11)+(((BP146+BQ146)/2)*$BQ$11)+(((BU146+BV146+BW146)/3)*$BU$11)+(((BY146+BZ146+CA146+CB146+CC146)/5)*$CA$11)</f>
        <v>1.2094660962566846</v>
      </c>
      <c r="BI146" s="4"/>
      <c r="BJ146" s="33">
        <f>AP146/(AM146+AO146)</f>
        <v>1</v>
      </c>
      <c r="BK146" s="33">
        <f>(AN146+AO146)/(AM146+AO146)</f>
        <v>1</v>
      </c>
      <c r="BL146" s="4"/>
      <c r="BM146" s="127">
        <f>CF146/102</f>
        <v>0.24705882352941175</v>
      </c>
      <c r="BN146" s="127">
        <f>C146/2</f>
        <v>4</v>
      </c>
      <c r="BO146" s="4"/>
      <c r="BP146" s="127">
        <f>(AK146)/($AW$6)</f>
        <v>0.15151515151515152</v>
      </c>
      <c r="BQ146" s="127">
        <f ca="1">(CH146-$AW$4)/((YEAR($C$13))-$AW$4)</f>
        <v>1</v>
      </c>
      <c r="BR146" s="127">
        <f>(AL146)/($AW$6)</f>
        <v>0.22222222222222221</v>
      </c>
      <c r="BS146" s="4"/>
      <c r="BT146" s="127"/>
      <c r="BU146" s="127">
        <f ca="1">(CG146-$AW$4)/((YEAR($C$13))-$AW$4)</f>
        <v>1</v>
      </c>
      <c r="BV146" s="127">
        <f>AE146/5</f>
        <v>1</v>
      </c>
      <c r="BW146" s="127">
        <f>AF146/5</f>
        <v>1</v>
      </c>
      <c r="BX146" s="4"/>
      <c r="BY146" s="148" t="str">
        <f>IF(E146="A",".98",IF(E146="B",".99",IF(E146="C","1.00",IF(E146="D","1.00" ))))</f>
        <v>1.00</v>
      </c>
      <c r="BZ146" s="127">
        <f>(CE146+7)/10</f>
        <v>1</v>
      </c>
      <c r="CA146" s="76" t="str">
        <f>IF(D146="Fern",".97",IF(D146="Grass",".99",IF(D146="Herb",".97",IF(D146="Shrub",".99",IF(D146="Tree","1.00",IF(D146="Vine",".98"))))))</f>
        <v>.97</v>
      </c>
      <c r="CB146" s="149" t="str">
        <f>IF(R146="Bogs Ponds Streams",".96", IF(R146="Coastal Areas",".97",IF(R146="Meadows Dry Open",".96",IF(R146="Forest &amp; Understory",".97",IF(R146="Moist Open",".98",IF(R146="Moist Shady",".96",IF(R146="Sub-Alpine","1.0")))))))</f>
        <v>.96</v>
      </c>
      <c r="CC146" s="76" t="str">
        <f>IF(S146="Local Endemic",".50",IF(S146="Regional Endemic",".70",IF(S146="Cascadia",".90",IF(S146="Rocky Mountain",".95",IF(S146="North America",".99")))))</f>
        <v>.99</v>
      </c>
      <c r="CD146" s="4"/>
      <c r="CE146" s="21">
        <f>IF(W146&gt;3,3,W146)</f>
        <v>3</v>
      </c>
      <c r="CF146" s="21">
        <f>IF(AC146&gt;102,102,AC146)</f>
        <v>25.2</v>
      </c>
      <c r="CG146" s="34">
        <f ca="1">IF(AI146&lt;$AW$4,$AW$4,AI146)</f>
        <v>2019</v>
      </c>
      <c r="CH146" s="34">
        <f ca="1">IF(AJ146&lt;$AW$4,$AW$4,AJ146)</f>
        <v>2019</v>
      </c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12"/>
    </row>
    <row r="147" spans="1:115" s="13" customFormat="1" ht="15" customHeight="1" x14ac:dyDescent="0.3">
      <c r="A147" s="235"/>
      <c r="B147" s="218"/>
      <c r="C147" s="226">
        <v>2</v>
      </c>
      <c r="D147" s="104" t="s">
        <v>2505</v>
      </c>
      <c r="E147" s="104" t="s">
        <v>2501</v>
      </c>
      <c r="F147" s="400" t="str">
        <f ca="1">IF(BC147&lt;2025, "Extinct&lt; 6Yrs?",BA147)</f>
        <v>Abundant</v>
      </c>
      <c r="G147" s="369" t="s">
        <v>525</v>
      </c>
      <c r="H147" s="369" t="s">
        <v>4028</v>
      </c>
      <c r="I147" s="370" t="s">
        <v>159</v>
      </c>
      <c r="J147" s="371" t="s">
        <v>3824</v>
      </c>
      <c r="K147" s="371" t="s">
        <v>887</v>
      </c>
      <c r="L147" s="106" t="s">
        <v>1819</v>
      </c>
      <c r="M147" s="111" t="s">
        <v>4227</v>
      </c>
      <c r="N147" s="111" t="s">
        <v>5120</v>
      </c>
      <c r="O147" s="111" t="s">
        <v>6019</v>
      </c>
      <c r="P147" s="105" t="s">
        <v>154</v>
      </c>
      <c r="Q147" s="104" t="s">
        <v>2552</v>
      </c>
      <c r="R147" s="105" t="s">
        <v>2500</v>
      </c>
      <c r="S147" s="105" t="s">
        <v>2459</v>
      </c>
      <c r="T147" s="133" t="str">
        <f>IF(R147="Bogs Ponds Streams","20",IF(R147="Coastal Areas","26",IF(R147="Meadows Dry Open","10",IF(R147="Forest &amp; Understory","14",IF(R147="Moist Open","12",IF(R147="Moist Shady","10",IF(R147="Sub-Alpine Slopes","0")))))))</f>
        <v>10</v>
      </c>
      <c r="U147" s="133" t="str">
        <f>IF(R147="Bogs Ponds Streams","52",IF(R147="Coastal Areas","51",IF(R147="Meadows Dry Open","53",IF(R147="Forest &amp; Understory","52",IF(R147="Moist Open","50",IF(R147="Moist Shady","46",IF(R147="Sub-Alpine Slopes","40")))))))</f>
        <v>53</v>
      </c>
      <c r="V147" s="133" t="str">
        <f>IF(R147="Bogs Ponds Streams","84",IF(R147="Coastal Areas","76",IF(R147="Meadows Dry Open","96", IF(R147="Forest &amp; Understory","90", IF(R147="Moist Open","88", IF(R147="Moist Shady","82", IF(R147="Sub-Alpine Slopes","80")))))))</f>
        <v>96</v>
      </c>
      <c r="W147" s="104">
        <v>20</v>
      </c>
      <c r="X147" s="104">
        <v>0</v>
      </c>
      <c r="Y147" s="104">
        <v>3500</v>
      </c>
      <c r="Z147" s="104" t="s">
        <v>2519</v>
      </c>
      <c r="AA147" s="104" t="s">
        <v>2518</v>
      </c>
      <c r="AB147" s="104">
        <v>6.8</v>
      </c>
      <c r="AC147" s="107">
        <f>C147+AK147+(0.1)*AL147</f>
        <v>34.200000000000003</v>
      </c>
      <c r="AD147" s="113">
        <v>69</v>
      </c>
      <c r="AE147" s="104">
        <v>5</v>
      </c>
      <c r="AF147" s="104">
        <v>5</v>
      </c>
      <c r="AG147" s="104">
        <v>1900</v>
      </c>
      <c r="AH147" s="113">
        <v>0</v>
      </c>
      <c r="AI147" s="104">
        <f>AJ147</f>
        <v>2008</v>
      </c>
      <c r="AJ147" s="108">
        <v>2008</v>
      </c>
      <c r="AK147" s="108">
        <v>32</v>
      </c>
      <c r="AL147" s="108">
        <v>2</v>
      </c>
      <c r="AM147" s="109">
        <v>5</v>
      </c>
      <c r="AN147" s="109">
        <v>1</v>
      </c>
      <c r="AO147" s="110">
        <v>0</v>
      </c>
      <c r="AP147" s="109">
        <v>0</v>
      </c>
      <c r="AQ147" s="109">
        <v>0</v>
      </c>
      <c r="AR147" s="109">
        <v>0</v>
      </c>
      <c r="AS147" s="110">
        <v>0</v>
      </c>
      <c r="AT147" s="109">
        <v>0</v>
      </c>
      <c r="AU147" s="109">
        <v>0</v>
      </c>
      <c r="AV147" s="109">
        <v>0</v>
      </c>
      <c r="AW147" s="110">
        <v>0</v>
      </c>
      <c r="AX147" s="109">
        <v>0</v>
      </c>
      <c r="AY147" s="233"/>
      <c r="AZ147" s="4"/>
      <c r="BA147" s="35" t="str">
        <f ca="1">IF(OR(S147="North America",S147="Rocky Mountain"), "Widespread",BC147)</f>
        <v>Abundant</v>
      </c>
      <c r="BB147" s="4"/>
      <c r="BC147" s="35" t="str">
        <f ca="1">IF(BE147&gt;2046, "Abundant",BE147)</f>
        <v>Abundant</v>
      </c>
      <c r="BD147" s="4"/>
      <c r="BE147" s="81">
        <f ca="1">YEAR($C$13)+(BG147*80)</f>
        <v>2050.8834728461084</v>
      </c>
      <c r="BF147" s="4"/>
      <c r="BG147" s="137">
        <f ca="1">BH147*$BH$14</f>
        <v>0.39854341057635179</v>
      </c>
      <c r="BH147" s="137">
        <f ca="1">(((BJ147+BK147+BM147+BN147)/4)*$BM$11)+(((BP147+BQ147)/2)*$BQ$11)+(((BU147+BV147+BW147)/3)*$BU$11)+(((BY147+BZ147+CA147+CB147+CC147)/5)*$CA$11)</f>
        <v>0.39854341057635179</v>
      </c>
      <c r="BI147" s="4"/>
      <c r="BJ147" s="33">
        <f>AP147/(AM147+AO147)</f>
        <v>0</v>
      </c>
      <c r="BK147" s="33">
        <f>(AN147+AO147)/(AM147+AO147)</f>
        <v>0.2</v>
      </c>
      <c r="BL147" s="4"/>
      <c r="BM147" s="127">
        <f>CF147/102</f>
        <v>0.33529411764705885</v>
      </c>
      <c r="BN147" s="127">
        <f>C147/2</f>
        <v>1</v>
      </c>
      <c r="BO147" s="4"/>
      <c r="BP147" s="127">
        <f>(AK147)/($AW$6)</f>
        <v>0.32323232323232326</v>
      </c>
      <c r="BQ147" s="127">
        <f ca="1">(CH147-$AW$4)/((YEAR($C$13))-$AW$4)</f>
        <v>0.26666666666666666</v>
      </c>
      <c r="BR147" s="127">
        <f>(AL147)/($AW$6)</f>
        <v>2.0202020202020204E-2</v>
      </c>
      <c r="BS147" s="4"/>
      <c r="BT147" s="127"/>
      <c r="BU147" s="127">
        <f ca="1">(CG147-$AW$4)/((YEAR($C$13))-$AW$4)</f>
        <v>0.26666666666666666</v>
      </c>
      <c r="BV147" s="127">
        <f>AE147/5</f>
        <v>1</v>
      </c>
      <c r="BW147" s="127">
        <f>AF147/5</f>
        <v>1</v>
      </c>
      <c r="BX147" s="4"/>
      <c r="BY147" s="148" t="str">
        <f>IF(E147="A",".98",IF(E147="B",".99",IF(E147="C","1.00",IF(E147="D","1.00" ))))</f>
        <v>1.00</v>
      </c>
      <c r="BZ147" s="127">
        <f>(CE147+7)/10</f>
        <v>1</v>
      </c>
      <c r="CA147" s="76" t="str">
        <f>IF(D147="Fern",".97",IF(D147="Grass",".99",IF(D147="Herb",".97",IF(D147="Shrub",".99",IF(D147="Tree","1.00",IF(D147="Vine",".98"))))))</f>
        <v>.97</v>
      </c>
      <c r="CB147" s="149" t="str">
        <f>IF(R147="Bogs Ponds Streams",".96", IF(R147="Coastal Areas",".97",IF(R147="Meadows Dry Open",".96",IF(R147="Forest &amp; Understory",".97",IF(R147="Moist Open",".98",IF(R147="Moist Shady",".96",IF(R147="Sub-Alpine","1.0")))))))</f>
        <v>.96</v>
      </c>
      <c r="CC147" s="76" t="str">
        <f>IF(S147="Local Endemic",".50",IF(S147="Regional Endemic",".70",IF(S147="Cascadia",".90",IF(S147="Rocky Mountain",".95",IF(S147="North America",".99")))))</f>
        <v>.90</v>
      </c>
      <c r="CD147" s="4"/>
      <c r="CE147" s="21">
        <f>IF(W147&gt;3,3,W147)</f>
        <v>3</v>
      </c>
      <c r="CF147" s="21">
        <f>IF(AC147&gt;102,102,AC147)</f>
        <v>34.200000000000003</v>
      </c>
      <c r="CG147" s="34">
        <f>IF(AI147&lt;$AW$4,$AW$4,AI147)</f>
        <v>2008</v>
      </c>
      <c r="CH147" s="34">
        <f>IF(AJ147&lt;$AW$4,$AW$4,AJ147)</f>
        <v>2008</v>
      </c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12"/>
    </row>
    <row r="148" spans="1:115" s="13" customFormat="1" ht="15" customHeight="1" x14ac:dyDescent="0.3">
      <c r="A148" s="235"/>
      <c r="B148" s="218"/>
      <c r="C148" s="225">
        <v>8</v>
      </c>
      <c r="D148" s="59" t="s">
        <v>2505</v>
      </c>
      <c r="E148" s="59" t="s">
        <v>2501</v>
      </c>
      <c r="F148" s="397" t="str">
        <f ca="1">IF(BC148&lt;2025, "Extinct&lt; 6Yrs?",BA148)</f>
        <v>Widespread</v>
      </c>
      <c r="G148" s="363" t="s">
        <v>525</v>
      </c>
      <c r="H148" s="363" t="s">
        <v>688</v>
      </c>
      <c r="I148" s="364" t="s">
        <v>2605</v>
      </c>
      <c r="J148" s="365" t="s">
        <v>3258</v>
      </c>
      <c r="K148" s="365" t="s">
        <v>888</v>
      </c>
      <c r="L148" s="17" t="s">
        <v>1818</v>
      </c>
      <c r="M148" s="8" t="s">
        <v>4228</v>
      </c>
      <c r="N148" s="8" t="s">
        <v>5121</v>
      </c>
      <c r="O148" s="8" t="s">
        <v>6020</v>
      </c>
      <c r="P148" s="398" t="s">
        <v>51</v>
      </c>
      <c r="Q148" s="59" t="s">
        <v>2552</v>
      </c>
      <c r="R148" s="9" t="s">
        <v>2497</v>
      </c>
      <c r="S148" s="9" t="s">
        <v>2495</v>
      </c>
      <c r="T148" s="123" t="str">
        <f>IF(R148="Bogs Ponds Streams","20",IF(R148="Coastal Areas","26",IF(R148="Meadows Dry Open","10",IF(R148="Forest &amp; Understory","14",IF(R148="Moist Open","12",IF(R148="Moist Shady","10",IF(R148="Sub-Alpine Slopes","0")))))))</f>
        <v>12</v>
      </c>
      <c r="U148" s="123" t="str">
        <f>IF(R148="Bogs Ponds Streams","52",IF(R148="Coastal Areas","51",IF(R148="Meadows Dry Open","53",IF(R148="Forest &amp; Understory","52",IF(R148="Moist Open","50",IF(R148="Moist Shady","46",IF(R148="Sub-Alpine Slopes","40")))))))</f>
        <v>50</v>
      </c>
      <c r="V148" s="123" t="str">
        <f>IF(R148="Bogs Ponds Streams","84",IF(R148="Coastal Areas","76",IF(R148="Meadows Dry Open","96", IF(R148="Forest &amp; Understory","90", IF(R148="Moist Open","88", IF(R148="Moist Shady","82", IF(R148="Sub-Alpine Slopes","80")))))))</f>
        <v>88</v>
      </c>
      <c r="W148" s="59">
        <v>20</v>
      </c>
      <c r="X148" s="59">
        <v>0</v>
      </c>
      <c r="Y148" s="59">
        <v>3500</v>
      </c>
      <c r="Z148" s="59" t="s">
        <v>2519</v>
      </c>
      <c r="AA148" s="59" t="s">
        <v>2518</v>
      </c>
      <c r="AB148" s="59">
        <v>6.8</v>
      </c>
      <c r="AC148" s="45">
        <f>C148+AK148+(0.1)*AL148</f>
        <v>20.2</v>
      </c>
      <c r="AD148" s="77">
        <v>130</v>
      </c>
      <c r="AE148" s="59">
        <v>5</v>
      </c>
      <c r="AF148" s="59">
        <v>5</v>
      </c>
      <c r="AG148" s="59">
        <v>1900</v>
      </c>
      <c r="AH148" s="77">
        <v>0</v>
      </c>
      <c r="AI148" s="59">
        <f ca="1">AJ148</f>
        <v>2019</v>
      </c>
      <c r="AJ148" s="18">
        <f ca="1">YEAR(TODAY())</f>
        <v>2019</v>
      </c>
      <c r="AK148" s="18">
        <v>10</v>
      </c>
      <c r="AL148" s="18">
        <v>22</v>
      </c>
      <c r="AM148" s="18">
        <v>1</v>
      </c>
      <c r="AN148" s="18">
        <v>1</v>
      </c>
      <c r="AO148" s="25">
        <v>0</v>
      </c>
      <c r="AP148" s="24">
        <v>0</v>
      </c>
      <c r="AQ148" s="18">
        <v>0</v>
      </c>
      <c r="AR148" s="18">
        <v>0</v>
      </c>
      <c r="AS148" s="18">
        <v>0</v>
      </c>
      <c r="AT148" s="18">
        <v>0</v>
      </c>
      <c r="AU148" s="18">
        <v>0</v>
      </c>
      <c r="AV148" s="18">
        <v>0</v>
      </c>
      <c r="AW148" s="18">
        <v>0</v>
      </c>
      <c r="AX148" s="18">
        <v>0</v>
      </c>
      <c r="AY148" s="233"/>
      <c r="AZ148" s="4"/>
      <c r="BA148" s="35" t="str">
        <f>IF(OR(S148="North America",S148="Rocky Mountain"), "Widespread",BC148)</f>
        <v>Widespread</v>
      </c>
      <c r="BB148" s="4"/>
      <c r="BC148" s="35" t="str">
        <f ca="1">IF(BE148&gt;2046, "Abundant",BE148)</f>
        <v>Abundant</v>
      </c>
      <c r="BD148" s="4"/>
      <c r="BE148" s="81">
        <f ca="1">YEAR($C$13)+(BG148*80)</f>
        <v>2102.5693918003567</v>
      </c>
      <c r="BF148" s="4"/>
      <c r="BG148" s="137">
        <f ca="1">BH148*$BH$14</f>
        <v>1.0446173975044564</v>
      </c>
      <c r="BH148" s="137">
        <f ca="1">(((BJ148+BK148+BM148+BN148)/4)*$BM$11)+(((BP148+BQ148)/2)*$BQ$11)+(((BU148+BV148+BW148)/3)*$BU$11)+(((BY148+BZ148+CA148+CB148+CC148)/5)*$CA$11)</f>
        <v>1.0446173975044564</v>
      </c>
      <c r="BI148" s="4"/>
      <c r="BJ148" s="33">
        <f>AP148/(AM148+AO148)</f>
        <v>0</v>
      </c>
      <c r="BK148" s="33">
        <f>(AN148+AO148)/(AM148+AO148)</f>
        <v>1</v>
      </c>
      <c r="BL148" s="4"/>
      <c r="BM148" s="127">
        <f>CF148/102</f>
        <v>0.1980392156862745</v>
      </c>
      <c r="BN148" s="127">
        <f>C148/2</f>
        <v>4</v>
      </c>
      <c r="BO148" s="4"/>
      <c r="BP148" s="127">
        <f>(AK148)/($AW$6)</f>
        <v>0.10101010101010101</v>
      </c>
      <c r="BQ148" s="127">
        <f ca="1">(CH148-$AW$4)/((YEAR($C$13))-$AW$4)</f>
        <v>1</v>
      </c>
      <c r="BR148" s="127">
        <f>(AL148)/($AW$6)</f>
        <v>0.22222222222222221</v>
      </c>
      <c r="BS148" s="4"/>
      <c r="BT148" s="127"/>
      <c r="BU148" s="127">
        <f ca="1">(CG148-$AW$4)/((YEAR($C$13))-$AW$4)</f>
        <v>1</v>
      </c>
      <c r="BV148" s="127">
        <f>AE148/5</f>
        <v>1</v>
      </c>
      <c r="BW148" s="127">
        <f>AF148/5</f>
        <v>1</v>
      </c>
      <c r="BX148" s="4"/>
      <c r="BY148" s="148" t="str">
        <f>IF(E148="A",".98",IF(E148="B",".99",IF(E148="C","1.00",IF(E148="D","1.00" ))))</f>
        <v>1.00</v>
      </c>
      <c r="BZ148" s="127">
        <f>(CE148+7)/10</f>
        <v>1</v>
      </c>
      <c r="CA148" s="76" t="str">
        <f>IF(D148="Fern",".97",IF(D148="Grass",".99",IF(D148="Herb",".97",IF(D148="Shrub",".99",IF(D148="Tree","1.00",IF(D148="Vine",".98"))))))</f>
        <v>.97</v>
      </c>
      <c r="CB148" s="149" t="str">
        <f>IF(R148="Bogs Ponds Streams",".96", IF(R148="Coastal Areas",".97",IF(R148="Meadows Dry Open",".96",IF(R148="Forest &amp; Understory",".97",IF(R148="Moist Open",".98",IF(R148="Moist Shady",".96",IF(R148="Sub-Alpine","1.0")))))))</f>
        <v>.98</v>
      </c>
      <c r="CC148" s="76" t="str">
        <f>IF(S148="Local Endemic",".50",IF(S148="Regional Endemic",".70",IF(S148="Cascadia",".90",IF(S148="Rocky Mountain",".95",IF(S148="North America",".99")))))</f>
        <v>.99</v>
      </c>
      <c r="CD148" s="4"/>
      <c r="CE148" s="21">
        <f>IF(W148&gt;3,3,W148)</f>
        <v>3</v>
      </c>
      <c r="CF148" s="21">
        <f>IF(AC148&gt;102,102,AC148)</f>
        <v>20.2</v>
      </c>
      <c r="CG148" s="34">
        <f ca="1">IF(AI148&lt;$AW$4,$AW$4,AI148)</f>
        <v>2019</v>
      </c>
      <c r="CH148" s="34">
        <f ca="1">IF(AJ148&lt;$AW$4,$AW$4,AJ148)</f>
        <v>2019</v>
      </c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12"/>
    </row>
    <row r="149" spans="1:115" s="13" customFormat="1" ht="15" customHeight="1" x14ac:dyDescent="0.3">
      <c r="A149" s="235"/>
      <c r="B149" s="218"/>
      <c r="C149" s="375">
        <v>1</v>
      </c>
      <c r="D149" s="67" t="s">
        <v>2505</v>
      </c>
      <c r="E149" s="67" t="s">
        <v>2501</v>
      </c>
      <c r="F149" s="403">
        <f ca="1">IF(BC149&lt;2025, "Extinct&lt; 6Yrs?",BA149)</f>
        <v>2036.886728936423</v>
      </c>
      <c r="G149" s="376" t="s">
        <v>525</v>
      </c>
      <c r="H149" s="376" t="s">
        <v>4028</v>
      </c>
      <c r="I149" s="380" t="s">
        <v>149</v>
      </c>
      <c r="J149" s="378" t="s">
        <v>3656</v>
      </c>
      <c r="K149" s="378" t="s">
        <v>889</v>
      </c>
      <c r="L149" s="63" t="s">
        <v>1812</v>
      </c>
      <c r="M149" s="64" t="s">
        <v>4229</v>
      </c>
      <c r="N149" s="64" t="s">
        <v>5122</v>
      </c>
      <c r="O149" s="64" t="s">
        <v>6021</v>
      </c>
      <c r="P149" s="61" t="s">
        <v>144</v>
      </c>
      <c r="Q149" s="67" t="s">
        <v>2552</v>
      </c>
      <c r="R149" s="61" t="s">
        <v>2498</v>
      </c>
      <c r="S149" s="61" t="s">
        <v>2459</v>
      </c>
      <c r="T149" s="134" t="str">
        <f>IF(R149="Bogs Ponds Streams","20",IF(R149="Coastal Areas","26",IF(R149="Meadows Dry Open","10",IF(R149="Forest &amp; Understory","14",IF(R149="Moist Open","12",IF(R149="Moist Shady","10",IF(R149="Sub-Alpine Slopes","0")))))))</f>
        <v>10</v>
      </c>
      <c r="U149" s="134" t="str">
        <f>IF(R149="Bogs Ponds Streams","52",IF(R149="Coastal Areas","51",IF(R149="Meadows Dry Open","53",IF(R149="Forest &amp; Understory","52",IF(R149="Moist Open","50",IF(R149="Moist Shady","46",IF(R149="Sub-Alpine Slopes","40")))))))</f>
        <v>46</v>
      </c>
      <c r="V149" s="134" t="str">
        <f>IF(R149="Bogs Ponds Streams","84",IF(R149="Coastal Areas","76",IF(R149="Meadows Dry Open","96", IF(R149="Forest &amp; Understory","90", IF(R149="Moist Open","88", IF(R149="Moist Shady","82", IF(R149="Sub-Alpine Slopes","80")))))))</f>
        <v>82</v>
      </c>
      <c r="W149" s="67">
        <v>20</v>
      </c>
      <c r="X149" s="67">
        <v>0</v>
      </c>
      <c r="Y149" s="67">
        <v>3500</v>
      </c>
      <c r="Z149" s="67" t="s">
        <v>2519</v>
      </c>
      <c r="AA149" s="67" t="s">
        <v>2518</v>
      </c>
      <c r="AB149" s="67">
        <v>6.8</v>
      </c>
      <c r="AC149" s="85">
        <f>C149+AK149+(0.1)*AL149</f>
        <v>18.100000000000001</v>
      </c>
      <c r="AD149" s="78">
        <v>42</v>
      </c>
      <c r="AE149" s="67">
        <v>5</v>
      </c>
      <c r="AF149" s="67">
        <v>5</v>
      </c>
      <c r="AG149" s="67">
        <v>1900</v>
      </c>
      <c r="AH149" s="78">
        <v>0</v>
      </c>
      <c r="AI149" s="67">
        <f>AJ149</f>
        <v>2006</v>
      </c>
      <c r="AJ149" s="69">
        <v>2006</v>
      </c>
      <c r="AK149" s="69">
        <v>17</v>
      </c>
      <c r="AL149" s="69">
        <v>1</v>
      </c>
      <c r="AM149" s="70">
        <v>5</v>
      </c>
      <c r="AN149" s="70">
        <v>0</v>
      </c>
      <c r="AO149" s="86">
        <v>0</v>
      </c>
      <c r="AP149" s="70">
        <v>0</v>
      </c>
      <c r="AQ149" s="70">
        <v>0</v>
      </c>
      <c r="AR149" s="70">
        <v>0</v>
      </c>
      <c r="AS149" s="86">
        <v>0</v>
      </c>
      <c r="AT149" s="70">
        <v>0</v>
      </c>
      <c r="AU149" s="70">
        <v>0</v>
      </c>
      <c r="AV149" s="70">
        <v>0</v>
      </c>
      <c r="AW149" s="86">
        <v>0</v>
      </c>
      <c r="AX149" s="70">
        <v>0</v>
      </c>
      <c r="AY149" s="233"/>
      <c r="AZ149" s="4"/>
      <c r="BA149" s="35">
        <f ca="1">IF(OR(S149="North America",S149="Rocky Mountain"), "Widespread",BC149)</f>
        <v>2036.886728936423</v>
      </c>
      <c r="BB149" s="4"/>
      <c r="BC149" s="35">
        <f ca="1">IF(BE149&gt;2046, "Abundant",BE149)</f>
        <v>2036.886728936423</v>
      </c>
      <c r="BD149" s="4"/>
      <c r="BE149" s="81">
        <f ca="1">YEAR($C$13)+(BG149*80)</f>
        <v>2036.886728936423</v>
      </c>
      <c r="BF149" s="4"/>
      <c r="BG149" s="137">
        <f ca="1">BH149*$BH$14</f>
        <v>0.22358411170528819</v>
      </c>
      <c r="BH149" s="137">
        <f ca="1">(((BJ149+BK149+BM149+BN149)/4)*$BM$11)+(((BP149+BQ149)/2)*$BQ$11)+(((BU149+BV149+BW149)/3)*$BU$11)+(((BY149+BZ149+CA149+CB149+CC149)/5)*$CA$11)</f>
        <v>0.22358411170528819</v>
      </c>
      <c r="BI149" s="4"/>
      <c r="BJ149" s="33">
        <f>AP149/(AM149+AO149)</f>
        <v>0</v>
      </c>
      <c r="BK149" s="33">
        <f>(AN149+AO149)/(AM149+AO149)</f>
        <v>0</v>
      </c>
      <c r="BL149" s="4"/>
      <c r="BM149" s="127">
        <f>CF149/102</f>
        <v>0.17745098039215687</v>
      </c>
      <c r="BN149" s="127">
        <f>C149/2</f>
        <v>0.5</v>
      </c>
      <c r="BO149" s="4"/>
      <c r="BP149" s="127">
        <f>(AK149)/($AW$6)</f>
        <v>0.17171717171717171</v>
      </c>
      <c r="BQ149" s="127">
        <f ca="1">(CH149-$AW$4)/((YEAR($C$13))-$AW$4)</f>
        <v>0.13333333333333333</v>
      </c>
      <c r="BR149" s="127">
        <f>(AL149)/($AW$6)</f>
        <v>1.0101010101010102E-2</v>
      </c>
      <c r="BS149" s="4"/>
      <c r="BT149" s="127"/>
      <c r="BU149" s="127">
        <f ca="1">(CG149-$AW$4)/((YEAR($C$13))-$AW$4)</f>
        <v>0.13333333333333333</v>
      </c>
      <c r="BV149" s="127">
        <f>AE149/5</f>
        <v>1</v>
      </c>
      <c r="BW149" s="127">
        <f>AF149/5</f>
        <v>1</v>
      </c>
      <c r="BX149" s="4"/>
      <c r="BY149" s="148" t="str">
        <f>IF(E149="A",".98",IF(E149="B",".99",IF(E149="C","1.00",IF(E149="D","1.00" ))))</f>
        <v>1.00</v>
      </c>
      <c r="BZ149" s="127">
        <f>(CE149+7)/10</f>
        <v>1</v>
      </c>
      <c r="CA149" s="76" t="str">
        <f>IF(D149="Fern",".97",IF(D149="Grass",".99",IF(D149="Herb",".97",IF(D149="Shrub",".99",IF(D149="Tree","1.00",IF(D149="Vine",".98"))))))</f>
        <v>.97</v>
      </c>
      <c r="CB149" s="149" t="str">
        <f>IF(R149="Bogs Ponds Streams",".96", IF(R149="Coastal Areas",".97",IF(R149="Meadows Dry Open",".96",IF(R149="Forest &amp; Understory",".97",IF(R149="Moist Open",".98",IF(R149="Moist Shady",".96",IF(R149="Sub-Alpine","1.0")))))))</f>
        <v>.96</v>
      </c>
      <c r="CC149" s="76" t="str">
        <f>IF(S149="Local Endemic",".50",IF(S149="Regional Endemic",".70",IF(S149="Cascadia",".90",IF(S149="Rocky Mountain",".95",IF(S149="North America",".99")))))</f>
        <v>.90</v>
      </c>
      <c r="CD149" s="4"/>
      <c r="CE149" s="21">
        <f>IF(W149&gt;3,3,W149)</f>
        <v>3</v>
      </c>
      <c r="CF149" s="21">
        <f>IF(AC149&gt;102,102,AC149)</f>
        <v>18.100000000000001</v>
      </c>
      <c r="CG149" s="34">
        <f>IF(AI149&lt;$AW$4,$AW$4,AI149)</f>
        <v>2006</v>
      </c>
      <c r="CH149" s="34">
        <f>IF(AJ149&lt;$AW$4,$AW$4,AJ149)</f>
        <v>2006</v>
      </c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12"/>
    </row>
    <row r="150" spans="1:115" s="13" customFormat="1" ht="15" customHeight="1" x14ac:dyDescent="0.3">
      <c r="A150" s="235"/>
      <c r="B150" s="218"/>
      <c r="C150" s="375">
        <v>1</v>
      </c>
      <c r="D150" s="67" t="s">
        <v>2505</v>
      </c>
      <c r="E150" s="67" t="s">
        <v>2501</v>
      </c>
      <c r="F150" s="403" t="str">
        <f ca="1">IF(BC150&lt;2025, "Extinct&lt; 6Yrs?",BA150)</f>
        <v>Widespread</v>
      </c>
      <c r="G150" s="376" t="s">
        <v>525</v>
      </c>
      <c r="H150" s="376" t="s">
        <v>4028</v>
      </c>
      <c r="I150" s="380" t="s">
        <v>147</v>
      </c>
      <c r="J150" s="378" t="s">
        <v>3655</v>
      </c>
      <c r="K150" s="378" t="s">
        <v>16</v>
      </c>
      <c r="L150" s="63" t="s">
        <v>1817</v>
      </c>
      <c r="M150" s="64" t="s">
        <v>4230</v>
      </c>
      <c r="N150" s="64" t="s">
        <v>5123</v>
      </c>
      <c r="O150" s="64" t="s">
        <v>6022</v>
      </c>
      <c r="P150" s="61" t="s">
        <v>144</v>
      </c>
      <c r="Q150" s="67" t="s">
        <v>2552</v>
      </c>
      <c r="R150" s="61" t="s">
        <v>2497</v>
      </c>
      <c r="S150" s="61" t="s">
        <v>2479</v>
      </c>
      <c r="T150" s="134" t="str">
        <f>IF(R150="Bogs Ponds Streams","20",IF(R150="Coastal Areas","26",IF(R150="Meadows Dry Open","10",IF(R150="Forest &amp; Understory","14",IF(R150="Moist Open","12",IF(R150="Moist Shady","10",IF(R150="Sub-Alpine Slopes","0")))))))</f>
        <v>12</v>
      </c>
      <c r="U150" s="134" t="str">
        <f>IF(R150="Bogs Ponds Streams","52",IF(R150="Coastal Areas","51",IF(R150="Meadows Dry Open","53",IF(R150="Forest &amp; Understory","52",IF(R150="Moist Open","50",IF(R150="Moist Shady","46",IF(R150="Sub-Alpine Slopes","40")))))))</f>
        <v>50</v>
      </c>
      <c r="V150" s="134" t="str">
        <f>IF(R150="Bogs Ponds Streams","84",IF(R150="Coastal Areas","76",IF(R150="Meadows Dry Open","96", IF(R150="Forest &amp; Understory","90", IF(R150="Moist Open","88", IF(R150="Moist Shady","82", IF(R150="Sub-Alpine Slopes","80")))))))</f>
        <v>88</v>
      </c>
      <c r="W150" s="67">
        <v>20</v>
      </c>
      <c r="X150" s="67">
        <v>0</v>
      </c>
      <c r="Y150" s="67">
        <v>3500</v>
      </c>
      <c r="Z150" s="67" t="s">
        <v>2519</v>
      </c>
      <c r="AA150" s="67" t="s">
        <v>2518</v>
      </c>
      <c r="AB150" s="67">
        <v>6.8</v>
      </c>
      <c r="AC150" s="85">
        <f>C150+AK150+(0.1)*AL150</f>
        <v>13.6</v>
      </c>
      <c r="AD150" s="78">
        <v>51</v>
      </c>
      <c r="AE150" s="67">
        <v>5</v>
      </c>
      <c r="AF150" s="67">
        <v>5</v>
      </c>
      <c r="AG150" s="67">
        <v>1900</v>
      </c>
      <c r="AH150" s="78">
        <v>0</v>
      </c>
      <c r="AI150" s="67">
        <f>AJ150</f>
        <v>2009</v>
      </c>
      <c r="AJ150" s="69">
        <v>2009</v>
      </c>
      <c r="AK150" s="69">
        <v>12</v>
      </c>
      <c r="AL150" s="69">
        <v>6</v>
      </c>
      <c r="AM150" s="70">
        <v>5</v>
      </c>
      <c r="AN150" s="70">
        <v>0</v>
      </c>
      <c r="AO150" s="86">
        <v>0</v>
      </c>
      <c r="AP150" s="70">
        <v>0</v>
      </c>
      <c r="AQ150" s="70">
        <v>0</v>
      </c>
      <c r="AR150" s="70">
        <v>0</v>
      </c>
      <c r="AS150" s="86">
        <v>0</v>
      </c>
      <c r="AT150" s="70">
        <v>0</v>
      </c>
      <c r="AU150" s="70">
        <v>0</v>
      </c>
      <c r="AV150" s="70">
        <v>0</v>
      </c>
      <c r="AW150" s="86">
        <v>0</v>
      </c>
      <c r="AX150" s="70">
        <v>0</v>
      </c>
      <c r="AY150" s="233"/>
      <c r="AZ150" s="4"/>
      <c r="BA150" s="35" t="str">
        <f>IF(OR(S150="North America",S150="Rocky Mountain"), "Widespread",BC150)</f>
        <v>Widespread</v>
      </c>
      <c r="BB150" s="4"/>
      <c r="BC150" s="35">
        <f ca="1">IF(BE150&gt;2046, "Abundant",BE150)</f>
        <v>2038.6003232323233</v>
      </c>
      <c r="BD150" s="4"/>
      <c r="BE150" s="81">
        <f ca="1">YEAR($C$13)+(BG150*80)</f>
        <v>2038.6003232323233</v>
      </c>
      <c r="BF150" s="4"/>
      <c r="BG150" s="137">
        <f ca="1">BH150*$BH$14</f>
        <v>0.24500404040404036</v>
      </c>
      <c r="BH150" s="137">
        <f ca="1">(((BJ150+BK150+BM150+BN150)/4)*$BM$11)+(((BP150+BQ150)/2)*$BQ$11)+(((BU150+BV150+BW150)/3)*$BU$11)+(((BY150+BZ150+CA150+CB150+CC150)/5)*$CA$11)</f>
        <v>0.24500404040404036</v>
      </c>
      <c r="BI150" s="4"/>
      <c r="BJ150" s="33">
        <f>AP150/(AM150+AO150)</f>
        <v>0</v>
      </c>
      <c r="BK150" s="33">
        <f>(AN150+AO150)/(AM150+AO150)</f>
        <v>0</v>
      </c>
      <c r="BL150" s="4"/>
      <c r="BM150" s="127">
        <f>CF150/102</f>
        <v>0.13333333333333333</v>
      </c>
      <c r="BN150" s="127">
        <f>C150/2</f>
        <v>0.5</v>
      </c>
      <c r="BO150" s="4"/>
      <c r="BP150" s="127">
        <f>(AK150)/($AW$6)</f>
        <v>0.12121212121212122</v>
      </c>
      <c r="BQ150" s="127">
        <f ca="1">(CH150-$AW$4)/((YEAR($C$13))-$AW$4)</f>
        <v>0.33333333333333331</v>
      </c>
      <c r="BR150" s="127">
        <f>(AL150)/($AW$6)</f>
        <v>6.0606060606060608E-2</v>
      </c>
      <c r="BS150" s="4"/>
      <c r="BT150" s="127"/>
      <c r="BU150" s="127">
        <f ca="1">(CG150-$AW$4)/((YEAR($C$13))-$AW$4)</f>
        <v>0.33333333333333331</v>
      </c>
      <c r="BV150" s="127">
        <f>AE150/5</f>
        <v>1</v>
      </c>
      <c r="BW150" s="127">
        <f>AF150/5</f>
        <v>1</v>
      </c>
      <c r="BX150" s="4"/>
      <c r="BY150" s="148" t="str">
        <f>IF(E150="A",".98",IF(E150="B",".99",IF(E150="C","1.00",IF(E150="D","1.00" ))))</f>
        <v>1.00</v>
      </c>
      <c r="BZ150" s="127">
        <f>(CE150+7)/10</f>
        <v>1</v>
      </c>
      <c r="CA150" s="76" t="str">
        <f>IF(D150="Fern",".97",IF(D150="Grass",".99",IF(D150="Herb",".97",IF(D150="Shrub",".99",IF(D150="Tree","1.00",IF(D150="Vine",".98"))))))</f>
        <v>.97</v>
      </c>
      <c r="CB150" s="149" t="str">
        <f>IF(R150="Bogs Ponds Streams",".96", IF(R150="Coastal Areas",".97",IF(R150="Meadows Dry Open",".96",IF(R150="Forest &amp; Understory",".97",IF(R150="Moist Open",".98",IF(R150="Moist Shady",".96",IF(R150="Sub-Alpine","1.0")))))))</f>
        <v>.98</v>
      </c>
      <c r="CC150" s="76" t="str">
        <f>IF(S150="Local Endemic",".50",IF(S150="Regional Endemic",".70",IF(S150="Cascadia",".90",IF(S150="Rocky Mountain",".95",IF(S150="North America",".99")))))</f>
        <v>.95</v>
      </c>
      <c r="CD150" s="4"/>
      <c r="CE150" s="21">
        <f>IF(W150&gt;3,3,W150)</f>
        <v>3</v>
      </c>
      <c r="CF150" s="21">
        <f>IF(AC150&gt;102,102,AC150)</f>
        <v>13.6</v>
      </c>
      <c r="CG150" s="34">
        <f>IF(AI150&lt;$AW$4,$AW$4,AI150)</f>
        <v>2009</v>
      </c>
      <c r="CH150" s="34">
        <f>IF(AJ150&lt;$AW$4,$AW$4,AJ150)</f>
        <v>2009</v>
      </c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12"/>
    </row>
    <row r="151" spans="1:115" s="13" customFormat="1" ht="15" customHeight="1" x14ac:dyDescent="0.3">
      <c r="A151" s="235"/>
      <c r="B151" s="218"/>
      <c r="C151" s="375">
        <v>1</v>
      </c>
      <c r="D151" s="67" t="s">
        <v>2505</v>
      </c>
      <c r="E151" s="67" t="s">
        <v>2501</v>
      </c>
      <c r="F151" s="403">
        <f ca="1">IF(BC151&lt;2025, "Extinct&lt; 6Yrs?",BA151)</f>
        <v>2040.277150802139</v>
      </c>
      <c r="G151" s="376" t="s">
        <v>525</v>
      </c>
      <c r="H151" s="376" t="s">
        <v>4028</v>
      </c>
      <c r="I151" s="380" t="s">
        <v>3036</v>
      </c>
      <c r="J151" s="378" t="s">
        <v>3654</v>
      </c>
      <c r="K151" s="378" t="s">
        <v>148</v>
      </c>
      <c r="L151" s="63" t="s">
        <v>1816</v>
      </c>
      <c r="M151" s="64" t="s">
        <v>4231</v>
      </c>
      <c r="N151" s="64" t="s">
        <v>5124</v>
      </c>
      <c r="O151" s="64" t="s">
        <v>6023</v>
      </c>
      <c r="P151" s="61" t="s">
        <v>144</v>
      </c>
      <c r="Q151" s="67" t="s">
        <v>2552</v>
      </c>
      <c r="R151" s="61" t="s">
        <v>2498</v>
      </c>
      <c r="S151" s="61" t="s">
        <v>2459</v>
      </c>
      <c r="T151" s="134" t="str">
        <f>IF(R151="Bogs Ponds Streams","20",IF(R151="Coastal Areas","26",IF(R151="Meadows Dry Open","10",IF(R151="Forest &amp; Understory","14",IF(R151="Moist Open","12",IF(R151="Moist Shady","10",IF(R151="Sub-Alpine Slopes","0")))))))</f>
        <v>10</v>
      </c>
      <c r="U151" s="134" t="str">
        <f>IF(R151="Bogs Ponds Streams","52",IF(R151="Coastal Areas","51",IF(R151="Meadows Dry Open","53",IF(R151="Forest &amp; Understory","52",IF(R151="Moist Open","50",IF(R151="Moist Shady","46",IF(R151="Sub-Alpine Slopes","40")))))))</f>
        <v>46</v>
      </c>
      <c r="V151" s="134" t="str">
        <f>IF(R151="Bogs Ponds Streams","84",IF(R151="Coastal Areas","76",IF(R151="Meadows Dry Open","96", IF(R151="Forest &amp; Understory","90", IF(R151="Moist Open","88", IF(R151="Moist Shady","82", IF(R151="Sub-Alpine Slopes","80")))))))</f>
        <v>82</v>
      </c>
      <c r="W151" s="67">
        <v>20</v>
      </c>
      <c r="X151" s="67">
        <v>0</v>
      </c>
      <c r="Y151" s="67">
        <v>3500</v>
      </c>
      <c r="Z151" s="67" t="s">
        <v>2519</v>
      </c>
      <c r="AA151" s="67" t="s">
        <v>2518</v>
      </c>
      <c r="AB151" s="67">
        <v>6.8</v>
      </c>
      <c r="AC151" s="85">
        <f>C151+AK151+(0.1)*AL151</f>
        <v>41.3</v>
      </c>
      <c r="AD151" s="78">
        <v>117</v>
      </c>
      <c r="AE151" s="67">
        <v>5</v>
      </c>
      <c r="AF151" s="67">
        <v>5</v>
      </c>
      <c r="AG151" s="67">
        <v>1900</v>
      </c>
      <c r="AH151" s="78">
        <v>0</v>
      </c>
      <c r="AI151" s="67">
        <f>AJ151</f>
        <v>2004</v>
      </c>
      <c r="AJ151" s="69">
        <v>2004</v>
      </c>
      <c r="AK151" s="69">
        <v>38</v>
      </c>
      <c r="AL151" s="69">
        <v>23</v>
      </c>
      <c r="AM151" s="70">
        <v>5</v>
      </c>
      <c r="AN151" s="70">
        <v>0</v>
      </c>
      <c r="AO151" s="86">
        <v>0</v>
      </c>
      <c r="AP151" s="70">
        <v>0</v>
      </c>
      <c r="AQ151" s="70">
        <v>0</v>
      </c>
      <c r="AR151" s="70">
        <v>0</v>
      </c>
      <c r="AS151" s="86">
        <v>0</v>
      </c>
      <c r="AT151" s="70">
        <v>0</v>
      </c>
      <c r="AU151" s="70">
        <v>0</v>
      </c>
      <c r="AV151" s="70">
        <v>0</v>
      </c>
      <c r="AW151" s="86">
        <v>0</v>
      </c>
      <c r="AX151" s="70">
        <v>0</v>
      </c>
      <c r="AY151" s="233"/>
      <c r="AZ151" s="4"/>
      <c r="BA151" s="35">
        <f ca="1">IF(OR(S151="North America",S151="Rocky Mountain"), "Widespread",BC151)</f>
        <v>2040.277150802139</v>
      </c>
      <c r="BB151" s="4"/>
      <c r="BC151" s="35">
        <f ca="1">IF(BE151&gt;2046, "Abundant",BE151)</f>
        <v>2040.277150802139</v>
      </c>
      <c r="BD151" s="4"/>
      <c r="BE151" s="81">
        <f ca="1">YEAR($C$13)+(BG151*80)</f>
        <v>2040.277150802139</v>
      </c>
      <c r="BF151" s="4"/>
      <c r="BG151" s="137">
        <f ca="1">BH151*$BH$14</f>
        <v>0.26596438502673797</v>
      </c>
      <c r="BH151" s="137">
        <f ca="1">(((BJ151+BK151+BM151+BN151)/4)*$BM$11)+(((BP151+BQ151)/2)*$BQ$11)+(((BU151+BV151+BW151)/3)*$BU$11)+(((BY151+BZ151+CA151+CB151+CC151)/5)*$CA$11)</f>
        <v>0.26596438502673797</v>
      </c>
      <c r="BI151" s="4"/>
      <c r="BJ151" s="33">
        <f>AP151/(AM151+AO151)</f>
        <v>0</v>
      </c>
      <c r="BK151" s="33">
        <f>(AN151+AO151)/(AM151+AO151)</f>
        <v>0</v>
      </c>
      <c r="BL151" s="4"/>
      <c r="BM151" s="127">
        <f>CF151/102</f>
        <v>0.40490196078431367</v>
      </c>
      <c r="BN151" s="127">
        <f>C151/2</f>
        <v>0.5</v>
      </c>
      <c r="BO151" s="4"/>
      <c r="BP151" s="127">
        <f>(AK151)/($AW$6)</f>
        <v>0.38383838383838381</v>
      </c>
      <c r="BQ151" s="127">
        <f ca="1">(CH151-$AW$4)/((YEAR($C$13))-$AW$4)</f>
        <v>0</v>
      </c>
      <c r="BR151" s="127">
        <f>(AL151)/($AW$6)</f>
        <v>0.23232323232323232</v>
      </c>
      <c r="BS151" s="4"/>
      <c r="BT151" s="127"/>
      <c r="BU151" s="127">
        <f ca="1">(CG151-$AW$4)/((YEAR($C$13))-$AW$4)</f>
        <v>0</v>
      </c>
      <c r="BV151" s="127">
        <f>AE151/5</f>
        <v>1</v>
      </c>
      <c r="BW151" s="127">
        <f>AF151/5</f>
        <v>1</v>
      </c>
      <c r="BX151" s="4"/>
      <c r="BY151" s="148" t="str">
        <f>IF(E151="A",".98",IF(E151="B",".99",IF(E151="C","1.00",IF(E151="D","1.00" ))))</f>
        <v>1.00</v>
      </c>
      <c r="BZ151" s="127">
        <f>(CE151+7)/10</f>
        <v>1</v>
      </c>
      <c r="CA151" s="76" t="str">
        <f>IF(D151="Fern",".97",IF(D151="Grass",".99",IF(D151="Herb",".97",IF(D151="Shrub",".99",IF(D151="Tree","1.00",IF(D151="Vine",".98"))))))</f>
        <v>.97</v>
      </c>
      <c r="CB151" s="149" t="str">
        <f>IF(R151="Bogs Ponds Streams",".96", IF(R151="Coastal Areas",".97",IF(R151="Meadows Dry Open",".96",IF(R151="Forest &amp; Understory",".97",IF(R151="Moist Open",".98",IF(R151="Moist Shady",".96",IF(R151="Sub-Alpine","1.0")))))))</f>
        <v>.96</v>
      </c>
      <c r="CC151" s="76" t="str">
        <f>IF(S151="Local Endemic",".50",IF(S151="Regional Endemic",".70",IF(S151="Cascadia",".90",IF(S151="Rocky Mountain",".95",IF(S151="North America",".99")))))</f>
        <v>.90</v>
      </c>
      <c r="CD151" s="4"/>
      <c r="CE151" s="21">
        <f>IF(W151&gt;3,3,W151)</f>
        <v>3</v>
      </c>
      <c r="CF151" s="21">
        <f>IF(AC151&gt;102,102,AC151)</f>
        <v>41.3</v>
      </c>
      <c r="CG151" s="34">
        <f>IF(AI151&lt;$AW$4,$AW$4,AI151)</f>
        <v>2004</v>
      </c>
      <c r="CH151" s="34">
        <f>IF(AJ151&lt;$AW$4,$AW$4,AJ151)</f>
        <v>2004</v>
      </c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12"/>
    </row>
    <row r="152" spans="1:115" s="13" customFormat="1" ht="15" customHeight="1" x14ac:dyDescent="0.3">
      <c r="A152" s="235"/>
      <c r="B152" s="218"/>
      <c r="C152" s="375">
        <v>1</v>
      </c>
      <c r="D152" s="67" t="s">
        <v>2505</v>
      </c>
      <c r="E152" s="67" t="s">
        <v>2502</v>
      </c>
      <c r="F152" s="403" t="str">
        <f ca="1">IF(BC152&lt;2025, "Extinct&lt; 6Yrs?",BA152)</f>
        <v>Widespread</v>
      </c>
      <c r="G152" s="376" t="s">
        <v>525</v>
      </c>
      <c r="H152" s="376" t="s">
        <v>4028</v>
      </c>
      <c r="I152" s="380" t="s">
        <v>3035</v>
      </c>
      <c r="J152" s="378" t="s">
        <v>3653</v>
      </c>
      <c r="K152" s="378" t="s">
        <v>17</v>
      </c>
      <c r="L152" s="63" t="s">
        <v>1815</v>
      </c>
      <c r="M152" s="64" t="s">
        <v>4232</v>
      </c>
      <c r="N152" s="64" t="s">
        <v>5125</v>
      </c>
      <c r="O152" s="64" t="s">
        <v>6024</v>
      </c>
      <c r="P152" s="61" t="s">
        <v>144</v>
      </c>
      <c r="Q152" s="67" t="s">
        <v>2552</v>
      </c>
      <c r="R152" s="61" t="s">
        <v>2498</v>
      </c>
      <c r="S152" s="61" t="s">
        <v>2479</v>
      </c>
      <c r="T152" s="134" t="str">
        <f>IF(R152="Bogs Ponds Streams","20",IF(R152="Coastal Areas","26",IF(R152="Meadows Dry Open","10",IF(R152="Forest &amp; Understory","14",IF(R152="Moist Open","12",IF(R152="Moist Shady","10",IF(R152="Sub-Alpine Slopes","0")))))))</f>
        <v>10</v>
      </c>
      <c r="U152" s="134" t="str">
        <f>IF(R152="Bogs Ponds Streams","52",IF(R152="Coastal Areas","51",IF(R152="Meadows Dry Open","53",IF(R152="Forest &amp; Understory","52",IF(R152="Moist Open","50",IF(R152="Moist Shady","46",IF(R152="Sub-Alpine Slopes","40")))))))</f>
        <v>46</v>
      </c>
      <c r="V152" s="134" t="str">
        <f>IF(R152="Bogs Ponds Streams","84",IF(R152="Coastal Areas","76",IF(R152="Meadows Dry Open","96", IF(R152="Forest &amp; Understory","90", IF(R152="Moist Open","88", IF(R152="Moist Shady","82", IF(R152="Sub-Alpine Slopes","80")))))))</f>
        <v>82</v>
      </c>
      <c r="W152" s="67">
        <v>1</v>
      </c>
      <c r="X152" s="67">
        <v>0</v>
      </c>
      <c r="Y152" s="67">
        <v>3500</v>
      </c>
      <c r="Z152" s="67" t="s">
        <v>2519</v>
      </c>
      <c r="AA152" s="67" t="s">
        <v>2518</v>
      </c>
      <c r="AB152" s="67">
        <v>6.8</v>
      </c>
      <c r="AC152" s="85">
        <f>C152+AK152+(0.1)*AL152</f>
        <v>59.3</v>
      </c>
      <c r="AD152" s="78">
        <v>189</v>
      </c>
      <c r="AE152" s="67">
        <v>5</v>
      </c>
      <c r="AF152" s="67">
        <v>5</v>
      </c>
      <c r="AG152" s="67">
        <v>1900</v>
      </c>
      <c r="AH152" s="78">
        <v>0</v>
      </c>
      <c r="AI152" s="67">
        <f>AJ152</f>
        <v>2006</v>
      </c>
      <c r="AJ152" s="69">
        <v>2006</v>
      </c>
      <c r="AK152" s="69">
        <v>55</v>
      </c>
      <c r="AL152" s="69">
        <v>33</v>
      </c>
      <c r="AM152" s="70">
        <v>5</v>
      </c>
      <c r="AN152" s="70">
        <v>0</v>
      </c>
      <c r="AO152" s="86">
        <v>0</v>
      </c>
      <c r="AP152" s="70">
        <v>0</v>
      </c>
      <c r="AQ152" s="70">
        <v>0</v>
      </c>
      <c r="AR152" s="70">
        <v>0</v>
      </c>
      <c r="AS152" s="86">
        <v>0</v>
      </c>
      <c r="AT152" s="70">
        <v>0</v>
      </c>
      <c r="AU152" s="70">
        <v>0</v>
      </c>
      <c r="AV152" s="70">
        <v>0</v>
      </c>
      <c r="AW152" s="86">
        <v>0</v>
      </c>
      <c r="AX152" s="70">
        <v>0</v>
      </c>
      <c r="AY152" s="233"/>
      <c r="AZ152" s="4"/>
      <c r="BA152" s="35" t="str">
        <f>IF(OR(S152="North America",S152="Rocky Mountain"), "Widespread",BC152)</f>
        <v>Widespread</v>
      </c>
      <c r="BB152" s="4"/>
      <c r="BC152" s="35" t="str">
        <f ca="1">IF(BE152&gt;2046, "Abundant",BE152)</f>
        <v>Abundant</v>
      </c>
      <c r="BD152" s="4"/>
      <c r="BE152" s="81">
        <f ca="1">YEAR($C$13)+(BG152*80)</f>
        <v>2046.285448366013</v>
      </c>
      <c r="BF152" s="4"/>
      <c r="BG152" s="137">
        <f ca="1">BH152*$BH$14</f>
        <v>0.34106810457516334</v>
      </c>
      <c r="BH152" s="137">
        <f ca="1">(((BJ152+BK152+BM152+BN152)/4)*$BM$11)+(((BP152+BQ152)/2)*$BQ$11)+(((BU152+BV152+BW152)/3)*$BU$11)+(((BY152+BZ152+CA152+CB152+CC152)/5)*$CA$11)</f>
        <v>0.34106810457516334</v>
      </c>
      <c r="BI152" s="4"/>
      <c r="BJ152" s="33">
        <f>AP152/(AM152+AO152)</f>
        <v>0</v>
      </c>
      <c r="BK152" s="33">
        <f>(AN152+AO152)/(AM152+AO152)</f>
        <v>0</v>
      </c>
      <c r="BL152" s="4"/>
      <c r="BM152" s="127">
        <f>CF152/102</f>
        <v>0.58137254901960778</v>
      </c>
      <c r="BN152" s="127">
        <f>C152/2</f>
        <v>0.5</v>
      </c>
      <c r="BO152" s="4"/>
      <c r="BP152" s="127">
        <f>(AK152)/($AW$6)</f>
        <v>0.55555555555555558</v>
      </c>
      <c r="BQ152" s="127">
        <f ca="1">(CH152-$AW$4)/((YEAR($C$13))-$AW$4)</f>
        <v>0.13333333333333333</v>
      </c>
      <c r="BR152" s="127">
        <f>(AL152)/($AW$6)</f>
        <v>0.33333333333333331</v>
      </c>
      <c r="BS152" s="4"/>
      <c r="BT152" s="127"/>
      <c r="BU152" s="127">
        <f ca="1">(CG152-$AW$4)/((YEAR($C$13))-$AW$4)</f>
        <v>0.13333333333333333</v>
      </c>
      <c r="BV152" s="127">
        <f>AE152/5</f>
        <v>1</v>
      </c>
      <c r="BW152" s="127">
        <f>AF152/5</f>
        <v>1</v>
      </c>
      <c r="BX152" s="4"/>
      <c r="BY152" s="148" t="str">
        <f>IF(E152="A",".98",IF(E152="B",".99",IF(E152="C","1.00",IF(E152="D","1.00" ))))</f>
        <v>.98</v>
      </c>
      <c r="BZ152" s="127">
        <f>(CE152+7)/10</f>
        <v>0.8</v>
      </c>
      <c r="CA152" s="76" t="str">
        <f>IF(D152="Fern",".97",IF(D152="Grass",".99",IF(D152="Herb",".97",IF(D152="Shrub",".99",IF(D152="Tree","1.00",IF(D152="Vine",".98"))))))</f>
        <v>.97</v>
      </c>
      <c r="CB152" s="149" t="str">
        <f>IF(R152="Bogs Ponds Streams",".96", IF(R152="Coastal Areas",".97",IF(R152="Meadows Dry Open",".96",IF(R152="Forest &amp; Understory",".97",IF(R152="Moist Open",".98",IF(R152="Moist Shady",".96",IF(R152="Sub-Alpine","1.0")))))))</f>
        <v>.96</v>
      </c>
      <c r="CC152" s="76" t="str">
        <f>IF(S152="Local Endemic",".50",IF(S152="Regional Endemic",".70",IF(S152="Cascadia",".90",IF(S152="Rocky Mountain",".95",IF(S152="North America",".99")))))</f>
        <v>.95</v>
      </c>
      <c r="CD152" s="4"/>
      <c r="CE152" s="21">
        <f>IF(W152&gt;3,3,W152)</f>
        <v>1</v>
      </c>
      <c r="CF152" s="21">
        <f>IF(AC152&gt;102,102,AC152)</f>
        <v>59.3</v>
      </c>
      <c r="CG152" s="34">
        <f>IF(AI152&lt;$AW$4,$AW$4,AI152)</f>
        <v>2006</v>
      </c>
      <c r="CH152" s="34">
        <f>IF(AJ152&lt;$AW$4,$AW$4,AJ152)</f>
        <v>2006</v>
      </c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12"/>
    </row>
    <row r="153" spans="1:115" s="13" customFormat="1" ht="15" customHeight="1" x14ac:dyDescent="0.3">
      <c r="A153" s="235"/>
      <c r="B153" s="218"/>
      <c r="C153" s="375">
        <v>1</v>
      </c>
      <c r="D153" s="67" t="s">
        <v>2505</v>
      </c>
      <c r="E153" s="67" t="s">
        <v>2502</v>
      </c>
      <c r="F153" s="403" t="str">
        <f ca="1">IF(BC153&lt;2025, "Extinct&lt; 6Yrs?",BA153)</f>
        <v>Widespread</v>
      </c>
      <c r="G153" s="376" t="s">
        <v>525</v>
      </c>
      <c r="H153" s="376" t="s">
        <v>4028</v>
      </c>
      <c r="I153" s="379" t="s">
        <v>2606</v>
      </c>
      <c r="J153" s="378" t="s">
        <v>3652</v>
      </c>
      <c r="K153" s="378" t="s">
        <v>2746</v>
      </c>
      <c r="L153" s="65" t="s">
        <v>1814</v>
      </c>
      <c r="M153" s="64" t="s">
        <v>4233</v>
      </c>
      <c r="N153" s="64" t="s">
        <v>5126</v>
      </c>
      <c r="O153" s="64" t="s">
        <v>6025</v>
      </c>
      <c r="P153" s="61" t="s">
        <v>144</v>
      </c>
      <c r="Q153" s="67" t="s">
        <v>2552</v>
      </c>
      <c r="R153" s="61" t="s">
        <v>2498</v>
      </c>
      <c r="S153" s="61" t="s">
        <v>2495</v>
      </c>
      <c r="T153" s="134" t="str">
        <f>IF(R153="Bogs Ponds Streams","20",IF(R153="Coastal Areas","26",IF(R153="Meadows Dry Open","10",IF(R153="Forest &amp; Understory","14",IF(R153="Moist Open","12",IF(R153="Moist Shady","10",IF(R153="Sub-Alpine Slopes","0")))))))</f>
        <v>10</v>
      </c>
      <c r="U153" s="134" t="str">
        <f>IF(R153="Bogs Ponds Streams","52",IF(R153="Coastal Areas","51",IF(R153="Meadows Dry Open","53",IF(R153="Forest &amp; Understory","52",IF(R153="Moist Open","50",IF(R153="Moist Shady","46",IF(R153="Sub-Alpine Slopes","40")))))))</f>
        <v>46</v>
      </c>
      <c r="V153" s="134" t="str">
        <f>IF(R153="Bogs Ponds Streams","84",IF(R153="Coastal Areas","76",IF(R153="Meadows Dry Open","96", IF(R153="Forest &amp; Understory","90", IF(R153="Moist Open","88", IF(R153="Moist Shady","82", IF(R153="Sub-Alpine Slopes","80")))))))</f>
        <v>82</v>
      </c>
      <c r="W153" s="67">
        <v>1</v>
      </c>
      <c r="X153" s="67">
        <v>0</v>
      </c>
      <c r="Y153" s="67">
        <v>3500</v>
      </c>
      <c r="Z153" s="67" t="s">
        <v>2519</v>
      </c>
      <c r="AA153" s="67" t="s">
        <v>2518</v>
      </c>
      <c r="AB153" s="67">
        <v>6.8</v>
      </c>
      <c r="AC153" s="85">
        <f>C153+AK153+(0.1)*AL153</f>
        <v>26.6</v>
      </c>
      <c r="AD153" s="78">
        <v>82</v>
      </c>
      <c r="AE153" s="67">
        <v>5</v>
      </c>
      <c r="AF153" s="67">
        <v>5</v>
      </c>
      <c r="AG153" s="67">
        <v>1900</v>
      </c>
      <c r="AH153" s="78">
        <v>0</v>
      </c>
      <c r="AI153" s="67">
        <f>AJ153</f>
        <v>1994</v>
      </c>
      <c r="AJ153" s="69">
        <v>1994</v>
      </c>
      <c r="AK153" s="69">
        <v>23</v>
      </c>
      <c r="AL153" s="69">
        <v>26</v>
      </c>
      <c r="AM153" s="70">
        <v>5</v>
      </c>
      <c r="AN153" s="70">
        <v>0</v>
      </c>
      <c r="AO153" s="86">
        <v>0</v>
      </c>
      <c r="AP153" s="70">
        <v>0</v>
      </c>
      <c r="AQ153" s="70">
        <v>0</v>
      </c>
      <c r="AR153" s="70">
        <v>0</v>
      </c>
      <c r="AS153" s="86">
        <v>0</v>
      </c>
      <c r="AT153" s="70">
        <v>0</v>
      </c>
      <c r="AU153" s="70">
        <v>0</v>
      </c>
      <c r="AV153" s="70">
        <v>0</v>
      </c>
      <c r="AW153" s="86">
        <v>0</v>
      </c>
      <c r="AX153" s="70">
        <v>0</v>
      </c>
      <c r="AY153" s="233"/>
      <c r="AZ153" s="4"/>
      <c r="BA153" s="35" t="str">
        <f>IF(OR(S153="North America",S153="Rocky Mountain"), "Widespread",BC153)</f>
        <v>Widespread</v>
      </c>
      <c r="BB153" s="4"/>
      <c r="BC153" s="35">
        <f ca="1">IF(BE153&gt;2046, "Abundant",BE153)</f>
        <v>2036.6879572192513</v>
      </c>
      <c r="BD153" s="4"/>
      <c r="BE153" s="81">
        <f ca="1">YEAR($C$13)+(BG153*80)</f>
        <v>2036.6879572192513</v>
      </c>
      <c r="BF153" s="4"/>
      <c r="BG153" s="137">
        <f ca="1">BH153*$BH$14</f>
        <v>0.2210994652406417</v>
      </c>
      <c r="BH153" s="137">
        <f ca="1">(((BJ153+BK153+BM153+BN153)/4)*$BM$11)+(((BP153+BQ153)/2)*$BQ$11)+(((BU153+BV153+BW153)/3)*$BU$11)+(((BY153+BZ153+CA153+CB153+CC153)/5)*$CA$11)</f>
        <v>0.2210994652406417</v>
      </c>
      <c r="BI153" s="4"/>
      <c r="BJ153" s="33">
        <f>AP153/(AM153+AO153)</f>
        <v>0</v>
      </c>
      <c r="BK153" s="33">
        <f>(AN153+AO153)/(AM153+AO153)</f>
        <v>0</v>
      </c>
      <c r="BL153" s="4"/>
      <c r="BM153" s="127">
        <f>CF153/102</f>
        <v>0.26078431372549021</v>
      </c>
      <c r="BN153" s="127">
        <f>C153/2</f>
        <v>0.5</v>
      </c>
      <c r="BO153" s="4"/>
      <c r="BP153" s="127">
        <f>(AK153)/($AW$6)</f>
        <v>0.23232323232323232</v>
      </c>
      <c r="BQ153" s="127">
        <f ca="1">(CH153-$AW$4)/((YEAR($C$13))-$AW$4)</f>
        <v>0</v>
      </c>
      <c r="BR153" s="127">
        <f>(AL153)/($AW$6)</f>
        <v>0.26262626262626265</v>
      </c>
      <c r="BS153" s="4"/>
      <c r="BT153" s="127"/>
      <c r="BU153" s="127">
        <f ca="1">(CG153-$AW$4)/((YEAR($C$13))-$AW$4)</f>
        <v>0</v>
      </c>
      <c r="BV153" s="127">
        <f>AE153/5</f>
        <v>1</v>
      </c>
      <c r="BW153" s="127">
        <f>AF153/5</f>
        <v>1</v>
      </c>
      <c r="BX153" s="4"/>
      <c r="BY153" s="148" t="str">
        <f>IF(E153="A",".98",IF(E153="B",".99",IF(E153="C","1.00",IF(E153="D","1.00" ))))</f>
        <v>.98</v>
      </c>
      <c r="BZ153" s="127">
        <f>(CE153+7)/10</f>
        <v>0.8</v>
      </c>
      <c r="CA153" s="76" t="str">
        <f>IF(D153="Fern",".97",IF(D153="Grass",".99",IF(D153="Herb",".97",IF(D153="Shrub",".99",IF(D153="Tree","1.00",IF(D153="Vine",".98"))))))</f>
        <v>.97</v>
      </c>
      <c r="CB153" s="149" t="str">
        <f>IF(R153="Bogs Ponds Streams",".96", IF(R153="Coastal Areas",".97",IF(R153="Meadows Dry Open",".96",IF(R153="Forest &amp; Understory",".97",IF(R153="Moist Open",".98",IF(R153="Moist Shady",".96",IF(R153="Sub-Alpine","1.0")))))))</f>
        <v>.96</v>
      </c>
      <c r="CC153" s="76" t="str">
        <f>IF(S153="Local Endemic",".50",IF(S153="Regional Endemic",".70",IF(S153="Cascadia",".90",IF(S153="Rocky Mountain",".95",IF(S153="North America",".99")))))</f>
        <v>.99</v>
      </c>
      <c r="CD153" s="4"/>
      <c r="CE153" s="21">
        <f>IF(W153&gt;3,3,W153)</f>
        <v>1</v>
      </c>
      <c r="CF153" s="21">
        <f>IF(AC153&gt;102,102,AC153)</f>
        <v>26.6</v>
      </c>
      <c r="CG153" s="34">
        <f>IF(AI153&lt;$AW$4,$AW$4,AI153)</f>
        <v>2004</v>
      </c>
      <c r="CH153" s="34">
        <f>IF(AJ153&lt;$AW$4,$AW$4,AJ153)</f>
        <v>2004</v>
      </c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12"/>
    </row>
    <row r="154" spans="1:115" s="13" customFormat="1" ht="15" customHeight="1" x14ac:dyDescent="0.3">
      <c r="A154" s="235"/>
      <c r="B154" s="218"/>
      <c r="C154" s="375">
        <v>1</v>
      </c>
      <c r="D154" s="67" t="s">
        <v>2505</v>
      </c>
      <c r="E154" s="67" t="s">
        <v>2501</v>
      </c>
      <c r="F154" s="403">
        <f ca="1">IF(BC154&lt;2025, "Extinct&lt; 6Yrs?",BA154)</f>
        <v>2032.0634096256686</v>
      </c>
      <c r="G154" s="376" t="s">
        <v>525</v>
      </c>
      <c r="H154" s="376" t="s">
        <v>4028</v>
      </c>
      <c r="I154" s="379" t="s">
        <v>2607</v>
      </c>
      <c r="J154" s="378" t="s">
        <v>3651</v>
      </c>
      <c r="K154" s="378" t="s">
        <v>2747</v>
      </c>
      <c r="L154" s="65" t="s">
        <v>1813</v>
      </c>
      <c r="M154" s="64" t="s">
        <v>4234</v>
      </c>
      <c r="N154" s="64" t="s">
        <v>5127</v>
      </c>
      <c r="O154" s="64" t="s">
        <v>6026</v>
      </c>
      <c r="P154" s="404" t="s">
        <v>168</v>
      </c>
      <c r="Q154" s="67" t="s">
        <v>2552</v>
      </c>
      <c r="R154" s="61" t="s">
        <v>2453</v>
      </c>
      <c r="S154" s="61" t="s">
        <v>2309</v>
      </c>
      <c r="T154" s="134" t="str">
        <f>IF(R154="Bogs Ponds Streams","20",IF(R154="Coastal Areas","26",IF(R154="Meadows Dry Open","10",IF(R154="Forest &amp; Understory","14",IF(R154="Moist Open","12",IF(R154="Moist Shady","10",IF(R154="Sub-Alpine Slopes","0")))))))</f>
        <v>26</v>
      </c>
      <c r="U154" s="134" t="str">
        <f>IF(R154="Bogs Ponds Streams","52",IF(R154="Coastal Areas","51",IF(R154="Meadows Dry Open","53",IF(R154="Forest &amp; Understory","52",IF(R154="Moist Open","50",IF(R154="Moist Shady","46",IF(R154="Sub-Alpine Slopes","40")))))))</f>
        <v>51</v>
      </c>
      <c r="V154" s="134" t="str">
        <f>IF(R154="Bogs Ponds Streams","84",IF(R154="Coastal Areas","76",IF(R154="Meadows Dry Open","96", IF(R154="Forest &amp; Understory","90", IF(R154="Moist Open","88", IF(R154="Moist Shady","82", IF(R154="Sub-Alpine Slopes","80")))))))</f>
        <v>76</v>
      </c>
      <c r="W154" s="67">
        <v>20</v>
      </c>
      <c r="X154" s="67">
        <v>0</v>
      </c>
      <c r="Y154" s="67">
        <v>3500</v>
      </c>
      <c r="Z154" s="67" t="s">
        <v>2519</v>
      </c>
      <c r="AA154" s="67" t="s">
        <v>2518</v>
      </c>
      <c r="AB154" s="67">
        <v>6.8</v>
      </c>
      <c r="AC154" s="85">
        <f>C154+AK154+(0.1)*AL154</f>
        <v>6</v>
      </c>
      <c r="AD154" s="78">
        <v>8</v>
      </c>
      <c r="AE154" s="67">
        <v>5</v>
      </c>
      <c r="AF154" s="67">
        <v>5</v>
      </c>
      <c r="AG154" s="67">
        <v>1900</v>
      </c>
      <c r="AH154" s="78">
        <v>0</v>
      </c>
      <c r="AI154" s="67">
        <f>AJ154</f>
        <v>2004</v>
      </c>
      <c r="AJ154" s="69">
        <v>2004</v>
      </c>
      <c r="AK154" s="69">
        <v>5</v>
      </c>
      <c r="AL154" s="69">
        <v>0</v>
      </c>
      <c r="AM154" s="70">
        <v>5</v>
      </c>
      <c r="AN154" s="70">
        <v>0</v>
      </c>
      <c r="AO154" s="86">
        <v>0</v>
      </c>
      <c r="AP154" s="70">
        <v>0</v>
      </c>
      <c r="AQ154" s="70">
        <v>0</v>
      </c>
      <c r="AR154" s="70">
        <v>0</v>
      </c>
      <c r="AS154" s="86">
        <v>0</v>
      </c>
      <c r="AT154" s="70">
        <v>0</v>
      </c>
      <c r="AU154" s="70">
        <v>0</v>
      </c>
      <c r="AV154" s="70">
        <v>0</v>
      </c>
      <c r="AW154" s="86">
        <v>0</v>
      </c>
      <c r="AX154" s="70">
        <v>0</v>
      </c>
      <c r="AY154" s="233"/>
      <c r="AZ154" s="4"/>
      <c r="BA154" s="35">
        <f ca="1">IF(OR(S154="North America",S154="Rocky Mountain"), "Widespread",BC154)</f>
        <v>2032.0634096256686</v>
      </c>
      <c r="BB154" s="4"/>
      <c r="BC154" s="35">
        <f ca="1">IF(BE154&gt;2046, "Abundant",BE154)</f>
        <v>2032.0634096256686</v>
      </c>
      <c r="BD154" s="4"/>
      <c r="BE154" s="81">
        <f ca="1">YEAR($C$13)+(BG154*80)</f>
        <v>2032.0634096256686</v>
      </c>
      <c r="BF154" s="4"/>
      <c r="BG154" s="137">
        <f ca="1">BH154*$BH$14</f>
        <v>0.16329262032085559</v>
      </c>
      <c r="BH154" s="137">
        <f ca="1">(((BJ154+BK154+BM154+BN154)/4)*$BM$11)+(((BP154+BQ154)/2)*$BQ$11)+(((BU154+BV154+BW154)/3)*$BU$11)+(((BY154+BZ154+CA154+CB154+CC154)/5)*$CA$11)</f>
        <v>0.16329262032085559</v>
      </c>
      <c r="BI154" s="4"/>
      <c r="BJ154" s="33">
        <f>AP154/(AM154+AO154)</f>
        <v>0</v>
      </c>
      <c r="BK154" s="33">
        <f>(AN154+AO154)/(AM154+AO154)</f>
        <v>0</v>
      </c>
      <c r="BL154" s="4"/>
      <c r="BM154" s="127">
        <f>CF154/102</f>
        <v>5.8823529411764705E-2</v>
      </c>
      <c r="BN154" s="127">
        <f>C154/2</f>
        <v>0.5</v>
      </c>
      <c r="BO154" s="4"/>
      <c r="BP154" s="127">
        <f>(AK154)/($AW$6)</f>
        <v>5.0505050505050504E-2</v>
      </c>
      <c r="BQ154" s="127">
        <f ca="1">(CH154-$AW$4)/((YEAR($C$13))-$AW$4)</f>
        <v>0</v>
      </c>
      <c r="BR154" s="127">
        <f>(AL154)/($AW$6)</f>
        <v>0</v>
      </c>
      <c r="BS154" s="4"/>
      <c r="BT154" s="127"/>
      <c r="BU154" s="127">
        <f ca="1">(CG154-$AW$4)/((YEAR($C$13))-$AW$4)</f>
        <v>0</v>
      </c>
      <c r="BV154" s="127">
        <f>AE154/5</f>
        <v>1</v>
      </c>
      <c r="BW154" s="127">
        <f>AF154/5</f>
        <v>1</v>
      </c>
      <c r="BX154" s="4"/>
      <c r="BY154" s="148" t="str">
        <f>IF(E154="A",".98",IF(E154="B",".99",IF(E154="C","1.00",IF(E154="D","1.00" ))))</f>
        <v>1.00</v>
      </c>
      <c r="BZ154" s="127">
        <f>(CE154+7)/10</f>
        <v>1</v>
      </c>
      <c r="CA154" s="76" t="str">
        <f>IF(D154="Fern",".97",IF(D154="Grass",".99",IF(D154="Herb",".97",IF(D154="Shrub",".99",IF(D154="Tree","1.00",IF(D154="Vine",".98"))))))</f>
        <v>.97</v>
      </c>
      <c r="CB154" s="149" t="str">
        <f>IF(R154="Bogs Ponds Streams",".96", IF(R154="Coastal Areas",".97",IF(R154="Meadows Dry Open",".96",IF(R154="Forest &amp; Understory",".97",IF(R154="Moist Open",".98",IF(R154="Moist Shady",".96",IF(R154="Sub-Alpine","1.0")))))))</f>
        <v>.97</v>
      </c>
      <c r="CC154" s="76" t="str">
        <f>IF(S154="Local Endemic",".50",IF(S154="Regional Endemic",".70",IF(S154="Cascadia",".90",IF(S154="Rocky Mountain",".95",IF(S154="North America",".99")))))</f>
        <v>.70</v>
      </c>
      <c r="CD154" s="4"/>
      <c r="CE154" s="21">
        <f>IF(W154&gt;3,3,W154)</f>
        <v>3</v>
      </c>
      <c r="CF154" s="21">
        <f>IF(AC154&gt;102,102,AC154)</f>
        <v>6</v>
      </c>
      <c r="CG154" s="34">
        <f>IF(AI154&lt;$AW$4,$AW$4,AI154)</f>
        <v>2004</v>
      </c>
      <c r="CH154" s="34">
        <f>IF(AJ154&lt;$AW$4,$AW$4,AJ154)</f>
        <v>2004</v>
      </c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12"/>
    </row>
    <row r="155" spans="1:115" s="13" customFormat="1" ht="15" customHeight="1" x14ac:dyDescent="0.3">
      <c r="A155" s="235"/>
      <c r="B155" s="218"/>
      <c r="C155" s="225">
        <v>8</v>
      </c>
      <c r="D155" s="94" t="s">
        <v>1155</v>
      </c>
      <c r="E155" s="59" t="s">
        <v>2501</v>
      </c>
      <c r="F155" s="397" t="str">
        <f ca="1">IF(BC155&lt;2025, "Extinct&lt; 6Yrs?",BA155)</f>
        <v>Widespread</v>
      </c>
      <c r="G155" s="363" t="s">
        <v>525</v>
      </c>
      <c r="H155" s="363" t="s">
        <v>683</v>
      </c>
      <c r="I155" s="366" t="s">
        <v>3038</v>
      </c>
      <c r="J155" s="365" t="s">
        <v>3259</v>
      </c>
      <c r="K155" s="365" t="s">
        <v>120</v>
      </c>
      <c r="L155" s="10" t="s">
        <v>1903</v>
      </c>
      <c r="M155" s="8" t="s">
        <v>4235</v>
      </c>
      <c r="N155" s="8" t="s">
        <v>5128</v>
      </c>
      <c r="O155" s="8" t="s">
        <v>6027</v>
      </c>
      <c r="P155" s="9" t="s">
        <v>403</v>
      </c>
      <c r="Q155" s="59" t="s">
        <v>2552</v>
      </c>
      <c r="R155" s="9" t="s">
        <v>2499</v>
      </c>
      <c r="S155" s="9" t="s">
        <v>2479</v>
      </c>
      <c r="T155" s="123" t="str">
        <f>IF(R155="Bogs Ponds Streams","20",IF(R155="Coastal Areas","26",IF(R155="Meadows Dry Open","10",IF(R155="Forest &amp; Understory","14",IF(R155="Moist Open","12",IF(R155="Moist Shady","10",IF(R155="Sub-Alpine Slopes","0")))))))</f>
        <v>20</v>
      </c>
      <c r="U155" s="123" t="str">
        <f>IF(R155="Bogs Ponds Streams","52",IF(R155="Coastal Areas","51",IF(R155="Meadows Dry Open","53",IF(R155="Forest &amp; Understory","52",IF(R155="Moist Open","50",IF(R155="Moist Shady","46",IF(R155="Sub-Alpine Slopes","40")))))))</f>
        <v>52</v>
      </c>
      <c r="V155" s="123" t="str">
        <f>IF(R155="Bogs Ponds Streams","84",IF(R155="Coastal Areas","76",IF(R155="Meadows Dry Open","96", IF(R155="Forest &amp; Understory","90", IF(R155="Moist Open","88", IF(R155="Moist Shady","82", IF(R155="Sub-Alpine Slopes","80")))))))</f>
        <v>84</v>
      </c>
      <c r="W155" s="59">
        <v>20</v>
      </c>
      <c r="X155" s="59">
        <v>0</v>
      </c>
      <c r="Y155" s="59">
        <v>3500</v>
      </c>
      <c r="Z155" s="59" t="s">
        <v>2519</v>
      </c>
      <c r="AA155" s="59" t="s">
        <v>2518</v>
      </c>
      <c r="AB155" s="59">
        <v>6.8</v>
      </c>
      <c r="AC155" s="45">
        <f>C155+AK155+(0.1)*AL155</f>
        <v>13.2</v>
      </c>
      <c r="AD155" s="77">
        <v>69</v>
      </c>
      <c r="AE155" s="59">
        <v>5</v>
      </c>
      <c r="AF155" s="59">
        <v>5</v>
      </c>
      <c r="AG155" s="59">
        <v>1900</v>
      </c>
      <c r="AH155" s="77">
        <v>0</v>
      </c>
      <c r="AI155" s="59">
        <f ca="1">AJ155</f>
        <v>2019</v>
      </c>
      <c r="AJ155" s="18">
        <f ca="1">YEAR(TODAY())</f>
        <v>2019</v>
      </c>
      <c r="AK155" s="18">
        <v>3</v>
      </c>
      <c r="AL155" s="18">
        <v>22</v>
      </c>
      <c r="AM155" s="18">
        <v>1</v>
      </c>
      <c r="AN155" s="18">
        <v>1</v>
      </c>
      <c r="AO155" s="18">
        <v>5</v>
      </c>
      <c r="AP155" s="18">
        <v>1</v>
      </c>
      <c r="AQ155" s="18">
        <v>0</v>
      </c>
      <c r="AR155" s="18">
        <v>0</v>
      </c>
      <c r="AS155" s="18">
        <v>0</v>
      </c>
      <c r="AT155" s="18">
        <v>0</v>
      </c>
      <c r="AU155" s="18">
        <v>0</v>
      </c>
      <c r="AV155" s="18">
        <v>0</v>
      </c>
      <c r="AW155" s="18">
        <v>0</v>
      </c>
      <c r="AX155" s="18">
        <v>0</v>
      </c>
      <c r="AY155" s="233"/>
      <c r="AZ155" s="4"/>
      <c r="BA155" s="35" t="str">
        <f>IF(OR(S155="North America",S155="Rocky Mountain"), "Widespread",BC155)</f>
        <v>Widespread</v>
      </c>
      <c r="BB155" s="4"/>
      <c r="BC155" s="35" t="str">
        <f ca="1">IF(BE155&gt;2046, "Abundant",BE155)</f>
        <v>Abundant</v>
      </c>
      <c r="BD155" s="4"/>
      <c r="BE155" s="81">
        <f ca="1">YEAR($C$13)+(BG155*80)</f>
        <v>2102.8845775401069</v>
      </c>
      <c r="BF155" s="4"/>
      <c r="BG155" s="137">
        <f ca="1">BH155*$BH$14</f>
        <v>1.0485572192513368</v>
      </c>
      <c r="BH155" s="137">
        <f ca="1">(((BJ155+BK155+BM155+BN155)/4)*$BM$11)+(((BP155+BQ155)/2)*$BQ$11)+(((BU155+BV155+BW155)/3)*$BU$11)+(((BY155+BZ155+CA155+CB155+CC155)/5)*$CA$11)</f>
        <v>1.0485572192513368</v>
      </c>
      <c r="BI155" s="4"/>
      <c r="BJ155" s="33">
        <f>AP155/(AM155+AO155)</f>
        <v>0.16666666666666666</v>
      </c>
      <c r="BK155" s="33">
        <f>(AN155+AO155)/(AM155+AO155)</f>
        <v>1</v>
      </c>
      <c r="BL155" s="4"/>
      <c r="BM155" s="127">
        <f>CF155/102</f>
        <v>0.12941176470588234</v>
      </c>
      <c r="BN155" s="127">
        <f>C155/2</f>
        <v>4</v>
      </c>
      <c r="BO155" s="4"/>
      <c r="BP155" s="127">
        <f>(AK155)/($AW$6)</f>
        <v>3.0303030303030304E-2</v>
      </c>
      <c r="BQ155" s="127">
        <f ca="1">(CH155-$AW$4)/((YEAR($C$13))-$AW$4)</f>
        <v>1</v>
      </c>
      <c r="BR155" s="127">
        <f>(AL155)/($AW$6)</f>
        <v>0.22222222222222221</v>
      </c>
      <c r="BS155" s="4"/>
      <c r="BT155" s="127"/>
      <c r="BU155" s="127">
        <f ca="1">(CG155-$AW$4)/((YEAR($C$13))-$AW$4)</f>
        <v>1</v>
      </c>
      <c r="BV155" s="127">
        <f>AE155/5</f>
        <v>1</v>
      </c>
      <c r="BW155" s="127">
        <f>AF155/5</f>
        <v>1</v>
      </c>
      <c r="BX155" s="4"/>
      <c r="BY155" s="148" t="str">
        <f>IF(E155="A",".98",IF(E155="B",".99",IF(E155="C","1.00",IF(E155="D","1.00" ))))</f>
        <v>1.00</v>
      </c>
      <c r="BZ155" s="127">
        <f>(CE155+7)/10</f>
        <v>1</v>
      </c>
      <c r="CA155" s="76" t="str">
        <f>IF(D155="Fern",".97",IF(D155="Grass",".99",IF(D155="Herb",".97",IF(D155="Shrub",".99",IF(D155="Tree","1.00",IF(D155="Vine",".98"))))))</f>
        <v>.99</v>
      </c>
      <c r="CB155" s="149" t="str">
        <f>IF(R155="Bogs Ponds Streams",".96", IF(R155="Coastal Areas",".97",IF(R155="Meadows Dry Open",".96",IF(R155="Forest &amp; Understory",".97",IF(R155="Moist Open",".98",IF(R155="Moist Shady",".96",IF(R155="Sub-Alpine","1.0")))))))</f>
        <v>.96</v>
      </c>
      <c r="CC155" s="76" t="str">
        <f>IF(S155="Local Endemic",".50",IF(S155="Regional Endemic",".70",IF(S155="Cascadia",".90",IF(S155="Rocky Mountain",".95",IF(S155="North America",".99")))))</f>
        <v>.95</v>
      </c>
      <c r="CD155" s="4"/>
      <c r="CE155" s="21">
        <f>IF(W155&gt;3,3,W155)</f>
        <v>3</v>
      </c>
      <c r="CF155" s="21">
        <f>IF(AC155&gt;102,102,AC155)</f>
        <v>13.2</v>
      </c>
      <c r="CG155" s="34">
        <f ca="1">IF(AI155&lt;$AW$4,$AW$4,AI155)</f>
        <v>2019</v>
      </c>
      <c r="CH155" s="34">
        <f ca="1">IF(AJ155&lt;$AW$4,$AW$4,AJ155)</f>
        <v>2019</v>
      </c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</row>
    <row r="156" spans="1:115" s="13" customFormat="1" ht="15" customHeight="1" x14ac:dyDescent="0.3">
      <c r="A156" s="235"/>
      <c r="B156" s="218"/>
      <c r="C156" s="375">
        <v>1</v>
      </c>
      <c r="D156" s="68" t="s">
        <v>1155</v>
      </c>
      <c r="E156" s="67" t="s">
        <v>2501</v>
      </c>
      <c r="F156" s="403">
        <f ca="1">IF(BC156&lt;2025, "Extinct&lt; 6Yrs?",BA156)</f>
        <v>2036.9044468211528</v>
      </c>
      <c r="G156" s="376" t="s">
        <v>525</v>
      </c>
      <c r="H156" s="376" t="s">
        <v>4028</v>
      </c>
      <c r="I156" s="377" t="s">
        <v>2338</v>
      </c>
      <c r="J156" s="378" t="s">
        <v>2385</v>
      </c>
      <c r="K156" s="378" t="s">
        <v>2337</v>
      </c>
      <c r="L156" s="64" t="s">
        <v>2384</v>
      </c>
      <c r="M156" s="64" t="s">
        <v>4236</v>
      </c>
      <c r="N156" s="64" t="s">
        <v>5129</v>
      </c>
      <c r="O156" s="64" t="s">
        <v>6028</v>
      </c>
      <c r="P156" s="61" t="s">
        <v>403</v>
      </c>
      <c r="Q156" s="67" t="s">
        <v>2552</v>
      </c>
      <c r="R156" s="163" t="s">
        <v>2500</v>
      </c>
      <c r="S156" s="164" t="s">
        <v>2309</v>
      </c>
      <c r="T156" s="134" t="str">
        <f>IF(R156="Bogs Ponds Streams","20",IF(R156="Coastal Areas","26",IF(R156="Meadows Dry Open","10",IF(R156="Forest &amp; Understory","14",IF(R156="Moist Open","12",IF(R156="Moist Shady","10",IF(R156="Sub-Alpine Slopes","0")))))))</f>
        <v>10</v>
      </c>
      <c r="U156" s="134" t="str">
        <f>IF(R156="Bogs Ponds Streams","52",IF(R156="Coastal Areas","51",IF(R156="Meadows Dry Open","53",IF(R156="Forest &amp; Understory","52",IF(R156="Moist Open","50",IF(R156="Moist Shady","46",IF(R156="Sub-Alpine Slopes","40")))))))</f>
        <v>53</v>
      </c>
      <c r="V156" s="134" t="str">
        <f>IF(R156="Bogs Ponds Streams","84",IF(R156="Coastal Areas","76",IF(R156="Meadows Dry Open","96", IF(R156="Forest &amp; Understory","90", IF(R156="Moist Open","88", IF(R156="Moist Shady","82", IF(R156="Sub-Alpine Slopes","80")))))))</f>
        <v>96</v>
      </c>
      <c r="W156" s="67">
        <v>20</v>
      </c>
      <c r="X156" s="67">
        <v>0</v>
      </c>
      <c r="Y156" s="67">
        <v>3500</v>
      </c>
      <c r="Z156" s="67" t="s">
        <v>2519</v>
      </c>
      <c r="AA156" s="67" t="s">
        <v>2518</v>
      </c>
      <c r="AB156" s="67">
        <v>6.8</v>
      </c>
      <c r="AC156" s="85">
        <f>C156+AK156+(0.1)*AL156</f>
        <v>4</v>
      </c>
      <c r="AD156" s="78">
        <v>20</v>
      </c>
      <c r="AE156" s="68">
        <v>2</v>
      </c>
      <c r="AF156" s="68">
        <v>5</v>
      </c>
      <c r="AG156" s="78">
        <v>1996</v>
      </c>
      <c r="AH156" s="78">
        <v>0</v>
      </c>
      <c r="AI156" s="78">
        <v>2011</v>
      </c>
      <c r="AJ156" s="67">
        <v>2011</v>
      </c>
      <c r="AK156" s="67">
        <v>3</v>
      </c>
      <c r="AL156" s="67">
        <v>0</v>
      </c>
      <c r="AM156" s="70">
        <v>5</v>
      </c>
      <c r="AN156" s="70">
        <v>0</v>
      </c>
      <c r="AO156" s="86">
        <v>0</v>
      </c>
      <c r="AP156" s="70">
        <v>0</v>
      </c>
      <c r="AQ156" s="70">
        <v>0</v>
      </c>
      <c r="AR156" s="70">
        <v>0</v>
      </c>
      <c r="AS156" s="86">
        <v>0</v>
      </c>
      <c r="AT156" s="70">
        <v>0</v>
      </c>
      <c r="AU156" s="70">
        <v>0</v>
      </c>
      <c r="AV156" s="70">
        <v>0</v>
      </c>
      <c r="AW156" s="86">
        <v>0</v>
      </c>
      <c r="AX156" s="70">
        <v>0</v>
      </c>
      <c r="AY156" s="233"/>
      <c r="AZ156" s="11"/>
      <c r="BA156" s="35">
        <f ca="1">IF(OR(S156="North America",S156="Rocky Mountain"), "Widespread",BC156)</f>
        <v>2036.9044468211528</v>
      </c>
      <c r="BB156" s="11"/>
      <c r="BC156" s="35">
        <f ca="1">IF(BE156&gt;2046, "Abundant",BE156)</f>
        <v>2036.9044468211528</v>
      </c>
      <c r="BD156" s="11"/>
      <c r="BE156" s="81">
        <f ca="1">YEAR($C$13)+(BG156*80)</f>
        <v>2036.9044468211528</v>
      </c>
      <c r="BF156" s="11"/>
      <c r="BG156" s="137">
        <f ca="1">BH156*$BH$14</f>
        <v>0.22380558526440877</v>
      </c>
      <c r="BH156" s="137">
        <f ca="1">(((BJ156+BK156+BM156+BN156)/4)*$BM$11)+(((BP156+BQ156)/2)*$BQ$11)+(((BU156+BV156+BW156)/3)*$BU$11)+(((BY156+BZ156+CA156+CB156+CC156)/5)*$CA$11)</f>
        <v>0.22380558526440877</v>
      </c>
      <c r="BI156" s="11"/>
      <c r="BJ156" s="33">
        <f>AP156/(AM156+AO156)</f>
        <v>0</v>
      </c>
      <c r="BK156" s="33">
        <f>(AN156+AO156)/(AM156+AO156)</f>
        <v>0</v>
      </c>
      <c r="BL156" s="11"/>
      <c r="BM156" s="127">
        <f>CF156/102</f>
        <v>3.9215686274509803E-2</v>
      </c>
      <c r="BN156" s="127">
        <f>C156/2</f>
        <v>0.5</v>
      </c>
      <c r="BO156" s="11"/>
      <c r="BP156" s="127">
        <f>(AK156)/($AW$6)</f>
        <v>3.0303030303030304E-2</v>
      </c>
      <c r="BQ156" s="127">
        <f ca="1">(CH156-$AW$4)/((YEAR($C$13))-$AW$4)</f>
        <v>0.46666666666666667</v>
      </c>
      <c r="BR156" s="127">
        <f>(AL156)/($AW$6)</f>
        <v>0</v>
      </c>
      <c r="BS156" s="11"/>
      <c r="BT156" s="127"/>
      <c r="BU156" s="127">
        <f ca="1">(CG156-$AW$4)/((YEAR($C$13))-$AW$4)</f>
        <v>0.46666666666666667</v>
      </c>
      <c r="BV156" s="127">
        <f>AE156/5</f>
        <v>0.4</v>
      </c>
      <c r="BW156" s="127">
        <f>AF156/5</f>
        <v>1</v>
      </c>
      <c r="BX156" s="11"/>
      <c r="BY156" s="148" t="str">
        <f>IF(E156="A",".98",IF(E156="B",".99",IF(E156="C","1.00",IF(E156="D","1.00" ))))</f>
        <v>1.00</v>
      </c>
      <c r="BZ156" s="127">
        <f>(CE156+7)/10</f>
        <v>1</v>
      </c>
      <c r="CA156" s="76" t="str">
        <f>IF(D156="Fern",".97",IF(D156="Grass",".99",IF(D156="Herb",".97",IF(D156="Shrub",".99",IF(D156="Tree","1.00",IF(D156="Vine",".98"))))))</f>
        <v>.99</v>
      </c>
      <c r="CB156" s="149" t="str">
        <f>IF(R156="Bogs Ponds Streams",".96", IF(R156="Coastal Areas",".97",IF(R156="Meadows Dry Open",".96",IF(R156="Forest &amp; Understory",".97",IF(R156="Moist Open",".98",IF(R156="Moist Shady",".96",IF(R156="Sub-Alpine","1.0")))))))</f>
        <v>.96</v>
      </c>
      <c r="CC156" s="76" t="str">
        <f>IF(S156="Local Endemic",".50",IF(S156="Regional Endemic",".70",IF(S156="Cascadia",".90",IF(S156="Rocky Mountain",".95",IF(S156="North America",".99")))))</f>
        <v>.70</v>
      </c>
      <c r="CD156" s="11"/>
      <c r="CE156" s="21">
        <f>IF(W156&gt;3,3,W156)</f>
        <v>3</v>
      </c>
      <c r="CF156" s="21">
        <f>IF(AC156&gt;102,102,AC156)</f>
        <v>4</v>
      </c>
      <c r="CG156" s="34">
        <f>IF(AI156&lt;$AW$4,$AW$4,AI156)</f>
        <v>2011</v>
      </c>
      <c r="CH156" s="34">
        <f>IF(AJ156&lt;$AW$4,$AW$4,AJ156)</f>
        <v>2011</v>
      </c>
      <c r="CI156" s="11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11"/>
      <c r="DC156" s="11"/>
      <c r="DD156" s="11"/>
      <c r="DE156" s="11"/>
      <c r="DF156" s="11"/>
      <c r="DG156" s="11"/>
      <c r="DH156" s="11"/>
      <c r="DI156" s="11"/>
      <c r="DJ156" s="11"/>
    </row>
    <row r="157" spans="1:115" s="13" customFormat="1" ht="15" customHeight="1" x14ac:dyDescent="0.3">
      <c r="A157" s="235"/>
      <c r="B157" s="218"/>
      <c r="C157" s="225">
        <v>8</v>
      </c>
      <c r="D157" s="94" t="s">
        <v>1155</v>
      </c>
      <c r="E157" s="59" t="s">
        <v>2501</v>
      </c>
      <c r="F157" s="397" t="str">
        <f ca="1">IF(BC157&lt;2025, "Extinct&lt; 6Yrs?",BA157)</f>
        <v>Widespread</v>
      </c>
      <c r="G157" s="363" t="s">
        <v>525</v>
      </c>
      <c r="H157" s="363" t="s">
        <v>690</v>
      </c>
      <c r="I157" s="364" t="s">
        <v>1181</v>
      </c>
      <c r="J157" s="365" t="s">
        <v>1220</v>
      </c>
      <c r="K157" s="365" t="s">
        <v>1182</v>
      </c>
      <c r="L157" s="10" t="s">
        <v>1906</v>
      </c>
      <c r="M157" s="8" t="s">
        <v>4237</v>
      </c>
      <c r="N157" s="8" t="s">
        <v>5130</v>
      </c>
      <c r="O157" s="8" t="s">
        <v>6029</v>
      </c>
      <c r="P157" s="9" t="s">
        <v>403</v>
      </c>
      <c r="Q157" s="59" t="s">
        <v>2552</v>
      </c>
      <c r="R157" s="10" t="s">
        <v>2499</v>
      </c>
      <c r="S157" s="17" t="s">
        <v>2495</v>
      </c>
      <c r="T157" s="123" t="str">
        <f>IF(R157="Bogs Ponds Streams","20",IF(R157="Coastal Areas","26",IF(R157="Meadows Dry Open","10",IF(R157="Forest &amp; Understory","14",IF(R157="Moist Open","12",IF(R157="Moist Shady","10",IF(R157="Sub-Alpine Slopes","0")))))))</f>
        <v>20</v>
      </c>
      <c r="U157" s="123" t="str">
        <f>IF(R157="Bogs Ponds Streams","52",IF(R157="Coastal Areas","51",IF(R157="Meadows Dry Open","53",IF(R157="Forest &amp; Understory","52",IF(R157="Moist Open","50",IF(R157="Moist Shady","46",IF(R157="Sub-Alpine Slopes","40")))))))</f>
        <v>52</v>
      </c>
      <c r="V157" s="123" t="str">
        <f>IF(R157="Bogs Ponds Streams","84",IF(R157="Coastal Areas","76",IF(R157="Meadows Dry Open","96", IF(R157="Forest &amp; Understory","90", IF(R157="Moist Open","88", IF(R157="Moist Shady","82", IF(R157="Sub-Alpine Slopes","80")))))))</f>
        <v>84</v>
      </c>
      <c r="W157" s="59">
        <v>20</v>
      </c>
      <c r="X157" s="59">
        <v>0</v>
      </c>
      <c r="Y157" s="59">
        <v>3500</v>
      </c>
      <c r="Z157" s="59" t="s">
        <v>2519</v>
      </c>
      <c r="AA157" s="59" t="s">
        <v>2518</v>
      </c>
      <c r="AB157" s="59">
        <v>6.8</v>
      </c>
      <c r="AC157" s="45">
        <f>C157+AK157+(0.1)*AL157</f>
        <v>38.5</v>
      </c>
      <c r="AD157" s="77">
        <v>322</v>
      </c>
      <c r="AE157" s="59">
        <v>5</v>
      </c>
      <c r="AF157" s="59">
        <v>5</v>
      </c>
      <c r="AG157" s="59">
        <v>1900</v>
      </c>
      <c r="AH157" s="77">
        <v>0</v>
      </c>
      <c r="AI157" s="59">
        <f>AJ157</f>
        <v>1992</v>
      </c>
      <c r="AJ157" s="18">
        <v>1992</v>
      </c>
      <c r="AK157" s="18">
        <v>30</v>
      </c>
      <c r="AL157" s="18">
        <v>5</v>
      </c>
      <c r="AM157" s="18">
        <v>1</v>
      </c>
      <c r="AN157" s="18">
        <v>1</v>
      </c>
      <c r="AO157" s="18">
        <v>0</v>
      </c>
      <c r="AP157" s="18">
        <v>0</v>
      </c>
      <c r="AQ157" s="18">
        <v>0</v>
      </c>
      <c r="AR157" s="18">
        <v>0</v>
      </c>
      <c r="AS157" s="18">
        <v>0</v>
      </c>
      <c r="AT157" s="18">
        <v>0</v>
      </c>
      <c r="AU157" s="18">
        <v>0</v>
      </c>
      <c r="AV157" s="18">
        <v>0</v>
      </c>
      <c r="AW157" s="18">
        <v>0</v>
      </c>
      <c r="AX157" s="18">
        <v>0</v>
      </c>
      <c r="AY157" s="233"/>
      <c r="AZ157" s="4"/>
      <c r="BA157" s="35" t="str">
        <f>IF(OR(S157="North America",S157="Rocky Mountain"), "Widespread",BC157)</f>
        <v>Widespread</v>
      </c>
      <c r="BB157" s="4"/>
      <c r="BC157" s="35" t="str">
        <f ca="1">IF(BE157&gt;2046, "Abundant",BE157)</f>
        <v>Abundant</v>
      </c>
      <c r="BD157" s="4"/>
      <c r="BE157" s="81">
        <f ca="1">YEAR($C$13)+(BG157*80)</f>
        <v>2093.013242067736</v>
      </c>
      <c r="BF157" s="4"/>
      <c r="BG157" s="137">
        <f ca="1">BH157*$BH$14</f>
        <v>0.9251655258467022</v>
      </c>
      <c r="BH157" s="137">
        <f ca="1">(((BJ157+BK157+BM157+BN157)/4)*$BM$11)+(((BP157+BQ157)/2)*$BQ$11)+(((BU157+BV157+BW157)/3)*$BU$11)+(((BY157+BZ157+CA157+CB157+CC157)/5)*$CA$11)</f>
        <v>0.9251655258467022</v>
      </c>
      <c r="BI157" s="4"/>
      <c r="BJ157" s="33">
        <f>AP157/(AM157+AO157)</f>
        <v>0</v>
      </c>
      <c r="BK157" s="33">
        <f>(AN157+AO157)/(AM157+AO157)</f>
        <v>1</v>
      </c>
      <c r="BL157" s="4"/>
      <c r="BM157" s="127">
        <f>CF157/102</f>
        <v>0.37745098039215685</v>
      </c>
      <c r="BN157" s="127">
        <f>C157/2</f>
        <v>4</v>
      </c>
      <c r="BO157" s="4"/>
      <c r="BP157" s="127">
        <f>(AK157)/($AW$6)</f>
        <v>0.30303030303030304</v>
      </c>
      <c r="BQ157" s="127">
        <f ca="1">(CH157-$AW$4)/((YEAR($C$13))-$AW$4)</f>
        <v>0</v>
      </c>
      <c r="BR157" s="127">
        <f>(AL157)/($AW$6)</f>
        <v>5.0505050505050504E-2</v>
      </c>
      <c r="BS157" s="4"/>
      <c r="BT157" s="127"/>
      <c r="BU157" s="127">
        <f ca="1">(CG157-$AW$4)/((YEAR($C$13))-$AW$4)</f>
        <v>0</v>
      </c>
      <c r="BV157" s="127">
        <f>AE157/5</f>
        <v>1</v>
      </c>
      <c r="BW157" s="127">
        <f>AF157/5</f>
        <v>1</v>
      </c>
      <c r="BX157" s="4"/>
      <c r="BY157" s="148" t="str">
        <f>IF(E157="A",".98",IF(E157="B",".99",IF(E157="C","1.00",IF(E157="D","1.00" ))))</f>
        <v>1.00</v>
      </c>
      <c r="BZ157" s="127">
        <f>(CE157+7)/10</f>
        <v>1</v>
      </c>
      <c r="CA157" s="76" t="str">
        <f>IF(D157="Fern",".97",IF(D157="Grass",".99",IF(D157="Herb",".97",IF(D157="Shrub",".99",IF(D157="Tree","1.00",IF(D157="Vine",".98"))))))</f>
        <v>.99</v>
      </c>
      <c r="CB157" s="149" t="str">
        <f>IF(R157="Bogs Ponds Streams",".96", IF(R157="Coastal Areas",".97",IF(R157="Meadows Dry Open",".96",IF(R157="Forest &amp; Understory",".97",IF(R157="Moist Open",".98",IF(R157="Moist Shady",".96",IF(R157="Sub-Alpine","1.0")))))))</f>
        <v>.96</v>
      </c>
      <c r="CC157" s="76" t="str">
        <f>IF(S157="Local Endemic",".50",IF(S157="Regional Endemic",".70",IF(S157="Cascadia",".90",IF(S157="Rocky Mountain",".95",IF(S157="North America",".99")))))</f>
        <v>.99</v>
      </c>
      <c r="CD157" s="4"/>
      <c r="CE157" s="21">
        <f>IF(W157&gt;3,3,W157)</f>
        <v>3</v>
      </c>
      <c r="CF157" s="21">
        <f>IF(AC157&gt;102,102,AC157)</f>
        <v>38.5</v>
      </c>
      <c r="CG157" s="34">
        <f>IF(AI157&lt;$AW$4,$AW$4,AI157)</f>
        <v>2004</v>
      </c>
      <c r="CH157" s="34">
        <f>IF(AJ157&lt;$AW$4,$AW$4,AJ157)</f>
        <v>2004</v>
      </c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</row>
    <row r="158" spans="1:115" s="13" customFormat="1" ht="15" customHeight="1" x14ac:dyDescent="0.3">
      <c r="A158" s="235"/>
      <c r="B158" s="218"/>
      <c r="C158" s="375">
        <v>1</v>
      </c>
      <c r="D158" s="95" t="s">
        <v>1155</v>
      </c>
      <c r="E158" s="67" t="s">
        <v>2501</v>
      </c>
      <c r="F158" s="403" t="str">
        <f ca="1">IF(BC158&lt;2025, "Extinct&lt; 6Yrs?",BA158)</f>
        <v>Widespread</v>
      </c>
      <c r="G158" s="376" t="s">
        <v>525</v>
      </c>
      <c r="H158" s="376" t="s">
        <v>4028</v>
      </c>
      <c r="I158" s="380" t="s">
        <v>413</v>
      </c>
      <c r="J158" s="378" t="s">
        <v>412</v>
      </c>
      <c r="K158" s="378" t="s">
        <v>412</v>
      </c>
      <c r="L158" s="63" t="s">
        <v>1907</v>
      </c>
      <c r="M158" s="64" t="s">
        <v>4238</v>
      </c>
      <c r="N158" s="64" t="s">
        <v>5131</v>
      </c>
      <c r="O158" s="64" t="s">
        <v>6030</v>
      </c>
      <c r="P158" s="61" t="s">
        <v>403</v>
      </c>
      <c r="Q158" s="67" t="s">
        <v>2552</v>
      </c>
      <c r="R158" s="63" t="s">
        <v>2499</v>
      </c>
      <c r="S158" s="65" t="s">
        <v>2479</v>
      </c>
      <c r="T158" s="134" t="str">
        <f>IF(R158="Bogs Ponds Streams","20",IF(R158="Coastal Areas","26",IF(R158="Meadows Dry Open","10",IF(R158="Forest &amp; Understory","14",IF(R158="Moist Open","12",IF(R158="Moist Shady","10",IF(R158="Sub-Alpine Slopes","0")))))))</f>
        <v>20</v>
      </c>
      <c r="U158" s="134" t="str">
        <f>IF(R158="Bogs Ponds Streams","52",IF(R158="Coastal Areas","51",IF(R158="Meadows Dry Open","53",IF(R158="Forest &amp; Understory","52",IF(R158="Moist Open","50",IF(R158="Moist Shady","46",IF(R158="Sub-Alpine Slopes","40")))))))</f>
        <v>52</v>
      </c>
      <c r="V158" s="134" t="str">
        <f>IF(R158="Bogs Ponds Streams","84",IF(R158="Coastal Areas","76",IF(R158="Meadows Dry Open","96", IF(R158="Forest &amp; Understory","90", IF(R158="Moist Open","88", IF(R158="Moist Shady","82", IF(R158="Sub-Alpine Slopes","80")))))))</f>
        <v>84</v>
      </c>
      <c r="W158" s="67">
        <v>20</v>
      </c>
      <c r="X158" s="67">
        <v>0</v>
      </c>
      <c r="Y158" s="67">
        <v>3500</v>
      </c>
      <c r="Z158" s="67" t="s">
        <v>2519</v>
      </c>
      <c r="AA158" s="67" t="s">
        <v>2518</v>
      </c>
      <c r="AB158" s="67">
        <v>6.8</v>
      </c>
      <c r="AC158" s="85">
        <f>C158+AK158+(0.1)*AL158</f>
        <v>10.7</v>
      </c>
      <c r="AD158" s="78">
        <v>120</v>
      </c>
      <c r="AE158" s="67">
        <v>5</v>
      </c>
      <c r="AF158" s="67">
        <v>5</v>
      </c>
      <c r="AG158" s="67">
        <v>1900</v>
      </c>
      <c r="AH158" s="78">
        <v>0</v>
      </c>
      <c r="AI158" s="67">
        <f>AJ158</f>
        <v>2004</v>
      </c>
      <c r="AJ158" s="69">
        <v>2004</v>
      </c>
      <c r="AK158" s="69">
        <v>5</v>
      </c>
      <c r="AL158" s="69">
        <v>47</v>
      </c>
      <c r="AM158" s="70">
        <v>5</v>
      </c>
      <c r="AN158" s="70">
        <v>0</v>
      </c>
      <c r="AO158" s="86">
        <v>0</v>
      </c>
      <c r="AP158" s="70">
        <v>0</v>
      </c>
      <c r="AQ158" s="70">
        <v>0</v>
      </c>
      <c r="AR158" s="70">
        <v>0</v>
      </c>
      <c r="AS158" s="86">
        <v>0</v>
      </c>
      <c r="AT158" s="70">
        <v>0</v>
      </c>
      <c r="AU158" s="70">
        <v>0</v>
      </c>
      <c r="AV158" s="70">
        <v>0</v>
      </c>
      <c r="AW158" s="86">
        <v>0</v>
      </c>
      <c r="AX158" s="70">
        <v>0</v>
      </c>
      <c r="AY158" s="233"/>
      <c r="AZ158" s="4"/>
      <c r="BA158" s="35" t="str">
        <f>IF(OR(S158="North America",S158="Rocky Mountain"), "Widespread",BC158)</f>
        <v>Widespread</v>
      </c>
      <c r="BB158" s="4"/>
      <c r="BC158" s="35">
        <f ca="1">IF(BE158&gt;2046, "Abundant",BE158)</f>
        <v>2032.6995508021391</v>
      </c>
      <c r="BD158" s="4"/>
      <c r="BE158" s="81">
        <f ca="1">YEAR($C$13)+(BG158*80)</f>
        <v>2032.6995508021391</v>
      </c>
      <c r="BF158" s="4"/>
      <c r="BG158" s="137">
        <f ca="1">BH158*$BH$14</f>
        <v>0.17124438502673794</v>
      </c>
      <c r="BH158" s="137">
        <f ca="1">(((BJ158+BK158+BM158+BN158)/4)*$BM$11)+(((BP158+BQ158)/2)*$BQ$11)+(((BU158+BV158+BW158)/3)*$BU$11)+(((BY158+BZ158+CA158+CB158+CC158)/5)*$CA$11)</f>
        <v>0.17124438502673794</v>
      </c>
      <c r="BI158" s="4"/>
      <c r="BJ158" s="33">
        <f>AP158/(AM158+AO158)</f>
        <v>0</v>
      </c>
      <c r="BK158" s="33">
        <f>(AN158+AO158)/(AM158+AO158)</f>
        <v>0</v>
      </c>
      <c r="BL158" s="4"/>
      <c r="BM158" s="127">
        <f>CF158/102</f>
        <v>0.10490196078431371</v>
      </c>
      <c r="BN158" s="127">
        <f>C158/2</f>
        <v>0.5</v>
      </c>
      <c r="BO158" s="4"/>
      <c r="BP158" s="127">
        <f>(AK158)/($AW$6)</f>
        <v>5.0505050505050504E-2</v>
      </c>
      <c r="BQ158" s="127">
        <f ca="1">(CH158-$AW$4)/((YEAR($C$13))-$AW$4)</f>
        <v>0</v>
      </c>
      <c r="BR158" s="127">
        <f>(AL158)/($AW$6)</f>
        <v>0.47474747474747475</v>
      </c>
      <c r="BS158" s="4"/>
      <c r="BT158" s="127"/>
      <c r="BU158" s="127">
        <f ca="1">(CG158-$AW$4)/((YEAR($C$13))-$AW$4)</f>
        <v>0</v>
      </c>
      <c r="BV158" s="127">
        <f>AE158/5</f>
        <v>1</v>
      </c>
      <c r="BW158" s="127">
        <f>AF158/5</f>
        <v>1</v>
      </c>
      <c r="BX158" s="4"/>
      <c r="BY158" s="148" t="str">
        <f>IF(E158="A",".98",IF(E158="B",".99",IF(E158="C","1.00",IF(E158="D","1.00" ))))</f>
        <v>1.00</v>
      </c>
      <c r="BZ158" s="127">
        <f>(CE158+7)/10</f>
        <v>1</v>
      </c>
      <c r="CA158" s="76" t="str">
        <f>IF(D158="Fern",".97",IF(D158="Grass",".99",IF(D158="Herb",".97",IF(D158="Shrub",".99",IF(D158="Tree","1.00",IF(D158="Vine",".98"))))))</f>
        <v>.99</v>
      </c>
      <c r="CB158" s="149" t="str">
        <f>IF(R158="Bogs Ponds Streams",".96", IF(R158="Coastal Areas",".97",IF(R158="Meadows Dry Open",".96",IF(R158="Forest &amp; Understory",".97",IF(R158="Moist Open",".98",IF(R158="Moist Shady",".96",IF(R158="Sub-Alpine","1.0")))))))</f>
        <v>.96</v>
      </c>
      <c r="CC158" s="76" t="str">
        <f>IF(S158="Local Endemic",".50",IF(S158="Regional Endemic",".70",IF(S158="Cascadia",".90",IF(S158="Rocky Mountain",".95",IF(S158="North America",".99")))))</f>
        <v>.95</v>
      </c>
      <c r="CD158" s="4"/>
      <c r="CE158" s="21">
        <f>IF(W158&gt;3,3,W158)</f>
        <v>3</v>
      </c>
      <c r="CF158" s="21">
        <f>IF(AC158&gt;102,102,AC158)</f>
        <v>10.7</v>
      </c>
      <c r="CG158" s="34">
        <f>IF(AI158&lt;$AW$4,$AW$4,AI158)</f>
        <v>2004</v>
      </c>
      <c r="CH158" s="34">
        <f>IF(AJ158&lt;$AW$4,$AW$4,AJ158)</f>
        <v>2004</v>
      </c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</row>
    <row r="159" spans="1:115" s="13" customFormat="1" ht="15" customHeight="1" x14ac:dyDescent="0.3">
      <c r="A159" s="235"/>
      <c r="B159" s="218"/>
      <c r="C159" s="226">
        <v>2</v>
      </c>
      <c r="D159" s="119" t="s">
        <v>1155</v>
      </c>
      <c r="E159" s="104" t="s">
        <v>2501</v>
      </c>
      <c r="F159" s="400" t="str">
        <f ca="1">IF(BC159&lt;2025, "Extinct&lt; 6Yrs?",BA159)</f>
        <v>Widespread</v>
      </c>
      <c r="G159" s="369" t="s">
        <v>525</v>
      </c>
      <c r="H159" s="369" t="s">
        <v>4028</v>
      </c>
      <c r="I159" s="372" t="s">
        <v>2608</v>
      </c>
      <c r="J159" s="371" t="s">
        <v>3823</v>
      </c>
      <c r="K159" s="371" t="s">
        <v>890</v>
      </c>
      <c r="L159" s="114" t="s">
        <v>1908</v>
      </c>
      <c r="M159" s="111" t="s">
        <v>4239</v>
      </c>
      <c r="N159" s="111" t="s">
        <v>5132</v>
      </c>
      <c r="O159" s="111" t="s">
        <v>6031</v>
      </c>
      <c r="P159" s="105" t="s">
        <v>403</v>
      </c>
      <c r="Q159" s="104" t="s">
        <v>2552</v>
      </c>
      <c r="R159" s="114" t="s">
        <v>2498</v>
      </c>
      <c r="S159" s="114" t="s">
        <v>2495</v>
      </c>
      <c r="T159" s="133" t="str">
        <f>IF(R159="Bogs Ponds Streams","20",IF(R159="Coastal Areas","26",IF(R159="Meadows Dry Open","10",IF(R159="Forest &amp; Understory","14",IF(R159="Moist Open","12",IF(R159="Moist Shady","10",IF(R159="Sub-Alpine Slopes","0")))))))</f>
        <v>10</v>
      </c>
      <c r="U159" s="133" t="str">
        <f>IF(R159="Bogs Ponds Streams","52",IF(R159="Coastal Areas","51",IF(R159="Meadows Dry Open","53",IF(R159="Forest &amp; Understory","52",IF(R159="Moist Open","50",IF(R159="Moist Shady","46",IF(R159="Sub-Alpine Slopes","40")))))))</f>
        <v>46</v>
      </c>
      <c r="V159" s="133" t="str">
        <f>IF(R159="Bogs Ponds Streams","84",IF(R159="Coastal Areas","76",IF(R159="Meadows Dry Open","96", IF(R159="Forest &amp; Understory","90", IF(R159="Moist Open","88", IF(R159="Moist Shady","82", IF(R159="Sub-Alpine Slopes","80")))))))</f>
        <v>82</v>
      </c>
      <c r="W159" s="104">
        <v>20</v>
      </c>
      <c r="X159" s="104">
        <v>0</v>
      </c>
      <c r="Y159" s="104">
        <v>3500</v>
      </c>
      <c r="Z159" s="104" t="s">
        <v>2519</v>
      </c>
      <c r="AA159" s="104" t="s">
        <v>2518</v>
      </c>
      <c r="AB159" s="104">
        <v>6.8</v>
      </c>
      <c r="AC159" s="107">
        <f>C159+AK159+(0.1)*AL159</f>
        <v>32.6</v>
      </c>
      <c r="AD159" s="113">
        <v>156</v>
      </c>
      <c r="AE159" s="104">
        <v>5</v>
      </c>
      <c r="AF159" s="104">
        <v>5</v>
      </c>
      <c r="AG159" s="104">
        <v>1900</v>
      </c>
      <c r="AH159" s="113">
        <v>0</v>
      </c>
      <c r="AI159" s="104">
        <f>AJ159</f>
        <v>1992</v>
      </c>
      <c r="AJ159" s="108">
        <v>1992</v>
      </c>
      <c r="AK159" s="108">
        <v>27</v>
      </c>
      <c r="AL159" s="108">
        <v>36</v>
      </c>
      <c r="AM159" s="109">
        <v>5</v>
      </c>
      <c r="AN159" s="109">
        <v>1</v>
      </c>
      <c r="AO159" s="110">
        <v>0</v>
      </c>
      <c r="AP159" s="109">
        <v>0</v>
      </c>
      <c r="AQ159" s="109">
        <v>0</v>
      </c>
      <c r="AR159" s="109">
        <v>0</v>
      </c>
      <c r="AS159" s="110">
        <v>0</v>
      </c>
      <c r="AT159" s="109">
        <v>0</v>
      </c>
      <c r="AU159" s="109">
        <v>0</v>
      </c>
      <c r="AV159" s="109">
        <v>0</v>
      </c>
      <c r="AW159" s="110">
        <v>0</v>
      </c>
      <c r="AX159" s="109">
        <v>0</v>
      </c>
      <c r="AY159" s="233"/>
      <c r="AZ159" s="4"/>
      <c r="BA159" s="35" t="str">
        <f>IF(OR(S159="North America",S159="Rocky Mountain"), "Widespread",BC159)</f>
        <v>Widespread</v>
      </c>
      <c r="BB159" s="4"/>
      <c r="BC159" s="35" t="str">
        <f ca="1">IF(BE159&gt;2046, "Abundant",BE159)</f>
        <v>Abundant</v>
      </c>
      <c r="BD159" s="4"/>
      <c r="BE159" s="81">
        <f ca="1">YEAR($C$13)+(BG159*80)</f>
        <v>2046.3554880570409</v>
      </c>
      <c r="BF159" s="4"/>
      <c r="BG159" s="137">
        <f ca="1">BH159*$BH$14</f>
        <v>0.34194360071301244</v>
      </c>
      <c r="BH159" s="137">
        <f ca="1">(((BJ159+BK159+BM159+BN159)/4)*$BM$11)+(((BP159+BQ159)/2)*$BQ$11)+(((BU159+BV159+BW159)/3)*$BU$11)+(((BY159+BZ159+CA159+CB159+CC159)/5)*$CA$11)</f>
        <v>0.34194360071301244</v>
      </c>
      <c r="BI159" s="4"/>
      <c r="BJ159" s="33">
        <f>AP159/(AM159+AO159)</f>
        <v>0</v>
      </c>
      <c r="BK159" s="33">
        <f>(AN159+AO159)/(AM159+AO159)</f>
        <v>0.2</v>
      </c>
      <c r="BL159" s="4"/>
      <c r="BM159" s="127">
        <f>CF159/102</f>
        <v>0.31960784313725493</v>
      </c>
      <c r="BN159" s="127">
        <f>C159/2</f>
        <v>1</v>
      </c>
      <c r="BO159" s="4"/>
      <c r="BP159" s="127">
        <f>(AK159)/($AW$6)</f>
        <v>0.27272727272727271</v>
      </c>
      <c r="BQ159" s="127">
        <f ca="1">(CH159-$AW$4)/((YEAR($C$13))-$AW$4)</f>
        <v>0</v>
      </c>
      <c r="BR159" s="127">
        <f>(AL159)/($AW$6)</f>
        <v>0.36363636363636365</v>
      </c>
      <c r="BS159" s="4"/>
      <c r="BT159" s="127"/>
      <c r="BU159" s="127">
        <f ca="1">(CG159-$AW$4)/((YEAR($C$13))-$AW$4)</f>
        <v>0</v>
      </c>
      <c r="BV159" s="127">
        <f>AE159/5</f>
        <v>1</v>
      </c>
      <c r="BW159" s="127">
        <f>AF159/5</f>
        <v>1</v>
      </c>
      <c r="BX159" s="4"/>
      <c r="BY159" s="148" t="str">
        <f>IF(E159="A",".98",IF(E159="B",".99",IF(E159="C","1.00",IF(E159="D","1.00" ))))</f>
        <v>1.00</v>
      </c>
      <c r="BZ159" s="127">
        <f>(CE159+7)/10</f>
        <v>1</v>
      </c>
      <c r="CA159" s="76" t="str">
        <f>IF(D159="Fern",".97",IF(D159="Grass",".99",IF(D159="Herb",".97",IF(D159="Shrub",".99",IF(D159="Tree","1.00",IF(D159="Vine",".98"))))))</f>
        <v>.99</v>
      </c>
      <c r="CB159" s="149" t="str">
        <f>IF(R159="Bogs Ponds Streams",".96", IF(R159="Coastal Areas",".97",IF(R159="Meadows Dry Open",".96",IF(R159="Forest &amp; Understory",".97",IF(R159="Moist Open",".98",IF(R159="Moist Shady",".96",IF(R159="Sub-Alpine","1.0")))))))</f>
        <v>.96</v>
      </c>
      <c r="CC159" s="76" t="str">
        <f>IF(S159="Local Endemic",".50",IF(S159="Regional Endemic",".70",IF(S159="Cascadia",".90",IF(S159="Rocky Mountain",".95",IF(S159="North America",".99")))))</f>
        <v>.99</v>
      </c>
      <c r="CD159" s="4"/>
      <c r="CE159" s="21">
        <f>IF(W159&gt;3,3,W159)</f>
        <v>3</v>
      </c>
      <c r="CF159" s="21">
        <f>IF(AC159&gt;102,102,AC159)</f>
        <v>32.6</v>
      </c>
      <c r="CG159" s="34">
        <f>IF(AI159&lt;$AW$4,$AW$4,AI159)</f>
        <v>2004</v>
      </c>
      <c r="CH159" s="34">
        <f>IF(AJ159&lt;$AW$4,$AW$4,AJ159)</f>
        <v>2004</v>
      </c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</row>
    <row r="160" spans="1:115" s="13" customFormat="1" ht="15" customHeight="1" x14ac:dyDescent="0.3">
      <c r="A160" s="235"/>
      <c r="B160" s="218"/>
      <c r="C160" s="375">
        <v>1</v>
      </c>
      <c r="D160" s="68" t="s">
        <v>1155</v>
      </c>
      <c r="E160" s="67" t="s">
        <v>2501</v>
      </c>
      <c r="F160" s="403">
        <f ca="1">IF(BC160&lt;2025, "Extinct&lt; 6Yrs?",BA160)</f>
        <v>2037.9875431966725</v>
      </c>
      <c r="G160" s="376" t="s">
        <v>525</v>
      </c>
      <c r="H160" s="376" t="s">
        <v>4028</v>
      </c>
      <c r="I160" s="377" t="s">
        <v>2340</v>
      </c>
      <c r="J160" s="378" t="s">
        <v>3650</v>
      </c>
      <c r="K160" s="378" t="s">
        <v>2339</v>
      </c>
      <c r="L160" s="64" t="s">
        <v>2386</v>
      </c>
      <c r="M160" s="64" t="s">
        <v>4240</v>
      </c>
      <c r="N160" s="64" t="s">
        <v>5133</v>
      </c>
      <c r="O160" s="64" t="s">
        <v>6032</v>
      </c>
      <c r="P160" s="61" t="s">
        <v>403</v>
      </c>
      <c r="Q160" s="67" t="s">
        <v>2552</v>
      </c>
      <c r="R160" s="163" t="s">
        <v>2497</v>
      </c>
      <c r="S160" s="164" t="s">
        <v>2309</v>
      </c>
      <c r="T160" s="134" t="str">
        <f>IF(R160="Bogs Ponds Streams","20",IF(R160="Coastal Areas","26",IF(R160="Meadows Dry Open","10",IF(R160="Forest &amp; Understory","14",IF(R160="Moist Open","12",IF(R160="Moist Shady","10",IF(R160="Sub-Alpine Slopes","0")))))))</f>
        <v>12</v>
      </c>
      <c r="U160" s="134" t="str">
        <f>IF(R160="Bogs Ponds Streams","52",IF(R160="Coastal Areas","51",IF(R160="Meadows Dry Open","53",IF(R160="Forest &amp; Understory","52",IF(R160="Moist Open","50",IF(R160="Moist Shady","46",IF(R160="Sub-Alpine Slopes","40")))))))</f>
        <v>50</v>
      </c>
      <c r="V160" s="134" t="str">
        <f>IF(R160="Bogs Ponds Streams","84",IF(R160="Coastal Areas","76",IF(R160="Meadows Dry Open","96", IF(R160="Forest &amp; Understory","90", IF(R160="Moist Open","88", IF(R160="Moist Shady","82", IF(R160="Sub-Alpine Slopes","80")))))))</f>
        <v>88</v>
      </c>
      <c r="W160" s="67">
        <v>20</v>
      </c>
      <c r="X160" s="67">
        <v>0</v>
      </c>
      <c r="Y160" s="67">
        <v>3500</v>
      </c>
      <c r="Z160" s="67" t="s">
        <v>2519</v>
      </c>
      <c r="AA160" s="67" t="s">
        <v>2518</v>
      </c>
      <c r="AB160" s="67">
        <v>6.8</v>
      </c>
      <c r="AC160" s="85">
        <f>C160+AK160+(0.1)*AL160</f>
        <v>3</v>
      </c>
      <c r="AD160" s="78">
        <v>20</v>
      </c>
      <c r="AE160" s="68">
        <v>2</v>
      </c>
      <c r="AF160" s="68">
        <v>4</v>
      </c>
      <c r="AG160" s="78">
        <v>1937</v>
      </c>
      <c r="AH160" s="78">
        <v>0</v>
      </c>
      <c r="AI160" s="78">
        <v>2012</v>
      </c>
      <c r="AJ160" s="67">
        <v>2013</v>
      </c>
      <c r="AK160" s="67">
        <v>2</v>
      </c>
      <c r="AL160" s="67">
        <v>0</v>
      </c>
      <c r="AM160" s="70">
        <v>5</v>
      </c>
      <c r="AN160" s="70">
        <v>0</v>
      </c>
      <c r="AO160" s="86">
        <v>0</v>
      </c>
      <c r="AP160" s="70">
        <v>0</v>
      </c>
      <c r="AQ160" s="70">
        <v>0</v>
      </c>
      <c r="AR160" s="70">
        <v>0</v>
      </c>
      <c r="AS160" s="86">
        <v>0</v>
      </c>
      <c r="AT160" s="70">
        <v>0</v>
      </c>
      <c r="AU160" s="70">
        <v>0</v>
      </c>
      <c r="AV160" s="70">
        <v>0</v>
      </c>
      <c r="AW160" s="86">
        <v>0</v>
      </c>
      <c r="AX160" s="70">
        <v>0</v>
      </c>
      <c r="AY160" s="233"/>
      <c r="AZ160" s="11"/>
      <c r="BA160" s="35">
        <f ca="1">IF(OR(S160="North America",S160="Rocky Mountain"), "Widespread",BC160)</f>
        <v>2037.9875431966725</v>
      </c>
      <c r="BB160" s="11"/>
      <c r="BC160" s="35">
        <f ca="1">IF(BE160&gt;2046, "Abundant",BE160)</f>
        <v>2037.9875431966725</v>
      </c>
      <c r="BD160" s="11"/>
      <c r="BE160" s="81">
        <f ca="1">YEAR($C$13)+(BG160*80)</f>
        <v>2037.9875431966725</v>
      </c>
      <c r="BF160" s="11"/>
      <c r="BG160" s="137">
        <f ca="1">BH160*$BH$14</f>
        <v>0.23734428995840759</v>
      </c>
      <c r="BH160" s="137">
        <f ca="1">(((BJ160+BK160+BM160+BN160)/4)*$BM$11)+(((BP160+BQ160)/2)*$BQ$11)+(((BU160+BV160+BW160)/3)*$BU$11)+(((BY160+BZ160+CA160+CB160+CC160)/5)*$CA$11)</f>
        <v>0.23734428995840759</v>
      </c>
      <c r="BI160" s="11"/>
      <c r="BJ160" s="33">
        <f>AP160/(AM160+AO160)</f>
        <v>0</v>
      </c>
      <c r="BK160" s="33">
        <f>(AN160+AO160)/(AM160+AO160)</f>
        <v>0</v>
      </c>
      <c r="BL160" s="11"/>
      <c r="BM160" s="127">
        <f>CF160/102</f>
        <v>2.9411764705882353E-2</v>
      </c>
      <c r="BN160" s="127">
        <f>C160/2</f>
        <v>0.5</v>
      </c>
      <c r="BO160" s="11"/>
      <c r="BP160" s="127">
        <f>(AK160)/($AW$6)</f>
        <v>2.0202020202020204E-2</v>
      </c>
      <c r="BQ160" s="127">
        <f ca="1">(CH160-$AW$4)/((YEAR($C$13))-$AW$4)</f>
        <v>0.6</v>
      </c>
      <c r="BR160" s="127">
        <f>(AL160)/($AW$6)</f>
        <v>0</v>
      </c>
      <c r="BS160" s="11"/>
      <c r="BT160" s="127"/>
      <c r="BU160" s="127">
        <f ca="1">(CG160-$AW$4)/((YEAR($C$13))-$AW$4)</f>
        <v>0.53333333333333333</v>
      </c>
      <c r="BV160" s="127">
        <f>AE160/5</f>
        <v>0.4</v>
      </c>
      <c r="BW160" s="127">
        <f>AF160/5</f>
        <v>0.8</v>
      </c>
      <c r="BX160" s="11"/>
      <c r="BY160" s="148" t="str">
        <f>IF(E160="A",".98",IF(E160="B",".99",IF(E160="C","1.00",IF(E160="D","1.00" ))))</f>
        <v>1.00</v>
      </c>
      <c r="BZ160" s="127">
        <f>(CE160+7)/10</f>
        <v>1</v>
      </c>
      <c r="CA160" s="76" t="str">
        <f>IF(D160="Fern",".97",IF(D160="Grass",".99",IF(D160="Herb",".97",IF(D160="Shrub",".99",IF(D160="Tree","1.00",IF(D160="Vine",".98"))))))</f>
        <v>.99</v>
      </c>
      <c r="CB160" s="149" t="str">
        <f>IF(R160="Bogs Ponds Streams",".96", IF(R160="Coastal Areas",".97",IF(R160="Meadows Dry Open",".96",IF(R160="Forest &amp; Understory",".97",IF(R160="Moist Open",".98",IF(R160="Moist Shady",".96",IF(R160="Sub-Alpine","1.0")))))))</f>
        <v>.98</v>
      </c>
      <c r="CC160" s="76" t="str">
        <f>IF(S160="Local Endemic",".50",IF(S160="Regional Endemic",".70",IF(S160="Cascadia",".90",IF(S160="Rocky Mountain",".95",IF(S160="North America",".99")))))</f>
        <v>.70</v>
      </c>
      <c r="CD160" s="11"/>
      <c r="CE160" s="21">
        <f>IF(W160&gt;3,3,W160)</f>
        <v>3</v>
      </c>
      <c r="CF160" s="21">
        <f>IF(AC160&gt;102,102,AC160)</f>
        <v>3</v>
      </c>
      <c r="CG160" s="34">
        <f>IF(AI160&lt;$AW$4,$AW$4,AI160)</f>
        <v>2012</v>
      </c>
      <c r="CH160" s="34">
        <f>IF(AJ160&lt;$AW$4,$AW$4,AJ160)</f>
        <v>2013</v>
      </c>
      <c r="CI160" s="11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11"/>
      <c r="DC160" s="11"/>
      <c r="DD160" s="11"/>
      <c r="DE160" s="11"/>
      <c r="DF160" s="11"/>
      <c r="DG160" s="11"/>
      <c r="DH160" s="11"/>
      <c r="DI160" s="11"/>
      <c r="DJ160" s="11"/>
    </row>
    <row r="161" spans="1:114" s="13" customFormat="1" ht="15" customHeight="1" x14ac:dyDescent="0.3">
      <c r="A161" s="235"/>
      <c r="B161" s="218"/>
      <c r="C161" s="226">
        <v>2</v>
      </c>
      <c r="D161" s="119" t="s">
        <v>1155</v>
      </c>
      <c r="E161" s="104" t="s">
        <v>2501</v>
      </c>
      <c r="F161" s="400" t="str">
        <f ca="1">IF(BC161&lt;2025, "Extinct&lt; 6Yrs?",BA161)</f>
        <v>Widespread</v>
      </c>
      <c r="G161" s="369" t="s">
        <v>525</v>
      </c>
      <c r="H161" s="369" t="s">
        <v>4028</v>
      </c>
      <c r="I161" s="370" t="s">
        <v>514</v>
      </c>
      <c r="J161" s="371" t="s">
        <v>3822</v>
      </c>
      <c r="K161" s="371" t="s">
        <v>513</v>
      </c>
      <c r="L161" s="106" t="s">
        <v>1909</v>
      </c>
      <c r="M161" s="111" t="s">
        <v>4241</v>
      </c>
      <c r="N161" s="111" t="s">
        <v>5134</v>
      </c>
      <c r="O161" s="111" t="s">
        <v>6033</v>
      </c>
      <c r="P161" s="105" t="s">
        <v>403</v>
      </c>
      <c r="Q161" s="104" t="s">
        <v>2552</v>
      </c>
      <c r="R161" s="105" t="s">
        <v>2499</v>
      </c>
      <c r="S161" s="105" t="s">
        <v>2495</v>
      </c>
      <c r="T161" s="133" t="str">
        <f>IF(R161="Bogs Ponds Streams","20",IF(R161="Coastal Areas","26",IF(R161="Meadows Dry Open","10",IF(R161="Forest &amp; Understory","14",IF(R161="Moist Open","12",IF(R161="Moist Shady","10",IF(R161="Sub-Alpine Slopes","0")))))))</f>
        <v>20</v>
      </c>
      <c r="U161" s="133" t="str">
        <f>IF(R161="Bogs Ponds Streams","52",IF(R161="Coastal Areas","51",IF(R161="Meadows Dry Open","53",IF(R161="Forest &amp; Understory","52",IF(R161="Moist Open","50",IF(R161="Moist Shady","46",IF(R161="Sub-Alpine Slopes","40")))))))</f>
        <v>52</v>
      </c>
      <c r="V161" s="133" t="str">
        <f>IF(R161="Bogs Ponds Streams","84",IF(R161="Coastal Areas","76",IF(R161="Meadows Dry Open","96", IF(R161="Forest &amp; Understory","90", IF(R161="Moist Open","88", IF(R161="Moist Shady","82", IF(R161="Sub-Alpine Slopes","80")))))))</f>
        <v>84</v>
      </c>
      <c r="W161" s="104">
        <v>20</v>
      </c>
      <c r="X161" s="104">
        <v>0</v>
      </c>
      <c r="Y161" s="104">
        <v>3500</v>
      </c>
      <c r="Z161" s="104" t="s">
        <v>2519</v>
      </c>
      <c r="AA161" s="104" t="s">
        <v>2518</v>
      </c>
      <c r="AB161" s="104">
        <v>6.8</v>
      </c>
      <c r="AC161" s="107">
        <f>C161+AK161+(0.1)*AL161</f>
        <v>8.1999999999999993</v>
      </c>
      <c r="AD161" s="113">
        <v>16</v>
      </c>
      <c r="AE161" s="104">
        <v>5</v>
      </c>
      <c r="AF161" s="104">
        <v>5</v>
      </c>
      <c r="AG161" s="104">
        <v>1900</v>
      </c>
      <c r="AH161" s="113">
        <v>0</v>
      </c>
      <c r="AI161" s="104">
        <f>AJ161</f>
        <v>2004</v>
      </c>
      <c r="AJ161" s="108">
        <v>2004</v>
      </c>
      <c r="AK161" s="108">
        <v>6</v>
      </c>
      <c r="AL161" s="108">
        <v>2</v>
      </c>
      <c r="AM161" s="109">
        <v>5</v>
      </c>
      <c r="AN161" s="109">
        <v>1</v>
      </c>
      <c r="AO161" s="110">
        <v>0</v>
      </c>
      <c r="AP161" s="109">
        <v>0</v>
      </c>
      <c r="AQ161" s="109">
        <v>0</v>
      </c>
      <c r="AR161" s="109">
        <v>0</v>
      </c>
      <c r="AS161" s="110">
        <v>0</v>
      </c>
      <c r="AT161" s="109">
        <v>0</v>
      </c>
      <c r="AU161" s="109">
        <v>0</v>
      </c>
      <c r="AV161" s="109">
        <v>0</v>
      </c>
      <c r="AW161" s="110">
        <v>0</v>
      </c>
      <c r="AX161" s="109">
        <v>0</v>
      </c>
      <c r="AY161" s="233"/>
      <c r="AZ161" s="4"/>
      <c r="BA161" s="35" t="str">
        <f>IF(OR(S161="North America",S161="Rocky Mountain"), "Widespread",BC161)</f>
        <v>Widespread</v>
      </c>
      <c r="BB161" s="4"/>
      <c r="BC161" s="35">
        <f ca="1">IF(BE161&gt;2046, "Abundant",BE161)</f>
        <v>2040.9394452762924</v>
      </c>
      <c r="BD161" s="4"/>
      <c r="BE161" s="81">
        <f ca="1">YEAR($C$13)+(BG161*80)</f>
        <v>2040.9394452762924</v>
      </c>
      <c r="BF161" s="4"/>
      <c r="BG161" s="137">
        <f ca="1">BH161*$BH$14</f>
        <v>0.27424306595365416</v>
      </c>
      <c r="BH161" s="137">
        <f ca="1">(((BJ161+BK161+BM161+BN161)/4)*$BM$11)+(((BP161+BQ161)/2)*$BQ$11)+(((BU161+BV161+BW161)/3)*$BU$11)+(((BY161+BZ161+CA161+CB161+CC161)/5)*$CA$11)</f>
        <v>0.27424306595365416</v>
      </c>
      <c r="BI161" s="4"/>
      <c r="BJ161" s="33">
        <f>AP161/(AM161+AO161)</f>
        <v>0</v>
      </c>
      <c r="BK161" s="33">
        <f>(AN161+AO161)/(AM161+AO161)</f>
        <v>0.2</v>
      </c>
      <c r="BL161" s="4"/>
      <c r="BM161" s="127">
        <f>CF161/102</f>
        <v>8.039215686274509E-2</v>
      </c>
      <c r="BN161" s="127">
        <f>C161/2</f>
        <v>1</v>
      </c>
      <c r="BO161" s="4"/>
      <c r="BP161" s="127">
        <f>(AK161)/($AW$6)</f>
        <v>6.0606060606060608E-2</v>
      </c>
      <c r="BQ161" s="127">
        <f ca="1">(CH161-$AW$4)/((YEAR($C$13))-$AW$4)</f>
        <v>0</v>
      </c>
      <c r="BR161" s="127">
        <f>(AL161)/($AW$6)</f>
        <v>2.0202020202020204E-2</v>
      </c>
      <c r="BS161" s="4"/>
      <c r="BT161" s="127"/>
      <c r="BU161" s="127">
        <f ca="1">(CG161-$AW$4)/((YEAR($C$13))-$AW$4)</f>
        <v>0</v>
      </c>
      <c r="BV161" s="127">
        <f>AE161/5</f>
        <v>1</v>
      </c>
      <c r="BW161" s="127">
        <f>AF161/5</f>
        <v>1</v>
      </c>
      <c r="BX161" s="4"/>
      <c r="BY161" s="148" t="str">
        <f>IF(E161="A",".98",IF(E161="B",".99",IF(E161="C","1.00",IF(E161="D","1.00" ))))</f>
        <v>1.00</v>
      </c>
      <c r="BZ161" s="127">
        <f>(CE161+7)/10</f>
        <v>1</v>
      </c>
      <c r="CA161" s="76" t="str">
        <f>IF(D161="Fern",".97",IF(D161="Grass",".99",IF(D161="Herb",".97",IF(D161="Shrub",".99",IF(D161="Tree","1.00",IF(D161="Vine",".98"))))))</f>
        <v>.99</v>
      </c>
      <c r="CB161" s="149" t="str">
        <f>IF(R161="Bogs Ponds Streams",".96", IF(R161="Coastal Areas",".97",IF(R161="Meadows Dry Open",".96",IF(R161="Forest &amp; Understory",".97",IF(R161="Moist Open",".98",IF(R161="Moist Shady",".96",IF(R161="Sub-Alpine","1.0")))))))</f>
        <v>.96</v>
      </c>
      <c r="CC161" s="76" t="str">
        <f>IF(S161="Local Endemic",".50",IF(S161="Regional Endemic",".70",IF(S161="Cascadia",".90",IF(S161="Rocky Mountain",".95",IF(S161="North America",".99")))))</f>
        <v>.99</v>
      </c>
      <c r="CD161" s="4"/>
      <c r="CE161" s="21">
        <f>IF(W161&gt;3,3,W161)</f>
        <v>3</v>
      </c>
      <c r="CF161" s="21">
        <f>IF(AC161&gt;102,102,AC161)</f>
        <v>8.1999999999999993</v>
      </c>
      <c r="CG161" s="34">
        <f>IF(AI161&lt;$AW$4,$AW$4,AI161)</f>
        <v>2004</v>
      </c>
      <c r="CH161" s="34">
        <f>IF(AJ161&lt;$AW$4,$AW$4,AJ161)</f>
        <v>2004</v>
      </c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</row>
    <row r="162" spans="1:114" s="13" customFormat="1" ht="15" customHeight="1" x14ac:dyDescent="0.3">
      <c r="A162" s="235"/>
      <c r="B162" s="218"/>
      <c r="C162" s="375">
        <v>1</v>
      </c>
      <c r="D162" s="95" t="s">
        <v>1155</v>
      </c>
      <c r="E162" s="67" t="s">
        <v>2501</v>
      </c>
      <c r="F162" s="403" t="str">
        <f ca="1">IF(BC162&lt;2025, "Extinct&lt; 6Yrs?",BA162)</f>
        <v>Widespread</v>
      </c>
      <c r="G162" s="376" t="s">
        <v>525</v>
      </c>
      <c r="H162" s="376" t="s">
        <v>4028</v>
      </c>
      <c r="I162" s="380" t="s">
        <v>410</v>
      </c>
      <c r="J162" s="378" t="s">
        <v>3649</v>
      </c>
      <c r="K162" s="378" t="s">
        <v>84</v>
      </c>
      <c r="L162" s="63" t="s">
        <v>1910</v>
      </c>
      <c r="M162" s="64" t="s">
        <v>4242</v>
      </c>
      <c r="N162" s="64" t="s">
        <v>5135</v>
      </c>
      <c r="O162" s="64" t="s">
        <v>6034</v>
      </c>
      <c r="P162" s="61" t="s">
        <v>403</v>
      </c>
      <c r="Q162" s="67" t="s">
        <v>2552</v>
      </c>
      <c r="R162" s="61" t="s">
        <v>2498</v>
      </c>
      <c r="S162" s="61" t="s">
        <v>2479</v>
      </c>
      <c r="T162" s="134" t="str">
        <f>IF(R162="Bogs Ponds Streams","20",IF(R162="Coastal Areas","26",IF(R162="Meadows Dry Open","10",IF(R162="Forest &amp; Understory","14",IF(R162="Moist Open","12",IF(R162="Moist Shady","10",IF(R162="Sub-Alpine Slopes","0")))))))</f>
        <v>10</v>
      </c>
      <c r="U162" s="134" t="str">
        <f>IF(R162="Bogs Ponds Streams","52",IF(R162="Coastal Areas","51",IF(R162="Meadows Dry Open","53",IF(R162="Forest &amp; Understory","52",IF(R162="Moist Open","50",IF(R162="Moist Shady","46",IF(R162="Sub-Alpine Slopes","40")))))))</f>
        <v>46</v>
      </c>
      <c r="V162" s="134" t="str">
        <f>IF(R162="Bogs Ponds Streams","84",IF(R162="Coastal Areas","76",IF(R162="Meadows Dry Open","96", IF(R162="Forest &amp; Understory","90", IF(R162="Moist Open","88", IF(R162="Moist Shady","82", IF(R162="Sub-Alpine Slopes","80")))))))</f>
        <v>82</v>
      </c>
      <c r="W162" s="67">
        <v>20</v>
      </c>
      <c r="X162" s="67">
        <v>0</v>
      </c>
      <c r="Y162" s="67">
        <v>3500</v>
      </c>
      <c r="Z162" s="67" t="s">
        <v>2519</v>
      </c>
      <c r="AA162" s="67" t="s">
        <v>2518</v>
      </c>
      <c r="AB162" s="67">
        <v>6.8</v>
      </c>
      <c r="AC162" s="85">
        <f>C162+AK162+(0.1)*AL162</f>
        <v>18.2</v>
      </c>
      <c r="AD162" s="78">
        <v>70</v>
      </c>
      <c r="AE162" s="67">
        <v>5</v>
      </c>
      <c r="AF162" s="67">
        <v>5</v>
      </c>
      <c r="AG162" s="67">
        <v>1900</v>
      </c>
      <c r="AH162" s="78">
        <v>0</v>
      </c>
      <c r="AI162" s="67">
        <f>AJ162</f>
        <v>1997</v>
      </c>
      <c r="AJ162" s="69">
        <v>1997</v>
      </c>
      <c r="AK162" s="69">
        <v>15</v>
      </c>
      <c r="AL162" s="69">
        <v>22</v>
      </c>
      <c r="AM162" s="70">
        <v>5</v>
      </c>
      <c r="AN162" s="70">
        <v>0</v>
      </c>
      <c r="AO162" s="86">
        <v>0</v>
      </c>
      <c r="AP162" s="70">
        <v>0</v>
      </c>
      <c r="AQ162" s="70">
        <v>0</v>
      </c>
      <c r="AR162" s="70">
        <v>0</v>
      </c>
      <c r="AS162" s="86">
        <v>0</v>
      </c>
      <c r="AT162" s="70">
        <v>0</v>
      </c>
      <c r="AU162" s="70">
        <v>0</v>
      </c>
      <c r="AV162" s="70">
        <v>0</v>
      </c>
      <c r="AW162" s="86">
        <v>0</v>
      </c>
      <c r="AX162" s="70">
        <v>0</v>
      </c>
      <c r="AY162" s="233"/>
      <c r="AZ162" s="4"/>
      <c r="BA162" s="35" t="str">
        <f>IF(OR(S162="North America",S162="Rocky Mountain"), "Widespread",BC162)</f>
        <v>Widespread</v>
      </c>
      <c r="BB162" s="4"/>
      <c r="BC162" s="35">
        <f ca="1">IF(BE162&gt;2046, "Abundant",BE162)</f>
        <v>2034.7940249554367</v>
      </c>
      <c r="BD162" s="4"/>
      <c r="BE162" s="81">
        <f ca="1">YEAR($C$13)+(BG162*80)</f>
        <v>2034.7940249554367</v>
      </c>
      <c r="BF162" s="4"/>
      <c r="BG162" s="137">
        <f ca="1">BH162*$BH$14</f>
        <v>0.19742531194295898</v>
      </c>
      <c r="BH162" s="137">
        <f ca="1">(((BJ162+BK162+BM162+BN162)/4)*$BM$11)+(((BP162+BQ162)/2)*$BQ$11)+(((BU162+BV162+BW162)/3)*$BU$11)+(((BY162+BZ162+CA162+CB162+CC162)/5)*$CA$11)</f>
        <v>0.19742531194295898</v>
      </c>
      <c r="BI162" s="4"/>
      <c r="BJ162" s="33">
        <f>AP162/(AM162+AO162)</f>
        <v>0</v>
      </c>
      <c r="BK162" s="33">
        <f>(AN162+AO162)/(AM162+AO162)</f>
        <v>0</v>
      </c>
      <c r="BL162" s="4"/>
      <c r="BM162" s="127">
        <f>CF162/102</f>
        <v>0.17843137254901961</v>
      </c>
      <c r="BN162" s="127">
        <f>C162/2</f>
        <v>0.5</v>
      </c>
      <c r="BO162" s="4"/>
      <c r="BP162" s="127">
        <f>(AK162)/($AW$6)</f>
        <v>0.15151515151515152</v>
      </c>
      <c r="BQ162" s="127">
        <f ca="1">(CH162-$AW$4)/((YEAR($C$13))-$AW$4)</f>
        <v>0</v>
      </c>
      <c r="BR162" s="127">
        <f>(AL162)/($AW$6)</f>
        <v>0.22222222222222221</v>
      </c>
      <c r="BS162" s="4"/>
      <c r="BT162" s="127"/>
      <c r="BU162" s="127">
        <f ca="1">(CG162-$AW$4)/((YEAR($C$13))-$AW$4)</f>
        <v>0</v>
      </c>
      <c r="BV162" s="127">
        <f>AE162/5</f>
        <v>1</v>
      </c>
      <c r="BW162" s="127">
        <f>AF162/5</f>
        <v>1</v>
      </c>
      <c r="BX162" s="4"/>
      <c r="BY162" s="148" t="str">
        <f>IF(E162="A",".98",IF(E162="B",".99",IF(E162="C","1.00",IF(E162="D","1.00" ))))</f>
        <v>1.00</v>
      </c>
      <c r="BZ162" s="127">
        <f>(CE162+7)/10</f>
        <v>1</v>
      </c>
      <c r="CA162" s="76" t="str">
        <f>IF(D162="Fern",".97",IF(D162="Grass",".99",IF(D162="Herb",".97",IF(D162="Shrub",".99",IF(D162="Tree","1.00",IF(D162="Vine",".98"))))))</f>
        <v>.99</v>
      </c>
      <c r="CB162" s="149" t="str">
        <f>IF(R162="Bogs Ponds Streams",".96", IF(R162="Coastal Areas",".97",IF(R162="Meadows Dry Open",".96",IF(R162="Forest &amp; Understory",".97",IF(R162="Moist Open",".98",IF(R162="Moist Shady",".96",IF(R162="Sub-Alpine","1.0")))))))</f>
        <v>.96</v>
      </c>
      <c r="CC162" s="76" t="str">
        <f>IF(S162="Local Endemic",".50",IF(S162="Regional Endemic",".70",IF(S162="Cascadia",".90",IF(S162="Rocky Mountain",".95",IF(S162="North America",".99")))))</f>
        <v>.95</v>
      </c>
      <c r="CD162" s="4"/>
      <c r="CE162" s="21">
        <f>IF(W162&gt;3,3,W162)</f>
        <v>3</v>
      </c>
      <c r="CF162" s="21">
        <f>IF(AC162&gt;102,102,AC162)</f>
        <v>18.2</v>
      </c>
      <c r="CG162" s="34">
        <f>IF(AI162&lt;$AW$4,$AW$4,AI162)</f>
        <v>2004</v>
      </c>
      <c r="CH162" s="34">
        <f>IF(AJ162&lt;$AW$4,$AW$4,AJ162)</f>
        <v>2004</v>
      </c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</row>
    <row r="163" spans="1:114" s="13" customFormat="1" ht="15" customHeight="1" x14ac:dyDescent="0.3">
      <c r="A163" s="235"/>
      <c r="B163" s="218"/>
      <c r="C163" s="375">
        <v>1</v>
      </c>
      <c r="D163" s="95" t="s">
        <v>1155</v>
      </c>
      <c r="E163" s="67" t="s">
        <v>2501</v>
      </c>
      <c r="F163" s="403" t="str">
        <f ca="1">IF(BC163&lt;2025, "Extinct&lt; 6Yrs?",BA163)</f>
        <v>Abundant</v>
      </c>
      <c r="G163" s="376" t="s">
        <v>525</v>
      </c>
      <c r="H163" s="376" t="s">
        <v>4028</v>
      </c>
      <c r="I163" s="380" t="s">
        <v>3030</v>
      </c>
      <c r="J163" s="378" t="s">
        <v>3821</v>
      </c>
      <c r="K163" s="378" t="s">
        <v>409</v>
      </c>
      <c r="L163" s="63" t="s">
        <v>1911</v>
      </c>
      <c r="M163" s="64" t="s">
        <v>4243</v>
      </c>
      <c r="N163" s="64" t="s">
        <v>5136</v>
      </c>
      <c r="O163" s="64" t="s">
        <v>6035</v>
      </c>
      <c r="P163" s="61" t="s">
        <v>403</v>
      </c>
      <c r="Q163" s="67" t="s">
        <v>2552</v>
      </c>
      <c r="R163" s="163" t="s">
        <v>2497</v>
      </c>
      <c r="S163" s="164" t="s">
        <v>2309</v>
      </c>
      <c r="T163" s="134" t="str">
        <f>IF(R163="Bogs Ponds Streams","20",IF(R163="Coastal Areas","26",IF(R163="Meadows Dry Open","10",IF(R163="Forest &amp; Understory","14",IF(R163="Moist Open","12",IF(R163="Moist Shady","10",IF(R163="Sub-Alpine Slopes","0")))))))</f>
        <v>12</v>
      </c>
      <c r="U163" s="134" t="str">
        <f>IF(R163="Bogs Ponds Streams","52",IF(R163="Coastal Areas","51",IF(R163="Meadows Dry Open","53",IF(R163="Forest &amp; Understory","52",IF(R163="Moist Open","50",IF(R163="Moist Shady","46",IF(R163="Sub-Alpine Slopes","40")))))))</f>
        <v>50</v>
      </c>
      <c r="V163" s="134" t="str">
        <f>IF(R163="Bogs Ponds Streams","84",IF(R163="Coastal Areas","76",IF(R163="Meadows Dry Open","96", IF(R163="Forest &amp; Understory","90", IF(R163="Moist Open","88", IF(R163="Moist Shady","82", IF(R163="Sub-Alpine Slopes","80")))))))</f>
        <v>88</v>
      </c>
      <c r="W163" s="67">
        <v>20</v>
      </c>
      <c r="X163" s="67">
        <v>0</v>
      </c>
      <c r="Y163" s="67">
        <v>3500</v>
      </c>
      <c r="Z163" s="67" t="s">
        <v>2519</v>
      </c>
      <c r="AA163" s="67" t="s">
        <v>2518</v>
      </c>
      <c r="AB163" s="67">
        <v>6.8</v>
      </c>
      <c r="AC163" s="85">
        <f>C163+AK163+(0.1)*AL163</f>
        <v>4.2</v>
      </c>
      <c r="AD163" s="78">
        <v>29</v>
      </c>
      <c r="AE163" s="68">
        <v>3</v>
      </c>
      <c r="AF163" s="68">
        <v>5</v>
      </c>
      <c r="AG163" s="78">
        <v>1904</v>
      </c>
      <c r="AH163" s="78">
        <v>0</v>
      </c>
      <c r="AI163" s="78">
        <v>2018</v>
      </c>
      <c r="AJ163" s="69">
        <f ca="1">YEAR(TODAY())</f>
        <v>2019</v>
      </c>
      <c r="AK163" s="69">
        <v>3</v>
      </c>
      <c r="AL163" s="69">
        <v>2</v>
      </c>
      <c r="AM163" s="69">
        <v>1</v>
      </c>
      <c r="AN163" s="69">
        <v>1</v>
      </c>
      <c r="AO163" s="69">
        <v>5</v>
      </c>
      <c r="AP163" s="69">
        <v>1</v>
      </c>
      <c r="AQ163" s="69">
        <v>0</v>
      </c>
      <c r="AR163" s="69">
        <v>0</v>
      </c>
      <c r="AS163" s="69">
        <v>0</v>
      </c>
      <c r="AT163" s="69">
        <v>0</v>
      </c>
      <c r="AU163" s="69">
        <v>0</v>
      </c>
      <c r="AV163" s="69">
        <v>0</v>
      </c>
      <c r="AW163" s="69">
        <v>0</v>
      </c>
      <c r="AX163" s="69">
        <v>0</v>
      </c>
      <c r="AY163" s="233"/>
      <c r="AZ163" s="4"/>
      <c r="BA163" s="35" t="str">
        <f ca="1">IF(OR(S163="North America",S163="Rocky Mountain"), "Widespread",BC163)</f>
        <v>Abundant</v>
      </c>
      <c r="BB163" s="4"/>
      <c r="BC163" s="35" t="str">
        <f ca="1">IF(BE163&gt;2046, "Abundant",BE163)</f>
        <v>Abundant</v>
      </c>
      <c r="BD163" s="4"/>
      <c r="BE163" s="81">
        <f ca="1">YEAR($C$13)+(BG163*80)</f>
        <v>2058.7565984551397</v>
      </c>
      <c r="BF163" s="4"/>
      <c r="BG163" s="137">
        <f ca="1">BH163*$BH$14</f>
        <v>0.49695748068924533</v>
      </c>
      <c r="BH163" s="137">
        <f ca="1">(((BJ163+BK163+BM163+BN163)/4)*$BM$11)+(((BP163+BQ163)/2)*$BQ$11)+(((BU163+BV163+BW163)/3)*$BU$11)+(((BY163+BZ163+CA163+CB163+CC163)/5)*$CA$11)</f>
        <v>0.49695748068924533</v>
      </c>
      <c r="BI163" s="4"/>
      <c r="BJ163" s="33">
        <f>AP163/(AM163+AO163)</f>
        <v>0.16666666666666666</v>
      </c>
      <c r="BK163" s="33">
        <f>(AN163+AO163)/(AM163+AO163)</f>
        <v>1</v>
      </c>
      <c r="BL163" s="4"/>
      <c r="BM163" s="127">
        <f>CF163/102</f>
        <v>4.1176470588235294E-2</v>
      </c>
      <c r="BN163" s="127">
        <f>C163/2</f>
        <v>0.5</v>
      </c>
      <c r="BO163" s="4"/>
      <c r="BP163" s="127">
        <f>(AK163)/($AW$6)</f>
        <v>3.0303030303030304E-2</v>
      </c>
      <c r="BQ163" s="127">
        <f ca="1">(CH163-$AW$4)/((YEAR($C$13))-$AW$4)</f>
        <v>1</v>
      </c>
      <c r="BR163" s="127">
        <f>(AL163)/($AW$6)</f>
        <v>2.0202020202020204E-2</v>
      </c>
      <c r="BS163" s="4"/>
      <c r="BT163" s="127"/>
      <c r="BU163" s="127">
        <f ca="1">(CG163-$AW$4)/((YEAR($C$13))-$AW$4)</f>
        <v>0.93333333333333335</v>
      </c>
      <c r="BV163" s="127">
        <f>AE163/5</f>
        <v>0.6</v>
      </c>
      <c r="BW163" s="127">
        <f>AF163/5</f>
        <v>1</v>
      </c>
      <c r="BX163" s="4"/>
      <c r="BY163" s="148" t="str">
        <f>IF(E163="A",".98",IF(E163="B",".99",IF(E163="C","1.00",IF(E163="D","1.00" ))))</f>
        <v>1.00</v>
      </c>
      <c r="BZ163" s="127">
        <f>(CE163+7)/10</f>
        <v>1</v>
      </c>
      <c r="CA163" s="76" t="str">
        <f>IF(D163="Fern",".97",IF(D163="Grass",".99",IF(D163="Herb",".97",IF(D163="Shrub",".99",IF(D163="Tree","1.00",IF(D163="Vine",".98"))))))</f>
        <v>.99</v>
      </c>
      <c r="CB163" s="149" t="str">
        <f>IF(R163="Bogs Ponds Streams",".96", IF(R163="Coastal Areas",".97",IF(R163="Meadows Dry Open",".96",IF(R163="Forest &amp; Understory",".97",IF(R163="Moist Open",".98",IF(R163="Moist Shady",".96",IF(R163="Sub-Alpine","1.0")))))))</f>
        <v>.98</v>
      </c>
      <c r="CC163" s="76" t="str">
        <f>IF(S163="Local Endemic",".50",IF(S163="Regional Endemic",".70",IF(S163="Cascadia",".90",IF(S163="Rocky Mountain",".95",IF(S163="North America",".99")))))</f>
        <v>.70</v>
      </c>
      <c r="CD163" s="4"/>
      <c r="CE163" s="21">
        <f>IF(W163&gt;3,3,W163)</f>
        <v>3</v>
      </c>
      <c r="CF163" s="21">
        <f>IF(AC163&gt;102,102,AC163)</f>
        <v>4.2</v>
      </c>
      <c r="CG163" s="34">
        <f>IF(AI163&lt;$AW$4,$AW$4,AI163)</f>
        <v>2018</v>
      </c>
      <c r="CH163" s="34">
        <f ca="1">IF(AJ163&lt;$AW$4,$AW$4,AJ163)</f>
        <v>2019</v>
      </c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</row>
    <row r="164" spans="1:114" s="13" customFormat="1" ht="15" customHeight="1" x14ac:dyDescent="0.3">
      <c r="A164" s="235"/>
      <c r="B164" s="218"/>
      <c r="C164" s="225">
        <v>8</v>
      </c>
      <c r="D164" s="94" t="s">
        <v>1155</v>
      </c>
      <c r="E164" s="59" t="s">
        <v>2501</v>
      </c>
      <c r="F164" s="397" t="str">
        <f ca="1">IF(BC164&lt;2025, "Extinct&lt; 6Yrs?",BA164)</f>
        <v>Widespread</v>
      </c>
      <c r="G164" s="363" t="s">
        <v>525</v>
      </c>
      <c r="H164" s="363" t="s">
        <v>681</v>
      </c>
      <c r="I164" s="364" t="s">
        <v>119</v>
      </c>
      <c r="J164" s="365" t="s">
        <v>3260</v>
      </c>
      <c r="K164" s="365" t="s">
        <v>1210</v>
      </c>
      <c r="L164" s="10" t="s">
        <v>1912</v>
      </c>
      <c r="M164" s="8" t="s">
        <v>4244</v>
      </c>
      <c r="N164" s="8" t="s">
        <v>5137</v>
      </c>
      <c r="O164" s="8" t="s">
        <v>6036</v>
      </c>
      <c r="P164" s="9" t="s">
        <v>403</v>
      </c>
      <c r="Q164" s="59" t="s">
        <v>2552</v>
      </c>
      <c r="R164" s="160" t="s">
        <v>2497</v>
      </c>
      <c r="S164" s="17" t="s">
        <v>2495</v>
      </c>
      <c r="T164" s="123" t="str">
        <f>IF(R164="Bogs Ponds Streams","20",IF(R164="Coastal Areas","26",IF(R164="Meadows Dry Open","10",IF(R164="Forest &amp; Understory","14",IF(R164="Moist Open","12",IF(R164="Moist Shady","10",IF(R164="Sub-Alpine Slopes","0")))))))</f>
        <v>12</v>
      </c>
      <c r="U164" s="123" t="str">
        <f>IF(R164="Bogs Ponds Streams","52",IF(R164="Coastal Areas","51",IF(R164="Meadows Dry Open","53",IF(R164="Forest &amp; Understory","52",IF(R164="Moist Open","50",IF(R164="Moist Shady","46",IF(R164="Sub-Alpine Slopes","40")))))))</f>
        <v>50</v>
      </c>
      <c r="V164" s="123" t="str">
        <f>IF(R164="Bogs Ponds Streams","84",IF(R164="Coastal Areas","76",IF(R164="Meadows Dry Open","96", IF(R164="Forest &amp; Understory","90", IF(R164="Moist Open","88", IF(R164="Moist Shady","82", IF(R164="Sub-Alpine Slopes","80")))))))</f>
        <v>88</v>
      </c>
      <c r="W164" s="59">
        <v>20</v>
      </c>
      <c r="X164" s="59">
        <v>0</v>
      </c>
      <c r="Y164" s="59">
        <v>3500</v>
      </c>
      <c r="Z164" s="59" t="s">
        <v>2519</v>
      </c>
      <c r="AA164" s="59" t="s">
        <v>2518</v>
      </c>
      <c r="AB164" s="59">
        <v>6.8</v>
      </c>
      <c r="AC164" s="45">
        <f>C164+AK164+(0.1)*AL164</f>
        <v>18.2</v>
      </c>
      <c r="AD164" s="77">
        <v>52</v>
      </c>
      <c r="AE164" s="59">
        <v>5</v>
      </c>
      <c r="AF164" s="59">
        <v>5</v>
      </c>
      <c r="AG164" s="59">
        <v>1900</v>
      </c>
      <c r="AH164" s="77">
        <v>0</v>
      </c>
      <c r="AI164" s="59">
        <f ca="1">AJ164</f>
        <v>2019</v>
      </c>
      <c r="AJ164" s="18">
        <f ca="1">YEAR(TODAY())</f>
        <v>2019</v>
      </c>
      <c r="AK164" s="18">
        <v>8</v>
      </c>
      <c r="AL164" s="18">
        <v>22</v>
      </c>
      <c r="AM164" s="18">
        <v>1</v>
      </c>
      <c r="AN164" s="18">
        <v>1</v>
      </c>
      <c r="AO164" s="18">
        <v>5</v>
      </c>
      <c r="AP164" s="18">
        <v>1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233"/>
      <c r="AZ164" s="4"/>
      <c r="BA164" s="35" t="str">
        <f>IF(OR(S164="North America",S164="Rocky Mountain"), "Widespread",BC164)</f>
        <v>Widespread</v>
      </c>
      <c r="BB164" s="4"/>
      <c r="BC164" s="35" t="str">
        <f ca="1">IF(BE164&gt;2046, "Abundant",BE164)</f>
        <v>Abundant</v>
      </c>
      <c r="BD164" s="4"/>
      <c r="BE164" s="81">
        <f ca="1">YEAR($C$13)+(BG164*80)</f>
        <v>2104.0980734402851</v>
      </c>
      <c r="BF164" s="4"/>
      <c r="BG164" s="137">
        <f ca="1">BH164*$BH$14</f>
        <v>1.0637259180035652</v>
      </c>
      <c r="BH164" s="137">
        <f ca="1">(((BJ164+BK164+BM164+BN164)/4)*$BM$11)+(((BP164+BQ164)/2)*$BQ$11)+(((BU164+BV164+BW164)/3)*$BU$11)+(((BY164+BZ164+CA164+CB164+CC164)/5)*$CA$11)</f>
        <v>1.0637259180035652</v>
      </c>
      <c r="BI164" s="4"/>
      <c r="BJ164" s="33">
        <f>AP164/(AM164+AO164)</f>
        <v>0.16666666666666666</v>
      </c>
      <c r="BK164" s="33">
        <f>(AN164+AO164)/(AM164+AO164)</f>
        <v>1</v>
      </c>
      <c r="BL164" s="4"/>
      <c r="BM164" s="127">
        <f>CF164/102</f>
        <v>0.17843137254901961</v>
      </c>
      <c r="BN164" s="127">
        <f>C164/2</f>
        <v>4</v>
      </c>
      <c r="BO164" s="4"/>
      <c r="BP164" s="127">
        <f>(AK164)/($AW$6)</f>
        <v>8.0808080808080815E-2</v>
      </c>
      <c r="BQ164" s="127">
        <f ca="1">(CH164-$AW$4)/((YEAR($C$13))-$AW$4)</f>
        <v>1</v>
      </c>
      <c r="BR164" s="127">
        <f>(AL164)/($AW$6)</f>
        <v>0.22222222222222221</v>
      </c>
      <c r="BS164" s="4"/>
      <c r="BT164" s="127"/>
      <c r="BU164" s="127">
        <f ca="1">(CG164-$AW$4)/((YEAR($C$13))-$AW$4)</f>
        <v>1</v>
      </c>
      <c r="BV164" s="127">
        <f>AE164/5</f>
        <v>1</v>
      </c>
      <c r="BW164" s="127">
        <f>AF164/5</f>
        <v>1</v>
      </c>
      <c r="BX164" s="4"/>
      <c r="BY164" s="148" t="str">
        <f>IF(E164="A",".98",IF(E164="B",".99",IF(E164="C","1.00",IF(E164="D","1.00" ))))</f>
        <v>1.00</v>
      </c>
      <c r="BZ164" s="127">
        <f>(CE164+7)/10</f>
        <v>1</v>
      </c>
      <c r="CA164" s="76" t="str">
        <f>IF(D164="Fern",".97",IF(D164="Grass",".99",IF(D164="Herb",".97",IF(D164="Shrub",".99",IF(D164="Tree","1.00",IF(D164="Vine",".98"))))))</f>
        <v>.99</v>
      </c>
      <c r="CB164" s="149" t="str">
        <f>IF(R164="Bogs Ponds Streams",".96", IF(R164="Coastal Areas",".97",IF(R164="Meadows Dry Open",".96",IF(R164="Forest &amp; Understory",".97",IF(R164="Moist Open",".98",IF(R164="Moist Shady",".96",IF(R164="Sub-Alpine","1.0")))))))</f>
        <v>.98</v>
      </c>
      <c r="CC164" s="76" t="str">
        <f>IF(S164="Local Endemic",".50",IF(S164="Regional Endemic",".70",IF(S164="Cascadia",".90",IF(S164="Rocky Mountain",".95",IF(S164="North America",".99")))))</f>
        <v>.99</v>
      </c>
      <c r="CD164" s="4"/>
      <c r="CE164" s="21">
        <f>IF(W164&gt;3,3,W164)</f>
        <v>3</v>
      </c>
      <c r="CF164" s="21">
        <f>IF(AC164&gt;102,102,AC164)</f>
        <v>18.2</v>
      </c>
      <c r="CG164" s="34">
        <f ca="1">IF(AI164&lt;$AW$4,$AW$4,AI164)</f>
        <v>2019</v>
      </c>
      <c r="CH164" s="34">
        <f ca="1">IF(AJ164&lt;$AW$4,$AW$4,AJ164)</f>
        <v>2019</v>
      </c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</row>
    <row r="165" spans="1:114" s="13" customFormat="1" ht="15" customHeight="1" x14ac:dyDescent="0.3">
      <c r="A165" s="235"/>
      <c r="B165" s="218"/>
      <c r="C165" s="375">
        <v>1</v>
      </c>
      <c r="D165" s="95" t="s">
        <v>1155</v>
      </c>
      <c r="E165" s="67" t="s">
        <v>2501</v>
      </c>
      <c r="F165" s="403" t="str">
        <f ca="1">IF(BC165&lt;2025, "Extinct&lt; 6Yrs?",BA165)</f>
        <v>Widespread</v>
      </c>
      <c r="G165" s="376" t="s">
        <v>525</v>
      </c>
      <c r="H165" s="376" t="s">
        <v>4028</v>
      </c>
      <c r="I165" s="379" t="s">
        <v>3039</v>
      </c>
      <c r="J165" s="378" t="s">
        <v>3648</v>
      </c>
      <c r="K165" s="378" t="s">
        <v>891</v>
      </c>
      <c r="L165" s="63" t="s">
        <v>1913</v>
      </c>
      <c r="M165" s="64" t="s">
        <v>4245</v>
      </c>
      <c r="N165" s="64" t="s">
        <v>5138</v>
      </c>
      <c r="O165" s="64" t="s">
        <v>6037</v>
      </c>
      <c r="P165" s="61" t="s">
        <v>403</v>
      </c>
      <c r="Q165" s="67" t="s">
        <v>2552</v>
      </c>
      <c r="R165" s="163" t="s">
        <v>2500</v>
      </c>
      <c r="S165" s="65" t="s">
        <v>2495</v>
      </c>
      <c r="T165" s="134" t="str">
        <f>IF(R165="Bogs Ponds Streams","20",IF(R165="Coastal Areas","26",IF(R165="Meadows Dry Open","10",IF(R165="Forest &amp; Understory","14",IF(R165="Moist Open","12",IF(R165="Moist Shady","10",IF(R165="Sub-Alpine Slopes","0")))))))</f>
        <v>10</v>
      </c>
      <c r="U165" s="134" t="str">
        <f>IF(R165="Bogs Ponds Streams","52",IF(R165="Coastal Areas","51",IF(R165="Meadows Dry Open","53",IF(R165="Forest &amp; Understory","52",IF(R165="Moist Open","50",IF(R165="Moist Shady","46",IF(R165="Sub-Alpine Slopes","40")))))))</f>
        <v>53</v>
      </c>
      <c r="V165" s="134" t="str">
        <f>IF(R165="Bogs Ponds Streams","84",IF(R165="Coastal Areas","76",IF(R165="Meadows Dry Open","96", IF(R165="Forest &amp; Understory","90", IF(R165="Moist Open","88", IF(R165="Moist Shady","82", IF(R165="Sub-Alpine Slopes","80")))))))</f>
        <v>96</v>
      </c>
      <c r="W165" s="67">
        <v>20</v>
      </c>
      <c r="X165" s="67">
        <v>0</v>
      </c>
      <c r="Y165" s="67">
        <v>3500</v>
      </c>
      <c r="Z165" s="67" t="s">
        <v>2519</v>
      </c>
      <c r="AA165" s="67" t="s">
        <v>2518</v>
      </c>
      <c r="AB165" s="67">
        <v>6.8</v>
      </c>
      <c r="AC165" s="85">
        <f>C165+AK165+(0.1)*AL165</f>
        <v>25.2</v>
      </c>
      <c r="AD165" s="78">
        <v>139</v>
      </c>
      <c r="AE165" s="67">
        <v>5</v>
      </c>
      <c r="AF165" s="67">
        <v>5</v>
      </c>
      <c r="AG165" s="67">
        <v>1900</v>
      </c>
      <c r="AH165" s="78">
        <v>0</v>
      </c>
      <c r="AI165" s="67">
        <f>AJ165</f>
        <v>1995</v>
      </c>
      <c r="AJ165" s="69">
        <v>1995</v>
      </c>
      <c r="AK165" s="69">
        <v>22</v>
      </c>
      <c r="AL165" s="69">
        <v>22</v>
      </c>
      <c r="AM165" s="70">
        <v>5</v>
      </c>
      <c r="AN165" s="70">
        <v>0</v>
      </c>
      <c r="AO165" s="86">
        <v>0</v>
      </c>
      <c r="AP165" s="70">
        <v>0</v>
      </c>
      <c r="AQ165" s="70">
        <v>0</v>
      </c>
      <c r="AR165" s="70">
        <v>0</v>
      </c>
      <c r="AS165" s="86">
        <v>0</v>
      </c>
      <c r="AT165" s="70">
        <v>0</v>
      </c>
      <c r="AU165" s="70">
        <v>0</v>
      </c>
      <c r="AV165" s="70">
        <v>0</v>
      </c>
      <c r="AW165" s="86">
        <v>0</v>
      </c>
      <c r="AX165" s="70">
        <v>0</v>
      </c>
      <c r="AY165" s="233"/>
      <c r="AZ165" s="4"/>
      <c r="BA165" s="35" t="str">
        <f>IF(OR(S165="North America",S165="Rocky Mountain"), "Widespread",BC165)</f>
        <v>Widespread</v>
      </c>
      <c r="BB165" s="4"/>
      <c r="BC165" s="35">
        <f ca="1">IF(BE165&gt;2046, "Abundant",BE165)</f>
        <v>2036.4788392156863</v>
      </c>
      <c r="BD165" s="4"/>
      <c r="BE165" s="81">
        <f ca="1">YEAR($C$13)+(BG165*80)</f>
        <v>2036.4788392156863</v>
      </c>
      <c r="BF165" s="4"/>
      <c r="BG165" s="137">
        <f ca="1">BH165*$BH$14</f>
        <v>0.21848549019607844</v>
      </c>
      <c r="BH165" s="137">
        <f ca="1">(((BJ165+BK165+BM165+BN165)/4)*$BM$11)+(((BP165+BQ165)/2)*$BQ$11)+(((BU165+BV165+BW165)/3)*$BU$11)+(((BY165+BZ165+CA165+CB165+CC165)/5)*$CA$11)</f>
        <v>0.21848549019607844</v>
      </c>
      <c r="BI165" s="4"/>
      <c r="BJ165" s="33">
        <f>AP165/(AM165+AO165)</f>
        <v>0</v>
      </c>
      <c r="BK165" s="33">
        <f>(AN165+AO165)/(AM165+AO165)</f>
        <v>0</v>
      </c>
      <c r="BL165" s="4"/>
      <c r="BM165" s="127">
        <f>CF165/102</f>
        <v>0.24705882352941175</v>
      </c>
      <c r="BN165" s="127">
        <f>C165/2</f>
        <v>0.5</v>
      </c>
      <c r="BO165" s="4"/>
      <c r="BP165" s="127">
        <f>(AK165)/($AW$6)</f>
        <v>0.22222222222222221</v>
      </c>
      <c r="BQ165" s="127">
        <f ca="1">(CH165-$AW$4)/((YEAR($C$13))-$AW$4)</f>
        <v>0</v>
      </c>
      <c r="BR165" s="127">
        <f>(AL165)/($AW$6)</f>
        <v>0.22222222222222221</v>
      </c>
      <c r="BS165" s="4"/>
      <c r="BT165" s="127"/>
      <c r="BU165" s="127">
        <f ca="1">(CG165-$AW$4)/((YEAR($C$13))-$AW$4)</f>
        <v>0</v>
      </c>
      <c r="BV165" s="127">
        <f>AE165/5</f>
        <v>1</v>
      </c>
      <c r="BW165" s="127">
        <f>AF165/5</f>
        <v>1</v>
      </c>
      <c r="BX165" s="4"/>
      <c r="BY165" s="148" t="str">
        <f>IF(E165="A",".98",IF(E165="B",".99",IF(E165="C","1.00",IF(E165="D","1.00" ))))</f>
        <v>1.00</v>
      </c>
      <c r="BZ165" s="127">
        <f>(CE165+7)/10</f>
        <v>1</v>
      </c>
      <c r="CA165" s="76" t="str">
        <f>IF(D165="Fern",".97",IF(D165="Grass",".99",IF(D165="Herb",".97",IF(D165="Shrub",".99",IF(D165="Tree","1.00",IF(D165="Vine",".98"))))))</f>
        <v>.99</v>
      </c>
      <c r="CB165" s="149" t="str">
        <f>IF(R165="Bogs Ponds Streams",".96", IF(R165="Coastal Areas",".97",IF(R165="Meadows Dry Open",".96",IF(R165="Forest &amp; Understory",".97",IF(R165="Moist Open",".98",IF(R165="Moist Shady",".96",IF(R165="Sub-Alpine","1.0")))))))</f>
        <v>.96</v>
      </c>
      <c r="CC165" s="76" t="str">
        <f>IF(S165="Local Endemic",".50",IF(S165="Regional Endemic",".70",IF(S165="Cascadia",".90",IF(S165="Rocky Mountain",".95",IF(S165="North America",".99")))))</f>
        <v>.99</v>
      </c>
      <c r="CD165" s="4"/>
      <c r="CE165" s="21">
        <f>IF(W165&gt;3,3,W165)</f>
        <v>3</v>
      </c>
      <c r="CF165" s="21">
        <f>IF(AC165&gt;102,102,AC165)</f>
        <v>25.2</v>
      </c>
      <c r="CG165" s="34">
        <f>IF(AI165&lt;$AW$4,$AW$4,AI165)</f>
        <v>2004</v>
      </c>
      <c r="CH165" s="34">
        <f>IF(AJ165&lt;$AW$4,$AW$4,AJ165)</f>
        <v>2004</v>
      </c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</row>
    <row r="166" spans="1:114" s="13" customFormat="1" ht="15" customHeight="1" x14ac:dyDescent="0.3">
      <c r="A166" s="235"/>
      <c r="B166" s="218"/>
      <c r="C166" s="226">
        <v>2</v>
      </c>
      <c r="D166" s="119" t="s">
        <v>1155</v>
      </c>
      <c r="E166" s="104" t="s">
        <v>2501</v>
      </c>
      <c r="F166" s="400" t="str">
        <f ca="1">IF(BC166&lt;2025, "Extinct&lt; 6Yrs?",BA166)</f>
        <v>Abundant</v>
      </c>
      <c r="G166" s="369" t="s">
        <v>525</v>
      </c>
      <c r="H166" s="369" t="s">
        <v>4028</v>
      </c>
      <c r="I166" s="370" t="s">
        <v>415</v>
      </c>
      <c r="J166" s="371" t="s">
        <v>3820</v>
      </c>
      <c r="K166" s="371" t="s">
        <v>414</v>
      </c>
      <c r="L166" s="106" t="s">
        <v>1914</v>
      </c>
      <c r="M166" s="111" t="s">
        <v>4246</v>
      </c>
      <c r="N166" s="111" t="s">
        <v>5139</v>
      </c>
      <c r="O166" s="111" t="s">
        <v>6038</v>
      </c>
      <c r="P166" s="105" t="s">
        <v>403</v>
      </c>
      <c r="Q166" s="104" t="s">
        <v>2552</v>
      </c>
      <c r="R166" s="161" t="s">
        <v>2497</v>
      </c>
      <c r="S166" s="114" t="s">
        <v>2459</v>
      </c>
      <c r="T166" s="133" t="str">
        <f>IF(R166="Bogs Ponds Streams","20",IF(R166="Coastal Areas","26",IF(R166="Meadows Dry Open","10",IF(R166="Forest &amp; Understory","14",IF(R166="Moist Open","12",IF(R166="Moist Shady","10",IF(R166="Sub-Alpine Slopes","0")))))))</f>
        <v>12</v>
      </c>
      <c r="U166" s="133" t="str">
        <f>IF(R166="Bogs Ponds Streams","52",IF(R166="Coastal Areas","51",IF(R166="Meadows Dry Open","53",IF(R166="Forest &amp; Understory","52",IF(R166="Moist Open","50",IF(R166="Moist Shady","46",IF(R166="Sub-Alpine Slopes","40")))))))</f>
        <v>50</v>
      </c>
      <c r="V166" s="133" t="str">
        <f>IF(R166="Bogs Ponds Streams","84",IF(R166="Coastal Areas","76",IF(R166="Meadows Dry Open","96", IF(R166="Forest &amp; Understory","90", IF(R166="Moist Open","88", IF(R166="Moist Shady","82", IF(R166="Sub-Alpine Slopes","80")))))))</f>
        <v>88</v>
      </c>
      <c r="W166" s="104">
        <v>20</v>
      </c>
      <c r="X166" s="104">
        <v>0</v>
      </c>
      <c r="Y166" s="104">
        <v>3500</v>
      </c>
      <c r="Z166" s="104" t="s">
        <v>2519</v>
      </c>
      <c r="AA166" s="104" t="s">
        <v>2518</v>
      </c>
      <c r="AB166" s="104">
        <v>6.8</v>
      </c>
      <c r="AC166" s="107">
        <f>C166+AK166+(0.1)*AL166</f>
        <v>6.7</v>
      </c>
      <c r="AD166" s="113">
        <v>26</v>
      </c>
      <c r="AE166" s="104">
        <v>5</v>
      </c>
      <c r="AF166" s="104">
        <v>5</v>
      </c>
      <c r="AG166" s="104">
        <v>1900</v>
      </c>
      <c r="AH166" s="113">
        <v>0</v>
      </c>
      <c r="AI166" s="104">
        <f ca="1">AJ166</f>
        <v>2019</v>
      </c>
      <c r="AJ166" s="108">
        <f ca="1">YEAR(TODAY())</f>
        <v>2019</v>
      </c>
      <c r="AK166" s="108">
        <v>4</v>
      </c>
      <c r="AL166" s="108">
        <v>7</v>
      </c>
      <c r="AM166" s="108">
        <v>1</v>
      </c>
      <c r="AN166" s="108">
        <v>1</v>
      </c>
      <c r="AO166" s="108">
        <v>5</v>
      </c>
      <c r="AP166" s="108">
        <v>1</v>
      </c>
      <c r="AQ166" s="108">
        <v>0</v>
      </c>
      <c r="AR166" s="108">
        <v>0</v>
      </c>
      <c r="AS166" s="108">
        <v>0</v>
      </c>
      <c r="AT166" s="108">
        <v>0</v>
      </c>
      <c r="AU166" s="108">
        <v>0</v>
      </c>
      <c r="AV166" s="108">
        <v>0</v>
      </c>
      <c r="AW166" s="108">
        <v>0</v>
      </c>
      <c r="AX166" s="108">
        <v>0</v>
      </c>
      <c r="AY166" s="233"/>
      <c r="AZ166" s="4"/>
      <c r="BA166" s="35" t="str">
        <f ca="1">IF(OR(S166="North America",S166="Rocky Mountain"), "Widespread",BC166)</f>
        <v>Abundant</v>
      </c>
      <c r="BB166" s="4"/>
      <c r="BC166" s="35" t="str">
        <f ca="1">IF(BE166&gt;2046, "Abundant",BE166)</f>
        <v>Abundant</v>
      </c>
      <c r="BD166" s="4"/>
      <c r="BE166" s="81">
        <f ca="1">YEAR($C$13)+(BG166*80)</f>
        <v>2066.2314837789663</v>
      </c>
      <c r="BF166" s="4"/>
      <c r="BG166" s="137">
        <f ca="1">BH166*$BH$14</f>
        <v>0.59039354723707671</v>
      </c>
      <c r="BH166" s="137">
        <f ca="1">(((BJ166+BK166+BM166+BN166)/4)*$BM$11)+(((BP166+BQ166)/2)*$BQ$11)+(((BU166+BV166+BW166)/3)*$BU$11)+(((BY166+BZ166+CA166+CB166+CC166)/5)*$CA$11)</f>
        <v>0.59039354723707671</v>
      </c>
      <c r="BI166" s="4"/>
      <c r="BJ166" s="33">
        <f>AP166/(AM166+AO166)</f>
        <v>0.16666666666666666</v>
      </c>
      <c r="BK166" s="33">
        <f>(AN166+AO166)/(AM166+AO166)</f>
        <v>1</v>
      </c>
      <c r="BL166" s="4"/>
      <c r="BM166" s="127">
        <f>CF166/102</f>
        <v>6.5686274509803924E-2</v>
      </c>
      <c r="BN166" s="127">
        <f>C166/2</f>
        <v>1</v>
      </c>
      <c r="BO166" s="4"/>
      <c r="BP166" s="127">
        <f>(AK166)/($AW$6)</f>
        <v>4.0404040404040407E-2</v>
      </c>
      <c r="BQ166" s="127">
        <f ca="1">(CH166-$AW$4)/((YEAR($C$13))-$AW$4)</f>
        <v>1</v>
      </c>
      <c r="BR166" s="127">
        <f>(AL166)/($AW$6)</f>
        <v>7.0707070707070704E-2</v>
      </c>
      <c r="BS166" s="4"/>
      <c r="BT166" s="127"/>
      <c r="BU166" s="127">
        <f ca="1">(CG166-$AW$4)/((YEAR($C$13))-$AW$4)</f>
        <v>1</v>
      </c>
      <c r="BV166" s="127">
        <f>AE166/5</f>
        <v>1</v>
      </c>
      <c r="BW166" s="127">
        <f>AF166/5</f>
        <v>1</v>
      </c>
      <c r="BX166" s="4"/>
      <c r="BY166" s="148" t="str">
        <f>IF(E166="A",".98",IF(E166="B",".99",IF(E166="C","1.00",IF(E166="D","1.00" ))))</f>
        <v>1.00</v>
      </c>
      <c r="BZ166" s="127">
        <f>(CE166+7)/10</f>
        <v>1</v>
      </c>
      <c r="CA166" s="76" t="str">
        <f>IF(D166="Fern",".97",IF(D166="Grass",".99",IF(D166="Herb",".97",IF(D166="Shrub",".99",IF(D166="Tree","1.00",IF(D166="Vine",".98"))))))</f>
        <v>.99</v>
      </c>
      <c r="CB166" s="149" t="str">
        <f>IF(R166="Bogs Ponds Streams",".96", IF(R166="Coastal Areas",".97",IF(R166="Meadows Dry Open",".96",IF(R166="Forest &amp; Understory",".97",IF(R166="Moist Open",".98",IF(R166="Moist Shady",".96",IF(R166="Sub-Alpine","1.0")))))))</f>
        <v>.98</v>
      </c>
      <c r="CC166" s="76" t="str">
        <f>IF(S166="Local Endemic",".50",IF(S166="Regional Endemic",".70",IF(S166="Cascadia",".90",IF(S166="Rocky Mountain",".95",IF(S166="North America",".99")))))</f>
        <v>.90</v>
      </c>
      <c r="CD166" s="4"/>
      <c r="CE166" s="21">
        <f>IF(W166&gt;3,3,W166)</f>
        <v>3</v>
      </c>
      <c r="CF166" s="21">
        <f>IF(AC166&gt;102,102,AC166)</f>
        <v>6.7</v>
      </c>
      <c r="CG166" s="34">
        <f ca="1">IF(AI166&lt;$AW$4,$AW$4,AI166)</f>
        <v>2019</v>
      </c>
      <c r="CH166" s="34">
        <f ca="1">IF(AJ166&lt;$AW$4,$AW$4,AJ166)</f>
        <v>2019</v>
      </c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</row>
    <row r="167" spans="1:114" s="13" customFormat="1" ht="15" customHeight="1" x14ac:dyDescent="0.3">
      <c r="A167" s="235"/>
      <c r="B167" s="218"/>
      <c r="C167" s="226">
        <v>2</v>
      </c>
      <c r="D167" s="119" t="s">
        <v>1155</v>
      </c>
      <c r="E167" s="104" t="s">
        <v>2501</v>
      </c>
      <c r="F167" s="400">
        <f ca="1">IF(BC167&lt;2025, "Extinct&lt; 6Yrs?",BA167)</f>
        <v>2041.849302436126</v>
      </c>
      <c r="G167" s="369" t="s">
        <v>525</v>
      </c>
      <c r="H167" s="369" t="s">
        <v>4028</v>
      </c>
      <c r="I167" s="370" t="s">
        <v>121</v>
      </c>
      <c r="J167" s="371" t="s">
        <v>3819</v>
      </c>
      <c r="K167" s="371" t="s">
        <v>328</v>
      </c>
      <c r="L167" s="106" t="s">
        <v>1915</v>
      </c>
      <c r="M167" s="111" t="s">
        <v>4247</v>
      </c>
      <c r="N167" s="111" t="s">
        <v>5140</v>
      </c>
      <c r="O167" s="111" t="s">
        <v>6039</v>
      </c>
      <c r="P167" s="105" t="s">
        <v>403</v>
      </c>
      <c r="Q167" s="104" t="s">
        <v>2552</v>
      </c>
      <c r="R167" s="105" t="s">
        <v>2499</v>
      </c>
      <c r="S167" s="105" t="s">
        <v>2459</v>
      </c>
      <c r="T167" s="133" t="str">
        <f>IF(R167="Bogs Ponds Streams","20",IF(R167="Coastal Areas","26",IF(R167="Meadows Dry Open","10",IF(R167="Forest &amp; Understory","14",IF(R167="Moist Open","12",IF(R167="Moist Shady","10",IF(R167="Sub-Alpine Slopes","0")))))))</f>
        <v>20</v>
      </c>
      <c r="U167" s="133" t="str">
        <f>IF(R167="Bogs Ponds Streams","52",IF(R167="Coastal Areas","51",IF(R167="Meadows Dry Open","53",IF(R167="Forest &amp; Understory","52",IF(R167="Moist Open","50",IF(R167="Moist Shady","46",IF(R167="Sub-Alpine Slopes","40")))))))</f>
        <v>52</v>
      </c>
      <c r="V167" s="133" t="str">
        <f>IF(R167="Bogs Ponds Streams","84",IF(R167="Coastal Areas","76",IF(R167="Meadows Dry Open","96", IF(R167="Forest &amp; Understory","90", IF(R167="Moist Open","88", IF(R167="Moist Shady","82", IF(R167="Sub-Alpine Slopes","80")))))))</f>
        <v>84</v>
      </c>
      <c r="W167" s="104">
        <v>20</v>
      </c>
      <c r="X167" s="104">
        <v>0</v>
      </c>
      <c r="Y167" s="104">
        <v>3500</v>
      </c>
      <c r="Z167" s="104" t="s">
        <v>2519</v>
      </c>
      <c r="AA167" s="104" t="s">
        <v>2518</v>
      </c>
      <c r="AB167" s="104">
        <v>6.8</v>
      </c>
      <c r="AC167" s="107">
        <f>C167+AK167+(0.1)*AL167</f>
        <v>9.1999999999999993</v>
      </c>
      <c r="AD167" s="113">
        <v>53</v>
      </c>
      <c r="AE167" s="104">
        <v>5</v>
      </c>
      <c r="AF167" s="104">
        <v>5</v>
      </c>
      <c r="AG167" s="104">
        <v>1900</v>
      </c>
      <c r="AH167" s="113">
        <v>0</v>
      </c>
      <c r="AI167" s="104">
        <f>AJ167</f>
        <v>2005</v>
      </c>
      <c r="AJ167" s="108">
        <v>2005</v>
      </c>
      <c r="AK167" s="108">
        <v>5</v>
      </c>
      <c r="AL167" s="108">
        <v>22</v>
      </c>
      <c r="AM167" s="109">
        <v>5</v>
      </c>
      <c r="AN167" s="109">
        <v>1</v>
      </c>
      <c r="AO167" s="110">
        <v>0</v>
      </c>
      <c r="AP167" s="109">
        <v>0</v>
      </c>
      <c r="AQ167" s="109">
        <v>0</v>
      </c>
      <c r="AR167" s="109">
        <v>0</v>
      </c>
      <c r="AS167" s="110">
        <v>0</v>
      </c>
      <c r="AT167" s="109">
        <v>0</v>
      </c>
      <c r="AU167" s="109">
        <v>0</v>
      </c>
      <c r="AV167" s="109">
        <v>0</v>
      </c>
      <c r="AW167" s="110">
        <v>0</v>
      </c>
      <c r="AX167" s="109">
        <v>0</v>
      </c>
      <c r="AY167" s="233"/>
      <c r="AZ167" s="4"/>
      <c r="BA167" s="35">
        <f ca="1">IF(OR(S167="North America",S167="Rocky Mountain"), "Widespread",BC167)</f>
        <v>2041.849302436126</v>
      </c>
      <c r="BB167" s="4"/>
      <c r="BC167" s="35">
        <f ca="1">IF(BE167&gt;2046, "Abundant",BE167)</f>
        <v>2041.849302436126</v>
      </c>
      <c r="BD167" s="4"/>
      <c r="BE167" s="81">
        <f ca="1">YEAR($C$13)+(BG167*80)</f>
        <v>2041.849302436126</v>
      </c>
      <c r="BF167" s="4"/>
      <c r="BG167" s="137">
        <f ca="1">BH167*$BH$14</f>
        <v>0.28561628045157461</v>
      </c>
      <c r="BH167" s="137">
        <f ca="1">(((BJ167+BK167+BM167+BN167)/4)*$BM$11)+(((BP167+BQ167)/2)*$BQ$11)+(((BU167+BV167+BW167)/3)*$BU$11)+(((BY167+BZ167+CA167+CB167+CC167)/5)*$CA$11)</f>
        <v>0.28561628045157461</v>
      </c>
      <c r="BI167" s="4"/>
      <c r="BJ167" s="33">
        <f>AP167/(AM167+AO167)</f>
        <v>0</v>
      </c>
      <c r="BK167" s="33">
        <f>(AN167+AO167)/(AM167+AO167)</f>
        <v>0.2</v>
      </c>
      <c r="BL167" s="4"/>
      <c r="BM167" s="127">
        <f>CF167/102</f>
        <v>9.0196078431372548E-2</v>
      </c>
      <c r="BN167" s="127">
        <f>C167/2</f>
        <v>1</v>
      </c>
      <c r="BO167" s="4"/>
      <c r="BP167" s="127">
        <f>(AK167)/($AW$6)</f>
        <v>5.0505050505050504E-2</v>
      </c>
      <c r="BQ167" s="127">
        <f ca="1">(CH167-$AW$4)/((YEAR($C$13))-$AW$4)</f>
        <v>6.6666666666666666E-2</v>
      </c>
      <c r="BR167" s="127">
        <f>(AL167)/($AW$6)</f>
        <v>0.22222222222222221</v>
      </c>
      <c r="BS167" s="4"/>
      <c r="BT167" s="127"/>
      <c r="BU167" s="127">
        <f ca="1">(CG167-$AW$4)/((YEAR($C$13))-$AW$4)</f>
        <v>6.6666666666666666E-2</v>
      </c>
      <c r="BV167" s="127">
        <f>AE167/5</f>
        <v>1</v>
      </c>
      <c r="BW167" s="127">
        <f>AF167/5</f>
        <v>1</v>
      </c>
      <c r="BX167" s="4"/>
      <c r="BY167" s="148" t="str">
        <f>IF(E167="A",".98",IF(E167="B",".99",IF(E167="C","1.00",IF(E167="D","1.00" ))))</f>
        <v>1.00</v>
      </c>
      <c r="BZ167" s="127">
        <f>(CE167+7)/10</f>
        <v>1</v>
      </c>
      <c r="CA167" s="76" t="str">
        <f>IF(D167="Fern",".97",IF(D167="Grass",".99",IF(D167="Herb",".97",IF(D167="Shrub",".99",IF(D167="Tree","1.00",IF(D167="Vine",".98"))))))</f>
        <v>.99</v>
      </c>
      <c r="CB167" s="149" t="str">
        <f>IF(R167="Bogs Ponds Streams",".96", IF(R167="Coastal Areas",".97",IF(R167="Meadows Dry Open",".96",IF(R167="Forest &amp; Understory",".97",IF(R167="Moist Open",".98",IF(R167="Moist Shady",".96",IF(R167="Sub-Alpine","1.0")))))))</f>
        <v>.96</v>
      </c>
      <c r="CC167" s="76" t="str">
        <f>IF(S167="Local Endemic",".50",IF(S167="Regional Endemic",".70",IF(S167="Cascadia",".90",IF(S167="Rocky Mountain",".95",IF(S167="North America",".99")))))</f>
        <v>.90</v>
      </c>
      <c r="CD167" s="4"/>
      <c r="CE167" s="21">
        <f>IF(W167&gt;3,3,W167)</f>
        <v>3</v>
      </c>
      <c r="CF167" s="21">
        <f>IF(AC167&gt;102,102,AC167)</f>
        <v>9.1999999999999993</v>
      </c>
      <c r="CG167" s="34">
        <f>IF(AI167&lt;$AW$4,$AW$4,AI167)</f>
        <v>2005</v>
      </c>
      <c r="CH167" s="34">
        <f>IF(AJ167&lt;$AW$4,$AW$4,AJ167)</f>
        <v>2005</v>
      </c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</row>
    <row r="168" spans="1:114" s="13" customFormat="1" ht="15" customHeight="1" x14ac:dyDescent="0.3">
      <c r="A168" s="235"/>
      <c r="B168" s="218"/>
      <c r="C168" s="226">
        <v>2</v>
      </c>
      <c r="D168" s="119" t="s">
        <v>1155</v>
      </c>
      <c r="E168" s="104" t="s">
        <v>2501</v>
      </c>
      <c r="F168" s="400" t="str">
        <f ca="1">IF(BC168&lt;2025, "Extinct&lt; 6Yrs?",BA168)</f>
        <v>Widespread</v>
      </c>
      <c r="G168" s="369" t="s">
        <v>525</v>
      </c>
      <c r="H168" s="369" t="s">
        <v>4028</v>
      </c>
      <c r="I168" s="370" t="s">
        <v>3148</v>
      </c>
      <c r="J168" s="371" t="s">
        <v>3818</v>
      </c>
      <c r="K168" s="371" t="s">
        <v>122</v>
      </c>
      <c r="L168" s="106" t="s">
        <v>1916</v>
      </c>
      <c r="M168" s="111" t="s">
        <v>4248</v>
      </c>
      <c r="N168" s="111" t="s">
        <v>5141</v>
      </c>
      <c r="O168" s="111" t="s">
        <v>6040</v>
      </c>
      <c r="P168" s="105" t="s">
        <v>403</v>
      </c>
      <c r="Q168" s="104" t="s">
        <v>2552</v>
      </c>
      <c r="R168" s="161" t="s">
        <v>2497</v>
      </c>
      <c r="S168" s="114" t="s">
        <v>2495</v>
      </c>
      <c r="T168" s="133" t="str">
        <f>IF(R168="Bogs Ponds Streams","20",IF(R168="Coastal Areas","26",IF(R168="Meadows Dry Open","10",IF(R168="Forest &amp; Understory","14",IF(R168="Moist Open","12",IF(R168="Moist Shady","10",IF(R168="Sub-Alpine Slopes","0")))))))</f>
        <v>12</v>
      </c>
      <c r="U168" s="133" t="str">
        <f>IF(R168="Bogs Ponds Streams","52",IF(R168="Coastal Areas","51",IF(R168="Meadows Dry Open","53",IF(R168="Forest &amp; Understory","52",IF(R168="Moist Open","50",IF(R168="Moist Shady","46",IF(R168="Sub-Alpine Slopes","40")))))))</f>
        <v>50</v>
      </c>
      <c r="V168" s="133" t="str">
        <f>IF(R168="Bogs Ponds Streams","84",IF(R168="Coastal Areas","76",IF(R168="Meadows Dry Open","96", IF(R168="Forest &amp; Understory","90", IF(R168="Moist Open","88", IF(R168="Moist Shady","82", IF(R168="Sub-Alpine Slopes","80")))))))</f>
        <v>88</v>
      </c>
      <c r="W168" s="104">
        <v>20</v>
      </c>
      <c r="X168" s="104">
        <v>0</v>
      </c>
      <c r="Y168" s="104">
        <v>3500</v>
      </c>
      <c r="Z168" s="104" t="s">
        <v>2519</v>
      </c>
      <c r="AA168" s="104" t="s">
        <v>2518</v>
      </c>
      <c r="AB168" s="104">
        <v>6.8</v>
      </c>
      <c r="AC168" s="107">
        <f>C168+AK168+(0.1)*AL168</f>
        <v>36.200000000000003</v>
      </c>
      <c r="AD168" s="113">
        <v>36</v>
      </c>
      <c r="AE168" s="104">
        <v>5</v>
      </c>
      <c r="AF168" s="104">
        <v>5</v>
      </c>
      <c r="AG168" s="104">
        <v>1900</v>
      </c>
      <c r="AH168" s="113">
        <v>0</v>
      </c>
      <c r="AI168" s="104">
        <f>AJ168</f>
        <v>2001</v>
      </c>
      <c r="AJ168" s="108">
        <v>2001</v>
      </c>
      <c r="AK168" s="108">
        <v>32</v>
      </c>
      <c r="AL168" s="108">
        <v>22</v>
      </c>
      <c r="AM168" s="109">
        <v>5</v>
      </c>
      <c r="AN168" s="109">
        <v>1</v>
      </c>
      <c r="AO168" s="110">
        <v>0</v>
      </c>
      <c r="AP168" s="109">
        <v>0</v>
      </c>
      <c r="AQ168" s="109">
        <v>0</v>
      </c>
      <c r="AR168" s="109">
        <v>0</v>
      </c>
      <c r="AS168" s="110">
        <v>0</v>
      </c>
      <c r="AT168" s="109">
        <v>0</v>
      </c>
      <c r="AU168" s="109">
        <v>0</v>
      </c>
      <c r="AV168" s="109">
        <v>0</v>
      </c>
      <c r="AW168" s="110">
        <v>0</v>
      </c>
      <c r="AX168" s="109">
        <v>0</v>
      </c>
      <c r="AY168" s="233"/>
      <c r="AZ168" s="4"/>
      <c r="BA168" s="35" t="str">
        <f>IF(OR(S168="North America",S168="Rocky Mountain"), "Widespread",BC168)</f>
        <v>Widespread</v>
      </c>
      <c r="BB168" s="4"/>
      <c r="BC168" s="35" t="str">
        <f ca="1">IF(BE168&gt;2046, "Abundant",BE168)</f>
        <v>Abundant</v>
      </c>
      <c r="BD168" s="4"/>
      <c r="BE168" s="81">
        <f ca="1">YEAR($C$13)+(BG168*80)</f>
        <v>2047.3914780748662</v>
      </c>
      <c r="BF168" s="4"/>
      <c r="BG168" s="137">
        <f ca="1">BH168*$BH$14</f>
        <v>0.35489347593582887</v>
      </c>
      <c r="BH168" s="137">
        <f ca="1">(((BJ168+BK168+BM168+BN168)/4)*$BM$11)+(((BP168+BQ168)/2)*$BQ$11)+(((BU168+BV168+BW168)/3)*$BU$11)+(((BY168+BZ168+CA168+CB168+CC168)/5)*$CA$11)</f>
        <v>0.35489347593582887</v>
      </c>
      <c r="BI168" s="4"/>
      <c r="BJ168" s="33">
        <f>AP168/(AM168+AO168)</f>
        <v>0</v>
      </c>
      <c r="BK168" s="33">
        <f>(AN168+AO168)/(AM168+AO168)</f>
        <v>0.2</v>
      </c>
      <c r="BL168" s="4"/>
      <c r="BM168" s="127">
        <f>CF168/102</f>
        <v>0.35490196078431374</v>
      </c>
      <c r="BN168" s="127">
        <f>C168/2</f>
        <v>1</v>
      </c>
      <c r="BO168" s="4"/>
      <c r="BP168" s="127">
        <f>(AK168)/($AW$6)</f>
        <v>0.32323232323232326</v>
      </c>
      <c r="BQ168" s="127">
        <f ca="1">(CH168-$AW$4)/((YEAR($C$13))-$AW$4)</f>
        <v>0</v>
      </c>
      <c r="BR168" s="127">
        <f>(AL168)/($AW$6)</f>
        <v>0.22222222222222221</v>
      </c>
      <c r="BS168" s="4"/>
      <c r="BT168" s="127"/>
      <c r="BU168" s="127">
        <f ca="1">(CG168-$AW$4)/((YEAR($C$13))-$AW$4)</f>
        <v>0</v>
      </c>
      <c r="BV168" s="127">
        <f>AE168/5</f>
        <v>1</v>
      </c>
      <c r="BW168" s="127">
        <f>AF168/5</f>
        <v>1</v>
      </c>
      <c r="BX168" s="4"/>
      <c r="BY168" s="148" t="str">
        <f>IF(E168="A",".98",IF(E168="B",".99",IF(E168="C","1.00",IF(E168="D","1.00" ))))</f>
        <v>1.00</v>
      </c>
      <c r="BZ168" s="127">
        <f>(CE168+7)/10</f>
        <v>1</v>
      </c>
      <c r="CA168" s="76" t="str">
        <f>IF(D168="Fern",".97",IF(D168="Grass",".99",IF(D168="Herb",".97",IF(D168="Shrub",".99",IF(D168="Tree","1.00",IF(D168="Vine",".98"))))))</f>
        <v>.99</v>
      </c>
      <c r="CB168" s="149" t="str">
        <f>IF(R168="Bogs Ponds Streams",".96", IF(R168="Coastal Areas",".97",IF(R168="Meadows Dry Open",".96",IF(R168="Forest &amp; Understory",".97",IF(R168="Moist Open",".98",IF(R168="Moist Shady",".96",IF(R168="Sub-Alpine","1.0")))))))</f>
        <v>.98</v>
      </c>
      <c r="CC168" s="76" t="str">
        <f>IF(S168="Local Endemic",".50",IF(S168="Regional Endemic",".70",IF(S168="Cascadia",".90",IF(S168="Rocky Mountain",".95",IF(S168="North America",".99")))))</f>
        <v>.99</v>
      </c>
      <c r="CD168" s="4"/>
      <c r="CE168" s="21">
        <f>IF(W168&gt;3,3,W168)</f>
        <v>3</v>
      </c>
      <c r="CF168" s="21">
        <f>IF(AC168&gt;102,102,AC168)</f>
        <v>36.200000000000003</v>
      </c>
      <c r="CG168" s="34">
        <f>IF(AI168&lt;$AW$4,$AW$4,AI168)</f>
        <v>2004</v>
      </c>
      <c r="CH168" s="34">
        <f>IF(AJ168&lt;$AW$4,$AW$4,AJ168)</f>
        <v>2004</v>
      </c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</row>
    <row r="169" spans="1:114" s="13" customFormat="1" ht="15" customHeight="1" x14ac:dyDescent="0.3">
      <c r="A169" s="235"/>
      <c r="B169" s="218"/>
      <c r="C169" s="375">
        <v>1</v>
      </c>
      <c r="D169" s="95" t="s">
        <v>1155</v>
      </c>
      <c r="E169" s="67" t="s">
        <v>2501</v>
      </c>
      <c r="F169" s="403">
        <f ca="1">IF(BC169&lt;2025, "Extinct&lt; 6Yrs?",BA169)</f>
        <v>2034.5140249554368</v>
      </c>
      <c r="G169" s="376" t="s">
        <v>525</v>
      </c>
      <c r="H169" s="376" t="s">
        <v>4028</v>
      </c>
      <c r="I169" s="380" t="s">
        <v>3040</v>
      </c>
      <c r="J169" s="378" t="s">
        <v>3647</v>
      </c>
      <c r="K169" s="378" t="s">
        <v>329</v>
      </c>
      <c r="L169" s="63" t="s">
        <v>1917</v>
      </c>
      <c r="M169" s="64" t="s">
        <v>4249</v>
      </c>
      <c r="N169" s="64" t="s">
        <v>5142</v>
      </c>
      <c r="O169" s="64" t="s">
        <v>6041</v>
      </c>
      <c r="P169" s="61" t="s">
        <v>403</v>
      </c>
      <c r="Q169" s="67" t="s">
        <v>2552</v>
      </c>
      <c r="R169" s="61" t="s">
        <v>2498</v>
      </c>
      <c r="S169" s="61" t="s">
        <v>2309</v>
      </c>
      <c r="T169" s="134" t="str">
        <f>IF(R169="Bogs Ponds Streams","20",IF(R169="Coastal Areas","26",IF(R169="Meadows Dry Open","10",IF(R169="Forest &amp; Understory","14",IF(R169="Moist Open","12",IF(R169="Moist Shady","10",IF(R169="Sub-Alpine Slopes","0")))))))</f>
        <v>10</v>
      </c>
      <c r="U169" s="134" t="str">
        <f>IF(R169="Bogs Ponds Streams","52",IF(R169="Coastal Areas","51",IF(R169="Meadows Dry Open","53",IF(R169="Forest &amp; Understory","52",IF(R169="Moist Open","50",IF(R169="Moist Shady","46",IF(R169="Sub-Alpine Slopes","40")))))))</f>
        <v>46</v>
      </c>
      <c r="V169" s="134" t="str">
        <f>IF(R169="Bogs Ponds Streams","84",IF(R169="Coastal Areas","76",IF(R169="Meadows Dry Open","96", IF(R169="Forest &amp; Understory","90", IF(R169="Moist Open","88", IF(R169="Moist Shady","82", IF(R169="Sub-Alpine Slopes","80")))))))</f>
        <v>82</v>
      </c>
      <c r="W169" s="67">
        <v>20</v>
      </c>
      <c r="X169" s="67">
        <v>0</v>
      </c>
      <c r="Y169" s="67">
        <v>3500</v>
      </c>
      <c r="Z169" s="67" t="s">
        <v>2519</v>
      </c>
      <c r="AA169" s="67" t="s">
        <v>2518</v>
      </c>
      <c r="AB169" s="67">
        <v>6.8</v>
      </c>
      <c r="AC169" s="85">
        <f>C169+AK169+(0.1)*AL169</f>
        <v>16.5</v>
      </c>
      <c r="AD169" s="78">
        <v>36</v>
      </c>
      <c r="AE169" s="67">
        <v>5</v>
      </c>
      <c r="AF169" s="67">
        <v>5</v>
      </c>
      <c r="AG169" s="67">
        <v>1900</v>
      </c>
      <c r="AH169" s="78">
        <v>0</v>
      </c>
      <c r="AI169" s="67">
        <f>AJ169</f>
        <v>1992</v>
      </c>
      <c r="AJ169" s="69">
        <v>1992</v>
      </c>
      <c r="AK169" s="69">
        <v>15</v>
      </c>
      <c r="AL169" s="69">
        <v>5</v>
      </c>
      <c r="AM169" s="70">
        <v>5</v>
      </c>
      <c r="AN169" s="70">
        <v>0</v>
      </c>
      <c r="AO169" s="86">
        <v>0</v>
      </c>
      <c r="AP169" s="70">
        <v>0</v>
      </c>
      <c r="AQ169" s="70">
        <v>0</v>
      </c>
      <c r="AR169" s="70">
        <v>0</v>
      </c>
      <c r="AS169" s="86">
        <v>0</v>
      </c>
      <c r="AT169" s="70">
        <v>0</v>
      </c>
      <c r="AU169" s="70">
        <v>0</v>
      </c>
      <c r="AV169" s="70">
        <v>0</v>
      </c>
      <c r="AW169" s="86">
        <v>0</v>
      </c>
      <c r="AX169" s="70">
        <v>0</v>
      </c>
      <c r="AY169" s="233"/>
      <c r="AZ169" s="4"/>
      <c r="BA169" s="35">
        <f ca="1">IF(OR(S169="North America",S169="Rocky Mountain"), "Widespread",BC169)</f>
        <v>2034.5140249554368</v>
      </c>
      <c r="BB169" s="4"/>
      <c r="BC169" s="35">
        <f ca="1">IF(BE169&gt;2046, "Abundant",BE169)</f>
        <v>2034.5140249554368</v>
      </c>
      <c r="BD169" s="4"/>
      <c r="BE169" s="81">
        <f ca="1">YEAR($C$13)+(BG169*80)</f>
        <v>2034.5140249554368</v>
      </c>
      <c r="BF169" s="4"/>
      <c r="BG169" s="137">
        <f ca="1">BH169*$BH$14</f>
        <v>0.19392531194295898</v>
      </c>
      <c r="BH169" s="137">
        <f ca="1">(((BJ169+BK169+BM169+BN169)/4)*$BM$11)+(((BP169+BQ169)/2)*$BQ$11)+(((BU169+BV169+BW169)/3)*$BU$11)+(((BY169+BZ169+CA169+CB169+CC169)/5)*$CA$11)</f>
        <v>0.19392531194295898</v>
      </c>
      <c r="BI169" s="4"/>
      <c r="BJ169" s="33">
        <f>AP169/(AM169+AO169)</f>
        <v>0</v>
      </c>
      <c r="BK169" s="33">
        <f>(AN169+AO169)/(AM169+AO169)</f>
        <v>0</v>
      </c>
      <c r="BL169" s="4"/>
      <c r="BM169" s="127">
        <f>CF169/102</f>
        <v>0.16176470588235295</v>
      </c>
      <c r="BN169" s="127">
        <f>C169/2</f>
        <v>0.5</v>
      </c>
      <c r="BO169" s="4"/>
      <c r="BP169" s="127">
        <f>(AK169)/($AW$6)</f>
        <v>0.15151515151515152</v>
      </c>
      <c r="BQ169" s="127">
        <f ca="1">(CH169-$AW$4)/((YEAR($C$13))-$AW$4)</f>
        <v>0</v>
      </c>
      <c r="BR169" s="127">
        <f>(AL169)/($AW$6)</f>
        <v>5.0505050505050504E-2</v>
      </c>
      <c r="BS169" s="4"/>
      <c r="BT169" s="127"/>
      <c r="BU169" s="127">
        <f ca="1">(CG169-$AW$4)/((YEAR($C$13))-$AW$4)</f>
        <v>0</v>
      </c>
      <c r="BV169" s="127">
        <f>AE169/5</f>
        <v>1</v>
      </c>
      <c r="BW169" s="127">
        <f>AF169/5</f>
        <v>1</v>
      </c>
      <c r="BX169" s="4"/>
      <c r="BY169" s="148" t="str">
        <f>IF(E169="A",".98",IF(E169="B",".99",IF(E169="C","1.00",IF(E169="D","1.00" ))))</f>
        <v>1.00</v>
      </c>
      <c r="BZ169" s="127">
        <f>(CE169+7)/10</f>
        <v>1</v>
      </c>
      <c r="CA169" s="76" t="str">
        <f>IF(D169="Fern",".97",IF(D169="Grass",".99",IF(D169="Herb",".97",IF(D169="Shrub",".99",IF(D169="Tree","1.00",IF(D169="Vine",".98"))))))</f>
        <v>.99</v>
      </c>
      <c r="CB169" s="149" t="str">
        <f>IF(R169="Bogs Ponds Streams",".96", IF(R169="Coastal Areas",".97",IF(R169="Meadows Dry Open",".96",IF(R169="Forest &amp; Understory",".97",IF(R169="Moist Open",".98",IF(R169="Moist Shady",".96",IF(R169="Sub-Alpine","1.0")))))))</f>
        <v>.96</v>
      </c>
      <c r="CC169" s="76" t="str">
        <f>IF(S169="Local Endemic",".50",IF(S169="Regional Endemic",".70",IF(S169="Cascadia",".90",IF(S169="Rocky Mountain",".95",IF(S169="North America",".99")))))</f>
        <v>.70</v>
      </c>
      <c r="CD169" s="4"/>
      <c r="CE169" s="21">
        <f>IF(W169&gt;3,3,W169)</f>
        <v>3</v>
      </c>
      <c r="CF169" s="21">
        <f>IF(AC169&gt;102,102,AC169)</f>
        <v>16.5</v>
      </c>
      <c r="CG169" s="34">
        <f>IF(AI169&lt;$AW$4,$AW$4,AI169)</f>
        <v>2004</v>
      </c>
      <c r="CH169" s="34">
        <f>IF(AJ169&lt;$AW$4,$AW$4,AJ169)</f>
        <v>2004</v>
      </c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</row>
    <row r="170" spans="1:114" s="13" customFormat="1" ht="15" customHeight="1" x14ac:dyDescent="0.3">
      <c r="A170" s="235"/>
      <c r="B170" s="218"/>
      <c r="C170" s="226">
        <v>2</v>
      </c>
      <c r="D170" s="119" t="s">
        <v>1155</v>
      </c>
      <c r="E170" s="104" t="s">
        <v>2501</v>
      </c>
      <c r="F170" s="400" t="str">
        <f ca="1">IF(BC170&lt;2025, "Extinct&lt; 6Yrs?",BA170)</f>
        <v>Widespread</v>
      </c>
      <c r="G170" s="369" t="s">
        <v>525</v>
      </c>
      <c r="H170" s="369" t="s">
        <v>4028</v>
      </c>
      <c r="I170" s="372" t="s">
        <v>2609</v>
      </c>
      <c r="J170" s="371" t="s">
        <v>3817</v>
      </c>
      <c r="K170" s="371" t="s">
        <v>2748</v>
      </c>
      <c r="L170" s="114" t="s">
        <v>1918</v>
      </c>
      <c r="M170" s="111" t="s">
        <v>4250</v>
      </c>
      <c r="N170" s="111" t="s">
        <v>5143</v>
      </c>
      <c r="O170" s="111" t="s">
        <v>6042</v>
      </c>
      <c r="P170" s="105" t="s">
        <v>403</v>
      </c>
      <c r="Q170" s="104" t="s">
        <v>2552</v>
      </c>
      <c r="R170" s="105" t="s">
        <v>2498</v>
      </c>
      <c r="S170" s="105" t="s">
        <v>2495</v>
      </c>
      <c r="T170" s="133" t="str">
        <f>IF(R170="Bogs Ponds Streams","20",IF(R170="Coastal Areas","26",IF(R170="Meadows Dry Open","10",IF(R170="Forest &amp; Understory","14",IF(R170="Moist Open","12",IF(R170="Moist Shady","10",IF(R170="Sub-Alpine Slopes","0")))))))</f>
        <v>10</v>
      </c>
      <c r="U170" s="133" t="str">
        <f>IF(R170="Bogs Ponds Streams","52",IF(R170="Coastal Areas","51",IF(R170="Meadows Dry Open","53",IF(R170="Forest &amp; Understory","52",IF(R170="Moist Open","50",IF(R170="Moist Shady","46",IF(R170="Sub-Alpine Slopes","40")))))))</f>
        <v>46</v>
      </c>
      <c r="V170" s="133" t="str">
        <f>IF(R170="Bogs Ponds Streams","84",IF(R170="Coastal Areas","76",IF(R170="Meadows Dry Open","96", IF(R170="Forest &amp; Understory","90", IF(R170="Moist Open","88", IF(R170="Moist Shady","82", IF(R170="Sub-Alpine Slopes","80")))))))</f>
        <v>82</v>
      </c>
      <c r="W170" s="104">
        <v>20</v>
      </c>
      <c r="X170" s="104">
        <v>0</v>
      </c>
      <c r="Y170" s="104">
        <v>3500</v>
      </c>
      <c r="Z170" s="104" t="s">
        <v>2519</v>
      </c>
      <c r="AA170" s="104" t="s">
        <v>2518</v>
      </c>
      <c r="AB170" s="104">
        <v>6.8</v>
      </c>
      <c r="AC170" s="107">
        <f>C170+AK170+(0.1)*AL170</f>
        <v>12.7</v>
      </c>
      <c r="AD170" s="113">
        <v>50</v>
      </c>
      <c r="AE170" s="104">
        <v>5</v>
      </c>
      <c r="AF170" s="104">
        <v>5</v>
      </c>
      <c r="AG170" s="104">
        <v>1900</v>
      </c>
      <c r="AH170" s="113">
        <v>0</v>
      </c>
      <c r="AI170" s="104">
        <f>AJ170</f>
        <v>1997</v>
      </c>
      <c r="AJ170" s="108">
        <v>1997</v>
      </c>
      <c r="AK170" s="108">
        <v>9</v>
      </c>
      <c r="AL170" s="108">
        <v>17</v>
      </c>
      <c r="AM170" s="109">
        <v>5</v>
      </c>
      <c r="AN170" s="109">
        <v>1</v>
      </c>
      <c r="AO170" s="110">
        <v>0</v>
      </c>
      <c r="AP170" s="109">
        <v>0</v>
      </c>
      <c r="AQ170" s="109">
        <v>0</v>
      </c>
      <c r="AR170" s="109">
        <v>0</v>
      </c>
      <c r="AS170" s="110">
        <v>0</v>
      </c>
      <c r="AT170" s="109">
        <v>0</v>
      </c>
      <c r="AU170" s="109">
        <v>0</v>
      </c>
      <c r="AV170" s="109">
        <v>0</v>
      </c>
      <c r="AW170" s="110">
        <v>0</v>
      </c>
      <c r="AX170" s="109">
        <v>0</v>
      </c>
      <c r="AY170" s="233"/>
      <c r="AZ170" s="4"/>
      <c r="BA170" s="35" t="str">
        <f>IF(OR(S170="North America",S170="Rocky Mountain"), "Widespread",BC170)</f>
        <v>Widespread</v>
      </c>
      <c r="BB170" s="4"/>
      <c r="BC170" s="35">
        <f ca="1">IF(BE170&gt;2046, "Abundant",BE170)</f>
        <v>2041.8324934046345</v>
      </c>
      <c r="BD170" s="4"/>
      <c r="BE170" s="81">
        <f ca="1">YEAR($C$13)+(BG170*80)</f>
        <v>2041.8324934046345</v>
      </c>
      <c r="BF170" s="4"/>
      <c r="BG170" s="137">
        <f ca="1">BH170*$BH$14</f>
        <v>0.28540616755793224</v>
      </c>
      <c r="BH170" s="137">
        <f ca="1">(((BJ170+BK170+BM170+BN170)/4)*$BM$11)+(((BP170+BQ170)/2)*$BQ$11)+(((BU170+BV170+BW170)/3)*$BU$11)+(((BY170+BZ170+CA170+CB170+CC170)/5)*$CA$11)</f>
        <v>0.28540616755793224</v>
      </c>
      <c r="BI170" s="4"/>
      <c r="BJ170" s="33">
        <f>AP170/(AM170+AO170)</f>
        <v>0</v>
      </c>
      <c r="BK170" s="33">
        <f>(AN170+AO170)/(AM170+AO170)</f>
        <v>0.2</v>
      </c>
      <c r="BL170" s="4"/>
      <c r="BM170" s="127">
        <f>CF170/102</f>
        <v>0.12450980392156862</v>
      </c>
      <c r="BN170" s="127">
        <f>C170/2</f>
        <v>1</v>
      </c>
      <c r="BO170" s="4"/>
      <c r="BP170" s="127">
        <f>(AK170)/($AW$6)</f>
        <v>9.0909090909090912E-2</v>
      </c>
      <c r="BQ170" s="127">
        <f ca="1">(CH170-$AW$4)/((YEAR($C$13))-$AW$4)</f>
        <v>0</v>
      </c>
      <c r="BR170" s="127">
        <f>(AL170)/($AW$6)</f>
        <v>0.17171717171717171</v>
      </c>
      <c r="BS170" s="4"/>
      <c r="BT170" s="127"/>
      <c r="BU170" s="127">
        <f ca="1">(CG170-$AW$4)/((YEAR($C$13))-$AW$4)</f>
        <v>0</v>
      </c>
      <c r="BV170" s="127">
        <f>AE170/5</f>
        <v>1</v>
      </c>
      <c r="BW170" s="127">
        <f>AF170/5</f>
        <v>1</v>
      </c>
      <c r="BX170" s="4"/>
      <c r="BY170" s="148" t="str">
        <f>IF(E170="A",".98",IF(E170="B",".99",IF(E170="C","1.00",IF(E170="D","1.00" ))))</f>
        <v>1.00</v>
      </c>
      <c r="BZ170" s="127">
        <f>(CE170+7)/10</f>
        <v>1</v>
      </c>
      <c r="CA170" s="76" t="str">
        <f>IF(D170="Fern",".97",IF(D170="Grass",".99",IF(D170="Herb",".97",IF(D170="Shrub",".99",IF(D170="Tree","1.00",IF(D170="Vine",".98"))))))</f>
        <v>.99</v>
      </c>
      <c r="CB170" s="149" t="str">
        <f>IF(R170="Bogs Ponds Streams",".96", IF(R170="Coastal Areas",".97",IF(R170="Meadows Dry Open",".96",IF(R170="Forest &amp; Understory",".97",IF(R170="Moist Open",".98",IF(R170="Moist Shady",".96",IF(R170="Sub-Alpine","1.0")))))))</f>
        <v>.96</v>
      </c>
      <c r="CC170" s="76" t="str">
        <f>IF(S170="Local Endemic",".50",IF(S170="Regional Endemic",".70",IF(S170="Cascadia",".90",IF(S170="Rocky Mountain",".95",IF(S170="North America",".99")))))</f>
        <v>.99</v>
      </c>
      <c r="CD170" s="4"/>
      <c r="CE170" s="21">
        <f>IF(W170&gt;3,3,W170)</f>
        <v>3</v>
      </c>
      <c r="CF170" s="21">
        <f>IF(AC170&gt;102,102,AC170)</f>
        <v>12.7</v>
      </c>
      <c r="CG170" s="34">
        <f>IF(AI170&lt;$AW$4,$AW$4,AI170)</f>
        <v>2004</v>
      </c>
      <c r="CH170" s="34">
        <f>IF(AJ170&lt;$AW$4,$AW$4,AJ170)</f>
        <v>2004</v>
      </c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</row>
    <row r="171" spans="1:114" s="13" customFormat="1" ht="15" customHeight="1" x14ac:dyDescent="0.3">
      <c r="A171" s="235"/>
      <c r="B171" s="218"/>
      <c r="C171" s="375">
        <v>1</v>
      </c>
      <c r="D171" s="95" t="s">
        <v>1155</v>
      </c>
      <c r="E171" s="67" t="s">
        <v>2501</v>
      </c>
      <c r="F171" s="403" t="str">
        <f ca="1">IF(BC171&lt;2025, "Extinct&lt; 6Yrs?",BA171)</f>
        <v>Widespread</v>
      </c>
      <c r="G171" s="376" t="s">
        <v>525</v>
      </c>
      <c r="H171" s="376" t="s">
        <v>4028</v>
      </c>
      <c r="I171" s="379" t="s">
        <v>2610</v>
      </c>
      <c r="J171" s="378" t="s">
        <v>4061</v>
      </c>
      <c r="K171" s="378" t="s">
        <v>1210</v>
      </c>
      <c r="L171" s="65" t="s">
        <v>1905</v>
      </c>
      <c r="M171" s="64" t="s">
        <v>4251</v>
      </c>
      <c r="N171" s="64" t="s">
        <v>5144</v>
      </c>
      <c r="O171" s="64" t="s">
        <v>6043</v>
      </c>
      <c r="P171" s="61" t="s">
        <v>403</v>
      </c>
      <c r="Q171" s="67" t="s">
        <v>2552</v>
      </c>
      <c r="R171" s="163" t="s">
        <v>2497</v>
      </c>
      <c r="S171" s="65" t="s">
        <v>2479</v>
      </c>
      <c r="T171" s="134" t="str">
        <f>IF(R171="Bogs Ponds Streams","20",IF(R171="Coastal Areas","26",IF(R171="Meadows Dry Open","10",IF(R171="Forest &amp; Understory","14",IF(R171="Moist Open","12",IF(R171="Moist Shady","10",IF(R171="Sub-Alpine Slopes","0")))))))</f>
        <v>12</v>
      </c>
      <c r="U171" s="134" t="str">
        <f>IF(R171="Bogs Ponds Streams","52",IF(R171="Coastal Areas","51",IF(R171="Meadows Dry Open","53",IF(R171="Forest &amp; Understory","52",IF(R171="Moist Open","50",IF(R171="Moist Shady","46",IF(R171="Sub-Alpine Slopes","40")))))))</f>
        <v>50</v>
      </c>
      <c r="V171" s="134" t="str">
        <f>IF(R171="Bogs Ponds Streams","84",IF(R171="Coastal Areas","76",IF(R171="Meadows Dry Open","96", IF(R171="Forest &amp; Understory","90", IF(R171="Moist Open","88", IF(R171="Moist Shady","82", IF(R171="Sub-Alpine Slopes","80")))))))</f>
        <v>88</v>
      </c>
      <c r="W171" s="67">
        <v>20</v>
      </c>
      <c r="X171" s="67">
        <v>0</v>
      </c>
      <c r="Y171" s="67">
        <v>3500</v>
      </c>
      <c r="Z171" s="67" t="s">
        <v>2519</v>
      </c>
      <c r="AA171" s="67" t="s">
        <v>2518</v>
      </c>
      <c r="AB171" s="67">
        <v>6.8</v>
      </c>
      <c r="AC171" s="85">
        <f>C171+AK171+(0.1)*AL171</f>
        <v>35.200000000000003</v>
      </c>
      <c r="AD171" s="78">
        <v>81</v>
      </c>
      <c r="AE171" s="67">
        <v>5</v>
      </c>
      <c r="AF171" s="67">
        <v>5</v>
      </c>
      <c r="AG171" s="67">
        <v>1900</v>
      </c>
      <c r="AH171" s="78">
        <v>0</v>
      </c>
      <c r="AI171" s="67">
        <f>AJ171</f>
        <v>2015</v>
      </c>
      <c r="AJ171" s="69">
        <v>2015</v>
      </c>
      <c r="AK171" s="69">
        <v>33</v>
      </c>
      <c r="AL171" s="69">
        <v>12</v>
      </c>
      <c r="AM171" s="70">
        <v>5</v>
      </c>
      <c r="AN171" s="70">
        <v>0</v>
      </c>
      <c r="AO171" s="86">
        <v>0</v>
      </c>
      <c r="AP171" s="70">
        <v>0</v>
      </c>
      <c r="AQ171" s="70">
        <v>0</v>
      </c>
      <c r="AR171" s="70">
        <v>0</v>
      </c>
      <c r="AS171" s="86">
        <v>0</v>
      </c>
      <c r="AT171" s="70">
        <v>0</v>
      </c>
      <c r="AU171" s="70">
        <v>0</v>
      </c>
      <c r="AV171" s="70">
        <v>0</v>
      </c>
      <c r="AW171" s="86">
        <v>0</v>
      </c>
      <c r="AX171" s="70">
        <v>0</v>
      </c>
      <c r="AY171" s="233"/>
      <c r="AZ171" s="4"/>
      <c r="BA171" s="35" t="str">
        <f>IF(OR(S171="North America",S171="Rocky Mountain"), "Widespread",BC171)</f>
        <v>Widespread</v>
      </c>
      <c r="BB171" s="4"/>
      <c r="BC171" s="35" t="str">
        <f ca="1">IF(BE171&gt;2046, "Abundant",BE171)</f>
        <v>Abundant</v>
      </c>
      <c r="BD171" s="4"/>
      <c r="BE171" s="81">
        <f ca="1">YEAR($C$13)+(BG171*80)</f>
        <v>2049.3466875816994</v>
      </c>
      <c r="BF171" s="4"/>
      <c r="BG171" s="137">
        <f ca="1">BH171*$BH$14</f>
        <v>0.37933359477124179</v>
      </c>
      <c r="BH171" s="137">
        <f ca="1">(((BJ171+BK171+BM171+BN171)/4)*$BM$11)+(((BP171+BQ171)/2)*$BQ$11)+(((BU171+BV171+BW171)/3)*$BU$11)+(((BY171+BZ171+CA171+CB171+CC171)/5)*$CA$11)</f>
        <v>0.37933359477124179</v>
      </c>
      <c r="BI171" s="4"/>
      <c r="BJ171" s="33">
        <f>AP171/(AM171+AO171)</f>
        <v>0</v>
      </c>
      <c r="BK171" s="33">
        <f>(AN171+AO171)/(AM171+AO171)</f>
        <v>0</v>
      </c>
      <c r="BL171" s="4"/>
      <c r="BM171" s="127">
        <f>CF171/102</f>
        <v>0.34509803921568633</v>
      </c>
      <c r="BN171" s="127">
        <f>C171/2</f>
        <v>0.5</v>
      </c>
      <c r="BO171" s="4"/>
      <c r="BP171" s="127">
        <f>(AK171)/($AW$6)</f>
        <v>0.33333333333333331</v>
      </c>
      <c r="BQ171" s="127">
        <f ca="1">(CH171-$AW$4)/((YEAR($C$13))-$AW$4)</f>
        <v>0.73333333333333328</v>
      </c>
      <c r="BR171" s="127">
        <f>(AL171)/($AW$6)</f>
        <v>0.12121212121212122</v>
      </c>
      <c r="BS171" s="4"/>
      <c r="BT171" s="127"/>
      <c r="BU171" s="127">
        <f ca="1">(CG171-$AW$4)/((YEAR($C$13))-$AW$4)</f>
        <v>0.73333333333333328</v>
      </c>
      <c r="BV171" s="127">
        <f>AE171/5</f>
        <v>1</v>
      </c>
      <c r="BW171" s="127">
        <f>AF171/5</f>
        <v>1</v>
      </c>
      <c r="BX171" s="4"/>
      <c r="BY171" s="148" t="str">
        <f>IF(E171="A",".98",IF(E171="B",".99",IF(E171="C","1.00",IF(E171="D","1.00" ))))</f>
        <v>1.00</v>
      </c>
      <c r="BZ171" s="127">
        <f>(CE171+7)/10</f>
        <v>1</v>
      </c>
      <c r="CA171" s="76" t="str">
        <f>IF(D171="Fern",".97",IF(D171="Grass",".99",IF(D171="Herb",".97",IF(D171="Shrub",".99",IF(D171="Tree","1.00",IF(D171="Vine",".98"))))))</f>
        <v>.99</v>
      </c>
      <c r="CB171" s="149" t="str">
        <f>IF(R171="Bogs Ponds Streams",".96", IF(R171="Coastal Areas",".97",IF(R171="Meadows Dry Open",".96",IF(R171="Forest &amp; Understory",".97",IF(R171="Moist Open",".98",IF(R171="Moist Shady",".96",IF(R171="Sub-Alpine","1.0")))))))</f>
        <v>.98</v>
      </c>
      <c r="CC171" s="76" t="str">
        <f>IF(S171="Local Endemic",".50",IF(S171="Regional Endemic",".70",IF(S171="Cascadia",".90",IF(S171="Rocky Mountain",".95",IF(S171="North America",".99")))))</f>
        <v>.95</v>
      </c>
      <c r="CD171" s="4"/>
      <c r="CE171" s="21">
        <f>IF(W171&gt;3,3,W171)</f>
        <v>3</v>
      </c>
      <c r="CF171" s="21">
        <f>IF(AC171&gt;102,102,AC171)</f>
        <v>35.200000000000003</v>
      </c>
      <c r="CG171" s="34">
        <f>IF(AI171&lt;$AW$4,$AW$4,AI171)</f>
        <v>2015</v>
      </c>
      <c r="CH171" s="34">
        <f>IF(AJ171&lt;$AW$4,$AW$4,AJ171)</f>
        <v>2015</v>
      </c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</row>
    <row r="172" spans="1:114" s="13" customFormat="1" ht="15" customHeight="1" x14ac:dyDescent="0.3">
      <c r="A172" s="235"/>
      <c r="B172" s="218"/>
      <c r="C172" s="226">
        <v>2</v>
      </c>
      <c r="D172" s="119" t="s">
        <v>1155</v>
      </c>
      <c r="E172" s="104" t="s">
        <v>2501</v>
      </c>
      <c r="F172" s="400" t="str">
        <f ca="1">IF(BC172&lt;2025, "Extinct&lt; 6Yrs?",BA172)</f>
        <v>Widespread</v>
      </c>
      <c r="G172" s="369" t="s">
        <v>525</v>
      </c>
      <c r="H172" s="369" t="s">
        <v>4028</v>
      </c>
      <c r="I172" s="370" t="s">
        <v>123</v>
      </c>
      <c r="J172" s="371" t="s">
        <v>3816</v>
      </c>
      <c r="K172" s="371" t="s">
        <v>892</v>
      </c>
      <c r="L172" s="106" t="s">
        <v>1919</v>
      </c>
      <c r="M172" s="111" t="s">
        <v>4252</v>
      </c>
      <c r="N172" s="111" t="s">
        <v>5145</v>
      </c>
      <c r="O172" s="111" t="s">
        <v>6044</v>
      </c>
      <c r="P172" s="105" t="s">
        <v>403</v>
      </c>
      <c r="Q172" s="104" t="s">
        <v>2552</v>
      </c>
      <c r="R172" s="161" t="s">
        <v>2497</v>
      </c>
      <c r="S172" s="114" t="s">
        <v>2495</v>
      </c>
      <c r="T172" s="133" t="str">
        <f>IF(R172="Bogs Ponds Streams","20",IF(R172="Coastal Areas","26",IF(R172="Meadows Dry Open","10",IF(R172="Forest &amp; Understory","14",IF(R172="Moist Open","12",IF(R172="Moist Shady","10",IF(R172="Sub-Alpine Slopes","0")))))))</f>
        <v>12</v>
      </c>
      <c r="U172" s="133" t="str">
        <f>IF(R172="Bogs Ponds Streams","52",IF(R172="Coastal Areas","51",IF(R172="Meadows Dry Open","53",IF(R172="Forest &amp; Understory","52",IF(R172="Moist Open","50",IF(R172="Moist Shady","46",IF(R172="Sub-Alpine Slopes","40")))))))</f>
        <v>50</v>
      </c>
      <c r="V172" s="133" t="str">
        <f>IF(R172="Bogs Ponds Streams","84",IF(R172="Coastal Areas","76",IF(R172="Meadows Dry Open","96", IF(R172="Forest &amp; Understory","90", IF(R172="Moist Open","88", IF(R172="Moist Shady","82", IF(R172="Sub-Alpine Slopes","80")))))))</f>
        <v>88</v>
      </c>
      <c r="W172" s="104">
        <v>20</v>
      </c>
      <c r="X172" s="104">
        <v>0</v>
      </c>
      <c r="Y172" s="104">
        <v>3500</v>
      </c>
      <c r="Z172" s="104" t="s">
        <v>2519</v>
      </c>
      <c r="AA172" s="104" t="s">
        <v>2518</v>
      </c>
      <c r="AB172" s="104">
        <v>6.8</v>
      </c>
      <c r="AC172" s="107">
        <f>C172+AK172+(0.1)*AL172</f>
        <v>5.6</v>
      </c>
      <c r="AD172" s="113">
        <v>45</v>
      </c>
      <c r="AE172" s="104">
        <v>5</v>
      </c>
      <c r="AF172" s="104">
        <v>5</v>
      </c>
      <c r="AG172" s="104">
        <v>1900</v>
      </c>
      <c r="AH172" s="113">
        <v>0</v>
      </c>
      <c r="AI172" s="104">
        <f>AJ172</f>
        <v>1995</v>
      </c>
      <c r="AJ172" s="108">
        <v>1995</v>
      </c>
      <c r="AK172" s="108">
        <v>3</v>
      </c>
      <c r="AL172" s="108">
        <v>6</v>
      </c>
      <c r="AM172" s="109">
        <v>5</v>
      </c>
      <c r="AN172" s="109">
        <v>1</v>
      </c>
      <c r="AO172" s="110">
        <v>0</v>
      </c>
      <c r="AP172" s="109">
        <v>0</v>
      </c>
      <c r="AQ172" s="109">
        <v>0</v>
      </c>
      <c r="AR172" s="109">
        <v>0</v>
      </c>
      <c r="AS172" s="110">
        <v>0</v>
      </c>
      <c r="AT172" s="109">
        <v>0</v>
      </c>
      <c r="AU172" s="109">
        <v>0</v>
      </c>
      <c r="AV172" s="109">
        <v>0</v>
      </c>
      <c r="AW172" s="110">
        <v>0</v>
      </c>
      <c r="AX172" s="109">
        <v>0</v>
      </c>
      <c r="AY172" s="233"/>
      <c r="AZ172" s="4"/>
      <c r="BA172" s="35" t="str">
        <f>IF(OR(S172="North America",S172="Rocky Mountain"), "Widespread",BC172)</f>
        <v>Widespread</v>
      </c>
      <c r="BB172" s="4"/>
      <c r="BC172" s="35">
        <f ca="1">IF(BE172&gt;2046, "Abundant",BE172)</f>
        <v>2040.2763265597148</v>
      </c>
      <c r="BD172" s="4"/>
      <c r="BE172" s="81">
        <f ca="1">YEAR($C$13)+(BG172*80)</f>
        <v>2040.2763265597148</v>
      </c>
      <c r="BF172" s="4"/>
      <c r="BG172" s="137">
        <f ca="1">BH172*$BH$14</f>
        <v>0.26595408199643494</v>
      </c>
      <c r="BH172" s="137">
        <f ca="1">(((BJ172+BK172+BM172+BN172)/4)*$BM$11)+(((BP172+BQ172)/2)*$BQ$11)+(((BU172+BV172+BW172)/3)*$BU$11)+(((BY172+BZ172+CA172+CB172+CC172)/5)*$CA$11)</f>
        <v>0.26595408199643494</v>
      </c>
      <c r="BI172" s="4"/>
      <c r="BJ172" s="33">
        <f>AP172/(AM172+AO172)</f>
        <v>0</v>
      </c>
      <c r="BK172" s="33">
        <f>(AN172+AO172)/(AM172+AO172)</f>
        <v>0.2</v>
      </c>
      <c r="BL172" s="4"/>
      <c r="BM172" s="127">
        <f>CF172/102</f>
        <v>5.4901960784313725E-2</v>
      </c>
      <c r="BN172" s="127">
        <f>C172/2</f>
        <v>1</v>
      </c>
      <c r="BO172" s="4"/>
      <c r="BP172" s="127">
        <f>(AK172)/($AW$6)</f>
        <v>3.0303030303030304E-2</v>
      </c>
      <c r="BQ172" s="127">
        <f ca="1">(CH172-$AW$4)/((YEAR($C$13))-$AW$4)</f>
        <v>0</v>
      </c>
      <c r="BR172" s="127">
        <f>(AL172)/($AW$6)</f>
        <v>6.0606060606060608E-2</v>
      </c>
      <c r="BS172" s="4"/>
      <c r="BT172" s="127"/>
      <c r="BU172" s="127">
        <f ca="1">(CG172-$AW$4)/((YEAR($C$13))-$AW$4)</f>
        <v>0</v>
      </c>
      <c r="BV172" s="127">
        <f>AE172/5</f>
        <v>1</v>
      </c>
      <c r="BW172" s="127">
        <f>AF172/5</f>
        <v>1</v>
      </c>
      <c r="BX172" s="4"/>
      <c r="BY172" s="148" t="str">
        <f>IF(E172="A",".98",IF(E172="B",".99",IF(E172="C","1.00",IF(E172="D","1.00" ))))</f>
        <v>1.00</v>
      </c>
      <c r="BZ172" s="127">
        <f>(CE172+7)/10</f>
        <v>1</v>
      </c>
      <c r="CA172" s="76" t="str">
        <f>IF(D172="Fern",".97",IF(D172="Grass",".99",IF(D172="Herb",".97",IF(D172="Shrub",".99",IF(D172="Tree","1.00",IF(D172="Vine",".98"))))))</f>
        <v>.99</v>
      </c>
      <c r="CB172" s="149" t="str">
        <f>IF(R172="Bogs Ponds Streams",".96", IF(R172="Coastal Areas",".97",IF(R172="Meadows Dry Open",".96",IF(R172="Forest &amp; Understory",".97",IF(R172="Moist Open",".98",IF(R172="Moist Shady",".96",IF(R172="Sub-Alpine","1.0")))))))</f>
        <v>.98</v>
      </c>
      <c r="CC172" s="76" t="str">
        <f>IF(S172="Local Endemic",".50",IF(S172="Regional Endemic",".70",IF(S172="Cascadia",".90",IF(S172="Rocky Mountain",".95",IF(S172="North America",".99")))))</f>
        <v>.99</v>
      </c>
      <c r="CD172" s="4"/>
      <c r="CE172" s="21">
        <f>IF(W172&gt;3,3,W172)</f>
        <v>3</v>
      </c>
      <c r="CF172" s="21">
        <f>IF(AC172&gt;102,102,AC172)</f>
        <v>5.6</v>
      </c>
      <c r="CG172" s="34">
        <f>IF(AI172&lt;$AW$4,$AW$4,AI172)</f>
        <v>2004</v>
      </c>
      <c r="CH172" s="34">
        <f>IF(AJ172&lt;$AW$4,$AW$4,AJ172)</f>
        <v>2004</v>
      </c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</row>
    <row r="173" spans="1:114" s="13" customFormat="1" ht="15" customHeight="1" x14ac:dyDescent="0.3">
      <c r="A173" s="235"/>
      <c r="B173" s="218"/>
      <c r="C173" s="225">
        <v>8</v>
      </c>
      <c r="D173" s="94" t="s">
        <v>1155</v>
      </c>
      <c r="E173" s="59" t="s">
        <v>2501</v>
      </c>
      <c r="F173" s="397" t="str">
        <f ca="1">IF(BC173&lt;2025, "Extinct&lt; 6Yrs?",BA173)</f>
        <v>Abundant</v>
      </c>
      <c r="G173" s="363" t="s">
        <v>525</v>
      </c>
      <c r="H173" s="363" t="s">
        <v>690</v>
      </c>
      <c r="I173" s="366" t="s">
        <v>253</v>
      </c>
      <c r="J173" s="365" t="s">
        <v>3261</v>
      </c>
      <c r="K173" s="365" t="s">
        <v>252</v>
      </c>
      <c r="L173" s="10" t="s">
        <v>1920</v>
      </c>
      <c r="M173" s="8" t="s">
        <v>4253</v>
      </c>
      <c r="N173" s="8" t="s">
        <v>5146</v>
      </c>
      <c r="O173" s="8" t="s">
        <v>6045</v>
      </c>
      <c r="P173" s="9" t="s">
        <v>403</v>
      </c>
      <c r="Q173" s="59" t="s">
        <v>2552</v>
      </c>
      <c r="R173" s="9" t="s">
        <v>2453</v>
      </c>
      <c r="S173" s="9" t="s">
        <v>2459</v>
      </c>
      <c r="T173" s="123" t="str">
        <f>IF(R173="Bogs Ponds Streams","20",IF(R173="Coastal Areas","26",IF(R173="Meadows Dry Open","10",IF(R173="Forest &amp; Understory","14",IF(R173="Moist Open","12",IF(R173="Moist Shady","10",IF(R173="Sub-Alpine Slopes","0")))))))</f>
        <v>26</v>
      </c>
      <c r="U173" s="123" t="str">
        <f>IF(R173="Bogs Ponds Streams","52",IF(R173="Coastal Areas","51",IF(R173="Meadows Dry Open","53",IF(R173="Forest &amp; Understory","52",IF(R173="Moist Open","50",IF(R173="Moist Shady","46",IF(R173="Sub-Alpine Slopes","40")))))))</f>
        <v>51</v>
      </c>
      <c r="V173" s="123" t="str">
        <f>IF(R173="Bogs Ponds Streams","84",IF(R173="Coastal Areas","76",IF(R173="Meadows Dry Open","96", IF(R173="Forest &amp; Understory","90", IF(R173="Moist Open","88", IF(R173="Moist Shady","82", IF(R173="Sub-Alpine Slopes","80")))))))</f>
        <v>76</v>
      </c>
      <c r="W173" s="59">
        <v>20</v>
      </c>
      <c r="X173" s="59">
        <v>0</v>
      </c>
      <c r="Y173" s="59">
        <v>3500</v>
      </c>
      <c r="Z173" s="59" t="s">
        <v>2519</v>
      </c>
      <c r="AA173" s="59" t="s">
        <v>2518</v>
      </c>
      <c r="AB173" s="59">
        <v>6.8</v>
      </c>
      <c r="AC173" s="45">
        <f>C173+AK173+(0.1)*AL173</f>
        <v>41</v>
      </c>
      <c r="AD173" s="77">
        <v>130</v>
      </c>
      <c r="AE173" s="59">
        <v>5</v>
      </c>
      <c r="AF173" s="59">
        <v>5</v>
      </c>
      <c r="AG173" s="59">
        <v>1900</v>
      </c>
      <c r="AH173" s="77">
        <v>0</v>
      </c>
      <c r="AI173" s="59">
        <f ca="1">AJ173</f>
        <v>2019</v>
      </c>
      <c r="AJ173" s="18">
        <f ca="1">YEAR(TODAY())</f>
        <v>2019</v>
      </c>
      <c r="AK173" s="18">
        <v>33</v>
      </c>
      <c r="AL173" s="18">
        <v>0</v>
      </c>
      <c r="AM173" s="18">
        <v>1</v>
      </c>
      <c r="AN173" s="18">
        <v>1</v>
      </c>
      <c r="AO173" s="25">
        <v>0</v>
      </c>
      <c r="AP173" s="24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233"/>
      <c r="AZ173" s="4"/>
      <c r="BA173" s="35" t="str">
        <f ca="1">IF(OR(S173="North America",S173="Rocky Mountain"), "Widespread",BC173)</f>
        <v>Abundant</v>
      </c>
      <c r="BB173" s="4"/>
      <c r="BC173" s="35" t="str">
        <f ca="1">IF(BE173&gt;2046, "Abundant",BE173)</f>
        <v>Abundant</v>
      </c>
      <c r="BD173" s="4"/>
      <c r="BE173" s="81">
        <f ca="1">YEAR($C$13)+(BG173*80)</f>
        <v>2107.7787294117647</v>
      </c>
      <c r="BF173" s="4"/>
      <c r="BG173" s="137">
        <f ca="1">BH173*$BH$14</f>
        <v>1.1097341176470588</v>
      </c>
      <c r="BH173" s="137">
        <f ca="1">(((BJ173+BK173+BM173+BN173)/4)*$BM$11)+(((BP173+BQ173)/2)*$BQ$11)+(((BU173+BV173+BW173)/3)*$BU$11)+(((BY173+BZ173+CA173+CB173+CC173)/5)*$CA$11)</f>
        <v>1.1097341176470588</v>
      </c>
      <c r="BI173" s="4"/>
      <c r="BJ173" s="33">
        <f>AP173/(AM173+AO173)</f>
        <v>0</v>
      </c>
      <c r="BK173" s="33">
        <f>(AN173+AO173)/(AM173+AO173)</f>
        <v>1</v>
      </c>
      <c r="BL173" s="4"/>
      <c r="BM173" s="127">
        <f>CF173/102</f>
        <v>0.40196078431372551</v>
      </c>
      <c r="BN173" s="127">
        <f>C173/2</f>
        <v>4</v>
      </c>
      <c r="BO173" s="4"/>
      <c r="BP173" s="127">
        <f>(AK173)/($AW$6)</f>
        <v>0.33333333333333331</v>
      </c>
      <c r="BQ173" s="127">
        <f ca="1">(CH173-$AW$4)/((YEAR($C$13))-$AW$4)</f>
        <v>1</v>
      </c>
      <c r="BR173" s="127">
        <f>(AL173)/($AW$6)</f>
        <v>0</v>
      </c>
      <c r="BS173" s="4"/>
      <c r="BT173" s="127"/>
      <c r="BU173" s="127">
        <f ca="1">(CG173-$AW$4)/((YEAR($C$13))-$AW$4)</f>
        <v>1</v>
      </c>
      <c r="BV173" s="127">
        <f>AE173/5</f>
        <v>1</v>
      </c>
      <c r="BW173" s="127">
        <f>AF173/5</f>
        <v>1</v>
      </c>
      <c r="BX173" s="4"/>
      <c r="BY173" s="148" t="str">
        <f>IF(E173="A",".98",IF(E173="B",".99",IF(E173="C","1.00",IF(E173="D","1.00" ))))</f>
        <v>1.00</v>
      </c>
      <c r="BZ173" s="127">
        <f>(CE173+7)/10</f>
        <v>1</v>
      </c>
      <c r="CA173" s="76" t="str">
        <f>IF(D173="Fern",".97",IF(D173="Grass",".99",IF(D173="Herb",".97",IF(D173="Shrub",".99",IF(D173="Tree","1.00",IF(D173="Vine",".98"))))))</f>
        <v>.99</v>
      </c>
      <c r="CB173" s="149" t="str">
        <f>IF(R173="Bogs Ponds Streams",".96", IF(R173="Coastal Areas",".97",IF(R173="Meadows Dry Open",".96",IF(R173="Forest &amp; Understory",".97",IF(R173="Moist Open",".98",IF(R173="Moist Shady",".96",IF(R173="Sub-Alpine","1.0")))))))</f>
        <v>.97</v>
      </c>
      <c r="CC173" s="76" t="str">
        <f>IF(S173="Local Endemic",".50",IF(S173="Regional Endemic",".70",IF(S173="Cascadia",".90",IF(S173="Rocky Mountain",".95",IF(S173="North America",".99")))))</f>
        <v>.90</v>
      </c>
      <c r="CD173" s="4"/>
      <c r="CE173" s="21">
        <f>IF(W173&gt;3,3,W173)</f>
        <v>3</v>
      </c>
      <c r="CF173" s="21">
        <f>IF(AC173&gt;102,102,AC173)</f>
        <v>41</v>
      </c>
      <c r="CG173" s="34">
        <f ca="1">IF(AI173&lt;$AW$4,$AW$4,AI173)</f>
        <v>2019</v>
      </c>
      <c r="CH173" s="34">
        <f ca="1">IF(AJ173&lt;$AW$4,$AW$4,AJ173)</f>
        <v>2019</v>
      </c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</row>
    <row r="174" spans="1:114" s="13" customFormat="1" ht="15" customHeight="1" x14ac:dyDescent="0.3">
      <c r="A174" s="235"/>
      <c r="B174" s="218"/>
      <c r="C174" s="375">
        <v>1</v>
      </c>
      <c r="D174" s="95" t="s">
        <v>1155</v>
      </c>
      <c r="E174" s="67" t="s">
        <v>2501</v>
      </c>
      <c r="F174" s="403" t="str">
        <f ca="1">IF(BC174&lt;2025, "Extinct&lt; 6Yrs?",BA174)</f>
        <v>Abundant</v>
      </c>
      <c r="G174" s="376" t="s">
        <v>525</v>
      </c>
      <c r="H174" s="376" t="s">
        <v>4028</v>
      </c>
      <c r="I174" s="380" t="s">
        <v>404</v>
      </c>
      <c r="J174" s="378" t="s">
        <v>3815</v>
      </c>
      <c r="K174" s="378" t="s">
        <v>893</v>
      </c>
      <c r="L174" s="63" t="s">
        <v>1921</v>
      </c>
      <c r="M174" s="64" t="s">
        <v>4254</v>
      </c>
      <c r="N174" s="64" t="s">
        <v>5147</v>
      </c>
      <c r="O174" s="64" t="s">
        <v>6046</v>
      </c>
      <c r="P174" s="61" t="s">
        <v>403</v>
      </c>
      <c r="Q174" s="67" t="s">
        <v>2552</v>
      </c>
      <c r="R174" s="61" t="s">
        <v>2453</v>
      </c>
      <c r="S174" s="61" t="s">
        <v>2309</v>
      </c>
      <c r="T174" s="134" t="str">
        <f>IF(R174="Bogs Ponds Streams","20",IF(R174="Coastal Areas","26",IF(R174="Meadows Dry Open","10",IF(R174="Forest &amp; Understory","14",IF(R174="Moist Open","12",IF(R174="Moist Shady","10",IF(R174="Sub-Alpine Slopes","0")))))))</f>
        <v>26</v>
      </c>
      <c r="U174" s="134" t="str">
        <f>IF(R174="Bogs Ponds Streams","52",IF(R174="Coastal Areas","51",IF(R174="Meadows Dry Open","53",IF(R174="Forest &amp; Understory","52",IF(R174="Moist Open","50",IF(R174="Moist Shady","46",IF(R174="Sub-Alpine Slopes","40")))))))</f>
        <v>51</v>
      </c>
      <c r="V174" s="134" t="str">
        <f>IF(R174="Bogs Ponds Streams","84",IF(R174="Coastal Areas","76",IF(R174="Meadows Dry Open","96", IF(R174="Forest &amp; Understory","90", IF(R174="Moist Open","88", IF(R174="Moist Shady","82", IF(R174="Sub-Alpine Slopes","80")))))))</f>
        <v>76</v>
      </c>
      <c r="W174" s="67">
        <v>20</v>
      </c>
      <c r="X174" s="67">
        <v>0</v>
      </c>
      <c r="Y174" s="67">
        <v>3500</v>
      </c>
      <c r="Z174" s="67" t="s">
        <v>2519</v>
      </c>
      <c r="AA174" s="67" t="s">
        <v>2518</v>
      </c>
      <c r="AB174" s="67">
        <v>6.8</v>
      </c>
      <c r="AC174" s="85">
        <f>C174+AK174+(0.1)*AL174</f>
        <v>13</v>
      </c>
      <c r="AD174" s="78">
        <v>71</v>
      </c>
      <c r="AE174" s="68">
        <v>2</v>
      </c>
      <c r="AF174" s="68">
        <v>5</v>
      </c>
      <c r="AG174" s="78">
        <v>1897</v>
      </c>
      <c r="AH174" s="78">
        <v>0</v>
      </c>
      <c r="AI174" s="78">
        <v>2011</v>
      </c>
      <c r="AJ174" s="69">
        <f ca="1">YEAR(TODAY())</f>
        <v>2019</v>
      </c>
      <c r="AK174" s="69">
        <v>12</v>
      </c>
      <c r="AL174" s="69">
        <v>0</v>
      </c>
      <c r="AM174" s="69">
        <v>1</v>
      </c>
      <c r="AN174" s="69">
        <v>1</v>
      </c>
      <c r="AO174" s="70">
        <v>3</v>
      </c>
      <c r="AP174" s="70">
        <v>3</v>
      </c>
      <c r="AQ174" s="69">
        <v>0</v>
      </c>
      <c r="AR174" s="69">
        <v>0</v>
      </c>
      <c r="AS174" s="69">
        <v>0</v>
      </c>
      <c r="AT174" s="69">
        <v>0</v>
      </c>
      <c r="AU174" s="69">
        <v>0</v>
      </c>
      <c r="AV174" s="69">
        <v>0</v>
      </c>
      <c r="AW174" s="69">
        <v>0</v>
      </c>
      <c r="AX174" s="69">
        <v>0</v>
      </c>
      <c r="AY174" s="233"/>
      <c r="AZ174" s="4"/>
      <c r="BA174" s="35" t="str">
        <f ca="1">IF(OR(S174="North America",S174="Rocky Mountain"), "Widespread",BC174)</f>
        <v>Abundant</v>
      </c>
      <c r="BB174" s="4"/>
      <c r="BC174" s="35" t="str">
        <f ca="1">IF(BE174&gt;2046, "Abundant",BE174)</f>
        <v>Abundant</v>
      </c>
      <c r="BD174" s="4"/>
      <c r="BE174" s="81">
        <f ca="1">YEAR($C$13)+(BG174*80)</f>
        <v>2066.4573794414737</v>
      </c>
      <c r="BF174" s="4"/>
      <c r="BG174" s="137">
        <f ca="1">BH174*$BH$14</f>
        <v>0.59321724301841949</v>
      </c>
      <c r="BH174" s="137">
        <f ca="1">(((BJ174+BK174+BM174+BN174)/4)*$BM$11)+(((BP174+BQ174)/2)*$BQ$11)+(((BU174+BV174+BW174)/3)*$BU$11)+(((BY174+BZ174+CA174+CB174+CC174)/5)*$CA$11)</f>
        <v>0.59321724301841949</v>
      </c>
      <c r="BI174" s="4"/>
      <c r="BJ174" s="33">
        <f>AP174/(AM174+AO174)</f>
        <v>0.75</v>
      </c>
      <c r="BK174" s="33">
        <f>(AN174+AO174)/(AM174+AO174)</f>
        <v>1</v>
      </c>
      <c r="BL174" s="4"/>
      <c r="BM174" s="127">
        <f>CF174/102</f>
        <v>0.12745098039215685</v>
      </c>
      <c r="BN174" s="127">
        <f>C174/2</f>
        <v>0.5</v>
      </c>
      <c r="BO174" s="4"/>
      <c r="BP174" s="127">
        <f>(AK174)/($AW$6)</f>
        <v>0.12121212121212122</v>
      </c>
      <c r="BQ174" s="127">
        <f ca="1">(CH174-$AW$4)/((YEAR($C$13))-$AW$4)</f>
        <v>1</v>
      </c>
      <c r="BR174" s="127">
        <f>(AL174)/($AW$6)</f>
        <v>0</v>
      </c>
      <c r="BS174" s="4"/>
      <c r="BT174" s="127"/>
      <c r="BU174" s="127">
        <f ca="1">(CG174-$AW$4)/((YEAR($C$13))-$AW$4)</f>
        <v>0.46666666666666667</v>
      </c>
      <c r="BV174" s="127">
        <f>AE174/5</f>
        <v>0.4</v>
      </c>
      <c r="BW174" s="127">
        <f>AF174/5</f>
        <v>1</v>
      </c>
      <c r="BX174" s="4"/>
      <c r="BY174" s="148" t="str">
        <f>IF(E174="A",".98",IF(E174="B",".99",IF(E174="C","1.00",IF(E174="D","1.00" ))))</f>
        <v>1.00</v>
      </c>
      <c r="BZ174" s="127">
        <f>(CE174+7)/10</f>
        <v>1</v>
      </c>
      <c r="CA174" s="76" t="str">
        <f>IF(D174="Fern",".97",IF(D174="Grass",".99",IF(D174="Herb",".97",IF(D174="Shrub",".99",IF(D174="Tree","1.00",IF(D174="Vine",".98"))))))</f>
        <v>.99</v>
      </c>
      <c r="CB174" s="149" t="str">
        <f>IF(R174="Bogs Ponds Streams",".96", IF(R174="Coastal Areas",".97",IF(R174="Meadows Dry Open",".96",IF(R174="Forest &amp; Understory",".97",IF(R174="Moist Open",".98",IF(R174="Moist Shady",".96",IF(R174="Sub-Alpine","1.0")))))))</f>
        <v>.97</v>
      </c>
      <c r="CC174" s="76" t="str">
        <f>IF(S174="Local Endemic",".50",IF(S174="Regional Endemic",".70",IF(S174="Cascadia",".90",IF(S174="Rocky Mountain",".95",IF(S174="North America",".99")))))</f>
        <v>.70</v>
      </c>
      <c r="CD174" s="4"/>
      <c r="CE174" s="21">
        <f>IF(W174&gt;3,3,W174)</f>
        <v>3</v>
      </c>
      <c r="CF174" s="21">
        <f>IF(AC174&gt;102,102,AC174)</f>
        <v>13</v>
      </c>
      <c r="CG174" s="34">
        <f>IF(AI174&lt;$AW$4,$AW$4,AI174)</f>
        <v>2011</v>
      </c>
      <c r="CH174" s="34">
        <f ca="1">IF(AJ174&lt;$AW$4,$AW$4,AJ174)</f>
        <v>2019</v>
      </c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</row>
    <row r="175" spans="1:114" s="13" customFormat="1" ht="15" customHeight="1" x14ac:dyDescent="0.3">
      <c r="A175" s="235"/>
      <c r="B175" s="218"/>
      <c r="C175" s="225">
        <v>8</v>
      </c>
      <c r="D175" s="94" t="s">
        <v>1155</v>
      </c>
      <c r="E175" s="59" t="s">
        <v>2501</v>
      </c>
      <c r="F175" s="397" t="str">
        <f ca="1">IF(BC175&lt;2025, "Extinct&lt; 6Yrs?",BA175)</f>
        <v>Abundant</v>
      </c>
      <c r="G175" s="363" t="s">
        <v>525</v>
      </c>
      <c r="H175" s="363" t="s">
        <v>690</v>
      </c>
      <c r="I175" s="364" t="s">
        <v>1173</v>
      </c>
      <c r="J175" s="365" t="s">
        <v>3262</v>
      </c>
      <c r="K175" s="365" t="s">
        <v>1172</v>
      </c>
      <c r="L175" s="17" t="s">
        <v>1922</v>
      </c>
      <c r="M175" s="8" t="s">
        <v>4255</v>
      </c>
      <c r="N175" s="8" t="s">
        <v>5148</v>
      </c>
      <c r="O175" s="8" t="s">
        <v>6047</v>
      </c>
      <c r="P175" s="9" t="s">
        <v>403</v>
      </c>
      <c r="Q175" s="59" t="s">
        <v>2552</v>
      </c>
      <c r="R175" s="160" t="s">
        <v>2497</v>
      </c>
      <c r="S175" s="17" t="s">
        <v>2459</v>
      </c>
      <c r="T175" s="123" t="str">
        <f>IF(R175="Bogs Ponds Streams","20",IF(R175="Coastal Areas","26",IF(R175="Meadows Dry Open","10",IF(R175="Forest &amp; Understory","14",IF(R175="Moist Open","12",IF(R175="Moist Shady","10",IF(R175="Sub-Alpine Slopes","0")))))))</f>
        <v>12</v>
      </c>
      <c r="U175" s="123" t="str">
        <f>IF(R175="Bogs Ponds Streams","52",IF(R175="Coastal Areas","51",IF(R175="Meadows Dry Open","53",IF(R175="Forest &amp; Understory","52",IF(R175="Moist Open","50",IF(R175="Moist Shady","46",IF(R175="Sub-Alpine Slopes","40")))))))</f>
        <v>50</v>
      </c>
      <c r="V175" s="123" t="str">
        <f>IF(R175="Bogs Ponds Streams","84",IF(R175="Coastal Areas","76",IF(R175="Meadows Dry Open","96", IF(R175="Forest &amp; Understory","90", IF(R175="Moist Open","88", IF(R175="Moist Shady","82", IF(R175="Sub-Alpine Slopes","80")))))))</f>
        <v>88</v>
      </c>
      <c r="W175" s="59">
        <v>20</v>
      </c>
      <c r="X175" s="59">
        <v>0</v>
      </c>
      <c r="Y175" s="59">
        <v>3500</v>
      </c>
      <c r="Z175" s="59" t="s">
        <v>2519</v>
      </c>
      <c r="AA175" s="59" t="s">
        <v>2518</v>
      </c>
      <c r="AB175" s="59">
        <v>6.8</v>
      </c>
      <c r="AC175" s="45">
        <f>C175+AK175+(0.1)*AL175</f>
        <v>20.2</v>
      </c>
      <c r="AD175" s="77">
        <v>126</v>
      </c>
      <c r="AE175" s="59">
        <v>5</v>
      </c>
      <c r="AF175" s="59">
        <v>5</v>
      </c>
      <c r="AG175" s="59">
        <v>1900</v>
      </c>
      <c r="AH175" s="77">
        <v>0</v>
      </c>
      <c r="AI175" s="59">
        <f ca="1">AJ175</f>
        <v>2019</v>
      </c>
      <c r="AJ175" s="18">
        <f ca="1">YEAR(TODAY())</f>
        <v>2019</v>
      </c>
      <c r="AK175" s="18">
        <v>10</v>
      </c>
      <c r="AL175" s="18">
        <v>22</v>
      </c>
      <c r="AM175" s="18">
        <v>1</v>
      </c>
      <c r="AN175" s="18">
        <v>1</v>
      </c>
      <c r="AO175" s="25">
        <v>0</v>
      </c>
      <c r="AP175" s="24">
        <v>0</v>
      </c>
      <c r="AQ175" s="18">
        <v>0</v>
      </c>
      <c r="AR175" s="18">
        <v>0</v>
      </c>
      <c r="AS175" s="18">
        <v>0</v>
      </c>
      <c r="AT175" s="18">
        <v>0</v>
      </c>
      <c r="AU175" s="18">
        <v>0</v>
      </c>
      <c r="AV175" s="18">
        <v>0</v>
      </c>
      <c r="AW175" s="18">
        <v>0</v>
      </c>
      <c r="AX175" s="18">
        <v>0</v>
      </c>
      <c r="AY175" s="233"/>
      <c r="AZ175" s="4"/>
      <c r="BA175" s="35" t="str">
        <f ca="1">IF(OR(S175="North America",S175="Rocky Mountain"), "Widespread",BC175)</f>
        <v>Abundant</v>
      </c>
      <c r="BB175" s="4"/>
      <c r="BC175" s="35" t="str">
        <f ca="1">IF(BE175&gt;2046, "Abundant",BE175)</f>
        <v>Abundant</v>
      </c>
      <c r="BD175" s="4"/>
      <c r="BE175" s="81">
        <f ca="1">YEAR($C$13)+(BG175*80)</f>
        <v>2102.5469918003564</v>
      </c>
      <c r="BF175" s="4"/>
      <c r="BG175" s="137">
        <f ca="1">BH175*$BH$14</f>
        <v>1.0443373975044563</v>
      </c>
      <c r="BH175" s="137">
        <f ca="1">(((BJ175+BK175+BM175+BN175)/4)*$BM$11)+(((BP175+BQ175)/2)*$BQ$11)+(((BU175+BV175+BW175)/3)*$BU$11)+(((BY175+BZ175+CA175+CB175+CC175)/5)*$CA$11)</f>
        <v>1.0443373975044563</v>
      </c>
      <c r="BI175" s="4"/>
      <c r="BJ175" s="33">
        <f>AP175/(AM175+AO175)</f>
        <v>0</v>
      </c>
      <c r="BK175" s="33">
        <f>(AN175+AO175)/(AM175+AO175)</f>
        <v>1</v>
      </c>
      <c r="BL175" s="4"/>
      <c r="BM175" s="127">
        <f>CF175/102</f>
        <v>0.1980392156862745</v>
      </c>
      <c r="BN175" s="127">
        <f>C175/2</f>
        <v>4</v>
      </c>
      <c r="BO175" s="4"/>
      <c r="BP175" s="127">
        <f>(AK175)/($AW$6)</f>
        <v>0.10101010101010101</v>
      </c>
      <c r="BQ175" s="127">
        <f ca="1">(CH175-$AW$4)/((YEAR($C$13))-$AW$4)</f>
        <v>1</v>
      </c>
      <c r="BR175" s="127">
        <f>(AL175)/($AW$6)</f>
        <v>0.22222222222222221</v>
      </c>
      <c r="BS175" s="4"/>
      <c r="BT175" s="127"/>
      <c r="BU175" s="127">
        <f ca="1">(CG175-$AW$4)/((YEAR($C$13))-$AW$4)</f>
        <v>1</v>
      </c>
      <c r="BV175" s="127">
        <f>AE175/5</f>
        <v>1</v>
      </c>
      <c r="BW175" s="127">
        <f>AF175/5</f>
        <v>1</v>
      </c>
      <c r="BX175" s="4"/>
      <c r="BY175" s="148" t="str">
        <f>IF(E175="A",".98",IF(E175="B",".99",IF(E175="C","1.00",IF(E175="D","1.00" ))))</f>
        <v>1.00</v>
      </c>
      <c r="BZ175" s="127">
        <f>(CE175+7)/10</f>
        <v>1</v>
      </c>
      <c r="CA175" s="76" t="str">
        <f>IF(D175="Fern",".97",IF(D175="Grass",".99",IF(D175="Herb",".97",IF(D175="Shrub",".99",IF(D175="Tree","1.00",IF(D175="Vine",".98"))))))</f>
        <v>.99</v>
      </c>
      <c r="CB175" s="149" t="str">
        <f>IF(R175="Bogs Ponds Streams",".96", IF(R175="Coastal Areas",".97",IF(R175="Meadows Dry Open",".96",IF(R175="Forest &amp; Understory",".97",IF(R175="Moist Open",".98",IF(R175="Moist Shady",".96",IF(R175="Sub-Alpine","1.0")))))))</f>
        <v>.98</v>
      </c>
      <c r="CC175" s="76" t="str">
        <f>IF(S175="Local Endemic",".50",IF(S175="Regional Endemic",".70",IF(S175="Cascadia",".90",IF(S175="Rocky Mountain",".95",IF(S175="North America",".99")))))</f>
        <v>.90</v>
      </c>
      <c r="CD175" s="4"/>
      <c r="CE175" s="21">
        <f>IF(W175&gt;3,3,W175)</f>
        <v>3</v>
      </c>
      <c r="CF175" s="21">
        <f>IF(AC175&gt;102,102,AC175)</f>
        <v>20.2</v>
      </c>
      <c r="CG175" s="34">
        <f ca="1">IF(AI175&lt;$AW$4,$AW$4,AI175)</f>
        <v>2019</v>
      </c>
      <c r="CH175" s="34">
        <f ca="1">IF(AJ175&lt;$AW$4,$AW$4,AJ175)</f>
        <v>2019</v>
      </c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</row>
    <row r="176" spans="1:114" s="13" customFormat="1" ht="15" customHeight="1" x14ac:dyDescent="0.3">
      <c r="A176" s="235"/>
      <c r="B176" s="218"/>
      <c r="C176" s="225">
        <v>7</v>
      </c>
      <c r="D176" s="94" t="s">
        <v>1155</v>
      </c>
      <c r="E176" s="59" t="s">
        <v>2501</v>
      </c>
      <c r="F176" s="397" t="str">
        <f ca="1">IF(BC176&lt;2025, "Extinct&lt; 6Yrs?",BA176)</f>
        <v>Abundant</v>
      </c>
      <c r="G176" s="363" t="s">
        <v>525</v>
      </c>
      <c r="H176" s="363" t="s">
        <v>680</v>
      </c>
      <c r="I176" s="366" t="s">
        <v>1352</v>
      </c>
      <c r="J176" s="365" t="s">
        <v>329</v>
      </c>
      <c r="K176" s="365" t="s">
        <v>1924</v>
      </c>
      <c r="L176" s="10" t="s">
        <v>1923</v>
      </c>
      <c r="M176" s="8" t="s">
        <v>4249</v>
      </c>
      <c r="N176" s="8" t="s">
        <v>5149</v>
      </c>
      <c r="O176" s="8" t="s">
        <v>6048</v>
      </c>
      <c r="P176" s="9" t="s">
        <v>403</v>
      </c>
      <c r="Q176" s="59" t="s">
        <v>2552</v>
      </c>
      <c r="R176" s="160" t="s">
        <v>2497</v>
      </c>
      <c r="S176" s="17" t="s">
        <v>2459</v>
      </c>
      <c r="T176" s="123" t="str">
        <f>IF(R176="Bogs Ponds Streams","20",IF(R176="Coastal Areas","26",IF(R176="Meadows Dry Open","10",IF(R176="Forest &amp; Understory","14",IF(R176="Moist Open","12",IF(R176="Moist Shady","10",IF(R176="Sub-Alpine Slopes","0")))))))</f>
        <v>12</v>
      </c>
      <c r="U176" s="123" t="str">
        <f>IF(R176="Bogs Ponds Streams","52",IF(R176="Coastal Areas","51",IF(R176="Meadows Dry Open","53",IF(R176="Forest &amp; Understory","52",IF(R176="Moist Open","50",IF(R176="Moist Shady","46",IF(R176="Sub-Alpine Slopes","40")))))))</f>
        <v>50</v>
      </c>
      <c r="V176" s="123" t="str">
        <f>IF(R176="Bogs Ponds Streams","84",IF(R176="Coastal Areas","76",IF(R176="Meadows Dry Open","96", IF(R176="Forest &amp; Understory","90", IF(R176="Moist Open","88", IF(R176="Moist Shady","82", IF(R176="Sub-Alpine Slopes","80")))))))</f>
        <v>88</v>
      </c>
      <c r="W176" s="59">
        <v>20</v>
      </c>
      <c r="X176" s="59">
        <v>0</v>
      </c>
      <c r="Y176" s="59">
        <v>3500</v>
      </c>
      <c r="Z176" s="59" t="s">
        <v>2519</v>
      </c>
      <c r="AA176" s="59" t="s">
        <v>2518</v>
      </c>
      <c r="AB176" s="59">
        <v>6.8</v>
      </c>
      <c r="AC176" s="45">
        <f>C176+AK176+(0.1)*AL176</f>
        <v>17.100000000000001</v>
      </c>
      <c r="AD176" s="77">
        <v>26</v>
      </c>
      <c r="AE176" s="59">
        <v>5</v>
      </c>
      <c r="AF176" s="59">
        <v>5</v>
      </c>
      <c r="AG176" s="59">
        <v>1900</v>
      </c>
      <c r="AH176" s="77">
        <v>0</v>
      </c>
      <c r="AI176" s="59">
        <f ca="1">AJ176</f>
        <v>2019</v>
      </c>
      <c r="AJ176" s="18">
        <f ca="1">YEAR(TODAY())</f>
        <v>2019</v>
      </c>
      <c r="AK176" s="18">
        <v>10</v>
      </c>
      <c r="AL176" s="18">
        <v>1</v>
      </c>
      <c r="AM176" s="18">
        <v>1</v>
      </c>
      <c r="AN176" s="18">
        <v>1</v>
      </c>
      <c r="AO176" s="18">
        <v>5</v>
      </c>
      <c r="AP176" s="18">
        <v>1</v>
      </c>
      <c r="AQ176" s="18">
        <v>0</v>
      </c>
      <c r="AR176" s="18">
        <v>0</v>
      </c>
      <c r="AS176" s="18">
        <v>0</v>
      </c>
      <c r="AT176" s="18">
        <v>0</v>
      </c>
      <c r="AU176" s="18">
        <v>0</v>
      </c>
      <c r="AV176" s="18">
        <v>0</v>
      </c>
      <c r="AW176" s="18">
        <v>0</v>
      </c>
      <c r="AX176" s="18">
        <v>0</v>
      </c>
      <c r="AY176" s="233"/>
      <c r="AZ176" s="4"/>
      <c r="BA176" s="35" t="str">
        <f ca="1">IF(OR(S176="North America",S176="Rocky Mountain"), "Widespread",BC176)</f>
        <v>Abundant</v>
      </c>
      <c r="BB176" s="4"/>
      <c r="BC176" s="35" t="str">
        <f ca="1">IF(BE176&gt;2046, "Abundant",BE176)</f>
        <v>Abundant</v>
      </c>
      <c r="BD176" s="4"/>
      <c r="BE176" s="81">
        <f ca="1">YEAR($C$13)+(BG176*80)</f>
        <v>2098.1822859180033</v>
      </c>
      <c r="BF176" s="4"/>
      <c r="BG176" s="137">
        <f ca="1">BH176*$BH$14</f>
        <v>0.98977857397504454</v>
      </c>
      <c r="BH176" s="137">
        <f ca="1">(((BJ176+BK176+BM176+BN176)/4)*$BM$11)+(((BP176+BQ176)/2)*$BQ$11)+(((BU176+BV176+BW176)/3)*$BU$11)+(((BY176+BZ176+CA176+CB176+CC176)/5)*$CA$11)</f>
        <v>0.98977857397504454</v>
      </c>
      <c r="BI176" s="4"/>
      <c r="BJ176" s="33">
        <f>AP176/(AM176+AO176)</f>
        <v>0.16666666666666666</v>
      </c>
      <c r="BK176" s="33">
        <f>(AN176+AO176)/(AM176+AO176)</f>
        <v>1</v>
      </c>
      <c r="BL176" s="4"/>
      <c r="BM176" s="127">
        <f>CF176/102</f>
        <v>0.16764705882352943</v>
      </c>
      <c r="BN176" s="127">
        <f>C176/2</f>
        <v>3.5</v>
      </c>
      <c r="BO176" s="4"/>
      <c r="BP176" s="127">
        <f>(AK176)/($AW$6)</f>
        <v>0.10101010101010101</v>
      </c>
      <c r="BQ176" s="127">
        <f ca="1">(CH176-$AW$4)/((YEAR($C$13))-$AW$4)</f>
        <v>1</v>
      </c>
      <c r="BR176" s="127">
        <f>(AL176)/($AW$6)</f>
        <v>1.0101010101010102E-2</v>
      </c>
      <c r="BS176" s="4"/>
      <c r="BT176" s="127"/>
      <c r="BU176" s="127">
        <f ca="1">(CG176-$AW$4)/((YEAR($C$13))-$AW$4)</f>
        <v>1</v>
      </c>
      <c r="BV176" s="127">
        <f>AE176/5</f>
        <v>1</v>
      </c>
      <c r="BW176" s="127">
        <f>AF176/5</f>
        <v>1</v>
      </c>
      <c r="BX176" s="4"/>
      <c r="BY176" s="148" t="str">
        <f>IF(E176="A",".98",IF(E176="B",".99",IF(E176="C","1.00",IF(E176="D","1.00" ))))</f>
        <v>1.00</v>
      </c>
      <c r="BZ176" s="127">
        <f>(CE176+7)/10</f>
        <v>1</v>
      </c>
      <c r="CA176" s="76" t="str">
        <f>IF(D176="Fern",".97",IF(D176="Grass",".99",IF(D176="Herb",".97",IF(D176="Shrub",".99",IF(D176="Tree","1.00",IF(D176="Vine",".98"))))))</f>
        <v>.99</v>
      </c>
      <c r="CB176" s="149" t="str">
        <f>IF(R176="Bogs Ponds Streams",".96", IF(R176="Coastal Areas",".97",IF(R176="Meadows Dry Open",".96",IF(R176="Forest &amp; Understory",".97",IF(R176="Moist Open",".98",IF(R176="Moist Shady",".96",IF(R176="Sub-Alpine","1.0")))))))</f>
        <v>.98</v>
      </c>
      <c r="CC176" s="76" t="str">
        <f>IF(S176="Local Endemic",".50",IF(S176="Regional Endemic",".70",IF(S176="Cascadia",".90",IF(S176="Rocky Mountain",".95",IF(S176="North America",".99")))))</f>
        <v>.90</v>
      </c>
      <c r="CD176" s="4"/>
      <c r="CE176" s="21">
        <f>IF(W176&gt;3,3,W176)</f>
        <v>3</v>
      </c>
      <c r="CF176" s="21">
        <f>IF(AC176&gt;102,102,AC176)</f>
        <v>17.100000000000001</v>
      </c>
      <c r="CG176" s="34">
        <f ca="1">IF(AI176&lt;$AW$4,$AW$4,AI176)</f>
        <v>2019</v>
      </c>
      <c r="CH176" s="34">
        <f ca="1">IF(AJ176&lt;$AW$4,$AW$4,AJ176)</f>
        <v>2019</v>
      </c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</row>
    <row r="177" spans="1:115" s="13" customFormat="1" ht="15" customHeight="1" x14ac:dyDescent="0.3">
      <c r="A177" s="235"/>
      <c r="B177" s="218"/>
      <c r="C177" s="225">
        <v>8</v>
      </c>
      <c r="D177" s="94" t="s">
        <v>1155</v>
      </c>
      <c r="E177" s="59" t="s">
        <v>2501</v>
      </c>
      <c r="F177" s="397" t="str">
        <f ca="1">IF(BC177&lt;2025, "Extinct&lt; 6Yrs?",BA177)</f>
        <v>Abundant</v>
      </c>
      <c r="G177" s="363" t="s">
        <v>525</v>
      </c>
      <c r="H177" s="363" t="s">
        <v>682</v>
      </c>
      <c r="I177" s="366" t="s">
        <v>729</v>
      </c>
      <c r="J177" s="365" t="s">
        <v>3263</v>
      </c>
      <c r="K177" s="365" t="s">
        <v>407</v>
      </c>
      <c r="L177" s="10" t="s">
        <v>1925</v>
      </c>
      <c r="M177" s="8" t="s">
        <v>4256</v>
      </c>
      <c r="N177" s="8" t="s">
        <v>5150</v>
      </c>
      <c r="O177" s="8" t="s">
        <v>6049</v>
      </c>
      <c r="P177" s="9" t="s">
        <v>403</v>
      </c>
      <c r="Q177" s="59" t="s">
        <v>2552</v>
      </c>
      <c r="R177" s="160" t="s">
        <v>2497</v>
      </c>
      <c r="S177" s="17" t="s">
        <v>2459</v>
      </c>
      <c r="T177" s="123" t="str">
        <f>IF(R177="Bogs Ponds Streams","20",IF(R177="Coastal Areas","26",IF(R177="Meadows Dry Open","10",IF(R177="Forest &amp; Understory","14",IF(R177="Moist Open","12",IF(R177="Moist Shady","10",IF(R177="Sub-Alpine Slopes","0")))))))</f>
        <v>12</v>
      </c>
      <c r="U177" s="123" t="str">
        <f>IF(R177="Bogs Ponds Streams","52",IF(R177="Coastal Areas","51",IF(R177="Meadows Dry Open","53",IF(R177="Forest &amp; Understory","52",IF(R177="Moist Open","50",IF(R177="Moist Shady","46",IF(R177="Sub-Alpine Slopes","40")))))))</f>
        <v>50</v>
      </c>
      <c r="V177" s="123" t="str">
        <f>IF(R177="Bogs Ponds Streams","84",IF(R177="Coastal Areas","76",IF(R177="Meadows Dry Open","96", IF(R177="Forest &amp; Understory","90", IF(R177="Moist Open","88", IF(R177="Moist Shady","82", IF(R177="Sub-Alpine Slopes","80")))))))</f>
        <v>88</v>
      </c>
      <c r="W177" s="59">
        <v>20</v>
      </c>
      <c r="X177" s="59">
        <v>0</v>
      </c>
      <c r="Y177" s="59">
        <v>3500</v>
      </c>
      <c r="Z177" s="59" t="s">
        <v>2519</v>
      </c>
      <c r="AA177" s="59" t="s">
        <v>2518</v>
      </c>
      <c r="AB177" s="59">
        <v>6.8</v>
      </c>
      <c r="AC177" s="45">
        <f>C177+AK177+(0.1)*AL177</f>
        <v>52.2</v>
      </c>
      <c r="AD177" s="77">
        <v>114</v>
      </c>
      <c r="AE177" s="59">
        <v>5</v>
      </c>
      <c r="AF177" s="59">
        <v>5</v>
      </c>
      <c r="AG177" s="59">
        <v>1900</v>
      </c>
      <c r="AH177" s="77">
        <v>0</v>
      </c>
      <c r="AI177" s="59">
        <f ca="1">AJ177</f>
        <v>2019</v>
      </c>
      <c r="AJ177" s="18">
        <f ca="1">YEAR(TODAY())</f>
        <v>2019</v>
      </c>
      <c r="AK177" s="18">
        <v>44</v>
      </c>
      <c r="AL177" s="18">
        <v>2</v>
      </c>
      <c r="AM177" s="18">
        <v>1</v>
      </c>
      <c r="AN177" s="18">
        <v>1</v>
      </c>
      <c r="AO177" s="25">
        <v>0</v>
      </c>
      <c r="AP177" s="24">
        <v>0</v>
      </c>
      <c r="AQ177" s="18">
        <v>0</v>
      </c>
      <c r="AR177" s="18">
        <v>0</v>
      </c>
      <c r="AS177" s="18">
        <v>0</v>
      </c>
      <c r="AT177" s="18">
        <v>0</v>
      </c>
      <c r="AU177" s="18">
        <v>0</v>
      </c>
      <c r="AV177" s="18">
        <v>0</v>
      </c>
      <c r="AW177" s="18">
        <v>0</v>
      </c>
      <c r="AX177" s="18">
        <v>0</v>
      </c>
      <c r="AY177" s="233"/>
      <c r="AZ177" s="4"/>
      <c r="BA177" s="35" t="str">
        <f ca="1">IF(OR(S177="North America",S177="Rocky Mountain"), "Widespread",BC177)</f>
        <v>Abundant</v>
      </c>
      <c r="BB177" s="4"/>
      <c r="BC177" s="35" t="str">
        <f ca="1">IF(BE177&gt;2046, "Abundant",BE177)</f>
        <v>Abundant</v>
      </c>
      <c r="BD177" s="4"/>
      <c r="BE177" s="81">
        <f ca="1">YEAR($C$13)+(BG177*80)</f>
        <v>2110.4329098039216</v>
      </c>
      <c r="BF177" s="4"/>
      <c r="BG177" s="137">
        <f ca="1">BH177*$BH$14</f>
        <v>1.1429113725490196</v>
      </c>
      <c r="BH177" s="137">
        <f ca="1">(((BJ177+BK177+BM177+BN177)/4)*$BM$11)+(((BP177+BQ177)/2)*$BQ$11)+(((BU177+BV177+BW177)/3)*$BU$11)+(((BY177+BZ177+CA177+CB177+CC177)/5)*$CA$11)</f>
        <v>1.1429113725490196</v>
      </c>
      <c r="BI177" s="4"/>
      <c r="BJ177" s="33">
        <f>AP177/(AM177+AO177)</f>
        <v>0</v>
      </c>
      <c r="BK177" s="33">
        <f>(AN177+AO177)/(AM177+AO177)</f>
        <v>1</v>
      </c>
      <c r="BL177" s="4"/>
      <c r="BM177" s="127">
        <f>CF177/102</f>
        <v>0.51176470588235301</v>
      </c>
      <c r="BN177" s="127">
        <f>C177/2</f>
        <v>4</v>
      </c>
      <c r="BO177" s="4"/>
      <c r="BP177" s="127">
        <f>(AK177)/($AW$6)</f>
        <v>0.44444444444444442</v>
      </c>
      <c r="BQ177" s="127">
        <f ca="1">(CH177-$AW$4)/((YEAR($C$13))-$AW$4)</f>
        <v>1</v>
      </c>
      <c r="BR177" s="127">
        <f>(AL177)/($AW$6)</f>
        <v>2.0202020202020204E-2</v>
      </c>
      <c r="BS177" s="4"/>
      <c r="BT177" s="127"/>
      <c r="BU177" s="127">
        <f ca="1">(CG177-$AW$4)/((YEAR($C$13))-$AW$4)</f>
        <v>1</v>
      </c>
      <c r="BV177" s="127">
        <f>AE177/5</f>
        <v>1</v>
      </c>
      <c r="BW177" s="127">
        <f>AF177/5</f>
        <v>1</v>
      </c>
      <c r="BX177" s="4"/>
      <c r="BY177" s="148" t="str">
        <f>IF(E177="A",".98",IF(E177="B",".99",IF(E177="C","1.00",IF(E177="D","1.00" ))))</f>
        <v>1.00</v>
      </c>
      <c r="BZ177" s="127">
        <f>(CE177+7)/10</f>
        <v>1</v>
      </c>
      <c r="CA177" s="76" t="str">
        <f>IF(D177="Fern",".97",IF(D177="Grass",".99",IF(D177="Herb",".97",IF(D177="Shrub",".99",IF(D177="Tree","1.00",IF(D177="Vine",".98"))))))</f>
        <v>.99</v>
      </c>
      <c r="CB177" s="149" t="str">
        <f>IF(R177="Bogs Ponds Streams",".96", IF(R177="Coastal Areas",".97",IF(R177="Meadows Dry Open",".96",IF(R177="Forest &amp; Understory",".97",IF(R177="Moist Open",".98",IF(R177="Moist Shady",".96",IF(R177="Sub-Alpine","1.0")))))))</f>
        <v>.98</v>
      </c>
      <c r="CC177" s="76" t="str">
        <f>IF(S177="Local Endemic",".50",IF(S177="Regional Endemic",".70",IF(S177="Cascadia",".90",IF(S177="Rocky Mountain",".95",IF(S177="North America",".99")))))</f>
        <v>.90</v>
      </c>
      <c r="CD177" s="4"/>
      <c r="CE177" s="21">
        <f>IF(W177&gt;3,3,W177)</f>
        <v>3</v>
      </c>
      <c r="CF177" s="21">
        <f>IF(AC177&gt;102,102,AC177)</f>
        <v>52.2</v>
      </c>
      <c r="CG177" s="34">
        <f ca="1">IF(AI177&lt;$AW$4,$AW$4,AI177)</f>
        <v>2019</v>
      </c>
      <c r="CH177" s="34">
        <f ca="1">IF(AJ177&lt;$AW$4,$AW$4,AJ177)</f>
        <v>2019</v>
      </c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</row>
    <row r="178" spans="1:115" ht="15" customHeight="1" x14ac:dyDescent="0.3">
      <c r="A178" s="235"/>
      <c r="B178" s="218"/>
      <c r="C178" s="225">
        <v>8</v>
      </c>
      <c r="D178" s="94" t="s">
        <v>1155</v>
      </c>
      <c r="E178" s="59" t="s">
        <v>2501</v>
      </c>
      <c r="F178" s="397" t="str">
        <f ca="1">IF(BC178&lt;2025, "Extinct&lt; 6Yrs?",BA178)</f>
        <v>Widespread</v>
      </c>
      <c r="G178" s="363" t="s">
        <v>525</v>
      </c>
      <c r="H178" s="363" t="s">
        <v>691</v>
      </c>
      <c r="I178" s="366" t="s">
        <v>254</v>
      </c>
      <c r="J178" s="365" t="s">
        <v>3264</v>
      </c>
      <c r="K178" s="365" t="s">
        <v>894</v>
      </c>
      <c r="L178" s="10" t="s">
        <v>1926</v>
      </c>
      <c r="M178" s="8" t="s">
        <v>4257</v>
      </c>
      <c r="N178" s="8" t="s">
        <v>5151</v>
      </c>
      <c r="O178" s="8" t="s">
        <v>6050</v>
      </c>
      <c r="P178" s="9" t="s">
        <v>403</v>
      </c>
      <c r="Q178" s="59" t="s">
        <v>2552</v>
      </c>
      <c r="R178" s="160" t="s">
        <v>2497</v>
      </c>
      <c r="S178" s="159" t="s">
        <v>2479</v>
      </c>
      <c r="T178" s="123" t="str">
        <f>IF(R178="Bogs Ponds Streams","20",IF(R178="Coastal Areas","26",IF(R178="Meadows Dry Open","10",IF(R178="Forest &amp; Understory","14",IF(R178="Moist Open","12",IF(R178="Moist Shady","10",IF(R178="Sub-Alpine Slopes","0")))))))</f>
        <v>12</v>
      </c>
      <c r="U178" s="123" t="str">
        <f>IF(R178="Bogs Ponds Streams","52",IF(R178="Coastal Areas","51",IF(R178="Meadows Dry Open","53",IF(R178="Forest &amp; Understory","52",IF(R178="Moist Open","50",IF(R178="Moist Shady","46",IF(R178="Sub-Alpine Slopes","40")))))))</f>
        <v>50</v>
      </c>
      <c r="V178" s="123" t="str">
        <f>IF(R178="Bogs Ponds Streams","84",IF(R178="Coastal Areas","76",IF(R178="Meadows Dry Open","96", IF(R178="Forest &amp; Understory","90", IF(R178="Moist Open","88", IF(R178="Moist Shady","82", IF(R178="Sub-Alpine Slopes","80")))))))</f>
        <v>88</v>
      </c>
      <c r="W178" s="59">
        <v>20</v>
      </c>
      <c r="X178" s="59">
        <v>0</v>
      </c>
      <c r="Y178" s="59">
        <v>3500</v>
      </c>
      <c r="Z178" s="59" t="s">
        <v>2519</v>
      </c>
      <c r="AA178" s="59" t="s">
        <v>2518</v>
      </c>
      <c r="AB178" s="59">
        <v>6.8</v>
      </c>
      <c r="AC178" s="45">
        <f>C178+AK178+(0.1)*AL178</f>
        <v>33.299999999999997</v>
      </c>
      <c r="AD178" s="77">
        <v>197</v>
      </c>
      <c r="AE178" s="59">
        <v>5</v>
      </c>
      <c r="AF178" s="59">
        <v>5</v>
      </c>
      <c r="AG178" s="59">
        <v>1900</v>
      </c>
      <c r="AH178" s="77">
        <v>0</v>
      </c>
      <c r="AI178" s="59">
        <f ca="1">AJ178</f>
        <v>2019</v>
      </c>
      <c r="AJ178" s="18">
        <f ca="1">YEAR(TODAY())</f>
        <v>2019</v>
      </c>
      <c r="AK178" s="18">
        <v>22</v>
      </c>
      <c r="AL178" s="18">
        <v>33</v>
      </c>
      <c r="AM178" s="18">
        <v>1</v>
      </c>
      <c r="AN178" s="18">
        <v>1</v>
      </c>
      <c r="AO178" s="25">
        <v>0</v>
      </c>
      <c r="AP178" s="24">
        <v>0</v>
      </c>
      <c r="AQ178" s="18">
        <v>0</v>
      </c>
      <c r="AR178" s="18">
        <v>0</v>
      </c>
      <c r="AS178" s="18">
        <v>0</v>
      </c>
      <c r="AT178" s="18">
        <v>0</v>
      </c>
      <c r="AU178" s="18">
        <v>0</v>
      </c>
      <c r="AV178" s="18">
        <v>0</v>
      </c>
      <c r="AW178" s="18">
        <v>0</v>
      </c>
      <c r="AX178" s="18">
        <v>0</v>
      </c>
      <c r="AY178" s="233"/>
      <c r="AZ178" s="4"/>
      <c r="BA178" s="35" t="str">
        <f>IF(OR(S178="North America",S178="Rocky Mountain"), "Widespread",BC178)</f>
        <v>Widespread</v>
      </c>
      <c r="BB178" s="4"/>
      <c r="BC178" s="35" t="str">
        <f ca="1">IF(BE178&gt;2046, "Abundant",BE178)</f>
        <v>Abundant</v>
      </c>
      <c r="BD178" s="4"/>
      <c r="BE178" s="81">
        <f ca="1">YEAR($C$13)+(BG178*80)</f>
        <v>2105.5587137254902</v>
      </c>
      <c r="BF178" s="4"/>
      <c r="BG178" s="137">
        <f ca="1">BH178*$BH$14</f>
        <v>1.0819839215686273</v>
      </c>
      <c r="BH178" s="137">
        <f ca="1">(((BJ178+BK178+BM178+BN178)/4)*$BM$11)+(((BP178+BQ178)/2)*$BQ$11)+(((BU178+BV178+BW178)/3)*$BU$11)+(((BY178+BZ178+CA178+CB178+CC178)/5)*$CA$11)</f>
        <v>1.0819839215686273</v>
      </c>
      <c r="BI178" s="4"/>
      <c r="BJ178" s="33">
        <f>AP178/(AM178+AO178)</f>
        <v>0</v>
      </c>
      <c r="BK178" s="33">
        <f>(AN178+AO178)/(AM178+AO178)</f>
        <v>1</v>
      </c>
      <c r="BL178" s="4"/>
      <c r="BM178" s="127">
        <f>CF178/102</f>
        <v>0.32647058823529407</v>
      </c>
      <c r="BN178" s="127">
        <f>C178/2</f>
        <v>4</v>
      </c>
      <c r="BO178" s="4"/>
      <c r="BP178" s="127">
        <f>(AK178)/($AW$6)</f>
        <v>0.22222222222222221</v>
      </c>
      <c r="BQ178" s="127">
        <f ca="1">(CH178-$AW$4)/((YEAR($C$13))-$AW$4)</f>
        <v>1</v>
      </c>
      <c r="BR178" s="127">
        <f>(AL178)/($AW$6)</f>
        <v>0.33333333333333331</v>
      </c>
      <c r="BS178" s="4"/>
      <c r="BT178" s="127"/>
      <c r="BU178" s="127">
        <f ca="1">(CG178-$AW$4)/((YEAR($C$13))-$AW$4)</f>
        <v>1</v>
      </c>
      <c r="BV178" s="127">
        <f>AE178/5</f>
        <v>1</v>
      </c>
      <c r="BW178" s="127">
        <f>AF178/5</f>
        <v>1</v>
      </c>
      <c r="BX178" s="4"/>
      <c r="BY178" s="148" t="str">
        <f>IF(E178="A",".98",IF(E178="B",".99",IF(E178="C","1.00",IF(E178="D","1.00" ))))</f>
        <v>1.00</v>
      </c>
      <c r="BZ178" s="127">
        <f>(CE178+7)/10</f>
        <v>1</v>
      </c>
      <c r="CA178" s="76" t="str">
        <f>IF(D178="Fern",".97",IF(D178="Grass",".99",IF(D178="Herb",".97",IF(D178="Shrub",".99",IF(D178="Tree","1.00",IF(D178="Vine",".98"))))))</f>
        <v>.99</v>
      </c>
      <c r="CB178" s="149" t="str">
        <f>IF(R178="Bogs Ponds Streams",".96", IF(R178="Coastal Areas",".97",IF(R178="Meadows Dry Open",".96",IF(R178="Forest &amp; Understory",".97",IF(R178="Moist Open",".98",IF(R178="Moist Shady",".96",IF(R178="Sub-Alpine","1.0")))))))</f>
        <v>.98</v>
      </c>
      <c r="CC178" s="76" t="str">
        <f>IF(S178="Local Endemic",".50",IF(S178="Regional Endemic",".70",IF(S178="Cascadia",".90",IF(S178="Rocky Mountain",".95",IF(S178="North America",".99")))))</f>
        <v>.95</v>
      </c>
      <c r="CD178" s="4"/>
      <c r="CE178" s="21">
        <f>IF(W178&gt;3,3,W178)</f>
        <v>3</v>
      </c>
      <c r="CF178" s="21">
        <f>IF(AC178&gt;102,102,AC178)</f>
        <v>33.299999999999997</v>
      </c>
      <c r="CG178" s="34">
        <f ca="1">IF(AI178&lt;$AW$4,$AW$4,AI178)</f>
        <v>2019</v>
      </c>
      <c r="CH178" s="34">
        <f ca="1">IF(AJ178&lt;$AW$4,$AW$4,AJ178)</f>
        <v>2019</v>
      </c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13"/>
    </row>
    <row r="179" spans="1:115" s="13" customFormat="1" ht="15" customHeight="1" x14ac:dyDescent="0.3">
      <c r="A179" s="235"/>
      <c r="B179" s="218"/>
      <c r="C179" s="226">
        <v>2</v>
      </c>
      <c r="D179" s="119" t="s">
        <v>1155</v>
      </c>
      <c r="E179" s="104" t="s">
        <v>2501</v>
      </c>
      <c r="F179" s="400" t="str">
        <f ca="1">IF(BC179&lt;2025, "Extinct&lt; 6Yrs?",BA179)</f>
        <v>Abundant</v>
      </c>
      <c r="G179" s="369" t="s">
        <v>525</v>
      </c>
      <c r="H179" s="369" t="s">
        <v>4028</v>
      </c>
      <c r="I179" s="372" t="s">
        <v>2611</v>
      </c>
      <c r="J179" s="371" t="s">
        <v>3814</v>
      </c>
      <c r="K179" s="371" t="s">
        <v>895</v>
      </c>
      <c r="L179" s="114" t="s">
        <v>1927</v>
      </c>
      <c r="M179" s="111" t="s">
        <v>4258</v>
      </c>
      <c r="N179" s="111" t="s">
        <v>5152</v>
      </c>
      <c r="O179" s="111" t="s">
        <v>6051</v>
      </c>
      <c r="P179" s="105" t="s">
        <v>403</v>
      </c>
      <c r="Q179" s="104" t="s">
        <v>2552</v>
      </c>
      <c r="R179" s="105" t="s">
        <v>2453</v>
      </c>
      <c r="S179" s="105" t="s">
        <v>2459</v>
      </c>
      <c r="T179" s="133" t="str">
        <f>IF(R179="Bogs Ponds Streams","20",IF(R179="Coastal Areas","26",IF(R179="Meadows Dry Open","10",IF(R179="Forest &amp; Understory","14",IF(R179="Moist Open","12",IF(R179="Moist Shady","10",IF(R179="Sub-Alpine Slopes","0")))))))</f>
        <v>26</v>
      </c>
      <c r="U179" s="133" t="str">
        <f>IF(R179="Bogs Ponds Streams","52",IF(R179="Coastal Areas","51",IF(R179="Meadows Dry Open","53",IF(R179="Forest &amp; Understory","52",IF(R179="Moist Open","50",IF(R179="Moist Shady","46",IF(R179="Sub-Alpine Slopes","40")))))))</f>
        <v>51</v>
      </c>
      <c r="V179" s="133" t="str">
        <f>IF(R179="Bogs Ponds Streams","84",IF(R179="Coastal Areas","76",IF(R179="Meadows Dry Open","96", IF(R179="Forest &amp; Understory","90", IF(R179="Moist Open","88", IF(R179="Moist Shady","82", IF(R179="Sub-Alpine Slopes","80")))))))</f>
        <v>76</v>
      </c>
      <c r="W179" s="104">
        <v>20</v>
      </c>
      <c r="X179" s="104">
        <v>0</v>
      </c>
      <c r="Y179" s="104">
        <v>3500</v>
      </c>
      <c r="Z179" s="104" t="s">
        <v>2519</v>
      </c>
      <c r="AA179" s="104" t="s">
        <v>2518</v>
      </c>
      <c r="AB179" s="104">
        <v>6.8</v>
      </c>
      <c r="AC179" s="107">
        <f>C179+AK179+(0.1)*AL179</f>
        <v>9.1999999999999993</v>
      </c>
      <c r="AD179" s="113">
        <v>22</v>
      </c>
      <c r="AE179" s="104">
        <v>5</v>
      </c>
      <c r="AF179" s="104">
        <v>5</v>
      </c>
      <c r="AG179" s="104">
        <v>1900</v>
      </c>
      <c r="AH179" s="113">
        <v>0</v>
      </c>
      <c r="AI179" s="104">
        <f ca="1">AJ179</f>
        <v>2019</v>
      </c>
      <c r="AJ179" s="108">
        <f ca="1">YEAR(TODAY())</f>
        <v>2019</v>
      </c>
      <c r="AK179" s="108">
        <v>7</v>
      </c>
      <c r="AL179" s="108">
        <v>2</v>
      </c>
      <c r="AM179" s="108">
        <v>1</v>
      </c>
      <c r="AN179" s="108">
        <v>1</v>
      </c>
      <c r="AO179" s="108">
        <v>5</v>
      </c>
      <c r="AP179" s="108">
        <v>1</v>
      </c>
      <c r="AQ179" s="108">
        <v>0</v>
      </c>
      <c r="AR179" s="108">
        <v>0</v>
      </c>
      <c r="AS179" s="108">
        <v>0</v>
      </c>
      <c r="AT179" s="108">
        <v>0</v>
      </c>
      <c r="AU179" s="108">
        <v>0</v>
      </c>
      <c r="AV179" s="108">
        <v>0</v>
      </c>
      <c r="AW179" s="108">
        <v>0</v>
      </c>
      <c r="AX179" s="108">
        <v>0</v>
      </c>
      <c r="AY179" s="233"/>
      <c r="AZ179" s="4"/>
      <c r="BA179" s="35" t="str">
        <f ca="1">IF(OR(S179="North America",S179="Rocky Mountain"), "Widespread",BC179)</f>
        <v>Abundant</v>
      </c>
      <c r="BB179" s="4"/>
      <c r="BC179" s="35" t="str">
        <f ca="1">IF(BE179&gt;2046, "Abundant",BE179)</f>
        <v>Abundant</v>
      </c>
      <c r="BD179" s="4"/>
      <c r="BE179" s="81">
        <f ca="1">YEAR($C$13)+(BG179*80)</f>
        <v>2066.8860377896613</v>
      </c>
      <c r="BF179" s="4"/>
      <c r="BG179" s="137">
        <f ca="1">BH179*$BH$14</f>
        <v>0.59857547237076647</v>
      </c>
      <c r="BH179" s="137">
        <f ca="1">(((BJ179+BK179+BM179+BN179)/4)*$BM$11)+(((BP179+BQ179)/2)*$BQ$11)+(((BU179+BV179+BW179)/3)*$BU$11)+(((BY179+BZ179+CA179+CB179+CC179)/5)*$CA$11)</f>
        <v>0.59857547237076647</v>
      </c>
      <c r="BI179" s="4"/>
      <c r="BJ179" s="33">
        <f>AP179/(AM179+AO179)</f>
        <v>0.16666666666666666</v>
      </c>
      <c r="BK179" s="33">
        <f>(AN179+AO179)/(AM179+AO179)</f>
        <v>1</v>
      </c>
      <c r="BL179" s="4"/>
      <c r="BM179" s="127">
        <f>CF179/102</f>
        <v>9.0196078431372548E-2</v>
      </c>
      <c r="BN179" s="127">
        <f>C179/2</f>
        <v>1</v>
      </c>
      <c r="BO179" s="4"/>
      <c r="BP179" s="127">
        <f>(AK179)/($AW$6)</f>
        <v>7.0707070707070704E-2</v>
      </c>
      <c r="BQ179" s="127">
        <f ca="1">(CH179-$AW$4)/((YEAR($C$13))-$AW$4)</f>
        <v>1</v>
      </c>
      <c r="BR179" s="127">
        <f>(AL179)/($AW$6)</f>
        <v>2.0202020202020204E-2</v>
      </c>
      <c r="BS179" s="4"/>
      <c r="BT179" s="127"/>
      <c r="BU179" s="127">
        <f ca="1">(CG179-$AW$4)/((YEAR($C$13))-$AW$4)</f>
        <v>1</v>
      </c>
      <c r="BV179" s="127">
        <f>AE179/5</f>
        <v>1</v>
      </c>
      <c r="BW179" s="127">
        <f>AF179/5</f>
        <v>1</v>
      </c>
      <c r="BX179" s="4"/>
      <c r="BY179" s="148" t="str">
        <f>IF(E179="A",".98",IF(E179="B",".99",IF(E179="C","1.00",IF(E179="D","1.00" ))))</f>
        <v>1.00</v>
      </c>
      <c r="BZ179" s="127">
        <f>(CE179+7)/10</f>
        <v>1</v>
      </c>
      <c r="CA179" s="76" t="str">
        <f>IF(D179="Fern",".97",IF(D179="Grass",".99",IF(D179="Herb",".97",IF(D179="Shrub",".99",IF(D179="Tree","1.00",IF(D179="Vine",".98"))))))</f>
        <v>.99</v>
      </c>
      <c r="CB179" s="149" t="str">
        <f>IF(R179="Bogs Ponds Streams",".96", IF(R179="Coastal Areas",".97",IF(R179="Meadows Dry Open",".96",IF(R179="Forest &amp; Understory",".97",IF(R179="Moist Open",".98",IF(R179="Moist Shady",".96",IF(R179="Sub-Alpine","1.0")))))))</f>
        <v>.97</v>
      </c>
      <c r="CC179" s="76" t="str">
        <f>IF(S179="Local Endemic",".50",IF(S179="Regional Endemic",".70",IF(S179="Cascadia",".90",IF(S179="Rocky Mountain",".95",IF(S179="North America",".99")))))</f>
        <v>.90</v>
      </c>
      <c r="CD179" s="4"/>
      <c r="CE179" s="21">
        <f>IF(W179&gt;3,3,W179)</f>
        <v>3</v>
      </c>
      <c r="CF179" s="21">
        <f>IF(AC179&gt;102,102,AC179)</f>
        <v>9.1999999999999993</v>
      </c>
      <c r="CG179" s="34">
        <f ca="1">IF(AI179&lt;$AW$4,$AW$4,AI179)</f>
        <v>2019</v>
      </c>
      <c r="CH179" s="34">
        <f ca="1">IF(AJ179&lt;$AW$4,$AW$4,AJ179)</f>
        <v>2019</v>
      </c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</row>
    <row r="180" spans="1:115" s="13" customFormat="1" ht="15" customHeight="1" x14ac:dyDescent="0.3">
      <c r="A180" s="235"/>
      <c r="B180" s="218"/>
      <c r="C180" s="226">
        <v>2</v>
      </c>
      <c r="D180" s="119" t="s">
        <v>1155</v>
      </c>
      <c r="E180" s="104" t="s">
        <v>2501</v>
      </c>
      <c r="F180" s="400" t="str">
        <f ca="1">IF(BC180&lt;2025, "Extinct&lt; 6Yrs?",BA180)</f>
        <v>Widespread</v>
      </c>
      <c r="G180" s="369" t="s">
        <v>525</v>
      </c>
      <c r="H180" s="369" t="s">
        <v>4028</v>
      </c>
      <c r="I180" s="370" t="s">
        <v>516</v>
      </c>
      <c r="J180" s="374" t="s">
        <v>3813</v>
      </c>
      <c r="K180" s="371" t="s">
        <v>515</v>
      </c>
      <c r="L180" s="106" t="s">
        <v>1928</v>
      </c>
      <c r="M180" s="111" t="s">
        <v>4259</v>
      </c>
      <c r="N180" s="111" t="s">
        <v>5153</v>
      </c>
      <c r="O180" s="111" t="s">
        <v>6052</v>
      </c>
      <c r="P180" s="105" t="s">
        <v>403</v>
      </c>
      <c r="Q180" s="104" t="s">
        <v>2552</v>
      </c>
      <c r="R180" s="161" t="s">
        <v>2497</v>
      </c>
      <c r="S180" s="162" t="s">
        <v>2495</v>
      </c>
      <c r="T180" s="133" t="str">
        <f>IF(R180="Bogs Ponds Streams","20",IF(R180="Coastal Areas","26",IF(R180="Meadows Dry Open","10",IF(R180="Forest &amp; Understory","14",IF(R180="Moist Open","12",IF(R180="Moist Shady","10",IF(R180="Sub-Alpine Slopes","0")))))))</f>
        <v>12</v>
      </c>
      <c r="U180" s="133" t="str">
        <f>IF(R180="Bogs Ponds Streams","52",IF(R180="Coastal Areas","51",IF(R180="Meadows Dry Open","53",IF(R180="Forest &amp; Understory","52",IF(R180="Moist Open","50",IF(R180="Moist Shady","46",IF(R180="Sub-Alpine Slopes","40")))))))</f>
        <v>50</v>
      </c>
      <c r="V180" s="133" t="str">
        <f>IF(R180="Bogs Ponds Streams","84",IF(R180="Coastal Areas","76",IF(R180="Meadows Dry Open","96", IF(R180="Forest &amp; Understory","90", IF(R180="Moist Open","88", IF(R180="Moist Shady","82", IF(R180="Sub-Alpine Slopes","80")))))))</f>
        <v>88</v>
      </c>
      <c r="W180" s="104">
        <v>20</v>
      </c>
      <c r="X180" s="104">
        <v>0</v>
      </c>
      <c r="Y180" s="104">
        <v>3500</v>
      </c>
      <c r="Z180" s="104" t="s">
        <v>2519</v>
      </c>
      <c r="AA180" s="104" t="s">
        <v>2518</v>
      </c>
      <c r="AB180" s="104">
        <v>6.8</v>
      </c>
      <c r="AC180" s="107">
        <f>C180+AK180+(0.1)*AL180</f>
        <v>7</v>
      </c>
      <c r="AD180" s="113">
        <v>26</v>
      </c>
      <c r="AE180" s="112">
        <v>3</v>
      </c>
      <c r="AF180" s="112">
        <v>5</v>
      </c>
      <c r="AG180" s="113">
        <v>1892</v>
      </c>
      <c r="AH180" s="113">
        <v>0</v>
      </c>
      <c r="AI180" s="113">
        <v>2013</v>
      </c>
      <c r="AJ180" s="108">
        <v>2018</v>
      </c>
      <c r="AK180" s="108">
        <v>5</v>
      </c>
      <c r="AL180" s="108">
        <v>0</v>
      </c>
      <c r="AM180" s="109">
        <v>5</v>
      </c>
      <c r="AN180" s="109">
        <v>7</v>
      </c>
      <c r="AO180" s="109">
        <v>2</v>
      </c>
      <c r="AP180" s="109">
        <v>7</v>
      </c>
      <c r="AQ180" s="109">
        <v>0</v>
      </c>
      <c r="AR180" s="109">
        <v>0</v>
      </c>
      <c r="AS180" s="110">
        <v>0</v>
      </c>
      <c r="AT180" s="109">
        <v>0</v>
      </c>
      <c r="AU180" s="109">
        <v>0</v>
      </c>
      <c r="AV180" s="109">
        <v>0</v>
      </c>
      <c r="AW180" s="110">
        <v>0</v>
      </c>
      <c r="AX180" s="109">
        <v>0</v>
      </c>
      <c r="AY180" s="233"/>
      <c r="AZ180" s="4"/>
      <c r="BA180" s="35" t="str">
        <f>IF(OR(S180="North America",S180="Rocky Mountain"), "Widespread",BC180)</f>
        <v>Widespread</v>
      </c>
      <c r="BB180" s="4"/>
      <c r="BC180" s="35" t="str">
        <f ca="1">IF(BE180&gt;2046, "Abundant",BE180)</f>
        <v>Abundant</v>
      </c>
      <c r="BD180" s="4"/>
      <c r="BE180" s="81">
        <f ca="1">YEAR($C$13)+(BG180*80)</f>
        <v>2077.3386947797298</v>
      </c>
      <c r="BF180" s="4"/>
      <c r="BG180" s="137">
        <f ca="1">BH180*$BH$14</f>
        <v>0.72923368474662587</v>
      </c>
      <c r="BH180" s="137">
        <f ca="1">(((BJ180+BK180+BM180+BN180)/4)*$BM$11)+(((BP180+BQ180)/2)*$BQ$11)+(((BU180+BV180+BW180)/3)*$BU$11)+(((BY180+BZ180+CA180+CB180+CC180)/5)*$CA$11)</f>
        <v>0.72923368474662587</v>
      </c>
      <c r="BI180" s="4"/>
      <c r="BJ180" s="33">
        <f>AP180/(AM180+AO180)</f>
        <v>1</v>
      </c>
      <c r="BK180" s="33">
        <f>(AN180+AO180)/(AM180+AO180)</f>
        <v>1.2857142857142858</v>
      </c>
      <c r="BL180" s="4"/>
      <c r="BM180" s="127">
        <f>CF180/102</f>
        <v>6.8627450980392163E-2</v>
      </c>
      <c r="BN180" s="127">
        <f>C180/2</f>
        <v>1</v>
      </c>
      <c r="BO180" s="4"/>
      <c r="BP180" s="127">
        <f>(AK180)/($AW$6)</f>
        <v>5.0505050505050504E-2</v>
      </c>
      <c r="BQ180" s="127">
        <f ca="1">(CH180-$AW$4)/((YEAR($C$13))-$AW$4)</f>
        <v>0.93333333333333335</v>
      </c>
      <c r="BR180" s="127">
        <f>(AL180)/($AW$6)</f>
        <v>0</v>
      </c>
      <c r="BS180" s="4"/>
      <c r="BT180" s="127"/>
      <c r="BU180" s="127">
        <f ca="1">(CG180-$AW$4)/((YEAR($C$13))-$AW$4)</f>
        <v>0.6</v>
      </c>
      <c r="BV180" s="127">
        <f>AE180/5</f>
        <v>0.6</v>
      </c>
      <c r="BW180" s="127">
        <f>AF180/5</f>
        <v>1</v>
      </c>
      <c r="BX180" s="4"/>
      <c r="BY180" s="148" t="str">
        <f>IF(E180="A",".98",IF(E180="B",".99",IF(E180="C","1.00",IF(E180="D","1.00" ))))</f>
        <v>1.00</v>
      </c>
      <c r="BZ180" s="127">
        <f>(CE180+7)/10</f>
        <v>1</v>
      </c>
      <c r="CA180" s="76" t="str">
        <f>IF(D180="Fern",".97",IF(D180="Grass",".99",IF(D180="Herb",".97",IF(D180="Shrub",".99",IF(D180="Tree","1.00",IF(D180="Vine",".98"))))))</f>
        <v>.99</v>
      </c>
      <c r="CB180" s="149" t="str">
        <f>IF(R180="Bogs Ponds Streams",".96", IF(R180="Coastal Areas",".97",IF(R180="Meadows Dry Open",".96",IF(R180="Forest &amp; Understory",".97",IF(R180="Moist Open",".98",IF(R180="Moist Shady",".96",IF(R180="Sub-Alpine","1.0")))))))</f>
        <v>.98</v>
      </c>
      <c r="CC180" s="76" t="str">
        <f>IF(S180="Local Endemic",".50",IF(S180="Regional Endemic",".70",IF(S180="Cascadia",".90",IF(S180="Rocky Mountain",".95",IF(S180="North America",".99")))))</f>
        <v>.99</v>
      </c>
      <c r="CD180" s="4"/>
      <c r="CE180" s="21">
        <f>IF(W180&gt;3,3,W180)</f>
        <v>3</v>
      </c>
      <c r="CF180" s="21">
        <f>IF(AC180&gt;102,102,AC180)</f>
        <v>7</v>
      </c>
      <c r="CG180" s="34">
        <f>IF(AI180&lt;$AW$4,$AW$4,AI180)</f>
        <v>2013</v>
      </c>
      <c r="CH180" s="34">
        <f>IF(AJ180&lt;$AW$4,$AW$4,AJ180)</f>
        <v>2018</v>
      </c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</row>
    <row r="181" spans="1:115" s="13" customFormat="1" ht="15" customHeight="1" x14ac:dyDescent="0.3">
      <c r="A181" s="235"/>
      <c r="B181" s="218"/>
      <c r="C181" s="225">
        <v>8</v>
      </c>
      <c r="D181" s="94" t="s">
        <v>1155</v>
      </c>
      <c r="E181" s="59" t="s">
        <v>2501</v>
      </c>
      <c r="F181" s="397" t="str">
        <f ca="1">IF(BC181&lt;2025, "Extinct&lt; 6Yrs?",BA181)</f>
        <v>Widespread</v>
      </c>
      <c r="G181" s="363" t="s">
        <v>525</v>
      </c>
      <c r="H181" s="363" t="s">
        <v>679</v>
      </c>
      <c r="I181" s="366" t="s">
        <v>1260</v>
      </c>
      <c r="J181" s="365" t="s">
        <v>3265</v>
      </c>
      <c r="K181" s="365" t="s">
        <v>1259</v>
      </c>
      <c r="L181" s="10" t="s">
        <v>1929</v>
      </c>
      <c r="M181" s="8" t="s">
        <v>4260</v>
      </c>
      <c r="N181" s="8" t="s">
        <v>5154</v>
      </c>
      <c r="O181" s="8" t="s">
        <v>6053</v>
      </c>
      <c r="P181" s="9" t="s">
        <v>403</v>
      </c>
      <c r="Q181" s="59" t="s">
        <v>2552</v>
      </c>
      <c r="R181" s="9" t="s">
        <v>2498</v>
      </c>
      <c r="S181" s="9" t="s">
        <v>2495</v>
      </c>
      <c r="T181" s="123" t="str">
        <f>IF(R181="Bogs Ponds Streams","20",IF(R181="Coastal Areas","26",IF(R181="Meadows Dry Open","10",IF(R181="Forest &amp; Understory","14",IF(R181="Moist Open","12",IF(R181="Moist Shady","10",IF(R181="Sub-Alpine Slopes","0")))))))</f>
        <v>10</v>
      </c>
      <c r="U181" s="123" t="str">
        <f>IF(R181="Bogs Ponds Streams","52",IF(R181="Coastal Areas","51",IF(R181="Meadows Dry Open","53",IF(R181="Forest &amp; Understory","52",IF(R181="Moist Open","50",IF(R181="Moist Shady","46",IF(R181="Sub-Alpine Slopes","40")))))))</f>
        <v>46</v>
      </c>
      <c r="V181" s="123" t="str">
        <f>IF(R181="Bogs Ponds Streams","84",IF(R181="Coastal Areas","76",IF(R181="Meadows Dry Open","96", IF(R181="Forest &amp; Understory","90", IF(R181="Moist Open","88", IF(R181="Moist Shady","82", IF(R181="Sub-Alpine Slopes","80")))))))</f>
        <v>82</v>
      </c>
      <c r="W181" s="59">
        <v>20</v>
      </c>
      <c r="X181" s="59">
        <v>0</v>
      </c>
      <c r="Y181" s="59">
        <v>3500</v>
      </c>
      <c r="Z181" s="59" t="s">
        <v>2519</v>
      </c>
      <c r="AA181" s="59" t="s">
        <v>2518</v>
      </c>
      <c r="AB181" s="59">
        <v>6.8</v>
      </c>
      <c r="AC181" s="45">
        <f>C181+AK181+(0.1)*AL181</f>
        <v>15.2</v>
      </c>
      <c r="AD181" s="77">
        <v>110</v>
      </c>
      <c r="AE181" s="59">
        <v>5</v>
      </c>
      <c r="AF181" s="59">
        <v>5</v>
      </c>
      <c r="AG181" s="59">
        <v>1900</v>
      </c>
      <c r="AH181" s="77">
        <v>0</v>
      </c>
      <c r="AI181" s="59">
        <f ca="1">AJ181</f>
        <v>2019</v>
      </c>
      <c r="AJ181" s="18">
        <f ca="1">YEAR(TODAY())</f>
        <v>2019</v>
      </c>
      <c r="AK181" s="18">
        <v>5</v>
      </c>
      <c r="AL181" s="18">
        <v>22</v>
      </c>
      <c r="AM181" s="18">
        <v>1</v>
      </c>
      <c r="AN181" s="18">
        <v>1</v>
      </c>
      <c r="AO181" s="18">
        <v>5</v>
      </c>
      <c r="AP181" s="18">
        <v>1</v>
      </c>
      <c r="AQ181" s="18">
        <v>0</v>
      </c>
      <c r="AR181" s="18">
        <v>0</v>
      </c>
      <c r="AS181" s="18">
        <v>0</v>
      </c>
      <c r="AT181" s="18">
        <v>0</v>
      </c>
      <c r="AU181" s="18">
        <v>0</v>
      </c>
      <c r="AV181" s="18">
        <v>0</v>
      </c>
      <c r="AW181" s="18">
        <v>0</v>
      </c>
      <c r="AX181" s="18">
        <v>0</v>
      </c>
      <c r="AY181" s="233"/>
      <c r="AZ181" s="4"/>
      <c r="BA181" s="35" t="str">
        <f>IF(OR(S181="North America",S181="Rocky Mountain"), "Widespread",BC181)</f>
        <v>Widespread</v>
      </c>
      <c r="BB181" s="4"/>
      <c r="BC181" s="35" t="str">
        <f ca="1">IF(BE181&gt;2046, "Abundant",BE181)</f>
        <v>Abundant</v>
      </c>
      <c r="BD181" s="4"/>
      <c r="BE181" s="81">
        <f ca="1">YEAR($C$13)+(BG181*80)</f>
        <v>2103.3750959001782</v>
      </c>
      <c r="BF181" s="4"/>
      <c r="BG181" s="137">
        <f ca="1">BH181*$BH$14</f>
        <v>1.0546886987522281</v>
      </c>
      <c r="BH181" s="137">
        <f ca="1">(((BJ181+BK181+BM181+BN181)/4)*$BM$11)+(((BP181+BQ181)/2)*$BQ$11)+(((BU181+BV181+BW181)/3)*$BU$11)+(((BY181+BZ181+CA181+CB181+CC181)/5)*$CA$11)</f>
        <v>1.0546886987522281</v>
      </c>
      <c r="BI181" s="4"/>
      <c r="BJ181" s="33">
        <f>AP181/(AM181+AO181)</f>
        <v>0.16666666666666666</v>
      </c>
      <c r="BK181" s="33">
        <f>(AN181+AO181)/(AM181+AO181)</f>
        <v>1</v>
      </c>
      <c r="BL181" s="4"/>
      <c r="BM181" s="127">
        <f>CF181/102</f>
        <v>0.14901960784313725</v>
      </c>
      <c r="BN181" s="127">
        <f>C181/2</f>
        <v>4</v>
      </c>
      <c r="BO181" s="4"/>
      <c r="BP181" s="127">
        <f>(AK181)/($AW$6)</f>
        <v>5.0505050505050504E-2</v>
      </c>
      <c r="BQ181" s="127">
        <f ca="1">(CH181-$AW$4)/((YEAR($C$13))-$AW$4)</f>
        <v>1</v>
      </c>
      <c r="BR181" s="127">
        <f>(AL181)/($AW$6)</f>
        <v>0.22222222222222221</v>
      </c>
      <c r="BS181" s="4"/>
      <c r="BT181" s="127"/>
      <c r="BU181" s="127">
        <f ca="1">(CG181-$AW$4)/((YEAR($C$13))-$AW$4)</f>
        <v>1</v>
      </c>
      <c r="BV181" s="127">
        <f>AE181/5</f>
        <v>1</v>
      </c>
      <c r="BW181" s="127">
        <f>AF181/5</f>
        <v>1</v>
      </c>
      <c r="BX181" s="4"/>
      <c r="BY181" s="148" t="str">
        <f>IF(E181="A",".98",IF(E181="B",".99",IF(E181="C","1.00",IF(E181="D","1.00" ))))</f>
        <v>1.00</v>
      </c>
      <c r="BZ181" s="127">
        <f>(CE181+7)/10</f>
        <v>1</v>
      </c>
      <c r="CA181" s="76" t="str">
        <f>IF(D181="Fern",".97",IF(D181="Grass",".99",IF(D181="Herb",".97",IF(D181="Shrub",".99",IF(D181="Tree","1.00",IF(D181="Vine",".98"))))))</f>
        <v>.99</v>
      </c>
      <c r="CB181" s="149" t="str">
        <f>IF(R181="Bogs Ponds Streams",".96", IF(R181="Coastal Areas",".97",IF(R181="Meadows Dry Open",".96",IF(R181="Forest &amp; Understory",".97",IF(R181="Moist Open",".98",IF(R181="Moist Shady",".96",IF(R181="Sub-Alpine","1.0")))))))</f>
        <v>.96</v>
      </c>
      <c r="CC181" s="76" t="str">
        <f>IF(S181="Local Endemic",".50",IF(S181="Regional Endemic",".70",IF(S181="Cascadia",".90",IF(S181="Rocky Mountain",".95",IF(S181="North America",".99")))))</f>
        <v>.99</v>
      </c>
      <c r="CD181" s="4"/>
      <c r="CE181" s="21">
        <f>IF(W181&gt;3,3,W181)</f>
        <v>3</v>
      </c>
      <c r="CF181" s="21">
        <f>IF(AC181&gt;102,102,AC181)</f>
        <v>15.2</v>
      </c>
      <c r="CG181" s="34">
        <f ca="1">IF(AI181&lt;$AW$4,$AW$4,AI181)</f>
        <v>2019</v>
      </c>
      <c r="CH181" s="34">
        <f ca="1">IF(AJ181&lt;$AW$4,$AW$4,AJ181)</f>
        <v>2019</v>
      </c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</row>
    <row r="182" spans="1:115" s="13" customFormat="1" ht="15" customHeight="1" x14ac:dyDescent="0.3">
      <c r="A182" s="235"/>
      <c r="B182" s="218"/>
      <c r="C182" s="226">
        <v>2</v>
      </c>
      <c r="D182" s="104" t="s">
        <v>1155</v>
      </c>
      <c r="E182" s="104" t="s">
        <v>2501</v>
      </c>
      <c r="F182" s="400">
        <f ca="1">IF(BC182&lt;2025, "Extinct&lt; 6Yrs?",BA182)</f>
        <v>2041.7129383244207</v>
      </c>
      <c r="G182" s="369" t="s">
        <v>525</v>
      </c>
      <c r="H182" s="369" t="s">
        <v>4028</v>
      </c>
      <c r="I182" s="371" t="s">
        <v>1363</v>
      </c>
      <c r="J182" s="371" t="s">
        <v>3812</v>
      </c>
      <c r="K182" s="371" t="s">
        <v>1391</v>
      </c>
      <c r="L182" s="106" t="s">
        <v>1930</v>
      </c>
      <c r="M182" s="111" t="s">
        <v>4261</v>
      </c>
      <c r="N182" s="111" t="s">
        <v>5155</v>
      </c>
      <c r="O182" s="111" t="s">
        <v>6054</v>
      </c>
      <c r="P182" s="105" t="s">
        <v>403</v>
      </c>
      <c r="Q182" s="104" t="s">
        <v>2552</v>
      </c>
      <c r="R182" s="161" t="s">
        <v>2497</v>
      </c>
      <c r="S182" s="114" t="s">
        <v>2309</v>
      </c>
      <c r="T182" s="133" t="str">
        <f>IF(R182="Bogs Ponds Streams","20",IF(R182="Coastal Areas","26",IF(R182="Meadows Dry Open","10",IF(R182="Forest &amp; Understory","14",IF(R182="Moist Open","12",IF(R182="Moist Shady","10",IF(R182="Sub-Alpine Slopes","0")))))))</f>
        <v>12</v>
      </c>
      <c r="U182" s="133" t="str">
        <f>IF(R182="Bogs Ponds Streams","52",IF(R182="Coastal Areas","51",IF(R182="Meadows Dry Open","53",IF(R182="Forest &amp; Understory","52",IF(R182="Moist Open","50",IF(R182="Moist Shady","46",IF(R182="Sub-Alpine Slopes","40")))))))</f>
        <v>50</v>
      </c>
      <c r="V182" s="133" t="str">
        <f>IF(R182="Bogs Ponds Streams","84",IF(R182="Coastal Areas","76",IF(R182="Meadows Dry Open","96", IF(R182="Forest &amp; Understory","90", IF(R182="Moist Open","88", IF(R182="Moist Shady","82", IF(R182="Sub-Alpine Slopes","80")))))))</f>
        <v>88</v>
      </c>
      <c r="W182" s="104">
        <v>20</v>
      </c>
      <c r="X182" s="104">
        <v>0</v>
      </c>
      <c r="Y182" s="104">
        <v>3500</v>
      </c>
      <c r="Z182" s="104" t="s">
        <v>2519</v>
      </c>
      <c r="AA182" s="104" t="s">
        <v>2518</v>
      </c>
      <c r="AB182" s="104">
        <v>6.8</v>
      </c>
      <c r="AC182" s="107">
        <f>C182+AK182+(0.1)*AL182</f>
        <v>5</v>
      </c>
      <c r="AD182" s="113">
        <v>36</v>
      </c>
      <c r="AE182" s="112">
        <v>3</v>
      </c>
      <c r="AF182" s="112">
        <v>5</v>
      </c>
      <c r="AG182" s="113">
        <v>1927</v>
      </c>
      <c r="AH182" s="113">
        <v>0</v>
      </c>
      <c r="AI182" s="113">
        <v>2010</v>
      </c>
      <c r="AJ182" s="108">
        <v>2003</v>
      </c>
      <c r="AK182" s="108">
        <v>3</v>
      </c>
      <c r="AL182" s="108">
        <v>0</v>
      </c>
      <c r="AM182" s="109">
        <v>5</v>
      </c>
      <c r="AN182" s="109">
        <v>1</v>
      </c>
      <c r="AO182" s="109">
        <v>1</v>
      </c>
      <c r="AP182" s="109">
        <v>0</v>
      </c>
      <c r="AQ182" s="109">
        <v>0</v>
      </c>
      <c r="AR182" s="109">
        <v>0</v>
      </c>
      <c r="AS182" s="110">
        <v>0</v>
      </c>
      <c r="AT182" s="109">
        <v>0</v>
      </c>
      <c r="AU182" s="109">
        <v>0</v>
      </c>
      <c r="AV182" s="109">
        <v>0</v>
      </c>
      <c r="AW182" s="110">
        <v>0</v>
      </c>
      <c r="AX182" s="109">
        <v>0</v>
      </c>
      <c r="AY182" s="233"/>
      <c r="AZ182" s="4"/>
      <c r="BA182" s="35">
        <f ca="1">IF(OR(S182="North America",S182="Rocky Mountain"), "Widespread",BC182)</f>
        <v>2041.7129383244207</v>
      </c>
      <c r="BB182" s="4"/>
      <c r="BC182" s="35">
        <f ca="1">IF(BE182&gt;2046, "Abundant",BE182)</f>
        <v>2041.7129383244207</v>
      </c>
      <c r="BD182" s="4"/>
      <c r="BE182" s="81">
        <f ca="1">YEAR($C$13)+(BG182*80)</f>
        <v>2041.7129383244207</v>
      </c>
      <c r="BF182" s="4"/>
      <c r="BG182" s="137">
        <f ca="1">BH182*$BH$14</f>
        <v>0.28391172905525841</v>
      </c>
      <c r="BH182" s="137">
        <f ca="1">(((BJ182+BK182+BM182+BN182)/4)*$BM$11)+(((BP182+BQ182)/2)*$BQ$11)+(((BU182+BV182+BW182)/3)*$BU$11)+(((BY182+BZ182+CA182+CB182+CC182)/5)*$CA$11)</f>
        <v>0.28391172905525841</v>
      </c>
      <c r="BI182" s="4"/>
      <c r="BJ182" s="33">
        <f>AP182/(AM182+AO182)</f>
        <v>0</v>
      </c>
      <c r="BK182" s="33">
        <f>(AN182+AO182)/(AM182+AO182)</f>
        <v>0.33333333333333331</v>
      </c>
      <c r="BL182" s="4"/>
      <c r="BM182" s="127">
        <f>CF182/102</f>
        <v>4.9019607843137254E-2</v>
      </c>
      <c r="BN182" s="127">
        <f>C182/2</f>
        <v>1</v>
      </c>
      <c r="BO182" s="4"/>
      <c r="BP182" s="127">
        <f>(AK182)/($AW$6)</f>
        <v>3.0303030303030304E-2</v>
      </c>
      <c r="BQ182" s="127">
        <f ca="1">(CH182-$AW$4)/((YEAR($C$13))-$AW$4)</f>
        <v>0</v>
      </c>
      <c r="BR182" s="127">
        <f>(AL182)/($AW$6)</f>
        <v>0</v>
      </c>
      <c r="BS182" s="4"/>
      <c r="BT182" s="127"/>
      <c r="BU182" s="127">
        <f ca="1">(CG182-$AW$4)/((YEAR($C$13))-$AW$4)</f>
        <v>0.4</v>
      </c>
      <c r="BV182" s="127">
        <f>AE182/5</f>
        <v>0.6</v>
      </c>
      <c r="BW182" s="127">
        <f>AF182/5</f>
        <v>1</v>
      </c>
      <c r="BX182" s="4"/>
      <c r="BY182" s="148" t="str">
        <f>IF(E182="A",".98",IF(E182="B",".99",IF(E182="C","1.00",IF(E182="D","1.00" ))))</f>
        <v>1.00</v>
      </c>
      <c r="BZ182" s="127">
        <f>(CE182+7)/10</f>
        <v>1</v>
      </c>
      <c r="CA182" s="76" t="str">
        <f>IF(D182="Fern",".97",IF(D182="Grass",".99",IF(D182="Herb",".97",IF(D182="Shrub",".99",IF(D182="Tree","1.00",IF(D182="Vine",".98"))))))</f>
        <v>.99</v>
      </c>
      <c r="CB182" s="149" t="str">
        <f>IF(R182="Bogs Ponds Streams",".96", IF(R182="Coastal Areas",".97",IF(R182="Meadows Dry Open",".96",IF(R182="Forest &amp; Understory",".97",IF(R182="Moist Open",".98",IF(R182="Moist Shady",".96",IF(R182="Sub-Alpine","1.0")))))))</f>
        <v>.98</v>
      </c>
      <c r="CC182" s="76" t="str">
        <f>IF(S182="Local Endemic",".50",IF(S182="Regional Endemic",".70",IF(S182="Cascadia",".90",IF(S182="Rocky Mountain",".95",IF(S182="North America",".99")))))</f>
        <v>.70</v>
      </c>
      <c r="CD182" s="4"/>
      <c r="CE182" s="21">
        <f>IF(W182&gt;3,3,W182)</f>
        <v>3</v>
      </c>
      <c r="CF182" s="21">
        <f>IF(AC182&gt;102,102,AC182)</f>
        <v>5</v>
      </c>
      <c r="CG182" s="34">
        <f>IF(AI182&lt;$AW$4,$AW$4,AI182)</f>
        <v>2010</v>
      </c>
      <c r="CH182" s="34">
        <f>IF(AJ182&lt;$AW$4,$AW$4,AJ182)</f>
        <v>2004</v>
      </c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</row>
    <row r="183" spans="1:115" s="13" customFormat="1" ht="15" customHeight="1" x14ac:dyDescent="0.3">
      <c r="A183" s="235"/>
      <c r="B183" s="218"/>
      <c r="C183" s="375">
        <v>1</v>
      </c>
      <c r="D183" s="95" t="s">
        <v>1155</v>
      </c>
      <c r="E183" s="67" t="s">
        <v>2501</v>
      </c>
      <c r="F183" s="403" t="str">
        <f ca="1">IF(BC183&lt;2025, "Extinct&lt; 6Yrs?",BA183)</f>
        <v>Widespread</v>
      </c>
      <c r="G183" s="376" t="s">
        <v>525</v>
      </c>
      <c r="H183" s="376" t="s">
        <v>4028</v>
      </c>
      <c r="I183" s="380" t="s">
        <v>1261</v>
      </c>
      <c r="J183" s="378" t="s">
        <v>3646</v>
      </c>
      <c r="K183" s="378" t="s">
        <v>1379</v>
      </c>
      <c r="L183" s="63" t="s">
        <v>1931</v>
      </c>
      <c r="M183" s="64" t="s">
        <v>4262</v>
      </c>
      <c r="N183" s="64" t="s">
        <v>5156</v>
      </c>
      <c r="O183" s="64" t="s">
        <v>6055</v>
      </c>
      <c r="P183" s="61" t="s">
        <v>403</v>
      </c>
      <c r="Q183" s="67" t="s">
        <v>2552</v>
      </c>
      <c r="R183" s="163" t="s">
        <v>2497</v>
      </c>
      <c r="S183" s="164" t="s">
        <v>2495</v>
      </c>
      <c r="T183" s="134" t="str">
        <f>IF(R183="Bogs Ponds Streams","20",IF(R183="Coastal Areas","26",IF(R183="Meadows Dry Open","10",IF(R183="Forest &amp; Understory","14",IF(R183="Moist Open","12",IF(R183="Moist Shady","10",IF(R183="Sub-Alpine Slopes","0")))))))</f>
        <v>12</v>
      </c>
      <c r="U183" s="134" t="str">
        <f>IF(R183="Bogs Ponds Streams","52",IF(R183="Coastal Areas","51",IF(R183="Meadows Dry Open","53",IF(R183="Forest &amp; Understory","52",IF(R183="Moist Open","50",IF(R183="Moist Shady","46",IF(R183="Sub-Alpine Slopes","40")))))))</f>
        <v>50</v>
      </c>
      <c r="V183" s="134" t="str">
        <f>IF(R183="Bogs Ponds Streams","84",IF(R183="Coastal Areas","76",IF(R183="Meadows Dry Open","96", IF(R183="Forest &amp; Understory","90", IF(R183="Moist Open","88", IF(R183="Moist Shady","82", IF(R183="Sub-Alpine Slopes","80")))))))</f>
        <v>88</v>
      </c>
      <c r="W183" s="67">
        <v>20</v>
      </c>
      <c r="X183" s="67">
        <v>0</v>
      </c>
      <c r="Y183" s="67">
        <v>3500</v>
      </c>
      <c r="Z183" s="67" t="s">
        <v>2519</v>
      </c>
      <c r="AA183" s="67" t="s">
        <v>2518</v>
      </c>
      <c r="AB183" s="67">
        <v>6.8</v>
      </c>
      <c r="AC183" s="85">
        <f>C183+AK183+(0.1)*AL183</f>
        <v>5.7</v>
      </c>
      <c r="AD183" s="78">
        <v>44</v>
      </c>
      <c r="AE183" s="67">
        <v>5</v>
      </c>
      <c r="AF183" s="67">
        <v>5</v>
      </c>
      <c r="AG183" s="67">
        <v>1900</v>
      </c>
      <c r="AH183" s="78">
        <v>0</v>
      </c>
      <c r="AI183" s="67">
        <f>AJ183</f>
        <v>2014</v>
      </c>
      <c r="AJ183" s="69">
        <v>2014</v>
      </c>
      <c r="AK183" s="69">
        <v>4</v>
      </c>
      <c r="AL183" s="69">
        <v>7</v>
      </c>
      <c r="AM183" s="70">
        <v>5</v>
      </c>
      <c r="AN183" s="70">
        <v>0</v>
      </c>
      <c r="AO183" s="86">
        <v>0</v>
      </c>
      <c r="AP183" s="70">
        <v>0</v>
      </c>
      <c r="AQ183" s="70">
        <v>0</v>
      </c>
      <c r="AR183" s="70">
        <v>0</v>
      </c>
      <c r="AS183" s="86">
        <v>0</v>
      </c>
      <c r="AT183" s="70">
        <v>0</v>
      </c>
      <c r="AU183" s="70">
        <v>0</v>
      </c>
      <c r="AV183" s="70">
        <v>0</v>
      </c>
      <c r="AW183" s="86">
        <v>0</v>
      </c>
      <c r="AX183" s="70">
        <v>0</v>
      </c>
      <c r="AY183" s="233"/>
      <c r="AZ183" s="4"/>
      <c r="BA183" s="35" t="str">
        <f>IF(OR(S183="North America",S183="Rocky Mountain"), "Widespread",BC183)</f>
        <v>Widespread</v>
      </c>
      <c r="BB183" s="4"/>
      <c r="BC183" s="35">
        <f ca="1">IF(BE183&gt;2046, "Abundant",BE183)</f>
        <v>2041.4315256090315</v>
      </c>
      <c r="BD183" s="4"/>
      <c r="BE183" s="81">
        <f ca="1">YEAR($C$13)+(BG183*80)</f>
        <v>2041.4315256090315</v>
      </c>
      <c r="BF183" s="4"/>
      <c r="BG183" s="137">
        <f ca="1">BH183*$BH$14</f>
        <v>0.28039407011289369</v>
      </c>
      <c r="BH183" s="137">
        <f ca="1">(((BJ183+BK183+BM183+BN183)/4)*$BM$11)+(((BP183+BQ183)/2)*$BQ$11)+(((BU183+BV183+BW183)/3)*$BU$11)+(((BY183+BZ183+CA183+CB183+CC183)/5)*$CA$11)</f>
        <v>0.28039407011289369</v>
      </c>
      <c r="BI183" s="4"/>
      <c r="BJ183" s="33">
        <f>AP183/(AM183+AO183)</f>
        <v>0</v>
      </c>
      <c r="BK183" s="33">
        <f>(AN183+AO183)/(AM183+AO183)</f>
        <v>0</v>
      </c>
      <c r="BL183" s="4"/>
      <c r="BM183" s="127">
        <f>CF183/102</f>
        <v>5.5882352941176473E-2</v>
      </c>
      <c r="BN183" s="127">
        <f>C183/2</f>
        <v>0.5</v>
      </c>
      <c r="BO183" s="4"/>
      <c r="BP183" s="127">
        <f>(AK183)/($AW$6)</f>
        <v>4.0404040404040407E-2</v>
      </c>
      <c r="BQ183" s="127">
        <f ca="1">(CH183-$AW$4)/((YEAR($C$13))-$AW$4)</f>
        <v>0.66666666666666663</v>
      </c>
      <c r="BR183" s="127">
        <f>(AL183)/($AW$6)</f>
        <v>7.0707070707070704E-2</v>
      </c>
      <c r="BS183" s="4"/>
      <c r="BT183" s="127"/>
      <c r="BU183" s="127">
        <f ca="1">(CG183-$AW$4)/((YEAR($C$13))-$AW$4)</f>
        <v>0.66666666666666663</v>
      </c>
      <c r="BV183" s="127">
        <f>AE183/5</f>
        <v>1</v>
      </c>
      <c r="BW183" s="127">
        <f>AF183/5</f>
        <v>1</v>
      </c>
      <c r="BX183" s="4"/>
      <c r="BY183" s="148" t="str">
        <f>IF(E183="A",".98",IF(E183="B",".99",IF(E183="C","1.00",IF(E183="D","1.00" ))))</f>
        <v>1.00</v>
      </c>
      <c r="BZ183" s="127">
        <f>(CE183+7)/10</f>
        <v>1</v>
      </c>
      <c r="CA183" s="76" t="str">
        <f>IF(D183="Fern",".97",IF(D183="Grass",".99",IF(D183="Herb",".97",IF(D183="Shrub",".99",IF(D183="Tree","1.00",IF(D183="Vine",".98"))))))</f>
        <v>.99</v>
      </c>
      <c r="CB183" s="149" t="str">
        <f>IF(R183="Bogs Ponds Streams",".96", IF(R183="Coastal Areas",".97",IF(R183="Meadows Dry Open",".96",IF(R183="Forest &amp; Understory",".97",IF(R183="Moist Open",".98",IF(R183="Moist Shady",".96",IF(R183="Sub-Alpine","1.0")))))))</f>
        <v>.98</v>
      </c>
      <c r="CC183" s="76" t="str">
        <f>IF(S183="Local Endemic",".50",IF(S183="Regional Endemic",".70",IF(S183="Cascadia",".90",IF(S183="Rocky Mountain",".95",IF(S183="North America",".99")))))</f>
        <v>.99</v>
      </c>
      <c r="CD183" s="4"/>
      <c r="CE183" s="21">
        <f>IF(W183&gt;3,3,W183)</f>
        <v>3</v>
      </c>
      <c r="CF183" s="21">
        <f>IF(AC183&gt;102,102,AC183)</f>
        <v>5.7</v>
      </c>
      <c r="CG183" s="34">
        <f>IF(AI183&lt;$AW$4,$AW$4,AI183)</f>
        <v>2014</v>
      </c>
      <c r="CH183" s="34">
        <f>IF(AJ183&lt;$AW$4,$AW$4,AJ183)</f>
        <v>2014</v>
      </c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</row>
    <row r="184" spans="1:115" s="13" customFormat="1" ht="15" customHeight="1" x14ac:dyDescent="0.3">
      <c r="A184" s="235"/>
      <c r="B184" s="218"/>
      <c r="C184" s="375">
        <v>1</v>
      </c>
      <c r="D184" s="95" t="s">
        <v>1155</v>
      </c>
      <c r="E184" s="67" t="s">
        <v>2501</v>
      </c>
      <c r="F184" s="403" t="str">
        <f ca="1">IF(BC184&lt;2025, "Extinct&lt; 6Yrs?",BA184)</f>
        <v>Widespread</v>
      </c>
      <c r="G184" s="376" t="s">
        <v>525</v>
      </c>
      <c r="H184" s="376" t="s">
        <v>4028</v>
      </c>
      <c r="I184" s="379" t="s">
        <v>2612</v>
      </c>
      <c r="J184" s="378" t="s">
        <v>3645</v>
      </c>
      <c r="K184" s="378" t="s">
        <v>2749</v>
      </c>
      <c r="L184" s="65" t="s">
        <v>1932</v>
      </c>
      <c r="M184" s="64" t="s">
        <v>4263</v>
      </c>
      <c r="N184" s="64" t="s">
        <v>5157</v>
      </c>
      <c r="O184" s="64" t="s">
        <v>6056</v>
      </c>
      <c r="P184" s="61" t="s">
        <v>403</v>
      </c>
      <c r="Q184" s="67" t="s">
        <v>2552</v>
      </c>
      <c r="R184" s="163" t="s">
        <v>2497</v>
      </c>
      <c r="S184" s="65" t="s">
        <v>2479</v>
      </c>
      <c r="T184" s="134" t="str">
        <f>IF(R184="Bogs Ponds Streams","20",IF(R184="Coastal Areas","26",IF(R184="Meadows Dry Open","10",IF(R184="Forest &amp; Understory","14",IF(R184="Moist Open","12",IF(R184="Moist Shady","10",IF(R184="Sub-Alpine Slopes","0")))))))</f>
        <v>12</v>
      </c>
      <c r="U184" s="134" t="str">
        <f>IF(R184="Bogs Ponds Streams","52",IF(R184="Coastal Areas","51",IF(R184="Meadows Dry Open","53",IF(R184="Forest &amp; Understory","52",IF(R184="Moist Open","50",IF(R184="Moist Shady","46",IF(R184="Sub-Alpine Slopes","40")))))))</f>
        <v>50</v>
      </c>
      <c r="V184" s="134" t="str">
        <f>IF(R184="Bogs Ponds Streams","84",IF(R184="Coastal Areas","76",IF(R184="Meadows Dry Open","96", IF(R184="Forest &amp; Understory","90", IF(R184="Moist Open","88", IF(R184="Moist Shady","82", IF(R184="Sub-Alpine Slopes","80")))))))</f>
        <v>88</v>
      </c>
      <c r="W184" s="67">
        <v>20</v>
      </c>
      <c r="X184" s="67">
        <v>0</v>
      </c>
      <c r="Y184" s="67">
        <v>3500</v>
      </c>
      <c r="Z184" s="67" t="s">
        <v>2519</v>
      </c>
      <c r="AA184" s="67" t="s">
        <v>2518</v>
      </c>
      <c r="AB184" s="67">
        <v>6.8</v>
      </c>
      <c r="AC184" s="85">
        <f>C184+AK184+(0.1)*AL184</f>
        <v>38.4</v>
      </c>
      <c r="AD184" s="78">
        <v>186</v>
      </c>
      <c r="AE184" s="67">
        <v>5</v>
      </c>
      <c r="AF184" s="67">
        <v>5</v>
      </c>
      <c r="AG184" s="67">
        <v>1900</v>
      </c>
      <c r="AH184" s="78">
        <v>0</v>
      </c>
      <c r="AI184" s="67">
        <f>AJ184</f>
        <v>1996</v>
      </c>
      <c r="AJ184" s="69">
        <v>1996</v>
      </c>
      <c r="AK184" s="69">
        <v>33</v>
      </c>
      <c r="AL184" s="69">
        <v>44</v>
      </c>
      <c r="AM184" s="70">
        <v>5</v>
      </c>
      <c r="AN184" s="70">
        <v>0</v>
      </c>
      <c r="AO184" s="86">
        <v>0</v>
      </c>
      <c r="AP184" s="70">
        <v>0</v>
      </c>
      <c r="AQ184" s="70">
        <v>0</v>
      </c>
      <c r="AR184" s="70">
        <v>0</v>
      </c>
      <c r="AS184" s="86">
        <v>0</v>
      </c>
      <c r="AT184" s="70">
        <v>0</v>
      </c>
      <c r="AU184" s="70">
        <v>0</v>
      </c>
      <c r="AV184" s="70">
        <v>0</v>
      </c>
      <c r="AW184" s="86">
        <v>0</v>
      </c>
      <c r="AX184" s="70">
        <v>0</v>
      </c>
      <c r="AY184" s="233"/>
      <c r="AZ184" s="4"/>
      <c r="BA184" s="35" t="str">
        <f>IF(OR(S184="North America",S184="Rocky Mountain"), "Widespread",BC184)</f>
        <v>Widespread</v>
      </c>
      <c r="BB184" s="4"/>
      <c r="BC184" s="35">
        <f ca="1">IF(BE184&gt;2046, "Abundant",BE184)</f>
        <v>2039.3587137254901</v>
      </c>
      <c r="BD184" s="4"/>
      <c r="BE184" s="81">
        <f ca="1">YEAR($C$13)+(BG184*80)</f>
        <v>2039.3587137254901</v>
      </c>
      <c r="BF184" s="4"/>
      <c r="BG184" s="137">
        <f ca="1">BH184*$BH$14</f>
        <v>0.25448392156862742</v>
      </c>
      <c r="BH184" s="137">
        <f ca="1">(((BJ184+BK184+BM184+BN184)/4)*$BM$11)+(((BP184+BQ184)/2)*$BQ$11)+(((BU184+BV184+BW184)/3)*$BU$11)+(((BY184+BZ184+CA184+CB184+CC184)/5)*$CA$11)</f>
        <v>0.25448392156862742</v>
      </c>
      <c r="BI184" s="4"/>
      <c r="BJ184" s="33">
        <f>AP184/(AM184+AO184)</f>
        <v>0</v>
      </c>
      <c r="BK184" s="33">
        <f>(AN184+AO184)/(AM184+AO184)</f>
        <v>0</v>
      </c>
      <c r="BL184" s="4"/>
      <c r="BM184" s="127">
        <f>CF184/102</f>
        <v>0.37647058823529411</v>
      </c>
      <c r="BN184" s="127">
        <f>C184/2</f>
        <v>0.5</v>
      </c>
      <c r="BO184" s="4"/>
      <c r="BP184" s="127">
        <f>(AK184)/($AW$6)</f>
        <v>0.33333333333333331</v>
      </c>
      <c r="BQ184" s="127">
        <f ca="1">(CH184-$AW$4)/((YEAR($C$13))-$AW$4)</f>
        <v>0</v>
      </c>
      <c r="BR184" s="127">
        <f>(AL184)/($AW$6)</f>
        <v>0.44444444444444442</v>
      </c>
      <c r="BS184" s="4"/>
      <c r="BT184" s="127"/>
      <c r="BU184" s="127">
        <f ca="1">(CG184-$AW$4)/((YEAR($C$13))-$AW$4)</f>
        <v>0</v>
      </c>
      <c r="BV184" s="127">
        <f>AE184/5</f>
        <v>1</v>
      </c>
      <c r="BW184" s="127">
        <f>AF184/5</f>
        <v>1</v>
      </c>
      <c r="BX184" s="4"/>
      <c r="BY184" s="148" t="str">
        <f>IF(E184="A",".98",IF(E184="B",".99",IF(E184="C","1.00",IF(E184="D","1.00" ))))</f>
        <v>1.00</v>
      </c>
      <c r="BZ184" s="127">
        <f>(CE184+7)/10</f>
        <v>1</v>
      </c>
      <c r="CA184" s="76" t="str">
        <f>IF(D184="Fern",".97",IF(D184="Grass",".99",IF(D184="Herb",".97",IF(D184="Shrub",".99",IF(D184="Tree","1.00",IF(D184="Vine",".98"))))))</f>
        <v>.99</v>
      </c>
      <c r="CB184" s="149" t="str">
        <f>IF(R184="Bogs Ponds Streams",".96", IF(R184="Coastal Areas",".97",IF(R184="Meadows Dry Open",".96",IF(R184="Forest &amp; Understory",".97",IF(R184="Moist Open",".98",IF(R184="Moist Shady",".96",IF(R184="Sub-Alpine","1.0")))))))</f>
        <v>.98</v>
      </c>
      <c r="CC184" s="76" t="str">
        <f>IF(S184="Local Endemic",".50",IF(S184="Regional Endemic",".70",IF(S184="Cascadia",".90",IF(S184="Rocky Mountain",".95",IF(S184="North America",".99")))))</f>
        <v>.95</v>
      </c>
      <c r="CD184" s="4"/>
      <c r="CE184" s="21">
        <f>IF(W184&gt;3,3,W184)</f>
        <v>3</v>
      </c>
      <c r="CF184" s="21">
        <f>IF(AC184&gt;102,102,AC184)</f>
        <v>38.4</v>
      </c>
      <c r="CG184" s="34">
        <f>IF(AI184&lt;$AW$4,$AW$4,AI184)</f>
        <v>2004</v>
      </c>
      <c r="CH184" s="34">
        <f>IF(AJ184&lt;$AW$4,$AW$4,AJ184)</f>
        <v>2004</v>
      </c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</row>
    <row r="185" spans="1:115" ht="15" customHeight="1" x14ac:dyDescent="0.3">
      <c r="A185" s="235"/>
      <c r="B185" s="218"/>
      <c r="C185" s="226">
        <v>2</v>
      </c>
      <c r="D185" s="119" t="s">
        <v>1155</v>
      </c>
      <c r="E185" s="104" t="s">
        <v>2501</v>
      </c>
      <c r="F185" s="400" t="str">
        <f ca="1">IF(BC185&lt;2025, "Extinct&lt; 6Yrs?",BA185)</f>
        <v>Widespread</v>
      </c>
      <c r="G185" s="369" t="s">
        <v>525</v>
      </c>
      <c r="H185" s="369" t="s">
        <v>4028</v>
      </c>
      <c r="I185" s="372" t="s">
        <v>2095</v>
      </c>
      <c r="J185" s="371" t="s">
        <v>3811</v>
      </c>
      <c r="K185" s="371" t="s">
        <v>406</v>
      </c>
      <c r="L185" s="114" t="s">
        <v>2096</v>
      </c>
      <c r="M185" s="111" t="s">
        <v>4264</v>
      </c>
      <c r="N185" s="111" t="s">
        <v>5158</v>
      </c>
      <c r="O185" s="111" t="s">
        <v>6057</v>
      </c>
      <c r="P185" s="105" t="s">
        <v>403</v>
      </c>
      <c r="Q185" s="104" t="s">
        <v>2552</v>
      </c>
      <c r="R185" s="105" t="s">
        <v>2499</v>
      </c>
      <c r="S185" s="105" t="s">
        <v>2495</v>
      </c>
      <c r="T185" s="133" t="str">
        <f>IF(R185="Bogs Ponds Streams","20",IF(R185="Coastal Areas","26",IF(R185="Meadows Dry Open","10",IF(R185="Forest &amp; Understory","14",IF(R185="Moist Open","12",IF(R185="Moist Shady","10",IF(R185="Sub-Alpine Slopes","0")))))))</f>
        <v>20</v>
      </c>
      <c r="U185" s="133" t="str">
        <f>IF(R185="Bogs Ponds Streams","52",IF(R185="Coastal Areas","51",IF(R185="Meadows Dry Open","53",IF(R185="Forest &amp; Understory","52",IF(R185="Moist Open","50",IF(R185="Moist Shady","46",IF(R185="Sub-Alpine Slopes","40")))))))</f>
        <v>52</v>
      </c>
      <c r="V185" s="133" t="str">
        <f>IF(R185="Bogs Ponds Streams","84",IF(R185="Coastal Areas","76",IF(R185="Meadows Dry Open","96", IF(R185="Forest &amp; Understory","90", IF(R185="Moist Open","88", IF(R185="Moist Shady","82", IF(R185="Sub-Alpine Slopes","80")))))))</f>
        <v>84</v>
      </c>
      <c r="W185" s="104">
        <v>20</v>
      </c>
      <c r="X185" s="104">
        <v>0</v>
      </c>
      <c r="Y185" s="104">
        <v>3500</v>
      </c>
      <c r="Z185" s="104" t="s">
        <v>2519</v>
      </c>
      <c r="AA185" s="104" t="s">
        <v>2518</v>
      </c>
      <c r="AB185" s="104">
        <v>6.8</v>
      </c>
      <c r="AC185" s="107">
        <f>C185+AK185+(0.1)*AL185</f>
        <v>5.0999999999999996</v>
      </c>
      <c r="AD185" s="113">
        <v>13</v>
      </c>
      <c r="AE185" s="104">
        <v>1</v>
      </c>
      <c r="AF185" s="104">
        <v>5</v>
      </c>
      <c r="AG185" s="104">
        <v>1900</v>
      </c>
      <c r="AH185" s="113">
        <v>0</v>
      </c>
      <c r="AI185" s="104">
        <f>AJ185</f>
        <v>2018</v>
      </c>
      <c r="AJ185" s="108">
        <v>2018</v>
      </c>
      <c r="AK185" s="108">
        <v>3</v>
      </c>
      <c r="AL185" s="108">
        <v>1</v>
      </c>
      <c r="AM185" s="108">
        <v>1</v>
      </c>
      <c r="AN185" s="108">
        <v>1</v>
      </c>
      <c r="AO185" s="108">
        <v>0</v>
      </c>
      <c r="AP185" s="108">
        <v>0</v>
      </c>
      <c r="AQ185" s="108">
        <v>0</v>
      </c>
      <c r="AR185" s="108">
        <v>0</v>
      </c>
      <c r="AS185" s="108">
        <v>0</v>
      </c>
      <c r="AT185" s="108">
        <v>0</v>
      </c>
      <c r="AU185" s="108">
        <v>0</v>
      </c>
      <c r="AV185" s="108">
        <v>0</v>
      </c>
      <c r="AW185" s="108">
        <v>0</v>
      </c>
      <c r="AX185" s="108">
        <v>0</v>
      </c>
      <c r="AY185" s="233"/>
      <c r="AZ185" s="4"/>
      <c r="BA185" s="35" t="str">
        <f>IF(OR(S185="North America",S185="Rocky Mountain"), "Widespread",BC185)</f>
        <v>Widespread</v>
      </c>
      <c r="BB185" s="4"/>
      <c r="BC185" s="35" t="str">
        <f ca="1">IF(BE185&gt;2046, "Abundant",BE185)</f>
        <v>Abundant</v>
      </c>
      <c r="BD185" s="4"/>
      <c r="BE185" s="81">
        <f ca="1">YEAR($C$13)+(BG185*80)</f>
        <v>2061.2955474747473</v>
      </c>
      <c r="BF185" s="4"/>
      <c r="BG185" s="137">
        <f ca="1">BH185*$BH$14</f>
        <v>0.52869434343434341</v>
      </c>
      <c r="BH185" s="137">
        <f ca="1">(((BJ185+BK185+BM185+BN185)/4)*$BM$11)+(((BP185+BQ185)/2)*$BQ$11)+(((BU185+BV185+BW185)/3)*$BU$11)+(((BY185+BZ185+CA185+CB185+CC185)/5)*$CA$11)</f>
        <v>0.52869434343434341</v>
      </c>
      <c r="BI185" s="4"/>
      <c r="BJ185" s="33">
        <f>AP185/(AM185+AO185)</f>
        <v>0</v>
      </c>
      <c r="BK185" s="33">
        <f>(AN185+AO185)/(AM185+AO185)</f>
        <v>1</v>
      </c>
      <c r="BL185" s="4"/>
      <c r="BM185" s="127">
        <f>CF185/102</f>
        <v>4.9999999999999996E-2</v>
      </c>
      <c r="BN185" s="127">
        <f>C185/2</f>
        <v>1</v>
      </c>
      <c r="BO185" s="4"/>
      <c r="BP185" s="127">
        <f>(AK185)/($AW$6)</f>
        <v>3.0303030303030304E-2</v>
      </c>
      <c r="BQ185" s="127">
        <f ca="1">(CH185-$AW$4)/((YEAR($C$13))-$AW$4)</f>
        <v>0.93333333333333335</v>
      </c>
      <c r="BR185" s="127">
        <f>(AL185)/($AW$6)</f>
        <v>1.0101010101010102E-2</v>
      </c>
      <c r="BS185" s="4"/>
      <c r="BT185" s="127"/>
      <c r="BU185" s="127">
        <f ca="1">(CG185-$AW$4)/((YEAR($C$13))-$AW$4)</f>
        <v>0.93333333333333335</v>
      </c>
      <c r="BV185" s="127">
        <f>AE185/5</f>
        <v>0.2</v>
      </c>
      <c r="BW185" s="127">
        <f>AF185/5</f>
        <v>1</v>
      </c>
      <c r="BX185" s="4"/>
      <c r="BY185" s="148" t="str">
        <f>IF(E185="A",".98",IF(E185="B",".99",IF(E185="C","1.00",IF(E185="D","1.00" ))))</f>
        <v>1.00</v>
      </c>
      <c r="BZ185" s="127">
        <f>(CE185+7)/10</f>
        <v>1</v>
      </c>
      <c r="CA185" s="76" t="str">
        <f>IF(D185="Fern",".97",IF(D185="Grass",".99",IF(D185="Herb",".97",IF(D185="Shrub",".99",IF(D185="Tree","1.00",IF(D185="Vine",".98"))))))</f>
        <v>.99</v>
      </c>
      <c r="CB185" s="149" t="str">
        <f>IF(R185="Bogs Ponds Streams",".96", IF(R185="Coastal Areas",".97",IF(R185="Meadows Dry Open",".96",IF(R185="Forest &amp; Understory",".97",IF(R185="Moist Open",".98",IF(R185="Moist Shady",".96",IF(R185="Sub-Alpine","1.0")))))))</f>
        <v>.96</v>
      </c>
      <c r="CC185" s="76" t="str">
        <f>IF(S185="Local Endemic",".50",IF(S185="Regional Endemic",".70",IF(S185="Cascadia",".90",IF(S185="Rocky Mountain",".95",IF(S185="North America",".99")))))</f>
        <v>.99</v>
      </c>
      <c r="CD185" s="4"/>
      <c r="CE185" s="21">
        <f>IF(W185&gt;3,3,W185)</f>
        <v>3</v>
      </c>
      <c r="CF185" s="21">
        <f>IF(AC185&gt;102,102,AC185)</f>
        <v>5.0999999999999996</v>
      </c>
      <c r="CG185" s="34">
        <f>IF(AI185&lt;$AW$4,$AW$4,AI185)</f>
        <v>2018</v>
      </c>
      <c r="CH185" s="34">
        <f>IF(AJ185&lt;$AW$4,$AW$4,AJ185)</f>
        <v>2018</v>
      </c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13"/>
    </row>
    <row r="186" spans="1:115" ht="15" customHeight="1" x14ac:dyDescent="0.3">
      <c r="A186" s="235"/>
      <c r="B186" s="218"/>
      <c r="C186" s="225">
        <v>8</v>
      </c>
      <c r="D186" s="94" t="s">
        <v>1155</v>
      </c>
      <c r="E186" s="59" t="s">
        <v>2501</v>
      </c>
      <c r="F186" s="397" t="str">
        <f ca="1">IF(BC186&lt;2025, "Extinct&lt; 6Yrs?",BA186)</f>
        <v>Widespread</v>
      </c>
      <c r="G186" s="363" t="s">
        <v>525</v>
      </c>
      <c r="H186" s="363" t="s">
        <v>682</v>
      </c>
      <c r="I186" s="366" t="s">
        <v>988</v>
      </c>
      <c r="J186" s="365" t="s">
        <v>3266</v>
      </c>
      <c r="K186" s="365" t="s">
        <v>725</v>
      </c>
      <c r="L186" s="10" t="s">
        <v>1933</v>
      </c>
      <c r="M186" s="8" t="s">
        <v>4265</v>
      </c>
      <c r="N186" s="8" t="s">
        <v>5159</v>
      </c>
      <c r="O186" s="8" t="s">
        <v>6058</v>
      </c>
      <c r="P186" s="9" t="s">
        <v>403</v>
      </c>
      <c r="Q186" s="59" t="s">
        <v>2552</v>
      </c>
      <c r="R186" s="9" t="s">
        <v>2500</v>
      </c>
      <c r="S186" s="17" t="s">
        <v>2495</v>
      </c>
      <c r="T186" s="123" t="str">
        <f>IF(R186="Bogs Ponds Streams","20",IF(R186="Coastal Areas","26",IF(R186="Meadows Dry Open","10",IF(R186="Forest &amp; Understory","14",IF(R186="Moist Open","12",IF(R186="Moist Shady","10",IF(R186="Sub-Alpine Slopes","0")))))))</f>
        <v>10</v>
      </c>
      <c r="U186" s="123" t="str">
        <f>IF(R186="Bogs Ponds Streams","52",IF(R186="Coastal Areas","51",IF(R186="Meadows Dry Open","53",IF(R186="Forest &amp; Understory","52",IF(R186="Moist Open","50",IF(R186="Moist Shady","46",IF(R186="Sub-Alpine Slopes","40")))))))</f>
        <v>53</v>
      </c>
      <c r="V186" s="123" t="str">
        <f>IF(R186="Bogs Ponds Streams","84",IF(R186="Coastal Areas","76",IF(R186="Meadows Dry Open","96", IF(R186="Forest &amp; Understory","90", IF(R186="Moist Open","88", IF(R186="Moist Shady","82", IF(R186="Sub-Alpine Slopes","80")))))))</f>
        <v>96</v>
      </c>
      <c r="W186" s="59">
        <v>20</v>
      </c>
      <c r="X186" s="59">
        <v>0</v>
      </c>
      <c r="Y186" s="59">
        <v>3500</v>
      </c>
      <c r="Z186" s="59" t="s">
        <v>2519</v>
      </c>
      <c r="AA186" s="59" t="s">
        <v>2518</v>
      </c>
      <c r="AB186" s="59">
        <v>6.8</v>
      </c>
      <c r="AC186" s="45">
        <f>C186+AK186+(0.1)*AL186</f>
        <v>32.200000000000003</v>
      </c>
      <c r="AD186" s="77">
        <v>146</v>
      </c>
      <c r="AE186" s="59">
        <v>5</v>
      </c>
      <c r="AF186" s="59">
        <v>5</v>
      </c>
      <c r="AG186" s="59">
        <v>1900</v>
      </c>
      <c r="AH186" s="77">
        <v>0</v>
      </c>
      <c r="AI186" s="59">
        <f ca="1">AJ186</f>
        <v>2019</v>
      </c>
      <c r="AJ186" s="18">
        <f ca="1">YEAR(TODAY())</f>
        <v>2019</v>
      </c>
      <c r="AK186" s="18">
        <v>22</v>
      </c>
      <c r="AL186" s="18">
        <v>22</v>
      </c>
      <c r="AM186" s="18">
        <v>1</v>
      </c>
      <c r="AN186" s="18">
        <v>1</v>
      </c>
      <c r="AO186" s="18">
        <v>5</v>
      </c>
      <c r="AP186" s="18">
        <v>1</v>
      </c>
      <c r="AQ186" s="18">
        <v>0</v>
      </c>
      <c r="AR186" s="18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233"/>
      <c r="AZ186" s="4"/>
      <c r="BA186" s="35" t="str">
        <f>IF(OR(S186="North America",S186="Rocky Mountain"), "Widespread",BC186)</f>
        <v>Widespread</v>
      </c>
      <c r="BB186" s="4"/>
      <c r="BC186" s="35" t="str">
        <f ca="1">IF(BE186&gt;2046, "Abundant",BE186)</f>
        <v>Abundant</v>
      </c>
      <c r="BD186" s="4"/>
      <c r="BE186" s="81">
        <f ca="1">YEAR($C$13)+(BG186*80)</f>
        <v>2107.4357019607842</v>
      </c>
      <c r="BF186" s="4"/>
      <c r="BG186" s="137">
        <f ca="1">BH186*$BH$14</f>
        <v>1.1054462745098041</v>
      </c>
      <c r="BH186" s="137">
        <f ca="1">(((BJ186+BK186+BM186+BN186)/4)*$BM$11)+(((BP186+BQ186)/2)*$BQ$11)+(((BU186+BV186+BW186)/3)*$BU$11)+(((BY186+BZ186+CA186+CB186+CC186)/5)*$CA$11)</f>
        <v>1.1054462745098041</v>
      </c>
      <c r="BI186" s="4"/>
      <c r="BJ186" s="33">
        <f>AP186/(AM186+AO186)</f>
        <v>0.16666666666666666</v>
      </c>
      <c r="BK186" s="33">
        <f>(AN186+AO186)/(AM186+AO186)</f>
        <v>1</v>
      </c>
      <c r="BL186" s="4"/>
      <c r="BM186" s="127">
        <f>CF186/102</f>
        <v>0.31568627450980397</v>
      </c>
      <c r="BN186" s="127">
        <f>C186/2</f>
        <v>4</v>
      </c>
      <c r="BO186" s="4"/>
      <c r="BP186" s="127">
        <f>(AK186)/($AW$6)</f>
        <v>0.22222222222222221</v>
      </c>
      <c r="BQ186" s="127">
        <f ca="1">(CH186-$AW$4)/((YEAR($C$13))-$AW$4)</f>
        <v>1</v>
      </c>
      <c r="BR186" s="127">
        <f>(AL186)/($AW$6)</f>
        <v>0.22222222222222221</v>
      </c>
      <c r="BS186" s="4"/>
      <c r="BT186" s="127"/>
      <c r="BU186" s="127">
        <f ca="1">(CG186-$AW$4)/((YEAR($C$13))-$AW$4)</f>
        <v>1</v>
      </c>
      <c r="BV186" s="127">
        <f>AE186/5</f>
        <v>1</v>
      </c>
      <c r="BW186" s="127">
        <f>AF186/5</f>
        <v>1</v>
      </c>
      <c r="BX186" s="4"/>
      <c r="BY186" s="148" t="str">
        <f>IF(E186="A",".98",IF(E186="B",".99",IF(E186="C","1.00",IF(E186="D","1.00" ))))</f>
        <v>1.00</v>
      </c>
      <c r="BZ186" s="127">
        <f>(CE186+7)/10</f>
        <v>1</v>
      </c>
      <c r="CA186" s="76" t="str">
        <f>IF(D186="Fern",".97",IF(D186="Grass",".99",IF(D186="Herb",".97",IF(D186="Shrub",".99",IF(D186="Tree","1.00",IF(D186="Vine",".98"))))))</f>
        <v>.99</v>
      </c>
      <c r="CB186" s="149" t="str">
        <f>IF(R186="Bogs Ponds Streams",".96", IF(R186="Coastal Areas",".97",IF(R186="Meadows Dry Open",".96",IF(R186="Forest &amp; Understory",".97",IF(R186="Moist Open",".98",IF(R186="Moist Shady",".96",IF(R186="Sub-Alpine","1.0")))))))</f>
        <v>.96</v>
      </c>
      <c r="CC186" s="76" t="str">
        <f>IF(S186="Local Endemic",".50",IF(S186="Regional Endemic",".70",IF(S186="Cascadia",".90",IF(S186="Rocky Mountain",".95",IF(S186="North America",".99")))))</f>
        <v>.99</v>
      </c>
      <c r="CD186" s="4"/>
      <c r="CE186" s="21">
        <f>IF(W186&gt;3,3,W186)</f>
        <v>3</v>
      </c>
      <c r="CF186" s="21">
        <f>IF(AC186&gt;102,102,AC186)</f>
        <v>32.200000000000003</v>
      </c>
      <c r="CG186" s="34">
        <f ca="1">IF(AI186&lt;$AW$4,$AW$4,AI186)</f>
        <v>2019</v>
      </c>
      <c r="CH186" s="34">
        <f ca="1">IF(AJ186&lt;$AW$4,$AW$4,AJ186)</f>
        <v>2019</v>
      </c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13"/>
    </row>
    <row r="187" spans="1:115" ht="15" customHeight="1" x14ac:dyDescent="0.3">
      <c r="A187" s="235"/>
      <c r="B187" s="218"/>
      <c r="C187" s="226">
        <v>2</v>
      </c>
      <c r="D187" s="119" t="s">
        <v>1155</v>
      </c>
      <c r="E187" s="104" t="s">
        <v>2501</v>
      </c>
      <c r="F187" s="400" t="str">
        <f ca="1">IF(BC187&lt;2025, "Extinct&lt; 6Yrs?",BA187)</f>
        <v>Widespread</v>
      </c>
      <c r="G187" s="369" t="s">
        <v>525</v>
      </c>
      <c r="H187" s="369" t="s">
        <v>4028</v>
      </c>
      <c r="I187" s="370" t="s">
        <v>1263</v>
      </c>
      <c r="J187" s="371" t="s">
        <v>3810</v>
      </c>
      <c r="K187" s="371" t="s">
        <v>1262</v>
      </c>
      <c r="L187" s="106" t="s">
        <v>1934</v>
      </c>
      <c r="M187" s="111" t="s">
        <v>4266</v>
      </c>
      <c r="N187" s="111" t="s">
        <v>5160</v>
      </c>
      <c r="O187" s="111" t="s">
        <v>6059</v>
      </c>
      <c r="P187" s="105" t="s">
        <v>403</v>
      </c>
      <c r="Q187" s="104" t="s">
        <v>2552</v>
      </c>
      <c r="R187" s="105" t="s">
        <v>2500</v>
      </c>
      <c r="S187" s="105" t="s">
        <v>2495</v>
      </c>
      <c r="T187" s="133" t="str">
        <f>IF(R187="Bogs Ponds Streams","20",IF(R187="Coastal Areas","26",IF(R187="Meadows Dry Open","10",IF(R187="Forest &amp; Understory","14",IF(R187="Moist Open","12",IF(R187="Moist Shady","10",IF(R187="Sub-Alpine Slopes","0")))))))</f>
        <v>10</v>
      </c>
      <c r="U187" s="133" t="str">
        <f>IF(R187="Bogs Ponds Streams","52",IF(R187="Coastal Areas","51",IF(R187="Meadows Dry Open","53",IF(R187="Forest &amp; Understory","52",IF(R187="Moist Open","50",IF(R187="Moist Shady","46",IF(R187="Sub-Alpine Slopes","40")))))))</f>
        <v>53</v>
      </c>
      <c r="V187" s="133" t="str">
        <f>IF(R187="Bogs Ponds Streams","84",IF(R187="Coastal Areas","76",IF(R187="Meadows Dry Open","96", IF(R187="Forest &amp; Understory","90", IF(R187="Moist Open","88", IF(R187="Moist Shady","82", IF(R187="Sub-Alpine Slopes","80")))))))</f>
        <v>96</v>
      </c>
      <c r="W187" s="104">
        <v>20</v>
      </c>
      <c r="X187" s="104">
        <v>0</v>
      </c>
      <c r="Y187" s="104">
        <v>3500</v>
      </c>
      <c r="Z187" s="104" t="s">
        <v>2519</v>
      </c>
      <c r="AA187" s="104" t="s">
        <v>2518</v>
      </c>
      <c r="AB187" s="104">
        <v>6.8</v>
      </c>
      <c r="AC187" s="107">
        <f>C187+AK187+(0.1)*AL187</f>
        <v>6</v>
      </c>
      <c r="AD187" s="113">
        <v>29</v>
      </c>
      <c r="AE187" s="112">
        <v>3</v>
      </c>
      <c r="AF187" s="112">
        <v>5</v>
      </c>
      <c r="AG187" s="113">
        <v>1936</v>
      </c>
      <c r="AH187" s="113">
        <v>0</v>
      </c>
      <c r="AI187" s="113">
        <v>2011</v>
      </c>
      <c r="AJ187" s="108">
        <v>1990</v>
      </c>
      <c r="AK187" s="108">
        <v>4</v>
      </c>
      <c r="AL187" s="108">
        <v>0</v>
      </c>
      <c r="AM187" s="109">
        <v>5</v>
      </c>
      <c r="AN187" s="109">
        <v>1</v>
      </c>
      <c r="AO187" s="110">
        <v>0</v>
      </c>
      <c r="AP187" s="109">
        <v>0</v>
      </c>
      <c r="AQ187" s="109">
        <v>0</v>
      </c>
      <c r="AR187" s="109">
        <v>0</v>
      </c>
      <c r="AS187" s="110">
        <v>0</v>
      </c>
      <c r="AT187" s="109">
        <v>0</v>
      </c>
      <c r="AU187" s="109">
        <v>0</v>
      </c>
      <c r="AV187" s="109">
        <v>0</v>
      </c>
      <c r="AW187" s="110">
        <v>0</v>
      </c>
      <c r="AX187" s="109">
        <v>0</v>
      </c>
      <c r="AY187" s="233"/>
      <c r="AZ187" s="4"/>
      <c r="BA187" s="35" t="str">
        <f>IF(OR(S187="North America",S187="Rocky Mountain"), "Widespread",BC187)</f>
        <v>Widespread</v>
      </c>
      <c r="BB187" s="4"/>
      <c r="BC187" s="35">
        <f ca="1">IF(BE187&gt;2046, "Abundant",BE187)</f>
        <v>2040.5804197266787</v>
      </c>
      <c r="BD187" s="4"/>
      <c r="BE187" s="81">
        <f ca="1">YEAR($C$13)+(BG187*80)</f>
        <v>2040.5804197266787</v>
      </c>
      <c r="BF187" s="4"/>
      <c r="BG187" s="137">
        <f ca="1">BH187*$BH$14</f>
        <v>0.26975524658348188</v>
      </c>
      <c r="BH187" s="137">
        <f ca="1">(((BJ187+BK187+BM187+BN187)/4)*$BM$11)+(((BP187+BQ187)/2)*$BQ$11)+(((BU187+BV187+BW187)/3)*$BU$11)+(((BY187+BZ187+CA187+CB187+CC187)/5)*$CA$11)</f>
        <v>0.26975524658348188</v>
      </c>
      <c r="BI187" s="4"/>
      <c r="BJ187" s="33">
        <f>AP187/(AM187+AO187)</f>
        <v>0</v>
      </c>
      <c r="BK187" s="33">
        <f>(AN187+AO187)/(AM187+AO187)</f>
        <v>0.2</v>
      </c>
      <c r="BL187" s="4"/>
      <c r="BM187" s="127">
        <f>CF187/102</f>
        <v>5.8823529411764705E-2</v>
      </c>
      <c r="BN187" s="127">
        <f>C187/2</f>
        <v>1</v>
      </c>
      <c r="BO187" s="4"/>
      <c r="BP187" s="127">
        <f>(AK187)/($AW$6)</f>
        <v>4.0404040404040407E-2</v>
      </c>
      <c r="BQ187" s="127">
        <f ca="1">(CH187-$AW$4)/((YEAR($C$13))-$AW$4)</f>
        <v>0</v>
      </c>
      <c r="BR187" s="127">
        <f>(AL187)/($AW$6)</f>
        <v>0</v>
      </c>
      <c r="BS187" s="4"/>
      <c r="BT187" s="127"/>
      <c r="BU187" s="127">
        <f ca="1">(CG187-$AW$4)/((YEAR($C$13))-$AW$4)</f>
        <v>0.46666666666666667</v>
      </c>
      <c r="BV187" s="127">
        <f>AE187/5</f>
        <v>0.6</v>
      </c>
      <c r="BW187" s="127">
        <f>AF187/5</f>
        <v>1</v>
      </c>
      <c r="BX187" s="4"/>
      <c r="BY187" s="148" t="str">
        <f>IF(E187="A",".98",IF(E187="B",".99",IF(E187="C","1.00",IF(E187="D","1.00" ))))</f>
        <v>1.00</v>
      </c>
      <c r="BZ187" s="127">
        <f>(CE187+7)/10</f>
        <v>1</v>
      </c>
      <c r="CA187" s="76" t="str">
        <f>IF(D187="Fern",".97",IF(D187="Grass",".99",IF(D187="Herb",".97",IF(D187="Shrub",".99",IF(D187="Tree","1.00",IF(D187="Vine",".98"))))))</f>
        <v>.99</v>
      </c>
      <c r="CB187" s="149" t="str">
        <f>IF(R187="Bogs Ponds Streams",".96", IF(R187="Coastal Areas",".97",IF(R187="Meadows Dry Open",".96",IF(R187="Forest &amp; Understory",".97",IF(R187="Moist Open",".98",IF(R187="Moist Shady",".96",IF(R187="Sub-Alpine","1.0")))))))</f>
        <v>.96</v>
      </c>
      <c r="CC187" s="76" t="str">
        <f>IF(S187="Local Endemic",".50",IF(S187="Regional Endemic",".70",IF(S187="Cascadia",".90",IF(S187="Rocky Mountain",".95",IF(S187="North America",".99")))))</f>
        <v>.99</v>
      </c>
      <c r="CD187" s="4"/>
      <c r="CE187" s="21">
        <f>IF(W187&gt;3,3,W187)</f>
        <v>3</v>
      </c>
      <c r="CF187" s="21">
        <f>IF(AC187&gt;102,102,AC187)</f>
        <v>6</v>
      </c>
      <c r="CG187" s="34">
        <f>IF(AI187&lt;$AW$4,$AW$4,AI187)</f>
        <v>2011</v>
      </c>
      <c r="CH187" s="34">
        <f>IF(AJ187&lt;$AW$4,$AW$4,AJ187)</f>
        <v>2004</v>
      </c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13"/>
    </row>
    <row r="188" spans="1:115" ht="15" customHeight="1" x14ac:dyDescent="0.3">
      <c r="A188" s="235"/>
      <c r="B188" s="218"/>
      <c r="C188" s="226">
        <v>2</v>
      </c>
      <c r="D188" s="119" t="s">
        <v>1155</v>
      </c>
      <c r="E188" s="104" t="s">
        <v>2501</v>
      </c>
      <c r="F188" s="400" t="str">
        <f ca="1">IF(BC188&lt;2025, "Extinct&lt; 6Yrs?",BA188)</f>
        <v>Abundant</v>
      </c>
      <c r="G188" s="369" t="s">
        <v>525</v>
      </c>
      <c r="H188" s="369" t="s">
        <v>4028</v>
      </c>
      <c r="I188" s="370" t="s">
        <v>411</v>
      </c>
      <c r="J188" s="371" t="s">
        <v>3809</v>
      </c>
      <c r="K188" s="371" t="s">
        <v>896</v>
      </c>
      <c r="L188" s="106" t="s">
        <v>1935</v>
      </c>
      <c r="M188" s="111" t="s">
        <v>4267</v>
      </c>
      <c r="N188" s="111" t="s">
        <v>5161</v>
      </c>
      <c r="O188" s="111" t="s">
        <v>6060</v>
      </c>
      <c r="P188" s="105" t="s">
        <v>403</v>
      </c>
      <c r="Q188" s="104" t="s">
        <v>2552</v>
      </c>
      <c r="R188" s="161" t="s">
        <v>2497</v>
      </c>
      <c r="S188" s="114" t="s">
        <v>2459</v>
      </c>
      <c r="T188" s="133" t="str">
        <f>IF(R188="Bogs Ponds Streams","20",IF(R188="Coastal Areas","26",IF(R188="Meadows Dry Open","10",IF(R188="Forest &amp; Understory","14",IF(R188="Moist Open","12",IF(R188="Moist Shady","10",IF(R188="Sub-Alpine Slopes","0")))))))</f>
        <v>12</v>
      </c>
      <c r="U188" s="133" t="str">
        <f>IF(R188="Bogs Ponds Streams","52",IF(R188="Coastal Areas","51",IF(R188="Meadows Dry Open","53",IF(R188="Forest &amp; Understory","52",IF(R188="Moist Open","50",IF(R188="Moist Shady","46",IF(R188="Sub-Alpine Slopes","40")))))))</f>
        <v>50</v>
      </c>
      <c r="V188" s="133" t="str">
        <f>IF(R188="Bogs Ponds Streams","84",IF(R188="Coastal Areas","76",IF(R188="Meadows Dry Open","96", IF(R188="Forest &amp; Understory","90", IF(R188="Moist Open","88", IF(R188="Moist Shady","82", IF(R188="Sub-Alpine Slopes","80")))))))</f>
        <v>88</v>
      </c>
      <c r="W188" s="104">
        <v>20</v>
      </c>
      <c r="X188" s="104">
        <v>0</v>
      </c>
      <c r="Y188" s="104">
        <v>3500</v>
      </c>
      <c r="Z188" s="104" t="s">
        <v>2519</v>
      </c>
      <c r="AA188" s="104" t="s">
        <v>2518</v>
      </c>
      <c r="AB188" s="104">
        <v>6.8</v>
      </c>
      <c r="AC188" s="107">
        <f>C188+AK188+(0.1)*AL188</f>
        <v>13</v>
      </c>
      <c r="AD188" s="113">
        <v>26</v>
      </c>
      <c r="AE188" s="104">
        <v>5</v>
      </c>
      <c r="AF188" s="104">
        <v>5</v>
      </c>
      <c r="AG188" s="104">
        <v>1900</v>
      </c>
      <c r="AH188" s="113">
        <v>0</v>
      </c>
      <c r="AI188" s="104">
        <f ca="1">AJ188</f>
        <v>2019</v>
      </c>
      <c r="AJ188" s="108">
        <f ca="1">YEAR(TODAY())</f>
        <v>2019</v>
      </c>
      <c r="AK188" s="108">
        <v>11</v>
      </c>
      <c r="AL188" s="108">
        <v>0</v>
      </c>
      <c r="AM188" s="108">
        <v>1</v>
      </c>
      <c r="AN188" s="108">
        <v>1</v>
      </c>
      <c r="AO188" s="108">
        <v>5</v>
      </c>
      <c r="AP188" s="108">
        <v>1</v>
      </c>
      <c r="AQ188" s="108">
        <v>0</v>
      </c>
      <c r="AR188" s="108">
        <v>0</v>
      </c>
      <c r="AS188" s="108">
        <v>0</v>
      </c>
      <c r="AT188" s="108">
        <v>0</v>
      </c>
      <c r="AU188" s="108">
        <v>0</v>
      </c>
      <c r="AV188" s="108">
        <v>0</v>
      </c>
      <c r="AW188" s="108">
        <v>0</v>
      </c>
      <c r="AX188" s="108">
        <v>0</v>
      </c>
      <c r="AY188" s="233"/>
      <c r="AZ188" s="4"/>
      <c r="BA188" s="35" t="str">
        <f ca="1">IF(OR(S188="North America",S188="Rocky Mountain"), "Widespread",BC188)</f>
        <v>Abundant</v>
      </c>
      <c r="BB188" s="4"/>
      <c r="BC188" s="35" t="str">
        <f ca="1">IF(BE188&gt;2046, "Abundant",BE188)</f>
        <v>Abundant</v>
      </c>
      <c r="BD188" s="4"/>
      <c r="BE188" s="81">
        <f ca="1">YEAR($C$13)+(BG188*80)</f>
        <v>2067.8211450980393</v>
      </c>
      <c r="BF188" s="4"/>
      <c r="BG188" s="137">
        <f ca="1">BH188*$BH$14</f>
        <v>0.61026431372549017</v>
      </c>
      <c r="BH188" s="137">
        <f ca="1">(((BJ188+BK188+BM188+BN188)/4)*$BM$11)+(((BP188+BQ188)/2)*$BQ$11)+(((BU188+BV188+BW188)/3)*$BU$11)+(((BY188+BZ188+CA188+CB188+CC188)/5)*$CA$11)</f>
        <v>0.61026431372549017</v>
      </c>
      <c r="BI188" s="4"/>
      <c r="BJ188" s="33">
        <f>AP188/(AM188+AO188)</f>
        <v>0.16666666666666666</v>
      </c>
      <c r="BK188" s="33">
        <f>(AN188+AO188)/(AM188+AO188)</f>
        <v>1</v>
      </c>
      <c r="BL188" s="4"/>
      <c r="BM188" s="127">
        <f>CF188/102</f>
        <v>0.12745098039215685</v>
      </c>
      <c r="BN188" s="127">
        <f>C188/2</f>
        <v>1</v>
      </c>
      <c r="BO188" s="4"/>
      <c r="BP188" s="127">
        <f>(AK188)/($AW$6)</f>
        <v>0.1111111111111111</v>
      </c>
      <c r="BQ188" s="127">
        <f ca="1">(CH188-$AW$4)/((YEAR($C$13))-$AW$4)</f>
        <v>1</v>
      </c>
      <c r="BR188" s="127">
        <f>(AL188)/($AW$6)</f>
        <v>0</v>
      </c>
      <c r="BS188" s="4"/>
      <c r="BT188" s="127"/>
      <c r="BU188" s="127">
        <f ca="1">(CG188-$AW$4)/((YEAR($C$13))-$AW$4)</f>
        <v>1</v>
      </c>
      <c r="BV188" s="127">
        <f>AE188/5</f>
        <v>1</v>
      </c>
      <c r="BW188" s="127">
        <f>AF188/5</f>
        <v>1</v>
      </c>
      <c r="BX188" s="4"/>
      <c r="BY188" s="148" t="str">
        <f>IF(E188="A",".98",IF(E188="B",".99",IF(E188="C","1.00",IF(E188="D","1.00" ))))</f>
        <v>1.00</v>
      </c>
      <c r="BZ188" s="127">
        <f>(CE188+7)/10</f>
        <v>1</v>
      </c>
      <c r="CA188" s="76" t="str">
        <f>IF(D188="Fern",".97",IF(D188="Grass",".99",IF(D188="Herb",".97",IF(D188="Shrub",".99",IF(D188="Tree","1.00",IF(D188="Vine",".98"))))))</f>
        <v>.99</v>
      </c>
      <c r="CB188" s="149" t="str">
        <f>IF(R188="Bogs Ponds Streams",".96", IF(R188="Coastal Areas",".97",IF(R188="Meadows Dry Open",".96",IF(R188="Forest &amp; Understory",".97",IF(R188="Moist Open",".98",IF(R188="Moist Shady",".96",IF(R188="Sub-Alpine","1.0")))))))</f>
        <v>.98</v>
      </c>
      <c r="CC188" s="76" t="str">
        <f>IF(S188="Local Endemic",".50",IF(S188="Regional Endemic",".70",IF(S188="Cascadia",".90",IF(S188="Rocky Mountain",".95",IF(S188="North America",".99")))))</f>
        <v>.90</v>
      </c>
      <c r="CD188" s="4"/>
      <c r="CE188" s="21">
        <f>IF(W188&gt;3,3,W188)</f>
        <v>3</v>
      </c>
      <c r="CF188" s="21">
        <f>IF(AC188&gt;102,102,AC188)</f>
        <v>13</v>
      </c>
      <c r="CG188" s="34">
        <f ca="1">IF(AI188&lt;$AW$4,$AW$4,AI188)</f>
        <v>2019</v>
      </c>
      <c r="CH188" s="34">
        <f ca="1">IF(AJ188&lt;$AW$4,$AW$4,AJ188)</f>
        <v>2019</v>
      </c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13"/>
    </row>
    <row r="189" spans="1:115" ht="15" customHeight="1" x14ac:dyDescent="0.3">
      <c r="A189" s="235"/>
      <c r="B189" s="218"/>
      <c r="C189" s="225">
        <v>8</v>
      </c>
      <c r="D189" s="94" t="s">
        <v>1155</v>
      </c>
      <c r="E189" s="59" t="s">
        <v>2501</v>
      </c>
      <c r="F189" s="397" t="str">
        <f ca="1">IF(BC189&lt;2025, "Extinct&lt; 6Yrs?",BA189)</f>
        <v>Abundant</v>
      </c>
      <c r="G189" s="363" t="s">
        <v>525</v>
      </c>
      <c r="H189" s="363" t="s">
        <v>681</v>
      </c>
      <c r="I189" s="366" t="s">
        <v>3041</v>
      </c>
      <c r="J189" s="365" t="s">
        <v>3267</v>
      </c>
      <c r="K189" s="365" t="s">
        <v>897</v>
      </c>
      <c r="L189" s="10" t="s">
        <v>1936</v>
      </c>
      <c r="M189" s="8" t="s">
        <v>4268</v>
      </c>
      <c r="N189" s="8" t="s">
        <v>5162</v>
      </c>
      <c r="O189" s="8" t="s">
        <v>6061</v>
      </c>
      <c r="P189" s="9" t="s">
        <v>403</v>
      </c>
      <c r="Q189" s="59" t="s">
        <v>2552</v>
      </c>
      <c r="R189" s="160" t="s">
        <v>2497</v>
      </c>
      <c r="S189" s="17" t="s">
        <v>2459</v>
      </c>
      <c r="T189" s="123" t="str">
        <f>IF(R189="Bogs Ponds Streams","20",IF(R189="Coastal Areas","26",IF(R189="Meadows Dry Open","10",IF(R189="Forest &amp; Understory","14",IF(R189="Moist Open","12",IF(R189="Moist Shady","10",IF(R189="Sub-Alpine Slopes","0")))))))</f>
        <v>12</v>
      </c>
      <c r="U189" s="123" t="str">
        <f>IF(R189="Bogs Ponds Streams","52",IF(R189="Coastal Areas","51",IF(R189="Meadows Dry Open","53",IF(R189="Forest &amp; Understory","52",IF(R189="Moist Open","50",IF(R189="Moist Shady","46",IF(R189="Sub-Alpine Slopes","40")))))))</f>
        <v>50</v>
      </c>
      <c r="V189" s="123" t="str">
        <f>IF(R189="Bogs Ponds Streams","84",IF(R189="Coastal Areas","76",IF(R189="Meadows Dry Open","96", IF(R189="Forest &amp; Understory","90", IF(R189="Moist Open","88", IF(R189="Moist Shady","82", IF(R189="Sub-Alpine Slopes","80")))))))</f>
        <v>88</v>
      </c>
      <c r="W189" s="59">
        <v>20</v>
      </c>
      <c r="X189" s="59">
        <v>0</v>
      </c>
      <c r="Y189" s="59">
        <v>3500</v>
      </c>
      <c r="Z189" s="59" t="s">
        <v>2519</v>
      </c>
      <c r="AA189" s="59" t="s">
        <v>2518</v>
      </c>
      <c r="AB189" s="59">
        <v>6.8</v>
      </c>
      <c r="AC189" s="45">
        <f>C189+AK189+(0.1)*AL189</f>
        <v>16.100000000000001</v>
      </c>
      <c r="AD189" s="77">
        <v>30</v>
      </c>
      <c r="AE189" s="59">
        <v>5</v>
      </c>
      <c r="AF189" s="59">
        <v>5</v>
      </c>
      <c r="AG189" s="59">
        <v>1900</v>
      </c>
      <c r="AH189" s="77">
        <v>0</v>
      </c>
      <c r="AI189" s="59">
        <f ca="1">AJ189</f>
        <v>2019</v>
      </c>
      <c r="AJ189" s="18">
        <f ca="1">YEAR(TODAY())</f>
        <v>2019</v>
      </c>
      <c r="AK189" s="18">
        <v>8</v>
      </c>
      <c r="AL189" s="18">
        <v>1</v>
      </c>
      <c r="AM189" s="18">
        <v>1</v>
      </c>
      <c r="AN189" s="18">
        <v>1</v>
      </c>
      <c r="AO189" s="18">
        <v>5</v>
      </c>
      <c r="AP189" s="18">
        <v>1</v>
      </c>
      <c r="AQ189" s="18">
        <v>0</v>
      </c>
      <c r="AR189" s="18">
        <v>0</v>
      </c>
      <c r="AS189" s="18">
        <v>0</v>
      </c>
      <c r="AT189" s="18">
        <v>0</v>
      </c>
      <c r="AU189" s="18">
        <v>0</v>
      </c>
      <c r="AV189" s="18">
        <v>0</v>
      </c>
      <c r="AW189" s="18">
        <v>0</v>
      </c>
      <c r="AX189" s="18">
        <v>0</v>
      </c>
      <c r="AY189" s="233"/>
      <c r="AZ189" s="4"/>
      <c r="BA189" s="35" t="str">
        <f ca="1">IF(OR(S189="North America",S189="Rocky Mountain"), "Widespread",BC189)</f>
        <v>Abundant</v>
      </c>
      <c r="BB189" s="4"/>
      <c r="BC189" s="35" t="str">
        <f ca="1">IF(BE189&gt;2046, "Abundant",BE189)</f>
        <v>Abundant</v>
      </c>
      <c r="BD189" s="4"/>
      <c r="BE189" s="81">
        <f ca="1">YEAR($C$13)+(BG189*80)</f>
        <v>2103.8222146167559</v>
      </c>
      <c r="BF189" s="4"/>
      <c r="BG189" s="137">
        <f ca="1">BH189*$BH$14</f>
        <v>1.0602776827094473</v>
      </c>
      <c r="BH189" s="137">
        <f ca="1">(((BJ189+BK189+BM189+BN189)/4)*$BM$11)+(((BP189+BQ189)/2)*$BQ$11)+(((BU189+BV189+BW189)/3)*$BU$11)+(((BY189+BZ189+CA189+CB189+CC189)/5)*$CA$11)</f>
        <v>1.0602776827094473</v>
      </c>
      <c r="BI189" s="4"/>
      <c r="BJ189" s="33">
        <f>AP189/(AM189+AO189)</f>
        <v>0.16666666666666666</v>
      </c>
      <c r="BK189" s="33">
        <f>(AN189+AO189)/(AM189+AO189)</f>
        <v>1</v>
      </c>
      <c r="BL189" s="4"/>
      <c r="BM189" s="127">
        <f>CF189/102</f>
        <v>0.15784313725490198</v>
      </c>
      <c r="BN189" s="127">
        <f>C189/2</f>
        <v>4</v>
      </c>
      <c r="BO189" s="4"/>
      <c r="BP189" s="127">
        <f>(AK189)/($AW$6)</f>
        <v>8.0808080808080815E-2</v>
      </c>
      <c r="BQ189" s="127">
        <f ca="1">(CH189-$AW$4)/((YEAR($C$13))-$AW$4)</f>
        <v>1</v>
      </c>
      <c r="BR189" s="127">
        <f>(AL189)/($AW$6)</f>
        <v>1.0101010101010102E-2</v>
      </c>
      <c r="BS189" s="4"/>
      <c r="BT189" s="127"/>
      <c r="BU189" s="127">
        <f ca="1">(CG189-$AW$4)/((YEAR($C$13))-$AW$4)</f>
        <v>1</v>
      </c>
      <c r="BV189" s="127">
        <f>AE189/5</f>
        <v>1</v>
      </c>
      <c r="BW189" s="127">
        <f>AF189/5</f>
        <v>1</v>
      </c>
      <c r="BX189" s="4"/>
      <c r="BY189" s="148" t="str">
        <f>IF(E189="A",".98",IF(E189="B",".99",IF(E189="C","1.00",IF(E189="D","1.00" ))))</f>
        <v>1.00</v>
      </c>
      <c r="BZ189" s="127">
        <f>(CE189+7)/10</f>
        <v>1</v>
      </c>
      <c r="CA189" s="76" t="str">
        <f>IF(D189="Fern",".97",IF(D189="Grass",".99",IF(D189="Herb",".97",IF(D189="Shrub",".99",IF(D189="Tree","1.00",IF(D189="Vine",".98"))))))</f>
        <v>.99</v>
      </c>
      <c r="CB189" s="149" t="str">
        <f>IF(R189="Bogs Ponds Streams",".96", IF(R189="Coastal Areas",".97",IF(R189="Meadows Dry Open",".96",IF(R189="Forest &amp; Understory",".97",IF(R189="Moist Open",".98",IF(R189="Moist Shady",".96",IF(R189="Sub-Alpine","1.0")))))))</f>
        <v>.98</v>
      </c>
      <c r="CC189" s="76" t="str">
        <f>IF(S189="Local Endemic",".50",IF(S189="Regional Endemic",".70",IF(S189="Cascadia",".90",IF(S189="Rocky Mountain",".95",IF(S189="North America",".99")))))</f>
        <v>.90</v>
      </c>
      <c r="CD189" s="4"/>
      <c r="CE189" s="21">
        <f>IF(W189&gt;3,3,W189)</f>
        <v>3</v>
      </c>
      <c r="CF189" s="21">
        <f>IF(AC189&gt;102,102,AC189)</f>
        <v>16.100000000000001</v>
      </c>
      <c r="CG189" s="34">
        <f ca="1">IF(AI189&lt;$AW$4,$AW$4,AI189)</f>
        <v>2019</v>
      </c>
      <c r="CH189" s="34">
        <f ca="1">IF(AJ189&lt;$AW$4,$AW$4,AJ189)</f>
        <v>2019</v>
      </c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13"/>
    </row>
    <row r="190" spans="1:115" ht="15" customHeight="1" x14ac:dyDescent="0.3">
      <c r="A190" s="235"/>
      <c r="B190" s="218"/>
      <c r="C190" s="226">
        <v>2</v>
      </c>
      <c r="D190" s="104" t="s">
        <v>1155</v>
      </c>
      <c r="E190" s="104" t="s">
        <v>2501</v>
      </c>
      <c r="F190" s="400" t="str">
        <f ca="1">IF(BC190&lt;2025, "Extinct&lt; 6Yrs?",BA190)</f>
        <v>Widespread</v>
      </c>
      <c r="G190" s="369" t="s">
        <v>525</v>
      </c>
      <c r="H190" s="369" t="s">
        <v>4028</v>
      </c>
      <c r="I190" s="371" t="s">
        <v>1364</v>
      </c>
      <c r="J190" s="371" t="s">
        <v>3808</v>
      </c>
      <c r="K190" s="371" t="s">
        <v>406</v>
      </c>
      <c r="L190" s="106" t="s">
        <v>1937</v>
      </c>
      <c r="M190" s="111" t="s">
        <v>4269</v>
      </c>
      <c r="N190" s="111" t="s">
        <v>5163</v>
      </c>
      <c r="O190" s="111" t="s">
        <v>6062</v>
      </c>
      <c r="P190" s="105" t="s">
        <v>403</v>
      </c>
      <c r="Q190" s="104" t="s">
        <v>2552</v>
      </c>
      <c r="R190" s="161" t="s">
        <v>2497</v>
      </c>
      <c r="S190" s="114" t="s">
        <v>2495</v>
      </c>
      <c r="T190" s="133" t="str">
        <f>IF(R190="Bogs Ponds Streams","20",IF(R190="Coastal Areas","26",IF(R190="Meadows Dry Open","10",IF(R190="Forest &amp; Understory","14",IF(R190="Moist Open","12",IF(R190="Moist Shady","10",IF(R190="Sub-Alpine Slopes","0")))))))</f>
        <v>12</v>
      </c>
      <c r="U190" s="133" t="str">
        <f>IF(R190="Bogs Ponds Streams","52",IF(R190="Coastal Areas","51",IF(R190="Meadows Dry Open","53",IF(R190="Forest &amp; Understory","52",IF(R190="Moist Open","50",IF(R190="Moist Shady","46",IF(R190="Sub-Alpine Slopes","40")))))))</f>
        <v>50</v>
      </c>
      <c r="V190" s="133" t="str">
        <f>IF(R190="Bogs Ponds Streams","84",IF(R190="Coastal Areas","76",IF(R190="Meadows Dry Open","96", IF(R190="Forest &amp; Understory","90", IF(R190="Moist Open","88", IF(R190="Moist Shady","82", IF(R190="Sub-Alpine Slopes","80")))))))</f>
        <v>88</v>
      </c>
      <c r="W190" s="104">
        <v>20</v>
      </c>
      <c r="X190" s="104">
        <v>0</v>
      </c>
      <c r="Y190" s="104">
        <v>3500</v>
      </c>
      <c r="Z190" s="104" t="s">
        <v>2519</v>
      </c>
      <c r="AA190" s="104" t="s">
        <v>2518</v>
      </c>
      <c r="AB190" s="104">
        <v>6.8</v>
      </c>
      <c r="AC190" s="107">
        <f>C190+AK190+(0.1)*AL190</f>
        <v>28.5</v>
      </c>
      <c r="AD190" s="113">
        <v>247</v>
      </c>
      <c r="AE190" s="104">
        <v>5</v>
      </c>
      <c r="AF190" s="104">
        <v>5</v>
      </c>
      <c r="AG190" s="104">
        <v>1900</v>
      </c>
      <c r="AH190" s="113">
        <v>0</v>
      </c>
      <c r="AI190" s="104">
        <f>AJ190</f>
        <v>1991</v>
      </c>
      <c r="AJ190" s="108">
        <v>1991</v>
      </c>
      <c r="AK190" s="108">
        <v>22</v>
      </c>
      <c r="AL190" s="108">
        <v>45</v>
      </c>
      <c r="AM190" s="109">
        <v>5</v>
      </c>
      <c r="AN190" s="109">
        <v>1</v>
      </c>
      <c r="AO190" s="109">
        <v>1</v>
      </c>
      <c r="AP190" s="109">
        <v>0</v>
      </c>
      <c r="AQ190" s="109">
        <v>0</v>
      </c>
      <c r="AR190" s="109">
        <v>0</v>
      </c>
      <c r="AS190" s="110">
        <v>0</v>
      </c>
      <c r="AT190" s="109">
        <v>0</v>
      </c>
      <c r="AU190" s="109">
        <v>0</v>
      </c>
      <c r="AV190" s="109">
        <v>0</v>
      </c>
      <c r="AW190" s="110">
        <v>0</v>
      </c>
      <c r="AX190" s="109">
        <v>0</v>
      </c>
      <c r="AY190" s="233"/>
      <c r="AZ190" s="4"/>
      <c r="BA190" s="35" t="str">
        <f>IF(OR(S190="North America",S190="Rocky Mountain"), "Widespread",BC190)</f>
        <v>Widespread</v>
      </c>
      <c r="BB190" s="4"/>
      <c r="BC190" s="35" t="str">
        <f ca="1">IF(BE190&gt;2046, "Abundant",BE190)</f>
        <v>Abundant</v>
      </c>
      <c r="BD190" s="4"/>
      <c r="BE190" s="81">
        <f ca="1">YEAR($C$13)+(BG190*80)</f>
        <v>2046.8734745098038</v>
      </c>
      <c r="BF190" s="4"/>
      <c r="BG190" s="137">
        <f ca="1">BH190*$BH$14</f>
        <v>0.34841843137254908</v>
      </c>
      <c r="BH190" s="137">
        <f ca="1">(((BJ190+BK190+BM190+BN190)/4)*$BM$11)+(((BP190+BQ190)/2)*$BQ$11)+(((BU190+BV190+BW190)/3)*$BU$11)+(((BY190+BZ190+CA190+CB190+CC190)/5)*$CA$11)</f>
        <v>0.34841843137254908</v>
      </c>
      <c r="BI190" s="4"/>
      <c r="BJ190" s="33">
        <f>AP190/(AM190+AO190)</f>
        <v>0</v>
      </c>
      <c r="BK190" s="33">
        <f>(AN190+AO190)/(AM190+AO190)</f>
        <v>0.33333333333333331</v>
      </c>
      <c r="BL190" s="4"/>
      <c r="BM190" s="127">
        <f>CF190/102</f>
        <v>0.27941176470588236</v>
      </c>
      <c r="BN190" s="127">
        <f>C190/2</f>
        <v>1</v>
      </c>
      <c r="BO190" s="4"/>
      <c r="BP190" s="127">
        <f>(AK190)/($AW$6)</f>
        <v>0.22222222222222221</v>
      </c>
      <c r="BQ190" s="127">
        <f ca="1">(CH190-$AW$4)/((YEAR($C$13))-$AW$4)</f>
        <v>0</v>
      </c>
      <c r="BR190" s="127">
        <f>(AL190)/($AW$6)</f>
        <v>0.45454545454545453</v>
      </c>
      <c r="BS190" s="4"/>
      <c r="BT190" s="127"/>
      <c r="BU190" s="127">
        <f ca="1">(CG190-$AW$4)/((YEAR($C$13))-$AW$4)</f>
        <v>0</v>
      </c>
      <c r="BV190" s="127">
        <f>AE190/5</f>
        <v>1</v>
      </c>
      <c r="BW190" s="127">
        <f>AF190/5</f>
        <v>1</v>
      </c>
      <c r="BX190" s="4"/>
      <c r="BY190" s="148" t="str">
        <f>IF(E190="A",".98",IF(E190="B",".99",IF(E190="C","1.00",IF(E190="D","1.00" ))))</f>
        <v>1.00</v>
      </c>
      <c r="BZ190" s="127">
        <f>(CE190+7)/10</f>
        <v>1</v>
      </c>
      <c r="CA190" s="76" t="str">
        <f>IF(D190="Fern",".97",IF(D190="Grass",".99",IF(D190="Herb",".97",IF(D190="Shrub",".99",IF(D190="Tree","1.00",IF(D190="Vine",".98"))))))</f>
        <v>.99</v>
      </c>
      <c r="CB190" s="149" t="str">
        <f>IF(R190="Bogs Ponds Streams",".96", IF(R190="Coastal Areas",".97",IF(R190="Meadows Dry Open",".96",IF(R190="Forest &amp; Understory",".97",IF(R190="Moist Open",".98",IF(R190="Moist Shady",".96",IF(R190="Sub-Alpine","1.0")))))))</f>
        <v>.98</v>
      </c>
      <c r="CC190" s="76" t="str">
        <f>IF(S190="Local Endemic",".50",IF(S190="Regional Endemic",".70",IF(S190="Cascadia",".90",IF(S190="Rocky Mountain",".95",IF(S190="North America",".99")))))</f>
        <v>.99</v>
      </c>
      <c r="CD190" s="4"/>
      <c r="CE190" s="21">
        <f>IF(W190&gt;3,3,W190)</f>
        <v>3</v>
      </c>
      <c r="CF190" s="21">
        <f>IF(AC190&gt;102,102,AC190)</f>
        <v>28.5</v>
      </c>
      <c r="CG190" s="34">
        <f>IF(AI190&lt;$AW$4,$AW$4,AI190)</f>
        <v>2004</v>
      </c>
      <c r="CH190" s="34">
        <f>IF(AJ190&lt;$AW$4,$AW$4,AJ190)</f>
        <v>2004</v>
      </c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13"/>
    </row>
    <row r="191" spans="1:115" ht="15" customHeight="1" x14ac:dyDescent="0.3">
      <c r="A191" s="235"/>
      <c r="B191" s="218"/>
      <c r="C191" s="225">
        <v>8</v>
      </c>
      <c r="D191" s="94" t="s">
        <v>1155</v>
      </c>
      <c r="E191" s="59" t="s">
        <v>2501</v>
      </c>
      <c r="F191" s="397" t="str">
        <f ca="1">IF(BC191&lt;2025, "Extinct&lt; 6Yrs?",BA191)</f>
        <v>Widespread</v>
      </c>
      <c r="G191" s="363" t="s">
        <v>525</v>
      </c>
      <c r="H191" s="363" t="s">
        <v>678</v>
      </c>
      <c r="I191" s="366" t="s">
        <v>405</v>
      </c>
      <c r="J191" s="365" t="s">
        <v>3268</v>
      </c>
      <c r="K191" s="365" t="s">
        <v>898</v>
      </c>
      <c r="L191" s="10" t="s">
        <v>1938</v>
      </c>
      <c r="M191" s="8" t="s">
        <v>4270</v>
      </c>
      <c r="N191" s="8" t="s">
        <v>5164</v>
      </c>
      <c r="O191" s="8" t="s">
        <v>6063</v>
      </c>
      <c r="P191" s="9" t="s">
        <v>403</v>
      </c>
      <c r="Q191" s="59" t="s">
        <v>2552</v>
      </c>
      <c r="R191" s="160" t="s">
        <v>2497</v>
      </c>
      <c r="S191" s="17" t="s">
        <v>2495</v>
      </c>
      <c r="T191" s="123" t="str">
        <f>IF(R191="Bogs Ponds Streams","20",IF(R191="Coastal Areas","26",IF(R191="Meadows Dry Open","10",IF(R191="Forest &amp; Understory","14",IF(R191="Moist Open","12",IF(R191="Moist Shady","10",IF(R191="Sub-Alpine Slopes","0")))))))</f>
        <v>12</v>
      </c>
      <c r="U191" s="123" t="str">
        <f>IF(R191="Bogs Ponds Streams","52",IF(R191="Coastal Areas","51",IF(R191="Meadows Dry Open","53",IF(R191="Forest &amp; Understory","52",IF(R191="Moist Open","50",IF(R191="Moist Shady","46",IF(R191="Sub-Alpine Slopes","40")))))))</f>
        <v>50</v>
      </c>
      <c r="V191" s="123" t="str">
        <f>IF(R191="Bogs Ponds Streams","84",IF(R191="Coastal Areas","76",IF(R191="Meadows Dry Open","96", IF(R191="Forest &amp; Understory","90", IF(R191="Moist Open","88", IF(R191="Moist Shady","82", IF(R191="Sub-Alpine Slopes","80")))))))</f>
        <v>88</v>
      </c>
      <c r="W191" s="59">
        <v>20</v>
      </c>
      <c r="X191" s="59">
        <v>0</v>
      </c>
      <c r="Y191" s="59">
        <v>3500</v>
      </c>
      <c r="Z191" s="59" t="s">
        <v>2519</v>
      </c>
      <c r="AA191" s="59" t="s">
        <v>2518</v>
      </c>
      <c r="AB191" s="59">
        <v>6.8</v>
      </c>
      <c r="AC191" s="45">
        <f>C191+AK191+(0.1)*AL191</f>
        <v>14.7</v>
      </c>
      <c r="AD191" s="77">
        <v>80</v>
      </c>
      <c r="AE191" s="59">
        <v>5</v>
      </c>
      <c r="AF191" s="59">
        <v>5</v>
      </c>
      <c r="AG191" s="59">
        <v>1900</v>
      </c>
      <c r="AH191" s="77">
        <v>0</v>
      </c>
      <c r="AI191" s="59">
        <f>AJ191</f>
        <v>1991</v>
      </c>
      <c r="AJ191" s="18">
        <v>1991</v>
      </c>
      <c r="AK191" s="18">
        <v>4</v>
      </c>
      <c r="AL191" s="18">
        <v>27</v>
      </c>
      <c r="AM191" s="18">
        <v>1</v>
      </c>
      <c r="AN191" s="18">
        <v>1</v>
      </c>
      <c r="AO191" s="25">
        <v>0</v>
      </c>
      <c r="AP191" s="24">
        <v>0</v>
      </c>
      <c r="AQ191" s="18">
        <v>0</v>
      </c>
      <c r="AR191" s="18">
        <v>0</v>
      </c>
      <c r="AS191" s="18">
        <v>0</v>
      </c>
      <c r="AT191" s="18">
        <v>0</v>
      </c>
      <c r="AU191" s="18">
        <v>0</v>
      </c>
      <c r="AV191" s="18">
        <v>0</v>
      </c>
      <c r="AW191" s="18">
        <v>0</v>
      </c>
      <c r="AX191" s="18">
        <v>0</v>
      </c>
      <c r="AY191" s="233"/>
      <c r="AZ191" s="4"/>
      <c r="BA191" s="35" t="str">
        <f>IF(OR(S191="North America",S191="Rocky Mountain"), "Widespread",BC191)</f>
        <v>Widespread</v>
      </c>
      <c r="BB191" s="4"/>
      <c r="BC191" s="35" t="str">
        <f ca="1">IF(BE191&gt;2046, "Abundant",BE191)</f>
        <v>Abundant</v>
      </c>
      <c r="BD191" s="4"/>
      <c r="BE191" s="81">
        <f ca="1">YEAR($C$13)+(BG191*80)</f>
        <v>2087.068126916221</v>
      </c>
      <c r="BF191" s="4"/>
      <c r="BG191" s="137">
        <f ca="1">BH191*$BH$14</f>
        <v>0.85085158645276293</v>
      </c>
      <c r="BH191" s="137">
        <f ca="1">(((BJ191+BK191+BM191+BN191)/4)*$BM$11)+(((BP191+BQ191)/2)*$BQ$11)+(((BU191+BV191+BW191)/3)*$BU$11)+(((BY191+BZ191+CA191+CB191+CC191)/5)*$CA$11)</f>
        <v>0.85085158645276293</v>
      </c>
      <c r="BI191" s="4"/>
      <c r="BJ191" s="33">
        <f>AP191/(AM191+AO191)</f>
        <v>0</v>
      </c>
      <c r="BK191" s="33">
        <f>(AN191+AO191)/(AM191+AO191)</f>
        <v>1</v>
      </c>
      <c r="BL191" s="4"/>
      <c r="BM191" s="127">
        <f>CF191/102</f>
        <v>0.14411764705882352</v>
      </c>
      <c r="BN191" s="127">
        <f>C191/2</f>
        <v>4</v>
      </c>
      <c r="BO191" s="4"/>
      <c r="BP191" s="127">
        <f>(AK191)/($AW$6)</f>
        <v>4.0404040404040407E-2</v>
      </c>
      <c r="BQ191" s="127">
        <f ca="1">(CH191-$AW$4)/((YEAR($C$13))-$AW$4)</f>
        <v>0</v>
      </c>
      <c r="BR191" s="127">
        <f>(AL191)/($AW$6)</f>
        <v>0.27272727272727271</v>
      </c>
      <c r="BS191" s="4"/>
      <c r="BT191" s="127"/>
      <c r="BU191" s="127">
        <f ca="1">(CG191-$AW$4)/((YEAR($C$13))-$AW$4)</f>
        <v>0</v>
      </c>
      <c r="BV191" s="127">
        <f>AE191/5</f>
        <v>1</v>
      </c>
      <c r="BW191" s="127">
        <f>AF191/5</f>
        <v>1</v>
      </c>
      <c r="BX191" s="4"/>
      <c r="BY191" s="148" t="str">
        <f>IF(E191="A",".98",IF(E191="B",".99",IF(E191="C","1.00",IF(E191="D","1.00" ))))</f>
        <v>1.00</v>
      </c>
      <c r="BZ191" s="127">
        <f>(CE191+7)/10</f>
        <v>1</v>
      </c>
      <c r="CA191" s="76" t="str">
        <f>IF(D191="Fern",".97",IF(D191="Grass",".99",IF(D191="Herb",".97",IF(D191="Shrub",".99",IF(D191="Tree","1.00",IF(D191="Vine",".98"))))))</f>
        <v>.99</v>
      </c>
      <c r="CB191" s="149" t="str">
        <f>IF(R191="Bogs Ponds Streams",".96", IF(R191="Coastal Areas",".97",IF(R191="Meadows Dry Open",".96",IF(R191="Forest &amp; Understory",".97",IF(R191="Moist Open",".98",IF(R191="Moist Shady",".96",IF(R191="Sub-Alpine","1.0")))))))</f>
        <v>.98</v>
      </c>
      <c r="CC191" s="76" t="str">
        <f>IF(S191="Local Endemic",".50",IF(S191="Regional Endemic",".70",IF(S191="Cascadia",".90",IF(S191="Rocky Mountain",".95",IF(S191="North America",".99")))))</f>
        <v>.99</v>
      </c>
      <c r="CD191" s="4"/>
      <c r="CE191" s="21">
        <f>IF(W191&gt;3,3,W191)</f>
        <v>3</v>
      </c>
      <c r="CF191" s="21">
        <f>IF(AC191&gt;102,102,AC191)</f>
        <v>14.7</v>
      </c>
      <c r="CG191" s="34">
        <f>IF(AI191&lt;$AW$4,$AW$4,AI191)</f>
        <v>2004</v>
      </c>
      <c r="CH191" s="34">
        <f>IF(AJ191&lt;$AW$4,$AW$4,AJ191)</f>
        <v>2004</v>
      </c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13"/>
    </row>
    <row r="192" spans="1:115" ht="15" customHeight="1" x14ac:dyDescent="0.3">
      <c r="A192" s="235"/>
      <c r="B192" s="218"/>
      <c r="C192" s="375">
        <v>1</v>
      </c>
      <c r="D192" s="95" t="s">
        <v>1155</v>
      </c>
      <c r="E192" s="67" t="s">
        <v>2501</v>
      </c>
      <c r="F192" s="403" t="str">
        <f ca="1">IF(BC192&lt;2025, "Extinct&lt; 6Yrs?",BA192)</f>
        <v>Widespread</v>
      </c>
      <c r="G192" s="376" t="s">
        <v>525</v>
      </c>
      <c r="H192" s="376" t="s">
        <v>4028</v>
      </c>
      <c r="I192" s="380" t="s">
        <v>124</v>
      </c>
      <c r="J192" s="378" t="s">
        <v>899</v>
      </c>
      <c r="K192" s="378" t="s">
        <v>899</v>
      </c>
      <c r="L192" s="63" t="s">
        <v>1904</v>
      </c>
      <c r="M192" s="64" t="s">
        <v>4276</v>
      </c>
      <c r="N192" s="64" t="s">
        <v>5165</v>
      </c>
      <c r="O192" s="64" t="s">
        <v>6064</v>
      </c>
      <c r="P192" s="61" t="s">
        <v>403</v>
      </c>
      <c r="Q192" s="67" t="s">
        <v>2552</v>
      </c>
      <c r="R192" s="163" t="s">
        <v>2497</v>
      </c>
      <c r="S192" s="65" t="s">
        <v>2495</v>
      </c>
      <c r="T192" s="134" t="str">
        <f>IF(R192="Bogs Ponds Streams","20",IF(R192="Coastal Areas","26",IF(R192="Meadows Dry Open","10",IF(R192="Forest &amp; Understory","14",IF(R192="Moist Open","12",IF(R192="Moist Shady","10",IF(R192="Sub-Alpine Slopes","0")))))))</f>
        <v>12</v>
      </c>
      <c r="U192" s="134" t="str">
        <f>IF(R192="Bogs Ponds Streams","52",IF(R192="Coastal Areas","51",IF(R192="Meadows Dry Open","53",IF(R192="Forest &amp; Understory","52",IF(R192="Moist Open","50",IF(R192="Moist Shady","46",IF(R192="Sub-Alpine Slopes","40")))))))</f>
        <v>50</v>
      </c>
      <c r="V192" s="134" t="str">
        <f>IF(R192="Bogs Ponds Streams","84",IF(R192="Coastal Areas","76",IF(R192="Meadows Dry Open","96", IF(R192="Forest &amp; Understory","90", IF(R192="Moist Open","88", IF(R192="Moist Shady","82", IF(R192="Sub-Alpine Slopes","80")))))))</f>
        <v>88</v>
      </c>
      <c r="W192" s="67">
        <v>20</v>
      </c>
      <c r="X192" s="67">
        <v>0</v>
      </c>
      <c r="Y192" s="67">
        <v>3500</v>
      </c>
      <c r="Z192" s="67" t="s">
        <v>2519</v>
      </c>
      <c r="AA192" s="67" t="s">
        <v>2518</v>
      </c>
      <c r="AB192" s="67">
        <v>6.8</v>
      </c>
      <c r="AC192" s="85">
        <f>C192+AK192+(0.1)*AL192</f>
        <v>3.1</v>
      </c>
      <c r="AD192" s="78">
        <v>85</v>
      </c>
      <c r="AE192" s="67">
        <v>5</v>
      </c>
      <c r="AF192" s="67">
        <v>5</v>
      </c>
      <c r="AG192" s="67">
        <v>1900</v>
      </c>
      <c r="AH192" s="78">
        <v>0</v>
      </c>
      <c r="AI192" s="67">
        <f>AJ192</f>
        <v>1998</v>
      </c>
      <c r="AJ192" s="69">
        <v>1998</v>
      </c>
      <c r="AK192" s="69">
        <v>2</v>
      </c>
      <c r="AL192" s="69">
        <v>1</v>
      </c>
      <c r="AM192" s="70">
        <v>5</v>
      </c>
      <c r="AN192" s="70">
        <v>0</v>
      </c>
      <c r="AO192" s="86">
        <v>0</v>
      </c>
      <c r="AP192" s="70">
        <v>0</v>
      </c>
      <c r="AQ192" s="70">
        <v>0</v>
      </c>
      <c r="AR192" s="70">
        <v>0</v>
      </c>
      <c r="AS192" s="86">
        <v>0</v>
      </c>
      <c r="AT192" s="70">
        <v>0</v>
      </c>
      <c r="AU192" s="70">
        <v>0</v>
      </c>
      <c r="AV192" s="70">
        <v>0</v>
      </c>
      <c r="AW192" s="86">
        <v>0</v>
      </c>
      <c r="AX192" s="70">
        <v>0</v>
      </c>
      <c r="AY192" s="233"/>
      <c r="AZ192" s="4"/>
      <c r="BA192" s="35" t="str">
        <f>IF(OR(S192="North America",S192="Rocky Mountain"), "Widespread",BC192)</f>
        <v>Widespread</v>
      </c>
      <c r="BB192" s="4"/>
      <c r="BC192" s="35">
        <f ca="1">IF(BE192&gt;2046, "Abundant",BE192)</f>
        <v>2031.4609967914439</v>
      </c>
      <c r="BD192" s="4"/>
      <c r="BE192" s="81">
        <f ca="1">YEAR($C$13)+(BG192*80)</f>
        <v>2031.4609967914439</v>
      </c>
      <c r="BF192" s="4"/>
      <c r="BG192" s="137">
        <f ca="1">BH192*$BH$14</f>
        <v>0.15576245989304813</v>
      </c>
      <c r="BH192" s="137">
        <f ca="1">(((BJ192+BK192+BM192+BN192)/4)*$BM$11)+(((BP192+BQ192)/2)*$BQ$11)+(((BU192+BV192+BW192)/3)*$BU$11)+(((BY192+BZ192+CA192+CB192+CC192)/5)*$CA$11)</f>
        <v>0.15576245989304813</v>
      </c>
      <c r="BI192" s="4"/>
      <c r="BJ192" s="33">
        <f>AP192/(AM192+AO192)</f>
        <v>0</v>
      </c>
      <c r="BK192" s="33">
        <f>(AN192+AO192)/(AM192+AO192)</f>
        <v>0</v>
      </c>
      <c r="BL192" s="4"/>
      <c r="BM192" s="127">
        <f>CF192/102</f>
        <v>3.0392156862745098E-2</v>
      </c>
      <c r="BN192" s="127">
        <f>C192/2</f>
        <v>0.5</v>
      </c>
      <c r="BO192" s="4"/>
      <c r="BP192" s="127">
        <f>(AK192)/($AW$6)</f>
        <v>2.0202020202020204E-2</v>
      </c>
      <c r="BQ192" s="127">
        <f ca="1">(CH192-$AW$4)/((YEAR($C$13))-$AW$4)</f>
        <v>0</v>
      </c>
      <c r="BR192" s="127">
        <f>(AL192)/($AW$6)</f>
        <v>1.0101010101010102E-2</v>
      </c>
      <c r="BS192" s="4"/>
      <c r="BT192" s="127"/>
      <c r="BU192" s="127">
        <f ca="1">(CG192-$AW$4)/((YEAR($C$13))-$AW$4)</f>
        <v>0</v>
      </c>
      <c r="BV192" s="127">
        <f>AE192/5</f>
        <v>1</v>
      </c>
      <c r="BW192" s="127">
        <f>AF192/5</f>
        <v>1</v>
      </c>
      <c r="BX192" s="4"/>
      <c r="BY192" s="148" t="str">
        <f>IF(E192="A",".98",IF(E192="B",".99",IF(E192="C","1.00",IF(E192="D","1.00" ))))</f>
        <v>1.00</v>
      </c>
      <c r="BZ192" s="127">
        <f>(CE192+7)/10</f>
        <v>1</v>
      </c>
      <c r="CA192" s="76" t="str">
        <f>IF(D192="Fern",".97",IF(D192="Grass",".99",IF(D192="Herb",".97",IF(D192="Shrub",".99",IF(D192="Tree","1.00",IF(D192="Vine",".98"))))))</f>
        <v>.99</v>
      </c>
      <c r="CB192" s="149" t="str">
        <f>IF(R192="Bogs Ponds Streams",".96", IF(R192="Coastal Areas",".97",IF(R192="Meadows Dry Open",".96",IF(R192="Forest &amp; Understory",".97",IF(R192="Moist Open",".98",IF(R192="Moist Shady",".96",IF(R192="Sub-Alpine","1.0")))))))</f>
        <v>.98</v>
      </c>
      <c r="CC192" s="76" t="str">
        <f>IF(S192="Local Endemic",".50",IF(S192="Regional Endemic",".70",IF(S192="Cascadia",".90",IF(S192="Rocky Mountain",".95",IF(S192="North America",".99")))))</f>
        <v>.99</v>
      </c>
      <c r="CD192" s="4"/>
      <c r="CE192" s="21">
        <f>IF(W192&gt;3,3,W192)</f>
        <v>3</v>
      </c>
      <c r="CF192" s="21">
        <f>IF(AC192&gt;102,102,AC192)</f>
        <v>3.1</v>
      </c>
      <c r="CG192" s="34">
        <f>IF(AI192&lt;$AW$4,$AW$4,AI192)</f>
        <v>2004</v>
      </c>
      <c r="CH192" s="34">
        <f>IF(AJ192&lt;$AW$4,$AW$4,AJ192)</f>
        <v>2004</v>
      </c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13"/>
    </row>
    <row r="193" spans="1:115" ht="15" customHeight="1" x14ac:dyDescent="0.3">
      <c r="A193" s="235"/>
      <c r="B193" s="218"/>
      <c r="C193" s="375">
        <v>1</v>
      </c>
      <c r="D193" s="95" t="s">
        <v>1155</v>
      </c>
      <c r="E193" s="67" t="s">
        <v>2501</v>
      </c>
      <c r="F193" s="403" t="str">
        <f ca="1">IF(BC193&lt;2025, "Extinct&lt; 6Yrs?",BA193)</f>
        <v>Widespread</v>
      </c>
      <c r="G193" s="376" t="s">
        <v>525</v>
      </c>
      <c r="H193" s="376" t="s">
        <v>4028</v>
      </c>
      <c r="I193" s="380" t="s">
        <v>3042</v>
      </c>
      <c r="J193" s="378" t="s">
        <v>3644</v>
      </c>
      <c r="K193" s="378" t="s">
        <v>408</v>
      </c>
      <c r="L193" s="63" t="s">
        <v>1939</v>
      </c>
      <c r="M193" s="64" t="s">
        <v>4271</v>
      </c>
      <c r="N193" s="64" t="s">
        <v>5166</v>
      </c>
      <c r="O193" s="64" t="s">
        <v>6065</v>
      </c>
      <c r="P193" s="61" t="s">
        <v>403</v>
      </c>
      <c r="Q193" s="67" t="s">
        <v>2552</v>
      </c>
      <c r="R193" s="61" t="s">
        <v>2499</v>
      </c>
      <c r="S193" s="61" t="s">
        <v>2495</v>
      </c>
      <c r="T193" s="134" t="str">
        <f>IF(R193="Bogs Ponds Streams","20",IF(R193="Coastal Areas","26",IF(R193="Meadows Dry Open","10",IF(R193="Forest &amp; Understory","14",IF(R193="Moist Open","12",IF(R193="Moist Shady","10",IF(R193="Sub-Alpine Slopes","0")))))))</f>
        <v>20</v>
      </c>
      <c r="U193" s="134" t="str">
        <f>IF(R193="Bogs Ponds Streams","52",IF(R193="Coastal Areas","51",IF(R193="Meadows Dry Open","53",IF(R193="Forest &amp; Understory","52",IF(R193="Moist Open","50",IF(R193="Moist Shady","46",IF(R193="Sub-Alpine Slopes","40")))))))</f>
        <v>52</v>
      </c>
      <c r="V193" s="134" t="str">
        <f>IF(R193="Bogs Ponds Streams","84",IF(R193="Coastal Areas","76",IF(R193="Meadows Dry Open","96", IF(R193="Forest &amp; Understory","90", IF(R193="Moist Open","88", IF(R193="Moist Shady","82", IF(R193="Sub-Alpine Slopes","80")))))))</f>
        <v>84</v>
      </c>
      <c r="W193" s="67">
        <v>20</v>
      </c>
      <c r="X193" s="67">
        <v>0</v>
      </c>
      <c r="Y193" s="67">
        <v>3500</v>
      </c>
      <c r="Z193" s="67" t="s">
        <v>2519</v>
      </c>
      <c r="AA193" s="67" t="s">
        <v>2518</v>
      </c>
      <c r="AB193" s="67">
        <v>6.8</v>
      </c>
      <c r="AC193" s="85">
        <f>C193+AK193+(0.1)*AL193</f>
        <v>6.5</v>
      </c>
      <c r="AD193" s="78">
        <v>37</v>
      </c>
      <c r="AE193" s="67">
        <v>5</v>
      </c>
      <c r="AF193" s="67">
        <v>5</v>
      </c>
      <c r="AG193" s="67">
        <v>1900</v>
      </c>
      <c r="AH193" s="78">
        <v>0</v>
      </c>
      <c r="AI193" s="67">
        <f>AJ193</f>
        <v>2004</v>
      </c>
      <c r="AJ193" s="69">
        <v>2004</v>
      </c>
      <c r="AK193" s="69">
        <v>5</v>
      </c>
      <c r="AL193" s="69">
        <v>5</v>
      </c>
      <c r="AM193" s="70">
        <v>5</v>
      </c>
      <c r="AN193" s="70">
        <v>0</v>
      </c>
      <c r="AO193" s="86">
        <v>0</v>
      </c>
      <c r="AP193" s="70">
        <v>0</v>
      </c>
      <c r="AQ193" s="70">
        <v>0</v>
      </c>
      <c r="AR193" s="70">
        <v>0</v>
      </c>
      <c r="AS193" s="86">
        <v>0</v>
      </c>
      <c r="AT193" s="70">
        <v>0</v>
      </c>
      <c r="AU193" s="70">
        <v>0</v>
      </c>
      <c r="AV193" s="70">
        <v>0</v>
      </c>
      <c r="AW193" s="86">
        <v>0</v>
      </c>
      <c r="AX193" s="70">
        <v>0</v>
      </c>
      <c r="AY193" s="233"/>
      <c r="AZ193" s="3"/>
      <c r="BA193" s="35" t="str">
        <f>IF(OR(S193="North America",S193="Rocky Mountain"), "Widespread",BC193)</f>
        <v>Widespread</v>
      </c>
      <c r="BB193" s="3"/>
      <c r="BC193" s="35">
        <f ca="1">IF(BE193&gt;2046, "Abundant",BE193)</f>
        <v>2032.2182331550803</v>
      </c>
      <c r="BD193" s="3"/>
      <c r="BE193" s="81">
        <f ca="1">YEAR($C$13)+(BG193*80)</f>
        <v>2032.2182331550803</v>
      </c>
      <c r="BF193" s="3"/>
      <c r="BG193" s="137">
        <f ca="1">BH193*$BH$14</f>
        <v>0.16522791443850265</v>
      </c>
      <c r="BH193" s="137">
        <f ca="1">(((BJ193+BK193+BM193+BN193)/4)*$BM$11)+(((BP193+BQ193)/2)*$BQ$11)+(((BU193+BV193+BW193)/3)*$BU$11)+(((BY193+BZ193+CA193+CB193+CC193)/5)*$CA$11)</f>
        <v>0.16522791443850265</v>
      </c>
      <c r="BI193" s="3"/>
      <c r="BJ193" s="33">
        <f>AP193/(AM193+AO193)</f>
        <v>0</v>
      </c>
      <c r="BK193" s="33">
        <f>(AN193+AO193)/(AM193+AO193)</f>
        <v>0</v>
      </c>
      <c r="BL193" s="3"/>
      <c r="BM193" s="127">
        <f>CF193/102</f>
        <v>6.3725490196078427E-2</v>
      </c>
      <c r="BN193" s="127">
        <f>C193/2</f>
        <v>0.5</v>
      </c>
      <c r="BO193" s="3"/>
      <c r="BP193" s="127">
        <f>(AK193)/($AW$6)</f>
        <v>5.0505050505050504E-2</v>
      </c>
      <c r="BQ193" s="127">
        <f ca="1">(CH193-$AW$4)/((YEAR($C$13))-$AW$4)</f>
        <v>0</v>
      </c>
      <c r="BR193" s="127">
        <f>(AL193)/($AW$6)</f>
        <v>5.0505050505050504E-2</v>
      </c>
      <c r="BS193" s="3"/>
      <c r="BT193" s="127"/>
      <c r="BU193" s="127">
        <f ca="1">(CG193-$AW$4)/((YEAR($C$13))-$AW$4)</f>
        <v>0</v>
      </c>
      <c r="BV193" s="127">
        <f>AE193/5</f>
        <v>1</v>
      </c>
      <c r="BW193" s="127">
        <f>AF193/5</f>
        <v>1</v>
      </c>
      <c r="BX193" s="3"/>
      <c r="BY193" s="148" t="str">
        <f>IF(E193="A",".98",IF(E193="B",".99",IF(E193="C","1.00",IF(E193="D","1.00" ))))</f>
        <v>1.00</v>
      </c>
      <c r="BZ193" s="127">
        <f>(CE193+7)/10</f>
        <v>1</v>
      </c>
      <c r="CA193" s="76" t="str">
        <f>IF(D193="Fern",".97",IF(D193="Grass",".99",IF(D193="Herb",".97",IF(D193="Shrub",".99",IF(D193="Tree","1.00",IF(D193="Vine",".98"))))))</f>
        <v>.99</v>
      </c>
      <c r="CB193" s="149" t="str">
        <f>IF(R193="Bogs Ponds Streams",".96", IF(R193="Coastal Areas",".97",IF(R193="Meadows Dry Open",".96",IF(R193="Forest &amp; Understory",".97",IF(R193="Moist Open",".98",IF(R193="Moist Shady",".96",IF(R193="Sub-Alpine","1.0")))))))</f>
        <v>.96</v>
      </c>
      <c r="CC193" s="76" t="str">
        <f>IF(S193="Local Endemic",".50",IF(S193="Regional Endemic",".70",IF(S193="Cascadia",".90",IF(S193="Rocky Mountain",".95",IF(S193="North America",".99")))))</f>
        <v>.99</v>
      </c>
      <c r="CD193" s="3"/>
      <c r="CE193" s="21">
        <f>IF(W193&gt;3,3,W193)</f>
        <v>3</v>
      </c>
      <c r="CF193" s="21">
        <f>IF(AC193&gt;102,102,AC193)</f>
        <v>6.5</v>
      </c>
      <c r="CG193" s="34">
        <f>IF(AI193&lt;$AW$4,$AW$4,AI193)</f>
        <v>2004</v>
      </c>
      <c r="CH193" s="34">
        <f>IF(AJ193&lt;$AW$4,$AW$4,AJ193)</f>
        <v>2004</v>
      </c>
      <c r="CI193" s="3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3"/>
      <c r="DC193" s="3"/>
      <c r="DD193" s="3"/>
      <c r="DE193" s="3"/>
      <c r="DF193" s="3"/>
      <c r="DG193" s="3"/>
      <c r="DH193" s="3"/>
      <c r="DI193" s="3"/>
      <c r="DJ193" s="3"/>
      <c r="DK193" s="13"/>
    </row>
    <row r="194" spans="1:115" ht="15" customHeight="1" x14ac:dyDescent="0.3">
      <c r="A194" s="235"/>
      <c r="B194" s="218"/>
      <c r="C194" s="375">
        <v>1</v>
      </c>
      <c r="D194" s="67" t="s">
        <v>2505</v>
      </c>
      <c r="E194" s="67" t="s">
        <v>2502</v>
      </c>
      <c r="F194" s="403">
        <f ca="1">IF(BC194&lt;2025, "Extinct&lt; 6Yrs?",BA194)</f>
        <v>2035.6252330362447</v>
      </c>
      <c r="G194" s="376" t="s">
        <v>525</v>
      </c>
      <c r="H194" s="376" t="s">
        <v>4028</v>
      </c>
      <c r="I194" s="379" t="s">
        <v>2613</v>
      </c>
      <c r="J194" s="378" t="s">
        <v>3643</v>
      </c>
      <c r="K194" s="378" t="s">
        <v>1264</v>
      </c>
      <c r="L194" s="65" t="s">
        <v>2008</v>
      </c>
      <c r="M194" s="64" t="s">
        <v>4272</v>
      </c>
      <c r="N194" s="64" t="s">
        <v>5167</v>
      </c>
      <c r="O194" s="64" t="s">
        <v>6066</v>
      </c>
      <c r="P194" s="61" t="s">
        <v>667</v>
      </c>
      <c r="Q194" s="67" t="s">
        <v>2552</v>
      </c>
      <c r="R194" s="61" t="s">
        <v>2453</v>
      </c>
      <c r="S194" s="61" t="s">
        <v>2459</v>
      </c>
      <c r="T194" s="134" t="str">
        <f>IF(R194="Bogs Ponds Streams","20",IF(R194="Coastal Areas","26",IF(R194="Meadows Dry Open","10",IF(R194="Forest &amp; Understory","14",IF(R194="Moist Open","12",IF(R194="Moist Shady","10",IF(R194="Sub-Alpine Slopes","0")))))))</f>
        <v>26</v>
      </c>
      <c r="U194" s="134" t="str">
        <f>IF(R194="Bogs Ponds Streams","52",IF(R194="Coastal Areas","51",IF(R194="Meadows Dry Open","53",IF(R194="Forest &amp; Understory","52",IF(R194="Moist Open","50",IF(R194="Moist Shady","46",IF(R194="Sub-Alpine Slopes","40")))))))</f>
        <v>51</v>
      </c>
      <c r="V194" s="134" t="str">
        <f>IF(R194="Bogs Ponds Streams","84",IF(R194="Coastal Areas","76",IF(R194="Meadows Dry Open","96", IF(R194="Forest &amp; Understory","90", IF(R194="Moist Open","88", IF(R194="Moist Shady","82", IF(R194="Sub-Alpine Slopes","80")))))))</f>
        <v>76</v>
      </c>
      <c r="W194" s="67">
        <v>1</v>
      </c>
      <c r="X194" s="67">
        <v>0</v>
      </c>
      <c r="Y194" s="67">
        <v>3500</v>
      </c>
      <c r="Z194" s="67" t="s">
        <v>2519</v>
      </c>
      <c r="AA194" s="67" t="s">
        <v>2518</v>
      </c>
      <c r="AB194" s="67">
        <v>6.8</v>
      </c>
      <c r="AC194" s="85">
        <f>C194+AK194+(0.1)*AL194</f>
        <v>13.1</v>
      </c>
      <c r="AD194" s="78">
        <v>33</v>
      </c>
      <c r="AE194" s="67">
        <v>5</v>
      </c>
      <c r="AF194" s="67">
        <v>5</v>
      </c>
      <c r="AG194" s="67">
        <v>1900</v>
      </c>
      <c r="AH194" s="78">
        <v>0</v>
      </c>
      <c r="AI194" s="67">
        <f>AJ194</f>
        <v>2006</v>
      </c>
      <c r="AJ194" s="69">
        <v>2006</v>
      </c>
      <c r="AK194" s="69">
        <v>12</v>
      </c>
      <c r="AL194" s="69">
        <v>1</v>
      </c>
      <c r="AM194" s="70">
        <v>5</v>
      </c>
      <c r="AN194" s="70">
        <v>0</v>
      </c>
      <c r="AO194" s="86">
        <v>0</v>
      </c>
      <c r="AP194" s="70">
        <v>0</v>
      </c>
      <c r="AQ194" s="70">
        <v>0</v>
      </c>
      <c r="AR194" s="70">
        <v>0</v>
      </c>
      <c r="AS194" s="86">
        <v>0</v>
      </c>
      <c r="AT194" s="70">
        <v>0</v>
      </c>
      <c r="AU194" s="70">
        <v>0</v>
      </c>
      <c r="AV194" s="70">
        <v>0</v>
      </c>
      <c r="AW194" s="86">
        <v>0</v>
      </c>
      <c r="AX194" s="70">
        <v>0</v>
      </c>
      <c r="AY194" s="233"/>
      <c r="AZ194" s="4"/>
      <c r="BA194" s="35">
        <f ca="1">IF(OR(S194="North America",S194="Rocky Mountain"), "Widespread",BC194)</f>
        <v>2035.6252330362447</v>
      </c>
      <c r="BB194" s="4"/>
      <c r="BC194" s="35">
        <f ca="1">IF(BE194&gt;2046, "Abundant",BE194)</f>
        <v>2035.6252330362447</v>
      </c>
      <c r="BD194" s="4"/>
      <c r="BE194" s="81">
        <f ca="1">YEAR($C$13)+(BG194*80)</f>
        <v>2035.6252330362447</v>
      </c>
      <c r="BF194" s="4"/>
      <c r="BG194" s="137">
        <f ca="1">BH194*$BH$14</f>
        <v>0.20781541295306</v>
      </c>
      <c r="BH194" s="137">
        <f ca="1">(((BJ194+BK194+BM194+BN194)/4)*$BM$11)+(((BP194+BQ194)/2)*$BQ$11)+(((BU194+BV194+BW194)/3)*$BU$11)+(((BY194+BZ194+CA194+CB194+CC194)/5)*$CA$11)</f>
        <v>0.20781541295306</v>
      </c>
      <c r="BI194" s="4"/>
      <c r="BJ194" s="33">
        <f>AP194/(AM194+AO194)</f>
        <v>0</v>
      </c>
      <c r="BK194" s="33">
        <f>(AN194+AO194)/(AM194+AO194)</f>
        <v>0</v>
      </c>
      <c r="BL194" s="4"/>
      <c r="BM194" s="127">
        <f>CF194/102</f>
        <v>0.1284313725490196</v>
      </c>
      <c r="BN194" s="127">
        <f>C194/2</f>
        <v>0.5</v>
      </c>
      <c r="BO194" s="4"/>
      <c r="BP194" s="127">
        <f>(AK194)/($AW$6)</f>
        <v>0.12121212121212122</v>
      </c>
      <c r="BQ194" s="127">
        <f ca="1">(CH194-$AW$4)/((YEAR($C$13))-$AW$4)</f>
        <v>0.13333333333333333</v>
      </c>
      <c r="BR194" s="127">
        <f>(AL194)/($AW$6)</f>
        <v>1.0101010101010102E-2</v>
      </c>
      <c r="BS194" s="4"/>
      <c r="BT194" s="127"/>
      <c r="BU194" s="127">
        <f ca="1">(CG194-$AW$4)/((YEAR($C$13))-$AW$4)</f>
        <v>0.13333333333333333</v>
      </c>
      <c r="BV194" s="127">
        <f>AE194/5</f>
        <v>1</v>
      </c>
      <c r="BW194" s="127">
        <f>AF194/5</f>
        <v>1</v>
      </c>
      <c r="BX194" s="4"/>
      <c r="BY194" s="148" t="str">
        <f>IF(E194="A",".98",IF(E194="B",".99",IF(E194="C","1.00",IF(E194="D","1.00" ))))</f>
        <v>.98</v>
      </c>
      <c r="BZ194" s="127">
        <f>(CE194+7)/10</f>
        <v>0.8</v>
      </c>
      <c r="CA194" s="76" t="str">
        <f>IF(D194="Fern",".97",IF(D194="Grass",".99",IF(D194="Herb",".97",IF(D194="Shrub",".99",IF(D194="Tree","1.00",IF(D194="Vine",".98"))))))</f>
        <v>.97</v>
      </c>
      <c r="CB194" s="149" t="str">
        <f>IF(R194="Bogs Ponds Streams",".96", IF(R194="Coastal Areas",".97",IF(R194="Meadows Dry Open",".96",IF(R194="Forest &amp; Understory",".97",IF(R194="Moist Open",".98",IF(R194="Moist Shady",".96",IF(R194="Sub-Alpine","1.0")))))))</f>
        <v>.97</v>
      </c>
      <c r="CC194" s="76" t="str">
        <f>IF(S194="Local Endemic",".50",IF(S194="Regional Endemic",".70",IF(S194="Cascadia",".90",IF(S194="Rocky Mountain",".95",IF(S194="North America",".99")))))</f>
        <v>.90</v>
      </c>
      <c r="CD194" s="4"/>
      <c r="CE194" s="21">
        <f>IF(W194&gt;3,3,W194)</f>
        <v>1</v>
      </c>
      <c r="CF194" s="21">
        <f>IF(AC194&gt;102,102,AC194)</f>
        <v>13.1</v>
      </c>
      <c r="CG194" s="34">
        <f>IF(AI194&lt;$AW$4,$AW$4,AI194)</f>
        <v>2006</v>
      </c>
      <c r="CH194" s="34">
        <f>IF(AJ194&lt;$AW$4,$AW$4,AJ194)</f>
        <v>2006</v>
      </c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</row>
    <row r="195" spans="1:115" ht="15" customHeight="1" x14ac:dyDescent="0.3">
      <c r="A195" s="235"/>
      <c r="B195" s="218"/>
      <c r="C195" s="375">
        <v>1</v>
      </c>
      <c r="D195" s="67" t="s">
        <v>2505</v>
      </c>
      <c r="E195" s="67" t="s">
        <v>2502</v>
      </c>
      <c r="F195" s="403">
        <f ca="1">IF(BC195&lt;2025, "Extinct&lt; 6Yrs?",BA195)</f>
        <v>2035.6808565656565</v>
      </c>
      <c r="G195" s="376" t="s">
        <v>525</v>
      </c>
      <c r="H195" s="376" t="s">
        <v>4028</v>
      </c>
      <c r="I195" s="380" t="s">
        <v>3043</v>
      </c>
      <c r="J195" s="378" t="s">
        <v>3642</v>
      </c>
      <c r="K195" s="378" t="s">
        <v>900</v>
      </c>
      <c r="L195" s="63" t="s">
        <v>2007</v>
      </c>
      <c r="M195" s="64" t="s">
        <v>4273</v>
      </c>
      <c r="N195" s="64" t="s">
        <v>5168</v>
      </c>
      <c r="O195" s="64" t="s">
        <v>6067</v>
      </c>
      <c r="P195" s="61" t="s">
        <v>667</v>
      </c>
      <c r="Q195" s="67" t="s">
        <v>2552</v>
      </c>
      <c r="R195" s="61" t="s">
        <v>2500</v>
      </c>
      <c r="S195" s="61" t="s">
        <v>2459</v>
      </c>
      <c r="T195" s="134" t="str">
        <f>IF(R195="Bogs Ponds Streams","20",IF(R195="Coastal Areas","26",IF(R195="Meadows Dry Open","10",IF(R195="Forest &amp; Understory","14",IF(R195="Moist Open","12",IF(R195="Moist Shady","10",IF(R195="Sub-Alpine Slopes","0")))))))</f>
        <v>10</v>
      </c>
      <c r="U195" s="134" t="str">
        <f>IF(R195="Bogs Ponds Streams","52",IF(R195="Coastal Areas","51",IF(R195="Meadows Dry Open","53",IF(R195="Forest &amp; Understory","52",IF(R195="Moist Open","50",IF(R195="Moist Shady","46",IF(R195="Sub-Alpine Slopes","40")))))))</f>
        <v>53</v>
      </c>
      <c r="V195" s="134" t="str">
        <f>IF(R195="Bogs Ponds Streams","84",IF(R195="Coastal Areas","76",IF(R195="Meadows Dry Open","96", IF(R195="Forest &amp; Understory","90", IF(R195="Moist Open","88", IF(R195="Moist Shady","82", IF(R195="Sub-Alpine Slopes","80")))))))</f>
        <v>96</v>
      </c>
      <c r="W195" s="67">
        <v>1</v>
      </c>
      <c r="X195" s="67">
        <v>0</v>
      </c>
      <c r="Y195" s="67">
        <v>3500</v>
      </c>
      <c r="Z195" s="67" t="s">
        <v>2519</v>
      </c>
      <c r="AA195" s="67" t="s">
        <v>2518</v>
      </c>
      <c r="AB195" s="67">
        <v>6.8</v>
      </c>
      <c r="AC195" s="85">
        <f>C195+AK195+(0.1)*AL195</f>
        <v>13.6</v>
      </c>
      <c r="AD195" s="78">
        <v>48</v>
      </c>
      <c r="AE195" s="67">
        <v>5</v>
      </c>
      <c r="AF195" s="67">
        <v>5</v>
      </c>
      <c r="AG195" s="67">
        <v>1900</v>
      </c>
      <c r="AH195" s="78">
        <v>0</v>
      </c>
      <c r="AI195" s="67">
        <f>AJ195</f>
        <v>2006</v>
      </c>
      <c r="AJ195" s="69">
        <v>2006</v>
      </c>
      <c r="AK195" s="69">
        <v>12</v>
      </c>
      <c r="AL195" s="69">
        <v>6</v>
      </c>
      <c r="AM195" s="70">
        <v>5</v>
      </c>
      <c r="AN195" s="70">
        <v>0</v>
      </c>
      <c r="AO195" s="86">
        <v>0</v>
      </c>
      <c r="AP195" s="70">
        <v>0</v>
      </c>
      <c r="AQ195" s="70">
        <v>0</v>
      </c>
      <c r="AR195" s="70">
        <v>0</v>
      </c>
      <c r="AS195" s="86">
        <v>0</v>
      </c>
      <c r="AT195" s="70">
        <v>0</v>
      </c>
      <c r="AU195" s="70">
        <v>0</v>
      </c>
      <c r="AV195" s="70">
        <v>0</v>
      </c>
      <c r="AW195" s="86">
        <v>0</v>
      </c>
      <c r="AX195" s="70">
        <v>0</v>
      </c>
      <c r="AY195" s="233"/>
      <c r="AZ195" s="4"/>
      <c r="BA195" s="35">
        <f ca="1">IF(OR(S195="North America",S195="Rocky Mountain"), "Widespread",BC195)</f>
        <v>2035.6808565656565</v>
      </c>
      <c r="BB195" s="4"/>
      <c r="BC195" s="35">
        <f ca="1">IF(BE195&gt;2046, "Abundant",BE195)</f>
        <v>2035.6808565656565</v>
      </c>
      <c r="BD195" s="4"/>
      <c r="BE195" s="81">
        <f ca="1">YEAR($C$13)+(BG195*80)</f>
        <v>2035.6808565656565</v>
      </c>
      <c r="BF195" s="4"/>
      <c r="BG195" s="137">
        <f ca="1">BH195*$BH$14</f>
        <v>0.20851070707070707</v>
      </c>
      <c r="BH195" s="137">
        <f ca="1">(((BJ195+BK195+BM195+BN195)/4)*$BM$11)+(((BP195+BQ195)/2)*$BQ$11)+(((BU195+BV195+BW195)/3)*$BU$11)+(((BY195+BZ195+CA195+CB195+CC195)/5)*$CA$11)</f>
        <v>0.20851070707070707</v>
      </c>
      <c r="BI195" s="4"/>
      <c r="BJ195" s="33">
        <f>AP195/(AM195+AO195)</f>
        <v>0</v>
      </c>
      <c r="BK195" s="33">
        <f>(AN195+AO195)/(AM195+AO195)</f>
        <v>0</v>
      </c>
      <c r="BL195" s="4"/>
      <c r="BM195" s="127">
        <f>CF195/102</f>
        <v>0.13333333333333333</v>
      </c>
      <c r="BN195" s="127">
        <f>C195/2</f>
        <v>0.5</v>
      </c>
      <c r="BO195" s="4"/>
      <c r="BP195" s="127">
        <f>(AK195)/($AW$6)</f>
        <v>0.12121212121212122</v>
      </c>
      <c r="BQ195" s="127">
        <f ca="1">(CH195-$AW$4)/((YEAR($C$13))-$AW$4)</f>
        <v>0.13333333333333333</v>
      </c>
      <c r="BR195" s="127">
        <f>(AL195)/($AW$6)</f>
        <v>6.0606060606060608E-2</v>
      </c>
      <c r="BS195" s="4"/>
      <c r="BT195" s="127"/>
      <c r="BU195" s="127">
        <f ca="1">(CG195-$AW$4)/((YEAR($C$13))-$AW$4)</f>
        <v>0.13333333333333333</v>
      </c>
      <c r="BV195" s="127">
        <f>AE195/5</f>
        <v>1</v>
      </c>
      <c r="BW195" s="127">
        <f>AF195/5</f>
        <v>1</v>
      </c>
      <c r="BX195" s="4"/>
      <c r="BY195" s="148" t="str">
        <f>IF(E195="A",".98",IF(E195="B",".99",IF(E195="C","1.00",IF(E195="D","1.00" ))))</f>
        <v>.98</v>
      </c>
      <c r="BZ195" s="127">
        <f>(CE195+7)/10</f>
        <v>0.8</v>
      </c>
      <c r="CA195" s="76" t="str">
        <f>IF(D195="Fern",".97",IF(D195="Grass",".99",IF(D195="Herb",".97",IF(D195="Shrub",".99",IF(D195="Tree","1.00",IF(D195="Vine",".98"))))))</f>
        <v>.97</v>
      </c>
      <c r="CB195" s="149" t="str">
        <f>IF(R195="Bogs Ponds Streams",".96", IF(R195="Coastal Areas",".97",IF(R195="Meadows Dry Open",".96",IF(R195="Forest &amp; Understory",".97",IF(R195="Moist Open",".98",IF(R195="Moist Shady",".96",IF(R195="Sub-Alpine","1.0")))))))</f>
        <v>.96</v>
      </c>
      <c r="CC195" s="76" t="str">
        <f>IF(S195="Local Endemic",".50",IF(S195="Regional Endemic",".70",IF(S195="Cascadia",".90",IF(S195="Rocky Mountain",".95",IF(S195="North America",".99")))))</f>
        <v>.90</v>
      </c>
      <c r="CD195" s="4"/>
      <c r="CE195" s="21">
        <f>IF(W195&gt;3,3,W195)</f>
        <v>1</v>
      </c>
      <c r="CF195" s="21">
        <f>IF(AC195&gt;102,102,AC195)</f>
        <v>13.6</v>
      </c>
      <c r="CG195" s="34">
        <f>IF(AI195&lt;$AW$4,$AW$4,AI195)</f>
        <v>2006</v>
      </c>
      <c r="CH195" s="34">
        <f>IF(AJ195&lt;$AW$4,$AW$4,AJ195)</f>
        <v>2006</v>
      </c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</row>
    <row r="196" spans="1:115" ht="15" customHeight="1" x14ac:dyDescent="0.3">
      <c r="A196" s="235"/>
      <c r="B196" s="218"/>
      <c r="C196" s="375">
        <v>1</v>
      </c>
      <c r="D196" s="67" t="s">
        <v>2505</v>
      </c>
      <c r="E196" s="67" t="s">
        <v>2501</v>
      </c>
      <c r="F196" s="403">
        <f ca="1">IF(BC196&lt;2025, "Extinct&lt; 6Yrs?",BA196)</f>
        <v>2039.0840765300059</v>
      </c>
      <c r="G196" s="376" t="s">
        <v>525</v>
      </c>
      <c r="H196" s="376" t="s">
        <v>4028</v>
      </c>
      <c r="I196" s="377" t="s">
        <v>2350</v>
      </c>
      <c r="J196" s="378" t="s">
        <v>902</v>
      </c>
      <c r="K196" s="378" t="s">
        <v>2349</v>
      </c>
      <c r="L196" s="64" t="s">
        <v>2387</v>
      </c>
      <c r="M196" s="64" t="s">
        <v>4274</v>
      </c>
      <c r="N196" s="64" t="s">
        <v>5169</v>
      </c>
      <c r="O196" s="64" t="s">
        <v>6068</v>
      </c>
      <c r="P196" s="61" t="s">
        <v>667</v>
      </c>
      <c r="Q196" s="67" t="s">
        <v>2552</v>
      </c>
      <c r="R196" s="66" t="s">
        <v>2500</v>
      </c>
      <c r="S196" s="164" t="s">
        <v>2316</v>
      </c>
      <c r="T196" s="134" t="str">
        <f>IF(R196="Bogs Ponds Streams","20",IF(R196="Coastal Areas","26",IF(R196="Meadows Dry Open","10",IF(R196="Forest &amp; Understory","14",IF(R196="Moist Open","12",IF(R196="Moist Shady","10",IF(R196="Sub-Alpine Slopes","0")))))))</f>
        <v>10</v>
      </c>
      <c r="U196" s="134" t="str">
        <f>IF(R196="Bogs Ponds Streams","52",IF(R196="Coastal Areas","51",IF(R196="Meadows Dry Open","53",IF(R196="Forest &amp; Understory","52",IF(R196="Moist Open","50",IF(R196="Moist Shady","46",IF(R196="Sub-Alpine Slopes","40")))))))</f>
        <v>53</v>
      </c>
      <c r="V196" s="134" t="str">
        <f>IF(R196="Bogs Ponds Streams","84",IF(R196="Coastal Areas","76",IF(R196="Meadows Dry Open","96", IF(R196="Forest &amp; Understory","90", IF(R196="Moist Open","88", IF(R196="Moist Shady","82", IF(R196="Sub-Alpine Slopes","80")))))))</f>
        <v>96</v>
      </c>
      <c r="W196" s="67">
        <v>20</v>
      </c>
      <c r="X196" s="67">
        <v>0</v>
      </c>
      <c r="Y196" s="67">
        <v>3500</v>
      </c>
      <c r="Z196" s="67" t="s">
        <v>2519</v>
      </c>
      <c r="AA196" s="67" t="s">
        <v>2518</v>
      </c>
      <c r="AB196" s="67">
        <v>6.8</v>
      </c>
      <c r="AC196" s="85">
        <f>C196+AK196+(0.1)*AL196</f>
        <v>3</v>
      </c>
      <c r="AD196" s="78">
        <v>10</v>
      </c>
      <c r="AE196" s="68">
        <v>3</v>
      </c>
      <c r="AF196" s="68">
        <v>1</v>
      </c>
      <c r="AG196" s="78">
        <v>2010</v>
      </c>
      <c r="AH196" s="78">
        <v>0</v>
      </c>
      <c r="AI196" s="78">
        <v>2015</v>
      </c>
      <c r="AJ196" s="67">
        <v>2015</v>
      </c>
      <c r="AK196" s="67">
        <v>2</v>
      </c>
      <c r="AL196" s="67">
        <v>0</v>
      </c>
      <c r="AM196" s="70">
        <v>5</v>
      </c>
      <c r="AN196" s="70">
        <v>0</v>
      </c>
      <c r="AO196" s="86">
        <v>0</v>
      </c>
      <c r="AP196" s="70">
        <v>0</v>
      </c>
      <c r="AQ196" s="70">
        <v>0</v>
      </c>
      <c r="AR196" s="70">
        <v>0</v>
      </c>
      <c r="AS196" s="86">
        <v>0</v>
      </c>
      <c r="AT196" s="70">
        <v>0</v>
      </c>
      <c r="AU196" s="70">
        <v>0</v>
      </c>
      <c r="AV196" s="70">
        <v>0</v>
      </c>
      <c r="AW196" s="86">
        <v>0</v>
      </c>
      <c r="AX196" s="70">
        <v>0</v>
      </c>
      <c r="AY196" s="233"/>
      <c r="AZ196" s="11"/>
      <c r="BA196" s="35">
        <f ca="1">IF(OR(S196="North America",S196="Rocky Mountain"), "Widespread",BC196)</f>
        <v>2039.0840765300059</v>
      </c>
      <c r="BB196" s="11"/>
      <c r="BC196" s="35">
        <f ca="1">IF(BE196&gt;2046, "Abundant",BE196)</f>
        <v>2039.0840765300059</v>
      </c>
      <c r="BD196" s="11"/>
      <c r="BE196" s="81">
        <f ca="1">YEAR($C$13)+(BG196*80)</f>
        <v>2039.0840765300059</v>
      </c>
      <c r="BF196" s="11"/>
      <c r="BG196" s="137">
        <f ca="1">BH196*$BH$14</f>
        <v>0.25105095662507426</v>
      </c>
      <c r="BH196" s="137">
        <f ca="1">(((BJ196+BK196+BM196+BN196)/4)*$BM$11)+(((BP196+BQ196)/2)*$BQ$11)+(((BU196+BV196+BW196)/3)*$BU$11)+(((BY196+BZ196+CA196+CB196+CC196)/5)*$CA$11)</f>
        <v>0.25105095662507426</v>
      </c>
      <c r="BI196" s="11"/>
      <c r="BJ196" s="33">
        <f>AP196/(AM196+AO196)</f>
        <v>0</v>
      </c>
      <c r="BK196" s="33">
        <f>(AN196+AO196)/(AM196+AO196)</f>
        <v>0</v>
      </c>
      <c r="BL196" s="11"/>
      <c r="BM196" s="127">
        <f>CF196/102</f>
        <v>2.9411764705882353E-2</v>
      </c>
      <c r="BN196" s="127">
        <f>C196/2</f>
        <v>0.5</v>
      </c>
      <c r="BO196" s="11"/>
      <c r="BP196" s="127">
        <f>(AK196)/($AW$6)</f>
        <v>2.0202020202020204E-2</v>
      </c>
      <c r="BQ196" s="127">
        <f ca="1">(CH196-$AW$4)/((YEAR($C$13))-$AW$4)</f>
        <v>0.73333333333333328</v>
      </c>
      <c r="BR196" s="127">
        <f>(AL196)/($AW$6)</f>
        <v>0</v>
      </c>
      <c r="BS196" s="11"/>
      <c r="BT196" s="127"/>
      <c r="BU196" s="127">
        <f ca="1">(CG196-$AW$4)/((YEAR($C$13))-$AW$4)</f>
        <v>0.73333333333333328</v>
      </c>
      <c r="BV196" s="127">
        <f>AE196/5</f>
        <v>0.6</v>
      </c>
      <c r="BW196" s="127">
        <f>AF196/5</f>
        <v>0.2</v>
      </c>
      <c r="BX196" s="11"/>
      <c r="BY196" s="148" t="str">
        <f>IF(E196="A",".98",IF(E196="B",".99",IF(E196="C","1.00",IF(E196="D","1.00" ))))</f>
        <v>1.00</v>
      </c>
      <c r="BZ196" s="127">
        <f>(CE196+7)/10</f>
        <v>1</v>
      </c>
      <c r="CA196" s="76" t="str">
        <f>IF(D196="Fern",".97",IF(D196="Grass",".99",IF(D196="Herb",".97",IF(D196="Shrub",".99",IF(D196="Tree","1.00",IF(D196="Vine",".98"))))))</f>
        <v>.97</v>
      </c>
      <c r="CB196" s="149" t="str">
        <f>IF(R196="Bogs Ponds Streams",".96", IF(R196="Coastal Areas",".97",IF(R196="Meadows Dry Open",".96",IF(R196="Forest &amp; Understory",".97",IF(R196="Moist Open",".98",IF(R196="Moist Shady",".96",IF(R196="Sub-Alpine","1.0")))))))</f>
        <v>.96</v>
      </c>
      <c r="CC196" s="76" t="str">
        <f>IF(S196="Local Endemic",".50",IF(S196="Regional Endemic",".70",IF(S196="Cascadia",".90",IF(S196="Rocky Mountain",".95",IF(S196="North America",".99")))))</f>
        <v>.50</v>
      </c>
      <c r="CD196" s="11"/>
      <c r="CE196" s="21">
        <f>IF(W196&gt;3,3,W196)</f>
        <v>3</v>
      </c>
      <c r="CF196" s="21">
        <f>IF(AC196&gt;102,102,AC196)</f>
        <v>3</v>
      </c>
      <c r="CG196" s="34">
        <f>IF(AI196&lt;$AW$4,$AW$4,AI196)</f>
        <v>2015</v>
      </c>
      <c r="CH196" s="34">
        <f>IF(AJ196&lt;$AW$4,$AW$4,AJ196)</f>
        <v>2015</v>
      </c>
      <c r="CI196" s="11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11"/>
      <c r="DC196" s="11"/>
      <c r="DD196" s="11"/>
      <c r="DE196" s="11"/>
      <c r="DF196" s="11"/>
      <c r="DG196" s="11"/>
      <c r="DH196" s="11"/>
      <c r="DI196" s="11"/>
      <c r="DJ196" s="11"/>
    </row>
    <row r="197" spans="1:115" ht="15" customHeight="1" x14ac:dyDescent="0.3">
      <c r="A197" s="235"/>
      <c r="B197" s="218"/>
      <c r="C197" s="225">
        <v>8</v>
      </c>
      <c r="D197" s="59" t="s">
        <v>2505</v>
      </c>
      <c r="E197" s="59" t="s">
        <v>2501</v>
      </c>
      <c r="F197" s="397" t="str">
        <f ca="1">IF(BC197&lt;2025, "Extinct&lt; 6Yrs?",BA197)</f>
        <v>Widespread</v>
      </c>
      <c r="G197" s="363" t="s">
        <v>525</v>
      </c>
      <c r="H197" s="363" t="s">
        <v>690</v>
      </c>
      <c r="I197" s="366" t="s">
        <v>370</v>
      </c>
      <c r="J197" s="365" t="s">
        <v>3269</v>
      </c>
      <c r="K197" s="365" t="s">
        <v>901</v>
      </c>
      <c r="L197" s="10" t="s">
        <v>2006</v>
      </c>
      <c r="M197" s="8" t="s">
        <v>4275</v>
      </c>
      <c r="N197" s="8" t="s">
        <v>5170</v>
      </c>
      <c r="O197" s="8" t="s">
        <v>6069</v>
      </c>
      <c r="P197" s="9" t="s">
        <v>667</v>
      </c>
      <c r="Q197" s="59" t="s">
        <v>2552</v>
      </c>
      <c r="R197" s="9" t="s">
        <v>2500</v>
      </c>
      <c r="S197" s="9" t="s">
        <v>2479</v>
      </c>
      <c r="T197" s="123" t="str">
        <f>IF(R197="Bogs Ponds Streams","20",IF(R197="Coastal Areas","26",IF(R197="Meadows Dry Open","10",IF(R197="Forest &amp; Understory","14",IF(R197="Moist Open","12",IF(R197="Moist Shady","10",IF(R197="Sub-Alpine Slopes","0")))))))</f>
        <v>10</v>
      </c>
      <c r="U197" s="123" t="str">
        <f>IF(R197="Bogs Ponds Streams","52",IF(R197="Coastal Areas","51",IF(R197="Meadows Dry Open","53",IF(R197="Forest &amp; Understory","52",IF(R197="Moist Open","50",IF(R197="Moist Shady","46",IF(R197="Sub-Alpine Slopes","40")))))))</f>
        <v>53</v>
      </c>
      <c r="V197" s="123" t="str">
        <f>IF(R197="Bogs Ponds Streams","84",IF(R197="Coastal Areas","76",IF(R197="Meadows Dry Open","96", IF(R197="Forest &amp; Understory","90", IF(R197="Moist Open","88", IF(R197="Moist Shady","82", IF(R197="Sub-Alpine Slopes","80")))))))</f>
        <v>96</v>
      </c>
      <c r="W197" s="59">
        <v>20</v>
      </c>
      <c r="X197" s="59">
        <v>0</v>
      </c>
      <c r="Y197" s="59">
        <v>3500</v>
      </c>
      <c r="Z197" s="59" t="s">
        <v>2519</v>
      </c>
      <c r="AA197" s="59" t="s">
        <v>2518</v>
      </c>
      <c r="AB197" s="59">
        <v>6.8</v>
      </c>
      <c r="AC197" s="45">
        <f>C197+AK197+(0.1)*AL197</f>
        <v>32</v>
      </c>
      <c r="AD197" s="77">
        <v>362</v>
      </c>
      <c r="AE197" s="59">
        <v>5</v>
      </c>
      <c r="AF197" s="59">
        <v>5</v>
      </c>
      <c r="AG197" s="59">
        <v>1900</v>
      </c>
      <c r="AH197" s="77">
        <v>0</v>
      </c>
      <c r="AI197" s="59">
        <f ca="1">AJ197</f>
        <v>2019</v>
      </c>
      <c r="AJ197" s="18">
        <f ca="1">YEAR(TODAY())</f>
        <v>2019</v>
      </c>
      <c r="AK197" s="18">
        <v>20</v>
      </c>
      <c r="AL197" s="18">
        <v>40</v>
      </c>
      <c r="AM197" s="18">
        <v>1</v>
      </c>
      <c r="AN197" s="18">
        <v>1</v>
      </c>
      <c r="AO197" s="25">
        <v>0</v>
      </c>
      <c r="AP197" s="24">
        <v>0</v>
      </c>
      <c r="AQ197" s="18">
        <v>0</v>
      </c>
      <c r="AR197" s="18">
        <v>0</v>
      </c>
      <c r="AS197" s="18">
        <v>0</v>
      </c>
      <c r="AT197" s="18">
        <v>0</v>
      </c>
      <c r="AU197" s="18">
        <v>0</v>
      </c>
      <c r="AV197" s="18">
        <v>0</v>
      </c>
      <c r="AW197" s="18">
        <v>0</v>
      </c>
      <c r="AX197" s="18">
        <v>0</v>
      </c>
      <c r="AY197" s="233"/>
      <c r="AZ197" s="4"/>
      <c r="BA197" s="35" t="str">
        <f>IF(OR(S197="North America",S197="Rocky Mountain"), "Widespread",BC197)</f>
        <v>Widespread</v>
      </c>
      <c r="BB197" s="4"/>
      <c r="BC197" s="35" t="str">
        <f ca="1">IF(BE197&gt;2046, "Abundant",BE197)</f>
        <v>Abundant</v>
      </c>
      <c r="BD197" s="4"/>
      <c r="BE197" s="81">
        <f ca="1">YEAR($C$13)+(BG197*80)</f>
        <v>2105.1505483065953</v>
      </c>
      <c r="BF197" s="4"/>
      <c r="BG197" s="137">
        <f ca="1">BH197*$BH$14</f>
        <v>1.0768818538324421</v>
      </c>
      <c r="BH197" s="137">
        <f ca="1">(((BJ197+BK197+BM197+BN197)/4)*$BM$11)+(((BP197+BQ197)/2)*$BQ$11)+(((BU197+BV197+BW197)/3)*$BU$11)+(((BY197+BZ197+CA197+CB197+CC197)/5)*$CA$11)</f>
        <v>1.0768818538324421</v>
      </c>
      <c r="BI197" s="4"/>
      <c r="BJ197" s="33">
        <f>AP197/(AM197+AO197)</f>
        <v>0</v>
      </c>
      <c r="BK197" s="33">
        <f>(AN197+AO197)/(AM197+AO197)</f>
        <v>1</v>
      </c>
      <c r="BL197" s="4"/>
      <c r="BM197" s="127">
        <f>CF197/102</f>
        <v>0.31372549019607843</v>
      </c>
      <c r="BN197" s="127">
        <f>C197/2</f>
        <v>4</v>
      </c>
      <c r="BO197" s="4"/>
      <c r="BP197" s="127">
        <f>(AK197)/($AW$6)</f>
        <v>0.20202020202020202</v>
      </c>
      <c r="BQ197" s="127">
        <f ca="1">(CH197-$AW$4)/((YEAR($C$13))-$AW$4)</f>
        <v>1</v>
      </c>
      <c r="BR197" s="127">
        <f>(AL197)/($AW$6)</f>
        <v>0.40404040404040403</v>
      </c>
      <c r="BS197" s="4"/>
      <c r="BT197" s="127"/>
      <c r="BU197" s="127">
        <f ca="1">(CG197-$AW$4)/((YEAR($C$13))-$AW$4)</f>
        <v>1</v>
      </c>
      <c r="BV197" s="127">
        <f>AE197/5</f>
        <v>1</v>
      </c>
      <c r="BW197" s="127">
        <f>AF197/5</f>
        <v>1</v>
      </c>
      <c r="BX197" s="4"/>
      <c r="BY197" s="148" t="str">
        <f>IF(E197="A",".98",IF(E197="B",".99",IF(E197="C","1.00",IF(E197="D","1.00" ))))</f>
        <v>1.00</v>
      </c>
      <c r="BZ197" s="127">
        <f>(CE197+7)/10</f>
        <v>1</v>
      </c>
      <c r="CA197" s="76" t="str">
        <f>IF(D197="Fern",".97",IF(D197="Grass",".99",IF(D197="Herb",".97",IF(D197="Shrub",".99",IF(D197="Tree","1.00",IF(D197="Vine",".98"))))))</f>
        <v>.97</v>
      </c>
      <c r="CB197" s="149" t="str">
        <f>IF(R197="Bogs Ponds Streams",".96", IF(R197="Coastal Areas",".97",IF(R197="Meadows Dry Open",".96",IF(R197="Forest &amp; Understory",".97",IF(R197="Moist Open",".98",IF(R197="Moist Shady",".96",IF(R197="Sub-Alpine","1.0")))))))</f>
        <v>.96</v>
      </c>
      <c r="CC197" s="76" t="str">
        <f>IF(S197="Local Endemic",".50",IF(S197="Regional Endemic",".70",IF(S197="Cascadia",".90",IF(S197="Rocky Mountain",".95",IF(S197="North America",".99")))))</f>
        <v>.95</v>
      </c>
      <c r="CD197" s="4"/>
      <c r="CE197" s="21">
        <f>IF(W197&gt;3,3,W197)</f>
        <v>3</v>
      </c>
      <c r="CF197" s="21">
        <f>IF(AC197&gt;102,102,AC197)</f>
        <v>32</v>
      </c>
      <c r="CG197" s="34">
        <f ca="1">IF(AI197&lt;$AW$4,$AW$4,AI197)</f>
        <v>2019</v>
      </c>
      <c r="CH197" s="34">
        <f ca="1">IF(AJ197&lt;$AW$4,$AW$4,AJ197)</f>
        <v>2019</v>
      </c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</row>
    <row r="198" spans="1:115" ht="15" customHeight="1" x14ac:dyDescent="0.3">
      <c r="A198" s="235"/>
      <c r="B198" s="218"/>
      <c r="C198" s="226">
        <v>2</v>
      </c>
      <c r="D198" s="104" t="s">
        <v>2505</v>
      </c>
      <c r="E198" s="104" t="s">
        <v>2501</v>
      </c>
      <c r="F198" s="400">
        <f ca="1">IF(BC198&lt;2025, "Extinct&lt; 6Yrs?",BA198)</f>
        <v>2040.008967795603</v>
      </c>
      <c r="G198" s="369" t="s">
        <v>525</v>
      </c>
      <c r="H198" s="369" t="s">
        <v>4028</v>
      </c>
      <c r="I198" s="370" t="s">
        <v>3044</v>
      </c>
      <c r="J198" s="371" t="s">
        <v>3807</v>
      </c>
      <c r="K198" s="371" t="s">
        <v>371</v>
      </c>
      <c r="L198" s="106" t="s">
        <v>2005</v>
      </c>
      <c r="M198" s="111" t="s">
        <v>4277</v>
      </c>
      <c r="N198" s="111" t="s">
        <v>5171</v>
      </c>
      <c r="O198" s="111" t="s">
        <v>6070</v>
      </c>
      <c r="P198" s="105" t="s">
        <v>667</v>
      </c>
      <c r="Q198" s="104" t="s">
        <v>2552</v>
      </c>
      <c r="R198" s="105" t="s">
        <v>2500</v>
      </c>
      <c r="S198" s="105" t="s">
        <v>2309</v>
      </c>
      <c r="T198" s="133" t="str">
        <f>IF(R198="Bogs Ponds Streams","20",IF(R198="Coastal Areas","26",IF(R198="Meadows Dry Open","10",IF(R198="Forest &amp; Understory","14",IF(R198="Moist Open","12",IF(R198="Moist Shady","10",IF(R198="Sub-Alpine Slopes","0")))))))</f>
        <v>10</v>
      </c>
      <c r="U198" s="133" t="str">
        <f>IF(R198="Bogs Ponds Streams","52",IF(R198="Coastal Areas","51",IF(R198="Meadows Dry Open","53",IF(R198="Forest &amp; Understory","52",IF(R198="Moist Open","50",IF(R198="Moist Shady","46",IF(R198="Sub-Alpine Slopes","40")))))))</f>
        <v>53</v>
      </c>
      <c r="V198" s="133" t="str">
        <f>IF(R198="Bogs Ponds Streams","84",IF(R198="Coastal Areas","76",IF(R198="Meadows Dry Open","96", IF(R198="Forest &amp; Understory","90", IF(R198="Moist Open","88", IF(R198="Moist Shady","82", IF(R198="Sub-Alpine Slopes","80")))))))</f>
        <v>96</v>
      </c>
      <c r="W198" s="104">
        <v>20</v>
      </c>
      <c r="X198" s="104">
        <v>0</v>
      </c>
      <c r="Y198" s="104">
        <v>3500</v>
      </c>
      <c r="Z198" s="104" t="s">
        <v>2519</v>
      </c>
      <c r="AA198" s="104" t="s">
        <v>2518</v>
      </c>
      <c r="AB198" s="104">
        <v>6.8</v>
      </c>
      <c r="AC198" s="107">
        <f>C198+AK198+(0.1)*AL198</f>
        <v>7</v>
      </c>
      <c r="AD198" s="113">
        <v>24</v>
      </c>
      <c r="AE198" s="112">
        <v>2</v>
      </c>
      <c r="AF198" s="112">
        <v>2</v>
      </c>
      <c r="AG198" s="113">
        <v>1889</v>
      </c>
      <c r="AH198" s="113">
        <v>0</v>
      </c>
      <c r="AI198" s="113">
        <v>2018</v>
      </c>
      <c r="AJ198" s="108">
        <v>2004</v>
      </c>
      <c r="AK198" s="108">
        <v>5</v>
      </c>
      <c r="AL198" s="108">
        <v>0</v>
      </c>
      <c r="AM198" s="109">
        <v>5</v>
      </c>
      <c r="AN198" s="109">
        <v>1</v>
      </c>
      <c r="AO198" s="110">
        <v>0</v>
      </c>
      <c r="AP198" s="109">
        <v>0</v>
      </c>
      <c r="AQ198" s="109">
        <v>0</v>
      </c>
      <c r="AR198" s="109">
        <v>0</v>
      </c>
      <c r="AS198" s="110">
        <v>0</v>
      </c>
      <c r="AT198" s="109">
        <v>0</v>
      </c>
      <c r="AU198" s="109">
        <v>0</v>
      </c>
      <c r="AV198" s="109">
        <v>0</v>
      </c>
      <c r="AW198" s="110">
        <v>0</v>
      </c>
      <c r="AX198" s="109">
        <v>0</v>
      </c>
      <c r="AY198" s="233"/>
      <c r="AZ198" s="4"/>
      <c r="BA198" s="35">
        <f ca="1">IF(OR(S198="North America",S198="Rocky Mountain"), "Widespread",BC198)</f>
        <v>2040.008967795603</v>
      </c>
      <c r="BB198" s="4"/>
      <c r="BC198" s="35">
        <f ca="1">IF(BE198&gt;2046, "Abundant",BE198)</f>
        <v>2040.008967795603</v>
      </c>
      <c r="BD198" s="4"/>
      <c r="BE198" s="81">
        <f ca="1">YEAR($C$13)+(BG198*80)</f>
        <v>2040.008967795603</v>
      </c>
      <c r="BF198" s="4"/>
      <c r="BG198" s="137">
        <f ca="1">BH198*$BH$14</f>
        <v>0.26261209744503861</v>
      </c>
      <c r="BH198" s="137">
        <f ca="1">(((BJ198+BK198+BM198+BN198)/4)*$BM$11)+(((BP198+BQ198)/2)*$BQ$11)+(((BU198+BV198+BW198)/3)*$BU$11)+(((BY198+BZ198+CA198+CB198+CC198)/5)*$CA$11)</f>
        <v>0.26261209744503861</v>
      </c>
      <c r="BI198" s="4"/>
      <c r="BJ198" s="33">
        <f>AP198/(AM198+AO198)</f>
        <v>0</v>
      </c>
      <c r="BK198" s="33">
        <f>(AN198+AO198)/(AM198+AO198)</f>
        <v>0.2</v>
      </c>
      <c r="BL198" s="4"/>
      <c r="BM198" s="127">
        <f>CF198/102</f>
        <v>6.8627450980392163E-2</v>
      </c>
      <c r="BN198" s="127">
        <f>C198/2</f>
        <v>1</v>
      </c>
      <c r="BO198" s="4"/>
      <c r="BP198" s="127">
        <f>(AK198)/($AW$6)</f>
        <v>5.0505050505050504E-2</v>
      </c>
      <c r="BQ198" s="127">
        <f ca="1">(CH198-$AW$4)/((YEAR($C$13))-$AW$4)</f>
        <v>0</v>
      </c>
      <c r="BR198" s="127">
        <f>(AL198)/($AW$6)</f>
        <v>0</v>
      </c>
      <c r="BS198" s="4"/>
      <c r="BT198" s="127"/>
      <c r="BU198" s="127">
        <f ca="1">(CG198-$AW$4)/((YEAR($C$13))-$AW$4)</f>
        <v>0.93333333333333335</v>
      </c>
      <c r="BV198" s="127">
        <f>AE198/5</f>
        <v>0.4</v>
      </c>
      <c r="BW198" s="127">
        <f>AF198/5</f>
        <v>0.4</v>
      </c>
      <c r="BX198" s="4"/>
      <c r="BY198" s="148" t="str">
        <f>IF(E198="A",".98",IF(E198="B",".99",IF(E198="C","1.00",IF(E198="D","1.00" ))))</f>
        <v>1.00</v>
      </c>
      <c r="BZ198" s="127">
        <f>(CE198+7)/10</f>
        <v>1</v>
      </c>
      <c r="CA198" s="76" t="str">
        <f>IF(D198="Fern",".97",IF(D198="Grass",".99",IF(D198="Herb",".97",IF(D198="Shrub",".99",IF(D198="Tree","1.00",IF(D198="Vine",".98"))))))</f>
        <v>.97</v>
      </c>
      <c r="CB198" s="149" t="str">
        <f>IF(R198="Bogs Ponds Streams",".96", IF(R198="Coastal Areas",".97",IF(R198="Meadows Dry Open",".96",IF(R198="Forest &amp; Understory",".97",IF(R198="Moist Open",".98",IF(R198="Moist Shady",".96",IF(R198="Sub-Alpine","1.0")))))))</f>
        <v>.96</v>
      </c>
      <c r="CC198" s="76" t="str">
        <f>IF(S198="Local Endemic",".50",IF(S198="Regional Endemic",".70",IF(S198="Cascadia",".90",IF(S198="Rocky Mountain",".95",IF(S198="North America",".99")))))</f>
        <v>.70</v>
      </c>
      <c r="CD198" s="4"/>
      <c r="CE198" s="21">
        <f>IF(W198&gt;3,3,W198)</f>
        <v>3</v>
      </c>
      <c r="CF198" s="21">
        <f>IF(AC198&gt;102,102,AC198)</f>
        <v>7</v>
      </c>
      <c r="CG198" s="34">
        <f>IF(AI198&lt;$AW$4,$AW$4,AI198)</f>
        <v>2018</v>
      </c>
      <c r="CH198" s="34">
        <f>IF(AJ198&lt;$AW$4,$AW$4,AJ198)</f>
        <v>2004</v>
      </c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13"/>
    </row>
    <row r="199" spans="1:115" ht="15" customHeight="1" x14ac:dyDescent="0.3">
      <c r="A199" s="235"/>
      <c r="B199" s="218"/>
      <c r="C199" s="225">
        <v>8</v>
      </c>
      <c r="D199" s="59" t="s">
        <v>2505</v>
      </c>
      <c r="E199" s="59" t="s">
        <v>2501</v>
      </c>
      <c r="F199" s="397" t="str">
        <f ca="1">IF(BC199&lt;2025, "Extinct&lt; 6Yrs?",BA199)</f>
        <v>Widespread</v>
      </c>
      <c r="G199" s="363" t="s">
        <v>525</v>
      </c>
      <c r="H199" s="363" t="s">
        <v>690</v>
      </c>
      <c r="I199" s="364" t="s">
        <v>2614</v>
      </c>
      <c r="J199" s="365" t="s">
        <v>3270</v>
      </c>
      <c r="K199" s="365" t="s">
        <v>902</v>
      </c>
      <c r="L199" s="17" t="s">
        <v>2004</v>
      </c>
      <c r="M199" s="8" t="s">
        <v>4278</v>
      </c>
      <c r="N199" s="8" t="s">
        <v>5172</v>
      </c>
      <c r="O199" s="8" t="s">
        <v>6071</v>
      </c>
      <c r="P199" s="9" t="s">
        <v>667</v>
      </c>
      <c r="Q199" s="59" t="s">
        <v>2552</v>
      </c>
      <c r="R199" s="9" t="s">
        <v>2500</v>
      </c>
      <c r="S199" s="159" t="s">
        <v>2479</v>
      </c>
      <c r="T199" s="123" t="str">
        <f>IF(R199="Bogs Ponds Streams","20",IF(R199="Coastal Areas","26",IF(R199="Meadows Dry Open","10",IF(R199="Forest &amp; Understory","14",IF(R199="Moist Open","12",IF(R199="Moist Shady","10",IF(R199="Sub-Alpine Slopes","0")))))))</f>
        <v>10</v>
      </c>
      <c r="U199" s="123" t="str">
        <f>IF(R199="Bogs Ponds Streams","52",IF(R199="Coastal Areas","51",IF(R199="Meadows Dry Open","53",IF(R199="Forest &amp; Understory","52",IF(R199="Moist Open","50",IF(R199="Moist Shady","46",IF(R199="Sub-Alpine Slopes","40")))))))</f>
        <v>53</v>
      </c>
      <c r="V199" s="123" t="str">
        <f>IF(R199="Bogs Ponds Streams","84",IF(R199="Coastal Areas","76",IF(R199="Meadows Dry Open","96", IF(R199="Forest &amp; Understory","90", IF(R199="Moist Open","88", IF(R199="Moist Shady","82", IF(R199="Sub-Alpine Slopes","80")))))))</f>
        <v>96</v>
      </c>
      <c r="W199" s="59">
        <v>20</v>
      </c>
      <c r="X199" s="59">
        <v>0</v>
      </c>
      <c r="Y199" s="59">
        <v>3500</v>
      </c>
      <c r="Z199" s="59" t="s">
        <v>2519</v>
      </c>
      <c r="AA199" s="59" t="s">
        <v>2518</v>
      </c>
      <c r="AB199" s="59">
        <v>6.8</v>
      </c>
      <c r="AC199" s="45">
        <f>C199+AK199+(0.1)*AL199</f>
        <v>39.299999999999997</v>
      </c>
      <c r="AD199" s="77">
        <v>531</v>
      </c>
      <c r="AE199" s="59">
        <v>5</v>
      </c>
      <c r="AF199" s="59">
        <v>5</v>
      </c>
      <c r="AG199" s="59">
        <v>1900</v>
      </c>
      <c r="AH199" s="77">
        <v>0</v>
      </c>
      <c r="AI199" s="59">
        <f ca="1">AJ199</f>
        <v>2019</v>
      </c>
      <c r="AJ199" s="18">
        <f ca="1">YEAR(TODAY())</f>
        <v>2019</v>
      </c>
      <c r="AK199" s="18">
        <v>28</v>
      </c>
      <c r="AL199" s="18">
        <v>33</v>
      </c>
      <c r="AM199" s="18">
        <v>1</v>
      </c>
      <c r="AN199" s="18">
        <v>1</v>
      </c>
      <c r="AO199" s="24">
        <v>3</v>
      </c>
      <c r="AP199" s="24">
        <v>3</v>
      </c>
      <c r="AQ199" s="18">
        <v>0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233"/>
      <c r="AZ199" s="4"/>
      <c r="BA199" s="35" t="str">
        <f>IF(OR(S199="North America",S199="Rocky Mountain"), "Widespread",BC199)</f>
        <v>Widespread</v>
      </c>
      <c r="BB199" s="4"/>
      <c r="BC199" s="35" t="str">
        <f ca="1">IF(BE199&gt;2046, "Abundant",BE199)</f>
        <v>Abundant</v>
      </c>
      <c r="BD199" s="4"/>
      <c r="BE199" s="81">
        <f ca="1">YEAR($C$13)+(BG199*80)</f>
        <v>2115.9790688057042</v>
      </c>
      <c r="BF199" s="4"/>
      <c r="BG199" s="137">
        <f ca="1">BH199*$BH$14</f>
        <v>1.2122383600713011</v>
      </c>
      <c r="BH199" s="137">
        <f ca="1">(((BJ199+BK199+BM199+BN199)/4)*$BM$11)+(((BP199+BQ199)/2)*$BQ$11)+(((BU199+BV199+BW199)/3)*$BU$11)+(((BY199+BZ199+CA199+CB199+CC199)/5)*$CA$11)</f>
        <v>1.2122383600713011</v>
      </c>
      <c r="BI199" s="4"/>
      <c r="BJ199" s="33">
        <f>AP199/(AM199+AO199)</f>
        <v>0.75</v>
      </c>
      <c r="BK199" s="33">
        <f>(AN199+AO199)/(AM199+AO199)</f>
        <v>1</v>
      </c>
      <c r="BL199" s="4"/>
      <c r="BM199" s="127">
        <f>CF199/102</f>
        <v>0.38529411764705879</v>
      </c>
      <c r="BN199" s="127">
        <f>C199/2</f>
        <v>4</v>
      </c>
      <c r="BO199" s="4"/>
      <c r="BP199" s="127">
        <f>(AK199)/($AW$6)</f>
        <v>0.28282828282828282</v>
      </c>
      <c r="BQ199" s="127">
        <f ca="1">(CH199-$AW$4)/((YEAR($C$13))-$AW$4)</f>
        <v>1</v>
      </c>
      <c r="BR199" s="127">
        <f>(AL199)/($AW$6)</f>
        <v>0.33333333333333331</v>
      </c>
      <c r="BS199" s="4"/>
      <c r="BT199" s="127"/>
      <c r="BU199" s="127">
        <f ca="1">(CG199-$AW$4)/((YEAR($C$13))-$AW$4)</f>
        <v>1</v>
      </c>
      <c r="BV199" s="127">
        <f>AE199/5</f>
        <v>1</v>
      </c>
      <c r="BW199" s="127">
        <f>AF199/5</f>
        <v>1</v>
      </c>
      <c r="BX199" s="4"/>
      <c r="BY199" s="148" t="str">
        <f>IF(E199="A",".98",IF(E199="B",".99",IF(E199="C","1.00",IF(E199="D","1.00" ))))</f>
        <v>1.00</v>
      </c>
      <c r="BZ199" s="127">
        <f>(CE199+7)/10</f>
        <v>1</v>
      </c>
      <c r="CA199" s="76" t="str">
        <f>IF(D199="Fern",".97",IF(D199="Grass",".99",IF(D199="Herb",".97",IF(D199="Shrub",".99",IF(D199="Tree","1.00",IF(D199="Vine",".98"))))))</f>
        <v>.97</v>
      </c>
      <c r="CB199" s="149" t="str">
        <f>IF(R199="Bogs Ponds Streams",".96", IF(R199="Coastal Areas",".97",IF(R199="Meadows Dry Open",".96",IF(R199="Forest &amp; Understory",".97",IF(R199="Moist Open",".98",IF(R199="Moist Shady",".96",IF(R199="Sub-Alpine","1.0")))))))</f>
        <v>.96</v>
      </c>
      <c r="CC199" s="76" t="str">
        <f>IF(S199="Local Endemic",".50",IF(S199="Regional Endemic",".70",IF(S199="Cascadia",".90",IF(S199="Rocky Mountain",".95",IF(S199="North America",".99")))))</f>
        <v>.95</v>
      </c>
      <c r="CD199" s="4"/>
      <c r="CE199" s="21">
        <f>IF(W199&gt;3,3,W199)</f>
        <v>3</v>
      </c>
      <c r="CF199" s="21">
        <f>IF(AC199&gt;102,102,AC199)</f>
        <v>39.299999999999997</v>
      </c>
      <c r="CG199" s="34">
        <f ca="1">IF(AI199&lt;$AW$4,$AW$4,AI199)</f>
        <v>2019</v>
      </c>
      <c r="CH199" s="34">
        <f ca="1">IF(AJ199&lt;$AW$4,$AW$4,AJ199)</f>
        <v>2019</v>
      </c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</row>
    <row r="200" spans="1:115" ht="15" customHeight="1" x14ac:dyDescent="0.3">
      <c r="A200" s="235"/>
      <c r="B200" s="218"/>
      <c r="C200" s="375">
        <v>1</v>
      </c>
      <c r="D200" s="67" t="s">
        <v>2505</v>
      </c>
      <c r="E200" s="67" t="s">
        <v>2501</v>
      </c>
      <c r="F200" s="403">
        <f ca="1">IF(BC200&lt;2025, "Extinct&lt; 6Yrs?",BA200)</f>
        <v>2031.635187641117</v>
      </c>
      <c r="G200" s="376" t="s">
        <v>525</v>
      </c>
      <c r="H200" s="376" t="s">
        <v>4028</v>
      </c>
      <c r="I200" s="377" t="s">
        <v>2333</v>
      </c>
      <c r="J200" s="378" t="s">
        <v>3641</v>
      </c>
      <c r="K200" s="378" t="s">
        <v>2332</v>
      </c>
      <c r="L200" s="64" t="s">
        <v>2388</v>
      </c>
      <c r="M200" s="64" t="s">
        <v>4279</v>
      </c>
      <c r="N200" s="64" t="s">
        <v>5173</v>
      </c>
      <c r="O200" s="64" t="s">
        <v>6072</v>
      </c>
      <c r="P200" s="61" t="s">
        <v>667</v>
      </c>
      <c r="Q200" s="67" t="s">
        <v>2552</v>
      </c>
      <c r="R200" s="61" t="s">
        <v>2500</v>
      </c>
      <c r="S200" s="164" t="s">
        <v>2316</v>
      </c>
      <c r="T200" s="134" t="str">
        <f>IF(R200="Bogs Ponds Streams","20",IF(R200="Coastal Areas","26",IF(R200="Meadows Dry Open","10",IF(R200="Forest &amp; Understory","14",IF(R200="Moist Open","12",IF(R200="Moist Shady","10",IF(R200="Sub-Alpine Slopes","0")))))))</f>
        <v>10</v>
      </c>
      <c r="U200" s="134" t="str">
        <f>IF(R200="Bogs Ponds Streams","52",IF(R200="Coastal Areas","51",IF(R200="Meadows Dry Open","53",IF(R200="Forest &amp; Understory","52",IF(R200="Moist Open","50",IF(R200="Moist Shady","46",IF(R200="Sub-Alpine Slopes","40")))))))</f>
        <v>53</v>
      </c>
      <c r="V200" s="134" t="str">
        <f>IF(R200="Bogs Ponds Streams","84",IF(R200="Coastal Areas","76",IF(R200="Meadows Dry Open","96", IF(R200="Forest &amp; Understory","90", IF(R200="Moist Open","88", IF(R200="Moist Shady","82", IF(R200="Sub-Alpine Slopes","80")))))))</f>
        <v>96</v>
      </c>
      <c r="W200" s="67">
        <v>20</v>
      </c>
      <c r="X200" s="67">
        <v>0</v>
      </c>
      <c r="Y200" s="67">
        <v>3500</v>
      </c>
      <c r="Z200" s="67" t="s">
        <v>2519</v>
      </c>
      <c r="AA200" s="67" t="s">
        <v>2518</v>
      </c>
      <c r="AB200" s="67">
        <v>6.8</v>
      </c>
      <c r="AC200" s="85">
        <f>C200+AK200+(0.1)*AL200</f>
        <v>3</v>
      </c>
      <c r="AD200" s="78">
        <v>4</v>
      </c>
      <c r="AE200" s="68">
        <v>1</v>
      </c>
      <c r="AF200" s="68">
        <v>1</v>
      </c>
      <c r="AG200" s="78">
        <v>2006</v>
      </c>
      <c r="AH200" s="78">
        <v>0</v>
      </c>
      <c r="AI200" s="78">
        <v>2008</v>
      </c>
      <c r="AJ200" s="67">
        <v>2008</v>
      </c>
      <c r="AK200" s="67">
        <v>2</v>
      </c>
      <c r="AL200" s="67">
        <v>0</v>
      </c>
      <c r="AM200" s="70">
        <v>5</v>
      </c>
      <c r="AN200" s="70">
        <v>0</v>
      </c>
      <c r="AO200" s="86">
        <v>0</v>
      </c>
      <c r="AP200" s="70">
        <v>0</v>
      </c>
      <c r="AQ200" s="70">
        <v>0</v>
      </c>
      <c r="AR200" s="70">
        <v>0</v>
      </c>
      <c r="AS200" s="86">
        <v>0</v>
      </c>
      <c r="AT200" s="70">
        <v>0</v>
      </c>
      <c r="AU200" s="70">
        <v>0</v>
      </c>
      <c r="AV200" s="70">
        <v>0</v>
      </c>
      <c r="AW200" s="86">
        <v>0</v>
      </c>
      <c r="AX200" s="70">
        <v>0</v>
      </c>
      <c r="AY200" s="233"/>
      <c r="AZ200" s="11"/>
      <c r="BA200" s="35">
        <f ca="1">IF(OR(S200="North America",S200="Rocky Mountain"), "Widespread",BC200)</f>
        <v>2031.635187641117</v>
      </c>
      <c r="BB200" s="11"/>
      <c r="BC200" s="35">
        <f ca="1">IF(BE200&gt;2046, "Abundant",BE200)</f>
        <v>2031.635187641117</v>
      </c>
      <c r="BD200" s="11"/>
      <c r="BE200" s="81">
        <f ca="1">YEAR($C$13)+(BG200*80)</f>
        <v>2031.635187641117</v>
      </c>
      <c r="BF200" s="11"/>
      <c r="BG200" s="137">
        <f ca="1">BH200*$BH$14</f>
        <v>0.15793984551396317</v>
      </c>
      <c r="BH200" s="137">
        <f ca="1">(((BJ200+BK200+BM200+BN200)/4)*$BM$11)+(((BP200+BQ200)/2)*$BQ$11)+(((BU200+BV200+BW200)/3)*$BU$11)+(((BY200+BZ200+CA200+CB200+CC200)/5)*$CA$11)</f>
        <v>0.15793984551396317</v>
      </c>
      <c r="BI200" s="11"/>
      <c r="BJ200" s="33">
        <f>AP200/(AM200+AO200)</f>
        <v>0</v>
      </c>
      <c r="BK200" s="33">
        <f>(AN200+AO200)/(AM200+AO200)</f>
        <v>0</v>
      </c>
      <c r="BL200" s="11"/>
      <c r="BM200" s="127">
        <f>CF200/102</f>
        <v>2.9411764705882353E-2</v>
      </c>
      <c r="BN200" s="127">
        <f>C200/2</f>
        <v>0.5</v>
      </c>
      <c r="BO200" s="11"/>
      <c r="BP200" s="127">
        <f>(AK200)/($AW$6)</f>
        <v>2.0202020202020204E-2</v>
      </c>
      <c r="BQ200" s="127">
        <f ca="1">(CH200-$AW$4)/((YEAR($C$13))-$AW$4)</f>
        <v>0.26666666666666666</v>
      </c>
      <c r="BR200" s="127">
        <f>(AL200)/($AW$6)</f>
        <v>0</v>
      </c>
      <c r="BS200" s="11"/>
      <c r="BT200" s="127"/>
      <c r="BU200" s="127">
        <f ca="1">(CG200-$AW$4)/((YEAR($C$13))-$AW$4)</f>
        <v>0.26666666666666666</v>
      </c>
      <c r="BV200" s="127">
        <f>AE200/5</f>
        <v>0.2</v>
      </c>
      <c r="BW200" s="127">
        <f>AF200/5</f>
        <v>0.2</v>
      </c>
      <c r="BX200" s="11"/>
      <c r="BY200" s="148" t="str">
        <f>IF(E200="A",".98",IF(E200="B",".99",IF(E200="C","1.00",IF(E200="D","1.00" ))))</f>
        <v>1.00</v>
      </c>
      <c r="BZ200" s="127">
        <f>(CE200+7)/10</f>
        <v>1</v>
      </c>
      <c r="CA200" s="76" t="str">
        <f>IF(D200="Fern",".97",IF(D200="Grass",".99",IF(D200="Herb",".97",IF(D200="Shrub",".99",IF(D200="Tree","1.00",IF(D200="Vine",".98"))))))</f>
        <v>.97</v>
      </c>
      <c r="CB200" s="149" t="str">
        <f>IF(R200="Bogs Ponds Streams",".96", IF(R200="Coastal Areas",".97",IF(R200="Meadows Dry Open",".96",IF(R200="Forest &amp; Understory",".97",IF(R200="Moist Open",".98",IF(R200="Moist Shady",".96",IF(R200="Sub-Alpine","1.0")))))))</f>
        <v>.96</v>
      </c>
      <c r="CC200" s="76" t="str">
        <f>IF(S200="Local Endemic",".50",IF(S200="Regional Endemic",".70",IF(S200="Cascadia",".90",IF(S200="Rocky Mountain",".95",IF(S200="North America",".99")))))</f>
        <v>.50</v>
      </c>
      <c r="CD200" s="11"/>
      <c r="CE200" s="21">
        <f>IF(W200&gt;3,3,W200)</f>
        <v>3</v>
      </c>
      <c r="CF200" s="21">
        <f>IF(AC200&gt;102,102,AC200)</f>
        <v>3</v>
      </c>
      <c r="CG200" s="34">
        <f>IF(AI200&lt;$AW$4,$AW$4,AI200)</f>
        <v>2008</v>
      </c>
      <c r="CH200" s="34">
        <f>IF(AJ200&lt;$AW$4,$AW$4,AJ200)</f>
        <v>2008</v>
      </c>
      <c r="CI200" s="11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11"/>
      <c r="DC200" s="11"/>
      <c r="DD200" s="11"/>
      <c r="DE200" s="11"/>
      <c r="DF200" s="11"/>
      <c r="DG200" s="11"/>
      <c r="DH200" s="11"/>
      <c r="DI200" s="11"/>
      <c r="DJ200" s="11"/>
    </row>
    <row r="201" spans="1:115" ht="15" customHeight="1" x14ac:dyDescent="0.3">
      <c r="A201" s="235"/>
      <c r="B201" s="218"/>
      <c r="C201" s="225">
        <v>8</v>
      </c>
      <c r="D201" s="59" t="s">
        <v>2506</v>
      </c>
      <c r="E201" s="59" t="s">
        <v>2504</v>
      </c>
      <c r="F201" s="397" t="str">
        <f ca="1">IF(BC201&lt;2025, "Extinct&lt; 6Yrs?",BA201)</f>
        <v>Abundant</v>
      </c>
      <c r="G201" s="363" t="s">
        <v>525</v>
      </c>
      <c r="H201" s="363" t="s">
        <v>687</v>
      </c>
      <c r="I201" s="366" t="s">
        <v>300</v>
      </c>
      <c r="J201" s="365" t="s">
        <v>3271</v>
      </c>
      <c r="K201" s="365" t="s">
        <v>299</v>
      </c>
      <c r="L201" s="10" t="s">
        <v>2003</v>
      </c>
      <c r="M201" s="8" t="s">
        <v>4280</v>
      </c>
      <c r="N201" s="8" t="s">
        <v>5174</v>
      </c>
      <c r="O201" s="8" t="s">
        <v>6073</v>
      </c>
      <c r="P201" s="9" t="s">
        <v>298</v>
      </c>
      <c r="Q201" s="59" t="s">
        <v>2552</v>
      </c>
      <c r="R201" s="9" t="s">
        <v>2497</v>
      </c>
      <c r="S201" s="17" t="s">
        <v>2459</v>
      </c>
      <c r="T201" s="123" t="str">
        <f>IF(R201="Bogs Ponds Streams","20",IF(R201="Coastal Areas","26",IF(R201="Meadows Dry Open","10",IF(R201="Forest &amp; Understory","14",IF(R201="Moist Open","12",IF(R201="Moist Shady","10",IF(R201="Sub-Alpine Slopes","0")))))))</f>
        <v>12</v>
      </c>
      <c r="U201" s="123" t="str">
        <f>IF(R201="Bogs Ponds Streams","52",IF(R201="Coastal Areas","51",IF(R201="Meadows Dry Open","53",IF(R201="Forest &amp; Understory","52",IF(R201="Moist Open","50",IF(R201="Moist Shady","46",IF(R201="Sub-Alpine Slopes","40")))))))</f>
        <v>50</v>
      </c>
      <c r="V201" s="123" t="str">
        <f>IF(R201="Bogs Ponds Streams","84",IF(R201="Coastal Areas","76",IF(R201="Meadows Dry Open","96", IF(R201="Forest &amp; Understory","90", IF(R201="Moist Open","88", IF(R201="Moist Shady","82", IF(R201="Sub-Alpine Slopes","80")))))))</f>
        <v>88</v>
      </c>
      <c r="W201" s="59">
        <v>20</v>
      </c>
      <c r="X201" s="59">
        <v>0</v>
      </c>
      <c r="Y201" s="59">
        <v>3500</v>
      </c>
      <c r="Z201" s="59" t="s">
        <v>2519</v>
      </c>
      <c r="AA201" s="59" t="s">
        <v>2518</v>
      </c>
      <c r="AB201" s="59">
        <v>6.8</v>
      </c>
      <c r="AC201" s="45">
        <f>C201+AK201+(0.1)*AL201</f>
        <v>10.4</v>
      </c>
      <c r="AD201" s="77">
        <v>42</v>
      </c>
      <c r="AE201" s="59">
        <v>5</v>
      </c>
      <c r="AF201" s="59">
        <v>5</v>
      </c>
      <c r="AG201" s="59">
        <v>1900</v>
      </c>
      <c r="AH201" s="77">
        <v>0</v>
      </c>
      <c r="AI201" s="59">
        <f ca="1">AJ201</f>
        <v>2019</v>
      </c>
      <c r="AJ201" s="18">
        <f ca="1">YEAR(TODAY())</f>
        <v>2019</v>
      </c>
      <c r="AK201" s="18">
        <v>2</v>
      </c>
      <c r="AL201" s="18">
        <v>4</v>
      </c>
      <c r="AM201" s="18">
        <v>1</v>
      </c>
      <c r="AN201" s="18">
        <v>1</v>
      </c>
      <c r="AO201" s="18">
        <v>5</v>
      </c>
      <c r="AP201" s="18">
        <v>1</v>
      </c>
      <c r="AQ201" s="18">
        <v>0</v>
      </c>
      <c r="AR201" s="18">
        <v>0</v>
      </c>
      <c r="AS201" s="18">
        <v>0</v>
      </c>
      <c r="AT201" s="18">
        <v>0</v>
      </c>
      <c r="AU201" s="18">
        <v>0</v>
      </c>
      <c r="AV201" s="18">
        <v>0</v>
      </c>
      <c r="AW201" s="18">
        <v>0</v>
      </c>
      <c r="AX201" s="18">
        <v>0</v>
      </c>
      <c r="AY201" s="233"/>
      <c r="AZ201" s="4"/>
      <c r="BA201" s="35" t="str">
        <f ca="1">IF(OR(S201="North America",S201="Rocky Mountain"), "Widespread",BC201)</f>
        <v>Abundant</v>
      </c>
      <c r="BB201" s="4"/>
      <c r="BC201" s="35" t="str">
        <f ca="1">IF(BE201&gt;2046, "Abundant",BE201)</f>
        <v>Abundant</v>
      </c>
      <c r="BD201" s="4"/>
      <c r="BE201" s="81">
        <f ca="1">YEAR($C$13)+(BG201*80)</f>
        <v>2102.424353654189</v>
      </c>
      <c r="BF201" s="4"/>
      <c r="BG201" s="137">
        <f ca="1">BH201*$BH$14</f>
        <v>1.0428044206773619</v>
      </c>
      <c r="BH201" s="137">
        <f ca="1">(((BJ201+BK201+BM201+BN201)/4)*$BM$11)+(((BP201+BQ201)/2)*$BQ$11)+(((BU201+BV201+BW201)/3)*$BU$11)+(((BY201+BZ201+CA201+CB201+CC201)/5)*$CA$11)</f>
        <v>1.0428044206773619</v>
      </c>
      <c r="BI201" s="4"/>
      <c r="BJ201" s="33">
        <f>AP201/(AM201+AO201)</f>
        <v>0.16666666666666666</v>
      </c>
      <c r="BK201" s="33">
        <f>(AN201+AO201)/(AM201+AO201)</f>
        <v>1</v>
      </c>
      <c r="BL201" s="4"/>
      <c r="BM201" s="127">
        <f>CF201/102</f>
        <v>0.10196078431372549</v>
      </c>
      <c r="BN201" s="127">
        <f>C201/2</f>
        <v>4</v>
      </c>
      <c r="BO201" s="4"/>
      <c r="BP201" s="127">
        <f>(AK201)/($AW$6)</f>
        <v>2.0202020202020204E-2</v>
      </c>
      <c r="BQ201" s="127">
        <f ca="1">(CH201-$AW$4)/((YEAR($C$13))-$AW$4)</f>
        <v>1</v>
      </c>
      <c r="BR201" s="127">
        <f>(AL201)/($AW$6)</f>
        <v>4.0404040404040407E-2</v>
      </c>
      <c r="BS201" s="4"/>
      <c r="BT201" s="127"/>
      <c r="BU201" s="127">
        <f ca="1">(CG201-$AW$4)/((YEAR($C$13))-$AW$4)</f>
        <v>1</v>
      </c>
      <c r="BV201" s="127">
        <f>AE201/5</f>
        <v>1</v>
      </c>
      <c r="BW201" s="127">
        <f>AF201/5</f>
        <v>1</v>
      </c>
      <c r="BX201" s="4"/>
      <c r="BY201" s="148" t="str">
        <f>IF(E201="A",".98",IF(E201="B",".99",IF(E201="C","1.00",IF(E201="D","1.00" ))))</f>
        <v>1.00</v>
      </c>
      <c r="BZ201" s="127">
        <f>(CE201+7)/10</f>
        <v>1</v>
      </c>
      <c r="CA201" s="76" t="str">
        <f>IF(D201="Fern",".97",IF(D201="Grass",".99",IF(D201="Herb",".97",IF(D201="Shrub",".99",IF(D201="Tree","1.00",IF(D201="Vine",".98"))))))</f>
        <v>.99</v>
      </c>
      <c r="CB201" s="149" t="str">
        <f>IF(R201="Bogs Ponds Streams",".96", IF(R201="Coastal Areas",".97",IF(R201="Meadows Dry Open",".96",IF(R201="Forest &amp; Understory",".97",IF(R201="Moist Open",".98",IF(R201="Moist Shady",".96",IF(R201="Sub-Alpine","1.0")))))))</f>
        <v>.98</v>
      </c>
      <c r="CC201" s="76" t="str">
        <f>IF(S201="Local Endemic",".50",IF(S201="Regional Endemic",".70",IF(S201="Cascadia",".90",IF(S201="Rocky Mountain",".95",IF(S201="North America",".99")))))</f>
        <v>.90</v>
      </c>
      <c r="CD201" s="4"/>
      <c r="CE201" s="21">
        <f>IF(W201&gt;3,3,W201)</f>
        <v>3</v>
      </c>
      <c r="CF201" s="21">
        <f>IF(AC201&gt;102,102,AC201)</f>
        <v>10.4</v>
      </c>
      <c r="CG201" s="34">
        <f ca="1">IF(AI201&lt;$AW$4,$AW$4,AI201)</f>
        <v>2019</v>
      </c>
      <c r="CH201" s="34">
        <f ca="1">IF(AJ201&lt;$AW$4,$AW$4,AJ201)</f>
        <v>2019</v>
      </c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</row>
    <row r="202" spans="1:115" ht="15" customHeight="1" x14ac:dyDescent="0.3">
      <c r="A202" s="235"/>
      <c r="B202" s="218"/>
      <c r="C202" s="225">
        <v>8</v>
      </c>
      <c r="D202" s="59" t="s">
        <v>2506</v>
      </c>
      <c r="E202" s="59" t="s">
        <v>2504</v>
      </c>
      <c r="F202" s="397" t="str">
        <f ca="1">IF(BC202&lt;2025, "Extinct&lt; 6Yrs?",BA202)</f>
        <v>Abundant</v>
      </c>
      <c r="G202" s="363" t="s">
        <v>525</v>
      </c>
      <c r="H202" s="363" t="s">
        <v>687</v>
      </c>
      <c r="I202" s="366" t="s">
        <v>728</v>
      </c>
      <c r="J202" s="365" t="s">
        <v>3272</v>
      </c>
      <c r="K202" s="365" t="s">
        <v>721</v>
      </c>
      <c r="L202" s="10" t="s">
        <v>2002</v>
      </c>
      <c r="M202" s="8" t="s">
        <v>4281</v>
      </c>
      <c r="N202" s="8" t="s">
        <v>5175</v>
      </c>
      <c r="O202" s="8" t="s">
        <v>6074</v>
      </c>
      <c r="P202" s="9" t="s">
        <v>298</v>
      </c>
      <c r="Q202" s="59" t="s">
        <v>2552</v>
      </c>
      <c r="R202" s="9" t="s">
        <v>2497</v>
      </c>
      <c r="S202" s="17" t="s">
        <v>2459</v>
      </c>
      <c r="T202" s="123" t="str">
        <f>IF(R202="Bogs Ponds Streams","20",IF(R202="Coastal Areas","26",IF(R202="Meadows Dry Open","10",IF(R202="Forest &amp; Understory","14",IF(R202="Moist Open","12",IF(R202="Moist Shady","10",IF(R202="Sub-Alpine Slopes","0")))))))</f>
        <v>12</v>
      </c>
      <c r="U202" s="123" t="str">
        <f>IF(R202="Bogs Ponds Streams","52",IF(R202="Coastal Areas","51",IF(R202="Meadows Dry Open","53",IF(R202="Forest &amp; Understory","52",IF(R202="Moist Open","50",IF(R202="Moist Shady","46",IF(R202="Sub-Alpine Slopes","40")))))))</f>
        <v>50</v>
      </c>
      <c r="V202" s="123" t="str">
        <f>IF(R202="Bogs Ponds Streams","84",IF(R202="Coastal Areas","76",IF(R202="Meadows Dry Open","96", IF(R202="Forest &amp; Understory","90", IF(R202="Moist Open","88", IF(R202="Moist Shady","82", IF(R202="Sub-Alpine Slopes","80")))))))</f>
        <v>88</v>
      </c>
      <c r="W202" s="59">
        <v>20</v>
      </c>
      <c r="X202" s="59">
        <v>0</v>
      </c>
      <c r="Y202" s="59">
        <v>3500</v>
      </c>
      <c r="Z202" s="59" t="s">
        <v>2519</v>
      </c>
      <c r="AA202" s="59" t="s">
        <v>2518</v>
      </c>
      <c r="AB202" s="59">
        <v>6.8</v>
      </c>
      <c r="AC202" s="45">
        <f>C202+AK202+(0.1)*AL202</f>
        <v>9.1999999999999993</v>
      </c>
      <c r="AD202" s="77">
        <v>33</v>
      </c>
      <c r="AE202" s="59">
        <v>5</v>
      </c>
      <c r="AF202" s="59">
        <v>5</v>
      </c>
      <c r="AG202" s="59">
        <v>1900</v>
      </c>
      <c r="AH202" s="77">
        <v>0</v>
      </c>
      <c r="AI202" s="59">
        <f ca="1">AJ202</f>
        <v>2019</v>
      </c>
      <c r="AJ202" s="18">
        <f ca="1">YEAR(TODAY())</f>
        <v>2019</v>
      </c>
      <c r="AK202" s="18">
        <v>0</v>
      </c>
      <c r="AL202" s="18">
        <v>12</v>
      </c>
      <c r="AM202" s="18">
        <v>1</v>
      </c>
      <c r="AN202" s="18">
        <v>1</v>
      </c>
      <c r="AO202" s="18">
        <v>5</v>
      </c>
      <c r="AP202" s="18">
        <v>1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233"/>
      <c r="AZ202" s="4"/>
      <c r="BA202" s="35" t="str">
        <f ca="1">IF(OR(S202="North America",S202="Rocky Mountain"), "Widespread",BC202)</f>
        <v>Abundant</v>
      </c>
      <c r="BB202" s="4"/>
      <c r="BC202" s="35" t="str">
        <f ca="1">IF(BE202&gt;2046, "Abundant",BE202)</f>
        <v>Abundant</v>
      </c>
      <c r="BD202" s="4"/>
      <c r="BE202" s="81">
        <f ca="1">YEAR($C$13)+(BG202*80)</f>
        <v>2102.0407529411764</v>
      </c>
      <c r="BF202" s="4"/>
      <c r="BG202" s="137">
        <f ca="1">BH202*$BH$14</f>
        <v>1.0380094117647058</v>
      </c>
      <c r="BH202" s="137">
        <f ca="1">(((BJ202+BK202+BM202+BN202)/4)*$BM$11)+(((BP202+BQ202)/2)*$BQ$11)+(((BU202+BV202+BW202)/3)*$BU$11)+(((BY202+BZ202+CA202+CB202+CC202)/5)*$CA$11)</f>
        <v>1.0380094117647058</v>
      </c>
      <c r="BI202" s="4"/>
      <c r="BJ202" s="33">
        <f>AP202/(AM202+AO202)</f>
        <v>0.16666666666666666</v>
      </c>
      <c r="BK202" s="33">
        <f>(AN202+AO202)/(AM202+AO202)</f>
        <v>1</v>
      </c>
      <c r="BL202" s="4"/>
      <c r="BM202" s="127">
        <f>CF202/102</f>
        <v>9.0196078431372548E-2</v>
      </c>
      <c r="BN202" s="127">
        <f>C202/2</f>
        <v>4</v>
      </c>
      <c r="BO202" s="4"/>
      <c r="BP202" s="127">
        <f>(AK202)/($AW$6)</f>
        <v>0</v>
      </c>
      <c r="BQ202" s="127">
        <f ca="1">(CH202-$AW$4)/((YEAR($C$13))-$AW$4)</f>
        <v>1</v>
      </c>
      <c r="BR202" s="127">
        <f>(AL202)/($AW$6)</f>
        <v>0.12121212121212122</v>
      </c>
      <c r="BS202" s="4"/>
      <c r="BT202" s="127"/>
      <c r="BU202" s="127">
        <f ca="1">(CG202-$AW$4)/((YEAR($C$13))-$AW$4)</f>
        <v>1</v>
      </c>
      <c r="BV202" s="127">
        <f>AE202/5</f>
        <v>1</v>
      </c>
      <c r="BW202" s="127">
        <f>AF202/5</f>
        <v>1</v>
      </c>
      <c r="BX202" s="4"/>
      <c r="BY202" s="148" t="str">
        <f>IF(E202="A",".98",IF(E202="B",".99",IF(E202="C","1.00",IF(E202="D","1.00" ))))</f>
        <v>1.00</v>
      </c>
      <c r="BZ202" s="127">
        <f>(CE202+7)/10</f>
        <v>1</v>
      </c>
      <c r="CA202" s="76" t="str">
        <f>IF(D202="Fern",".97",IF(D202="Grass",".99",IF(D202="Herb",".97",IF(D202="Shrub",".99",IF(D202="Tree","1.00",IF(D202="Vine",".98"))))))</f>
        <v>.99</v>
      </c>
      <c r="CB202" s="149" t="str">
        <f>IF(R202="Bogs Ponds Streams",".96", IF(R202="Coastal Areas",".97",IF(R202="Meadows Dry Open",".96",IF(R202="Forest &amp; Understory",".97",IF(R202="Moist Open",".98",IF(R202="Moist Shady",".96",IF(R202="Sub-Alpine","1.0")))))))</f>
        <v>.98</v>
      </c>
      <c r="CC202" s="76" t="str">
        <f>IF(S202="Local Endemic",".50",IF(S202="Regional Endemic",".70",IF(S202="Cascadia",".90",IF(S202="Rocky Mountain",".95",IF(S202="North America",".99")))))</f>
        <v>.90</v>
      </c>
      <c r="CD202" s="4"/>
      <c r="CE202" s="21">
        <f>IF(W202&gt;3,3,W202)</f>
        <v>3</v>
      </c>
      <c r="CF202" s="21">
        <f>IF(AC202&gt;102,102,AC202)</f>
        <v>9.1999999999999993</v>
      </c>
      <c r="CG202" s="34">
        <f ca="1">IF(AI202&lt;$AW$4,$AW$4,AI202)</f>
        <v>2019</v>
      </c>
      <c r="CH202" s="34">
        <f ca="1">IF(AJ202&lt;$AW$4,$AW$4,AJ202)</f>
        <v>2019</v>
      </c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</row>
    <row r="203" spans="1:115" ht="15" customHeight="1" x14ac:dyDescent="0.3">
      <c r="A203" s="235"/>
      <c r="B203" s="218"/>
      <c r="C203" s="225">
        <v>8</v>
      </c>
      <c r="D203" s="59" t="s">
        <v>2506</v>
      </c>
      <c r="E203" s="59" t="s">
        <v>2504</v>
      </c>
      <c r="F203" s="397" t="str">
        <f ca="1">IF(BC203&lt;2025, "Extinct&lt; 6Yrs?",BA203)</f>
        <v>Widespread</v>
      </c>
      <c r="G203" s="363" t="s">
        <v>525</v>
      </c>
      <c r="H203" s="363" t="s">
        <v>687</v>
      </c>
      <c r="I203" s="366" t="s">
        <v>3045</v>
      </c>
      <c r="J203" s="365" t="s">
        <v>3273</v>
      </c>
      <c r="K203" s="365" t="s">
        <v>903</v>
      </c>
      <c r="L203" s="10" t="s">
        <v>2001</v>
      </c>
      <c r="M203" s="8" t="s">
        <v>4282</v>
      </c>
      <c r="N203" s="8" t="s">
        <v>5176</v>
      </c>
      <c r="O203" s="8" t="s">
        <v>6075</v>
      </c>
      <c r="P203" s="9" t="s">
        <v>298</v>
      </c>
      <c r="Q203" s="59" t="s">
        <v>2552</v>
      </c>
      <c r="R203" s="9" t="s">
        <v>2498</v>
      </c>
      <c r="S203" s="9" t="s">
        <v>2479</v>
      </c>
      <c r="T203" s="123" t="str">
        <f>IF(R203="Bogs Ponds Streams","20",IF(R203="Coastal Areas","26",IF(R203="Meadows Dry Open","10",IF(R203="Forest &amp; Understory","14",IF(R203="Moist Open","12",IF(R203="Moist Shady","10",IF(R203="Sub-Alpine Slopes","0")))))))</f>
        <v>10</v>
      </c>
      <c r="U203" s="123" t="str">
        <f>IF(R203="Bogs Ponds Streams","52",IF(R203="Coastal Areas","51",IF(R203="Meadows Dry Open","53",IF(R203="Forest &amp; Understory","52",IF(R203="Moist Open","50",IF(R203="Moist Shady","46",IF(R203="Sub-Alpine Slopes","40")))))))</f>
        <v>46</v>
      </c>
      <c r="V203" s="123" t="str">
        <f>IF(R203="Bogs Ponds Streams","84",IF(R203="Coastal Areas","76",IF(R203="Meadows Dry Open","96", IF(R203="Forest &amp; Understory","90", IF(R203="Moist Open","88", IF(R203="Moist Shady","82", IF(R203="Sub-Alpine Slopes","80")))))))</f>
        <v>82</v>
      </c>
      <c r="W203" s="59">
        <v>20</v>
      </c>
      <c r="X203" s="59">
        <v>0</v>
      </c>
      <c r="Y203" s="59">
        <v>3500</v>
      </c>
      <c r="Z203" s="59" t="s">
        <v>2519</v>
      </c>
      <c r="AA203" s="59" t="s">
        <v>2518</v>
      </c>
      <c r="AB203" s="59">
        <v>6.8</v>
      </c>
      <c r="AC203" s="45">
        <f>C203+AK203+(0.1)*AL203</f>
        <v>32.200000000000003</v>
      </c>
      <c r="AD203" s="77">
        <v>18</v>
      </c>
      <c r="AE203" s="59">
        <v>5</v>
      </c>
      <c r="AF203" s="59">
        <v>5</v>
      </c>
      <c r="AG203" s="59">
        <v>1900</v>
      </c>
      <c r="AH203" s="77">
        <v>0</v>
      </c>
      <c r="AI203" s="59">
        <f ca="1">AJ203</f>
        <v>2019</v>
      </c>
      <c r="AJ203" s="18">
        <f ca="1">YEAR(TODAY())</f>
        <v>2019</v>
      </c>
      <c r="AK203" s="18">
        <v>22</v>
      </c>
      <c r="AL203" s="18">
        <v>22</v>
      </c>
      <c r="AM203" s="18">
        <v>1</v>
      </c>
      <c r="AN203" s="18">
        <v>1</v>
      </c>
      <c r="AO203" s="18">
        <v>5</v>
      </c>
      <c r="AP203" s="18">
        <v>1</v>
      </c>
      <c r="AQ203" s="18">
        <v>0</v>
      </c>
      <c r="AR203" s="18">
        <v>0</v>
      </c>
      <c r="AS203" s="18">
        <v>0</v>
      </c>
      <c r="AT203" s="18">
        <v>0</v>
      </c>
      <c r="AU203" s="18">
        <v>0</v>
      </c>
      <c r="AV203" s="18">
        <v>0</v>
      </c>
      <c r="AW203" s="18">
        <v>0</v>
      </c>
      <c r="AX203" s="18">
        <v>0</v>
      </c>
      <c r="AY203" s="233"/>
      <c r="AZ203" s="4"/>
      <c r="BA203" s="35" t="str">
        <f>IF(OR(S203="North America",S203="Rocky Mountain"), "Widespread",BC203)</f>
        <v>Widespread</v>
      </c>
      <c r="BB203" s="4"/>
      <c r="BC203" s="35" t="str">
        <f ca="1">IF(BE203&gt;2046, "Abundant",BE203)</f>
        <v>Abundant</v>
      </c>
      <c r="BD203" s="4"/>
      <c r="BE203" s="81">
        <f ca="1">YEAR($C$13)+(BG203*80)</f>
        <v>2107.4229019607842</v>
      </c>
      <c r="BF203" s="4"/>
      <c r="BG203" s="137">
        <f ca="1">BH203*$BH$14</f>
        <v>1.1052862745098042</v>
      </c>
      <c r="BH203" s="137">
        <f ca="1">(((BJ203+BK203+BM203+BN203)/4)*$BM$11)+(((BP203+BQ203)/2)*$BQ$11)+(((BU203+BV203+BW203)/3)*$BU$11)+(((BY203+BZ203+CA203+CB203+CC203)/5)*$CA$11)</f>
        <v>1.1052862745098042</v>
      </c>
      <c r="BI203" s="4"/>
      <c r="BJ203" s="33">
        <f>AP203/(AM203+AO203)</f>
        <v>0.16666666666666666</v>
      </c>
      <c r="BK203" s="33">
        <f>(AN203+AO203)/(AM203+AO203)</f>
        <v>1</v>
      </c>
      <c r="BL203" s="4"/>
      <c r="BM203" s="127">
        <f>CF203/102</f>
        <v>0.31568627450980397</v>
      </c>
      <c r="BN203" s="127">
        <f>C203/2</f>
        <v>4</v>
      </c>
      <c r="BO203" s="4"/>
      <c r="BP203" s="127">
        <f>(AK203)/($AW$6)</f>
        <v>0.22222222222222221</v>
      </c>
      <c r="BQ203" s="127">
        <f ca="1">(CH203-$AW$4)/((YEAR($C$13))-$AW$4)</f>
        <v>1</v>
      </c>
      <c r="BR203" s="127">
        <f>(AL203)/($AW$6)</f>
        <v>0.22222222222222221</v>
      </c>
      <c r="BS203" s="4"/>
      <c r="BT203" s="127"/>
      <c r="BU203" s="127">
        <f ca="1">(CG203-$AW$4)/((YEAR($C$13))-$AW$4)</f>
        <v>1</v>
      </c>
      <c r="BV203" s="127">
        <f>AE203/5</f>
        <v>1</v>
      </c>
      <c r="BW203" s="127">
        <f>AF203/5</f>
        <v>1</v>
      </c>
      <c r="BX203" s="4"/>
      <c r="BY203" s="148" t="str">
        <f>IF(E203="A",".98",IF(E203="B",".99",IF(E203="C","1.00",IF(E203="D","1.00" ))))</f>
        <v>1.00</v>
      </c>
      <c r="BZ203" s="127">
        <f>(CE203+7)/10</f>
        <v>1</v>
      </c>
      <c r="CA203" s="76" t="str">
        <f>IF(D203="Fern",".97",IF(D203="Grass",".99",IF(D203="Herb",".97",IF(D203="Shrub",".99",IF(D203="Tree","1.00",IF(D203="Vine",".98"))))))</f>
        <v>.99</v>
      </c>
      <c r="CB203" s="149" t="str">
        <f>IF(R203="Bogs Ponds Streams",".96", IF(R203="Coastal Areas",".97",IF(R203="Meadows Dry Open",".96",IF(R203="Forest &amp; Understory",".97",IF(R203="Moist Open",".98",IF(R203="Moist Shady",".96",IF(R203="Sub-Alpine","1.0")))))))</f>
        <v>.96</v>
      </c>
      <c r="CC203" s="76" t="str">
        <f>IF(S203="Local Endemic",".50",IF(S203="Regional Endemic",".70",IF(S203="Cascadia",".90",IF(S203="Rocky Mountain",".95",IF(S203="North America",".99")))))</f>
        <v>.95</v>
      </c>
      <c r="CD203" s="4"/>
      <c r="CE203" s="21">
        <f>IF(W203&gt;3,3,W203)</f>
        <v>3</v>
      </c>
      <c r="CF203" s="21">
        <f>IF(AC203&gt;102,102,AC203)</f>
        <v>32.200000000000003</v>
      </c>
      <c r="CG203" s="34">
        <f ca="1">IF(AI203&lt;$AW$4,$AW$4,AI203)</f>
        <v>2019</v>
      </c>
      <c r="CH203" s="34">
        <f ca="1">IF(AJ203&lt;$AW$4,$AW$4,AJ203)</f>
        <v>2019</v>
      </c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</row>
    <row r="204" spans="1:115" ht="15" customHeight="1" x14ac:dyDescent="0.3">
      <c r="A204" s="235"/>
      <c r="B204" s="218"/>
      <c r="C204" s="225">
        <v>8</v>
      </c>
      <c r="D204" s="59" t="s">
        <v>2506</v>
      </c>
      <c r="E204" s="59" t="s">
        <v>2504</v>
      </c>
      <c r="F204" s="397" t="str">
        <f ca="1">IF(BC204&lt;2025, "Extinct&lt; 6Yrs?",BA204)</f>
        <v>Widespread</v>
      </c>
      <c r="G204" s="363" t="s">
        <v>525</v>
      </c>
      <c r="H204" s="363" t="s">
        <v>687</v>
      </c>
      <c r="I204" s="366" t="s">
        <v>297</v>
      </c>
      <c r="J204" s="365" t="s">
        <v>3274</v>
      </c>
      <c r="K204" s="365" t="s">
        <v>904</v>
      </c>
      <c r="L204" s="10" t="s">
        <v>2000</v>
      </c>
      <c r="M204" s="8" t="s">
        <v>4283</v>
      </c>
      <c r="N204" s="8" t="s">
        <v>5177</v>
      </c>
      <c r="O204" s="8" t="s">
        <v>6076</v>
      </c>
      <c r="P204" s="9" t="s">
        <v>298</v>
      </c>
      <c r="Q204" s="59" t="s">
        <v>2552</v>
      </c>
      <c r="R204" s="9" t="s">
        <v>2498</v>
      </c>
      <c r="S204" s="9" t="s">
        <v>2479</v>
      </c>
      <c r="T204" s="123" t="str">
        <f>IF(R204="Bogs Ponds Streams","20",IF(R204="Coastal Areas","26",IF(R204="Meadows Dry Open","10",IF(R204="Forest &amp; Understory","14",IF(R204="Moist Open","12",IF(R204="Moist Shady","10",IF(R204="Sub-Alpine Slopes","0")))))))</f>
        <v>10</v>
      </c>
      <c r="U204" s="123" t="str">
        <f>IF(R204="Bogs Ponds Streams","52",IF(R204="Coastal Areas","51",IF(R204="Meadows Dry Open","53",IF(R204="Forest &amp; Understory","52",IF(R204="Moist Open","50",IF(R204="Moist Shady","46",IF(R204="Sub-Alpine Slopes","40")))))))</f>
        <v>46</v>
      </c>
      <c r="V204" s="123" t="str">
        <f>IF(R204="Bogs Ponds Streams","84",IF(R204="Coastal Areas","76",IF(R204="Meadows Dry Open","96", IF(R204="Forest &amp; Understory","90", IF(R204="Moist Open","88", IF(R204="Moist Shady","82", IF(R204="Sub-Alpine Slopes","80")))))))</f>
        <v>82</v>
      </c>
      <c r="W204" s="59">
        <v>20</v>
      </c>
      <c r="X204" s="59">
        <v>0</v>
      </c>
      <c r="Y204" s="59">
        <v>3500</v>
      </c>
      <c r="Z204" s="59" t="s">
        <v>2519</v>
      </c>
      <c r="AA204" s="59" t="s">
        <v>2518</v>
      </c>
      <c r="AB204" s="59">
        <v>6.8</v>
      </c>
      <c r="AC204" s="45">
        <f>C204+AK204+(0.1)*AL204</f>
        <v>22.4</v>
      </c>
      <c r="AD204" s="77">
        <v>161</v>
      </c>
      <c r="AE204" s="59">
        <v>5</v>
      </c>
      <c r="AF204" s="59">
        <v>5</v>
      </c>
      <c r="AG204" s="59">
        <v>1900</v>
      </c>
      <c r="AH204" s="77">
        <v>0</v>
      </c>
      <c r="AI204" s="59">
        <f ca="1">AJ204</f>
        <v>2019</v>
      </c>
      <c r="AJ204" s="18">
        <f ca="1">YEAR(TODAY())</f>
        <v>2019</v>
      </c>
      <c r="AK204" s="18">
        <v>10</v>
      </c>
      <c r="AL204" s="18">
        <v>44</v>
      </c>
      <c r="AM204" s="18">
        <v>1</v>
      </c>
      <c r="AN204" s="18">
        <v>1</v>
      </c>
      <c r="AO204" s="18">
        <v>5</v>
      </c>
      <c r="AP204" s="18">
        <v>1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233"/>
      <c r="AZ204" s="4"/>
      <c r="BA204" s="35" t="str">
        <f>IF(OR(S204="North America",S204="Rocky Mountain"), "Widespread",BC204)</f>
        <v>Widespread</v>
      </c>
      <c r="BB204" s="4"/>
      <c r="BC204" s="35" t="str">
        <f ca="1">IF(BE204&gt;2046, "Abundant",BE204)</f>
        <v>Abundant</v>
      </c>
      <c r="BD204" s="4"/>
      <c r="BE204" s="81">
        <f ca="1">YEAR($C$13)+(BG204*80)</f>
        <v>2104.8154153297683</v>
      </c>
      <c r="BF204" s="4"/>
      <c r="BG204" s="137">
        <f ca="1">BH204*$BH$14</f>
        <v>1.0726926916221036</v>
      </c>
      <c r="BH204" s="137">
        <f ca="1">(((BJ204+BK204+BM204+BN204)/4)*$BM$11)+(((BP204+BQ204)/2)*$BQ$11)+(((BU204+BV204+BW204)/3)*$BU$11)+(((BY204+BZ204+CA204+CB204+CC204)/5)*$CA$11)</f>
        <v>1.0726926916221036</v>
      </c>
      <c r="BI204" s="4"/>
      <c r="BJ204" s="33">
        <f>AP204/(AM204+AO204)</f>
        <v>0.16666666666666666</v>
      </c>
      <c r="BK204" s="33">
        <f>(AN204+AO204)/(AM204+AO204)</f>
        <v>1</v>
      </c>
      <c r="BL204" s="4"/>
      <c r="BM204" s="127">
        <f>CF204/102</f>
        <v>0.2196078431372549</v>
      </c>
      <c r="BN204" s="127">
        <f>C204/2</f>
        <v>4</v>
      </c>
      <c r="BO204" s="4"/>
      <c r="BP204" s="127">
        <f>(AK204)/($AW$6)</f>
        <v>0.10101010101010101</v>
      </c>
      <c r="BQ204" s="127">
        <f ca="1">(CH204-$AW$4)/((YEAR($C$13))-$AW$4)</f>
        <v>1</v>
      </c>
      <c r="BR204" s="127">
        <f>(AL204)/($AW$6)</f>
        <v>0.44444444444444442</v>
      </c>
      <c r="BS204" s="4"/>
      <c r="BT204" s="127"/>
      <c r="BU204" s="127">
        <f ca="1">(CG204-$AW$4)/((YEAR($C$13))-$AW$4)</f>
        <v>1</v>
      </c>
      <c r="BV204" s="127">
        <f>AE204/5</f>
        <v>1</v>
      </c>
      <c r="BW204" s="127">
        <f>AF204/5</f>
        <v>1</v>
      </c>
      <c r="BX204" s="4"/>
      <c r="BY204" s="148" t="str">
        <f>IF(E204="A",".98",IF(E204="B",".99",IF(E204="C","1.00",IF(E204="D","1.00" ))))</f>
        <v>1.00</v>
      </c>
      <c r="BZ204" s="127">
        <f>(CE204+7)/10</f>
        <v>1</v>
      </c>
      <c r="CA204" s="76" t="str">
        <f>IF(D204="Fern",".97",IF(D204="Grass",".99",IF(D204="Herb",".97",IF(D204="Shrub",".99",IF(D204="Tree","1.00",IF(D204="Vine",".98"))))))</f>
        <v>.99</v>
      </c>
      <c r="CB204" s="149" t="str">
        <f>IF(R204="Bogs Ponds Streams",".96", IF(R204="Coastal Areas",".97",IF(R204="Meadows Dry Open",".96",IF(R204="Forest &amp; Understory",".97",IF(R204="Moist Open",".98",IF(R204="Moist Shady",".96",IF(R204="Sub-Alpine","1.0")))))))</f>
        <v>.96</v>
      </c>
      <c r="CC204" s="76" t="str">
        <f>IF(S204="Local Endemic",".50",IF(S204="Regional Endemic",".70",IF(S204="Cascadia",".90",IF(S204="Rocky Mountain",".95",IF(S204="North America",".99")))))</f>
        <v>.95</v>
      </c>
      <c r="CD204" s="4"/>
      <c r="CE204" s="21">
        <f>IF(W204&gt;3,3,W204)</f>
        <v>3</v>
      </c>
      <c r="CF204" s="21">
        <f>IF(AC204&gt;102,102,AC204)</f>
        <v>22.4</v>
      </c>
      <c r="CG204" s="34">
        <f ca="1">IF(AI204&lt;$AW$4,$AW$4,AI204)</f>
        <v>2019</v>
      </c>
      <c r="CH204" s="34">
        <f ca="1">IF(AJ204&lt;$AW$4,$AW$4,AJ204)</f>
        <v>2019</v>
      </c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</row>
    <row r="205" spans="1:115" ht="15" customHeight="1" x14ac:dyDescent="0.3">
      <c r="A205" s="235"/>
      <c r="B205" s="218"/>
      <c r="C205" s="225">
        <v>8</v>
      </c>
      <c r="D205" s="59" t="s">
        <v>2507</v>
      </c>
      <c r="E205" s="59" t="s">
        <v>2501</v>
      </c>
      <c r="F205" s="397" t="str">
        <f ca="1">IF(BC205&lt;2025, "Extinct&lt; 6Yrs?",BA205)</f>
        <v>Widespread</v>
      </c>
      <c r="G205" s="363" t="s">
        <v>525</v>
      </c>
      <c r="H205" s="363" t="s">
        <v>681</v>
      </c>
      <c r="I205" s="364" t="s">
        <v>2615</v>
      </c>
      <c r="J205" s="365" t="s">
        <v>3275</v>
      </c>
      <c r="K205" s="365" t="s">
        <v>2750</v>
      </c>
      <c r="L205" s="17" t="s">
        <v>1999</v>
      </c>
      <c r="M205" s="8" t="s">
        <v>4284</v>
      </c>
      <c r="N205" s="8" t="s">
        <v>5178</v>
      </c>
      <c r="O205" s="8" t="s">
        <v>6077</v>
      </c>
      <c r="P205" s="398" t="s">
        <v>1166</v>
      </c>
      <c r="Q205" s="59" t="s">
        <v>2552</v>
      </c>
      <c r="R205" s="9" t="s">
        <v>2500</v>
      </c>
      <c r="S205" s="9" t="s">
        <v>2479</v>
      </c>
      <c r="T205" s="123" t="str">
        <f>IF(R205="Bogs Ponds Streams","20",IF(R205="Coastal Areas","26",IF(R205="Meadows Dry Open","10",IF(R205="Forest &amp; Understory","14",IF(R205="Moist Open","12",IF(R205="Moist Shady","10",IF(R205="Sub-Alpine Slopes","0")))))))</f>
        <v>10</v>
      </c>
      <c r="U205" s="123" t="str">
        <f>IF(R205="Bogs Ponds Streams","52",IF(R205="Coastal Areas","51",IF(R205="Meadows Dry Open","53",IF(R205="Forest &amp; Understory","52",IF(R205="Moist Open","50",IF(R205="Moist Shady","46",IF(R205="Sub-Alpine Slopes","40")))))))</f>
        <v>53</v>
      </c>
      <c r="V205" s="123" t="str">
        <f>IF(R205="Bogs Ponds Streams","84",IF(R205="Coastal Areas","76",IF(R205="Meadows Dry Open","96", IF(R205="Forest &amp; Understory","90", IF(R205="Moist Open","88", IF(R205="Moist Shady","82", IF(R205="Sub-Alpine Slopes","80")))))))</f>
        <v>96</v>
      </c>
      <c r="W205" s="59">
        <v>20</v>
      </c>
      <c r="X205" s="59">
        <v>0</v>
      </c>
      <c r="Y205" s="59">
        <v>3500</v>
      </c>
      <c r="Z205" s="59" t="s">
        <v>2519</v>
      </c>
      <c r="AA205" s="59" t="s">
        <v>2518</v>
      </c>
      <c r="AB205" s="59">
        <v>6.8</v>
      </c>
      <c r="AC205" s="45">
        <f>C205+AK205+(0.1)*AL205</f>
        <v>12.4</v>
      </c>
      <c r="AD205" s="77">
        <v>26</v>
      </c>
      <c r="AE205" s="59">
        <v>5</v>
      </c>
      <c r="AF205" s="59">
        <v>5</v>
      </c>
      <c r="AG205" s="59">
        <v>1900</v>
      </c>
      <c r="AH205" s="77">
        <v>0</v>
      </c>
      <c r="AI205" s="59">
        <f ca="1">AJ205</f>
        <v>2019</v>
      </c>
      <c r="AJ205" s="18">
        <f ca="1">YEAR(TODAY())</f>
        <v>2019</v>
      </c>
      <c r="AK205" s="18">
        <v>0</v>
      </c>
      <c r="AL205" s="18">
        <v>44</v>
      </c>
      <c r="AM205" s="18">
        <v>1</v>
      </c>
      <c r="AN205" s="18">
        <v>1</v>
      </c>
      <c r="AO205" s="18">
        <v>5</v>
      </c>
      <c r="AP205" s="18">
        <v>1</v>
      </c>
      <c r="AQ205" s="18">
        <v>0</v>
      </c>
      <c r="AR205" s="18">
        <v>0</v>
      </c>
      <c r="AS205" s="18">
        <v>0</v>
      </c>
      <c r="AT205" s="18">
        <v>0</v>
      </c>
      <c r="AU205" s="18">
        <v>0</v>
      </c>
      <c r="AV205" s="18">
        <v>0</v>
      </c>
      <c r="AW205" s="18">
        <v>0</v>
      </c>
      <c r="AX205" s="18">
        <v>0</v>
      </c>
      <c r="AY205" s="233"/>
      <c r="AZ205" s="4"/>
      <c r="BA205" s="35" t="str">
        <f>IF(OR(S205="North America",S205="Rocky Mountain"), "Widespread",BC205)</f>
        <v>Widespread</v>
      </c>
      <c r="BB205" s="4"/>
      <c r="BC205" s="35" t="str">
        <f ca="1">IF(BE205&gt;2046, "Abundant",BE205)</f>
        <v>Abundant</v>
      </c>
      <c r="BD205" s="4"/>
      <c r="BE205" s="81">
        <f ca="1">YEAR($C$13)+(BG205*80)</f>
        <v>2102.4300235294118</v>
      </c>
      <c r="BF205" s="4"/>
      <c r="BG205" s="137">
        <f ca="1">BH205*$BH$14</f>
        <v>1.0428752941176471</v>
      </c>
      <c r="BH205" s="137">
        <f ca="1">(((BJ205+BK205+BM205+BN205)/4)*$BM$11)+(((BP205+BQ205)/2)*$BQ$11)+(((BU205+BV205+BW205)/3)*$BU$11)+(((BY205+BZ205+CA205+CB205+CC205)/5)*$CA$11)</f>
        <v>1.0428752941176471</v>
      </c>
      <c r="BI205" s="4"/>
      <c r="BJ205" s="33">
        <f>AP205/(AM205+AO205)</f>
        <v>0.16666666666666666</v>
      </c>
      <c r="BK205" s="33">
        <f>(AN205+AO205)/(AM205+AO205)</f>
        <v>1</v>
      </c>
      <c r="BL205" s="4"/>
      <c r="BM205" s="127">
        <f>CF205/102</f>
        <v>0.12156862745098039</v>
      </c>
      <c r="BN205" s="127">
        <f>C205/2</f>
        <v>4</v>
      </c>
      <c r="BO205" s="4"/>
      <c r="BP205" s="127">
        <f>(AK205)/($AW$6)</f>
        <v>0</v>
      </c>
      <c r="BQ205" s="127">
        <f ca="1">(CH205-$AW$4)/((YEAR($C$13))-$AW$4)</f>
        <v>1</v>
      </c>
      <c r="BR205" s="127">
        <f>(AL205)/($AW$6)</f>
        <v>0.44444444444444442</v>
      </c>
      <c r="BS205" s="4"/>
      <c r="BT205" s="127"/>
      <c r="BU205" s="127">
        <f ca="1">(CG205-$AW$4)/((YEAR($C$13))-$AW$4)</f>
        <v>1</v>
      </c>
      <c r="BV205" s="127">
        <f>AE205/5</f>
        <v>1</v>
      </c>
      <c r="BW205" s="127">
        <f>AF205/5</f>
        <v>1</v>
      </c>
      <c r="BX205" s="4"/>
      <c r="BY205" s="148" t="str">
        <f>IF(E205="A",".98",IF(E205="B",".99",IF(E205="C","1.00",IF(E205="D","1.00" ))))</f>
        <v>1.00</v>
      </c>
      <c r="BZ205" s="127">
        <f>(CE205+7)/10</f>
        <v>1</v>
      </c>
      <c r="CA205" s="76" t="str">
        <f>IF(D205="Fern",".97",IF(D205="Grass",".99",IF(D205="Herb",".97",IF(D205="Shrub",".99",IF(D205="Tree","1.00",IF(D205="Vine",".98"))))))</f>
        <v>1.00</v>
      </c>
      <c r="CB205" s="149" t="str">
        <f>IF(R205="Bogs Ponds Streams",".96", IF(R205="Coastal Areas",".97",IF(R205="Meadows Dry Open",".96",IF(R205="Forest &amp; Understory",".97",IF(R205="Moist Open",".98",IF(R205="Moist Shady",".96",IF(R205="Sub-Alpine","1.0")))))))</f>
        <v>.96</v>
      </c>
      <c r="CC205" s="76" t="str">
        <f>IF(S205="Local Endemic",".50",IF(S205="Regional Endemic",".70",IF(S205="Cascadia",".90",IF(S205="Rocky Mountain",".95",IF(S205="North America",".99")))))</f>
        <v>.95</v>
      </c>
      <c r="CD205" s="4"/>
      <c r="CE205" s="21">
        <f>IF(W205&gt;3,3,W205)</f>
        <v>3</v>
      </c>
      <c r="CF205" s="21">
        <f>IF(AC205&gt;102,102,AC205)</f>
        <v>12.4</v>
      </c>
      <c r="CG205" s="34">
        <f ca="1">IF(AI205&lt;$AW$4,$AW$4,AI205)</f>
        <v>2019</v>
      </c>
      <c r="CH205" s="34">
        <f ca="1">IF(AJ205&lt;$AW$4,$AW$4,AJ205)</f>
        <v>2019</v>
      </c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</row>
    <row r="206" spans="1:115" ht="15" customHeight="1" x14ac:dyDescent="0.3">
      <c r="A206" s="235"/>
      <c r="B206" s="218"/>
      <c r="C206" s="375">
        <v>1</v>
      </c>
      <c r="D206" s="68" t="s">
        <v>2505</v>
      </c>
      <c r="E206" s="67" t="s">
        <v>2501</v>
      </c>
      <c r="F206" s="403">
        <f ca="1">IF(BC206&lt;2025, "Extinct&lt; 6Yrs?",BA206)</f>
        <v>2031.9356092691621</v>
      </c>
      <c r="G206" s="376" t="s">
        <v>525</v>
      </c>
      <c r="H206" s="376" t="s">
        <v>4028</v>
      </c>
      <c r="I206" s="380" t="s">
        <v>3046</v>
      </c>
      <c r="J206" s="378" t="s">
        <v>3640</v>
      </c>
      <c r="K206" s="378" t="s">
        <v>457</v>
      </c>
      <c r="L206" s="63" t="s">
        <v>1998</v>
      </c>
      <c r="M206" s="64" t="s">
        <v>4285</v>
      </c>
      <c r="N206" s="64" t="s">
        <v>5179</v>
      </c>
      <c r="O206" s="64" t="s">
        <v>6078</v>
      </c>
      <c r="P206" s="61" t="s">
        <v>458</v>
      </c>
      <c r="Q206" s="67" t="s">
        <v>2552</v>
      </c>
      <c r="R206" s="61" t="s">
        <v>2530</v>
      </c>
      <c r="S206" s="61" t="s">
        <v>2459</v>
      </c>
      <c r="T206" s="134" t="str">
        <f>IF(R206="Bogs Ponds Streams","20",IF(R206="Coastal Areas","26",IF(R206="Meadows Dry Open","10",IF(R206="Forest &amp; Understory","14",IF(R206="Moist Open","12",IF(R206="Moist Shady","10",IF(R206="Sub-Alpine Slopes","0")))))))</f>
        <v>14</v>
      </c>
      <c r="U206" s="134" t="str">
        <f>IF(R206="Bogs Ponds Streams","52",IF(R206="Coastal Areas","51",IF(R206="Meadows Dry Open","53",IF(R206="Forest &amp; Understory","52",IF(R206="Moist Open","50",IF(R206="Moist Shady","46",IF(R206="Sub-Alpine Slopes","40")))))))</f>
        <v>52</v>
      </c>
      <c r="V206" s="134" t="str">
        <f>IF(R206="Bogs Ponds Streams","84",IF(R206="Coastal Areas","76",IF(R206="Meadows Dry Open","96", IF(R206="Forest &amp; Understory","90", IF(R206="Moist Open","88", IF(R206="Moist Shady","82", IF(R206="Sub-Alpine Slopes","80")))))))</f>
        <v>90</v>
      </c>
      <c r="W206" s="67">
        <v>20</v>
      </c>
      <c r="X206" s="67">
        <v>0</v>
      </c>
      <c r="Y206" s="67">
        <v>3500</v>
      </c>
      <c r="Z206" s="67" t="s">
        <v>2519</v>
      </c>
      <c r="AA206" s="67" t="s">
        <v>2518</v>
      </c>
      <c r="AB206" s="67">
        <v>6.8</v>
      </c>
      <c r="AC206" s="85">
        <f>C206+AK206+(0.1)*AL206</f>
        <v>5.4</v>
      </c>
      <c r="AD206" s="78">
        <v>25</v>
      </c>
      <c r="AE206" s="67">
        <v>5</v>
      </c>
      <c r="AF206" s="67">
        <v>5</v>
      </c>
      <c r="AG206" s="67">
        <v>1900</v>
      </c>
      <c r="AH206" s="78">
        <v>0</v>
      </c>
      <c r="AI206" s="67">
        <f>AJ206</f>
        <v>1983</v>
      </c>
      <c r="AJ206" s="69">
        <v>1983</v>
      </c>
      <c r="AK206" s="69">
        <v>4</v>
      </c>
      <c r="AL206" s="69">
        <v>4</v>
      </c>
      <c r="AM206" s="70">
        <v>5</v>
      </c>
      <c r="AN206" s="70">
        <v>0</v>
      </c>
      <c r="AO206" s="86">
        <v>0</v>
      </c>
      <c r="AP206" s="70">
        <v>0</v>
      </c>
      <c r="AQ206" s="70">
        <v>0</v>
      </c>
      <c r="AR206" s="70">
        <v>0</v>
      </c>
      <c r="AS206" s="86">
        <v>0</v>
      </c>
      <c r="AT206" s="70">
        <v>0</v>
      </c>
      <c r="AU206" s="70">
        <v>0</v>
      </c>
      <c r="AV206" s="70">
        <v>0</v>
      </c>
      <c r="AW206" s="86">
        <v>0</v>
      </c>
      <c r="AX206" s="70">
        <v>0</v>
      </c>
      <c r="AY206" s="233"/>
      <c r="AZ206" s="4"/>
      <c r="BA206" s="35">
        <f ca="1">IF(OR(S206="North America",S206="Rocky Mountain"), "Widespread",BC206)</f>
        <v>2031.9356092691621</v>
      </c>
      <c r="BB206" s="4"/>
      <c r="BC206" s="35">
        <f ca="1">IF(BE206&gt;2046, "Abundant",BE206)</f>
        <v>2031.9356092691621</v>
      </c>
      <c r="BD206" s="4"/>
      <c r="BE206" s="81">
        <f ca="1">YEAR($C$13)+(BG206*80)</f>
        <v>2031.9356092691621</v>
      </c>
      <c r="BF206" s="4"/>
      <c r="BG206" s="137">
        <f ca="1">BH206*$BH$14</f>
        <v>0.16169511586452762</v>
      </c>
      <c r="BH206" s="137">
        <f ca="1">(((BJ206+BK206+BM206+BN206)/4)*$BM$11)+(((BP206+BQ206)/2)*$BQ$11)+(((BU206+BV206+BW206)/3)*$BU$11)+(((BY206+BZ206+CA206+CB206+CC206)/5)*$CA$11)</f>
        <v>0.16169511586452762</v>
      </c>
      <c r="BI206" s="4"/>
      <c r="BJ206" s="33">
        <f>AP206/(AM206+AO206)</f>
        <v>0</v>
      </c>
      <c r="BK206" s="33">
        <f>(AN206+AO206)/(AM206+AO206)</f>
        <v>0</v>
      </c>
      <c r="BL206" s="4"/>
      <c r="BM206" s="127">
        <f>CF206/102</f>
        <v>5.2941176470588241E-2</v>
      </c>
      <c r="BN206" s="127">
        <f>C206/2</f>
        <v>0.5</v>
      </c>
      <c r="BO206" s="4"/>
      <c r="BP206" s="127">
        <f>(AK206)/($AW$6)</f>
        <v>4.0404040404040407E-2</v>
      </c>
      <c r="BQ206" s="127">
        <f ca="1">(CH206-$AW$4)/((YEAR($C$13))-$AW$4)</f>
        <v>0</v>
      </c>
      <c r="BR206" s="127">
        <f>(AL206)/($AW$6)</f>
        <v>4.0404040404040407E-2</v>
      </c>
      <c r="BS206" s="4"/>
      <c r="BT206" s="127"/>
      <c r="BU206" s="127">
        <f ca="1">(CG206-$AW$4)/((YEAR($C$13))-$AW$4)</f>
        <v>0</v>
      </c>
      <c r="BV206" s="127">
        <f>AE206/5</f>
        <v>1</v>
      </c>
      <c r="BW206" s="127">
        <f>AF206/5</f>
        <v>1</v>
      </c>
      <c r="BX206" s="4"/>
      <c r="BY206" s="148" t="str">
        <f>IF(E206="A",".98",IF(E206="B",".99",IF(E206="C","1.00",IF(E206="D","1.00" ))))</f>
        <v>1.00</v>
      </c>
      <c r="BZ206" s="127">
        <f>(CE206+7)/10</f>
        <v>1</v>
      </c>
      <c r="CA206" s="76" t="str">
        <f>IF(D206="Fern",".97",IF(D206="Grass",".99",IF(D206="Herb",".97",IF(D206="Shrub",".99",IF(D206="Tree","1.00",IF(D206="Vine",".98"))))))</f>
        <v>.97</v>
      </c>
      <c r="CB206" s="149" t="str">
        <f>IF(R206="Bogs Ponds Streams",".96", IF(R206="Coastal Areas",".97",IF(R206="Meadows Dry Open",".96",IF(R206="Forest &amp; Understory",".97",IF(R206="Moist Open",".98",IF(R206="Moist Shady",".96",IF(R206="Sub-Alpine","1.0")))))))</f>
        <v>.97</v>
      </c>
      <c r="CC206" s="76" t="str">
        <f>IF(S206="Local Endemic",".50",IF(S206="Regional Endemic",".70",IF(S206="Cascadia",".90",IF(S206="Rocky Mountain",".95",IF(S206="North America",".99")))))</f>
        <v>.90</v>
      </c>
      <c r="CD206" s="4"/>
      <c r="CE206" s="21">
        <f>IF(W206&gt;3,3,W206)</f>
        <v>3</v>
      </c>
      <c r="CF206" s="21">
        <f>IF(AC206&gt;102,102,AC206)</f>
        <v>5.4</v>
      </c>
      <c r="CG206" s="34">
        <f>IF(AI206&lt;$AW$4,$AW$4,AI206)</f>
        <v>2004</v>
      </c>
      <c r="CH206" s="34">
        <f>IF(AJ206&lt;$AW$4,$AW$4,AJ206)</f>
        <v>2004</v>
      </c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</row>
    <row r="207" spans="1:115" ht="15" customHeight="1" x14ac:dyDescent="0.3">
      <c r="A207" s="235"/>
      <c r="B207" s="218"/>
      <c r="C207" s="225">
        <v>8</v>
      </c>
      <c r="D207" s="59" t="s">
        <v>2505</v>
      </c>
      <c r="E207" s="59" t="s">
        <v>2501</v>
      </c>
      <c r="F207" s="397" t="str">
        <f ca="1">IF(BC207&lt;2025, "Extinct&lt; 6Yrs?",BA207)</f>
        <v>Widespread</v>
      </c>
      <c r="G207" s="363" t="s">
        <v>525</v>
      </c>
      <c r="H207" s="363" t="s">
        <v>678</v>
      </c>
      <c r="I207" s="366" t="s">
        <v>169</v>
      </c>
      <c r="J207" s="365" t="s">
        <v>19</v>
      </c>
      <c r="K207" s="365" t="s">
        <v>19</v>
      </c>
      <c r="L207" s="10" t="s">
        <v>1997</v>
      </c>
      <c r="M207" s="8" t="s">
        <v>4286</v>
      </c>
      <c r="N207" s="8" t="s">
        <v>5180</v>
      </c>
      <c r="O207" s="8" t="s">
        <v>6079</v>
      </c>
      <c r="P207" s="9" t="s">
        <v>168</v>
      </c>
      <c r="Q207" s="59" t="s">
        <v>2552</v>
      </c>
      <c r="R207" s="9" t="s">
        <v>2500</v>
      </c>
      <c r="S207" s="9" t="s">
        <v>2495</v>
      </c>
      <c r="T207" s="123" t="str">
        <f>IF(R207="Bogs Ponds Streams","20",IF(R207="Coastal Areas","26",IF(R207="Meadows Dry Open","10",IF(R207="Forest &amp; Understory","14",IF(R207="Moist Open","12",IF(R207="Moist Shady","10",IF(R207="Sub-Alpine Slopes","0")))))))</f>
        <v>10</v>
      </c>
      <c r="U207" s="123" t="str">
        <f>IF(R207="Bogs Ponds Streams","52",IF(R207="Coastal Areas","51",IF(R207="Meadows Dry Open","53",IF(R207="Forest &amp; Understory","52",IF(R207="Moist Open","50",IF(R207="Moist Shady","46",IF(R207="Sub-Alpine Slopes","40")))))))</f>
        <v>53</v>
      </c>
      <c r="V207" s="123" t="str">
        <f>IF(R207="Bogs Ponds Streams","84",IF(R207="Coastal Areas","76",IF(R207="Meadows Dry Open","96", IF(R207="Forest &amp; Understory","90", IF(R207="Moist Open","88", IF(R207="Moist Shady","82", IF(R207="Sub-Alpine Slopes","80")))))))</f>
        <v>96</v>
      </c>
      <c r="W207" s="59">
        <v>20</v>
      </c>
      <c r="X207" s="59">
        <v>0</v>
      </c>
      <c r="Y207" s="59">
        <v>3500</v>
      </c>
      <c r="Z207" s="59" t="s">
        <v>2519</v>
      </c>
      <c r="AA207" s="59" t="s">
        <v>2518</v>
      </c>
      <c r="AB207" s="59">
        <v>6.8</v>
      </c>
      <c r="AC207" s="45">
        <f>C207+AK207+(0.1)*AL207</f>
        <v>51</v>
      </c>
      <c r="AD207" s="77">
        <v>280</v>
      </c>
      <c r="AE207" s="59">
        <v>5</v>
      </c>
      <c r="AF207" s="59">
        <v>5</v>
      </c>
      <c r="AG207" s="59">
        <v>1900</v>
      </c>
      <c r="AH207" s="77">
        <v>0</v>
      </c>
      <c r="AI207" s="59">
        <f ca="1">AJ207</f>
        <v>2019</v>
      </c>
      <c r="AJ207" s="18">
        <f ca="1">YEAR(TODAY())</f>
        <v>2019</v>
      </c>
      <c r="AK207" s="18">
        <v>40</v>
      </c>
      <c r="AL207" s="18">
        <v>30</v>
      </c>
      <c r="AM207" s="18">
        <v>1</v>
      </c>
      <c r="AN207" s="18">
        <v>1</v>
      </c>
      <c r="AO207" s="24">
        <v>1</v>
      </c>
      <c r="AP207" s="24">
        <v>0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v>0</v>
      </c>
      <c r="AW207" s="18">
        <v>0</v>
      </c>
      <c r="AX207" s="18">
        <v>0</v>
      </c>
      <c r="AY207" s="233"/>
      <c r="AZ207" s="4"/>
      <c r="BA207" s="35" t="str">
        <f>IF(OR(S207="North America",S207="Rocky Mountain"), "Widespread",BC207)</f>
        <v>Widespread</v>
      </c>
      <c r="BB207" s="4"/>
      <c r="BC207" s="35" t="str">
        <f ca="1">IF(BE207&gt;2046, "Abundant",BE207)</f>
        <v>Abundant</v>
      </c>
      <c r="BD207" s="4"/>
      <c r="BE207" s="81">
        <f ca="1">YEAR($C$13)+(BG207*80)</f>
        <v>2109.822884848485</v>
      </c>
      <c r="BF207" s="4"/>
      <c r="BG207" s="137">
        <f ca="1">BH207*$BH$14</f>
        <v>1.1352860606060606</v>
      </c>
      <c r="BH207" s="137">
        <f ca="1">(((BJ207+BK207+BM207+BN207)/4)*$BM$11)+(((BP207+BQ207)/2)*$BQ$11)+(((BU207+BV207+BW207)/3)*$BU$11)+(((BY207+BZ207+CA207+CB207+CC207)/5)*$CA$11)</f>
        <v>1.1352860606060606</v>
      </c>
      <c r="BI207" s="4"/>
      <c r="BJ207" s="33">
        <f>AP207/(AM207+AO207)</f>
        <v>0</v>
      </c>
      <c r="BK207" s="33">
        <f>(AN207+AO207)/(AM207+AO207)</f>
        <v>1</v>
      </c>
      <c r="BL207" s="4"/>
      <c r="BM207" s="127">
        <f>CF207/102</f>
        <v>0.5</v>
      </c>
      <c r="BN207" s="127">
        <f>C207/2</f>
        <v>4</v>
      </c>
      <c r="BO207" s="4"/>
      <c r="BP207" s="127">
        <f>(AK207)/($AW$6)</f>
        <v>0.40404040404040403</v>
      </c>
      <c r="BQ207" s="127">
        <f ca="1">(CH207-$AW$4)/((YEAR($C$13))-$AW$4)</f>
        <v>1</v>
      </c>
      <c r="BR207" s="127">
        <f>(AL207)/($AW$6)</f>
        <v>0.30303030303030304</v>
      </c>
      <c r="BS207" s="4"/>
      <c r="BT207" s="127"/>
      <c r="BU207" s="127">
        <f ca="1">(CG207-$AW$4)/((YEAR($C$13))-$AW$4)</f>
        <v>1</v>
      </c>
      <c r="BV207" s="127">
        <f>AE207/5</f>
        <v>1</v>
      </c>
      <c r="BW207" s="127">
        <f>AF207/5</f>
        <v>1</v>
      </c>
      <c r="BX207" s="4"/>
      <c r="BY207" s="148" t="str">
        <f>IF(E207="A",".98",IF(E207="B",".99",IF(E207="C","1.00",IF(E207="D","1.00" ))))</f>
        <v>1.00</v>
      </c>
      <c r="BZ207" s="127">
        <f>(CE207+7)/10</f>
        <v>1</v>
      </c>
      <c r="CA207" s="76" t="str">
        <f>IF(D207="Fern",".97",IF(D207="Grass",".99",IF(D207="Herb",".97",IF(D207="Shrub",".99",IF(D207="Tree","1.00",IF(D207="Vine",".98"))))))</f>
        <v>.97</v>
      </c>
      <c r="CB207" s="149" t="str">
        <f>IF(R207="Bogs Ponds Streams",".96", IF(R207="Coastal Areas",".97",IF(R207="Meadows Dry Open",".96",IF(R207="Forest &amp; Understory",".97",IF(R207="Moist Open",".98",IF(R207="Moist Shady",".96",IF(R207="Sub-Alpine","1.0")))))))</f>
        <v>.96</v>
      </c>
      <c r="CC207" s="76" t="str">
        <f>IF(S207="Local Endemic",".50",IF(S207="Regional Endemic",".70",IF(S207="Cascadia",".90",IF(S207="Rocky Mountain",".95",IF(S207="North America",".99")))))</f>
        <v>.99</v>
      </c>
      <c r="CD207" s="4"/>
      <c r="CE207" s="21">
        <f>IF(W207&gt;3,3,W207)</f>
        <v>3</v>
      </c>
      <c r="CF207" s="21">
        <f>IF(AC207&gt;102,102,AC207)</f>
        <v>51</v>
      </c>
      <c r="CG207" s="34">
        <f ca="1">IF(AI207&lt;$AW$4,$AW$4,AI207)</f>
        <v>2019</v>
      </c>
      <c r="CH207" s="34">
        <f ca="1">IF(AJ207&lt;$AW$4,$AW$4,AJ207)</f>
        <v>2019</v>
      </c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</row>
    <row r="208" spans="1:115" ht="15" customHeight="1" x14ac:dyDescent="0.3">
      <c r="A208" s="235"/>
      <c r="B208" s="218"/>
      <c r="C208" s="375">
        <v>1</v>
      </c>
      <c r="D208" s="68" t="s">
        <v>2505</v>
      </c>
      <c r="E208" s="67" t="s">
        <v>2501</v>
      </c>
      <c r="F208" s="403" t="str">
        <f ca="1">IF(BC208&lt;2025, "Extinct&lt; 6Yrs?",BA208)</f>
        <v>Widespread</v>
      </c>
      <c r="G208" s="376" t="s">
        <v>525</v>
      </c>
      <c r="H208" s="376" t="s">
        <v>4028</v>
      </c>
      <c r="I208" s="380" t="s">
        <v>183</v>
      </c>
      <c r="J208" s="378" t="s">
        <v>905</v>
      </c>
      <c r="K208" s="378" t="s">
        <v>905</v>
      </c>
      <c r="L208" s="63" t="s">
        <v>1996</v>
      </c>
      <c r="M208" s="64" t="s">
        <v>4287</v>
      </c>
      <c r="N208" s="64" t="s">
        <v>5181</v>
      </c>
      <c r="O208" s="64" t="s">
        <v>6080</v>
      </c>
      <c r="P208" s="61" t="s">
        <v>184</v>
      </c>
      <c r="Q208" s="67" t="s">
        <v>2552</v>
      </c>
      <c r="R208" s="61" t="s">
        <v>2499</v>
      </c>
      <c r="S208" s="61" t="s">
        <v>2495</v>
      </c>
      <c r="T208" s="134" t="str">
        <f>IF(R208="Bogs Ponds Streams","20",IF(R208="Coastal Areas","26",IF(R208="Meadows Dry Open","10",IF(R208="Forest &amp; Understory","14",IF(R208="Moist Open","12",IF(R208="Moist Shady","10",IF(R208="Sub-Alpine Slopes","0")))))))</f>
        <v>20</v>
      </c>
      <c r="U208" s="134" t="str">
        <f>IF(R208="Bogs Ponds Streams","52",IF(R208="Coastal Areas","51",IF(R208="Meadows Dry Open","53",IF(R208="Forest &amp; Understory","52",IF(R208="Moist Open","50",IF(R208="Moist Shady","46",IF(R208="Sub-Alpine Slopes","40")))))))</f>
        <v>52</v>
      </c>
      <c r="V208" s="134" t="str">
        <f>IF(R208="Bogs Ponds Streams","84",IF(R208="Coastal Areas","76",IF(R208="Meadows Dry Open","96", IF(R208="Forest &amp; Understory","90", IF(R208="Moist Open","88", IF(R208="Moist Shady","82", IF(R208="Sub-Alpine Slopes","80")))))))</f>
        <v>84</v>
      </c>
      <c r="W208" s="67">
        <v>20</v>
      </c>
      <c r="X208" s="67">
        <v>0</v>
      </c>
      <c r="Y208" s="67">
        <v>3500</v>
      </c>
      <c r="Z208" s="67" t="s">
        <v>2519</v>
      </c>
      <c r="AA208" s="67" t="s">
        <v>2518</v>
      </c>
      <c r="AB208" s="67">
        <v>6.8</v>
      </c>
      <c r="AC208" s="85">
        <f>C208+AK208+(0.1)*AL208</f>
        <v>15.2</v>
      </c>
      <c r="AD208" s="78">
        <v>68</v>
      </c>
      <c r="AE208" s="67">
        <v>5</v>
      </c>
      <c r="AF208" s="67">
        <v>5</v>
      </c>
      <c r="AG208" s="67">
        <v>1900</v>
      </c>
      <c r="AH208" s="78">
        <v>0</v>
      </c>
      <c r="AI208" s="67">
        <f>AJ208</f>
        <v>2004</v>
      </c>
      <c r="AJ208" s="69">
        <v>2004</v>
      </c>
      <c r="AK208" s="69">
        <v>12</v>
      </c>
      <c r="AL208" s="69">
        <v>22</v>
      </c>
      <c r="AM208" s="70">
        <v>5</v>
      </c>
      <c r="AN208" s="70">
        <v>0</v>
      </c>
      <c r="AO208" s="86">
        <v>0</v>
      </c>
      <c r="AP208" s="70">
        <v>0</v>
      </c>
      <c r="AQ208" s="70">
        <v>0</v>
      </c>
      <c r="AR208" s="70">
        <v>0</v>
      </c>
      <c r="AS208" s="86">
        <v>0</v>
      </c>
      <c r="AT208" s="70">
        <v>0</v>
      </c>
      <c r="AU208" s="70">
        <v>0</v>
      </c>
      <c r="AV208" s="70">
        <v>0</v>
      </c>
      <c r="AW208" s="86">
        <v>0</v>
      </c>
      <c r="AX208" s="70">
        <v>0</v>
      </c>
      <c r="AY208" s="233"/>
      <c r="AZ208" s="4"/>
      <c r="BA208" s="35" t="str">
        <f>IF(OR(S208="North America",S208="Rocky Mountain"), "Widespread",BC208)</f>
        <v>Widespread</v>
      </c>
      <c r="BB208" s="4"/>
      <c r="BC208" s="35">
        <f ca="1">IF(BE208&gt;2046, "Abundant",BE208)</f>
        <v>2034.0838474153297</v>
      </c>
      <c r="BD208" s="4"/>
      <c r="BE208" s="81">
        <f ca="1">YEAR($C$13)+(BG208*80)</f>
        <v>2034.0838474153297</v>
      </c>
      <c r="BF208" s="4"/>
      <c r="BG208" s="137">
        <f ca="1">BH208*$BH$14</f>
        <v>0.18854809269162212</v>
      </c>
      <c r="BH208" s="137">
        <f ca="1">(((BJ208+BK208+BM208+BN208)/4)*$BM$11)+(((BP208+BQ208)/2)*$BQ$11)+(((BU208+BV208+BW208)/3)*$BU$11)+(((BY208+BZ208+CA208+CB208+CC208)/5)*$CA$11)</f>
        <v>0.18854809269162212</v>
      </c>
      <c r="BI208" s="4"/>
      <c r="BJ208" s="33">
        <f>AP208/(AM208+AO208)</f>
        <v>0</v>
      </c>
      <c r="BK208" s="33">
        <f>(AN208+AO208)/(AM208+AO208)</f>
        <v>0</v>
      </c>
      <c r="BL208" s="4"/>
      <c r="BM208" s="127">
        <f>CF208/102</f>
        <v>0.14901960784313725</v>
      </c>
      <c r="BN208" s="127">
        <f>C208/2</f>
        <v>0.5</v>
      </c>
      <c r="BO208" s="4"/>
      <c r="BP208" s="127">
        <f>(AK208)/($AW$6)</f>
        <v>0.12121212121212122</v>
      </c>
      <c r="BQ208" s="127">
        <f ca="1">(CH208-$AW$4)/((YEAR($C$13))-$AW$4)</f>
        <v>0</v>
      </c>
      <c r="BR208" s="127">
        <f>(AL208)/($AW$6)</f>
        <v>0.22222222222222221</v>
      </c>
      <c r="BS208" s="4"/>
      <c r="BT208" s="127"/>
      <c r="BU208" s="127">
        <f ca="1">(CG208-$AW$4)/((YEAR($C$13))-$AW$4)</f>
        <v>0</v>
      </c>
      <c r="BV208" s="127">
        <f>AE208/5</f>
        <v>1</v>
      </c>
      <c r="BW208" s="127">
        <f>AF208/5</f>
        <v>1</v>
      </c>
      <c r="BX208" s="4"/>
      <c r="BY208" s="148" t="str">
        <f>IF(E208="A",".98",IF(E208="B",".99",IF(E208="C","1.00",IF(E208="D","1.00" ))))</f>
        <v>1.00</v>
      </c>
      <c r="BZ208" s="127">
        <f>(CE208+7)/10</f>
        <v>1</v>
      </c>
      <c r="CA208" s="76" t="str">
        <f>IF(D208="Fern",".97",IF(D208="Grass",".99",IF(D208="Herb",".97",IF(D208="Shrub",".99",IF(D208="Tree","1.00",IF(D208="Vine",".98"))))))</f>
        <v>.97</v>
      </c>
      <c r="CB208" s="149" t="str">
        <f>IF(R208="Bogs Ponds Streams",".96", IF(R208="Coastal Areas",".97",IF(R208="Meadows Dry Open",".96",IF(R208="Forest &amp; Understory",".97",IF(R208="Moist Open",".98",IF(R208="Moist Shady",".96",IF(R208="Sub-Alpine","1.0")))))))</f>
        <v>.96</v>
      </c>
      <c r="CC208" s="76" t="str">
        <f>IF(S208="Local Endemic",".50",IF(S208="Regional Endemic",".70",IF(S208="Cascadia",".90",IF(S208="Rocky Mountain",".95",IF(S208="North America",".99")))))</f>
        <v>.99</v>
      </c>
      <c r="CD208" s="4"/>
      <c r="CE208" s="21">
        <f>IF(W208&gt;3,3,W208)</f>
        <v>3</v>
      </c>
      <c r="CF208" s="21">
        <f>IF(AC208&gt;102,102,AC208)</f>
        <v>15.2</v>
      </c>
      <c r="CG208" s="34">
        <f>IF(AI208&lt;$AW$4,$AW$4,AI208)</f>
        <v>2004</v>
      </c>
      <c r="CH208" s="34">
        <f>IF(AJ208&lt;$AW$4,$AW$4,AJ208)</f>
        <v>2004</v>
      </c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13"/>
    </row>
    <row r="209" spans="1:115" ht="15" customHeight="1" x14ac:dyDescent="0.3">
      <c r="A209" s="235"/>
      <c r="B209" s="218"/>
      <c r="C209" s="225">
        <v>9</v>
      </c>
      <c r="D209" s="96" t="s">
        <v>2507</v>
      </c>
      <c r="E209" s="59" t="s">
        <v>2504</v>
      </c>
      <c r="F209" s="397" t="str">
        <f ca="1">IF(BC209&lt;2025, "Extinct&lt; 6Yrs?",BA209)</f>
        <v>Abundant</v>
      </c>
      <c r="G209" s="363" t="s">
        <v>525</v>
      </c>
      <c r="H209" s="363" t="s">
        <v>687</v>
      </c>
      <c r="I209" s="364" t="s">
        <v>1187</v>
      </c>
      <c r="J209" s="365" t="s">
        <v>3276</v>
      </c>
      <c r="K209" s="365" t="s">
        <v>1188</v>
      </c>
      <c r="L209" s="10" t="s">
        <v>1239</v>
      </c>
      <c r="M209" s="8" t="s">
        <v>4288</v>
      </c>
      <c r="N209" s="8" t="s">
        <v>5182</v>
      </c>
      <c r="O209" s="8" t="s">
        <v>4288</v>
      </c>
      <c r="P209" s="9" t="s">
        <v>536</v>
      </c>
      <c r="Q209" s="59" t="s">
        <v>2552</v>
      </c>
      <c r="R209" s="10" t="s">
        <v>2530</v>
      </c>
      <c r="S209" s="17" t="s">
        <v>2309</v>
      </c>
      <c r="T209" s="123" t="str">
        <f>IF(R209="Bogs Ponds Streams","20",IF(R209="Coastal Areas","26",IF(R209="Meadows Dry Open","10",IF(R209="Forest &amp; Understory","14",IF(R209="Moist Open","12",IF(R209="Moist Shady","10",IF(R209="Sub-Alpine Slopes","0")))))))</f>
        <v>14</v>
      </c>
      <c r="U209" s="123" t="str">
        <f>IF(R209="Bogs Ponds Streams","52",IF(R209="Coastal Areas","51",IF(R209="Meadows Dry Open","53",IF(R209="Forest &amp; Understory","52",IF(R209="Moist Open","50",IF(R209="Moist Shady","46",IF(R209="Sub-Alpine Slopes","40")))))))</f>
        <v>52</v>
      </c>
      <c r="V209" s="123" t="str">
        <f>IF(R209="Bogs Ponds Streams","84",IF(R209="Coastal Areas","76",IF(R209="Meadows Dry Open","96", IF(R209="Forest &amp; Understory","90", IF(R209="Moist Open","88", IF(R209="Moist Shady","82", IF(R209="Sub-Alpine Slopes","80")))))))</f>
        <v>90</v>
      </c>
      <c r="W209" s="59">
        <v>200</v>
      </c>
      <c r="X209" s="59">
        <v>0</v>
      </c>
      <c r="Y209" s="59">
        <v>3500</v>
      </c>
      <c r="Z209" s="59" t="s">
        <v>2519</v>
      </c>
      <c r="AA209" s="59" t="s">
        <v>2518</v>
      </c>
      <c r="AB209" s="59">
        <v>6.8</v>
      </c>
      <c r="AC209" s="45">
        <f>C209+AK209+(0.1)*AL209</f>
        <v>19</v>
      </c>
      <c r="AD209" s="77">
        <v>25</v>
      </c>
      <c r="AE209" s="59">
        <v>5</v>
      </c>
      <c r="AF209" s="59">
        <v>5</v>
      </c>
      <c r="AG209" s="59">
        <v>1900</v>
      </c>
      <c r="AH209" s="77">
        <v>0</v>
      </c>
      <c r="AI209" s="59">
        <f ca="1">AJ209</f>
        <v>2019</v>
      </c>
      <c r="AJ209" s="18">
        <f ca="1">YEAR(TODAY())</f>
        <v>2019</v>
      </c>
      <c r="AK209" s="18">
        <v>10</v>
      </c>
      <c r="AL209" s="18">
        <v>0</v>
      </c>
      <c r="AM209" s="18">
        <v>1</v>
      </c>
      <c r="AN209" s="18">
        <v>1</v>
      </c>
      <c r="AO209" s="18">
        <v>5</v>
      </c>
      <c r="AP209" s="18">
        <v>1</v>
      </c>
      <c r="AQ209" s="18">
        <v>0</v>
      </c>
      <c r="AR209" s="18">
        <v>0</v>
      </c>
      <c r="AS209" s="18">
        <v>0</v>
      </c>
      <c r="AT209" s="18">
        <v>0</v>
      </c>
      <c r="AU209" s="18">
        <v>0</v>
      </c>
      <c r="AV209" s="18">
        <v>0</v>
      </c>
      <c r="AW209" s="18">
        <v>0</v>
      </c>
      <c r="AX209" s="18">
        <v>0</v>
      </c>
      <c r="AY209" s="233"/>
      <c r="AZ209" s="4"/>
      <c r="BA209" s="35" t="str">
        <f ca="1">IF(OR(S209="North America",S209="Rocky Mountain"), "Widespread",BC209)</f>
        <v>Abundant</v>
      </c>
      <c r="BB209" s="4"/>
      <c r="BC209" s="35" t="str">
        <f ca="1">IF(BE209&gt;2046, "Abundant",BE209)</f>
        <v>Abundant</v>
      </c>
      <c r="BD209" s="4"/>
      <c r="BE209" s="81">
        <f ca="1">YEAR($C$13)+(BG209*80)</f>
        <v>2110.3418153297685</v>
      </c>
      <c r="BF209" s="4"/>
      <c r="BG209" s="137">
        <f ca="1">BH209*$BH$14</f>
        <v>1.1417726916221036</v>
      </c>
      <c r="BH209" s="137">
        <f ca="1">(((BJ209+BK209+BM209+BN209)/4)*$BM$11)+(((BP209+BQ209)/2)*$BQ$11)+(((BU209+BV209+BW209)/3)*$BU$11)+(((BY209+BZ209+CA209+CB209+CC209)/5)*$CA$11)</f>
        <v>1.1417726916221036</v>
      </c>
      <c r="BI209" s="4"/>
      <c r="BJ209" s="33">
        <f>AP209/(AM209+AO209)</f>
        <v>0.16666666666666666</v>
      </c>
      <c r="BK209" s="33">
        <f>(AN209+AO209)/(AM209+AO209)</f>
        <v>1</v>
      </c>
      <c r="BL209" s="4"/>
      <c r="BM209" s="127">
        <f>CF209/102</f>
        <v>0.18627450980392157</v>
      </c>
      <c r="BN209" s="127">
        <f>C209/2</f>
        <v>4.5</v>
      </c>
      <c r="BO209" s="4"/>
      <c r="BP209" s="127">
        <f>(AK209)/($AW$6)</f>
        <v>0.10101010101010101</v>
      </c>
      <c r="BQ209" s="127">
        <f ca="1">(CH209-$AW$4)/((YEAR($C$13))-$AW$4)</f>
        <v>1</v>
      </c>
      <c r="BR209" s="127">
        <f>(AL209)/($AW$6)</f>
        <v>0</v>
      </c>
      <c r="BS209" s="4"/>
      <c r="BT209" s="127"/>
      <c r="BU209" s="127">
        <f ca="1">(CG209-$AW$4)/((YEAR($C$13))-$AW$4)</f>
        <v>1</v>
      </c>
      <c r="BV209" s="127">
        <f>AE209/5</f>
        <v>1</v>
      </c>
      <c r="BW209" s="127">
        <f>AF209/5</f>
        <v>1</v>
      </c>
      <c r="BX209" s="4"/>
      <c r="BY209" s="148" t="str">
        <f>IF(E209="A",".98",IF(E209="B",".99",IF(E209="C","1.00",IF(E209="D","1.00" ))))</f>
        <v>1.00</v>
      </c>
      <c r="BZ209" s="127">
        <f>(CE209+7)/10</f>
        <v>1</v>
      </c>
      <c r="CA209" s="76" t="str">
        <f>IF(D209="Fern",".97",IF(D209="Grass",".99",IF(D209="Herb",".97",IF(D209="Shrub",".99",IF(D209="Tree","1.00",IF(D209="Vine",".98"))))))</f>
        <v>1.00</v>
      </c>
      <c r="CB209" s="149" t="str">
        <f>IF(R209="Bogs Ponds Streams",".96", IF(R209="Coastal Areas",".97",IF(R209="Meadows Dry Open",".96",IF(R209="Forest &amp; Understory",".97",IF(R209="Moist Open",".98",IF(R209="Moist Shady",".96",IF(R209="Sub-Alpine","1.0")))))))</f>
        <v>.97</v>
      </c>
      <c r="CC209" s="76" t="str">
        <f>IF(S209="Local Endemic",".50",IF(S209="Regional Endemic",".70",IF(S209="Cascadia",".90",IF(S209="Rocky Mountain",".95",IF(S209="North America",".99")))))</f>
        <v>.70</v>
      </c>
      <c r="CD209" s="4"/>
      <c r="CE209" s="21">
        <f>IF(W209&gt;3,3,W209)</f>
        <v>3</v>
      </c>
      <c r="CF209" s="21">
        <f>IF(AC209&gt;102,102,AC209)</f>
        <v>19</v>
      </c>
      <c r="CG209" s="34">
        <f ca="1">IF(AI209&lt;$AW$4,$AW$4,AI209)</f>
        <v>2019</v>
      </c>
      <c r="CH209" s="34">
        <f ca="1">IF(AJ209&lt;$AW$4,$AW$4,AJ209)</f>
        <v>2019</v>
      </c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</row>
    <row r="210" spans="1:115" ht="15" customHeight="1" x14ac:dyDescent="0.3">
      <c r="A210" s="235"/>
      <c r="B210" s="218"/>
      <c r="C210" s="225">
        <v>8</v>
      </c>
      <c r="D210" s="59" t="s">
        <v>2505</v>
      </c>
      <c r="E210" s="59" t="s">
        <v>2501</v>
      </c>
      <c r="F210" s="397" t="str">
        <f ca="1">IF(BC210&lt;2025, "Extinct&lt; 6Yrs?",BA210)</f>
        <v>Widespread</v>
      </c>
      <c r="G210" s="363" t="s">
        <v>525</v>
      </c>
      <c r="H210" s="363" t="s">
        <v>678</v>
      </c>
      <c r="I210" s="364" t="s">
        <v>1161</v>
      </c>
      <c r="J210" s="365" t="s">
        <v>3277</v>
      </c>
      <c r="K210" s="365" t="s">
        <v>991</v>
      </c>
      <c r="L210" s="10" t="s">
        <v>1995</v>
      </c>
      <c r="M210" s="8" t="s">
        <v>4289</v>
      </c>
      <c r="N210" s="8" t="s">
        <v>5183</v>
      </c>
      <c r="O210" s="8" t="s">
        <v>6081</v>
      </c>
      <c r="P210" s="9" t="s">
        <v>660</v>
      </c>
      <c r="Q210" s="59" t="s">
        <v>2552</v>
      </c>
      <c r="R210" s="160" t="s">
        <v>2497</v>
      </c>
      <c r="S210" s="17" t="s">
        <v>2495</v>
      </c>
      <c r="T210" s="123" t="str">
        <f>IF(R210="Bogs Ponds Streams","20",IF(R210="Coastal Areas","26",IF(R210="Meadows Dry Open","10",IF(R210="Forest &amp; Understory","14",IF(R210="Moist Open","12",IF(R210="Moist Shady","10",IF(R210="Sub-Alpine Slopes","0")))))))</f>
        <v>12</v>
      </c>
      <c r="U210" s="123" t="str">
        <f>IF(R210="Bogs Ponds Streams","52",IF(R210="Coastal Areas","51",IF(R210="Meadows Dry Open","53",IF(R210="Forest &amp; Understory","52",IF(R210="Moist Open","50",IF(R210="Moist Shady","46",IF(R210="Sub-Alpine Slopes","40")))))))</f>
        <v>50</v>
      </c>
      <c r="V210" s="123" t="str">
        <f>IF(R210="Bogs Ponds Streams","84",IF(R210="Coastal Areas","76",IF(R210="Meadows Dry Open","96", IF(R210="Forest &amp; Understory","90", IF(R210="Moist Open","88", IF(R210="Moist Shady","82", IF(R210="Sub-Alpine Slopes","80")))))))</f>
        <v>88</v>
      </c>
      <c r="W210" s="59">
        <v>20</v>
      </c>
      <c r="X210" s="59">
        <v>0</v>
      </c>
      <c r="Y210" s="59">
        <v>3500</v>
      </c>
      <c r="Z210" s="59" t="s">
        <v>2519</v>
      </c>
      <c r="AA210" s="59" t="s">
        <v>2518</v>
      </c>
      <c r="AB210" s="59">
        <v>6.8</v>
      </c>
      <c r="AC210" s="45">
        <f>C210+AK210+(0.1)*AL210</f>
        <v>44.3</v>
      </c>
      <c r="AD210" s="77">
        <v>0</v>
      </c>
      <c r="AE210" s="59">
        <v>5</v>
      </c>
      <c r="AF210" s="59">
        <v>5</v>
      </c>
      <c r="AG210" s="59">
        <v>1900</v>
      </c>
      <c r="AH210" s="77">
        <v>0</v>
      </c>
      <c r="AI210" s="59">
        <f>AJ210</f>
        <v>2018</v>
      </c>
      <c r="AJ210" s="18">
        <v>2018</v>
      </c>
      <c r="AK210" s="18">
        <v>33</v>
      </c>
      <c r="AL210" s="18">
        <v>33</v>
      </c>
      <c r="AM210" s="24">
        <v>5</v>
      </c>
      <c r="AN210" s="24">
        <v>1</v>
      </c>
      <c r="AO210" s="25">
        <v>0</v>
      </c>
      <c r="AP210" s="24">
        <v>0</v>
      </c>
      <c r="AQ210" s="24">
        <v>0</v>
      </c>
      <c r="AR210" s="24">
        <v>0</v>
      </c>
      <c r="AS210" s="25">
        <v>0</v>
      </c>
      <c r="AT210" s="24">
        <v>0</v>
      </c>
      <c r="AU210" s="24">
        <v>0</v>
      </c>
      <c r="AV210" s="24">
        <v>0</v>
      </c>
      <c r="AW210" s="25">
        <v>0</v>
      </c>
      <c r="AX210" s="24">
        <v>0</v>
      </c>
      <c r="AY210" s="233"/>
      <c r="AZ210" s="4"/>
      <c r="BA210" s="35" t="str">
        <f>IF(OR(S210="North America",S210="Rocky Mountain"), "Widespread",BC210)</f>
        <v>Widespread</v>
      </c>
      <c r="BB210" s="4"/>
      <c r="BC210" s="35" t="str">
        <f ca="1">IF(BE210&gt;2046, "Abundant",BE210)</f>
        <v>Abundant</v>
      </c>
      <c r="BD210" s="4"/>
      <c r="BE210" s="81">
        <f ca="1">YEAR($C$13)+(BG210*80)</f>
        <v>2097.6503424836601</v>
      </c>
      <c r="BF210" s="4"/>
      <c r="BG210" s="137">
        <f ca="1">BH210*$BH$14</f>
        <v>0.98312928104575159</v>
      </c>
      <c r="BH210" s="137">
        <f ca="1">(((BJ210+BK210+BM210+BN210)/4)*$BM$11)+(((BP210+BQ210)/2)*$BQ$11)+(((BU210+BV210+BW210)/3)*$BU$11)+(((BY210+BZ210+CA210+CB210+CC210)/5)*$CA$11)</f>
        <v>0.98312928104575159</v>
      </c>
      <c r="BI210" s="4"/>
      <c r="BJ210" s="33">
        <f>AP210/(AM210+AO210)</f>
        <v>0</v>
      </c>
      <c r="BK210" s="33">
        <f>(AN210+AO210)/(AM210+AO210)</f>
        <v>0.2</v>
      </c>
      <c r="BL210" s="4"/>
      <c r="BM210" s="127">
        <f>CF210/102</f>
        <v>0.43431372549019603</v>
      </c>
      <c r="BN210" s="127">
        <f>C210/2</f>
        <v>4</v>
      </c>
      <c r="BO210" s="4"/>
      <c r="BP210" s="127">
        <f>(AK210)/($AW$6)</f>
        <v>0.33333333333333331</v>
      </c>
      <c r="BQ210" s="127">
        <f ca="1">(CH210-$AW$4)/((YEAR($C$13))-$AW$4)</f>
        <v>0.93333333333333335</v>
      </c>
      <c r="BR210" s="127">
        <f>(AL210)/($AW$6)</f>
        <v>0.33333333333333331</v>
      </c>
      <c r="BS210" s="4"/>
      <c r="BT210" s="127"/>
      <c r="BU210" s="127">
        <f ca="1">(CG210-$AW$4)/((YEAR($C$13))-$AW$4)</f>
        <v>0.93333333333333335</v>
      </c>
      <c r="BV210" s="127">
        <f>AE210/5</f>
        <v>1</v>
      </c>
      <c r="BW210" s="127">
        <f>AF210/5</f>
        <v>1</v>
      </c>
      <c r="BX210" s="4"/>
      <c r="BY210" s="148" t="str">
        <f>IF(E210="A",".98",IF(E210="B",".99",IF(E210="C","1.00",IF(E210="D","1.00" ))))</f>
        <v>1.00</v>
      </c>
      <c r="BZ210" s="127">
        <f>(CE210+7)/10</f>
        <v>1</v>
      </c>
      <c r="CA210" s="76" t="str">
        <f>IF(D210="Fern",".97",IF(D210="Grass",".99",IF(D210="Herb",".97",IF(D210="Shrub",".99",IF(D210="Tree","1.00",IF(D210="Vine",".98"))))))</f>
        <v>.97</v>
      </c>
      <c r="CB210" s="149" t="str">
        <f>IF(R210="Bogs Ponds Streams",".96", IF(R210="Coastal Areas",".97",IF(R210="Meadows Dry Open",".96",IF(R210="Forest &amp; Understory",".97",IF(R210="Moist Open",".98",IF(R210="Moist Shady",".96",IF(R210="Sub-Alpine","1.0")))))))</f>
        <v>.98</v>
      </c>
      <c r="CC210" s="76" t="str">
        <f>IF(S210="Local Endemic",".50",IF(S210="Regional Endemic",".70",IF(S210="Cascadia",".90",IF(S210="Rocky Mountain",".95",IF(S210="North America",".99")))))</f>
        <v>.99</v>
      </c>
      <c r="CD210" s="4"/>
      <c r="CE210" s="21">
        <f>IF(W210&gt;3,3,W210)</f>
        <v>3</v>
      </c>
      <c r="CF210" s="21">
        <f>IF(AC210&gt;102,102,AC210)</f>
        <v>44.3</v>
      </c>
      <c r="CG210" s="34">
        <f>IF(AI210&lt;$AW$4,$AW$4,AI210)</f>
        <v>2018</v>
      </c>
      <c r="CH210" s="34">
        <f>IF(AJ210&lt;$AW$4,$AW$4,AJ210)</f>
        <v>2018</v>
      </c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13"/>
    </row>
    <row r="211" spans="1:115" ht="15" customHeight="1" x14ac:dyDescent="0.3">
      <c r="A211" s="235"/>
      <c r="B211" s="218"/>
      <c r="C211" s="375">
        <v>1</v>
      </c>
      <c r="D211" s="67" t="s">
        <v>2505</v>
      </c>
      <c r="E211" s="67" t="s">
        <v>2502</v>
      </c>
      <c r="F211" s="403" t="str">
        <f ca="1">IF(BC211&lt;2025, "Extinct&lt; 6Yrs?",BA211)</f>
        <v>Widespread</v>
      </c>
      <c r="G211" s="376" t="s">
        <v>525</v>
      </c>
      <c r="H211" s="376" t="s">
        <v>4028</v>
      </c>
      <c r="I211" s="379" t="s">
        <v>2616</v>
      </c>
      <c r="J211" s="378" t="s">
        <v>3639</v>
      </c>
      <c r="K211" s="378" t="s">
        <v>2751</v>
      </c>
      <c r="L211" s="65" t="s">
        <v>1992</v>
      </c>
      <c r="M211" s="64" t="s">
        <v>4290</v>
      </c>
      <c r="N211" s="64" t="s">
        <v>5184</v>
      </c>
      <c r="O211" s="64" t="s">
        <v>6082</v>
      </c>
      <c r="P211" s="61" t="s">
        <v>185</v>
      </c>
      <c r="Q211" s="67" t="s">
        <v>2552</v>
      </c>
      <c r="R211" s="61" t="s">
        <v>2498</v>
      </c>
      <c r="S211" s="61" t="s">
        <v>2495</v>
      </c>
      <c r="T211" s="134" t="str">
        <f>IF(R211="Bogs Ponds Streams","20",IF(R211="Coastal Areas","26",IF(R211="Meadows Dry Open","10",IF(R211="Forest &amp; Understory","14",IF(R211="Moist Open","12",IF(R211="Moist Shady","10",IF(R211="Sub-Alpine Slopes","0")))))))</f>
        <v>10</v>
      </c>
      <c r="U211" s="134" t="str">
        <f>IF(R211="Bogs Ponds Streams","52",IF(R211="Coastal Areas","51",IF(R211="Meadows Dry Open","53",IF(R211="Forest &amp; Understory","52",IF(R211="Moist Open","50",IF(R211="Moist Shady","46",IF(R211="Sub-Alpine Slopes","40")))))))</f>
        <v>46</v>
      </c>
      <c r="V211" s="134" t="str">
        <f>IF(R211="Bogs Ponds Streams","84",IF(R211="Coastal Areas","76",IF(R211="Meadows Dry Open","96", IF(R211="Forest &amp; Understory","90", IF(R211="Moist Open","88", IF(R211="Moist Shady","82", IF(R211="Sub-Alpine Slopes","80")))))))</f>
        <v>82</v>
      </c>
      <c r="W211" s="67">
        <v>1</v>
      </c>
      <c r="X211" s="67">
        <v>0</v>
      </c>
      <c r="Y211" s="67">
        <v>3500</v>
      </c>
      <c r="Z211" s="67" t="s">
        <v>2519</v>
      </c>
      <c r="AA211" s="67" t="s">
        <v>2518</v>
      </c>
      <c r="AB211" s="67">
        <v>6.8</v>
      </c>
      <c r="AC211" s="85">
        <f>C211+AK211+(0.1)*AL211</f>
        <v>6.5</v>
      </c>
      <c r="AD211" s="78">
        <v>21</v>
      </c>
      <c r="AE211" s="67">
        <v>5</v>
      </c>
      <c r="AF211" s="67">
        <v>5</v>
      </c>
      <c r="AG211" s="67">
        <v>1900</v>
      </c>
      <c r="AH211" s="78">
        <v>0</v>
      </c>
      <c r="AI211" s="67">
        <f>AJ211</f>
        <v>1994</v>
      </c>
      <c r="AJ211" s="69">
        <v>1994</v>
      </c>
      <c r="AK211" s="69">
        <v>5</v>
      </c>
      <c r="AL211" s="69">
        <v>5</v>
      </c>
      <c r="AM211" s="70">
        <v>5</v>
      </c>
      <c r="AN211" s="70">
        <v>0</v>
      </c>
      <c r="AO211" s="86">
        <v>0</v>
      </c>
      <c r="AP211" s="70">
        <v>0</v>
      </c>
      <c r="AQ211" s="70">
        <v>0</v>
      </c>
      <c r="AR211" s="70">
        <v>0</v>
      </c>
      <c r="AS211" s="86">
        <v>0</v>
      </c>
      <c r="AT211" s="70">
        <v>0</v>
      </c>
      <c r="AU211" s="70">
        <v>0</v>
      </c>
      <c r="AV211" s="70">
        <v>0</v>
      </c>
      <c r="AW211" s="86">
        <v>0</v>
      </c>
      <c r="AX211" s="70">
        <v>0</v>
      </c>
      <c r="AY211" s="233"/>
      <c r="AZ211" s="4"/>
      <c r="BA211" s="35" t="str">
        <f>IF(OR(S211="North America",S211="Rocky Mountain"), "Widespread",BC211)</f>
        <v>Widespread</v>
      </c>
      <c r="BB211" s="4"/>
      <c r="BC211" s="35">
        <f ca="1">IF(BE211&gt;2046, "Abundant",BE211)</f>
        <v>2032.1414331550802</v>
      </c>
      <c r="BD211" s="4"/>
      <c r="BE211" s="81">
        <f ca="1">YEAR($C$13)+(BG211*80)</f>
        <v>2032.1414331550802</v>
      </c>
      <c r="BF211" s="4"/>
      <c r="BG211" s="137">
        <f ca="1">BH211*$BH$14</f>
        <v>0.16426791443850267</v>
      </c>
      <c r="BH211" s="137">
        <f ca="1">(((BJ211+BK211+BM211+BN211)/4)*$BM$11)+(((BP211+BQ211)/2)*$BQ$11)+(((BU211+BV211+BW211)/3)*$BU$11)+(((BY211+BZ211+CA211+CB211+CC211)/5)*$CA$11)</f>
        <v>0.16426791443850267</v>
      </c>
      <c r="BI211" s="4"/>
      <c r="BJ211" s="33">
        <f>AP211/(AM211+AO211)</f>
        <v>0</v>
      </c>
      <c r="BK211" s="33">
        <f>(AN211+AO211)/(AM211+AO211)</f>
        <v>0</v>
      </c>
      <c r="BL211" s="4"/>
      <c r="BM211" s="127">
        <f>CF211/102</f>
        <v>6.3725490196078427E-2</v>
      </c>
      <c r="BN211" s="127">
        <f>C211/2</f>
        <v>0.5</v>
      </c>
      <c r="BO211" s="4"/>
      <c r="BP211" s="127">
        <f>(AK211)/($AW$6)</f>
        <v>5.0505050505050504E-2</v>
      </c>
      <c r="BQ211" s="127">
        <f ca="1">(CH211-$AW$4)/((YEAR($C$13))-$AW$4)</f>
        <v>0</v>
      </c>
      <c r="BR211" s="127">
        <f>(AL211)/($AW$6)</f>
        <v>5.0505050505050504E-2</v>
      </c>
      <c r="BS211" s="4"/>
      <c r="BT211" s="127"/>
      <c r="BU211" s="127">
        <f ca="1">(CG211-$AW$4)/((YEAR($C$13))-$AW$4)</f>
        <v>0</v>
      </c>
      <c r="BV211" s="127">
        <f>AE211/5</f>
        <v>1</v>
      </c>
      <c r="BW211" s="127">
        <f>AF211/5</f>
        <v>1</v>
      </c>
      <c r="BX211" s="4"/>
      <c r="BY211" s="148" t="str">
        <f>IF(E211="A",".98",IF(E211="B",".99",IF(E211="C","1.00",IF(E211="D","1.00" ))))</f>
        <v>.98</v>
      </c>
      <c r="BZ211" s="127">
        <f>(CE211+7)/10</f>
        <v>0.8</v>
      </c>
      <c r="CA211" s="76" t="str">
        <f>IF(D211="Fern",".97",IF(D211="Grass",".99",IF(D211="Herb",".97",IF(D211="Shrub",".99",IF(D211="Tree","1.00",IF(D211="Vine",".98"))))))</f>
        <v>.97</v>
      </c>
      <c r="CB211" s="149" t="str">
        <f>IF(R211="Bogs Ponds Streams",".96", IF(R211="Coastal Areas",".97",IF(R211="Meadows Dry Open",".96",IF(R211="Forest &amp; Understory",".97",IF(R211="Moist Open",".98",IF(R211="Moist Shady",".96",IF(R211="Sub-Alpine","1.0")))))))</f>
        <v>.96</v>
      </c>
      <c r="CC211" s="76" t="str">
        <f>IF(S211="Local Endemic",".50",IF(S211="Regional Endemic",".70",IF(S211="Cascadia",".90",IF(S211="Rocky Mountain",".95",IF(S211="North America",".99")))))</f>
        <v>.99</v>
      </c>
      <c r="CD211" s="4"/>
      <c r="CE211" s="21">
        <f>IF(W211&gt;3,3,W211)</f>
        <v>1</v>
      </c>
      <c r="CF211" s="21">
        <f>IF(AC211&gt;102,102,AC211)</f>
        <v>6.5</v>
      </c>
      <c r="CG211" s="34">
        <f>IF(AI211&lt;$AW$4,$AW$4,AI211)</f>
        <v>2004</v>
      </c>
      <c r="CH211" s="34">
        <f>IF(AJ211&lt;$AW$4,$AW$4,AJ211)</f>
        <v>2004</v>
      </c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13"/>
    </row>
    <row r="212" spans="1:115" ht="15" customHeight="1" x14ac:dyDescent="0.3">
      <c r="A212" s="235"/>
      <c r="B212" s="218"/>
      <c r="C212" s="226">
        <v>2</v>
      </c>
      <c r="D212" s="104" t="s">
        <v>2505</v>
      </c>
      <c r="E212" s="104" t="s">
        <v>2501</v>
      </c>
      <c r="F212" s="400" t="str">
        <f ca="1">IF(BC212&lt;2025, "Extinct&lt; 6Yrs?",BA212)</f>
        <v>Widespread</v>
      </c>
      <c r="G212" s="369" t="s">
        <v>525</v>
      </c>
      <c r="H212" s="369" t="s">
        <v>4028</v>
      </c>
      <c r="I212" s="372" t="s">
        <v>204</v>
      </c>
      <c r="J212" s="371" t="s">
        <v>3806</v>
      </c>
      <c r="K212" s="371" t="s">
        <v>907</v>
      </c>
      <c r="L212" s="106" t="s">
        <v>1990</v>
      </c>
      <c r="M212" s="111" t="s">
        <v>4291</v>
      </c>
      <c r="N212" s="111" t="s">
        <v>5185</v>
      </c>
      <c r="O212" s="111" t="s">
        <v>6083</v>
      </c>
      <c r="P212" s="105" t="s">
        <v>198</v>
      </c>
      <c r="Q212" s="104" t="s">
        <v>2552</v>
      </c>
      <c r="R212" s="105" t="s">
        <v>2530</v>
      </c>
      <c r="S212" s="105" t="s">
        <v>2479</v>
      </c>
      <c r="T212" s="133" t="str">
        <f>IF(R212="Bogs Ponds Streams","20",IF(R212="Coastal Areas","26",IF(R212="Meadows Dry Open","10",IF(R212="Forest &amp; Understory","14",IF(R212="Moist Open","12",IF(R212="Moist Shady","10",IF(R212="Sub-Alpine Slopes","0")))))))</f>
        <v>14</v>
      </c>
      <c r="U212" s="133" t="str">
        <f>IF(R212="Bogs Ponds Streams","52",IF(R212="Coastal Areas","51",IF(R212="Meadows Dry Open","53",IF(R212="Forest &amp; Understory","52",IF(R212="Moist Open","50",IF(R212="Moist Shady","46",IF(R212="Sub-Alpine Slopes","40")))))))</f>
        <v>52</v>
      </c>
      <c r="V212" s="133" t="str">
        <f>IF(R212="Bogs Ponds Streams","84",IF(R212="Coastal Areas","76",IF(R212="Meadows Dry Open","96", IF(R212="Forest &amp; Understory","90", IF(R212="Moist Open","88", IF(R212="Moist Shady","82", IF(R212="Sub-Alpine Slopes","80")))))))</f>
        <v>90</v>
      </c>
      <c r="W212" s="104">
        <v>20</v>
      </c>
      <c r="X212" s="104">
        <v>0</v>
      </c>
      <c r="Y212" s="104">
        <v>3500</v>
      </c>
      <c r="Z212" s="104" t="s">
        <v>2519</v>
      </c>
      <c r="AA212" s="104" t="s">
        <v>2518</v>
      </c>
      <c r="AB212" s="104">
        <v>6.8</v>
      </c>
      <c r="AC212" s="107">
        <f>C212+AK212+(0.1)*AL212</f>
        <v>23.1</v>
      </c>
      <c r="AD212" s="113">
        <v>66</v>
      </c>
      <c r="AE212" s="104">
        <v>5</v>
      </c>
      <c r="AF212" s="104">
        <v>5</v>
      </c>
      <c r="AG212" s="104">
        <v>1900</v>
      </c>
      <c r="AH212" s="113">
        <v>0</v>
      </c>
      <c r="AI212" s="104">
        <f>AJ212</f>
        <v>2004</v>
      </c>
      <c r="AJ212" s="108">
        <v>2004</v>
      </c>
      <c r="AK212" s="108">
        <v>20</v>
      </c>
      <c r="AL212" s="108">
        <v>11</v>
      </c>
      <c r="AM212" s="109">
        <v>5</v>
      </c>
      <c r="AN212" s="109">
        <v>1</v>
      </c>
      <c r="AO212" s="110">
        <v>0</v>
      </c>
      <c r="AP212" s="109">
        <v>0</v>
      </c>
      <c r="AQ212" s="109">
        <v>0</v>
      </c>
      <c r="AR212" s="109">
        <v>0</v>
      </c>
      <c r="AS212" s="110">
        <v>0</v>
      </c>
      <c r="AT212" s="109">
        <v>0</v>
      </c>
      <c r="AU212" s="109">
        <v>0</v>
      </c>
      <c r="AV212" s="109">
        <v>0</v>
      </c>
      <c r="AW212" s="110">
        <v>0</v>
      </c>
      <c r="AX212" s="109">
        <v>0</v>
      </c>
      <c r="AY212" s="233"/>
      <c r="AZ212" s="4"/>
      <c r="BA212" s="35" t="str">
        <f>IF(OR(S212="North America",S212="Rocky Mountain"), "Widespread",BC212)</f>
        <v>Widespread</v>
      </c>
      <c r="BB212" s="4"/>
      <c r="BC212" s="35">
        <f ca="1">IF(BE212&gt;2046, "Abundant",BE212)</f>
        <v>2044.3733561497327</v>
      </c>
      <c r="BD212" s="4"/>
      <c r="BE212" s="81">
        <f ca="1">YEAR($C$13)+(BG212*80)</f>
        <v>2044.3733561497327</v>
      </c>
      <c r="BF212" s="4"/>
      <c r="BG212" s="137">
        <f ca="1">BH212*$BH$14</f>
        <v>0.31716695187165778</v>
      </c>
      <c r="BH212" s="137">
        <f ca="1">(((BJ212+BK212+BM212+BN212)/4)*$BM$11)+(((BP212+BQ212)/2)*$BQ$11)+(((BU212+BV212+BW212)/3)*$BU$11)+(((BY212+BZ212+CA212+CB212+CC212)/5)*$CA$11)</f>
        <v>0.31716695187165778</v>
      </c>
      <c r="BI212" s="4"/>
      <c r="BJ212" s="33">
        <f>AP212/(AM212+AO212)</f>
        <v>0</v>
      </c>
      <c r="BK212" s="33">
        <f>(AN212+AO212)/(AM212+AO212)</f>
        <v>0.2</v>
      </c>
      <c r="BL212" s="4"/>
      <c r="BM212" s="127">
        <f>CF212/102</f>
        <v>0.22647058823529412</v>
      </c>
      <c r="BN212" s="127">
        <f>C212/2</f>
        <v>1</v>
      </c>
      <c r="BO212" s="4"/>
      <c r="BP212" s="127">
        <f>(AK212)/($AW$6)</f>
        <v>0.20202020202020202</v>
      </c>
      <c r="BQ212" s="127">
        <f ca="1">(CH212-$AW$4)/((YEAR($C$13))-$AW$4)</f>
        <v>0</v>
      </c>
      <c r="BR212" s="127">
        <f>(AL212)/($AW$6)</f>
        <v>0.1111111111111111</v>
      </c>
      <c r="BS212" s="4"/>
      <c r="BT212" s="127"/>
      <c r="BU212" s="127">
        <f ca="1">(CG212-$AW$4)/((YEAR($C$13))-$AW$4)</f>
        <v>0</v>
      </c>
      <c r="BV212" s="127">
        <f>AE212/5</f>
        <v>1</v>
      </c>
      <c r="BW212" s="127">
        <f>AF212/5</f>
        <v>1</v>
      </c>
      <c r="BX212" s="4"/>
      <c r="BY212" s="148" t="str">
        <f>IF(E212="A",".98",IF(E212="B",".99",IF(E212="C","1.00",IF(E212="D","1.00" ))))</f>
        <v>1.00</v>
      </c>
      <c r="BZ212" s="127">
        <f>(CE212+7)/10</f>
        <v>1</v>
      </c>
      <c r="CA212" s="76" t="str">
        <f>IF(D212="Fern",".97",IF(D212="Grass",".99",IF(D212="Herb",".97",IF(D212="Shrub",".99",IF(D212="Tree","1.00",IF(D212="Vine",".98"))))))</f>
        <v>.97</v>
      </c>
      <c r="CB212" s="149" t="str">
        <f>IF(R212="Bogs Ponds Streams",".96", IF(R212="Coastal Areas",".97",IF(R212="Meadows Dry Open",".96",IF(R212="Forest &amp; Understory",".97",IF(R212="Moist Open",".98",IF(R212="Moist Shady",".96",IF(R212="Sub-Alpine","1.0")))))))</f>
        <v>.97</v>
      </c>
      <c r="CC212" s="76" t="str">
        <f>IF(S212="Local Endemic",".50",IF(S212="Regional Endemic",".70",IF(S212="Cascadia",".90",IF(S212="Rocky Mountain",".95",IF(S212="North America",".99")))))</f>
        <v>.95</v>
      </c>
      <c r="CD212" s="4"/>
      <c r="CE212" s="21">
        <f>IF(W212&gt;3,3,W212)</f>
        <v>3</v>
      </c>
      <c r="CF212" s="21">
        <f>IF(AC212&gt;102,102,AC212)</f>
        <v>23.1</v>
      </c>
      <c r="CG212" s="34">
        <f>IF(AI212&lt;$AW$4,$AW$4,AI212)</f>
        <v>2004</v>
      </c>
      <c r="CH212" s="34">
        <f>IF(AJ212&lt;$AW$4,$AW$4,AJ212)</f>
        <v>2004</v>
      </c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</row>
    <row r="213" spans="1:115" ht="15" customHeight="1" x14ac:dyDescent="0.3">
      <c r="A213" s="235"/>
      <c r="B213" s="218"/>
      <c r="C213" s="225">
        <v>8</v>
      </c>
      <c r="D213" s="59" t="s">
        <v>2505</v>
      </c>
      <c r="E213" s="59" t="s">
        <v>2501</v>
      </c>
      <c r="F213" s="397" t="str">
        <f ca="1">IF(BC213&lt;2025, "Extinct&lt; 6Yrs?",BA213)</f>
        <v>Widespread</v>
      </c>
      <c r="G213" s="363" t="s">
        <v>525</v>
      </c>
      <c r="H213" s="363" t="s">
        <v>688</v>
      </c>
      <c r="I213" s="364" t="s">
        <v>205</v>
      </c>
      <c r="J213" s="365" t="s">
        <v>3278</v>
      </c>
      <c r="K213" s="365" t="s">
        <v>909</v>
      </c>
      <c r="L213" s="10" t="s">
        <v>1989</v>
      </c>
      <c r="M213" s="8" t="s">
        <v>4292</v>
      </c>
      <c r="N213" s="8" t="s">
        <v>5186</v>
      </c>
      <c r="O213" s="8" t="s">
        <v>6084</v>
      </c>
      <c r="P213" s="9" t="s">
        <v>198</v>
      </c>
      <c r="Q213" s="59" t="s">
        <v>2552</v>
      </c>
      <c r="R213" s="9" t="s">
        <v>2530</v>
      </c>
      <c r="S213" s="9" t="s">
        <v>2495</v>
      </c>
      <c r="T213" s="123" t="str">
        <f>IF(R213="Bogs Ponds Streams","20",IF(R213="Coastal Areas","26",IF(R213="Meadows Dry Open","10",IF(R213="Forest &amp; Understory","14",IF(R213="Moist Open","12",IF(R213="Moist Shady","10",IF(R213="Sub-Alpine Slopes","0")))))))</f>
        <v>14</v>
      </c>
      <c r="U213" s="123" t="str">
        <f>IF(R213="Bogs Ponds Streams","52",IF(R213="Coastal Areas","51",IF(R213="Meadows Dry Open","53",IF(R213="Forest &amp; Understory","52",IF(R213="Moist Open","50",IF(R213="Moist Shady","46",IF(R213="Sub-Alpine Slopes","40")))))))</f>
        <v>52</v>
      </c>
      <c r="V213" s="123" t="str">
        <f>IF(R213="Bogs Ponds Streams","84",IF(R213="Coastal Areas","76",IF(R213="Meadows Dry Open","96", IF(R213="Forest &amp; Understory","90", IF(R213="Moist Open","88", IF(R213="Moist Shady","82", IF(R213="Sub-Alpine Slopes","80")))))))</f>
        <v>90</v>
      </c>
      <c r="W213" s="59">
        <v>20</v>
      </c>
      <c r="X213" s="59">
        <v>0</v>
      </c>
      <c r="Y213" s="59">
        <v>3500</v>
      </c>
      <c r="Z213" s="59" t="s">
        <v>2519</v>
      </c>
      <c r="AA213" s="59" t="s">
        <v>2518</v>
      </c>
      <c r="AB213" s="59">
        <v>6.8</v>
      </c>
      <c r="AC213" s="45">
        <f>C213+AK213+(0.1)*AL213</f>
        <v>29.1</v>
      </c>
      <c r="AD213" s="77">
        <v>152</v>
      </c>
      <c r="AE213" s="59">
        <v>5</v>
      </c>
      <c r="AF213" s="59">
        <v>5</v>
      </c>
      <c r="AG213" s="59">
        <v>1900</v>
      </c>
      <c r="AH213" s="77">
        <v>0</v>
      </c>
      <c r="AI213" s="59">
        <f ca="1">AJ213</f>
        <v>2019</v>
      </c>
      <c r="AJ213" s="18">
        <f ca="1">YEAR(TODAY())</f>
        <v>2019</v>
      </c>
      <c r="AK213" s="18">
        <v>20</v>
      </c>
      <c r="AL213" s="18">
        <v>11</v>
      </c>
      <c r="AM213" s="18">
        <v>1</v>
      </c>
      <c r="AN213" s="18">
        <v>1</v>
      </c>
      <c r="AO213" s="18">
        <v>5</v>
      </c>
      <c r="AP213" s="18">
        <v>1</v>
      </c>
      <c r="AQ213" s="18">
        <v>0</v>
      </c>
      <c r="AR213" s="18">
        <v>0</v>
      </c>
      <c r="AS213" s="18">
        <v>0</v>
      </c>
      <c r="AT213" s="18">
        <v>0</v>
      </c>
      <c r="AU213" s="18">
        <v>0</v>
      </c>
      <c r="AV213" s="18">
        <v>0</v>
      </c>
      <c r="AW213" s="18">
        <v>0</v>
      </c>
      <c r="AX213" s="18">
        <v>0</v>
      </c>
      <c r="AY213" s="233"/>
      <c r="AZ213" s="4"/>
      <c r="BA213" s="35" t="str">
        <f>IF(OR(S213="North America",S213="Rocky Mountain"), "Widespread",BC213)</f>
        <v>Widespread</v>
      </c>
      <c r="BB213" s="4"/>
      <c r="BC213" s="35" t="str">
        <f ca="1">IF(BE213&gt;2046, "Abundant",BE213)</f>
        <v>Abundant</v>
      </c>
      <c r="BD213" s="4"/>
      <c r="BE213" s="81">
        <f ca="1">YEAR($C$13)+(BG213*80)</f>
        <v>2106.825371836007</v>
      </c>
      <c r="BF213" s="4"/>
      <c r="BG213" s="137">
        <f ca="1">BH213*$BH$14</f>
        <v>1.0978171479500891</v>
      </c>
      <c r="BH213" s="137">
        <f ca="1">(((BJ213+BK213+BM213+BN213)/4)*$BM$11)+(((BP213+BQ213)/2)*$BQ$11)+(((BU213+BV213+BW213)/3)*$BU$11)+(((BY213+BZ213+CA213+CB213+CC213)/5)*$CA$11)</f>
        <v>1.0978171479500891</v>
      </c>
      <c r="BI213" s="4"/>
      <c r="BJ213" s="33">
        <f>AP213/(AM213+AO213)</f>
        <v>0.16666666666666666</v>
      </c>
      <c r="BK213" s="33">
        <f>(AN213+AO213)/(AM213+AO213)</f>
        <v>1</v>
      </c>
      <c r="BL213" s="4"/>
      <c r="BM213" s="127">
        <f>CF213/102</f>
        <v>0.28529411764705886</v>
      </c>
      <c r="BN213" s="127">
        <f>C213/2</f>
        <v>4</v>
      </c>
      <c r="BO213" s="4"/>
      <c r="BP213" s="127">
        <f>(AK213)/($AW$6)</f>
        <v>0.20202020202020202</v>
      </c>
      <c r="BQ213" s="127">
        <f ca="1">(CH213-$AW$4)/((YEAR($C$13))-$AW$4)</f>
        <v>1</v>
      </c>
      <c r="BR213" s="127">
        <f>(AL213)/($AW$6)</f>
        <v>0.1111111111111111</v>
      </c>
      <c r="BS213" s="4"/>
      <c r="BT213" s="127"/>
      <c r="BU213" s="127">
        <f ca="1">(CG213-$AW$4)/((YEAR($C$13))-$AW$4)</f>
        <v>1</v>
      </c>
      <c r="BV213" s="127">
        <f>AE213/5</f>
        <v>1</v>
      </c>
      <c r="BW213" s="127">
        <f>AF213/5</f>
        <v>1</v>
      </c>
      <c r="BX213" s="4"/>
      <c r="BY213" s="148" t="str">
        <f>IF(E213="A",".98",IF(E213="B",".99",IF(E213="C","1.00",IF(E213="D","1.00" ))))</f>
        <v>1.00</v>
      </c>
      <c r="BZ213" s="127">
        <f>(CE213+7)/10</f>
        <v>1</v>
      </c>
      <c r="CA213" s="76" t="str">
        <f>IF(D213="Fern",".97",IF(D213="Grass",".99",IF(D213="Herb",".97",IF(D213="Shrub",".99",IF(D213="Tree","1.00",IF(D213="Vine",".98"))))))</f>
        <v>.97</v>
      </c>
      <c r="CB213" s="149" t="str">
        <f>IF(R213="Bogs Ponds Streams",".96", IF(R213="Coastal Areas",".97",IF(R213="Meadows Dry Open",".96",IF(R213="Forest &amp; Understory",".97",IF(R213="Moist Open",".98",IF(R213="Moist Shady",".96",IF(R213="Sub-Alpine","1.0")))))))</f>
        <v>.97</v>
      </c>
      <c r="CC213" s="76" t="str">
        <f>IF(S213="Local Endemic",".50",IF(S213="Regional Endemic",".70",IF(S213="Cascadia",".90",IF(S213="Rocky Mountain",".95",IF(S213="North America",".99")))))</f>
        <v>.99</v>
      </c>
      <c r="CD213" s="4"/>
      <c r="CE213" s="21">
        <f>IF(W213&gt;3,3,W213)</f>
        <v>3</v>
      </c>
      <c r="CF213" s="21">
        <f>IF(AC213&gt;102,102,AC213)</f>
        <v>29.1</v>
      </c>
      <c r="CG213" s="34">
        <f ca="1">IF(AI213&lt;$AW$4,$AW$4,AI213)</f>
        <v>2019</v>
      </c>
      <c r="CH213" s="34">
        <f ca="1">IF(AJ213&lt;$AW$4,$AW$4,AJ213)</f>
        <v>2019</v>
      </c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</row>
    <row r="214" spans="1:115" ht="15" customHeight="1" x14ac:dyDescent="0.3">
      <c r="A214" s="235"/>
      <c r="B214" s="218"/>
      <c r="C214" s="225">
        <v>8</v>
      </c>
      <c r="D214" s="59" t="s">
        <v>2506</v>
      </c>
      <c r="E214" s="59" t="s">
        <v>2504</v>
      </c>
      <c r="F214" s="397" t="str">
        <f ca="1">IF(BC214&lt;2025, "Extinct&lt; 6Yrs?",BA214)</f>
        <v>Abundant</v>
      </c>
      <c r="G214" s="363" t="s">
        <v>525</v>
      </c>
      <c r="H214" s="363" t="s">
        <v>687</v>
      </c>
      <c r="I214" s="366" t="s">
        <v>601</v>
      </c>
      <c r="J214" s="365" t="s">
        <v>908</v>
      </c>
      <c r="K214" s="365" t="s">
        <v>908</v>
      </c>
      <c r="L214" s="10" t="s">
        <v>1988</v>
      </c>
      <c r="M214" s="8" t="s">
        <v>4293</v>
      </c>
      <c r="N214" s="8" t="s">
        <v>5187</v>
      </c>
      <c r="O214" s="8" t="s">
        <v>6085</v>
      </c>
      <c r="P214" s="9" t="s">
        <v>602</v>
      </c>
      <c r="Q214" s="59" t="s">
        <v>2552</v>
      </c>
      <c r="R214" s="9" t="s">
        <v>2500</v>
      </c>
      <c r="S214" s="159" t="s">
        <v>2309</v>
      </c>
      <c r="T214" s="123" t="str">
        <f>IF(R214="Bogs Ponds Streams","20",IF(R214="Coastal Areas","26",IF(R214="Meadows Dry Open","10",IF(R214="Forest &amp; Understory","14",IF(R214="Moist Open","12",IF(R214="Moist Shady","10",IF(R214="Sub-Alpine Slopes","0")))))))</f>
        <v>10</v>
      </c>
      <c r="U214" s="123" t="str">
        <f>IF(R214="Bogs Ponds Streams","52",IF(R214="Coastal Areas","51",IF(R214="Meadows Dry Open","53",IF(R214="Forest &amp; Understory","52",IF(R214="Moist Open","50",IF(R214="Moist Shady","46",IF(R214="Sub-Alpine Slopes","40")))))))</f>
        <v>53</v>
      </c>
      <c r="V214" s="123" t="str">
        <f>IF(R214="Bogs Ponds Streams","84",IF(R214="Coastal Areas","76",IF(R214="Meadows Dry Open","96", IF(R214="Forest &amp; Understory","90", IF(R214="Moist Open","88", IF(R214="Moist Shady","82", IF(R214="Sub-Alpine Slopes","80")))))))</f>
        <v>96</v>
      </c>
      <c r="W214" s="59">
        <v>20</v>
      </c>
      <c r="X214" s="59">
        <v>0</v>
      </c>
      <c r="Y214" s="59">
        <v>3500</v>
      </c>
      <c r="Z214" s="59" t="s">
        <v>2519</v>
      </c>
      <c r="AA214" s="59" t="s">
        <v>2518</v>
      </c>
      <c r="AB214" s="59">
        <v>6.8</v>
      </c>
      <c r="AC214" s="45">
        <f>C214+AK214+(0.1)*AL214</f>
        <v>13.1</v>
      </c>
      <c r="AD214" s="77">
        <v>36</v>
      </c>
      <c r="AE214" s="60">
        <v>3</v>
      </c>
      <c r="AF214" s="60">
        <v>5</v>
      </c>
      <c r="AG214" s="77">
        <v>1951</v>
      </c>
      <c r="AH214" s="77">
        <v>0</v>
      </c>
      <c r="AI214" s="77">
        <v>2012</v>
      </c>
      <c r="AJ214" s="18">
        <f ca="1">YEAR(TODAY())</f>
        <v>2019</v>
      </c>
      <c r="AK214" s="18">
        <v>5</v>
      </c>
      <c r="AL214" s="18">
        <v>1</v>
      </c>
      <c r="AM214" s="18">
        <v>1</v>
      </c>
      <c r="AN214" s="18">
        <v>1</v>
      </c>
      <c r="AO214" s="18">
        <v>5</v>
      </c>
      <c r="AP214" s="18">
        <v>1</v>
      </c>
      <c r="AQ214" s="18">
        <v>0</v>
      </c>
      <c r="AR214" s="18">
        <v>0</v>
      </c>
      <c r="AS214" s="18">
        <v>0</v>
      </c>
      <c r="AT214" s="18">
        <v>0</v>
      </c>
      <c r="AU214" s="18">
        <v>0</v>
      </c>
      <c r="AV214" s="18">
        <v>0</v>
      </c>
      <c r="AW214" s="18">
        <v>0</v>
      </c>
      <c r="AX214" s="18">
        <v>0</v>
      </c>
      <c r="AY214" s="233"/>
      <c r="AZ214" s="4"/>
      <c r="BA214" s="35" t="str">
        <f ca="1">IF(OR(S214="North America",S214="Rocky Mountain"), "Widespread",BC214)</f>
        <v>Abundant</v>
      </c>
      <c r="BB214" s="4"/>
      <c r="BC214" s="35" t="str">
        <f ca="1">IF(BE214&gt;2046, "Abundant",BE214)</f>
        <v>Abundant</v>
      </c>
      <c r="BD214" s="4"/>
      <c r="BE214" s="81">
        <f ca="1">YEAR($C$13)+(BG214*80)</f>
        <v>2101.1863481877599</v>
      </c>
      <c r="BF214" s="4"/>
      <c r="BG214" s="137">
        <f ca="1">BH214*$BH$14</f>
        <v>1.0273293523469993</v>
      </c>
      <c r="BH214" s="137">
        <f ca="1">(((BJ214+BK214+BM214+BN214)/4)*$BM$11)+(((BP214+BQ214)/2)*$BQ$11)+(((BU214+BV214+BW214)/3)*$BU$11)+(((BY214+BZ214+CA214+CB214+CC214)/5)*$CA$11)</f>
        <v>1.0273293523469993</v>
      </c>
      <c r="BI214" s="4"/>
      <c r="BJ214" s="33">
        <f>AP214/(AM214+AO214)</f>
        <v>0.16666666666666666</v>
      </c>
      <c r="BK214" s="33">
        <f>(AN214+AO214)/(AM214+AO214)</f>
        <v>1</v>
      </c>
      <c r="BL214" s="4"/>
      <c r="BM214" s="127">
        <f>CF214/102</f>
        <v>0.1284313725490196</v>
      </c>
      <c r="BN214" s="127">
        <f>C214/2</f>
        <v>4</v>
      </c>
      <c r="BO214" s="4"/>
      <c r="BP214" s="127">
        <f>(AK214)/($AW$6)</f>
        <v>5.0505050505050504E-2</v>
      </c>
      <c r="BQ214" s="127">
        <f ca="1">(CH214-$AW$4)/((YEAR($C$13))-$AW$4)</f>
        <v>1</v>
      </c>
      <c r="BR214" s="127">
        <f>(AL214)/($AW$6)</f>
        <v>1.0101010101010102E-2</v>
      </c>
      <c r="BS214" s="4"/>
      <c r="BT214" s="127"/>
      <c r="BU214" s="127">
        <f ca="1">(CG214-$AW$4)/((YEAR($C$13))-$AW$4)</f>
        <v>0.53333333333333333</v>
      </c>
      <c r="BV214" s="127">
        <f>AE214/5</f>
        <v>0.6</v>
      </c>
      <c r="BW214" s="127">
        <f>AF214/5</f>
        <v>1</v>
      </c>
      <c r="BX214" s="4"/>
      <c r="BY214" s="148" t="str">
        <f>IF(E214="A",".98",IF(E214="B",".99",IF(E214="C","1.00",IF(E214="D","1.00" ))))</f>
        <v>1.00</v>
      </c>
      <c r="BZ214" s="127">
        <f>(CE214+7)/10</f>
        <v>1</v>
      </c>
      <c r="CA214" s="76" t="str">
        <f>IF(D214="Fern",".97",IF(D214="Grass",".99",IF(D214="Herb",".97",IF(D214="Shrub",".99",IF(D214="Tree","1.00",IF(D214="Vine",".98"))))))</f>
        <v>.99</v>
      </c>
      <c r="CB214" s="149" t="str">
        <f>IF(R214="Bogs Ponds Streams",".96", IF(R214="Coastal Areas",".97",IF(R214="Meadows Dry Open",".96",IF(R214="Forest &amp; Understory",".97",IF(R214="Moist Open",".98",IF(R214="Moist Shady",".96",IF(R214="Sub-Alpine","1.0")))))))</f>
        <v>.96</v>
      </c>
      <c r="CC214" s="76" t="str">
        <f>IF(S214="Local Endemic",".50",IF(S214="Regional Endemic",".70",IF(S214="Cascadia",".90",IF(S214="Rocky Mountain",".95",IF(S214="North America",".99")))))</f>
        <v>.70</v>
      </c>
      <c r="CD214" s="4"/>
      <c r="CE214" s="21">
        <f>IF(W214&gt;3,3,W214)</f>
        <v>3</v>
      </c>
      <c r="CF214" s="21">
        <f>IF(AC214&gt;102,102,AC214)</f>
        <v>13.1</v>
      </c>
      <c r="CG214" s="34">
        <f>IF(AI214&lt;$AW$4,$AW$4,AI214)</f>
        <v>2012</v>
      </c>
      <c r="CH214" s="34">
        <f ca="1">IF(AJ214&lt;$AW$4,$AW$4,AJ214)</f>
        <v>2019</v>
      </c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</row>
    <row r="215" spans="1:115" ht="15" customHeight="1" x14ac:dyDescent="0.3">
      <c r="A215" s="235"/>
      <c r="B215" s="218"/>
      <c r="C215" s="375">
        <v>1</v>
      </c>
      <c r="D215" s="67" t="s">
        <v>2505</v>
      </c>
      <c r="E215" s="67" t="s">
        <v>2501</v>
      </c>
      <c r="F215" s="403">
        <f ca="1">IF(BC215&lt;2025, "Extinct&lt; 6Yrs?",BA215)</f>
        <v>2041.0311424836602</v>
      </c>
      <c r="G215" s="376" t="s">
        <v>525</v>
      </c>
      <c r="H215" s="376" t="s">
        <v>4028</v>
      </c>
      <c r="I215" s="380" t="s">
        <v>3047</v>
      </c>
      <c r="J215" s="378" t="s">
        <v>3638</v>
      </c>
      <c r="K215" s="378" t="s">
        <v>910</v>
      </c>
      <c r="L215" s="63" t="s">
        <v>1987</v>
      </c>
      <c r="M215" s="64" t="s">
        <v>4294</v>
      </c>
      <c r="N215" s="64" t="s">
        <v>5188</v>
      </c>
      <c r="O215" s="64" t="s">
        <v>6086</v>
      </c>
      <c r="P215" s="61" t="s">
        <v>361</v>
      </c>
      <c r="Q215" s="67" t="s">
        <v>2552</v>
      </c>
      <c r="R215" s="61" t="s">
        <v>2500</v>
      </c>
      <c r="S215" s="61" t="s">
        <v>2309</v>
      </c>
      <c r="T215" s="134" t="str">
        <f>IF(R215="Bogs Ponds Streams","20",IF(R215="Coastal Areas","26",IF(R215="Meadows Dry Open","10",IF(R215="Forest &amp; Understory","14",IF(R215="Moist Open","12",IF(R215="Moist Shady","10",IF(R215="Sub-Alpine Slopes","0")))))))</f>
        <v>10</v>
      </c>
      <c r="U215" s="134" t="str">
        <f>IF(R215="Bogs Ponds Streams","52",IF(R215="Coastal Areas","51",IF(R215="Meadows Dry Open","53",IF(R215="Forest &amp; Understory","52",IF(R215="Moist Open","50",IF(R215="Moist Shady","46",IF(R215="Sub-Alpine Slopes","40")))))))</f>
        <v>53</v>
      </c>
      <c r="V215" s="134" t="str">
        <f>IF(R215="Bogs Ponds Streams","84",IF(R215="Coastal Areas","76",IF(R215="Meadows Dry Open","96", IF(R215="Forest &amp; Understory","90", IF(R215="Moist Open","88", IF(R215="Moist Shady","82", IF(R215="Sub-Alpine Slopes","80")))))))</f>
        <v>96</v>
      </c>
      <c r="W215" s="67">
        <v>20</v>
      </c>
      <c r="X215" s="67">
        <v>0</v>
      </c>
      <c r="Y215" s="67">
        <v>3500</v>
      </c>
      <c r="Z215" s="67" t="s">
        <v>2519</v>
      </c>
      <c r="AA215" s="67" t="s">
        <v>2518</v>
      </c>
      <c r="AB215" s="67">
        <v>6.8</v>
      </c>
      <c r="AC215" s="85">
        <f>C215+AK215+(0.1)*AL215</f>
        <v>12</v>
      </c>
      <c r="AD215" s="78">
        <v>14</v>
      </c>
      <c r="AE215" s="67">
        <v>5</v>
      </c>
      <c r="AF215" s="67">
        <v>5</v>
      </c>
      <c r="AG215" s="67">
        <v>1900</v>
      </c>
      <c r="AH215" s="78">
        <v>0</v>
      </c>
      <c r="AI215" s="67">
        <f>AJ215</f>
        <v>2012</v>
      </c>
      <c r="AJ215" s="69">
        <v>2012</v>
      </c>
      <c r="AK215" s="69">
        <v>11</v>
      </c>
      <c r="AL215" s="69">
        <v>0</v>
      </c>
      <c r="AM215" s="70">
        <v>5</v>
      </c>
      <c r="AN215" s="70">
        <v>0</v>
      </c>
      <c r="AO215" s="86">
        <v>0</v>
      </c>
      <c r="AP215" s="70">
        <v>0</v>
      </c>
      <c r="AQ215" s="70">
        <v>0</v>
      </c>
      <c r="AR215" s="70">
        <v>0</v>
      </c>
      <c r="AS215" s="86">
        <v>0</v>
      </c>
      <c r="AT215" s="70">
        <v>0</v>
      </c>
      <c r="AU215" s="70">
        <v>0</v>
      </c>
      <c r="AV215" s="70">
        <v>0</v>
      </c>
      <c r="AW215" s="86">
        <v>0</v>
      </c>
      <c r="AX215" s="70">
        <v>0</v>
      </c>
      <c r="AY215" s="233"/>
      <c r="AZ215" s="4"/>
      <c r="BA215" s="35">
        <f ca="1">IF(OR(S215="North America",S215="Rocky Mountain"), "Widespread",BC215)</f>
        <v>2041.0311424836602</v>
      </c>
      <c r="BB215" s="4"/>
      <c r="BC215" s="35">
        <f ca="1">IF(BE215&gt;2046, "Abundant",BE215)</f>
        <v>2041.0311424836602</v>
      </c>
      <c r="BD215" s="4"/>
      <c r="BE215" s="81">
        <f ca="1">YEAR($C$13)+(BG215*80)</f>
        <v>2041.0311424836602</v>
      </c>
      <c r="BF215" s="4"/>
      <c r="BG215" s="137">
        <f ca="1">BH215*$BH$14</f>
        <v>0.27538928104575161</v>
      </c>
      <c r="BH215" s="137">
        <f ca="1">(((BJ215+BK215+BM215+BN215)/4)*$BM$11)+(((BP215+BQ215)/2)*$BQ$11)+(((BU215+BV215+BW215)/3)*$BU$11)+(((BY215+BZ215+CA215+CB215+CC215)/5)*$CA$11)</f>
        <v>0.27538928104575161</v>
      </c>
      <c r="BI215" s="4"/>
      <c r="BJ215" s="33">
        <f>AP215/(AM215+AO215)</f>
        <v>0</v>
      </c>
      <c r="BK215" s="33">
        <f>(AN215+AO215)/(AM215+AO215)</f>
        <v>0</v>
      </c>
      <c r="BL215" s="4"/>
      <c r="BM215" s="127">
        <f>CF215/102</f>
        <v>0.11764705882352941</v>
      </c>
      <c r="BN215" s="127">
        <f>C215/2</f>
        <v>0.5</v>
      </c>
      <c r="BO215" s="4"/>
      <c r="BP215" s="127">
        <f>(AK215)/($AW$6)</f>
        <v>0.1111111111111111</v>
      </c>
      <c r="BQ215" s="127">
        <f ca="1">(CH215-$AW$4)/((YEAR($C$13))-$AW$4)</f>
        <v>0.53333333333333333</v>
      </c>
      <c r="BR215" s="127">
        <f>(AL215)/($AW$6)</f>
        <v>0</v>
      </c>
      <c r="BS215" s="4"/>
      <c r="BT215" s="127"/>
      <c r="BU215" s="127">
        <f ca="1">(CG215-$AW$4)/((YEAR($C$13))-$AW$4)</f>
        <v>0.53333333333333333</v>
      </c>
      <c r="BV215" s="127">
        <f>AE215/5</f>
        <v>1</v>
      </c>
      <c r="BW215" s="127">
        <f>AF215/5</f>
        <v>1</v>
      </c>
      <c r="BX215" s="4"/>
      <c r="BY215" s="148" t="str">
        <f>IF(E215="A",".98",IF(E215="B",".99",IF(E215="C","1.00",IF(E215="D","1.00" ))))</f>
        <v>1.00</v>
      </c>
      <c r="BZ215" s="127">
        <f>(CE215+7)/10</f>
        <v>1</v>
      </c>
      <c r="CA215" s="76" t="str">
        <f>IF(D215="Fern",".97",IF(D215="Grass",".99",IF(D215="Herb",".97",IF(D215="Shrub",".99",IF(D215="Tree","1.00",IF(D215="Vine",".98"))))))</f>
        <v>.97</v>
      </c>
      <c r="CB215" s="149" t="str">
        <f>IF(R215="Bogs Ponds Streams",".96", IF(R215="Coastal Areas",".97",IF(R215="Meadows Dry Open",".96",IF(R215="Forest &amp; Understory",".97",IF(R215="Moist Open",".98",IF(R215="Moist Shady",".96",IF(R215="Sub-Alpine","1.0")))))))</f>
        <v>.96</v>
      </c>
      <c r="CC215" s="76" t="str">
        <f>IF(S215="Local Endemic",".50",IF(S215="Regional Endemic",".70",IF(S215="Cascadia",".90",IF(S215="Rocky Mountain",".95",IF(S215="North America",".99")))))</f>
        <v>.70</v>
      </c>
      <c r="CD215" s="4"/>
      <c r="CE215" s="21">
        <f>IF(W215&gt;3,3,W215)</f>
        <v>3</v>
      </c>
      <c r="CF215" s="21">
        <f>IF(AC215&gt;102,102,AC215)</f>
        <v>12</v>
      </c>
      <c r="CG215" s="34">
        <f>IF(AI215&lt;$AW$4,$AW$4,AI215)</f>
        <v>2012</v>
      </c>
      <c r="CH215" s="34">
        <f>IF(AJ215&lt;$AW$4,$AW$4,AJ215)</f>
        <v>2012</v>
      </c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13"/>
    </row>
    <row r="216" spans="1:115" ht="15" customHeight="1" x14ac:dyDescent="0.3">
      <c r="A216" s="235"/>
      <c r="B216" s="218"/>
      <c r="C216" s="226">
        <v>2</v>
      </c>
      <c r="D216" s="104" t="s">
        <v>2505</v>
      </c>
      <c r="E216" s="104" t="s">
        <v>2501</v>
      </c>
      <c r="F216" s="400" t="str">
        <f ca="1">IF(BC216&lt;2025, "Extinct&lt; 6Yrs?",BA216)</f>
        <v>Widespread</v>
      </c>
      <c r="G216" s="369" t="s">
        <v>525</v>
      </c>
      <c r="H216" s="369" t="s">
        <v>4028</v>
      </c>
      <c r="I216" s="371" t="s">
        <v>3149</v>
      </c>
      <c r="J216" s="371" t="s">
        <v>3805</v>
      </c>
      <c r="K216" s="371" t="s">
        <v>4093</v>
      </c>
      <c r="L216" s="114" t="s">
        <v>1986</v>
      </c>
      <c r="M216" s="111" t="s">
        <v>4295</v>
      </c>
      <c r="N216" s="111" t="s">
        <v>5189</v>
      </c>
      <c r="O216" s="111" t="s">
        <v>6087</v>
      </c>
      <c r="P216" s="105" t="s">
        <v>558</v>
      </c>
      <c r="Q216" s="104" t="s">
        <v>2552</v>
      </c>
      <c r="R216" s="162" t="s">
        <v>2498</v>
      </c>
      <c r="S216" s="162" t="s">
        <v>2495</v>
      </c>
      <c r="T216" s="133" t="str">
        <f>IF(R216="Bogs Ponds Streams","20",IF(R216="Coastal Areas","26",IF(R216="Meadows Dry Open","10",IF(R216="Forest &amp; Understory","14",IF(R216="Moist Open","12",IF(R216="Moist Shady","10",IF(R216="Sub-Alpine Slopes","0")))))))</f>
        <v>10</v>
      </c>
      <c r="U216" s="133" t="str">
        <f>IF(R216="Bogs Ponds Streams","52",IF(R216="Coastal Areas","51",IF(R216="Meadows Dry Open","53",IF(R216="Forest &amp; Understory","52",IF(R216="Moist Open","50",IF(R216="Moist Shady","46",IF(R216="Sub-Alpine Slopes","40")))))))</f>
        <v>46</v>
      </c>
      <c r="V216" s="133" t="str">
        <f>IF(R216="Bogs Ponds Streams","84",IF(R216="Coastal Areas","76",IF(R216="Meadows Dry Open","96", IF(R216="Forest &amp; Understory","90", IF(R216="Moist Open","88", IF(R216="Moist Shady","82", IF(R216="Sub-Alpine Slopes","80")))))))</f>
        <v>82</v>
      </c>
      <c r="W216" s="104">
        <v>20</v>
      </c>
      <c r="X216" s="104">
        <v>0</v>
      </c>
      <c r="Y216" s="104">
        <v>3500</v>
      </c>
      <c r="Z216" s="104" t="s">
        <v>2519</v>
      </c>
      <c r="AA216" s="104" t="s">
        <v>2518</v>
      </c>
      <c r="AB216" s="104">
        <v>6.8</v>
      </c>
      <c r="AC216" s="107">
        <f>C216+AK216+(0.1)*AL216</f>
        <v>3.1</v>
      </c>
      <c r="AD216" s="113">
        <v>11</v>
      </c>
      <c r="AE216" s="112">
        <v>3</v>
      </c>
      <c r="AF216" s="112">
        <v>5</v>
      </c>
      <c r="AG216" s="113">
        <v>1969</v>
      </c>
      <c r="AH216" s="113">
        <v>0</v>
      </c>
      <c r="AI216" s="113">
        <v>2015</v>
      </c>
      <c r="AJ216" s="108">
        <f ca="1">YEAR(TODAY())</f>
        <v>2019</v>
      </c>
      <c r="AK216" s="108">
        <v>1</v>
      </c>
      <c r="AL216" s="108">
        <v>1</v>
      </c>
      <c r="AM216" s="108">
        <v>1</v>
      </c>
      <c r="AN216" s="108">
        <v>1</v>
      </c>
      <c r="AO216" s="108">
        <v>5</v>
      </c>
      <c r="AP216" s="108">
        <v>1</v>
      </c>
      <c r="AQ216" s="108">
        <v>0</v>
      </c>
      <c r="AR216" s="108">
        <v>0</v>
      </c>
      <c r="AS216" s="108">
        <v>0</v>
      </c>
      <c r="AT216" s="108">
        <v>0</v>
      </c>
      <c r="AU216" s="108">
        <v>0</v>
      </c>
      <c r="AV216" s="108">
        <v>0</v>
      </c>
      <c r="AW216" s="108">
        <v>0</v>
      </c>
      <c r="AX216" s="108">
        <v>0</v>
      </c>
      <c r="AY216" s="233"/>
      <c r="AZ216" s="4"/>
      <c r="BA216" s="35" t="str">
        <f>IF(OR(S216="North America",S216="Rocky Mountain"), "Widespread",BC216)</f>
        <v>Widespread</v>
      </c>
      <c r="BB216" s="4"/>
      <c r="BC216" s="35" t="str">
        <f ca="1">IF(BE216&gt;2046, "Abundant",BE216)</f>
        <v>Abundant</v>
      </c>
      <c r="BD216" s="4"/>
      <c r="BE216" s="81">
        <f ca="1">YEAR($C$13)+(BG216*80)</f>
        <v>2064.0380957813427</v>
      </c>
      <c r="BF216" s="4"/>
      <c r="BG216" s="137">
        <f ca="1">BH216*$BH$14</f>
        <v>0.56297619726678549</v>
      </c>
      <c r="BH216" s="137">
        <f ca="1">(((BJ216+BK216+BM216+BN216)/4)*$BM$11)+(((BP216+BQ216)/2)*$BQ$11)+(((BU216+BV216+BW216)/3)*$BU$11)+(((BY216+BZ216+CA216+CB216+CC216)/5)*$CA$11)</f>
        <v>0.56297619726678549</v>
      </c>
      <c r="BI216" s="4"/>
      <c r="BJ216" s="33">
        <f>AP216/(AM216+AO216)</f>
        <v>0.16666666666666666</v>
      </c>
      <c r="BK216" s="33">
        <f>(AN216+AO216)/(AM216+AO216)</f>
        <v>1</v>
      </c>
      <c r="BL216" s="4"/>
      <c r="BM216" s="127">
        <f>CF216/102</f>
        <v>3.0392156862745098E-2</v>
      </c>
      <c r="BN216" s="127">
        <f>C216/2</f>
        <v>1</v>
      </c>
      <c r="BO216" s="4"/>
      <c r="BP216" s="127">
        <f>(AK216)/($AW$6)</f>
        <v>1.0101010101010102E-2</v>
      </c>
      <c r="BQ216" s="127">
        <f ca="1">(CH216-$AW$4)/((YEAR($C$13))-$AW$4)</f>
        <v>1</v>
      </c>
      <c r="BR216" s="127">
        <f>(AL216)/($AW$6)</f>
        <v>1.0101010101010102E-2</v>
      </c>
      <c r="BS216" s="4"/>
      <c r="BT216" s="127"/>
      <c r="BU216" s="127">
        <f ca="1">(CG216-$AW$4)/((YEAR($C$13))-$AW$4)</f>
        <v>0.73333333333333328</v>
      </c>
      <c r="BV216" s="127">
        <f>AE216/5</f>
        <v>0.6</v>
      </c>
      <c r="BW216" s="127">
        <f>AF216/5</f>
        <v>1</v>
      </c>
      <c r="BX216" s="4"/>
      <c r="BY216" s="148" t="str">
        <f>IF(E216="A",".98",IF(E216="B",".99",IF(E216="C","1.00",IF(E216="D","1.00" ))))</f>
        <v>1.00</v>
      </c>
      <c r="BZ216" s="127">
        <f>(CE216+7)/10</f>
        <v>1</v>
      </c>
      <c r="CA216" s="76" t="str">
        <f>IF(D216="Fern",".97",IF(D216="Grass",".99",IF(D216="Herb",".97",IF(D216="Shrub",".99",IF(D216="Tree","1.00",IF(D216="Vine",".98"))))))</f>
        <v>.97</v>
      </c>
      <c r="CB216" s="149" t="str">
        <f>IF(R216="Bogs Ponds Streams",".96", IF(R216="Coastal Areas",".97",IF(R216="Meadows Dry Open",".96",IF(R216="Forest &amp; Understory",".97",IF(R216="Moist Open",".98",IF(R216="Moist Shady",".96",IF(R216="Sub-Alpine","1.0")))))))</f>
        <v>.96</v>
      </c>
      <c r="CC216" s="76" t="str">
        <f>IF(S216="Local Endemic",".50",IF(S216="Regional Endemic",".70",IF(S216="Cascadia",".90",IF(S216="Rocky Mountain",".95",IF(S216="North America",".99")))))</f>
        <v>.99</v>
      </c>
      <c r="CD216" s="4"/>
      <c r="CE216" s="21">
        <f>IF(W216&gt;3,3,W216)</f>
        <v>3</v>
      </c>
      <c r="CF216" s="21">
        <f>IF(AC216&gt;102,102,AC216)</f>
        <v>3.1</v>
      </c>
      <c r="CG216" s="34">
        <f>IF(AI216&lt;$AW$4,$AW$4,AI216)</f>
        <v>2015</v>
      </c>
      <c r="CH216" s="34">
        <f ca="1">IF(AJ216&lt;$AW$4,$AW$4,AJ216)</f>
        <v>2019</v>
      </c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13"/>
    </row>
    <row r="217" spans="1:115" ht="15" customHeight="1" x14ac:dyDescent="0.3">
      <c r="A217" s="235"/>
      <c r="B217" s="218"/>
      <c r="C217" s="225">
        <v>8</v>
      </c>
      <c r="D217" s="59" t="s">
        <v>2505</v>
      </c>
      <c r="E217" s="59" t="s">
        <v>2502</v>
      </c>
      <c r="F217" s="397" t="str">
        <f ca="1">IF(BC217&lt;2025, "Extinct&lt; 6Yrs?",BA217)</f>
        <v>Widespread</v>
      </c>
      <c r="G217" s="363" t="s">
        <v>525</v>
      </c>
      <c r="H217" s="363" t="s">
        <v>681</v>
      </c>
      <c r="I217" s="366" t="s">
        <v>3150</v>
      </c>
      <c r="J217" s="365" t="s">
        <v>3279</v>
      </c>
      <c r="K217" s="365" t="s">
        <v>559</v>
      </c>
      <c r="L217" s="10" t="s">
        <v>1985</v>
      </c>
      <c r="M217" s="8" t="s">
        <v>4296</v>
      </c>
      <c r="N217" s="8" t="s">
        <v>5190</v>
      </c>
      <c r="O217" s="8" t="s">
        <v>6088</v>
      </c>
      <c r="P217" s="9" t="s">
        <v>558</v>
      </c>
      <c r="Q217" s="59" t="s">
        <v>2552</v>
      </c>
      <c r="R217" s="9" t="s">
        <v>2499</v>
      </c>
      <c r="S217" s="9" t="s">
        <v>2479</v>
      </c>
      <c r="T217" s="123" t="str">
        <f>IF(R217="Bogs Ponds Streams","20",IF(R217="Coastal Areas","26",IF(R217="Meadows Dry Open","10",IF(R217="Forest &amp; Understory","14",IF(R217="Moist Open","12",IF(R217="Moist Shady","10",IF(R217="Sub-Alpine Slopes","0")))))))</f>
        <v>20</v>
      </c>
      <c r="U217" s="123" t="str">
        <f>IF(R217="Bogs Ponds Streams","52",IF(R217="Coastal Areas","51",IF(R217="Meadows Dry Open","53",IF(R217="Forest &amp; Understory","52",IF(R217="Moist Open","50",IF(R217="Moist Shady","46",IF(R217="Sub-Alpine Slopes","40")))))))</f>
        <v>52</v>
      </c>
      <c r="V217" s="123" t="str">
        <f>IF(R217="Bogs Ponds Streams","84",IF(R217="Coastal Areas","76",IF(R217="Meadows Dry Open","96", IF(R217="Forest &amp; Understory","90", IF(R217="Moist Open","88", IF(R217="Moist Shady","82", IF(R217="Sub-Alpine Slopes","80")))))))</f>
        <v>84</v>
      </c>
      <c r="W217" s="59">
        <v>1</v>
      </c>
      <c r="X217" s="59">
        <v>0</v>
      </c>
      <c r="Y217" s="59">
        <v>3500</v>
      </c>
      <c r="Z217" s="59" t="s">
        <v>2519</v>
      </c>
      <c r="AA217" s="59" t="s">
        <v>2518</v>
      </c>
      <c r="AB217" s="59">
        <v>6.8</v>
      </c>
      <c r="AC217" s="45">
        <f>C217+AK217+(0.1)*AL217</f>
        <v>33.299999999999997</v>
      </c>
      <c r="AD217" s="77">
        <v>90</v>
      </c>
      <c r="AE217" s="59">
        <v>5</v>
      </c>
      <c r="AF217" s="59">
        <v>5</v>
      </c>
      <c r="AG217" s="59">
        <v>1900</v>
      </c>
      <c r="AH217" s="77">
        <v>0</v>
      </c>
      <c r="AI217" s="59">
        <f ca="1">AJ217</f>
        <v>2019</v>
      </c>
      <c r="AJ217" s="18">
        <f ca="1">YEAR(TODAY())</f>
        <v>2019</v>
      </c>
      <c r="AK217" s="18">
        <v>22</v>
      </c>
      <c r="AL217" s="18">
        <v>33</v>
      </c>
      <c r="AM217" s="18">
        <v>1</v>
      </c>
      <c r="AN217" s="18">
        <v>1</v>
      </c>
      <c r="AO217" s="24">
        <v>1</v>
      </c>
      <c r="AP217" s="24">
        <v>0</v>
      </c>
      <c r="AQ217" s="18">
        <v>0</v>
      </c>
      <c r="AR217" s="18">
        <v>0</v>
      </c>
      <c r="AS217" s="18">
        <v>0</v>
      </c>
      <c r="AT217" s="18">
        <v>0</v>
      </c>
      <c r="AU217" s="18">
        <v>0</v>
      </c>
      <c r="AV217" s="18">
        <v>0</v>
      </c>
      <c r="AW217" s="18">
        <v>0</v>
      </c>
      <c r="AX217" s="18">
        <v>0</v>
      </c>
      <c r="AY217" s="233"/>
      <c r="AZ217" s="4"/>
      <c r="BA217" s="35" t="str">
        <f>IF(OR(S217="North America",S217="Rocky Mountain"), "Widespread",BC217)</f>
        <v>Widespread</v>
      </c>
      <c r="BB217" s="4"/>
      <c r="BC217" s="35" t="str">
        <f ca="1">IF(BE217&gt;2046, "Abundant",BE217)</f>
        <v>Abundant</v>
      </c>
      <c r="BD217" s="4"/>
      <c r="BE217" s="81">
        <f ca="1">YEAR($C$13)+(BG217*80)</f>
        <v>2105.4755137254901</v>
      </c>
      <c r="BF217" s="4"/>
      <c r="BG217" s="137">
        <f ca="1">BH217*$BH$14</f>
        <v>1.0809439215686274</v>
      </c>
      <c r="BH217" s="137">
        <f ca="1">(((BJ217+BK217+BM217+BN217)/4)*$BM$11)+(((BP217+BQ217)/2)*$BQ$11)+(((BU217+BV217+BW217)/3)*$BU$11)+(((BY217+BZ217+CA217+CB217+CC217)/5)*$CA$11)</f>
        <v>1.0809439215686274</v>
      </c>
      <c r="BI217" s="4"/>
      <c r="BJ217" s="33">
        <f>AP217/(AM217+AO217)</f>
        <v>0</v>
      </c>
      <c r="BK217" s="33">
        <f>(AN217+AO217)/(AM217+AO217)</f>
        <v>1</v>
      </c>
      <c r="BL217" s="4"/>
      <c r="BM217" s="127">
        <f>CF217/102</f>
        <v>0.32647058823529407</v>
      </c>
      <c r="BN217" s="127">
        <f>C217/2</f>
        <v>4</v>
      </c>
      <c r="BO217" s="4"/>
      <c r="BP217" s="127">
        <f>(AK217)/($AW$6)</f>
        <v>0.22222222222222221</v>
      </c>
      <c r="BQ217" s="127">
        <f ca="1">(CH217-$AW$4)/((YEAR($C$13))-$AW$4)</f>
        <v>1</v>
      </c>
      <c r="BR217" s="127">
        <f>(AL217)/($AW$6)</f>
        <v>0.33333333333333331</v>
      </c>
      <c r="BS217" s="4"/>
      <c r="BT217" s="127"/>
      <c r="BU217" s="127">
        <f ca="1">(CG217-$AW$4)/((YEAR($C$13))-$AW$4)</f>
        <v>1</v>
      </c>
      <c r="BV217" s="127">
        <f>AE217/5</f>
        <v>1</v>
      </c>
      <c r="BW217" s="127">
        <f>AF217/5</f>
        <v>1</v>
      </c>
      <c r="BX217" s="4"/>
      <c r="BY217" s="148" t="str">
        <f>IF(E217="A",".98",IF(E217="B",".99",IF(E217="C","1.00",IF(E217="D","1.00" ))))</f>
        <v>.98</v>
      </c>
      <c r="BZ217" s="127">
        <f>(CE217+7)/10</f>
        <v>0.8</v>
      </c>
      <c r="CA217" s="76" t="str">
        <f>IF(D217="Fern",".97",IF(D217="Grass",".99",IF(D217="Herb",".97",IF(D217="Shrub",".99",IF(D217="Tree","1.00",IF(D217="Vine",".98"))))))</f>
        <v>.97</v>
      </c>
      <c r="CB217" s="149" t="str">
        <f>IF(R217="Bogs Ponds Streams",".96", IF(R217="Coastal Areas",".97",IF(R217="Meadows Dry Open",".96",IF(R217="Forest &amp; Understory",".97",IF(R217="Moist Open",".98",IF(R217="Moist Shady",".96",IF(R217="Sub-Alpine","1.0")))))))</f>
        <v>.96</v>
      </c>
      <c r="CC217" s="76" t="str">
        <f>IF(S217="Local Endemic",".50",IF(S217="Regional Endemic",".70",IF(S217="Cascadia",".90",IF(S217="Rocky Mountain",".95",IF(S217="North America",".99")))))</f>
        <v>.95</v>
      </c>
      <c r="CD217" s="4"/>
      <c r="CE217" s="21">
        <f>IF(W217&gt;3,3,W217)</f>
        <v>1</v>
      </c>
      <c r="CF217" s="21">
        <f>IF(AC217&gt;102,102,AC217)</f>
        <v>33.299999999999997</v>
      </c>
      <c r="CG217" s="34">
        <f ca="1">IF(AI217&lt;$AW$4,$AW$4,AI217)</f>
        <v>2019</v>
      </c>
      <c r="CH217" s="34">
        <f ca="1">IF(AJ217&lt;$AW$4,$AW$4,AJ217)</f>
        <v>2019</v>
      </c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</row>
    <row r="218" spans="1:115" ht="15" customHeight="1" x14ac:dyDescent="0.3">
      <c r="A218" s="235"/>
      <c r="B218" s="218"/>
      <c r="C218" s="375">
        <v>1</v>
      </c>
      <c r="D218" s="95" t="s">
        <v>1155</v>
      </c>
      <c r="E218" s="67" t="s">
        <v>2501</v>
      </c>
      <c r="F218" s="403" t="str">
        <f ca="1">IF(BC218&lt;2025, "Extinct&lt; 6Yrs?",BA218)</f>
        <v>Widespread</v>
      </c>
      <c r="G218" s="376" t="s">
        <v>525</v>
      </c>
      <c r="H218" s="376" t="s">
        <v>4028</v>
      </c>
      <c r="I218" s="380" t="s">
        <v>469</v>
      </c>
      <c r="J218" s="378" t="s">
        <v>3637</v>
      </c>
      <c r="K218" s="378" t="s">
        <v>1233</v>
      </c>
      <c r="L218" s="63" t="s">
        <v>1984</v>
      </c>
      <c r="M218" s="64" t="s">
        <v>4297</v>
      </c>
      <c r="N218" s="64" t="s">
        <v>5191</v>
      </c>
      <c r="O218" s="64" t="s">
        <v>6089</v>
      </c>
      <c r="P218" s="61" t="s">
        <v>468</v>
      </c>
      <c r="Q218" s="67" t="s">
        <v>2552</v>
      </c>
      <c r="R218" s="61" t="s">
        <v>2498</v>
      </c>
      <c r="S218" s="61" t="s">
        <v>2495</v>
      </c>
      <c r="T218" s="134" t="str">
        <f>IF(R218="Bogs Ponds Streams","20",IF(R218="Coastal Areas","26",IF(R218="Meadows Dry Open","10",IF(R218="Forest &amp; Understory","14",IF(R218="Moist Open","12",IF(R218="Moist Shady","10",IF(R218="Sub-Alpine Slopes","0")))))))</f>
        <v>10</v>
      </c>
      <c r="U218" s="134" t="str">
        <f>IF(R218="Bogs Ponds Streams","52",IF(R218="Coastal Areas","51",IF(R218="Meadows Dry Open","53",IF(R218="Forest &amp; Understory","52",IF(R218="Moist Open","50",IF(R218="Moist Shady","46",IF(R218="Sub-Alpine Slopes","40")))))))</f>
        <v>46</v>
      </c>
      <c r="V218" s="134" t="str">
        <f>IF(R218="Bogs Ponds Streams","84",IF(R218="Coastal Areas","76",IF(R218="Meadows Dry Open","96", IF(R218="Forest &amp; Understory","90", IF(R218="Moist Open","88", IF(R218="Moist Shady","82", IF(R218="Sub-Alpine Slopes","80")))))))</f>
        <v>82</v>
      </c>
      <c r="W218" s="67">
        <v>20</v>
      </c>
      <c r="X218" s="67">
        <v>0</v>
      </c>
      <c r="Y218" s="67">
        <v>3500</v>
      </c>
      <c r="Z218" s="67" t="s">
        <v>2519</v>
      </c>
      <c r="AA218" s="67" t="s">
        <v>2518</v>
      </c>
      <c r="AB218" s="67">
        <v>6.8</v>
      </c>
      <c r="AC218" s="85">
        <f>C218+AK218+(0.1)*AL218</f>
        <v>17.100000000000001</v>
      </c>
      <c r="AD218" s="78">
        <v>83</v>
      </c>
      <c r="AE218" s="67">
        <v>5</v>
      </c>
      <c r="AF218" s="67">
        <v>5</v>
      </c>
      <c r="AG218" s="67">
        <v>1900</v>
      </c>
      <c r="AH218" s="78">
        <v>0</v>
      </c>
      <c r="AI218" s="67">
        <f>AJ218</f>
        <v>2004</v>
      </c>
      <c r="AJ218" s="69">
        <v>2004</v>
      </c>
      <c r="AK218" s="69">
        <v>15</v>
      </c>
      <c r="AL218" s="69">
        <v>11</v>
      </c>
      <c r="AM218" s="70">
        <v>5</v>
      </c>
      <c r="AN218" s="70">
        <v>0</v>
      </c>
      <c r="AO218" s="86">
        <v>0</v>
      </c>
      <c r="AP218" s="70">
        <v>0</v>
      </c>
      <c r="AQ218" s="70">
        <v>0</v>
      </c>
      <c r="AR218" s="70">
        <v>0</v>
      </c>
      <c r="AS218" s="86">
        <v>0</v>
      </c>
      <c r="AT218" s="70">
        <v>0</v>
      </c>
      <c r="AU218" s="70">
        <v>0</v>
      </c>
      <c r="AV218" s="70">
        <v>0</v>
      </c>
      <c r="AW218" s="86">
        <v>0</v>
      </c>
      <c r="AX218" s="70">
        <v>0</v>
      </c>
      <c r="AY218" s="233"/>
      <c r="AZ218" s="4"/>
      <c r="BA218" s="35" t="str">
        <f>IF(OR(S218="North America",S218="Rocky Mountain"), "Widespread",BC218)</f>
        <v>Widespread</v>
      </c>
      <c r="BB218" s="4"/>
      <c r="BC218" s="35">
        <f ca="1">IF(BE218&gt;2046, "Abundant",BE218)</f>
        <v>2034.6774131907309</v>
      </c>
      <c r="BD218" s="4"/>
      <c r="BE218" s="81">
        <f ca="1">YEAR($C$13)+(BG218*80)</f>
        <v>2034.6774131907309</v>
      </c>
      <c r="BF218" s="4"/>
      <c r="BG218" s="137">
        <f ca="1">BH218*$BH$14</f>
        <v>0.19596766488413547</v>
      </c>
      <c r="BH218" s="137">
        <f ca="1">(((BJ218+BK218+BM218+BN218)/4)*$BM$11)+(((BP218+BQ218)/2)*$BQ$11)+(((BU218+BV218+BW218)/3)*$BU$11)+(((BY218+BZ218+CA218+CB218+CC218)/5)*$CA$11)</f>
        <v>0.19596766488413547</v>
      </c>
      <c r="BI218" s="4"/>
      <c r="BJ218" s="33">
        <f>AP218/(AM218+AO218)</f>
        <v>0</v>
      </c>
      <c r="BK218" s="33">
        <f>(AN218+AO218)/(AM218+AO218)</f>
        <v>0</v>
      </c>
      <c r="BL218" s="4"/>
      <c r="BM218" s="127">
        <f>CF218/102</f>
        <v>0.16764705882352943</v>
      </c>
      <c r="BN218" s="127">
        <f>C218/2</f>
        <v>0.5</v>
      </c>
      <c r="BO218" s="4"/>
      <c r="BP218" s="127">
        <f>(AK218)/($AW$6)</f>
        <v>0.15151515151515152</v>
      </c>
      <c r="BQ218" s="127">
        <f ca="1">(CH218-$AW$4)/((YEAR($C$13))-$AW$4)</f>
        <v>0</v>
      </c>
      <c r="BR218" s="127">
        <f>(AL218)/($AW$6)</f>
        <v>0.1111111111111111</v>
      </c>
      <c r="BS218" s="4"/>
      <c r="BT218" s="127"/>
      <c r="BU218" s="127">
        <f ca="1">(CG218-$AW$4)/((YEAR($C$13))-$AW$4)</f>
        <v>0</v>
      </c>
      <c r="BV218" s="127">
        <f>AE218/5</f>
        <v>1</v>
      </c>
      <c r="BW218" s="127">
        <f>AF218/5</f>
        <v>1</v>
      </c>
      <c r="BX218" s="4"/>
      <c r="BY218" s="148" t="str">
        <f>IF(E218="A",".98",IF(E218="B",".99",IF(E218="C","1.00",IF(E218="D","1.00" ))))</f>
        <v>1.00</v>
      </c>
      <c r="BZ218" s="127">
        <f>(CE218+7)/10</f>
        <v>1</v>
      </c>
      <c r="CA218" s="76" t="str">
        <f>IF(D218="Fern",".97",IF(D218="Grass",".99",IF(D218="Herb",".97",IF(D218="Shrub",".99",IF(D218="Tree","1.00",IF(D218="Vine",".98"))))))</f>
        <v>.99</v>
      </c>
      <c r="CB218" s="149" t="str">
        <f>IF(R218="Bogs Ponds Streams",".96", IF(R218="Coastal Areas",".97",IF(R218="Meadows Dry Open",".96",IF(R218="Forest &amp; Understory",".97",IF(R218="Moist Open",".98",IF(R218="Moist Shady",".96",IF(R218="Sub-Alpine","1.0")))))))</f>
        <v>.96</v>
      </c>
      <c r="CC218" s="76" t="str">
        <f>IF(S218="Local Endemic",".50",IF(S218="Regional Endemic",".70",IF(S218="Cascadia",".90",IF(S218="Rocky Mountain",".95",IF(S218="North America",".99")))))</f>
        <v>.99</v>
      </c>
      <c r="CD218" s="4"/>
      <c r="CE218" s="21">
        <f>IF(W218&gt;3,3,W218)</f>
        <v>3</v>
      </c>
      <c r="CF218" s="21">
        <f>IF(AC218&gt;102,102,AC218)</f>
        <v>17.100000000000001</v>
      </c>
      <c r="CG218" s="34">
        <f>IF(AI218&lt;$AW$4,$AW$4,AI218)</f>
        <v>2004</v>
      </c>
      <c r="CH218" s="34">
        <f>IF(AJ218&lt;$AW$4,$AW$4,AJ218)</f>
        <v>2004</v>
      </c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13"/>
    </row>
    <row r="219" spans="1:115" ht="15" customHeight="1" x14ac:dyDescent="0.3">
      <c r="A219" s="235"/>
      <c r="B219" s="218"/>
      <c r="C219" s="226">
        <v>2</v>
      </c>
      <c r="D219" s="104" t="s">
        <v>2505</v>
      </c>
      <c r="E219" s="104" t="s">
        <v>2501</v>
      </c>
      <c r="F219" s="400" t="str">
        <f ca="1">IF(BC219&lt;2025, "Extinct&lt; 6Yrs?",BA219)</f>
        <v>Widespread</v>
      </c>
      <c r="G219" s="369" t="s">
        <v>525</v>
      </c>
      <c r="H219" s="369" t="s">
        <v>4028</v>
      </c>
      <c r="I219" s="370" t="s">
        <v>661</v>
      </c>
      <c r="J219" s="371" t="s">
        <v>4062</v>
      </c>
      <c r="K219" s="371" t="s">
        <v>26</v>
      </c>
      <c r="L219" s="106" t="s">
        <v>1983</v>
      </c>
      <c r="M219" s="111" t="s">
        <v>4298</v>
      </c>
      <c r="N219" s="111" t="s">
        <v>5192</v>
      </c>
      <c r="O219" s="111" t="s">
        <v>6090</v>
      </c>
      <c r="P219" s="105" t="s">
        <v>660</v>
      </c>
      <c r="Q219" s="104" t="s">
        <v>2552</v>
      </c>
      <c r="R219" s="105" t="s">
        <v>2500</v>
      </c>
      <c r="S219" s="105" t="s">
        <v>2495</v>
      </c>
      <c r="T219" s="133" t="str">
        <f>IF(R219="Bogs Ponds Streams","20",IF(R219="Coastal Areas","26",IF(R219="Meadows Dry Open","10",IF(R219="Forest &amp; Understory","14",IF(R219="Moist Open","12",IF(R219="Moist Shady","10",IF(R219="Sub-Alpine Slopes","0")))))))</f>
        <v>10</v>
      </c>
      <c r="U219" s="133" t="str">
        <f>IF(R219="Bogs Ponds Streams","52",IF(R219="Coastal Areas","51",IF(R219="Meadows Dry Open","53",IF(R219="Forest &amp; Understory","52",IF(R219="Moist Open","50",IF(R219="Moist Shady","46",IF(R219="Sub-Alpine Slopes","40")))))))</f>
        <v>53</v>
      </c>
      <c r="V219" s="133" t="str">
        <f>IF(R219="Bogs Ponds Streams","84",IF(R219="Coastal Areas","76",IF(R219="Meadows Dry Open","96", IF(R219="Forest &amp; Understory","90", IF(R219="Moist Open","88", IF(R219="Moist Shady","82", IF(R219="Sub-Alpine Slopes","80")))))))</f>
        <v>96</v>
      </c>
      <c r="W219" s="104">
        <v>20</v>
      </c>
      <c r="X219" s="104">
        <v>0</v>
      </c>
      <c r="Y219" s="104">
        <v>3500</v>
      </c>
      <c r="Z219" s="104" t="s">
        <v>2519</v>
      </c>
      <c r="AA219" s="104" t="s">
        <v>2518</v>
      </c>
      <c r="AB219" s="104">
        <v>6.8</v>
      </c>
      <c r="AC219" s="107">
        <f>C219+AK219+(0.1)*AL219</f>
        <v>37.200000000000003</v>
      </c>
      <c r="AD219" s="113">
        <v>177</v>
      </c>
      <c r="AE219" s="104">
        <v>5</v>
      </c>
      <c r="AF219" s="104">
        <v>5</v>
      </c>
      <c r="AG219" s="104">
        <v>1900</v>
      </c>
      <c r="AH219" s="113">
        <v>0</v>
      </c>
      <c r="AI219" s="104">
        <f>AJ219</f>
        <v>2004</v>
      </c>
      <c r="AJ219" s="108">
        <v>2004</v>
      </c>
      <c r="AK219" s="108">
        <v>33</v>
      </c>
      <c r="AL219" s="108">
        <v>22</v>
      </c>
      <c r="AM219" s="109">
        <v>5</v>
      </c>
      <c r="AN219" s="109">
        <v>1</v>
      </c>
      <c r="AO219" s="110">
        <v>0</v>
      </c>
      <c r="AP219" s="109">
        <v>0</v>
      </c>
      <c r="AQ219" s="109">
        <v>0</v>
      </c>
      <c r="AR219" s="109">
        <v>0</v>
      </c>
      <c r="AS219" s="110">
        <v>0</v>
      </c>
      <c r="AT219" s="109">
        <v>0</v>
      </c>
      <c r="AU219" s="109">
        <v>0</v>
      </c>
      <c r="AV219" s="109">
        <v>0</v>
      </c>
      <c r="AW219" s="110">
        <v>0</v>
      </c>
      <c r="AX219" s="109">
        <v>0</v>
      </c>
      <c r="AY219" s="233"/>
      <c r="AZ219" s="4"/>
      <c r="BA219" s="35" t="str">
        <f>IF(OR(S219="North America",S219="Rocky Mountain"), "Widespread",BC219)</f>
        <v>Widespread</v>
      </c>
      <c r="BB219" s="4"/>
      <c r="BC219" s="35" t="str">
        <f ca="1">IF(BE219&gt;2046, "Abundant",BE219)</f>
        <v>Abundant</v>
      </c>
      <c r="BD219" s="4"/>
      <c r="BE219" s="81">
        <f ca="1">YEAR($C$13)+(BG219*80)</f>
        <v>2047.6175372549019</v>
      </c>
      <c r="BF219" s="4"/>
      <c r="BG219" s="137">
        <f ca="1">BH219*$BH$14</f>
        <v>0.35771921568627446</v>
      </c>
      <c r="BH219" s="137">
        <f ca="1">(((BJ219+BK219+BM219+BN219)/4)*$BM$11)+(((BP219+BQ219)/2)*$BQ$11)+(((BU219+BV219+BW219)/3)*$BU$11)+(((BY219+BZ219+CA219+CB219+CC219)/5)*$CA$11)</f>
        <v>0.35771921568627446</v>
      </c>
      <c r="BI219" s="4"/>
      <c r="BJ219" s="33">
        <f>AP219/(AM219+AO219)</f>
        <v>0</v>
      </c>
      <c r="BK219" s="33">
        <f>(AN219+AO219)/(AM219+AO219)</f>
        <v>0.2</v>
      </c>
      <c r="BL219" s="4"/>
      <c r="BM219" s="127">
        <f>CF219/102</f>
        <v>0.36470588235294121</v>
      </c>
      <c r="BN219" s="127">
        <f>C219/2</f>
        <v>1</v>
      </c>
      <c r="BO219" s="4"/>
      <c r="BP219" s="127">
        <f>(AK219)/($AW$6)</f>
        <v>0.33333333333333331</v>
      </c>
      <c r="BQ219" s="127">
        <f ca="1">(CH219-$AW$4)/((YEAR($C$13))-$AW$4)</f>
        <v>0</v>
      </c>
      <c r="BR219" s="127">
        <f>(AL219)/($AW$6)</f>
        <v>0.22222222222222221</v>
      </c>
      <c r="BS219" s="4"/>
      <c r="BT219" s="127"/>
      <c r="BU219" s="127">
        <f ca="1">(CG219-$AW$4)/((YEAR($C$13))-$AW$4)</f>
        <v>0</v>
      </c>
      <c r="BV219" s="127">
        <f>AE219/5</f>
        <v>1</v>
      </c>
      <c r="BW219" s="127">
        <f>AF219/5</f>
        <v>1</v>
      </c>
      <c r="BX219" s="4"/>
      <c r="BY219" s="148" t="str">
        <f>IF(E219="A",".98",IF(E219="B",".99",IF(E219="C","1.00",IF(E219="D","1.00" ))))</f>
        <v>1.00</v>
      </c>
      <c r="BZ219" s="127">
        <f>(CE219+7)/10</f>
        <v>1</v>
      </c>
      <c r="CA219" s="76" t="str">
        <f>IF(D219="Fern",".97",IF(D219="Grass",".99",IF(D219="Herb",".97",IF(D219="Shrub",".99",IF(D219="Tree","1.00",IF(D219="Vine",".98"))))))</f>
        <v>.97</v>
      </c>
      <c r="CB219" s="149" t="str">
        <f>IF(R219="Bogs Ponds Streams",".96", IF(R219="Coastal Areas",".97",IF(R219="Meadows Dry Open",".96",IF(R219="Forest &amp; Understory",".97",IF(R219="Moist Open",".98",IF(R219="Moist Shady",".96",IF(R219="Sub-Alpine","1.0")))))))</f>
        <v>.96</v>
      </c>
      <c r="CC219" s="76" t="str">
        <f>IF(S219="Local Endemic",".50",IF(S219="Regional Endemic",".70",IF(S219="Cascadia",".90",IF(S219="Rocky Mountain",".95",IF(S219="North America",".99")))))</f>
        <v>.99</v>
      </c>
      <c r="CD219" s="4"/>
      <c r="CE219" s="21">
        <f>IF(W219&gt;3,3,W219)</f>
        <v>3</v>
      </c>
      <c r="CF219" s="21">
        <f>IF(AC219&gt;102,102,AC219)</f>
        <v>37.200000000000003</v>
      </c>
      <c r="CG219" s="34">
        <f>IF(AI219&lt;$AW$4,$AW$4,AI219)</f>
        <v>2004</v>
      </c>
      <c r="CH219" s="34">
        <f>IF(AJ219&lt;$AW$4,$AW$4,AJ219)</f>
        <v>2004</v>
      </c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13"/>
    </row>
    <row r="220" spans="1:115" ht="15" customHeight="1" x14ac:dyDescent="0.3">
      <c r="A220" s="235"/>
      <c r="B220" s="218"/>
      <c r="C220" s="225">
        <v>8</v>
      </c>
      <c r="D220" s="59" t="s">
        <v>2505</v>
      </c>
      <c r="E220" s="59" t="s">
        <v>2501</v>
      </c>
      <c r="F220" s="397" t="str">
        <f ca="1">IF(BC220&lt;2025, "Extinct&lt; 6Yrs?",BA220)</f>
        <v>Widespread</v>
      </c>
      <c r="G220" s="363" t="s">
        <v>525</v>
      </c>
      <c r="H220" s="363" t="s">
        <v>681</v>
      </c>
      <c r="I220" s="366" t="s">
        <v>67</v>
      </c>
      <c r="J220" s="365" t="s">
        <v>3280</v>
      </c>
      <c r="K220" s="365" t="s">
        <v>912</v>
      </c>
      <c r="L220" s="10" t="s">
        <v>1982</v>
      </c>
      <c r="M220" s="8" t="s">
        <v>4299</v>
      </c>
      <c r="N220" s="8" t="s">
        <v>5193</v>
      </c>
      <c r="O220" s="8" t="s">
        <v>6091</v>
      </c>
      <c r="P220" s="9" t="s">
        <v>51</v>
      </c>
      <c r="Q220" s="59" t="s">
        <v>2552</v>
      </c>
      <c r="R220" s="9" t="s">
        <v>2498</v>
      </c>
      <c r="S220" s="9" t="s">
        <v>2479</v>
      </c>
      <c r="T220" s="123" t="str">
        <f>IF(R220="Bogs Ponds Streams","20",IF(R220="Coastal Areas","26",IF(R220="Meadows Dry Open","10",IF(R220="Forest &amp; Understory","14",IF(R220="Moist Open","12",IF(R220="Moist Shady","10",IF(R220="Sub-Alpine Slopes","0")))))))</f>
        <v>10</v>
      </c>
      <c r="U220" s="123" t="str">
        <f>IF(R220="Bogs Ponds Streams","52",IF(R220="Coastal Areas","51",IF(R220="Meadows Dry Open","53",IF(R220="Forest &amp; Understory","52",IF(R220="Moist Open","50",IF(R220="Moist Shady","46",IF(R220="Sub-Alpine Slopes","40")))))))</f>
        <v>46</v>
      </c>
      <c r="V220" s="123" t="str">
        <f>IF(R220="Bogs Ponds Streams","84",IF(R220="Coastal Areas","76",IF(R220="Meadows Dry Open","96", IF(R220="Forest &amp; Understory","90", IF(R220="Moist Open","88", IF(R220="Moist Shady","82", IF(R220="Sub-Alpine Slopes","80")))))))</f>
        <v>82</v>
      </c>
      <c r="W220" s="59">
        <v>20</v>
      </c>
      <c r="X220" s="59">
        <v>0</v>
      </c>
      <c r="Y220" s="59">
        <v>3500</v>
      </c>
      <c r="Z220" s="59" t="s">
        <v>2519</v>
      </c>
      <c r="AA220" s="59" t="s">
        <v>2518</v>
      </c>
      <c r="AB220" s="59">
        <v>6.8</v>
      </c>
      <c r="AC220" s="45">
        <f>C220+AK220+(0.1)*AL220</f>
        <v>18.3</v>
      </c>
      <c r="AD220" s="77">
        <v>21</v>
      </c>
      <c r="AE220" s="59">
        <v>5</v>
      </c>
      <c r="AF220" s="59">
        <v>5</v>
      </c>
      <c r="AG220" s="59">
        <v>1900</v>
      </c>
      <c r="AH220" s="77">
        <v>0</v>
      </c>
      <c r="AI220" s="59">
        <f ca="1">AJ220</f>
        <v>2019</v>
      </c>
      <c r="AJ220" s="18">
        <f ca="1">YEAR(TODAY())</f>
        <v>2019</v>
      </c>
      <c r="AK220" s="18">
        <v>10</v>
      </c>
      <c r="AL220" s="18">
        <v>3</v>
      </c>
      <c r="AM220" s="18">
        <v>1</v>
      </c>
      <c r="AN220" s="18">
        <v>1</v>
      </c>
      <c r="AO220" s="18">
        <v>5</v>
      </c>
      <c r="AP220" s="18">
        <v>1</v>
      </c>
      <c r="AQ220" s="18">
        <v>0</v>
      </c>
      <c r="AR220" s="18">
        <v>0</v>
      </c>
      <c r="AS220" s="18">
        <v>0</v>
      </c>
      <c r="AT220" s="18">
        <v>0</v>
      </c>
      <c r="AU220" s="18">
        <v>0</v>
      </c>
      <c r="AV220" s="18">
        <v>0</v>
      </c>
      <c r="AW220" s="18">
        <v>0</v>
      </c>
      <c r="AX220" s="18">
        <v>0</v>
      </c>
      <c r="AY220" s="233"/>
      <c r="AZ220" s="4"/>
      <c r="BA220" s="35" t="str">
        <f>IF(OR(S220="North America",S220="Rocky Mountain"), "Widespread",BC220)</f>
        <v>Widespread</v>
      </c>
      <c r="BB220" s="4"/>
      <c r="BC220" s="35" t="str">
        <f ca="1">IF(BE220&gt;2046, "Abundant",BE220)</f>
        <v>Abundant</v>
      </c>
      <c r="BD220" s="4"/>
      <c r="BE220" s="81">
        <f ca="1">YEAR($C$13)+(BG220*80)</f>
        <v>2104.326662388592</v>
      </c>
      <c r="BF220" s="4"/>
      <c r="BG220" s="137">
        <f ca="1">BH220*$BH$14</f>
        <v>1.0665832798573975</v>
      </c>
      <c r="BH220" s="137">
        <f ca="1">(((BJ220+BK220+BM220+BN220)/4)*$BM$11)+(((BP220+BQ220)/2)*$BQ$11)+(((BU220+BV220+BW220)/3)*$BU$11)+(((BY220+BZ220+CA220+CB220+CC220)/5)*$CA$11)</f>
        <v>1.0665832798573975</v>
      </c>
      <c r="BI220" s="4"/>
      <c r="BJ220" s="33">
        <f>AP220/(AM220+AO220)</f>
        <v>0.16666666666666666</v>
      </c>
      <c r="BK220" s="33">
        <f>(AN220+AO220)/(AM220+AO220)</f>
        <v>1</v>
      </c>
      <c r="BL220" s="4"/>
      <c r="BM220" s="127">
        <f>CF220/102</f>
        <v>0.17941176470588235</v>
      </c>
      <c r="BN220" s="127">
        <f>C220/2</f>
        <v>4</v>
      </c>
      <c r="BO220" s="4"/>
      <c r="BP220" s="127">
        <f>(AK220)/($AW$6)</f>
        <v>0.10101010101010101</v>
      </c>
      <c r="BQ220" s="127">
        <f ca="1">(CH220-$AW$4)/((YEAR($C$13))-$AW$4)</f>
        <v>1</v>
      </c>
      <c r="BR220" s="127">
        <f>(AL220)/($AW$6)</f>
        <v>3.0303030303030304E-2</v>
      </c>
      <c r="BS220" s="4"/>
      <c r="BT220" s="127"/>
      <c r="BU220" s="127">
        <f ca="1">(CG220-$AW$4)/((YEAR($C$13))-$AW$4)</f>
        <v>1</v>
      </c>
      <c r="BV220" s="127">
        <f>AE220/5</f>
        <v>1</v>
      </c>
      <c r="BW220" s="127">
        <f>AF220/5</f>
        <v>1</v>
      </c>
      <c r="BX220" s="4"/>
      <c r="BY220" s="148" t="str">
        <f>IF(E220="A",".98",IF(E220="B",".99",IF(E220="C","1.00",IF(E220="D","1.00" ))))</f>
        <v>1.00</v>
      </c>
      <c r="BZ220" s="127">
        <f>(CE220+7)/10</f>
        <v>1</v>
      </c>
      <c r="CA220" s="76" t="str">
        <f>IF(D220="Fern",".97",IF(D220="Grass",".99",IF(D220="Herb",".97",IF(D220="Shrub",".99",IF(D220="Tree","1.00",IF(D220="Vine",".98"))))))</f>
        <v>.97</v>
      </c>
      <c r="CB220" s="149" t="str">
        <f>IF(R220="Bogs Ponds Streams",".96", IF(R220="Coastal Areas",".97",IF(R220="Meadows Dry Open",".96",IF(R220="Forest &amp; Understory",".97",IF(R220="Moist Open",".98",IF(R220="Moist Shady",".96",IF(R220="Sub-Alpine","1.0")))))))</f>
        <v>.96</v>
      </c>
      <c r="CC220" s="76" t="str">
        <f>IF(S220="Local Endemic",".50",IF(S220="Regional Endemic",".70",IF(S220="Cascadia",".90",IF(S220="Rocky Mountain",".95",IF(S220="North America",".99")))))</f>
        <v>.95</v>
      </c>
      <c r="CD220" s="4"/>
      <c r="CE220" s="21">
        <f>IF(W220&gt;3,3,W220)</f>
        <v>3</v>
      </c>
      <c r="CF220" s="21">
        <f>IF(AC220&gt;102,102,AC220)</f>
        <v>18.3</v>
      </c>
      <c r="CG220" s="34">
        <f ca="1">IF(AI220&lt;$AW$4,$AW$4,AI220)</f>
        <v>2019</v>
      </c>
      <c r="CH220" s="34">
        <f ca="1">IF(AJ220&lt;$AW$4,$AW$4,AJ220)</f>
        <v>2019</v>
      </c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</row>
    <row r="221" spans="1:115" s="13" customFormat="1" ht="15" customHeight="1" x14ac:dyDescent="0.3">
      <c r="A221" s="235"/>
      <c r="B221" s="218"/>
      <c r="C221" s="226">
        <v>2</v>
      </c>
      <c r="D221" s="104" t="s">
        <v>2505</v>
      </c>
      <c r="E221" s="104" t="s">
        <v>2503</v>
      </c>
      <c r="F221" s="400">
        <f ca="1">IF(BC221&lt;2025, "Extinct&lt; 6Yrs?",BA221)</f>
        <v>2043.1141190730839</v>
      </c>
      <c r="G221" s="369" t="s">
        <v>525</v>
      </c>
      <c r="H221" s="369" t="s">
        <v>4028</v>
      </c>
      <c r="I221" s="372" t="s">
        <v>2617</v>
      </c>
      <c r="J221" s="371" t="s">
        <v>912</v>
      </c>
      <c r="K221" s="371" t="s">
        <v>913</v>
      </c>
      <c r="L221" s="106" t="s">
        <v>1981</v>
      </c>
      <c r="M221" s="111" t="s">
        <v>4300</v>
      </c>
      <c r="N221" s="111" t="s">
        <v>5194</v>
      </c>
      <c r="O221" s="111" t="s">
        <v>6092</v>
      </c>
      <c r="P221" s="105" t="s">
        <v>51</v>
      </c>
      <c r="Q221" s="104" t="s">
        <v>2552</v>
      </c>
      <c r="R221" s="105" t="s">
        <v>2497</v>
      </c>
      <c r="S221" s="105" t="s">
        <v>2309</v>
      </c>
      <c r="T221" s="133" t="str">
        <f>IF(R221="Bogs Ponds Streams","20",IF(R221="Coastal Areas","26",IF(R221="Meadows Dry Open","10",IF(R221="Forest &amp; Understory","14",IF(R221="Moist Open","12",IF(R221="Moist Shady","10",IF(R221="Sub-Alpine Slopes","0")))))))</f>
        <v>12</v>
      </c>
      <c r="U221" s="133" t="str">
        <f>IF(R221="Bogs Ponds Streams","52",IF(R221="Coastal Areas","51",IF(R221="Meadows Dry Open","53",IF(R221="Forest &amp; Understory","52",IF(R221="Moist Open","50",IF(R221="Moist Shady","46",IF(R221="Sub-Alpine Slopes","40")))))))</f>
        <v>50</v>
      </c>
      <c r="V221" s="133" t="str">
        <f>IF(R221="Bogs Ponds Streams","84",IF(R221="Coastal Areas","76",IF(R221="Meadows Dry Open","96", IF(R221="Forest &amp; Understory","90", IF(R221="Moist Open","88", IF(R221="Moist Shady","82", IF(R221="Sub-Alpine Slopes","80")))))))</f>
        <v>88</v>
      </c>
      <c r="W221" s="104">
        <v>2</v>
      </c>
      <c r="X221" s="104">
        <v>0</v>
      </c>
      <c r="Y221" s="104">
        <v>3500</v>
      </c>
      <c r="Z221" s="104" t="s">
        <v>2519</v>
      </c>
      <c r="AA221" s="104" t="s">
        <v>2518</v>
      </c>
      <c r="AB221" s="104">
        <v>6.8</v>
      </c>
      <c r="AC221" s="107">
        <f>C221+AK221+(0.1)*AL221</f>
        <v>18.5</v>
      </c>
      <c r="AD221" s="113">
        <v>63</v>
      </c>
      <c r="AE221" s="104">
        <v>5</v>
      </c>
      <c r="AF221" s="104">
        <v>5</v>
      </c>
      <c r="AG221" s="104">
        <v>1900</v>
      </c>
      <c r="AH221" s="113">
        <v>0</v>
      </c>
      <c r="AI221" s="104">
        <f>AJ221</f>
        <v>2004</v>
      </c>
      <c r="AJ221" s="108">
        <v>2004</v>
      </c>
      <c r="AK221" s="108">
        <v>15</v>
      </c>
      <c r="AL221" s="108">
        <v>15</v>
      </c>
      <c r="AM221" s="109">
        <v>5</v>
      </c>
      <c r="AN221" s="109">
        <v>1</v>
      </c>
      <c r="AO221" s="110">
        <v>0</v>
      </c>
      <c r="AP221" s="109">
        <v>0</v>
      </c>
      <c r="AQ221" s="109">
        <v>0</v>
      </c>
      <c r="AR221" s="109">
        <v>0</v>
      </c>
      <c r="AS221" s="110">
        <v>0</v>
      </c>
      <c r="AT221" s="109">
        <v>0</v>
      </c>
      <c r="AU221" s="109">
        <v>0</v>
      </c>
      <c r="AV221" s="109">
        <v>0</v>
      </c>
      <c r="AW221" s="110">
        <v>0</v>
      </c>
      <c r="AX221" s="109">
        <v>0</v>
      </c>
      <c r="AY221" s="233"/>
      <c r="AZ221" s="4"/>
      <c r="BA221" s="35">
        <f ca="1">IF(OR(S221="North America",S221="Rocky Mountain"), "Widespread",BC221)</f>
        <v>2043.1141190730839</v>
      </c>
      <c r="BB221" s="4"/>
      <c r="BC221" s="35">
        <f ca="1">IF(BE221&gt;2046, "Abundant",BE221)</f>
        <v>2043.1141190730839</v>
      </c>
      <c r="BD221" s="4"/>
      <c r="BE221" s="81">
        <f ca="1">YEAR($C$13)+(BG221*80)</f>
        <v>2043.1141190730839</v>
      </c>
      <c r="BF221" s="4"/>
      <c r="BG221" s="137">
        <f ca="1">BH221*$BH$14</f>
        <v>0.30142648841354724</v>
      </c>
      <c r="BH221" s="137">
        <f ca="1">(((BJ221+BK221+BM221+BN221)/4)*$BM$11)+(((BP221+BQ221)/2)*$BQ$11)+(((BU221+BV221+BW221)/3)*$BU$11)+(((BY221+BZ221+CA221+CB221+CC221)/5)*$CA$11)</f>
        <v>0.30142648841354724</v>
      </c>
      <c r="BI221" s="4"/>
      <c r="BJ221" s="33">
        <f>AP221/(AM221+AO221)</f>
        <v>0</v>
      </c>
      <c r="BK221" s="33">
        <f>(AN221+AO221)/(AM221+AO221)</f>
        <v>0.2</v>
      </c>
      <c r="BL221" s="4"/>
      <c r="BM221" s="127">
        <f>CF221/102</f>
        <v>0.18137254901960784</v>
      </c>
      <c r="BN221" s="127">
        <f>C221/2</f>
        <v>1</v>
      </c>
      <c r="BO221" s="4"/>
      <c r="BP221" s="127">
        <f>(AK221)/($AW$6)</f>
        <v>0.15151515151515152</v>
      </c>
      <c r="BQ221" s="127">
        <f ca="1">(CH221-$AW$4)/((YEAR($C$13))-$AW$4)</f>
        <v>0</v>
      </c>
      <c r="BR221" s="127">
        <f>(AL221)/($AW$6)</f>
        <v>0.15151515151515152</v>
      </c>
      <c r="BS221" s="4"/>
      <c r="BT221" s="127"/>
      <c r="BU221" s="127">
        <f ca="1">(CG221-$AW$4)/((YEAR($C$13))-$AW$4)</f>
        <v>0</v>
      </c>
      <c r="BV221" s="127">
        <f>AE221/5</f>
        <v>1</v>
      </c>
      <c r="BW221" s="127">
        <f>AF221/5</f>
        <v>1</v>
      </c>
      <c r="BX221" s="4"/>
      <c r="BY221" s="148" t="str">
        <f>IF(E221="A",".98",IF(E221="B",".99",IF(E221="C","1.00",IF(E221="D","1.00" ))))</f>
        <v>.99</v>
      </c>
      <c r="BZ221" s="127">
        <f>(CE221+7)/10</f>
        <v>0.9</v>
      </c>
      <c r="CA221" s="76" t="str">
        <f>IF(D221="Fern",".97",IF(D221="Grass",".99",IF(D221="Herb",".97",IF(D221="Shrub",".99",IF(D221="Tree","1.00",IF(D221="Vine",".98"))))))</f>
        <v>.97</v>
      </c>
      <c r="CB221" s="149" t="str">
        <f>IF(R221="Bogs Ponds Streams",".96", IF(R221="Coastal Areas",".97",IF(R221="Meadows Dry Open",".96",IF(R221="Forest &amp; Understory",".97",IF(R221="Moist Open",".98",IF(R221="Moist Shady",".96",IF(R221="Sub-Alpine","1.0")))))))</f>
        <v>.98</v>
      </c>
      <c r="CC221" s="76" t="str">
        <f>IF(S221="Local Endemic",".50",IF(S221="Regional Endemic",".70",IF(S221="Cascadia",".90",IF(S221="Rocky Mountain",".95",IF(S221="North America",".99")))))</f>
        <v>.70</v>
      </c>
      <c r="CD221" s="4"/>
      <c r="CE221" s="21">
        <f>IF(W221&gt;3,3,W221)</f>
        <v>2</v>
      </c>
      <c r="CF221" s="21">
        <f>IF(AC221&gt;102,102,AC221)</f>
        <v>18.5</v>
      </c>
      <c r="CG221" s="34">
        <f>IF(AI221&lt;$AW$4,$AW$4,AI221)</f>
        <v>2004</v>
      </c>
      <c r="CH221" s="34">
        <f>IF(AJ221&lt;$AW$4,$AW$4,AJ221)</f>
        <v>2004</v>
      </c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12"/>
    </row>
    <row r="222" spans="1:115" s="13" customFormat="1" ht="15" customHeight="1" x14ac:dyDescent="0.3">
      <c r="A222" s="235"/>
      <c r="B222" s="218"/>
      <c r="C222" s="226">
        <v>2</v>
      </c>
      <c r="D222" s="104" t="s">
        <v>2505</v>
      </c>
      <c r="E222" s="104" t="s">
        <v>2501</v>
      </c>
      <c r="F222" s="400" t="str">
        <f ca="1">IF(BC222&lt;2025, "Extinct&lt; 6Yrs?",BA222)</f>
        <v>Abundant</v>
      </c>
      <c r="G222" s="369" t="s">
        <v>525</v>
      </c>
      <c r="H222" s="369" t="s">
        <v>4028</v>
      </c>
      <c r="I222" s="372" t="s">
        <v>2618</v>
      </c>
      <c r="J222" s="371" t="s">
        <v>3804</v>
      </c>
      <c r="K222" s="371" t="s">
        <v>914</v>
      </c>
      <c r="L222" s="114" t="s">
        <v>1980</v>
      </c>
      <c r="M222" s="111" t="s">
        <v>4301</v>
      </c>
      <c r="N222" s="111" t="s">
        <v>5195</v>
      </c>
      <c r="O222" s="111" t="s">
        <v>6093</v>
      </c>
      <c r="P222" s="105" t="s">
        <v>51</v>
      </c>
      <c r="Q222" s="104" t="s">
        <v>2552</v>
      </c>
      <c r="R222" s="105" t="s">
        <v>2497</v>
      </c>
      <c r="S222" s="162" t="s">
        <v>2309</v>
      </c>
      <c r="T222" s="133" t="str">
        <f>IF(R222="Bogs Ponds Streams","20",IF(R222="Coastal Areas","26",IF(R222="Meadows Dry Open","10",IF(R222="Forest &amp; Understory","14",IF(R222="Moist Open","12",IF(R222="Moist Shady","10",IF(R222="Sub-Alpine Slopes","0")))))))</f>
        <v>12</v>
      </c>
      <c r="U222" s="133" t="str">
        <f>IF(R222="Bogs Ponds Streams","52",IF(R222="Coastal Areas","51",IF(R222="Meadows Dry Open","53",IF(R222="Forest &amp; Understory","52",IF(R222="Moist Open","50",IF(R222="Moist Shady","46",IF(R222="Sub-Alpine Slopes","40")))))))</f>
        <v>50</v>
      </c>
      <c r="V222" s="133" t="str">
        <f>IF(R222="Bogs Ponds Streams","84",IF(R222="Coastal Areas","76",IF(R222="Meadows Dry Open","96", IF(R222="Forest &amp; Understory","90", IF(R222="Moist Open","88", IF(R222="Moist Shady","82", IF(R222="Sub-Alpine Slopes","80")))))))</f>
        <v>88</v>
      </c>
      <c r="W222" s="104">
        <v>20</v>
      </c>
      <c r="X222" s="104">
        <v>0</v>
      </c>
      <c r="Y222" s="104">
        <v>3500</v>
      </c>
      <c r="Z222" s="104" t="s">
        <v>2519</v>
      </c>
      <c r="AA222" s="104" t="s">
        <v>2518</v>
      </c>
      <c r="AB222" s="104">
        <v>6.8</v>
      </c>
      <c r="AC222" s="107">
        <f>C222+AK222+(0.1)*AL222</f>
        <v>7</v>
      </c>
      <c r="AD222" s="113">
        <v>18</v>
      </c>
      <c r="AE222" s="112">
        <v>3</v>
      </c>
      <c r="AF222" s="112">
        <v>5</v>
      </c>
      <c r="AG222" s="113">
        <v>1883</v>
      </c>
      <c r="AH222" s="113">
        <v>0</v>
      </c>
      <c r="AI222" s="113">
        <v>2010</v>
      </c>
      <c r="AJ222" s="108">
        <v>2018</v>
      </c>
      <c r="AK222" s="108">
        <v>5</v>
      </c>
      <c r="AL222" s="108">
        <v>0</v>
      </c>
      <c r="AM222" s="109">
        <v>5</v>
      </c>
      <c r="AN222" s="109">
        <v>6</v>
      </c>
      <c r="AO222" s="109">
        <v>1</v>
      </c>
      <c r="AP222" s="109">
        <v>6</v>
      </c>
      <c r="AQ222" s="109">
        <v>0</v>
      </c>
      <c r="AR222" s="109">
        <v>0</v>
      </c>
      <c r="AS222" s="110">
        <v>0</v>
      </c>
      <c r="AT222" s="109">
        <v>0</v>
      </c>
      <c r="AU222" s="109">
        <v>0</v>
      </c>
      <c r="AV222" s="109">
        <v>0</v>
      </c>
      <c r="AW222" s="110">
        <v>0</v>
      </c>
      <c r="AX222" s="109">
        <v>0</v>
      </c>
      <c r="AY222" s="233"/>
      <c r="AZ222" s="4"/>
      <c r="BA222" s="35" t="str">
        <f ca="1">IF(OR(S222="North America",S222="Rocky Mountain"), "Widespread",BC222)</f>
        <v>Abundant</v>
      </c>
      <c r="BB222" s="4"/>
      <c r="BC222" s="35" t="str">
        <f ca="1">IF(BE222&gt;2046, "Abundant",BE222)</f>
        <v>Abundant</v>
      </c>
      <c r="BD222" s="4"/>
      <c r="BE222" s="81">
        <f ca="1">YEAR($C$13)+(BG222*80)</f>
        <v>2075.3842566844919</v>
      </c>
      <c r="BF222" s="4"/>
      <c r="BG222" s="137">
        <f ca="1">BH222*$BH$14</f>
        <v>0.70480320855614975</v>
      </c>
      <c r="BH222" s="137">
        <f ca="1">(((BJ222+BK222+BM222+BN222)/4)*$BM$11)+(((BP222+BQ222)/2)*$BQ$11)+(((BU222+BV222+BW222)/3)*$BU$11)+(((BY222+BZ222+CA222+CB222+CC222)/5)*$CA$11)</f>
        <v>0.70480320855614975</v>
      </c>
      <c r="BI222" s="4"/>
      <c r="BJ222" s="33">
        <f>AP222/(AM222+AO222)</f>
        <v>1</v>
      </c>
      <c r="BK222" s="33">
        <f>(AN222+AO222)/(AM222+AO222)</f>
        <v>1.1666666666666667</v>
      </c>
      <c r="BL222" s="4"/>
      <c r="BM222" s="127">
        <f>CF222/102</f>
        <v>6.8627450980392163E-2</v>
      </c>
      <c r="BN222" s="127">
        <f>C222/2</f>
        <v>1</v>
      </c>
      <c r="BO222" s="4"/>
      <c r="BP222" s="127">
        <f>(AK222)/($AW$6)</f>
        <v>5.0505050505050504E-2</v>
      </c>
      <c r="BQ222" s="127">
        <f ca="1">(CH222-$AW$4)/((YEAR($C$13))-$AW$4)</f>
        <v>0.93333333333333335</v>
      </c>
      <c r="BR222" s="127">
        <f>(AL222)/($AW$6)</f>
        <v>0</v>
      </c>
      <c r="BS222" s="4"/>
      <c r="BT222" s="127"/>
      <c r="BU222" s="127">
        <f ca="1">(CG222-$AW$4)/((YEAR($C$13))-$AW$4)</f>
        <v>0.4</v>
      </c>
      <c r="BV222" s="127">
        <f>AE222/5</f>
        <v>0.6</v>
      </c>
      <c r="BW222" s="127">
        <f>AF222/5</f>
        <v>1</v>
      </c>
      <c r="BX222" s="4"/>
      <c r="BY222" s="148" t="str">
        <f>IF(E222="A",".98",IF(E222="B",".99",IF(E222="C","1.00",IF(E222="D","1.00" ))))</f>
        <v>1.00</v>
      </c>
      <c r="BZ222" s="127">
        <f>(CE222+7)/10</f>
        <v>1</v>
      </c>
      <c r="CA222" s="76" t="str">
        <f>IF(D222="Fern",".97",IF(D222="Grass",".99",IF(D222="Herb",".97",IF(D222="Shrub",".99",IF(D222="Tree","1.00",IF(D222="Vine",".98"))))))</f>
        <v>.97</v>
      </c>
      <c r="CB222" s="149" t="str">
        <f>IF(R222="Bogs Ponds Streams",".96", IF(R222="Coastal Areas",".97",IF(R222="Meadows Dry Open",".96",IF(R222="Forest &amp; Understory",".97",IF(R222="Moist Open",".98",IF(R222="Moist Shady",".96",IF(R222="Sub-Alpine","1.0")))))))</f>
        <v>.98</v>
      </c>
      <c r="CC222" s="76" t="str">
        <f>IF(S222="Local Endemic",".50",IF(S222="Regional Endemic",".70",IF(S222="Cascadia",".90",IF(S222="Rocky Mountain",".95",IF(S222="North America",".99")))))</f>
        <v>.70</v>
      </c>
      <c r="CD222" s="4"/>
      <c r="CE222" s="21">
        <f>IF(W222&gt;3,3,W222)</f>
        <v>3</v>
      </c>
      <c r="CF222" s="21">
        <f>IF(AC222&gt;102,102,AC222)</f>
        <v>7</v>
      </c>
      <c r="CG222" s="34">
        <f>IF(AI222&lt;$AW$4,$AW$4,AI222)</f>
        <v>2010</v>
      </c>
      <c r="CH222" s="34">
        <f>IF(AJ222&lt;$AW$4,$AW$4,AJ222)</f>
        <v>2018</v>
      </c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</row>
    <row r="223" spans="1:115" s="13" customFormat="1" ht="15" customHeight="1" x14ac:dyDescent="0.3">
      <c r="A223" s="235"/>
      <c r="B223" s="218"/>
      <c r="C223" s="225">
        <v>8</v>
      </c>
      <c r="D223" s="59" t="s">
        <v>2505</v>
      </c>
      <c r="E223" s="59" t="s">
        <v>2502</v>
      </c>
      <c r="F223" s="397" t="str">
        <f ca="1">IF(BC223&lt;2025, "Extinct&lt; 6Yrs?",BA223)</f>
        <v>Widespread</v>
      </c>
      <c r="G223" s="363" t="s">
        <v>525</v>
      </c>
      <c r="H223" s="363" t="s">
        <v>684</v>
      </c>
      <c r="I223" s="366" t="s">
        <v>662</v>
      </c>
      <c r="J223" s="365" t="s">
        <v>4027</v>
      </c>
      <c r="K223" s="365" t="s">
        <v>911</v>
      </c>
      <c r="L223" s="10" t="s">
        <v>1979</v>
      </c>
      <c r="M223" s="8" t="s">
        <v>4302</v>
      </c>
      <c r="N223" s="8" t="s">
        <v>5196</v>
      </c>
      <c r="O223" s="8" t="s">
        <v>6094</v>
      </c>
      <c r="P223" s="9" t="s">
        <v>660</v>
      </c>
      <c r="Q223" s="59" t="s">
        <v>2552</v>
      </c>
      <c r="R223" s="9" t="s">
        <v>2500</v>
      </c>
      <c r="S223" s="9" t="s">
        <v>2495</v>
      </c>
      <c r="T223" s="123" t="str">
        <f>IF(R223="Bogs Ponds Streams","20",IF(R223="Coastal Areas","26",IF(R223="Meadows Dry Open","10",IF(R223="Forest &amp; Understory","14",IF(R223="Moist Open","12",IF(R223="Moist Shady","10",IF(R223="Sub-Alpine Slopes","0")))))))</f>
        <v>10</v>
      </c>
      <c r="U223" s="123" t="str">
        <f>IF(R223="Bogs Ponds Streams","52",IF(R223="Coastal Areas","51",IF(R223="Meadows Dry Open","53",IF(R223="Forest &amp; Understory","52",IF(R223="Moist Open","50",IF(R223="Moist Shady","46",IF(R223="Sub-Alpine Slopes","40")))))))</f>
        <v>53</v>
      </c>
      <c r="V223" s="123" t="str">
        <f>IF(R223="Bogs Ponds Streams","84",IF(R223="Coastal Areas","76",IF(R223="Meadows Dry Open","96", IF(R223="Forest &amp; Understory","90", IF(R223="Moist Open","88", IF(R223="Moist Shady","82", IF(R223="Sub-Alpine Slopes","80")))))))</f>
        <v>96</v>
      </c>
      <c r="W223" s="59">
        <v>1</v>
      </c>
      <c r="X223" s="59">
        <v>0</v>
      </c>
      <c r="Y223" s="59">
        <v>3500</v>
      </c>
      <c r="Z223" s="59" t="s">
        <v>2519</v>
      </c>
      <c r="AA223" s="59" t="s">
        <v>2518</v>
      </c>
      <c r="AB223" s="59">
        <v>6.8</v>
      </c>
      <c r="AC223" s="45">
        <f>C223+AK223+(0.1)*AL223</f>
        <v>22.1</v>
      </c>
      <c r="AD223" s="77">
        <v>49</v>
      </c>
      <c r="AE223" s="59">
        <v>5</v>
      </c>
      <c r="AF223" s="59">
        <v>5</v>
      </c>
      <c r="AG223" s="59">
        <v>1900</v>
      </c>
      <c r="AH223" s="77">
        <v>0</v>
      </c>
      <c r="AI223" s="59">
        <f ca="1">AJ223</f>
        <v>2019</v>
      </c>
      <c r="AJ223" s="18">
        <f ca="1">YEAR(TODAY())</f>
        <v>2019</v>
      </c>
      <c r="AK223" s="18">
        <v>14</v>
      </c>
      <c r="AL223" s="18">
        <v>1</v>
      </c>
      <c r="AM223" s="18">
        <v>1</v>
      </c>
      <c r="AN223" s="18">
        <v>1</v>
      </c>
      <c r="AO223" s="25">
        <v>0</v>
      </c>
      <c r="AP223" s="24">
        <v>0</v>
      </c>
      <c r="AQ223" s="18">
        <v>0</v>
      </c>
      <c r="AR223" s="18">
        <v>0</v>
      </c>
      <c r="AS223" s="18">
        <v>0</v>
      </c>
      <c r="AT223" s="18">
        <v>0</v>
      </c>
      <c r="AU223" s="18">
        <v>0</v>
      </c>
      <c r="AV223" s="18">
        <v>0</v>
      </c>
      <c r="AW223" s="18">
        <v>0</v>
      </c>
      <c r="AX223" s="18">
        <v>0</v>
      </c>
      <c r="AY223" s="233"/>
      <c r="AZ223" s="4"/>
      <c r="BA223" s="35" t="str">
        <f>IF(OR(S223="North America",S223="Rocky Mountain"), "Widespread",BC223)</f>
        <v>Widespread</v>
      </c>
      <c r="BB223" s="4"/>
      <c r="BC223" s="35" t="str">
        <f ca="1">IF(BE223&gt;2046, "Abundant",BE223)</f>
        <v>Abundant</v>
      </c>
      <c r="BD223" s="4"/>
      <c r="BE223" s="81">
        <f ca="1">YEAR($C$13)+(BG223*80)</f>
        <v>2103.2009696969699</v>
      </c>
      <c r="BF223" s="4"/>
      <c r="BG223" s="137">
        <f ca="1">BH223*$BH$14</f>
        <v>1.0525121212121211</v>
      </c>
      <c r="BH223" s="137">
        <f ca="1">(((BJ223+BK223+BM223+BN223)/4)*$BM$11)+(((BP223+BQ223)/2)*$BQ$11)+(((BU223+BV223+BW223)/3)*$BU$11)+(((BY223+BZ223+CA223+CB223+CC223)/5)*$CA$11)</f>
        <v>1.0525121212121211</v>
      </c>
      <c r="BI223" s="4"/>
      <c r="BJ223" s="33">
        <f>AP223/(AM223+AO223)</f>
        <v>0</v>
      </c>
      <c r="BK223" s="33">
        <f>(AN223+AO223)/(AM223+AO223)</f>
        <v>1</v>
      </c>
      <c r="BL223" s="4"/>
      <c r="BM223" s="127">
        <f>CF223/102</f>
        <v>0.21666666666666667</v>
      </c>
      <c r="BN223" s="127">
        <f>C223/2</f>
        <v>4</v>
      </c>
      <c r="BO223" s="4"/>
      <c r="BP223" s="127">
        <f>(AK223)/($AW$6)</f>
        <v>0.14141414141414141</v>
      </c>
      <c r="BQ223" s="127">
        <f ca="1">(CH223-$AW$4)/((YEAR($C$13))-$AW$4)</f>
        <v>1</v>
      </c>
      <c r="BR223" s="127">
        <f>(AL223)/($AW$6)</f>
        <v>1.0101010101010102E-2</v>
      </c>
      <c r="BS223" s="4"/>
      <c r="BT223" s="127"/>
      <c r="BU223" s="127">
        <f ca="1">(CG223-$AW$4)/((YEAR($C$13))-$AW$4)</f>
        <v>1</v>
      </c>
      <c r="BV223" s="127">
        <f>AE223/5</f>
        <v>1</v>
      </c>
      <c r="BW223" s="127">
        <f>AF223/5</f>
        <v>1</v>
      </c>
      <c r="BX223" s="4"/>
      <c r="BY223" s="148" t="str">
        <f>IF(E223="A",".98",IF(E223="B",".99",IF(E223="C","1.00",IF(E223="D","1.00" ))))</f>
        <v>.98</v>
      </c>
      <c r="BZ223" s="127">
        <f>(CE223+7)/10</f>
        <v>0.8</v>
      </c>
      <c r="CA223" s="76" t="str">
        <f>IF(D223="Fern",".97",IF(D223="Grass",".99",IF(D223="Herb",".97",IF(D223="Shrub",".99",IF(D223="Tree","1.00",IF(D223="Vine",".98"))))))</f>
        <v>.97</v>
      </c>
      <c r="CB223" s="149" t="str">
        <f>IF(R223="Bogs Ponds Streams",".96", IF(R223="Coastal Areas",".97",IF(R223="Meadows Dry Open",".96",IF(R223="Forest &amp; Understory",".97",IF(R223="Moist Open",".98",IF(R223="Moist Shady",".96",IF(R223="Sub-Alpine","1.0")))))))</f>
        <v>.96</v>
      </c>
      <c r="CC223" s="76" t="str">
        <f>IF(S223="Local Endemic",".50",IF(S223="Regional Endemic",".70",IF(S223="Cascadia",".90",IF(S223="Rocky Mountain",".95",IF(S223="North America",".99")))))</f>
        <v>.99</v>
      </c>
      <c r="CD223" s="4"/>
      <c r="CE223" s="21">
        <f>IF(W223&gt;3,3,W223)</f>
        <v>1</v>
      </c>
      <c r="CF223" s="21">
        <f>IF(AC223&gt;102,102,AC223)</f>
        <v>22.1</v>
      </c>
      <c r="CG223" s="34">
        <f ca="1">IF(AI223&lt;$AW$4,$AW$4,AI223)</f>
        <v>2019</v>
      </c>
      <c r="CH223" s="34">
        <f ca="1">IF(AJ223&lt;$AW$4,$AW$4,AJ223)</f>
        <v>2019</v>
      </c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12"/>
    </row>
    <row r="224" spans="1:115" s="13" customFormat="1" ht="15" customHeight="1" x14ac:dyDescent="0.3">
      <c r="A224" s="235"/>
      <c r="B224" s="218"/>
      <c r="C224" s="226">
        <v>2</v>
      </c>
      <c r="D224" s="104" t="s">
        <v>2505</v>
      </c>
      <c r="E224" s="104" t="s">
        <v>2502</v>
      </c>
      <c r="F224" s="400">
        <f ca="1">IF(BC224&lt;2025, "Extinct&lt; 6Yrs?",BA224)</f>
        <v>2042.6844691622102</v>
      </c>
      <c r="G224" s="369" t="s">
        <v>525</v>
      </c>
      <c r="H224" s="369" t="s">
        <v>4028</v>
      </c>
      <c r="I224" s="372" t="s">
        <v>2619</v>
      </c>
      <c r="J224" s="371" t="s">
        <v>3803</v>
      </c>
      <c r="K224" s="371" t="s">
        <v>2752</v>
      </c>
      <c r="L224" s="114" t="s">
        <v>1978</v>
      </c>
      <c r="M224" s="111" t="s">
        <v>4303</v>
      </c>
      <c r="N224" s="111" t="s">
        <v>5197</v>
      </c>
      <c r="O224" s="111" t="s">
        <v>6095</v>
      </c>
      <c r="P224" s="105" t="s">
        <v>660</v>
      </c>
      <c r="Q224" s="104" t="s">
        <v>2552</v>
      </c>
      <c r="R224" s="105" t="s">
        <v>2500</v>
      </c>
      <c r="S224" s="105" t="s">
        <v>2459</v>
      </c>
      <c r="T224" s="133" t="str">
        <f>IF(R224="Bogs Ponds Streams","20",IF(R224="Coastal Areas","26",IF(R224="Meadows Dry Open","10",IF(R224="Forest &amp; Understory","14",IF(R224="Moist Open","12",IF(R224="Moist Shady","10",IF(R224="Sub-Alpine Slopes","0")))))))</f>
        <v>10</v>
      </c>
      <c r="U224" s="133" t="str">
        <f>IF(R224="Bogs Ponds Streams","52",IF(R224="Coastal Areas","51",IF(R224="Meadows Dry Open","53",IF(R224="Forest &amp; Understory","52",IF(R224="Moist Open","50",IF(R224="Moist Shady","46",IF(R224="Sub-Alpine Slopes","40")))))))</f>
        <v>53</v>
      </c>
      <c r="V224" s="133" t="str">
        <f>IF(R224="Bogs Ponds Streams","84",IF(R224="Coastal Areas","76",IF(R224="Meadows Dry Open","96", IF(R224="Forest &amp; Understory","90", IF(R224="Moist Open","88", IF(R224="Moist Shady","82", IF(R224="Sub-Alpine Slopes","80")))))))</f>
        <v>96</v>
      </c>
      <c r="W224" s="104">
        <v>1</v>
      </c>
      <c r="X224" s="104">
        <v>0</v>
      </c>
      <c r="Y224" s="104">
        <v>3500</v>
      </c>
      <c r="Z224" s="104" t="s">
        <v>2519</v>
      </c>
      <c r="AA224" s="104" t="s">
        <v>2518</v>
      </c>
      <c r="AB224" s="104">
        <v>6.8</v>
      </c>
      <c r="AC224" s="107">
        <f>C224+AK224+(0.1)*AL224</f>
        <v>9.3000000000000007</v>
      </c>
      <c r="AD224" s="113">
        <v>21</v>
      </c>
      <c r="AE224" s="104">
        <v>5</v>
      </c>
      <c r="AF224" s="104">
        <v>5</v>
      </c>
      <c r="AG224" s="104">
        <v>1900</v>
      </c>
      <c r="AH224" s="113">
        <v>0</v>
      </c>
      <c r="AI224" s="104">
        <f>AJ224</f>
        <v>2004</v>
      </c>
      <c r="AJ224" s="108">
        <v>2004</v>
      </c>
      <c r="AK224" s="108">
        <v>7</v>
      </c>
      <c r="AL224" s="108">
        <v>3</v>
      </c>
      <c r="AM224" s="109">
        <v>5</v>
      </c>
      <c r="AN224" s="109">
        <v>1</v>
      </c>
      <c r="AO224" s="109">
        <v>1</v>
      </c>
      <c r="AP224" s="109">
        <v>0</v>
      </c>
      <c r="AQ224" s="109">
        <v>0</v>
      </c>
      <c r="AR224" s="109">
        <v>0</v>
      </c>
      <c r="AS224" s="110">
        <v>0</v>
      </c>
      <c r="AT224" s="109">
        <v>0</v>
      </c>
      <c r="AU224" s="109">
        <v>0</v>
      </c>
      <c r="AV224" s="109">
        <v>0</v>
      </c>
      <c r="AW224" s="110">
        <v>0</v>
      </c>
      <c r="AX224" s="109">
        <v>0</v>
      </c>
      <c r="AY224" s="233"/>
      <c r="AZ224" s="4"/>
      <c r="BA224" s="35">
        <f ca="1">IF(OR(S224="North America",S224="Rocky Mountain"), "Widespread",BC224)</f>
        <v>2042.6844691622102</v>
      </c>
      <c r="BB224" s="4"/>
      <c r="BC224" s="35">
        <f ca="1">IF(BE224&gt;2046, "Abundant",BE224)</f>
        <v>2042.6844691622102</v>
      </c>
      <c r="BD224" s="4"/>
      <c r="BE224" s="81">
        <f ca="1">YEAR($C$13)+(BG224*80)</f>
        <v>2042.6844691622102</v>
      </c>
      <c r="BF224" s="4"/>
      <c r="BG224" s="137">
        <f ca="1">BH224*$BH$14</f>
        <v>0.29605586452762928</v>
      </c>
      <c r="BH224" s="137">
        <f ca="1">(((BJ224+BK224+BM224+BN224)/4)*$BM$11)+(((BP224+BQ224)/2)*$BQ$11)+(((BU224+BV224+BW224)/3)*$BU$11)+(((BY224+BZ224+CA224+CB224+CC224)/5)*$CA$11)</f>
        <v>0.29605586452762928</v>
      </c>
      <c r="BI224" s="4"/>
      <c r="BJ224" s="33">
        <f>AP224/(AM224+AO224)</f>
        <v>0</v>
      </c>
      <c r="BK224" s="33">
        <f>(AN224+AO224)/(AM224+AO224)</f>
        <v>0.33333333333333331</v>
      </c>
      <c r="BL224" s="4"/>
      <c r="BM224" s="127">
        <f>CF224/102</f>
        <v>9.1176470588235303E-2</v>
      </c>
      <c r="BN224" s="127">
        <f>C224/2</f>
        <v>1</v>
      </c>
      <c r="BO224" s="4"/>
      <c r="BP224" s="127">
        <f>(AK224)/($AW$6)</f>
        <v>7.0707070707070704E-2</v>
      </c>
      <c r="BQ224" s="127">
        <f ca="1">(CH224-$AW$4)/((YEAR($C$13))-$AW$4)</f>
        <v>0</v>
      </c>
      <c r="BR224" s="127">
        <f>(AL224)/($AW$6)</f>
        <v>3.0303030303030304E-2</v>
      </c>
      <c r="BS224" s="4"/>
      <c r="BT224" s="127"/>
      <c r="BU224" s="127">
        <f ca="1">(CG224-$AW$4)/((YEAR($C$13))-$AW$4)</f>
        <v>0</v>
      </c>
      <c r="BV224" s="127">
        <f>AE224/5</f>
        <v>1</v>
      </c>
      <c r="BW224" s="127">
        <f>AF224/5</f>
        <v>1</v>
      </c>
      <c r="BX224" s="4"/>
      <c r="BY224" s="148" t="str">
        <f>IF(E224="A",".98",IF(E224="B",".99",IF(E224="C","1.00",IF(E224="D","1.00" ))))</f>
        <v>.98</v>
      </c>
      <c r="BZ224" s="127">
        <f>(CE224+7)/10</f>
        <v>0.8</v>
      </c>
      <c r="CA224" s="76" t="str">
        <f>IF(D224="Fern",".97",IF(D224="Grass",".99",IF(D224="Herb",".97",IF(D224="Shrub",".99",IF(D224="Tree","1.00",IF(D224="Vine",".98"))))))</f>
        <v>.97</v>
      </c>
      <c r="CB224" s="149" t="str">
        <f>IF(R224="Bogs Ponds Streams",".96", IF(R224="Coastal Areas",".97",IF(R224="Meadows Dry Open",".96",IF(R224="Forest &amp; Understory",".97",IF(R224="Moist Open",".98",IF(R224="Moist Shady",".96",IF(R224="Sub-Alpine","1.0")))))))</f>
        <v>.96</v>
      </c>
      <c r="CC224" s="76" t="str">
        <f>IF(S224="Local Endemic",".50",IF(S224="Regional Endemic",".70",IF(S224="Cascadia",".90",IF(S224="Rocky Mountain",".95",IF(S224="North America",".99")))))</f>
        <v>.90</v>
      </c>
      <c r="CD224" s="4"/>
      <c r="CE224" s="21">
        <f>IF(W224&gt;3,3,W224)</f>
        <v>1</v>
      </c>
      <c r="CF224" s="21">
        <f>IF(AC224&gt;102,102,AC224)</f>
        <v>9.3000000000000007</v>
      </c>
      <c r="CG224" s="34">
        <f>IF(AI224&lt;$AW$4,$AW$4,AI224)</f>
        <v>2004</v>
      </c>
      <c r="CH224" s="34">
        <f>IF(AJ224&lt;$AW$4,$AW$4,AJ224)</f>
        <v>2004</v>
      </c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12"/>
    </row>
    <row r="225" spans="1:115" s="13" customFormat="1" ht="15" customHeight="1" x14ac:dyDescent="0.3">
      <c r="A225" s="235"/>
      <c r="B225" s="218"/>
      <c r="C225" s="226">
        <v>2</v>
      </c>
      <c r="D225" s="104" t="s">
        <v>2505</v>
      </c>
      <c r="E225" s="104" t="s">
        <v>2501</v>
      </c>
      <c r="F225" s="400" t="str">
        <f ca="1">IF(BC225&lt;2025, "Extinct&lt; 6Yrs?",BA225)</f>
        <v>Abundant</v>
      </c>
      <c r="G225" s="369" t="s">
        <v>525</v>
      </c>
      <c r="H225" s="369" t="s">
        <v>4028</v>
      </c>
      <c r="I225" s="371" t="s">
        <v>1365</v>
      </c>
      <c r="J225" s="371" t="s">
        <v>3802</v>
      </c>
      <c r="K225" s="371" t="s">
        <v>2009</v>
      </c>
      <c r="L225" s="106" t="s">
        <v>1977</v>
      </c>
      <c r="M225" s="111" t="s">
        <v>4304</v>
      </c>
      <c r="N225" s="111" t="s">
        <v>5198</v>
      </c>
      <c r="O225" s="111" t="s">
        <v>6096</v>
      </c>
      <c r="P225" s="401" t="s">
        <v>660</v>
      </c>
      <c r="Q225" s="104" t="s">
        <v>2552</v>
      </c>
      <c r="R225" s="161" t="s">
        <v>2497</v>
      </c>
      <c r="S225" s="114" t="s">
        <v>2459</v>
      </c>
      <c r="T225" s="133" t="str">
        <f>IF(R225="Bogs Ponds Streams","20",IF(R225="Coastal Areas","26",IF(R225="Meadows Dry Open","10",IF(R225="Forest &amp; Understory","14",IF(R225="Moist Open","12",IF(R225="Moist Shady","10",IF(R225="Sub-Alpine Slopes","0")))))))</f>
        <v>12</v>
      </c>
      <c r="U225" s="133" t="str">
        <f>IF(R225="Bogs Ponds Streams","52",IF(R225="Coastal Areas","51",IF(R225="Meadows Dry Open","53",IF(R225="Forest &amp; Understory","52",IF(R225="Moist Open","50",IF(R225="Moist Shady","46",IF(R225="Sub-Alpine Slopes","40")))))))</f>
        <v>50</v>
      </c>
      <c r="V225" s="133" t="str">
        <f>IF(R225="Bogs Ponds Streams","84",IF(R225="Coastal Areas","76",IF(R225="Meadows Dry Open","96", IF(R225="Forest &amp; Understory","90", IF(R225="Moist Open","88", IF(R225="Moist Shady","82", IF(R225="Sub-Alpine Slopes","80")))))))</f>
        <v>88</v>
      </c>
      <c r="W225" s="104">
        <v>20</v>
      </c>
      <c r="X225" s="104">
        <v>0</v>
      </c>
      <c r="Y225" s="104">
        <v>3500</v>
      </c>
      <c r="Z225" s="104" t="s">
        <v>2519</v>
      </c>
      <c r="AA225" s="104" t="s">
        <v>2518</v>
      </c>
      <c r="AB225" s="104">
        <v>6.8</v>
      </c>
      <c r="AC225" s="107">
        <f>C224+AK225+(0.1)*AL225</f>
        <v>4</v>
      </c>
      <c r="AD225" s="113">
        <v>2</v>
      </c>
      <c r="AE225" s="104">
        <v>5</v>
      </c>
      <c r="AF225" s="104">
        <v>5</v>
      </c>
      <c r="AG225" s="104">
        <v>1900</v>
      </c>
      <c r="AH225" s="113">
        <v>0</v>
      </c>
      <c r="AI225" s="104">
        <f>AJ225</f>
        <v>2018</v>
      </c>
      <c r="AJ225" s="108">
        <v>2018</v>
      </c>
      <c r="AK225" s="108">
        <v>2</v>
      </c>
      <c r="AL225" s="108">
        <v>0</v>
      </c>
      <c r="AM225" s="109">
        <v>5</v>
      </c>
      <c r="AN225" s="109">
        <v>2</v>
      </c>
      <c r="AO225" s="109">
        <v>2</v>
      </c>
      <c r="AP225" s="109">
        <v>2</v>
      </c>
      <c r="AQ225" s="109">
        <v>0</v>
      </c>
      <c r="AR225" s="109">
        <v>0</v>
      </c>
      <c r="AS225" s="110">
        <v>0</v>
      </c>
      <c r="AT225" s="109">
        <v>0</v>
      </c>
      <c r="AU225" s="109">
        <v>0</v>
      </c>
      <c r="AV225" s="109">
        <v>0</v>
      </c>
      <c r="AW225" s="110">
        <v>0</v>
      </c>
      <c r="AX225" s="109">
        <v>0</v>
      </c>
      <c r="AY225" s="233"/>
      <c r="AZ225" s="4"/>
      <c r="BA225" s="35" t="str">
        <f ca="1">IF(OR(S225="North America",S225="Rocky Mountain"), "Widespread",BC225)</f>
        <v>Abundant</v>
      </c>
      <c r="BB225" s="4"/>
      <c r="BC225" s="35" t="str">
        <f ca="1">IF(BE225&gt;2046, "Abundant",BE225)</f>
        <v>Abundant</v>
      </c>
      <c r="BD225" s="4"/>
      <c r="BE225" s="81">
        <f ca="1">YEAR($C$13)+(BG225*80)</f>
        <v>2061.0085045412106</v>
      </c>
      <c r="BF225" s="4"/>
      <c r="BG225" s="137">
        <f ca="1">BH225*$BH$14</f>
        <v>0.52510630676513026</v>
      </c>
      <c r="BH225" s="137">
        <f ca="1">(((BJ225+BK225+BM225+BN225)/4)*$BM$11)+(((BP225+BQ225)/2)*$BQ$11)+(((BU225+BV225+BW225)/3)*$BU$11)+(((BY225+BZ225+CA225+CB225+CC225)/5)*$CA$11)</f>
        <v>0.52510630676513026</v>
      </c>
      <c r="BI225" s="4"/>
      <c r="BJ225" s="33">
        <f>AP225/(AM225+AO225)</f>
        <v>0.2857142857142857</v>
      </c>
      <c r="BK225" s="33">
        <f>(AN225+AO225)/(AM225+AO225)</f>
        <v>0.5714285714285714</v>
      </c>
      <c r="BL225" s="4"/>
      <c r="BM225" s="127">
        <f>CF225/102</f>
        <v>3.9215686274509803E-2</v>
      </c>
      <c r="BN225" s="127">
        <f>C224/2</f>
        <v>1</v>
      </c>
      <c r="BO225" s="4"/>
      <c r="BP225" s="127">
        <f>(AK225)/($AW$6)</f>
        <v>2.0202020202020204E-2</v>
      </c>
      <c r="BQ225" s="127">
        <f ca="1">(CH225-$AW$4)/((YEAR($C$13))-$AW$4)</f>
        <v>0.93333333333333335</v>
      </c>
      <c r="BR225" s="127">
        <f>(AL225)/($AW$6)</f>
        <v>0</v>
      </c>
      <c r="BS225" s="4"/>
      <c r="BT225" s="127"/>
      <c r="BU225" s="127">
        <f ca="1">(CG225-$AW$4)/((YEAR($C$13))-$AW$4)</f>
        <v>0.93333333333333335</v>
      </c>
      <c r="BV225" s="127">
        <f>AE225/5</f>
        <v>1</v>
      </c>
      <c r="BW225" s="127">
        <f>AF225/5</f>
        <v>1</v>
      </c>
      <c r="BX225" s="4"/>
      <c r="BY225" s="148" t="str">
        <f>IF(E225="A",".98",IF(E225="B",".99",IF(E225="C","1.00",IF(E225="D","1.00" ))))</f>
        <v>1.00</v>
      </c>
      <c r="BZ225" s="127">
        <f>(CE225+7)/10</f>
        <v>1</v>
      </c>
      <c r="CA225" s="76" t="str">
        <f>IF(D225="Fern",".97",IF(D225="Grass",".99",IF(D225="Herb",".97",IF(D225="Shrub",".99",IF(D225="Tree","1.00",IF(D225="Vine",".98"))))))</f>
        <v>.97</v>
      </c>
      <c r="CB225" s="149" t="str">
        <f>IF(R225="Bogs Ponds Streams",".96", IF(R225="Coastal Areas",".97",IF(R225="Meadows Dry Open",".96",IF(R225="Forest &amp; Understory",".97",IF(R225="Moist Open",".98",IF(R225="Moist Shady",".96",IF(R225="Sub-Alpine","1.0")))))))</f>
        <v>.98</v>
      </c>
      <c r="CC225" s="76" t="str">
        <f>IF(S225="Local Endemic",".50",IF(S225="Regional Endemic",".70",IF(S225="Cascadia",".90",IF(S225="Rocky Mountain",".95",IF(S225="North America",".99")))))</f>
        <v>.90</v>
      </c>
      <c r="CD225" s="4"/>
      <c r="CE225" s="21">
        <f>IF(W225&gt;3,3,W225)</f>
        <v>3</v>
      </c>
      <c r="CF225" s="21">
        <f>IF(AC225&gt;102,102,AC225)</f>
        <v>4</v>
      </c>
      <c r="CG225" s="34">
        <f>IF(AI225&lt;$AW$4,$AW$4,AI225)</f>
        <v>2018</v>
      </c>
      <c r="CH225" s="34">
        <f>IF(AJ225&lt;$AW$4,$AW$4,AJ225)</f>
        <v>2018</v>
      </c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</row>
    <row r="226" spans="1:115" s="13" customFormat="1" ht="15" customHeight="1" x14ac:dyDescent="0.3">
      <c r="A226" s="235"/>
      <c r="B226" s="218"/>
      <c r="C226" s="226">
        <v>2</v>
      </c>
      <c r="D226" s="104" t="s">
        <v>2505</v>
      </c>
      <c r="E226" s="104" t="s">
        <v>2501</v>
      </c>
      <c r="F226" s="400">
        <f ca="1">IF(BC226&lt;2025, "Extinct&lt; 6Yrs?",BA226)</f>
        <v>2042.1402210338681</v>
      </c>
      <c r="G226" s="369" t="s">
        <v>525</v>
      </c>
      <c r="H226" s="369" t="s">
        <v>4028</v>
      </c>
      <c r="I226" s="371" t="s">
        <v>1366</v>
      </c>
      <c r="J226" s="371" t="s">
        <v>3801</v>
      </c>
      <c r="K226" s="371" t="s">
        <v>1380</v>
      </c>
      <c r="L226" s="106" t="s">
        <v>1976</v>
      </c>
      <c r="M226" s="111" t="s">
        <v>4305</v>
      </c>
      <c r="N226" s="111" t="s">
        <v>5199</v>
      </c>
      <c r="O226" s="111" t="s">
        <v>6097</v>
      </c>
      <c r="P226" s="401" t="s">
        <v>752</v>
      </c>
      <c r="Q226" s="104" t="s">
        <v>2552</v>
      </c>
      <c r="R226" s="161" t="s">
        <v>2497</v>
      </c>
      <c r="S226" s="114" t="s">
        <v>2316</v>
      </c>
      <c r="T226" s="133" t="str">
        <f>IF(R226="Bogs Ponds Streams","20",IF(R226="Coastal Areas","26",IF(R226="Meadows Dry Open","10",IF(R226="Forest &amp; Understory","14",IF(R226="Moist Open","12",IF(R226="Moist Shady","10",IF(R226="Sub-Alpine Slopes","0")))))))</f>
        <v>12</v>
      </c>
      <c r="U226" s="133" t="str">
        <f>IF(R226="Bogs Ponds Streams","52",IF(R226="Coastal Areas","51",IF(R226="Meadows Dry Open","53",IF(R226="Forest &amp; Understory","52",IF(R226="Moist Open","50",IF(R226="Moist Shady","46",IF(R226="Sub-Alpine Slopes","40")))))))</f>
        <v>50</v>
      </c>
      <c r="V226" s="133" t="str">
        <f>IF(R226="Bogs Ponds Streams","84",IF(R226="Coastal Areas","76",IF(R226="Meadows Dry Open","96", IF(R226="Forest &amp; Understory","90", IF(R226="Moist Open","88", IF(R226="Moist Shady","82", IF(R226="Sub-Alpine Slopes","80")))))))</f>
        <v>88</v>
      </c>
      <c r="W226" s="104">
        <v>20</v>
      </c>
      <c r="X226" s="104">
        <v>0</v>
      </c>
      <c r="Y226" s="104">
        <v>3500</v>
      </c>
      <c r="Z226" s="104" t="s">
        <v>2519</v>
      </c>
      <c r="AA226" s="104" t="s">
        <v>2518</v>
      </c>
      <c r="AB226" s="104">
        <v>6.8</v>
      </c>
      <c r="AC226" s="107">
        <f>C226+AK226+(0.1)*AL226</f>
        <v>8.1999999999999993</v>
      </c>
      <c r="AD226" s="113">
        <v>162</v>
      </c>
      <c r="AE226" s="104">
        <v>5</v>
      </c>
      <c r="AF226" s="104">
        <v>5</v>
      </c>
      <c r="AG226" s="104">
        <v>1900</v>
      </c>
      <c r="AH226" s="113">
        <v>0</v>
      </c>
      <c r="AI226" s="104">
        <f>AJ226</f>
        <v>2004</v>
      </c>
      <c r="AJ226" s="108">
        <v>2004</v>
      </c>
      <c r="AK226" s="108">
        <v>4</v>
      </c>
      <c r="AL226" s="108">
        <v>22</v>
      </c>
      <c r="AM226" s="109">
        <v>5</v>
      </c>
      <c r="AN226" s="109">
        <v>1</v>
      </c>
      <c r="AO226" s="109">
        <v>1</v>
      </c>
      <c r="AP226" s="109">
        <v>0</v>
      </c>
      <c r="AQ226" s="109">
        <v>0</v>
      </c>
      <c r="AR226" s="109">
        <v>0</v>
      </c>
      <c r="AS226" s="110">
        <v>0</v>
      </c>
      <c r="AT226" s="109">
        <v>0</v>
      </c>
      <c r="AU226" s="109">
        <v>0</v>
      </c>
      <c r="AV226" s="109">
        <v>0</v>
      </c>
      <c r="AW226" s="110">
        <v>0</v>
      </c>
      <c r="AX226" s="109">
        <v>0</v>
      </c>
      <c r="AY226" s="233"/>
      <c r="AZ226" s="4"/>
      <c r="BA226" s="35">
        <f ca="1">IF(OR(S226="North America",S226="Rocky Mountain"), "Widespread",BC226)</f>
        <v>2042.1402210338681</v>
      </c>
      <c r="BB226" s="4"/>
      <c r="BC226" s="35">
        <f ca="1">IF(BE226&gt;2046, "Abundant",BE226)</f>
        <v>2042.1402210338681</v>
      </c>
      <c r="BD226" s="4"/>
      <c r="BE226" s="81">
        <f ca="1">YEAR($C$13)+(BG226*80)</f>
        <v>2042.1402210338681</v>
      </c>
      <c r="BF226" s="4"/>
      <c r="BG226" s="137">
        <f ca="1">BH226*$BH$14</f>
        <v>0.28925276292335111</v>
      </c>
      <c r="BH226" s="137">
        <f ca="1">(((BJ226+BK226+BM226+BN226)/4)*$BM$11)+(((BP226+BQ226)/2)*$BQ$11)+(((BU226+BV226+BW226)/3)*$BU$11)+(((BY226+BZ226+CA226+CB226+CC226)/5)*$CA$11)</f>
        <v>0.28925276292335111</v>
      </c>
      <c r="BI226" s="4"/>
      <c r="BJ226" s="33">
        <f>AP226/(AM226+AO226)</f>
        <v>0</v>
      </c>
      <c r="BK226" s="33">
        <f>(AN226+AO226)/(AM226+AO226)</f>
        <v>0.33333333333333331</v>
      </c>
      <c r="BL226" s="4"/>
      <c r="BM226" s="127">
        <f>CF226/102</f>
        <v>8.039215686274509E-2</v>
      </c>
      <c r="BN226" s="127">
        <f>C226/2</f>
        <v>1</v>
      </c>
      <c r="BO226" s="4"/>
      <c r="BP226" s="127">
        <f>(AK226)/($AW$6)</f>
        <v>4.0404040404040407E-2</v>
      </c>
      <c r="BQ226" s="127">
        <f ca="1">(CH226-$AW$4)/((YEAR($C$13))-$AW$4)</f>
        <v>0</v>
      </c>
      <c r="BR226" s="127">
        <f>(AL226)/($AW$6)</f>
        <v>0.22222222222222221</v>
      </c>
      <c r="BS226" s="4"/>
      <c r="BT226" s="127"/>
      <c r="BU226" s="127">
        <f ca="1">(CG226-$AW$4)/((YEAR($C$13))-$AW$4)</f>
        <v>0</v>
      </c>
      <c r="BV226" s="127">
        <f>AE226/5</f>
        <v>1</v>
      </c>
      <c r="BW226" s="127">
        <f>AF226/5</f>
        <v>1</v>
      </c>
      <c r="BX226" s="4"/>
      <c r="BY226" s="148" t="str">
        <f>IF(E226="A",".98",IF(E226="B",".99",IF(E226="C","1.00",IF(E226="D","1.00" ))))</f>
        <v>1.00</v>
      </c>
      <c r="BZ226" s="127">
        <f>(CE226+7)/10</f>
        <v>1</v>
      </c>
      <c r="CA226" s="76" t="str">
        <f>IF(D226="Fern",".97",IF(D226="Grass",".99",IF(D226="Herb",".97",IF(D226="Shrub",".99",IF(D226="Tree","1.00",IF(D226="Vine",".98"))))))</f>
        <v>.97</v>
      </c>
      <c r="CB226" s="149" t="str">
        <f>IF(R226="Bogs Ponds Streams",".96", IF(R226="Coastal Areas",".97",IF(R226="Meadows Dry Open",".96",IF(R226="Forest &amp; Understory",".97",IF(R226="Moist Open",".98",IF(R226="Moist Shady",".96",IF(R226="Sub-Alpine","1.0")))))))</f>
        <v>.98</v>
      </c>
      <c r="CC226" s="76" t="str">
        <f>IF(S226="Local Endemic",".50",IF(S226="Regional Endemic",".70",IF(S226="Cascadia",".90",IF(S226="Rocky Mountain",".95",IF(S226="North America",".99")))))</f>
        <v>.50</v>
      </c>
      <c r="CD226" s="4"/>
      <c r="CE226" s="21">
        <f>IF(W226&gt;3,3,W226)</f>
        <v>3</v>
      </c>
      <c r="CF226" s="21">
        <f>IF(AC226&gt;102,102,AC226)</f>
        <v>8.1999999999999993</v>
      </c>
      <c r="CG226" s="34">
        <f>IF(AI226&lt;$AW$4,$AW$4,AI226)</f>
        <v>2004</v>
      </c>
      <c r="CH226" s="34">
        <f>IF(AJ226&lt;$AW$4,$AW$4,AJ226)</f>
        <v>2004</v>
      </c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</row>
    <row r="227" spans="1:115" s="13" customFormat="1" ht="15" customHeight="1" x14ac:dyDescent="0.3">
      <c r="A227" s="235"/>
      <c r="B227" s="218"/>
      <c r="C227" s="226">
        <v>2</v>
      </c>
      <c r="D227" s="104" t="s">
        <v>2505</v>
      </c>
      <c r="E227" s="104" t="s">
        <v>2502</v>
      </c>
      <c r="F227" s="400" t="str">
        <f ca="1">IF(BC227&lt;2025, "Extinct&lt; 6Yrs?",BA227)</f>
        <v>Widespread</v>
      </c>
      <c r="G227" s="369" t="s">
        <v>525</v>
      </c>
      <c r="H227" s="369" t="s">
        <v>4028</v>
      </c>
      <c r="I227" s="370" t="s">
        <v>3048</v>
      </c>
      <c r="J227" s="371" t="s">
        <v>3800</v>
      </c>
      <c r="K227" s="371" t="s">
        <v>915</v>
      </c>
      <c r="L227" s="106" t="s">
        <v>1975</v>
      </c>
      <c r="M227" s="111" t="s">
        <v>4306</v>
      </c>
      <c r="N227" s="111" t="s">
        <v>5200</v>
      </c>
      <c r="O227" s="111" t="s">
        <v>6098</v>
      </c>
      <c r="P227" s="105" t="s">
        <v>752</v>
      </c>
      <c r="Q227" s="104" t="s">
        <v>2552</v>
      </c>
      <c r="R227" s="105" t="s">
        <v>2500</v>
      </c>
      <c r="S227" s="105" t="s">
        <v>2479</v>
      </c>
      <c r="T227" s="133" t="str">
        <f>IF(R227="Bogs Ponds Streams","20",IF(R227="Coastal Areas","26",IF(R227="Meadows Dry Open","10",IF(R227="Forest &amp; Understory","14",IF(R227="Moist Open","12",IF(R227="Moist Shady","10",IF(R227="Sub-Alpine Slopes","0")))))))</f>
        <v>10</v>
      </c>
      <c r="U227" s="133" t="str">
        <f>IF(R227="Bogs Ponds Streams","52",IF(R227="Coastal Areas","51",IF(R227="Meadows Dry Open","53",IF(R227="Forest &amp; Understory","52",IF(R227="Moist Open","50",IF(R227="Moist Shady","46",IF(R227="Sub-Alpine Slopes","40")))))))</f>
        <v>53</v>
      </c>
      <c r="V227" s="133" t="str">
        <f>IF(R227="Bogs Ponds Streams","84",IF(R227="Coastal Areas","76",IF(R227="Meadows Dry Open","96", IF(R227="Forest &amp; Understory","90", IF(R227="Moist Open","88", IF(R227="Moist Shady","82", IF(R227="Sub-Alpine Slopes","80")))))))</f>
        <v>96</v>
      </c>
      <c r="W227" s="104">
        <v>1</v>
      </c>
      <c r="X227" s="104">
        <v>0</v>
      </c>
      <c r="Y227" s="104">
        <v>3500</v>
      </c>
      <c r="Z227" s="104" t="s">
        <v>2519</v>
      </c>
      <c r="AA227" s="104" t="s">
        <v>2518</v>
      </c>
      <c r="AB227" s="104">
        <v>6.8</v>
      </c>
      <c r="AC227" s="107">
        <f>C227+AK227+(0.1)*AL227</f>
        <v>26.2</v>
      </c>
      <c r="AD227" s="113">
        <v>119</v>
      </c>
      <c r="AE227" s="104">
        <v>5</v>
      </c>
      <c r="AF227" s="104">
        <v>5</v>
      </c>
      <c r="AG227" s="104">
        <v>1900</v>
      </c>
      <c r="AH227" s="113">
        <v>0</v>
      </c>
      <c r="AI227" s="104">
        <f>AJ227</f>
        <v>2004</v>
      </c>
      <c r="AJ227" s="108">
        <v>2004</v>
      </c>
      <c r="AK227" s="108">
        <v>22</v>
      </c>
      <c r="AL227" s="108">
        <v>22</v>
      </c>
      <c r="AM227" s="109">
        <v>5</v>
      </c>
      <c r="AN227" s="109">
        <v>1</v>
      </c>
      <c r="AO227" s="110">
        <v>0</v>
      </c>
      <c r="AP227" s="109">
        <v>0</v>
      </c>
      <c r="AQ227" s="109">
        <v>0</v>
      </c>
      <c r="AR227" s="109">
        <v>0</v>
      </c>
      <c r="AS227" s="110">
        <v>0</v>
      </c>
      <c r="AT227" s="109">
        <v>0</v>
      </c>
      <c r="AU227" s="109">
        <v>0</v>
      </c>
      <c r="AV227" s="109">
        <v>0</v>
      </c>
      <c r="AW227" s="110">
        <v>0</v>
      </c>
      <c r="AX227" s="109">
        <v>0</v>
      </c>
      <c r="AY227" s="233"/>
      <c r="AZ227" s="4"/>
      <c r="BA227" s="35" t="str">
        <f>IF(OR(S227="North America",S227="Rocky Mountain"), "Widespread",BC227)</f>
        <v>Widespread</v>
      </c>
      <c r="BB227" s="4"/>
      <c r="BC227" s="35">
        <f ca="1">IF(BE227&gt;2046, "Abundant",BE227)</f>
        <v>2044.9068862745098</v>
      </c>
      <c r="BD227" s="4"/>
      <c r="BE227" s="81">
        <f ca="1">YEAR($C$13)+(BG227*80)</f>
        <v>2044.9068862745098</v>
      </c>
      <c r="BF227" s="4"/>
      <c r="BG227" s="137">
        <f ca="1">BH227*$BH$14</f>
        <v>0.32383607843137252</v>
      </c>
      <c r="BH227" s="137">
        <f ca="1">(((BJ227+BK227+BM227+BN227)/4)*$BM$11)+(((BP227+BQ227)/2)*$BQ$11)+(((BU227+BV227+BW227)/3)*$BU$11)+(((BY227+BZ227+CA227+CB227+CC227)/5)*$CA$11)</f>
        <v>0.32383607843137252</v>
      </c>
      <c r="BI227" s="4"/>
      <c r="BJ227" s="33">
        <f>AP227/(AM227+AO227)</f>
        <v>0</v>
      </c>
      <c r="BK227" s="33">
        <f>(AN227+AO227)/(AM227+AO227)</f>
        <v>0.2</v>
      </c>
      <c r="BL227" s="4"/>
      <c r="BM227" s="127">
        <f>CF227/102</f>
        <v>0.25686274509803919</v>
      </c>
      <c r="BN227" s="127">
        <f>C227/2</f>
        <v>1</v>
      </c>
      <c r="BO227" s="4"/>
      <c r="BP227" s="127">
        <f>(AK227)/($AW$6)</f>
        <v>0.22222222222222221</v>
      </c>
      <c r="BQ227" s="127">
        <f ca="1">(CH227-$AW$4)/((YEAR($C$13))-$AW$4)</f>
        <v>0</v>
      </c>
      <c r="BR227" s="127">
        <f>(AL227)/($AW$6)</f>
        <v>0.22222222222222221</v>
      </c>
      <c r="BS227" s="4"/>
      <c r="BT227" s="127"/>
      <c r="BU227" s="127">
        <f ca="1">(CG227-$AW$4)/((YEAR($C$13))-$AW$4)</f>
        <v>0</v>
      </c>
      <c r="BV227" s="127">
        <f>AE227/5</f>
        <v>1</v>
      </c>
      <c r="BW227" s="127">
        <f>AF227/5</f>
        <v>1</v>
      </c>
      <c r="BX227" s="4"/>
      <c r="BY227" s="148" t="str">
        <f>IF(E227="A",".98",IF(E227="B",".99",IF(E227="C","1.00",IF(E227="D","1.00" ))))</f>
        <v>.98</v>
      </c>
      <c r="BZ227" s="127">
        <f>(CE227+7)/10</f>
        <v>0.8</v>
      </c>
      <c r="CA227" s="76" t="str">
        <f>IF(D227="Fern",".97",IF(D227="Grass",".99",IF(D227="Herb",".97",IF(D227="Shrub",".99",IF(D227="Tree","1.00",IF(D227="Vine",".98"))))))</f>
        <v>.97</v>
      </c>
      <c r="CB227" s="149" t="str">
        <f>IF(R227="Bogs Ponds Streams",".96", IF(R227="Coastal Areas",".97",IF(R227="Meadows Dry Open",".96",IF(R227="Forest &amp; Understory",".97",IF(R227="Moist Open",".98",IF(R227="Moist Shady",".96",IF(R227="Sub-Alpine","1.0")))))))</f>
        <v>.96</v>
      </c>
      <c r="CC227" s="76" t="str">
        <f>IF(S227="Local Endemic",".50",IF(S227="Regional Endemic",".70",IF(S227="Cascadia",".90",IF(S227="Rocky Mountain",".95",IF(S227="North America",".99")))))</f>
        <v>.95</v>
      </c>
      <c r="CD227" s="4"/>
      <c r="CE227" s="21">
        <f>IF(W227&gt;3,3,W227)</f>
        <v>1</v>
      </c>
      <c r="CF227" s="21">
        <f>IF(AC227&gt;102,102,AC227)</f>
        <v>26.2</v>
      </c>
      <c r="CG227" s="34">
        <f>IF(AI227&lt;$AW$4,$AW$4,AI227)</f>
        <v>2004</v>
      </c>
      <c r="CH227" s="34">
        <f>IF(AJ227&lt;$AW$4,$AW$4,AJ227)</f>
        <v>2004</v>
      </c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</row>
    <row r="228" spans="1:115" s="13" customFormat="1" ht="15" customHeight="1" x14ac:dyDescent="0.3">
      <c r="A228" s="235"/>
      <c r="B228" s="218"/>
      <c r="C228" s="225">
        <v>8</v>
      </c>
      <c r="D228" s="59" t="s">
        <v>2505</v>
      </c>
      <c r="E228" s="59" t="s">
        <v>2501</v>
      </c>
      <c r="F228" s="397" t="str">
        <f ca="1">IF(BC228&lt;2025, "Extinct&lt; 6Yrs?",BA228)</f>
        <v>Widespread</v>
      </c>
      <c r="G228" s="363" t="s">
        <v>525</v>
      </c>
      <c r="H228" s="363" t="s">
        <v>686</v>
      </c>
      <c r="I228" s="366" t="s">
        <v>278</v>
      </c>
      <c r="J228" s="365" t="s">
        <v>3281</v>
      </c>
      <c r="K228" s="365" t="s">
        <v>277</v>
      </c>
      <c r="L228" s="10" t="s">
        <v>1974</v>
      </c>
      <c r="M228" s="8" t="s">
        <v>4307</v>
      </c>
      <c r="N228" s="8" t="s">
        <v>5201</v>
      </c>
      <c r="O228" s="8" t="s">
        <v>6099</v>
      </c>
      <c r="P228" s="9" t="s">
        <v>752</v>
      </c>
      <c r="Q228" s="59" t="s">
        <v>2552</v>
      </c>
      <c r="R228" s="9" t="s">
        <v>2497</v>
      </c>
      <c r="S228" s="9" t="s">
        <v>2479</v>
      </c>
      <c r="T228" s="123" t="str">
        <f>IF(R228="Bogs Ponds Streams","20",IF(R228="Coastal Areas","26",IF(R228="Meadows Dry Open","10",IF(R228="Forest &amp; Understory","14",IF(R228="Moist Open","12",IF(R228="Moist Shady","10",IF(R228="Sub-Alpine Slopes","0")))))))</f>
        <v>12</v>
      </c>
      <c r="U228" s="123" t="str">
        <f>IF(R228="Bogs Ponds Streams","52",IF(R228="Coastal Areas","51",IF(R228="Meadows Dry Open","53",IF(R228="Forest &amp; Understory","52",IF(R228="Moist Open","50",IF(R228="Moist Shady","46",IF(R228="Sub-Alpine Slopes","40")))))))</f>
        <v>50</v>
      </c>
      <c r="V228" s="123" t="str">
        <f>IF(R228="Bogs Ponds Streams","84",IF(R228="Coastal Areas","76",IF(R228="Meadows Dry Open","96", IF(R228="Forest &amp; Understory","90", IF(R228="Moist Open","88", IF(R228="Moist Shady","82", IF(R228="Sub-Alpine Slopes","80")))))))</f>
        <v>88</v>
      </c>
      <c r="W228" s="59">
        <v>20</v>
      </c>
      <c r="X228" s="59">
        <v>0</v>
      </c>
      <c r="Y228" s="59">
        <v>3500</v>
      </c>
      <c r="Z228" s="59" t="s">
        <v>2519</v>
      </c>
      <c r="AA228" s="59" t="s">
        <v>2518</v>
      </c>
      <c r="AB228" s="59">
        <v>6.8</v>
      </c>
      <c r="AC228" s="45">
        <f>C228+AK228+(0.1)*AL228</f>
        <v>31</v>
      </c>
      <c r="AD228" s="77">
        <v>163</v>
      </c>
      <c r="AE228" s="59">
        <v>5</v>
      </c>
      <c r="AF228" s="59">
        <v>5</v>
      </c>
      <c r="AG228" s="59">
        <v>1900</v>
      </c>
      <c r="AH228" s="77">
        <v>0</v>
      </c>
      <c r="AI228" s="59">
        <f ca="1">AJ228</f>
        <v>2019</v>
      </c>
      <c r="AJ228" s="18">
        <f ca="1">YEAR(TODAY())</f>
        <v>2019</v>
      </c>
      <c r="AK228" s="18">
        <v>20</v>
      </c>
      <c r="AL228" s="18">
        <v>30</v>
      </c>
      <c r="AM228" s="18">
        <v>1</v>
      </c>
      <c r="AN228" s="18">
        <v>1</v>
      </c>
      <c r="AO228" s="18">
        <v>5</v>
      </c>
      <c r="AP228" s="18">
        <v>1</v>
      </c>
      <c r="AQ228" s="18">
        <v>0</v>
      </c>
      <c r="AR228" s="18">
        <v>0</v>
      </c>
      <c r="AS228" s="18">
        <v>0</v>
      </c>
      <c r="AT228" s="18">
        <v>0</v>
      </c>
      <c r="AU228" s="18">
        <v>0</v>
      </c>
      <c r="AV228" s="18">
        <v>0</v>
      </c>
      <c r="AW228" s="18">
        <v>0</v>
      </c>
      <c r="AX228" s="18">
        <v>0</v>
      </c>
      <c r="AY228" s="233"/>
      <c r="AZ228" s="4"/>
      <c r="BA228" s="35" t="str">
        <f>IF(OR(S228="North America",S228="Rocky Mountain"), "Widespread",BC228)</f>
        <v>Widespread</v>
      </c>
      <c r="BB228" s="4"/>
      <c r="BC228" s="35" t="str">
        <f ca="1">IF(BE228&gt;2046, "Abundant",BE228)</f>
        <v>Abundant</v>
      </c>
      <c r="BD228" s="4"/>
      <c r="BE228" s="81">
        <f ca="1">YEAR($C$13)+(BG228*80)</f>
        <v>2107.0393012477716</v>
      </c>
      <c r="BF228" s="4"/>
      <c r="BG228" s="137">
        <f ca="1">BH228*$BH$14</f>
        <v>1.1004912655971482</v>
      </c>
      <c r="BH228" s="137">
        <f ca="1">(((BJ228+BK228+BM228+BN228)/4)*$BM$11)+(((BP228+BQ228)/2)*$BQ$11)+(((BU228+BV228+BW228)/3)*$BU$11)+(((BY228+BZ228+CA228+CB228+CC228)/5)*$CA$11)</f>
        <v>1.1004912655971482</v>
      </c>
      <c r="BI228" s="4"/>
      <c r="BJ228" s="33">
        <f>AP228/(AM228+AO228)</f>
        <v>0.16666666666666666</v>
      </c>
      <c r="BK228" s="33">
        <f>(AN228+AO228)/(AM228+AO228)</f>
        <v>1</v>
      </c>
      <c r="BL228" s="4"/>
      <c r="BM228" s="127">
        <f>CF228/102</f>
        <v>0.30392156862745096</v>
      </c>
      <c r="BN228" s="127">
        <f>C228/2</f>
        <v>4</v>
      </c>
      <c r="BO228" s="4"/>
      <c r="BP228" s="127">
        <f>(AK228)/($AW$6)</f>
        <v>0.20202020202020202</v>
      </c>
      <c r="BQ228" s="127">
        <f ca="1">(CH228-$AW$4)/((YEAR($C$13))-$AW$4)</f>
        <v>1</v>
      </c>
      <c r="BR228" s="127">
        <f>(AL228)/($AW$6)</f>
        <v>0.30303030303030304</v>
      </c>
      <c r="BS228" s="4"/>
      <c r="BT228" s="127"/>
      <c r="BU228" s="127">
        <f ca="1">(CG228-$AW$4)/((YEAR($C$13))-$AW$4)</f>
        <v>1</v>
      </c>
      <c r="BV228" s="127">
        <f>AE228/5</f>
        <v>1</v>
      </c>
      <c r="BW228" s="127">
        <f>AF228/5</f>
        <v>1</v>
      </c>
      <c r="BX228" s="4"/>
      <c r="BY228" s="148" t="str">
        <f>IF(E228="A",".98",IF(E228="B",".99",IF(E228="C","1.00",IF(E228="D","1.00" ))))</f>
        <v>1.00</v>
      </c>
      <c r="BZ228" s="127">
        <f>(CE228+7)/10</f>
        <v>1</v>
      </c>
      <c r="CA228" s="76" t="str">
        <f>IF(D228="Fern",".97",IF(D228="Grass",".99",IF(D228="Herb",".97",IF(D228="Shrub",".99",IF(D228="Tree","1.00",IF(D228="Vine",".98"))))))</f>
        <v>.97</v>
      </c>
      <c r="CB228" s="149" t="str">
        <f>IF(R228="Bogs Ponds Streams",".96", IF(R228="Coastal Areas",".97",IF(R228="Meadows Dry Open",".96",IF(R228="Forest &amp; Understory",".97",IF(R228="Moist Open",".98",IF(R228="Moist Shady",".96",IF(R228="Sub-Alpine","1.0")))))))</f>
        <v>.98</v>
      </c>
      <c r="CC228" s="76" t="str">
        <f>IF(S228="Local Endemic",".50",IF(S228="Regional Endemic",".70",IF(S228="Cascadia",".90",IF(S228="Rocky Mountain",".95",IF(S228="North America",".99")))))</f>
        <v>.95</v>
      </c>
      <c r="CD228" s="4"/>
      <c r="CE228" s="21">
        <f>IF(W228&gt;3,3,W228)</f>
        <v>3</v>
      </c>
      <c r="CF228" s="21">
        <f>IF(AC228&gt;102,102,AC228)</f>
        <v>31</v>
      </c>
      <c r="CG228" s="34">
        <f ca="1">IF(AI228&lt;$AW$4,$AW$4,AI228)</f>
        <v>2019</v>
      </c>
      <c r="CH228" s="34">
        <f ca="1">IF(AJ228&lt;$AW$4,$AW$4,AJ228)</f>
        <v>2019</v>
      </c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12"/>
    </row>
    <row r="229" spans="1:115" s="13" customFormat="1" ht="15" customHeight="1" x14ac:dyDescent="0.3">
      <c r="A229" s="235"/>
      <c r="B229" s="218"/>
      <c r="C229" s="226">
        <v>2</v>
      </c>
      <c r="D229" s="104" t="s">
        <v>2505</v>
      </c>
      <c r="E229" s="104" t="s">
        <v>2502</v>
      </c>
      <c r="F229" s="400" t="str">
        <f ca="1">IF(BC229&lt;2025, "Extinct&lt; 6Yrs?",BA229)</f>
        <v>Widespread</v>
      </c>
      <c r="G229" s="369" t="s">
        <v>525</v>
      </c>
      <c r="H229" s="369" t="s">
        <v>4028</v>
      </c>
      <c r="I229" s="370" t="s">
        <v>279</v>
      </c>
      <c r="J229" s="371" t="s">
        <v>3799</v>
      </c>
      <c r="K229" s="371" t="s">
        <v>916</v>
      </c>
      <c r="L229" s="106" t="s">
        <v>1973</v>
      </c>
      <c r="M229" s="111" t="s">
        <v>4308</v>
      </c>
      <c r="N229" s="111" t="s">
        <v>5202</v>
      </c>
      <c r="O229" s="111" t="s">
        <v>6100</v>
      </c>
      <c r="P229" s="105" t="s">
        <v>752</v>
      </c>
      <c r="Q229" s="104" t="s">
        <v>2552</v>
      </c>
      <c r="R229" s="105" t="s">
        <v>2453</v>
      </c>
      <c r="S229" s="105" t="s">
        <v>2479</v>
      </c>
      <c r="T229" s="133" t="str">
        <f>IF(R229="Bogs Ponds Streams","20",IF(R229="Coastal Areas","26",IF(R229="Meadows Dry Open","10",IF(R229="Forest &amp; Understory","14",IF(R229="Moist Open","12",IF(R229="Moist Shady","10",IF(R229="Sub-Alpine Slopes","0")))))))</f>
        <v>26</v>
      </c>
      <c r="U229" s="133" t="str">
        <f>IF(R229="Bogs Ponds Streams","52",IF(R229="Coastal Areas","51",IF(R229="Meadows Dry Open","53",IF(R229="Forest &amp; Understory","52",IF(R229="Moist Open","50",IF(R229="Moist Shady","46",IF(R229="Sub-Alpine Slopes","40")))))))</f>
        <v>51</v>
      </c>
      <c r="V229" s="133" t="str">
        <f>IF(R229="Bogs Ponds Streams","84",IF(R229="Coastal Areas","76",IF(R229="Meadows Dry Open","96", IF(R229="Forest &amp; Understory","90", IF(R229="Moist Open","88", IF(R229="Moist Shady","82", IF(R229="Sub-Alpine Slopes","80")))))))</f>
        <v>76</v>
      </c>
      <c r="W229" s="104">
        <v>1</v>
      </c>
      <c r="X229" s="104">
        <v>0</v>
      </c>
      <c r="Y229" s="104">
        <v>3500</v>
      </c>
      <c r="Z229" s="104" t="s">
        <v>2519</v>
      </c>
      <c r="AA229" s="104" t="s">
        <v>2518</v>
      </c>
      <c r="AB229" s="104">
        <v>6.8</v>
      </c>
      <c r="AC229" s="107">
        <f>C229+AK229+(0.1)*AL229</f>
        <v>17.3</v>
      </c>
      <c r="AD229" s="113">
        <v>215</v>
      </c>
      <c r="AE229" s="104">
        <v>5</v>
      </c>
      <c r="AF229" s="104">
        <v>5</v>
      </c>
      <c r="AG229" s="104">
        <v>1900</v>
      </c>
      <c r="AH229" s="113">
        <v>0</v>
      </c>
      <c r="AI229" s="104">
        <f>AJ229</f>
        <v>2004</v>
      </c>
      <c r="AJ229" s="108">
        <v>2004</v>
      </c>
      <c r="AK229" s="108">
        <v>12</v>
      </c>
      <c r="AL229" s="108">
        <v>33</v>
      </c>
      <c r="AM229" s="109">
        <v>5</v>
      </c>
      <c r="AN229" s="109">
        <v>1</v>
      </c>
      <c r="AO229" s="110">
        <v>0</v>
      </c>
      <c r="AP229" s="109">
        <v>0</v>
      </c>
      <c r="AQ229" s="109">
        <v>0</v>
      </c>
      <c r="AR229" s="109">
        <v>0</v>
      </c>
      <c r="AS229" s="110">
        <v>0</v>
      </c>
      <c r="AT229" s="109">
        <v>0</v>
      </c>
      <c r="AU229" s="109">
        <v>0</v>
      </c>
      <c r="AV229" s="109">
        <v>0</v>
      </c>
      <c r="AW229" s="110">
        <v>0</v>
      </c>
      <c r="AX229" s="109">
        <v>0</v>
      </c>
      <c r="AY229" s="233"/>
      <c r="AZ229" s="4"/>
      <c r="BA229" s="35" t="str">
        <f>IF(OR(S229="North America",S229="Rocky Mountain"), "Widespread",BC229)</f>
        <v>Widespread</v>
      </c>
      <c r="BB229" s="4"/>
      <c r="BC229" s="35">
        <f ca="1">IF(BE229&gt;2046, "Abundant",BE229)</f>
        <v>2042.6509062388591</v>
      </c>
      <c r="BD229" s="4"/>
      <c r="BE229" s="81">
        <f ca="1">YEAR($C$13)+(BG229*80)</f>
        <v>2042.6509062388591</v>
      </c>
      <c r="BF229" s="4"/>
      <c r="BG229" s="137">
        <f ca="1">BH229*$BH$14</f>
        <v>0.29563632798573974</v>
      </c>
      <c r="BH229" s="137">
        <f ca="1">(((BJ229+BK229+BM229+BN229)/4)*$BM$11)+(((BP229+BQ229)/2)*$BQ$11)+(((BU229+BV229+BW229)/3)*$BU$11)+(((BY229+BZ229+CA229+CB229+CC229)/5)*$CA$11)</f>
        <v>0.29563632798573974</v>
      </c>
      <c r="BI229" s="4"/>
      <c r="BJ229" s="33">
        <f>AP229/(AM229+AO229)</f>
        <v>0</v>
      </c>
      <c r="BK229" s="33">
        <f>(AN229+AO229)/(AM229+AO229)</f>
        <v>0.2</v>
      </c>
      <c r="BL229" s="4"/>
      <c r="BM229" s="127">
        <f>CF229/102</f>
        <v>0.16960784313725491</v>
      </c>
      <c r="BN229" s="127">
        <f>C229/2</f>
        <v>1</v>
      </c>
      <c r="BO229" s="4"/>
      <c r="BP229" s="127">
        <f>(AK229)/($AW$6)</f>
        <v>0.12121212121212122</v>
      </c>
      <c r="BQ229" s="127">
        <f ca="1">(CH229-$AW$4)/((YEAR($C$13))-$AW$4)</f>
        <v>0</v>
      </c>
      <c r="BR229" s="127">
        <f>(AL229)/($AW$6)</f>
        <v>0.33333333333333331</v>
      </c>
      <c r="BS229" s="4"/>
      <c r="BT229" s="127"/>
      <c r="BU229" s="127">
        <f ca="1">(CG229-$AW$4)/((YEAR($C$13))-$AW$4)</f>
        <v>0</v>
      </c>
      <c r="BV229" s="127">
        <f>AE229/5</f>
        <v>1</v>
      </c>
      <c r="BW229" s="127">
        <f>AF229/5</f>
        <v>1</v>
      </c>
      <c r="BX229" s="4"/>
      <c r="BY229" s="148" t="str">
        <f>IF(E229="A",".98",IF(E229="B",".99",IF(E229="C","1.00",IF(E229="D","1.00" ))))</f>
        <v>.98</v>
      </c>
      <c r="BZ229" s="127">
        <f>(CE229+7)/10</f>
        <v>0.8</v>
      </c>
      <c r="CA229" s="76" t="str">
        <f>IF(D229="Fern",".97",IF(D229="Grass",".99",IF(D229="Herb",".97",IF(D229="Shrub",".99",IF(D229="Tree","1.00",IF(D229="Vine",".98"))))))</f>
        <v>.97</v>
      </c>
      <c r="CB229" s="149" t="str">
        <f>IF(R229="Bogs Ponds Streams",".96", IF(R229="Coastal Areas",".97",IF(R229="Meadows Dry Open",".96",IF(R229="Forest &amp; Understory",".97",IF(R229="Moist Open",".98",IF(R229="Moist Shady",".96",IF(R229="Sub-Alpine","1.0")))))))</f>
        <v>.97</v>
      </c>
      <c r="CC229" s="76" t="str">
        <f>IF(S229="Local Endemic",".50",IF(S229="Regional Endemic",".70",IF(S229="Cascadia",".90",IF(S229="Rocky Mountain",".95",IF(S229="North America",".99")))))</f>
        <v>.95</v>
      </c>
      <c r="CD229" s="4"/>
      <c r="CE229" s="21">
        <f>IF(W229&gt;3,3,W229)</f>
        <v>1</v>
      </c>
      <c r="CF229" s="21">
        <f>IF(AC229&gt;102,102,AC229)</f>
        <v>17.3</v>
      </c>
      <c r="CG229" s="34">
        <f>IF(AI229&lt;$AW$4,$AW$4,AI229)</f>
        <v>2004</v>
      </c>
      <c r="CH229" s="34">
        <f>IF(AJ229&lt;$AW$4,$AW$4,AJ229)</f>
        <v>2004</v>
      </c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</row>
    <row r="230" spans="1:115" s="13" customFormat="1" ht="15" customHeight="1" x14ac:dyDescent="0.3">
      <c r="A230" s="235"/>
      <c r="B230" s="218"/>
      <c r="C230" s="225">
        <v>8</v>
      </c>
      <c r="D230" s="59" t="s">
        <v>2505</v>
      </c>
      <c r="E230" s="59" t="s">
        <v>2502</v>
      </c>
      <c r="F230" s="397" t="str">
        <f ca="1">IF(BC230&lt;2025, "Extinct&lt; 6Yrs?",BA230)</f>
        <v>Abundant</v>
      </c>
      <c r="G230" s="363" t="s">
        <v>525</v>
      </c>
      <c r="H230" s="363" t="s">
        <v>683</v>
      </c>
      <c r="I230" s="364" t="s">
        <v>2620</v>
      </c>
      <c r="J230" s="365" t="s">
        <v>3282</v>
      </c>
      <c r="K230" s="365" t="s">
        <v>2753</v>
      </c>
      <c r="L230" s="10" t="s">
        <v>1972</v>
      </c>
      <c r="M230" s="8" t="s">
        <v>4309</v>
      </c>
      <c r="N230" s="8" t="s">
        <v>5203</v>
      </c>
      <c r="O230" s="8" t="s">
        <v>6101</v>
      </c>
      <c r="P230" s="9" t="s">
        <v>752</v>
      </c>
      <c r="Q230" s="59" t="s">
        <v>2552</v>
      </c>
      <c r="R230" s="9" t="s">
        <v>2498</v>
      </c>
      <c r="S230" s="9" t="s">
        <v>2459</v>
      </c>
      <c r="T230" s="123" t="str">
        <f>IF(R230="Bogs Ponds Streams","20",IF(R230="Coastal Areas","26",IF(R230="Meadows Dry Open","10",IF(R230="Forest &amp; Understory","14",IF(R230="Moist Open","12",IF(R230="Moist Shady","10",IF(R230="Sub-Alpine Slopes","0")))))))</f>
        <v>10</v>
      </c>
      <c r="U230" s="123" t="str">
        <f>IF(R230="Bogs Ponds Streams","52",IF(R230="Coastal Areas","51",IF(R230="Meadows Dry Open","53",IF(R230="Forest &amp; Understory","52",IF(R230="Moist Open","50",IF(R230="Moist Shady","46",IF(R230="Sub-Alpine Slopes","40")))))))</f>
        <v>46</v>
      </c>
      <c r="V230" s="123" t="str">
        <f>IF(R230="Bogs Ponds Streams","84",IF(R230="Coastal Areas","76",IF(R230="Meadows Dry Open","96", IF(R230="Forest &amp; Understory","90", IF(R230="Moist Open","88", IF(R230="Moist Shady","82", IF(R230="Sub-Alpine Slopes","80")))))))</f>
        <v>82</v>
      </c>
      <c r="W230" s="59">
        <v>1</v>
      </c>
      <c r="X230" s="59">
        <v>0</v>
      </c>
      <c r="Y230" s="59">
        <v>3500</v>
      </c>
      <c r="Z230" s="59" t="s">
        <v>2519</v>
      </c>
      <c r="AA230" s="59" t="s">
        <v>2518</v>
      </c>
      <c r="AB230" s="59">
        <v>6.8</v>
      </c>
      <c r="AC230" s="45">
        <f>C230+AK230+(0.1)*AL230</f>
        <v>53.1</v>
      </c>
      <c r="AD230" s="77">
        <v>206</v>
      </c>
      <c r="AE230" s="59">
        <v>5</v>
      </c>
      <c r="AF230" s="59">
        <v>5</v>
      </c>
      <c r="AG230" s="59">
        <v>1900</v>
      </c>
      <c r="AH230" s="77">
        <v>0</v>
      </c>
      <c r="AI230" s="59">
        <f ca="1">AJ230</f>
        <v>2019</v>
      </c>
      <c r="AJ230" s="18">
        <f ca="1">YEAR(TODAY())</f>
        <v>2019</v>
      </c>
      <c r="AK230" s="18">
        <v>44</v>
      </c>
      <c r="AL230" s="18">
        <v>11</v>
      </c>
      <c r="AM230" s="18">
        <v>1</v>
      </c>
      <c r="AN230" s="18">
        <v>1</v>
      </c>
      <c r="AO230" s="18">
        <v>5</v>
      </c>
      <c r="AP230" s="18">
        <v>1</v>
      </c>
      <c r="AQ230" s="18">
        <v>0</v>
      </c>
      <c r="AR230" s="18">
        <v>0</v>
      </c>
      <c r="AS230" s="18">
        <v>0</v>
      </c>
      <c r="AT230" s="18">
        <v>0</v>
      </c>
      <c r="AU230" s="18">
        <v>0</v>
      </c>
      <c r="AV230" s="18">
        <v>0</v>
      </c>
      <c r="AW230" s="18">
        <v>0</v>
      </c>
      <c r="AX230" s="18">
        <v>0</v>
      </c>
      <c r="AY230" s="233"/>
      <c r="AZ230" s="4"/>
      <c r="BA230" s="35" t="str">
        <f ca="1">IF(OR(S230="North America",S230="Rocky Mountain"), "Widespread",BC230)</f>
        <v>Abundant</v>
      </c>
      <c r="BB230" s="4"/>
      <c r="BC230" s="35" t="str">
        <f ca="1">IF(BE230&gt;2046, "Abundant",BE230)</f>
        <v>Abundant</v>
      </c>
      <c r="BD230" s="4"/>
      <c r="BE230" s="81">
        <f ca="1">YEAR($C$13)+(BG230*80)</f>
        <v>2112.4555921568626</v>
      </c>
      <c r="BF230" s="4"/>
      <c r="BG230" s="137">
        <f ca="1">BH230*$BH$14</f>
        <v>1.1681949019607845</v>
      </c>
      <c r="BH230" s="137">
        <f ca="1">(((BJ230+BK230+BM230+BN230)/4)*$BM$11)+(((BP230+BQ230)/2)*$BQ$11)+(((BU230+BV230+BW230)/3)*$BU$11)+(((BY230+BZ230+CA230+CB230+CC230)/5)*$CA$11)</f>
        <v>1.1681949019607845</v>
      </c>
      <c r="BI230" s="4"/>
      <c r="BJ230" s="33">
        <f>AP230/(AM230+AO230)</f>
        <v>0.16666666666666666</v>
      </c>
      <c r="BK230" s="33">
        <f>(AN230+AO230)/(AM230+AO230)</f>
        <v>1</v>
      </c>
      <c r="BL230" s="4"/>
      <c r="BM230" s="127">
        <f>CF230/102</f>
        <v>0.52058823529411768</v>
      </c>
      <c r="BN230" s="127">
        <f>C230/2</f>
        <v>4</v>
      </c>
      <c r="BO230" s="4"/>
      <c r="BP230" s="127">
        <f>(AK230)/($AW$6)</f>
        <v>0.44444444444444442</v>
      </c>
      <c r="BQ230" s="127">
        <f ca="1">(CH230-$AW$4)/((YEAR($C$13))-$AW$4)</f>
        <v>1</v>
      </c>
      <c r="BR230" s="127">
        <f>(AL230)/($AW$6)</f>
        <v>0.1111111111111111</v>
      </c>
      <c r="BS230" s="4"/>
      <c r="BT230" s="127"/>
      <c r="BU230" s="127">
        <f ca="1">(CG230-$AW$4)/((YEAR($C$13))-$AW$4)</f>
        <v>1</v>
      </c>
      <c r="BV230" s="127">
        <f>AE230/5</f>
        <v>1</v>
      </c>
      <c r="BW230" s="127">
        <f>AF230/5</f>
        <v>1</v>
      </c>
      <c r="BX230" s="4"/>
      <c r="BY230" s="148" t="str">
        <f>IF(E230="A",".98",IF(E230="B",".99",IF(E230="C","1.00",IF(E230="D","1.00" ))))</f>
        <v>.98</v>
      </c>
      <c r="BZ230" s="127">
        <f>(CE230+7)/10</f>
        <v>0.8</v>
      </c>
      <c r="CA230" s="76" t="str">
        <f>IF(D230="Fern",".97",IF(D230="Grass",".99",IF(D230="Herb",".97",IF(D230="Shrub",".99",IF(D230="Tree","1.00",IF(D230="Vine",".98"))))))</f>
        <v>.97</v>
      </c>
      <c r="CB230" s="149" t="str">
        <f>IF(R230="Bogs Ponds Streams",".96", IF(R230="Coastal Areas",".97",IF(R230="Meadows Dry Open",".96",IF(R230="Forest &amp; Understory",".97",IF(R230="Moist Open",".98",IF(R230="Moist Shady",".96",IF(R230="Sub-Alpine","1.0")))))))</f>
        <v>.96</v>
      </c>
      <c r="CC230" s="76" t="str">
        <f>IF(S230="Local Endemic",".50",IF(S230="Regional Endemic",".70",IF(S230="Cascadia",".90",IF(S230="Rocky Mountain",".95",IF(S230="North America",".99")))))</f>
        <v>.90</v>
      </c>
      <c r="CD230" s="4"/>
      <c r="CE230" s="21">
        <f>IF(W230&gt;3,3,W230)</f>
        <v>1</v>
      </c>
      <c r="CF230" s="21">
        <f>IF(AC230&gt;102,102,AC230)</f>
        <v>53.1</v>
      </c>
      <c r="CG230" s="34">
        <f ca="1">IF(AI230&lt;$AW$4,$AW$4,AI230)</f>
        <v>2019</v>
      </c>
      <c r="CH230" s="34">
        <f ca="1">IF(AJ230&lt;$AW$4,$AW$4,AJ230)</f>
        <v>2019</v>
      </c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12"/>
    </row>
    <row r="231" spans="1:115" s="13" customFormat="1" ht="15" customHeight="1" x14ac:dyDescent="0.3">
      <c r="A231" s="235"/>
      <c r="B231" s="218"/>
      <c r="C231" s="225">
        <v>8</v>
      </c>
      <c r="D231" s="59" t="s">
        <v>61</v>
      </c>
      <c r="E231" s="59" t="s">
        <v>2501</v>
      </c>
      <c r="F231" s="397" t="str">
        <f ca="1">IF(BC231&lt;2025, "Extinct&lt; 6Yrs?",BA231)</f>
        <v>Widespread</v>
      </c>
      <c r="G231" s="363" t="s">
        <v>525</v>
      </c>
      <c r="H231" s="363" t="s">
        <v>684</v>
      </c>
      <c r="I231" s="366" t="s">
        <v>3049</v>
      </c>
      <c r="J231" s="365" t="s">
        <v>3283</v>
      </c>
      <c r="K231" s="365" t="s">
        <v>287</v>
      </c>
      <c r="L231" s="10" t="s">
        <v>1971</v>
      </c>
      <c r="M231" s="8" t="s">
        <v>4310</v>
      </c>
      <c r="N231" s="8" t="s">
        <v>5204</v>
      </c>
      <c r="O231" s="8" t="s">
        <v>6102</v>
      </c>
      <c r="P231" s="9" t="s">
        <v>285</v>
      </c>
      <c r="Q231" s="59" t="s">
        <v>2552</v>
      </c>
      <c r="R231" s="9" t="s">
        <v>2497</v>
      </c>
      <c r="S231" s="9" t="s">
        <v>2479</v>
      </c>
      <c r="T231" s="123" t="str">
        <f>IF(R231="Bogs Ponds Streams","20",IF(R231="Coastal Areas","26",IF(R231="Meadows Dry Open","10",IF(R231="Forest &amp; Understory","14",IF(R231="Moist Open","12",IF(R231="Moist Shady","10",IF(R231="Sub-Alpine Slopes","0")))))))</f>
        <v>12</v>
      </c>
      <c r="U231" s="123" t="str">
        <f>IF(R231="Bogs Ponds Streams","52",IF(R231="Coastal Areas","51",IF(R231="Meadows Dry Open","53",IF(R231="Forest &amp; Understory","52",IF(R231="Moist Open","50",IF(R231="Moist Shady","46",IF(R231="Sub-Alpine Slopes","40")))))))</f>
        <v>50</v>
      </c>
      <c r="V231" s="123" t="str">
        <f>IF(R231="Bogs Ponds Streams","84",IF(R231="Coastal Areas","76",IF(R231="Meadows Dry Open","96", IF(R231="Forest &amp; Understory","90", IF(R231="Moist Open","88", IF(R231="Moist Shady","82", IF(R231="Sub-Alpine Slopes","80")))))))</f>
        <v>88</v>
      </c>
      <c r="W231" s="59">
        <v>20</v>
      </c>
      <c r="X231" s="59">
        <v>0</v>
      </c>
      <c r="Y231" s="59">
        <v>3500</v>
      </c>
      <c r="Z231" s="59" t="s">
        <v>2519</v>
      </c>
      <c r="AA231" s="59" t="s">
        <v>2518</v>
      </c>
      <c r="AB231" s="59">
        <v>6.8</v>
      </c>
      <c r="AC231" s="45">
        <f>C231+AK231+(0.1)*AL231</f>
        <v>14.3</v>
      </c>
      <c r="AD231" s="77">
        <v>135</v>
      </c>
      <c r="AE231" s="59">
        <v>5</v>
      </c>
      <c r="AF231" s="59">
        <v>5</v>
      </c>
      <c r="AG231" s="59">
        <v>1900</v>
      </c>
      <c r="AH231" s="77">
        <v>0</v>
      </c>
      <c r="AI231" s="59">
        <f ca="1">AJ231</f>
        <v>2019</v>
      </c>
      <c r="AJ231" s="18">
        <f ca="1">YEAR(TODAY())</f>
        <v>2019</v>
      </c>
      <c r="AK231" s="18">
        <v>3</v>
      </c>
      <c r="AL231" s="18">
        <v>33</v>
      </c>
      <c r="AM231" s="18">
        <v>1</v>
      </c>
      <c r="AN231" s="18">
        <v>1</v>
      </c>
      <c r="AO231" s="18">
        <v>5</v>
      </c>
      <c r="AP231" s="18">
        <v>1</v>
      </c>
      <c r="AQ231" s="18">
        <v>0</v>
      </c>
      <c r="AR231" s="18">
        <v>0</v>
      </c>
      <c r="AS231" s="18">
        <v>0</v>
      </c>
      <c r="AT231" s="18">
        <v>0</v>
      </c>
      <c r="AU231" s="18">
        <v>0</v>
      </c>
      <c r="AV231" s="18">
        <v>0</v>
      </c>
      <c r="AW231" s="18">
        <v>0</v>
      </c>
      <c r="AX231" s="18">
        <v>0</v>
      </c>
      <c r="AY231" s="233"/>
      <c r="AZ231" s="4"/>
      <c r="BA231" s="35" t="str">
        <f>IF(OR(S231="North America",S231="Rocky Mountain"), "Widespread",BC231)</f>
        <v>Widespread</v>
      </c>
      <c r="BB231" s="4"/>
      <c r="BC231" s="35" t="str">
        <f ca="1">IF(BE231&gt;2046, "Abundant",BE231)</f>
        <v>Abundant</v>
      </c>
      <c r="BD231" s="4"/>
      <c r="BE231" s="81">
        <f ca="1">YEAR($C$13)+(BG231*80)</f>
        <v>2103.0171893048127</v>
      </c>
      <c r="BF231" s="4"/>
      <c r="BG231" s="137">
        <f ca="1">BH231*$BH$14</f>
        <v>1.0502148663101605</v>
      </c>
      <c r="BH231" s="137">
        <f ca="1">(((BJ231+BK231+BM231+BN231)/4)*$BM$11)+(((BP231+BQ231)/2)*$BQ$11)+(((BU231+BV231+BW231)/3)*$BU$11)+(((BY231+BZ231+CA231+CB231+CC231)/5)*$CA$11)</f>
        <v>1.0502148663101605</v>
      </c>
      <c r="BI231" s="4"/>
      <c r="BJ231" s="33">
        <f>AP231/(AM231+AO231)</f>
        <v>0.16666666666666666</v>
      </c>
      <c r="BK231" s="33">
        <f>(AN231+AO231)/(AM231+AO231)</f>
        <v>1</v>
      </c>
      <c r="BL231" s="4"/>
      <c r="BM231" s="127">
        <f>CF231/102</f>
        <v>0.14019607843137255</v>
      </c>
      <c r="BN231" s="127">
        <f>C231/2</f>
        <v>4</v>
      </c>
      <c r="BO231" s="4"/>
      <c r="BP231" s="127">
        <f>(AK231)/($AW$6)</f>
        <v>3.0303030303030304E-2</v>
      </c>
      <c r="BQ231" s="127">
        <f ca="1">(CH231-$AW$4)/((YEAR($C$13))-$AW$4)</f>
        <v>1</v>
      </c>
      <c r="BR231" s="127">
        <f>(AL231)/($AW$6)</f>
        <v>0.33333333333333331</v>
      </c>
      <c r="BS231" s="4"/>
      <c r="BT231" s="127"/>
      <c r="BU231" s="127">
        <f ca="1">(CG231-$AW$4)/((YEAR($C$13))-$AW$4)</f>
        <v>1</v>
      </c>
      <c r="BV231" s="127">
        <f>AE231/5</f>
        <v>1</v>
      </c>
      <c r="BW231" s="127">
        <f>AF231/5</f>
        <v>1</v>
      </c>
      <c r="BX231" s="4"/>
      <c r="BY231" s="148" t="str">
        <f>IF(E231="A",".98",IF(E231="B",".99",IF(E231="C","1.00",IF(E231="D","1.00" ))))</f>
        <v>1.00</v>
      </c>
      <c r="BZ231" s="127">
        <f>(CE231+7)/10</f>
        <v>1</v>
      </c>
      <c r="CA231" s="76" t="str">
        <f>IF(D231="Fern",".97",IF(D231="Grass",".99",IF(D231="Herb",".97",IF(D231="Shrub",".99",IF(D231="Tree","1.00",IF(D231="Vine",".98"))))))</f>
        <v>.98</v>
      </c>
      <c r="CB231" s="149" t="str">
        <f>IF(R231="Bogs Ponds Streams",".96", IF(R231="Coastal Areas",".97",IF(R231="Meadows Dry Open",".96",IF(R231="Forest &amp; Understory",".97",IF(R231="Moist Open",".98",IF(R231="Moist Shady",".96",IF(R231="Sub-Alpine","1.0")))))))</f>
        <v>.98</v>
      </c>
      <c r="CC231" s="76" t="str">
        <f>IF(S231="Local Endemic",".50",IF(S231="Regional Endemic",".70",IF(S231="Cascadia",".90",IF(S231="Rocky Mountain",".95",IF(S231="North America",".99")))))</f>
        <v>.95</v>
      </c>
      <c r="CD231" s="4"/>
      <c r="CE231" s="21">
        <f>IF(W231&gt;3,3,W231)</f>
        <v>3</v>
      </c>
      <c r="CF231" s="21">
        <f>IF(AC231&gt;102,102,AC231)</f>
        <v>14.3</v>
      </c>
      <c r="CG231" s="34">
        <f ca="1">IF(AI231&lt;$AW$4,$AW$4,AI231)</f>
        <v>2019</v>
      </c>
      <c r="CH231" s="34">
        <f ca="1">IF(AJ231&lt;$AW$4,$AW$4,AJ231)</f>
        <v>2019</v>
      </c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12"/>
    </row>
    <row r="232" spans="1:115" s="13" customFormat="1" ht="15" customHeight="1" x14ac:dyDescent="0.3">
      <c r="A232" s="235"/>
      <c r="B232" s="218"/>
      <c r="C232" s="375">
        <v>1</v>
      </c>
      <c r="D232" s="67" t="s">
        <v>2506</v>
      </c>
      <c r="E232" s="68" t="s">
        <v>2501</v>
      </c>
      <c r="F232" s="403">
        <f ca="1">IF(BC232&lt;2025, "Extinct&lt; 6Yrs?",BA232)</f>
        <v>2036.9345226381461</v>
      </c>
      <c r="G232" s="376" t="s">
        <v>525</v>
      </c>
      <c r="H232" s="376" t="s">
        <v>4028</v>
      </c>
      <c r="I232" s="379" t="s">
        <v>2621</v>
      </c>
      <c r="J232" s="378" t="s">
        <v>3636</v>
      </c>
      <c r="K232" s="378" t="s">
        <v>24</v>
      </c>
      <c r="L232" s="65" t="s">
        <v>1970</v>
      </c>
      <c r="M232" s="64" t="s">
        <v>4311</v>
      </c>
      <c r="N232" s="64" t="s">
        <v>5205</v>
      </c>
      <c r="O232" s="64" t="s">
        <v>6103</v>
      </c>
      <c r="P232" s="404" t="s">
        <v>637</v>
      </c>
      <c r="Q232" s="67" t="s">
        <v>2552</v>
      </c>
      <c r="R232" s="61" t="s">
        <v>2530</v>
      </c>
      <c r="S232" s="61" t="s">
        <v>2459</v>
      </c>
      <c r="T232" s="134" t="str">
        <f>IF(R232="Bogs Ponds Streams","20",IF(R232="Coastal Areas","26",IF(R232="Meadows Dry Open","10",IF(R232="Forest &amp; Understory","14",IF(R232="Moist Open","12",IF(R232="Moist Shady","10",IF(R232="Sub-Alpine Slopes","0")))))))</f>
        <v>14</v>
      </c>
      <c r="U232" s="134" t="str">
        <f>IF(R232="Bogs Ponds Streams","52",IF(R232="Coastal Areas","51",IF(R232="Meadows Dry Open","53",IF(R232="Forest &amp; Understory","52",IF(R232="Moist Open","50",IF(R232="Moist Shady","46",IF(R232="Sub-Alpine Slopes","40")))))))</f>
        <v>52</v>
      </c>
      <c r="V232" s="134" t="str">
        <f>IF(R232="Bogs Ponds Streams","84",IF(R232="Coastal Areas","76",IF(R232="Meadows Dry Open","96", IF(R232="Forest &amp; Understory","90", IF(R232="Moist Open","88", IF(R232="Moist Shady","82", IF(R232="Sub-Alpine Slopes","80")))))))</f>
        <v>90</v>
      </c>
      <c r="W232" s="67">
        <v>20</v>
      </c>
      <c r="X232" s="67">
        <v>0</v>
      </c>
      <c r="Y232" s="67">
        <v>3500</v>
      </c>
      <c r="Z232" s="67" t="s">
        <v>2519</v>
      </c>
      <c r="AA232" s="67" t="s">
        <v>2518</v>
      </c>
      <c r="AB232" s="67">
        <v>6.8</v>
      </c>
      <c r="AC232" s="85">
        <f>C232+AK232+(0.1)*AL232</f>
        <v>26.2</v>
      </c>
      <c r="AD232" s="78">
        <v>65</v>
      </c>
      <c r="AE232" s="67">
        <v>5</v>
      </c>
      <c r="AF232" s="67">
        <v>5</v>
      </c>
      <c r="AG232" s="67">
        <v>1900</v>
      </c>
      <c r="AH232" s="78">
        <v>0</v>
      </c>
      <c r="AI232" s="67">
        <f>AJ232</f>
        <v>2004</v>
      </c>
      <c r="AJ232" s="69">
        <v>2004</v>
      </c>
      <c r="AK232" s="69">
        <v>25</v>
      </c>
      <c r="AL232" s="69">
        <v>2</v>
      </c>
      <c r="AM232" s="70">
        <v>5</v>
      </c>
      <c r="AN232" s="70">
        <v>0</v>
      </c>
      <c r="AO232" s="86">
        <v>0</v>
      </c>
      <c r="AP232" s="70">
        <v>0</v>
      </c>
      <c r="AQ232" s="70">
        <v>0</v>
      </c>
      <c r="AR232" s="70">
        <v>0</v>
      </c>
      <c r="AS232" s="86">
        <v>0</v>
      </c>
      <c r="AT232" s="70">
        <v>0</v>
      </c>
      <c r="AU232" s="70">
        <v>0</v>
      </c>
      <c r="AV232" s="70">
        <v>0</v>
      </c>
      <c r="AW232" s="86">
        <v>0</v>
      </c>
      <c r="AX232" s="70">
        <v>0</v>
      </c>
      <c r="AY232" s="233"/>
      <c r="AZ232" s="4"/>
      <c r="BA232" s="35">
        <f ca="1">IF(OR(S232="North America",S232="Rocky Mountain"), "Widespread",BC232)</f>
        <v>2036.9345226381461</v>
      </c>
      <c r="BB232" s="4"/>
      <c r="BC232" s="35">
        <f ca="1">IF(BE232&gt;2046, "Abundant",BE232)</f>
        <v>2036.9345226381461</v>
      </c>
      <c r="BD232" s="4"/>
      <c r="BE232" s="81">
        <f ca="1">YEAR($C$13)+(BG232*80)</f>
        <v>2036.9345226381461</v>
      </c>
      <c r="BF232" s="4"/>
      <c r="BG232" s="137">
        <f ca="1">BH232*$BH$14</f>
        <v>0.22418153297682708</v>
      </c>
      <c r="BH232" s="137">
        <f ca="1">(((BJ232+BK232+BM232+BN232)/4)*$BM$11)+(((BP232+BQ232)/2)*$BQ$11)+(((BU232+BV232+BW232)/3)*$BU$11)+(((BY232+BZ232+CA232+CB232+CC232)/5)*$CA$11)</f>
        <v>0.22418153297682708</v>
      </c>
      <c r="BI232" s="4"/>
      <c r="BJ232" s="33">
        <f>AP232/(AM232+AO232)</f>
        <v>0</v>
      </c>
      <c r="BK232" s="33">
        <f>(AN232+AO232)/(AM232+AO232)</f>
        <v>0</v>
      </c>
      <c r="BL232" s="4"/>
      <c r="BM232" s="127">
        <f>CF232/102</f>
        <v>0.25686274509803919</v>
      </c>
      <c r="BN232" s="127">
        <f>C232/2</f>
        <v>0.5</v>
      </c>
      <c r="BO232" s="4"/>
      <c r="BP232" s="127">
        <f>(AK232)/($AW$6)</f>
        <v>0.25252525252525254</v>
      </c>
      <c r="BQ232" s="127">
        <f ca="1">(CH232-$AW$4)/((YEAR($C$13))-$AW$4)</f>
        <v>0</v>
      </c>
      <c r="BR232" s="127">
        <f>(AL232)/($AW$6)</f>
        <v>2.0202020202020204E-2</v>
      </c>
      <c r="BS232" s="4"/>
      <c r="BT232" s="127"/>
      <c r="BU232" s="127">
        <f ca="1">(CG232-$AW$4)/((YEAR($C$13))-$AW$4)</f>
        <v>0</v>
      </c>
      <c r="BV232" s="127">
        <f>AE232/5</f>
        <v>1</v>
      </c>
      <c r="BW232" s="127">
        <f>AF232/5</f>
        <v>1</v>
      </c>
      <c r="BX232" s="4"/>
      <c r="BY232" s="148" t="str">
        <f>IF(E232="A",".98",IF(E232="B",".99",IF(E232="C","1.00",IF(E232="D","1.00" ))))</f>
        <v>1.00</v>
      </c>
      <c r="BZ232" s="127">
        <f>(CE232+7)/10</f>
        <v>1</v>
      </c>
      <c r="CA232" s="76" t="str">
        <f>IF(D232="Fern",".97",IF(D232="Grass",".99",IF(D232="Herb",".97",IF(D232="Shrub",".99",IF(D232="Tree","1.00",IF(D232="Vine",".98"))))))</f>
        <v>.99</v>
      </c>
      <c r="CB232" s="149" t="str">
        <f>IF(R232="Bogs Ponds Streams",".96", IF(R232="Coastal Areas",".97",IF(R232="Meadows Dry Open",".96",IF(R232="Forest &amp; Understory",".97",IF(R232="Moist Open",".98",IF(R232="Moist Shady",".96",IF(R232="Sub-Alpine","1.0")))))))</f>
        <v>.97</v>
      </c>
      <c r="CC232" s="76" t="str">
        <f>IF(S232="Local Endemic",".50",IF(S232="Regional Endemic",".70",IF(S232="Cascadia",".90",IF(S232="Rocky Mountain",".95",IF(S232="North America",".99")))))</f>
        <v>.90</v>
      </c>
      <c r="CD232" s="4"/>
      <c r="CE232" s="21">
        <f>IF(W232&gt;3,3,W232)</f>
        <v>3</v>
      </c>
      <c r="CF232" s="21">
        <f>IF(AC232&gt;102,102,AC232)</f>
        <v>26.2</v>
      </c>
      <c r="CG232" s="34">
        <f>IF(AI232&lt;$AW$4,$AW$4,AI232)</f>
        <v>2004</v>
      </c>
      <c r="CH232" s="34">
        <f>IF(AJ232&lt;$AW$4,$AW$4,AJ232)</f>
        <v>2004</v>
      </c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12"/>
    </row>
    <row r="233" spans="1:115" s="13" customFormat="1" ht="15" customHeight="1" x14ac:dyDescent="0.3">
      <c r="A233" s="235"/>
      <c r="B233" s="218"/>
      <c r="C233" s="226">
        <v>2</v>
      </c>
      <c r="D233" s="104" t="s">
        <v>2505</v>
      </c>
      <c r="E233" s="104" t="s">
        <v>2501</v>
      </c>
      <c r="F233" s="400" t="str">
        <f ca="1">IF(BC233&lt;2025, "Extinct&lt; 6Yrs?",BA233)</f>
        <v>Widespread</v>
      </c>
      <c r="G233" s="369" t="s">
        <v>525</v>
      </c>
      <c r="H233" s="369" t="s">
        <v>4028</v>
      </c>
      <c r="I233" s="370" t="s">
        <v>444</v>
      </c>
      <c r="J233" s="371" t="s">
        <v>3798</v>
      </c>
      <c r="K233" s="371" t="s">
        <v>917</v>
      </c>
      <c r="L233" s="106" t="s">
        <v>1969</v>
      </c>
      <c r="M233" s="111" t="s">
        <v>4312</v>
      </c>
      <c r="N233" s="111" t="s">
        <v>5206</v>
      </c>
      <c r="O233" s="111" t="s">
        <v>6104</v>
      </c>
      <c r="P233" s="105" t="s">
        <v>440</v>
      </c>
      <c r="Q233" s="104" t="s">
        <v>2552</v>
      </c>
      <c r="R233" s="105" t="s">
        <v>2498</v>
      </c>
      <c r="S233" s="105" t="s">
        <v>2479</v>
      </c>
      <c r="T233" s="133" t="str">
        <f>IF(R233="Bogs Ponds Streams","20",IF(R233="Coastal Areas","26",IF(R233="Meadows Dry Open","10",IF(R233="Forest &amp; Understory","14",IF(R233="Moist Open","12",IF(R233="Moist Shady","10",IF(R233="Sub-Alpine Slopes","0")))))))</f>
        <v>10</v>
      </c>
      <c r="U233" s="133" t="str">
        <f>IF(R233="Bogs Ponds Streams","52",IF(R233="Coastal Areas","51",IF(R233="Meadows Dry Open","53",IF(R233="Forest &amp; Understory","52",IF(R233="Moist Open","50",IF(R233="Moist Shady","46",IF(R233="Sub-Alpine Slopes","40")))))))</f>
        <v>46</v>
      </c>
      <c r="V233" s="133" t="str">
        <f>IF(R233="Bogs Ponds Streams","84",IF(R233="Coastal Areas","76",IF(R233="Meadows Dry Open","96", IF(R233="Forest &amp; Understory","90", IF(R233="Moist Open","88", IF(R233="Moist Shady","82", IF(R233="Sub-Alpine Slopes","80")))))))</f>
        <v>82</v>
      </c>
      <c r="W233" s="104">
        <v>20</v>
      </c>
      <c r="X233" s="104">
        <v>0</v>
      </c>
      <c r="Y233" s="104">
        <v>3500</v>
      </c>
      <c r="Z233" s="104" t="s">
        <v>2519</v>
      </c>
      <c r="AA233" s="104" t="s">
        <v>2518</v>
      </c>
      <c r="AB233" s="104">
        <v>6.8</v>
      </c>
      <c r="AC233" s="107">
        <f>C233+AK233+(0.1)*AL233</f>
        <v>17.3</v>
      </c>
      <c r="AD233" s="113">
        <v>163</v>
      </c>
      <c r="AE233" s="104">
        <v>5</v>
      </c>
      <c r="AF233" s="104">
        <v>5</v>
      </c>
      <c r="AG233" s="104">
        <v>1900</v>
      </c>
      <c r="AH233" s="113">
        <v>0</v>
      </c>
      <c r="AI233" s="104">
        <f>AJ233</f>
        <v>2018</v>
      </c>
      <c r="AJ233" s="108">
        <v>2018</v>
      </c>
      <c r="AK233" s="108">
        <v>12</v>
      </c>
      <c r="AL233" s="108">
        <v>33</v>
      </c>
      <c r="AM233" s="109">
        <v>5</v>
      </c>
      <c r="AN233" s="109">
        <v>1</v>
      </c>
      <c r="AO233" s="110">
        <v>0</v>
      </c>
      <c r="AP233" s="109">
        <v>0</v>
      </c>
      <c r="AQ233" s="109">
        <v>0</v>
      </c>
      <c r="AR233" s="109">
        <v>0</v>
      </c>
      <c r="AS233" s="110">
        <v>0</v>
      </c>
      <c r="AT233" s="109">
        <v>0</v>
      </c>
      <c r="AU233" s="109">
        <v>0</v>
      </c>
      <c r="AV233" s="109">
        <v>0</v>
      </c>
      <c r="AW233" s="110">
        <v>0</v>
      </c>
      <c r="AX233" s="109">
        <v>0</v>
      </c>
      <c r="AY233" s="233"/>
      <c r="AZ233" s="4"/>
      <c r="BA233" s="35" t="str">
        <f>IF(OR(S233="North America",S233="Rocky Mountain"), "Widespread",BC233)</f>
        <v>Widespread</v>
      </c>
      <c r="BB233" s="4"/>
      <c r="BC233" s="35" t="str">
        <f ca="1">IF(BE233&gt;2046, "Abundant",BE233)</f>
        <v>Abundant</v>
      </c>
      <c r="BD233" s="4"/>
      <c r="BE233" s="81">
        <f ca="1">YEAR($C$13)+(BG233*80)</f>
        <v>2055.9092173499703</v>
      </c>
      <c r="BF233" s="4"/>
      <c r="BG233" s="137">
        <f ca="1">BH233*$BH$14</f>
        <v>0.46136521687462867</v>
      </c>
      <c r="BH233" s="137">
        <f ca="1">(((BJ233+BK233+BM233+BN233)/4)*$BM$11)+(((BP233+BQ233)/2)*$BQ$11)+(((BU233+BV233+BW233)/3)*$BU$11)+(((BY233+BZ233+CA233+CB233+CC233)/5)*$CA$11)</f>
        <v>0.46136521687462867</v>
      </c>
      <c r="BI233" s="4"/>
      <c r="BJ233" s="33">
        <f>AP233/(AM233+AO233)</f>
        <v>0</v>
      </c>
      <c r="BK233" s="33">
        <f>(AN233+AO233)/(AM233+AO233)</f>
        <v>0.2</v>
      </c>
      <c r="BL233" s="4"/>
      <c r="BM233" s="127">
        <f>CF233/102</f>
        <v>0.16960784313725491</v>
      </c>
      <c r="BN233" s="127">
        <f>C233/2</f>
        <v>1</v>
      </c>
      <c r="BO233" s="4"/>
      <c r="BP233" s="127">
        <f>(AK233)/($AW$6)</f>
        <v>0.12121212121212122</v>
      </c>
      <c r="BQ233" s="127">
        <f ca="1">(CH233-$AW$4)/((YEAR($C$13))-$AW$4)</f>
        <v>0.93333333333333335</v>
      </c>
      <c r="BR233" s="127">
        <f>(AL233)/($AW$6)</f>
        <v>0.33333333333333331</v>
      </c>
      <c r="BS233" s="4"/>
      <c r="BT233" s="127"/>
      <c r="BU233" s="127">
        <f ca="1">(CG233-$AW$4)/((YEAR($C$13))-$AW$4)</f>
        <v>0.93333333333333335</v>
      </c>
      <c r="BV233" s="127">
        <f>AE233/5</f>
        <v>1</v>
      </c>
      <c r="BW233" s="127">
        <f>AF233/5</f>
        <v>1</v>
      </c>
      <c r="BX233" s="4"/>
      <c r="BY233" s="148" t="str">
        <f>IF(E233="A",".98",IF(E233="B",".99",IF(E233="C","1.00",IF(E233="D","1.00" ))))</f>
        <v>1.00</v>
      </c>
      <c r="BZ233" s="127">
        <f>(CE233+7)/10</f>
        <v>1</v>
      </c>
      <c r="CA233" s="76" t="str">
        <f>IF(D233="Fern",".97",IF(D233="Grass",".99",IF(D233="Herb",".97",IF(D233="Shrub",".99",IF(D233="Tree","1.00",IF(D233="Vine",".98"))))))</f>
        <v>.97</v>
      </c>
      <c r="CB233" s="149" t="str">
        <f>IF(R233="Bogs Ponds Streams",".96", IF(R233="Coastal Areas",".97",IF(R233="Meadows Dry Open",".96",IF(R233="Forest &amp; Understory",".97",IF(R233="Moist Open",".98",IF(R233="Moist Shady",".96",IF(R233="Sub-Alpine","1.0")))))))</f>
        <v>.96</v>
      </c>
      <c r="CC233" s="76" t="str">
        <f>IF(S233="Local Endemic",".50",IF(S233="Regional Endemic",".70",IF(S233="Cascadia",".90",IF(S233="Rocky Mountain",".95",IF(S233="North America",".99")))))</f>
        <v>.95</v>
      </c>
      <c r="CD233" s="4"/>
      <c r="CE233" s="21">
        <f>IF(W233&gt;3,3,W233)</f>
        <v>3</v>
      </c>
      <c r="CF233" s="21">
        <f>IF(AC233&gt;102,102,AC233)</f>
        <v>17.3</v>
      </c>
      <c r="CG233" s="34">
        <f>IF(AI233&lt;$AW$4,$AW$4,AI233)</f>
        <v>2018</v>
      </c>
      <c r="CH233" s="34">
        <f>IF(AJ233&lt;$AW$4,$AW$4,AJ233)</f>
        <v>2018</v>
      </c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</row>
    <row r="234" spans="1:115" s="13" customFormat="1" ht="15" customHeight="1" x14ac:dyDescent="0.3">
      <c r="A234" s="235"/>
      <c r="B234" s="218"/>
      <c r="C234" s="226">
        <v>2</v>
      </c>
      <c r="D234" s="104" t="s">
        <v>1155</v>
      </c>
      <c r="E234" s="104" t="s">
        <v>2501</v>
      </c>
      <c r="F234" s="400" t="str">
        <f ca="1">IF(BC234&lt;2025, "Extinct&lt; 6Yrs?",BA234)</f>
        <v>Widespread</v>
      </c>
      <c r="G234" s="369" t="s">
        <v>525</v>
      </c>
      <c r="H234" s="369" t="s">
        <v>4028</v>
      </c>
      <c r="I234" s="371" t="s">
        <v>3050</v>
      </c>
      <c r="J234" s="371" t="s">
        <v>1319</v>
      </c>
      <c r="K234" s="371" t="s">
        <v>1314</v>
      </c>
      <c r="L234" s="114" t="s">
        <v>1968</v>
      </c>
      <c r="M234" s="111" t="s">
        <v>4313</v>
      </c>
      <c r="N234" s="111" t="s">
        <v>5207</v>
      </c>
      <c r="O234" s="111" t="s">
        <v>6105</v>
      </c>
      <c r="P234" s="105" t="s">
        <v>144</v>
      </c>
      <c r="Q234" s="104" t="s">
        <v>2552</v>
      </c>
      <c r="R234" s="105" t="s">
        <v>2498</v>
      </c>
      <c r="S234" s="162" t="s">
        <v>2479</v>
      </c>
      <c r="T234" s="133" t="str">
        <f>IF(R234="Bogs Ponds Streams","20",IF(R234="Coastal Areas","26",IF(R234="Meadows Dry Open","10",IF(R234="Forest &amp; Understory","14",IF(R234="Moist Open","12",IF(R234="Moist Shady","10",IF(R234="Sub-Alpine Slopes","0")))))))</f>
        <v>10</v>
      </c>
      <c r="U234" s="133" t="str">
        <f>IF(R234="Bogs Ponds Streams","52",IF(R234="Coastal Areas","51",IF(R234="Meadows Dry Open","53",IF(R234="Forest &amp; Understory","52",IF(R234="Moist Open","50",IF(R234="Moist Shady","46",IF(R234="Sub-Alpine Slopes","40")))))))</f>
        <v>46</v>
      </c>
      <c r="V234" s="133" t="str">
        <f>IF(R234="Bogs Ponds Streams","84",IF(R234="Coastal Areas","76",IF(R234="Meadows Dry Open","96", IF(R234="Forest &amp; Understory","90", IF(R234="Moist Open","88", IF(R234="Moist Shady","82", IF(R234="Sub-Alpine Slopes","80")))))))</f>
        <v>82</v>
      </c>
      <c r="W234" s="104">
        <v>20</v>
      </c>
      <c r="X234" s="104">
        <v>0</v>
      </c>
      <c r="Y234" s="104">
        <v>3500</v>
      </c>
      <c r="Z234" s="104" t="s">
        <v>2519</v>
      </c>
      <c r="AA234" s="104" t="s">
        <v>2518</v>
      </c>
      <c r="AB234" s="104">
        <v>6.8</v>
      </c>
      <c r="AC234" s="107">
        <f>C234+AK234+(0.1)*AL234</f>
        <v>4</v>
      </c>
      <c r="AD234" s="113">
        <v>33</v>
      </c>
      <c r="AE234" s="112">
        <v>2</v>
      </c>
      <c r="AF234" s="112">
        <v>4</v>
      </c>
      <c r="AG234" s="113">
        <v>1908</v>
      </c>
      <c r="AH234" s="113">
        <v>0</v>
      </c>
      <c r="AI234" s="113">
        <v>1993</v>
      </c>
      <c r="AJ234" s="108">
        <v>2018</v>
      </c>
      <c r="AK234" s="108">
        <v>2</v>
      </c>
      <c r="AL234" s="108">
        <v>0</v>
      </c>
      <c r="AM234" s="109">
        <v>5</v>
      </c>
      <c r="AN234" s="109">
        <v>1</v>
      </c>
      <c r="AO234" s="109">
        <v>1</v>
      </c>
      <c r="AP234" s="109">
        <v>0</v>
      </c>
      <c r="AQ234" s="109">
        <v>0</v>
      </c>
      <c r="AR234" s="109">
        <v>0</v>
      </c>
      <c r="AS234" s="110">
        <v>0</v>
      </c>
      <c r="AT234" s="109">
        <v>0</v>
      </c>
      <c r="AU234" s="109">
        <v>0</v>
      </c>
      <c r="AV234" s="109">
        <v>0</v>
      </c>
      <c r="AW234" s="110">
        <v>0</v>
      </c>
      <c r="AX234" s="109">
        <v>0</v>
      </c>
      <c r="AY234" s="233"/>
      <c r="AZ234" s="4"/>
      <c r="BA234" s="35" t="str">
        <f>IF(OR(S234="North America",S234="Rocky Mountain"), "Widespread",BC234)</f>
        <v>Widespread</v>
      </c>
      <c r="BB234" s="4"/>
      <c r="BC234" s="35" t="str">
        <f ca="1">IF(BE234&gt;2046, "Abundant",BE234)</f>
        <v>Abundant</v>
      </c>
      <c r="BD234" s="4"/>
      <c r="BE234" s="81">
        <f ca="1">YEAR($C$13)+(BG234*80)</f>
        <v>2051.0410124777181</v>
      </c>
      <c r="BF234" s="4"/>
      <c r="BG234" s="137">
        <f ca="1">BH234*$BH$14</f>
        <v>0.4005126559714795</v>
      </c>
      <c r="BH234" s="137">
        <f ca="1">(((BJ234+BK234+BM234+BN234)/4)*$BM$11)+(((BP234+BQ234)/2)*$BQ$11)+(((BU234+BV234+BW234)/3)*$BU$11)+(((BY234+BZ234+CA234+CB234+CC234)/5)*$CA$11)</f>
        <v>0.4005126559714795</v>
      </c>
      <c r="BI234" s="4"/>
      <c r="BJ234" s="33">
        <f>AP234/(AM234+AO234)</f>
        <v>0</v>
      </c>
      <c r="BK234" s="33">
        <f>(AN234+AO234)/(AM234+AO234)</f>
        <v>0.33333333333333331</v>
      </c>
      <c r="BL234" s="4"/>
      <c r="BM234" s="127">
        <f>CF234/102</f>
        <v>3.9215686274509803E-2</v>
      </c>
      <c r="BN234" s="127">
        <f>C234/2</f>
        <v>1</v>
      </c>
      <c r="BO234" s="4"/>
      <c r="BP234" s="127">
        <f>(AK234)/($AW$6)</f>
        <v>2.0202020202020204E-2</v>
      </c>
      <c r="BQ234" s="127">
        <f ca="1">(CH234-$AW$4)/((YEAR($C$13))-$AW$4)</f>
        <v>0.93333333333333335</v>
      </c>
      <c r="BR234" s="127">
        <f>(AL234)/($AW$6)</f>
        <v>0</v>
      </c>
      <c r="BS234" s="4"/>
      <c r="BT234" s="127"/>
      <c r="BU234" s="127">
        <f ca="1">(CG234-$AW$4)/((YEAR($C$13))-$AW$4)</f>
        <v>0</v>
      </c>
      <c r="BV234" s="127">
        <f>AE234/5</f>
        <v>0.4</v>
      </c>
      <c r="BW234" s="127">
        <f>AF234/5</f>
        <v>0.8</v>
      </c>
      <c r="BX234" s="4"/>
      <c r="BY234" s="148" t="str">
        <f>IF(E234="A",".98",IF(E234="B",".99",IF(E234="C","1.00",IF(E234="D","1.00" ))))</f>
        <v>1.00</v>
      </c>
      <c r="BZ234" s="127">
        <f>(CE234+7)/10</f>
        <v>1</v>
      </c>
      <c r="CA234" s="76" t="str">
        <f>IF(D234="Fern",".97",IF(D234="Grass",".99",IF(D234="Herb",".97",IF(D234="Shrub",".99",IF(D234="Tree","1.00",IF(D234="Vine",".98"))))))</f>
        <v>.99</v>
      </c>
      <c r="CB234" s="149" t="str">
        <f>IF(R234="Bogs Ponds Streams",".96", IF(R234="Coastal Areas",".97",IF(R234="Meadows Dry Open",".96",IF(R234="Forest &amp; Understory",".97",IF(R234="Moist Open",".98",IF(R234="Moist Shady",".96",IF(R234="Sub-Alpine","1.0")))))))</f>
        <v>.96</v>
      </c>
      <c r="CC234" s="76" t="str">
        <f>IF(S234="Local Endemic",".50",IF(S234="Regional Endemic",".70",IF(S234="Cascadia",".90",IF(S234="Rocky Mountain",".95",IF(S234="North America",".99")))))</f>
        <v>.95</v>
      </c>
      <c r="CD234" s="4"/>
      <c r="CE234" s="21">
        <f>IF(W234&gt;3,3,W234)</f>
        <v>3</v>
      </c>
      <c r="CF234" s="21">
        <f>IF(AC234&gt;102,102,AC234)</f>
        <v>4</v>
      </c>
      <c r="CG234" s="34">
        <f>IF(AI234&lt;$AW$4,$AW$4,AI234)</f>
        <v>2004</v>
      </c>
      <c r="CH234" s="34">
        <f>IF(AJ234&lt;$AW$4,$AW$4,AJ234)</f>
        <v>2018</v>
      </c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</row>
    <row r="235" spans="1:115" s="13" customFormat="1" ht="15" customHeight="1" x14ac:dyDescent="0.3">
      <c r="A235" s="235"/>
      <c r="B235" s="218"/>
      <c r="C235" s="225">
        <v>8</v>
      </c>
      <c r="D235" s="59" t="s">
        <v>2505</v>
      </c>
      <c r="E235" s="59" t="s">
        <v>2502</v>
      </c>
      <c r="F235" s="397" t="str">
        <f ca="1">IF(BC235&lt;2025, "Extinct&lt; 6Yrs?",BA235)</f>
        <v>Abundant</v>
      </c>
      <c r="G235" s="363" t="s">
        <v>525</v>
      </c>
      <c r="H235" s="363" t="s">
        <v>691</v>
      </c>
      <c r="I235" s="366" t="s">
        <v>372</v>
      </c>
      <c r="J235" s="365" t="s">
        <v>3284</v>
      </c>
      <c r="K235" s="365" t="s">
        <v>918</v>
      </c>
      <c r="L235" s="10" t="s">
        <v>1967</v>
      </c>
      <c r="M235" s="8" t="s">
        <v>4314</v>
      </c>
      <c r="N235" s="8" t="s">
        <v>5208</v>
      </c>
      <c r="O235" s="8" t="s">
        <v>6106</v>
      </c>
      <c r="P235" s="9" t="s">
        <v>672</v>
      </c>
      <c r="Q235" s="59" t="s">
        <v>2552</v>
      </c>
      <c r="R235" s="9" t="s">
        <v>2500</v>
      </c>
      <c r="S235" s="9" t="s">
        <v>2459</v>
      </c>
      <c r="T235" s="123" t="str">
        <f>IF(R235="Bogs Ponds Streams","20",IF(R235="Coastal Areas","26",IF(R235="Meadows Dry Open","10",IF(R235="Forest &amp; Understory","14",IF(R235="Moist Open","12",IF(R235="Moist Shady","10",IF(R235="Sub-Alpine Slopes","0")))))))</f>
        <v>10</v>
      </c>
      <c r="U235" s="123" t="str">
        <f>IF(R235="Bogs Ponds Streams","52",IF(R235="Coastal Areas","51",IF(R235="Meadows Dry Open","53",IF(R235="Forest &amp; Understory","52",IF(R235="Moist Open","50",IF(R235="Moist Shady","46",IF(R235="Sub-Alpine Slopes","40")))))))</f>
        <v>53</v>
      </c>
      <c r="V235" s="123" t="str">
        <f>IF(R235="Bogs Ponds Streams","84",IF(R235="Coastal Areas","76",IF(R235="Meadows Dry Open","96", IF(R235="Forest &amp; Understory","90", IF(R235="Moist Open","88", IF(R235="Moist Shady","82", IF(R235="Sub-Alpine Slopes","80")))))))</f>
        <v>96</v>
      </c>
      <c r="W235" s="59">
        <v>1</v>
      </c>
      <c r="X235" s="59">
        <v>0</v>
      </c>
      <c r="Y235" s="59">
        <v>3500</v>
      </c>
      <c r="Z235" s="59" t="s">
        <v>2519</v>
      </c>
      <c r="AA235" s="59" t="s">
        <v>2518</v>
      </c>
      <c r="AB235" s="59">
        <v>6.8</v>
      </c>
      <c r="AC235" s="45">
        <f>C235+AK235+(0.1)*AL235</f>
        <v>30.3</v>
      </c>
      <c r="AD235" s="77">
        <v>74</v>
      </c>
      <c r="AE235" s="59">
        <v>5</v>
      </c>
      <c r="AF235" s="59">
        <v>5</v>
      </c>
      <c r="AG235" s="59">
        <v>1900</v>
      </c>
      <c r="AH235" s="77">
        <v>0</v>
      </c>
      <c r="AI235" s="59">
        <f ca="1">AJ235</f>
        <v>2019</v>
      </c>
      <c r="AJ235" s="18">
        <f ca="1">YEAR(TODAY())</f>
        <v>2019</v>
      </c>
      <c r="AK235" s="18">
        <v>22</v>
      </c>
      <c r="AL235" s="18">
        <v>3</v>
      </c>
      <c r="AM235" s="18">
        <v>1</v>
      </c>
      <c r="AN235" s="18">
        <v>1</v>
      </c>
      <c r="AO235" s="18">
        <v>5</v>
      </c>
      <c r="AP235" s="18">
        <v>1</v>
      </c>
      <c r="AQ235" s="18">
        <v>0</v>
      </c>
      <c r="AR235" s="18">
        <v>0</v>
      </c>
      <c r="AS235" s="18">
        <v>0</v>
      </c>
      <c r="AT235" s="18">
        <v>0</v>
      </c>
      <c r="AU235" s="18">
        <v>0</v>
      </c>
      <c r="AV235" s="18">
        <v>0</v>
      </c>
      <c r="AW235" s="18">
        <v>0</v>
      </c>
      <c r="AX235" s="18">
        <v>0</v>
      </c>
      <c r="AY235" s="233"/>
      <c r="AZ235" s="4"/>
      <c r="BA235" s="35" t="str">
        <f ca="1">IF(OR(S235="North America",S235="Rocky Mountain"), "Widespread",BC235)</f>
        <v>Abundant</v>
      </c>
      <c r="BB235" s="4"/>
      <c r="BC235" s="35" t="str">
        <f ca="1">IF(BE235&gt;2046, "Abundant",BE235)</f>
        <v>Abundant</v>
      </c>
      <c r="BD235" s="4"/>
      <c r="BE235" s="81">
        <f ca="1">YEAR($C$13)+(BG235*80)</f>
        <v>2107.1065725490198</v>
      </c>
      <c r="BF235" s="4"/>
      <c r="BG235" s="137">
        <f ca="1">BH235*$BH$14</f>
        <v>1.1013321568627452</v>
      </c>
      <c r="BH235" s="137">
        <f ca="1">(((BJ235+BK235+BM235+BN235)/4)*$BM$11)+(((BP235+BQ235)/2)*$BQ$11)+(((BU235+BV235+BW235)/3)*$BU$11)+(((BY235+BZ235+CA235+CB235+CC235)/5)*$CA$11)</f>
        <v>1.1013321568627452</v>
      </c>
      <c r="BI235" s="4"/>
      <c r="BJ235" s="33">
        <f>AP235/(AM235+AO235)</f>
        <v>0.16666666666666666</v>
      </c>
      <c r="BK235" s="33">
        <f>(AN235+AO235)/(AM235+AO235)</f>
        <v>1</v>
      </c>
      <c r="BL235" s="4"/>
      <c r="BM235" s="127">
        <f>CF235/102</f>
        <v>0.29705882352941176</v>
      </c>
      <c r="BN235" s="127">
        <f>C235/2</f>
        <v>4</v>
      </c>
      <c r="BO235" s="4"/>
      <c r="BP235" s="127">
        <f>(AK235)/($AW$6)</f>
        <v>0.22222222222222221</v>
      </c>
      <c r="BQ235" s="127">
        <f ca="1">(CH235-$AW$4)/((YEAR($C$13))-$AW$4)</f>
        <v>1</v>
      </c>
      <c r="BR235" s="127">
        <f>(AL235)/($AW$6)</f>
        <v>3.0303030303030304E-2</v>
      </c>
      <c r="BS235" s="4"/>
      <c r="BT235" s="127"/>
      <c r="BU235" s="127">
        <f ca="1">(CG235-$AW$4)/((YEAR($C$13))-$AW$4)</f>
        <v>1</v>
      </c>
      <c r="BV235" s="127">
        <f>AE235/5</f>
        <v>1</v>
      </c>
      <c r="BW235" s="127">
        <f>AF235/5</f>
        <v>1</v>
      </c>
      <c r="BX235" s="4"/>
      <c r="BY235" s="148" t="str">
        <f>IF(E235="A",".98",IF(E235="B",".99",IF(E235="C","1.00",IF(E235="D","1.00" ))))</f>
        <v>.98</v>
      </c>
      <c r="BZ235" s="127">
        <f>(CE235+7)/10</f>
        <v>0.8</v>
      </c>
      <c r="CA235" s="76" t="str">
        <f>IF(D235="Fern",".97",IF(D235="Grass",".99",IF(D235="Herb",".97",IF(D235="Shrub",".99",IF(D235="Tree","1.00",IF(D235="Vine",".98"))))))</f>
        <v>.97</v>
      </c>
      <c r="CB235" s="149" t="str">
        <f>IF(R235="Bogs Ponds Streams",".96", IF(R235="Coastal Areas",".97",IF(R235="Meadows Dry Open",".96",IF(R235="Forest &amp; Understory",".97",IF(R235="Moist Open",".98",IF(R235="Moist Shady",".96",IF(R235="Sub-Alpine","1.0")))))))</f>
        <v>.96</v>
      </c>
      <c r="CC235" s="76" t="str">
        <f>IF(S235="Local Endemic",".50",IF(S235="Regional Endemic",".70",IF(S235="Cascadia",".90",IF(S235="Rocky Mountain",".95",IF(S235="North America",".99")))))</f>
        <v>.90</v>
      </c>
      <c r="CD235" s="4"/>
      <c r="CE235" s="21">
        <f>IF(W235&gt;3,3,W235)</f>
        <v>1</v>
      </c>
      <c r="CF235" s="21">
        <f>IF(AC235&gt;102,102,AC235)</f>
        <v>30.3</v>
      </c>
      <c r="CG235" s="34">
        <f ca="1">IF(AI235&lt;$AW$4,$AW$4,AI235)</f>
        <v>2019</v>
      </c>
      <c r="CH235" s="34">
        <f ca="1">IF(AJ235&lt;$AW$4,$AW$4,AJ235)</f>
        <v>2019</v>
      </c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12"/>
    </row>
    <row r="236" spans="1:115" s="13" customFormat="1" ht="15" customHeight="1" x14ac:dyDescent="0.3">
      <c r="A236" s="235"/>
      <c r="B236" s="218"/>
      <c r="C236" s="225">
        <v>8</v>
      </c>
      <c r="D236" s="59" t="s">
        <v>2505</v>
      </c>
      <c r="E236" s="59" t="s">
        <v>2502</v>
      </c>
      <c r="F236" s="397" t="str">
        <f ca="1">IF(BC236&lt;2025, "Extinct&lt; 6Yrs?",BA236)</f>
        <v>Widespread</v>
      </c>
      <c r="G236" s="363" t="s">
        <v>525</v>
      </c>
      <c r="H236" s="363" t="s">
        <v>690</v>
      </c>
      <c r="I236" s="366" t="s">
        <v>373</v>
      </c>
      <c r="J236" s="365" t="s">
        <v>3285</v>
      </c>
      <c r="K236" s="365" t="s">
        <v>919</v>
      </c>
      <c r="L236" s="10" t="s">
        <v>1966</v>
      </c>
      <c r="M236" s="8" t="s">
        <v>4315</v>
      </c>
      <c r="N236" s="8" t="s">
        <v>5209</v>
      </c>
      <c r="O236" s="8" t="s">
        <v>6107</v>
      </c>
      <c r="P236" s="9" t="s">
        <v>672</v>
      </c>
      <c r="Q236" s="59" t="s">
        <v>2552</v>
      </c>
      <c r="R236" s="9" t="s">
        <v>2498</v>
      </c>
      <c r="S236" s="9" t="s">
        <v>2479</v>
      </c>
      <c r="T236" s="123" t="str">
        <f>IF(R236="Bogs Ponds Streams","20",IF(R236="Coastal Areas","26",IF(R236="Meadows Dry Open","10",IF(R236="Forest &amp; Understory","14",IF(R236="Moist Open","12",IF(R236="Moist Shady","10",IF(R236="Sub-Alpine Slopes","0")))))))</f>
        <v>10</v>
      </c>
      <c r="U236" s="123" t="str">
        <f>IF(R236="Bogs Ponds Streams","52",IF(R236="Coastal Areas","51",IF(R236="Meadows Dry Open","53",IF(R236="Forest &amp; Understory","52",IF(R236="Moist Open","50",IF(R236="Moist Shady","46",IF(R236="Sub-Alpine Slopes","40")))))))</f>
        <v>46</v>
      </c>
      <c r="V236" s="123" t="str">
        <f>IF(R236="Bogs Ponds Streams","84",IF(R236="Coastal Areas","76",IF(R236="Meadows Dry Open","96", IF(R236="Forest &amp; Understory","90", IF(R236="Moist Open","88", IF(R236="Moist Shady","82", IF(R236="Sub-Alpine Slopes","80")))))))</f>
        <v>82</v>
      </c>
      <c r="W236" s="59">
        <v>1</v>
      </c>
      <c r="X236" s="59">
        <v>0</v>
      </c>
      <c r="Y236" s="59">
        <v>3500</v>
      </c>
      <c r="Z236" s="59" t="s">
        <v>2519</v>
      </c>
      <c r="AA236" s="59" t="s">
        <v>2518</v>
      </c>
      <c r="AB236" s="59">
        <v>6.8</v>
      </c>
      <c r="AC236" s="45">
        <f>C236+AK236+(0.1)*AL236</f>
        <v>31</v>
      </c>
      <c r="AD236" s="77">
        <v>448</v>
      </c>
      <c r="AE236" s="59">
        <v>5</v>
      </c>
      <c r="AF236" s="59">
        <v>5</v>
      </c>
      <c r="AG236" s="59">
        <v>1900</v>
      </c>
      <c r="AH236" s="77">
        <v>0</v>
      </c>
      <c r="AI236" s="59">
        <f ca="1">AJ236</f>
        <v>2019</v>
      </c>
      <c r="AJ236" s="18">
        <f ca="1">YEAR(TODAY())</f>
        <v>2019</v>
      </c>
      <c r="AK236" s="18">
        <v>20</v>
      </c>
      <c r="AL236" s="18">
        <v>30</v>
      </c>
      <c r="AM236" s="18">
        <v>1</v>
      </c>
      <c r="AN236" s="18">
        <v>1</v>
      </c>
      <c r="AO236" s="18">
        <v>5</v>
      </c>
      <c r="AP236" s="18">
        <v>1</v>
      </c>
      <c r="AQ236" s="18">
        <v>0</v>
      </c>
      <c r="AR236" s="18">
        <v>0</v>
      </c>
      <c r="AS236" s="18">
        <v>0</v>
      </c>
      <c r="AT236" s="18">
        <v>0</v>
      </c>
      <c r="AU236" s="18">
        <v>0</v>
      </c>
      <c r="AV236" s="18">
        <v>0</v>
      </c>
      <c r="AW236" s="18">
        <v>0</v>
      </c>
      <c r="AX236" s="18">
        <v>0</v>
      </c>
      <c r="AY236" s="233"/>
      <c r="AZ236" s="4"/>
      <c r="BA236" s="35" t="str">
        <f>IF(OR(S236="North America",S236="Rocky Mountain"), "Widespread",BC236)</f>
        <v>Widespread</v>
      </c>
      <c r="BB236" s="4"/>
      <c r="BC236" s="35" t="str">
        <f ca="1">IF(BE236&gt;2046, "Abundant",BE236)</f>
        <v>Abundant</v>
      </c>
      <c r="BD236" s="4"/>
      <c r="BE236" s="81">
        <f ca="1">YEAR($C$13)+(BG236*80)</f>
        <v>2106.9625012477718</v>
      </c>
      <c r="BF236" s="4"/>
      <c r="BG236" s="137">
        <f ca="1">BH236*$BH$14</f>
        <v>1.0995312655971481</v>
      </c>
      <c r="BH236" s="137">
        <f ca="1">(((BJ236+BK236+BM236+BN236)/4)*$BM$11)+(((BP236+BQ236)/2)*$BQ$11)+(((BU236+BV236+BW236)/3)*$BU$11)+(((BY236+BZ236+CA236+CB236+CC236)/5)*$CA$11)</f>
        <v>1.0995312655971481</v>
      </c>
      <c r="BI236" s="4"/>
      <c r="BJ236" s="33">
        <f>AP236/(AM236+AO236)</f>
        <v>0.16666666666666666</v>
      </c>
      <c r="BK236" s="33">
        <f>(AN236+AO236)/(AM236+AO236)</f>
        <v>1</v>
      </c>
      <c r="BL236" s="4"/>
      <c r="BM236" s="127">
        <f>CF236/102</f>
        <v>0.30392156862745096</v>
      </c>
      <c r="BN236" s="127">
        <f>C236/2</f>
        <v>4</v>
      </c>
      <c r="BO236" s="4"/>
      <c r="BP236" s="127">
        <f>(AK236)/($AW$6)</f>
        <v>0.20202020202020202</v>
      </c>
      <c r="BQ236" s="127">
        <f ca="1">(CH236-$AW$4)/((YEAR($C$13))-$AW$4)</f>
        <v>1</v>
      </c>
      <c r="BR236" s="127">
        <f>(AL236)/($AW$6)</f>
        <v>0.30303030303030304</v>
      </c>
      <c r="BS236" s="4"/>
      <c r="BT236" s="127"/>
      <c r="BU236" s="127">
        <f ca="1">(CG236-$AW$4)/((YEAR($C$13))-$AW$4)</f>
        <v>1</v>
      </c>
      <c r="BV236" s="127">
        <f>AE236/5</f>
        <v>1</v>
      </c>
      <c r="BW236" s="127">
        <f>AF236/5</f>
        <v>1</v>
      </c>
      <c r="BX236" s="4"/>
      <c r="BY236" s="148" t="str">
        <f>IF(E236="A",".98",IF(E236="B",".99",IF(E236="C","1.00",IF(E236="D","1.00" ))))</f>
        <v>.98</v>
      </c>
      <c r="BZ236" s="127">
        <f>(CE236+7)/10</f>
        <v>0.8</v>
      </c>
      <c r="CA236" s="76" t="str">
        <f>IF(D236="Fern",".97",IF(D236="Grass",".99",IF(D236="Herb",".97",IF(D236="Shrub",".99",IF(D236="Tree","1.00",IF(D236="Vine",".98"))))))</f>
        <v>.97</v>
      </c>
      <c r="CB236" s="149" t="str">
        <f>IF(R236="Bogs Ponds Streams",".96", IF(R236="Coastal Areas",".97",IF(R236="Meadows Dry Open",".96",IF(R236="Forest &amp; Understory",".97",IF(R236="Moist Open",".98",IF(R236="Moist Shady",".96",IF(R236="Sub-Alpine","1.0")))))))</f>
        <v>.96</v>
      </c>
      <c r="CC236" s="76" t="str">
        <f>IF(S236="Local Endemic",".50",IF(S236="Regional Endemic",".70",IF(S236="Cascadia",".90",IF(S236="Rocky Mountain",".95",IF(S236="North America",".99")))))</f>
        <v>.95</v>
      </c>
      <c r="CD236" s="4"/>
      <c r="CE236" s="21">
        <f>IF(W236&gt;3,3,W236)</f>
        <v>1</v>
      </c>
      <c r="CF236" s="21">
        <f>IF(AC236&gt;102,102,AC236)</f>
        <v>31</v>
      </c>
      <c r="CG236" s="34">
        <f ca="1">IF(AI236&lt;$AW$4,$AW$4,AI236)</f>
        <v>2019</v>
      </c>
      <c r="CH236" s="34">
        <f ca="1">IF(AJ236&lt;$AW$4,$AW$4,AJ236)</f>
        <v>2019</v>
      </c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12"/>
    </row>
    <row r="237" spans="1:115" s="13" customFormat="1" ht="15" customHeight="1" x14ac:dyDescent="0.3">
      <c r="A237" s="235"/>
      <c r="B237" s="218"/>
      <c r="C237" s="375">
        <v>1</v>
      </c>
      <c r="D237" s="67" t="s">
        <v>2505</v>
      </c>
      <c r="E237" s="67" t="s">
        <v>2501</v>
      </c>
      <c r="F237" s="403">
        <f ca="1">IF(BC237&lt;2025, "Extinct&lt; 6Yrs?",BA237)</f>
        <v>2030.1065098039217</v>
      </c>
      <c r="G237" s="376" t="s">
        <v>525</v>
      </c>
      <c r="H237" s="376" t="s">
        <v>4028</v>
      </c>
      <c r="I237" s="377" t="s">
        <v>2390</v>
      </c>
      <c r="J237" s="378" t="s">
        <v>4063</v>
      </c>
      <c r="K237" s="378" t="s">
        <v>4094</v>
      </c>
      <c r="L237" s="63" t="s">
        <v>2389</v>
      </c>
      <c r="M237" s="64" t="s">
        <v>4316</v>
      </c>
      <c r="N237" s="64" t="s">
        <v>5210</v>
      </c>
      <c r="O237" s="64" t="s">
        <v>6108</v>
      </c>
      <c r="P237" s="61" t="s">
        <v>672</v>
      </c>
      <c r="Q237" s="67" t="s">
        <v>2552</v>
      </c>
      <c r="R237" s="163" t="s">
        <v>2497</v>
      </c>
      <c r="S237" s="65" t="s">
        <v>2459</v>
      </c>
      <c r="T237" s="134" t="str">
        <f>IF(R237="Bogs Ponds Streams","20",IF(R237="Coastal Areas","26",IF(R237="Meadows Dry Open","10",IF(R237="Forest &amp; Understory","14",IF(R237="Moist Open","12",IF(R237="Moist Shady","10",IF(R237="Sub-Alpine Slopes","0")))))))</f>
        <v>12</v>
      </c>
      <c r="U237" s="134" t="str">
        <f>IF(R237="Bogs Ponds Streams","52",IF(R237="Coastal Areas","51",IF(R237="Meadows Dry Open","53",IF(R237="Forest &amp; Understory","52",IF(R237="Moist Open","50",IF(R237="Moist Shady","46",IF(R237="Sub-Alpine Slopes","40")))))))</f>
        <v>50</v>
      </c>
      <c r="V237" s="134" t="str">
        <f>IF(R237="Bogs Ponds Streams","84",IF(R237="Coastal Areas","76",IF(R237="Meadows Dry Open","96", IF(R237="Forest &amp; Understory","90", IF(R237="Moist Open","88", IF(R237="Moist Shady","82", IF(R237="Sub-Alpine Slopes","80")))))))</f>
        <v>88</v>
      </c>
      <c r="W237" s="67">
        <v>20</v>
      </c>
      <c r="X237" s="67">
        <v>0</v>
      </c>
      <c r="Y237" s="67">
        <v>3500</v>
      </c>
      <c r="Z237" s="67" t="s">
        <v>2519</v>
      </c>
      <c r="AA237" s="67" t="s">
        <v>2518</v>
      </c>
      <c r="AB237" s="67">
        <v>6.8</v>
      </c>
      <c r="AC237" s="85">
        <f>C237+AK237+(0.1)*AL237</f>
        <v>1.2</v>
      </c>
      <c r="AD237" s="78">
        <v>17</v>
      </c>
      <c r="AE237" s="68">
        <v>2</v>
      </c>
      <c r="AF237" s="68">
        <v>4</v>
      </c>
      <c r="AG237" s="78">
        <v>1880</v>
      </c>
      <c r="AH237" s="78">
        <v>0</v>
      </c>
      <c r="AI237" s="78">
        <v>2010</v>
      </c>
      <c r="AJ237" s="67">
        <v>1990</v>
      </c>
      <c r="AK237" s="67">
        <v>0</v>
      </c>
      <c r="AL237" s="67">
        <v>2</v>
      </c>
      <c r="AM237" s="70">
        <v>5</v>
      </c>
      <c r="AN237" s="70">
        <v>0</v>
      </c>
      <c r="AO237" s="86">
        <v>0</v>
      </c>
      <c r="AP237" s="70">
        <v>0</v>
      </c>
      <c r="AQ237" s="70">
        <v>0</v>
      </c>
      <c r="AR237" s="70">
        <v>0</v>
      </c>
      <c r="AS237" s="86">
        <v>0</v>
      </c>
      <c r="AT237" s="70">
        <v>0</v>
      </c>
      <c r="AU237" s="70">
        <v>0</v>
      </c>
      <c r="AV237" s="70">
        <v>0</v>
      </c>
      <c r="AW237" s="86">
        <v>0</v>
      </c>
      <c r="AX237" s="70">
        <v>0</v>
      </c>
      <c r="AY237" s="233"/>
      <c r="AZ237" s="11"/>
      <c r="BA237" s="35">
        <f ca="1">IF(OR(S237="North America",S237="Rocky Mountain"), "Widespread",BC237)</f>
        <v>2030.1065098039217</v>
      </c>
      <c r="BB237" s="11"/>
      <c r="BC237" s="35">
        <f ca="1">IF(BE237&gt;2046, "Abundant",BE237)</f>
        <v>2030.1065098039217</v>
      </c>
      <c r="BD237" s="11"/>
      <c r="BE237" s="81">
        <f ca="1">YEAR($C$13)+(BG237*80)</f>
        <v>2030.1065098039217</v>
      </c>
      <c r="BF237" s="11"/>
      <c r="BG237" s="137">
        <f ca="1">BH237*$BH$14</f>
        <v>0.13883137254901959</v>
      </c>
      <c r="BH237" s="137">
        <f ca="1">(((BJ237+BK237+BM237+BN237)/4)*$BM$11)+(((BP237+BQ237)/2)*$BQ$11)+(((BU237+BV237+BW237)/3)*$BU$11)+(((BY237+BZ237+CA237+CB237+CC237)/5)*$CA$11)</f>
        <v>0.13883137254901959</v>
      </c>
      <c r="BI237" s="11"/>
      <c r="BJ237" s="33">
        <f>AP237/(AM237+AO237)</f>
        <v>0</v>
      </c>
      <c r="BK237" s="33">
        <f>(AN237+AO237)/(AM237+AO237)</f>
        <v>0</v>
      </c>
      <c r="BL237" s="11"/>
      <c r="BM237" s="127">
        <f>CF237/102</f>
        <v>1.1764705882352941E-2</v>
      </c>
      <c r="BN237" s="127">
        <f>C237/2</f>
        <v>0.5</v>
      </c>
      <c r="BO237" s="11"/>
      <c r="BP237" s="127">
        <f>(AK237)/($AW$6)</f>
        <v>0</v>
      </c>
      <c r="BQ237" s="127">
        <f ca="1">(CH237-$AW$4)/((YEAR($C$13))-$AW$4)</f>
        <v>0</v>
      </c>
      <c r="BR237" s="127">
        <f>(AL237)/($AW$6)</f>
        <v>2.0202020202020204E-2</v>
      </c>
      <c r="BS237" s="11"/>
      <c r="BT237" s="127"/>
      <c r="BU237" s="127">
        <f ca="1">(CG237-$AW$4)/((YEAR($C$13))-$AW$4)</f>
        <v>0.4</v>
      </c>
      <c r="BV237" s="127">
        <f>AE237/5</f>
        <v>0.4</v>
      </c>
      <c r="BW237" s="127">
        <f>AF237/5</f>
        <v>0.8</v>
      </c>
      <c r="BX237" s="11"/>
      <c r="BY237" s="148" t="str">
        <f>IF(E237="A",".98",IF(E237="B",".99",IF(E237="C","1.00",IF(E237="D","1.00" ))))</f>
        <v>1.00</v>
      </c>
      <c r="BZ237" s="127">
        <f>(CE237+7)/10</f>
        <v>1</v>
      </c>
      <c r="CA237" s="76" t="str">
        <f>IF(D237="Fern",".97",IF(D237="Grass",".99",IF(D237="Herb",".97",IF(D237="Shrub",".99",IF(D237="Tree","1.00",IF(D237="Vine",".98"))))))</f>
        <v>.97</v>
      </c>
      <c r="CB237" s="149" t="str">
        <f>IF(R237="Bogs Ponds Streams",".96", IF(R237="Coastal Areas",".97",IF(R237="Meadows Dry Open",".96",IF(R237="Forest &amp; Understory",".97",IF(R237="Moist Open",".98",IF(R237="Moist Shady",".96",IF(R237="Sub-Alpine","1.0")))))))</f>
        <v>.98</v>
      </c>
      <c r="CC237" s="76" t="str">
        <f>IF(S237="Local Endemic",".50",IF(S237="Regional Endemic",".70",IF(S237="Cascadia",".90",IF(S237="Rocky Mountain",".95",IF(S237="North America",".99")))))</f>
        <v>.90</v>
      </c>
      <c r="CD237" s="11"/>
      <c r="CE237" s="21">
        <f>IF(W237&gt;3,3,W237)</f>
        <v>3</v>
      </c>
      <c r="CF237" s="21">
        <f>IF(AC237&gt;102,102,AC237)</f>
        <v>1.2</v>
      </c>
      <c r="CG237" s="34">
        <f>IF(AI237&lt;$AW$4,$AW$4,AI237)</f>
        <v>2010</v>
      </c>
      <c r="CH237" s="34">
        <f>IF(AJ237&lt;$AW$4,$AW$4,AJ237)</f>
        <v>2004</v>
      </c>
      <c r="CI237" s="11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11"/>
      <c r="DC237" s="11"/>
      <c r="DD237" s="11"/>
      <c r="DE237" s="11"/>
      <c r="DF237" s="11"/>
      <c r="DG237" s="11"/>
      <c r="DH237" s="11"/>
      <c r="DI237" s="11"/>
      <c r="DJ237" s="11"/>
      <c r="DK237" s="12"/>
    </row>
    <row r="238" spans="1:115" s="13" customFormat="1" ht="15" customHeight="1" x14ac:dyDescent="0.3">
      <c r="A238" s="235"/>
      <c r="B238" s="218"/>
      <c r="C238" s="225">
        <v>8</v>
      </c>
      <c r="D238" s="59" t="s">
        <v>2505</v>
      </c>
      <c r="E238" s="59" t="s">
        <v>2502</v>
      </c>
      <c r="F238" s="397" t="str">
        <f ca="1">IF(BC238&lt;2025, "Extinct&lt; 6Yrs?",BA238)</f>
        <v>Widespread</v>
      </c>
      <c r="G238" s="363" t="s">
        <v>525</v>
      </c>
      <c r="H238" s="363" t="s">
        <v>682</v>
      </c>
      <c r="I238" s="366" t="s">
        <v>675</v>
      </c>
      <c r="J238" s="365" t="s">
        <v>3286</v>
      </c>
      <c r="K238" s="365" t="s">
        <v>920</v>
      </c>
      <c r="L238" s="10" t="s">
        <v>1965</v>
      </c>
      <c r="M238" s="8" t="s">
        <v>4317</v>
      </c>
      <c r="N238" s="8" t="s">
        <v>5211</v>
      </c>
      <c r="O238" s="8" t="s">
        <v>6109</v>
      </c>
      <c r="P238" s="9" t="s">
        <v>674</v>
      </c>
      <c r="Q238" s="59" t="s">
        <v>2552</v>
      </c>
      <c r="R238" s="9" t="s">
        <v>2500</v>
      </c>
      <c r="S238" s="9" t="s">
        <v>2479</v>
      </c>
      <c r="T238" s="123" t="str">
        <f>IF(R238="Bogs Ponds Streams","20",IF(R238="Coastal Areas","26",IF(R238="Meadows Dry Open","10",IF(R238="Forest &amp; Understory","14",IF(R238="Moist Open","12",IF(R238="Moist Shady","10",IF(R238="Sub-Alpine Slopes","0")))))))</f>
        <v>10</v>
      </c>
      <c r="U238" s="123" t="str">
        <f>IF(R238="Bogs Ponds Streams","52",IF(R238="Coastal Areas","51",IF(R238="Meadows Dry Open","53",IF(R238="Forest &amp; Understory","52",IF(R238="Moist Open","50",IF(R238="Moist Shady","46",IF(R238="Sub-Alpine Slopes","40")))))))</f>
        <v>53</v>
      </c>
      <c r="V238" s="123" t="str">
        <f>IF(R238="Bogs Ponds Streams","84",IF(R238="Coastal Areas","76",IF(R238="Meadows Dry Open","96", IF(R238="Forest &amp; Understory","90", IF(R238="Moist Open","88", IF(R238="Moist Shady","82", IF(R238="Sub-Alpine Slopes","80")))))))</f>
        <v>96</v>
      </c>
      <c r="W238" s="59">
        <v>1</v>
      </c>
      <c r="X238" s="59">
        <v>0</v>
      </c>
      <c r="Y238" s="59">
        <v>3500</v>
      </c>
      <c r="Z238" s="59" t="s">
        <v>2519</v>
      </c>
      <c r="AA238" s="59" t="s">
        <v>2518</v>
      </c>
      <c r="AB238" s="59">
        <v>6.8</v>
      </c>
      <c r="AC238" s="45">
        <f>C238+AK238+(0.1)*AL238</f>
        <v>21.3</v>
      </c>
      <c r="AD238" s="77">
        <v>123</v>
      </c>
      <c r="AE238" s="59">
        <v>5</v>
      </c>
      <c r="AF238" s="59">
        <v>5</v>
      </c>
      <c r="AG238" s="59">
        <v>1900</v>
      </c>
      <c r="AH238" s="77">
        <v>0</v>
      </c>
      <c r="AI238" s="59">
        <f ca="1">AJ238</f>
        <v>2019</v>
      </c>
      <c r="AJ238" s="18">
        <f ca="1">YEAR(TODAY())</f>
        <v>2019</v>
      </c>
      <c r="AK238" s="18">
        <v>10</v>
      </c>
      <c r="AL238" s="18">
        <v>33</v>
      </c>
      <c r="AM238" s="18">
        <v>1</v>
      </c>
      <c r="AN238" s="18">
        <v>1</v>
      </c>
      <c r="AO238" s="25">
        <v>0</v>
      </c>
      <c r="AP238" s="24">
        <v>1</v>
      </c>
      <c r="AQ238" s="18">
        <v>0</v>
      </c>
      <c r="AR238" s="18">
        <v>0</v>
      </c>
      <c r="AS238" s="18">
        <v>0</v>
      </c>
      <c r="AT238" s="18">
        <v>0</v>
      </c>
      <c r="AU238" s="18">
        <v>0</v>
      </c>
      <c r="AV238" s="18">
        <v>0</v>
      </c>
      <c r="AW238" s="18">
        <v>0</v>
      </c>
      <c r="AX238" s="18">
        <v>0</v>
      </c>
      <c r="AY238" s="233"/>
      <c r="AZ238" s="4"/>
      <c r="BA238" s="35" t="str">
        <f>IF(OR(S238="North America",S238="Rocky Mountain"), "Widespread",BC238)</f>
        <v>Widespread</v>
      </c>
      <c r="BB238" s="4"/>
      <c r="BC238" s="35" t="str">
        <f ca="1">IF(BE238&gt;2046, "Abundant",BE238)</f>
        <v>Abundant</v>
      </c>
      <c r="BD238" s="4"/>
      <c r="BE238" s="81">
        <f ca="1">YEAR($C$13)+(BG238*80)</f>
        <v>2114.6092035650622</v>
      </c>
      <c r="BF238" s="4"/>
      <c r="BG238" s="137">
        <f ca="1">BH238*$BH$14</f>
        <v>1.1951150445632799</v>
      </c>
      <c r="BH238" s="137">
        <f ca="1">(((BJ238+BK238+BM238+BN238)/4)*$BM$11)+(((BP238+BQ238)/2)*$BQ$11)+(((BU238+BV238+BW238)/3)*$BU$11)+(((BY238+BZ238+CA238+CB238+CC238)/5)*$CA$11)</f>
        <v>1.1951150445632799</v>
      </c>
      <c r="BI238" s="4"/>
      <c r="BJ238" s="33">
        <f>AP238/(AM238+AO238)</f>
        <v>1</v>
      </c>
      <c r="BK238" s="33">
        <f>(AN238+AO238)/(AM238+AO238)</f>
        <v>1</v>
      </c>
      <c r="BL238" s="4"/>
      <c r="BM238" s="127">
        <f>CF238/102</f>
        <v>0.20882352941176471</v>
      </c>
      <c r="BN238" s="127">
        <f>C238/2</f>
        <v>4</v>
      </c>
      <c r="BO238" s="4"/>
      <c r="BP238" s="127">
        <f>(AK238)/($AW$6)</f>
        <v>0.10101010101010101</v>
      </c>
      <c r="BQ238" s="127">
        <f ca="1">(CH238-$AW$4)/((YEAR($C$13))-$AW$4)</f>
        <v>1</v>
      </c>
      <c r="BR238" s="127">
        <f>(AL238)/($AW$6)</f>
        <v>0.33333333333333331</v>
      </c>
      <c r="BS238" s="4"/>
      <c r="BT238" s="127"/>
      <c r="BU238" s="127">
        <f ca="1">(CG238-$AW$4)/((YEAR($C$13))-$AW$4)</f>
        <v>1</v>
      </c>
      <c r="BV238" s="127">
        <f>AE238/5</f>
        <v>1</v>
      </c>
      <c r="BW238" s="127">
        <f>AF238/5</f>
        <v>1</v>
      </c>
      <c r="BX238" s="4"/>
      <c r="BY238" s="148" t="str">
        <f>IF(E238="A",".98",IF(E238="B",".99",IF(E238="C","1.00",IF(E238="D","1.00" ))))</f>
        <v>.98</v>
      </c>
      <c r="BZ238" s="127">
        <f>(CE238+7)/10</f>
        <v>0.8</v>
      </c>
      <c r="CA238" s="76" t="str">
        <f>IF(D238="Fern",".97",IF(D238="Grass",".99",IF(D238="Herb",".97",IF(D238="Shrub",".99",IF(D238="Tree","1.00",IF(D238="Vine",".98"))))))</f>
        <v>.97</v>
      </c>
      <c r="CB238" s="149" t="str">
        <f>IF(R238="Bogs Ponds Streams",".96", IF(R238="Coastal Areas",".97",IF(R238="Meadows Dry Open",".96",IF(R238="Forest &amp; Understory",".97",IF(R238="Moist Open",".98",IF(R238="Moist Shady",".96",IF(R238="Sub-Alpine","1.0")))))))</f>
        <v>.96</v>
      </c>
      <c r="CC238" s="76" t="str">
        <f>IF(S238="Local Endemic",".50",IF(S238="Regional Endemic",".70",IF(S238="Cascadia",".90",IF(S238="Rocky Mountain",".95",IF(S238="North America",".99")))))</f>
        <v>.95</v>
      </c>
      <c r="CD238" s="4"/>
      <c r="CE238" s="21">
        <f>IF(W238&gt;3,3,W238)</f>
        <v>1</v>
      </c>
      <c r="CF238" s="21">
        <f>IF(AC238&gt;102,102,AC238)</f>
        <v>21.3</v>
      </c>
      <c r="CG238" s="34">
        <f ca="1">IF(AI238&lt;$AW$4,$AW$4,AI238)</f>
        <v>2019</v>
      </c>
      <c r="CH238" s="34">
        <f ca="1">IF(AJ238&lt;$AW$4,$AW$4,AJ238)</f>
        <v>2019</v>
      </c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12"/>
    </row>
    <row r="239" spans="1:115" s="13" customFormat="1" ht="15" customHeight="1" x14ac:dyDescent="0.3">
      <c r="A239" s="235"/>
      <c r="B239" s="218"/>
      <c r="C239" s="375">
        <v>1</v>
      </c>
      <c r="D239" s="67" t="s">
        <v>2505</v>
      </c>
      <c r="E239" s="67" t="s">
        <v>2502</v>
      </c>
      <c r="F239" s="403">
        <f ca="1">IF(BC239&lt;2025, "Extinct&lt; 6Yrs?",BA239)</f>
        <v>2039.0038901960784</v>
      </c>
      <c r="G239" s="376" t="s">
        <v>525</v>
      </c>
      <c r="H239" s="376" t="s">
        <v>4028</v>
      </c>
      <c r="I239" s="380" t="s">
        <v>673</v>
      </c>
      <c r="J239" s="378" t="s">
        <v>3635</v>
      </c>
      <c r="K239" s="378" t="s">
        <v>921</v>
      </c>
      <c r="L239" s="63" t="s">
        <v>1964</v>
      </c>
      <c r="M239" s="64" t="s">
        <v>4319</v>
      </c>
      <c r="N239" s="64" t="s">
        <v>5212</v>
      </c>
      <c r="O239" s="64" t="s">
        <v>6110</v>
      </c>
      <c r="P239" s="61" t="s">
        <v>674</v>
      </c>
      <c r="Q239" s="67" t="s">
        <v>2552</v>
      </c>
      <c r="R239" s="61" t="s">
        <v>2530</v>
      </c>
      <c r="S239" s="61" t="s">
        <v>2459</v>
      </c>
      <c r="T239" s="134" t="str">
        <f>IF(R239="Bogs Ponds Streams","20",IF(R239="Coastal Areas","26",IF(R239="Meadows Dry Open","10",IF(R239="Forest &amp; Understory","14",IF(R239="Moist Open","12",IF(R239="Moist Shady","10",IF(R239="Sub-Alpine Slopes","0")))))))</f>
        <v>14</v>
      </c>
      <c r="U239" s="134" t="str">
        <f>IF(R239="Bogs Ponds Streams","52",IF(R239="Coastal Areas","51",IF(R239="Meadows Dry Open","53",IF(R239="Forest &amp; Understory","52",IF(R239="Moist Open","50",IF(R239="Moist Shady","46",IF(R239="Sub-Alpine Slopes","40")))))))</f>
        <v>52</v>
      </c>
      <c r="V239" s="134" t="str">
        <f>IF(R239="Bogs Ponds Streams","84",IF(R239="Coastal Areas","76",IF(R239="Meadows Dry Open","96", IF(R239="Forest &amp; Understory","90", IF(R239="Moist Open","88", IF(R239="Moist Shady","82", IF(R239="Sub-Alpine Slopes","80")))))))</f>
        <v>90</v>
      </c>
      <c r="W239" s="67">
        <v>1</v>
      </c>
      <c r="X239" s="67">
        <v>0</v>
      </c>
      <c r="Y239" s="67">
        <v>3500</v>
      </c>
      <c r="Z239" s="67" t="s">
        <v>2519</v>
      </c>
      <c r="AA239" s="67" t="s">
        <v>2518</v>
      </c>
      <c r="AB239" s="67">
        <v>6.8</v>
      </c>
      <c r="AC239" s="85">
        <f>C239+AK239+(0.1)*AL239</f>
        <v>36.200000000000003</v>
      </c>
      <c r="AD239" s="78">
        <v>88</v>
      </c>
      <c r="AE239" s="67">
        <v>5</v>
      </c>
      <c r="AF239" s="67">
        <v>5</v>
      </c>
      <c r="AG239" s="67">
        <v>1900</v>
      </c>
      <c r="AH239" s="78">
        <v>0</v>
      </c>
      <c r="AI239" s="67">
        <f>AJ239</f>
        <v>2004</v>
      </c>
      <c r="AJ239" s="69">
        <v>2004</v>
      </c>
      <c r="AK239" s="69">
        <v>33</v>
      </c>
      <c r="AL239" s="69">
        <v>22</v>
      </c>
      <c r="AM239" s="70">
        <v>5</v>
      </c>
      <c r="AN239" s="70">
        <v>0</v>
      </c>
      <c r="AO239" s="86">
        <v>0</v>
      </c>
      <c r="AP239" s="70">
        <v>0</v>
      </c>
      <c r="AQ239" s="70">
        <v>0</v>
      </c>
      <c r="AR239" s="70">
        <v>0</v>
      </c>
      <c r="AS239" s="86">
        <v>0</v>
      </c>
      <c r="AT239" s="70">
        <v>0</v>
      </c>
      <c r="AU239" s="70">
        <v>0</v>
      </c>
      <c r="AV239" s="70">
        <v>0</v>
      </c>
      <c r="AW239" s="86">
        <v>0</v>
      </c>
      <c r="AX239" s="70">
        <v>0</v>
      </c>
      <c r="AY239" s="233"/>
      <c r="AZ239" s="4"/>
      <c r="BA239" s="35">
        <f ca="1">IF(OR(S239="North America",S239="Rocky Mountain"), "Widespread",BC239)</f>
        <v>2039.0038901960784</v>
      </c>
      <c r="BB239" s="4"/>
      <c r="BC239" s="35">
        <f ca="1">IF(BE239&gt;2046, "Abundant",BE239)</f>
        <v>2039.0038901960784</v>
      </c>
      <c r="BD239" s="4"/>
      <c r="BE239" s="81">
        <f ca="1">YEAR($C$13)+(BG239*80)</f>
        <v>2039.0038901960784</v>
      </c>
      <c r="BF239" s="4"/>
      <c r="BG239" s="137">
        <f ca="1">BH239*$BH$14</f>
        <v>0.25004862745098039</v>
      </c>
      <c r="BH239" s="137">
        <f ca="1">(((BJ239+BK239+BM239+BN239)/4)*$BM$11)+(((BP239+BQ239)/2)*$BQ$11)+(((BU239+BV239+BW239)/3)*$BU$11)+(((BY239+BZ239+CA239+CB239+CC239)/5)*$CA$11)</f>
        <v>0.25004862745098039</v>
      </c>
      <c r="BI239" s="4"/>
      <c r="BJ239" s="33">
        <f>AP239/(AM239+AO239)</f>
        <v>0</v>
      </c>
      <c r="BK239" s="33">
        <f>(AN239+AO239)/(AM239+AO239)</f>
        <v>0</v>
      </c>
      <c r="BL239" s="4"/>
      <c r="BM239" s="127">
        <f>CF239/102</f>
        <v>0.35490196078431374</v>
      </c>
      <c r="BN239" s="127">
        <f>C239/2</f>
        <v>0.5</v>
      </c>
      <c r="BO239" s="4"/>
      <c r="BP239" s="127">
        <f>(AK239)/($AW$6)</f>
        <v>0.33333333333333331</v>
      </c>
      <c r="BQ239" s="127">
        <f ca="1">(CH239-$AW$4)/((YEAR($C$13))-$AW$4)</f>
        <v>0</v>
      </c>
      <c r="BR239" s="127">
        <f>(AL239)/($AW$6)</f>
        <v>0.22222222222222221</v>
      </c>
      <c r="BS239" s="4"/>
      <c r="BT239" s="127"/>
      <c r="BU239" s="127">
        <f ca="1">(CG239-$AW$4)/((YEAR($C$13))-$AW$4)</f>
        <v>0</v>
      </c>
      <c r="BV239" s="127">
        <f>AE239/5</f>
        <v>1</v>
      </c>
      <c r="BW239" s="127">
        <f>AF239/5</f>
        <v>1</v>
      </c>
      <c r="BX239" s="4"/>
      <c r="BY239" s="148" t="str">
        <f>IF(E239="A",".98",IF(E239="B",".99",IF(E239="C","1.00",IF(E239="D","1.00" ))))</f>
        <v>.98</v>
      </c>
      <c r="BZ239" s="127">
        <f>(CE239+7)/10</f>
        <v>0.8</v>
      </c>
      <c r="CA239" s="76" t="str">
        <f>IF(D239="Fern",".97",IF(D239="Grass",".99",IF(D239="Herb",".97",IF(D239="Shrub",".99",IF(D239="Tree","1.00",IF(D239="Vine",".98"))))))</f>
        <v>.97</v>
      </c>
      <c r="CB239" s="149" t="str">
        <f>IF(R239="Bogs Ponds Streams",".96", IF(R239="Coastal Areas",".97",IF(R239="Meadows Dry Open",".96",IF(R239="Forest &amp; Understory",".97",IF(R239="Moist Open",".98",IF(R239="Moist Shady",".96",IF(R239="Sub-Alpine","1.0")))))))</f>
        <v>.97</v>
      </c>
      <c r="CC239" s="76" t="str">
        <f>IF(S239="Local Endemic",".50",IF(S239="Regional Endemic",".70",IF(S239="Cascadia",".90",IF(S239="Rocky Mountain",".95",IF(S239="North America",".99")))))</f>
        <v>.90</v>
      </c>
      <c r="CD239" s="4"/>
      <c r="CE239" s="21">
        <f>IF(W239&gt;3,3,W239)</f>
        <v>1</v>
      </c>
      <c r="CF239" s="21">
        <f>IF(AC239&gt;102,102,AC239)</f>
        <v>36.200000000000003</v>
      </c>
      <c r="CG239" s="34">
        <f>IF(AI239&lt;$AW$4,$AW$4,AI239)</f>
        <v>2004</v>
      </c>
      <c r="CH239" s="34">
        <f>IF(AJ239&lt;$AW$4,$AW$4,AJ239)</f>
        <v>2004</v>
      </c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</row>
    <row r="240" spans="1:115" s="13" customFormat="1" ht="15" customHeight="1" x14ac:dyDescent="0.3">
      <c r="A240" s="235"/>
      <c r="B240" s="218"/>
      <c r="C240" s="375">
        <v>1</v>
      </c>
      <c r="D240" s="67" t="s">
        <v>2505</v>
      </c>
      <c r="E240" s="67" t="s">
        <v>2502</v>
      </c>
      <c r="F240" s="403" t="str">
        <f ca="1">IF(BC240&lt;2025, "Extinct&lt; 6Yrs?",BA240)</f>
        <v>Widespread</v>
      </c>
      <c r="G240" s="376" t="s">
        <v>525</v>
      </c>
      <c r="H240" s="376" t="s">
        <v>4028</v>
      </c>
      <c r="I240" s="379" t="s">
        <v>2622</v>
      </c>
      <c r="J240" s="378" t="s">
        <v>3634</v>
      </c>
      <c r="K240" s="378" t="s">
        <v>924</v>
      </c>
      <c r="L240" s="65" t="s">
        <v>1963</v>
      </c>
      <c r="M240" s="64" t="s">
        <v>4318</v>
      </c>
      <c r="N240" s="64" t="s">
        <v>5213</v>
      </c>
      <c r="O240" s="64" t="s">
        <v>6111</v>
      </c>
      <c r="P240" s="61" t="s">
        <v>674</v>
      </c>
      <c r="Q240" s="67" t="s">
        <v>2552</v>
      </c>
      <c r="R240" s="61" t="s">
        <v>2500</v>
      </c>
      <c r="S240" s="61" t="s">
        <v>2495</v>
      </c>
      <c r="T240" s="134" t="str">
        <f>IF(R240="Bogs Ponds Streams","20",IF(R240="Coastal Areas","26",IF(R240="Meadows Dry Open","10",IF(R240="Forest &amp; Understory","14",IF(R240="Moist Open","12",IF(R240="Moist Shady","10",IF(R240="Sub-Alpine Slopes","0")))))))</f>
        <v>10</v>
      </c>
      <c r="U240" s="134" t="str">
        <f>IF(R240="Bogs Ponds Streams","52",IF(R240="Coastal Areas","51",IF(R240="Meadows Dry Open","53",IF(R240="Forest &amp; Understory","52",IF(R240="Moist Open","50",IF(R240="Moist Shady","46",IF(R240="Sub-Alpine Slopes","40")))))))</f>
        <v>53</v>
      </c>
      <c r="V240" s="134" t="str">
        <f>IF(R240="Bogs Ponds Streams","84",IF(R240="Coastal Areas","76",IF(R240="Meadows Dry Open","96", IF(R240="Forest &amp; Understory","90", IF(R240="Moist Open","88", IF(R240="Moist Shady","82", IF(R240="Sub-Alpine Slopes","80")))))))</f>
        <v>96</v>
      </c>
      <c r="W240" s="67">
        <v>1</v>
      </c>
      <c r="X240" s="67">
        <v>0</v>
      </c>
      <c r="Y240" s="67">
        <v>3500</v>
      </c>
      <c r="Z240" s="67" t="s">
        <v>2519</v>
      </c>
      <c r="AA240" s="67" t="s">
        <v>2518</v>
      </c>
      <c r="AB240" s="67">
        <v>6.8</v>
      </c>
      <c r="AC240" s="85">
        <f>C240+AK240+(0.1)*AL240</f>
        <v>8.1999999999999993</v>
      </c>
      <c r="AD240" s="78">
        <v>200</v>
      </c>
      <c r="AE240" s="67">
        <v>5</v>
      </c>
      <c r="AF240" s="67">
        <v>5</v>
      </c>
      <c r="AG240" s="67">
        <v>1900</v>
      </c>
      <c r="AH240" s="78">
        <v>0</v>
      </c>
      <c r="AI240" s="67">
        <f>AJ240</f>
        <v>2004</v>
      </c>
      <c r="AJ240" s="69">
        <v>2004</v>
      </c>
      <c r="AK240" s="69">
        <v>5</v>
      </c>
      <c r="AL240" s="69">
        <v>22</v>
      </c>
      <c r="AM240" s="70">
        <v>5</v>
      </c>
      <c r="AN240" s="70">
        <v>0</v>
      </c>
      <c r="AO240" s="86">
        <v>0</v>
      </c>
      <c r="AP240" s="70">
        <v>0</v>
      </c>
      <c r="AQ240" s="70">
        <v>0</v>
      </c>
      <c r="AR240" s="70">
        <v>0</v>
      </c>
      <c r="AS240" s="86">
        <v>0</v>
      </c>
      <c r="AT240" s="70">
        <v>0</v>
      </c>
      <c r="AU240" s="70">
        <v>0</v>
      </c>
      <c r="AV240" s="70">
        <v>0</v>
      </c>
      <c r="AW240" s="86">
        <v>0</v>
      </c>
      <c r="AX240" s="70">
        <v>0</v>
      </c>
      <c r="AY240" s="233"/>
      <c r="AZ240" s="4"/>
      <c r="BA240" s="35" t="str">
        <f>IF(OR(S240="North America",S240="Rocky Mountain"), "Widespread",BC240)</f>
        <v>Widespread</v>
      </c>
      <c r="BB240" s="4"/>
      <c r="BC240" s="35">
        <f ca="1">IF(BE240&gt;2046, "Abundant",BE240)</f>
        <v>2032.3414331550803</v>
      </c>
      <c r="BD240" s="4"/>
      <c r="BE240" s="81">
        <f ca="1">YEAR($C$13)+(BG240*80)</f>
        <v>2032.3414331550803</v>
      </c>
      <c r="BF240" s="4"/>
      <c r="BG240" s="137">
        <f ca="1">BH240*$BH$14</f>
        <v>0.16676791443850267</v>
      </c>
      <c r="BH240" s="137">
        <f ca="1">(((BJ240+BK240+BM240+BN240)/4)*$BM$11)+(((BP240+BQ240)/2)*$BQ$11)+(((BU240+BV240+BW240)/3)*$BU$11)+(((BY240+BZ240+CA240+CB240+CC240)/5)*$CA$11)</f>
        <v>0.16676791443850267</v>
      </c>
      <c r="BI240" s="4"/>
      <c r="BJ240" s="33">
        <f>AP240/(AM240+AO240)</f>
        <v>0</v>
      </c>
      <c r="BK240" s="33">
        <f>(AN240+AO240)/(AM240+AO240)</f>
        <v>0</v>
      </c>
      <c r="BL240" s="4"/>
      <c r="BM240" s="127">
        <f>CF240/102</f>
        <v>8.039215686274509E-2</v>
      </c>
      <c r="BN240" s="127">
        <f>C240/2</f>
        <v>0.5</v>
      </c>
      <c r="BO240" s="4"/>
      <c r="BP240" s="127">
        <f>(AK240)/($AW$6)</f>
        <v>5.0505050505050504E-2</v>
      </c>
      <c r="BQ240" s="127">
        <f ca="1">(CH240-$AW$4)/((YEAR($C$13))-$AW$4)</f>
        <v>0</v>
      </c>
      <c r="BR240" s="127">
        <f>(AL240)/($AW$6)</f>
        <v>0.22222222222222221</v>
      </c>
      <c r="BS240" s="4"/>
      <c r="BT240" s="127"/>
      <c r="BU240" s="127">
        <f ca="1">(CG240-$AW$4)/((YEAR($C$13))-$AW$4)</f>
        <v>0</v>
      </c>
      <c r="BV240" s="127">
        <f>AE240/5</f>
        <v>1</v>
      </c>
      <c r="BW240" s="127">
        <f>AF240/5</f>
        <v>1</v>
      </c>
      <c r="BX240" s="4"/>
      <c r="BY240" s="148" t="str">
        <f>IF(E240="A",".98",IF(E240="B",".99",IF(E240="C","1.00",IF(E240="D","1.00" ))))</f>
        <v>.98</v>
      </c>
      <c r="BZ240" s="127">
        <f>(CE240+7)/10</f>
        <v>0.8</v>
      </c>
      <c r="CA240" s="76" t="str">
        <f>IF(D240="Fern",".97",IF(D240="Grass",".99",IF(D240="Herb",".97",IF(D240="Shrub",".99",IF(D240="Tree","1.00",IF(D240="Vine",".98"))))))</f>
        <v>.97</v>
      </c>
      <c r="CB240" s="149" t="str">
        <f>IF(R240="Bogs Ponds Streams",".96", IF(R240="Coastal Areas",".97",IF(R240="Meadows Dry Open",".96",IF(R240="Forest &amp; Understory",".97",IF(R240="Moist Open",".98",IF(R240="Moist Shady",".96",IF(R240="Sub-Alpine","1.0")))))))</f>
        <v>.96</v>
      </c>
      <c r="CC240" s="76" t="str">
        <f>IF(S240="Local Endemic",".50",IF(S240="Regional Endemic",".70",IF(S240="Cascadia",".90",IF(S240="Rocky Mountain",".95",IF(S240="North America",".99")))))</f>
        <v>.99</v>
      </c>
      <c r="CD240" s="4"/>
      <c r="CE240" s="21">
        <f>IF(W240&gt;3,3,W240)</f>
        <v>1</v>
      </c>
      <c r="CF240" s="21">
        <f>IF(AC240&gt;102,102,AC240)</f>
        <v>8.1999999999999993</v>
      </c>
      <c r="CG240" s="34">
        <f>IF(AI240&lt;$AW$4,$AW$4,AI240)</f>
        <v>2004</v>
      </c>
      <c r="CH240" s="34">
        <f>IF(AJ240&lt;$AW$4,$AW$4,AJ240)</f>
        <v>2004</v>
      </c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</row>
    <row r="241" spans="1:115" s="13" customFormat="1" ht="15" customHeight="1" x14ac:dyDescent="0.3">
      <c r="A241" s="235"/>
      <c r="B241" s="218"/>
      <c r="C241" s="375">
        <v>1</v>
      </c>
      <c r="D241" s="67" t="s">
        <v>2505</v>
      </c>
      <c r="E241" s="67" t="s">
        <v>2502</v>
      </c>
      <c r="F241" s="403" t="str">
        <f ca="1">IF(BC241&lt;2025, "Extinct&lt; 6Yrs?",BA241)</f>
        <v>Widespread</v>
      </c>
      <c r="G241" s="376" t="s">
        <v>525</v>
      </c>
      <c r="H241" s="376" t="s">
        <v>4028</v>
      </c>
      <c r="I241" s="380" t="s">
        <v>68</v>
      </c>
      <c r="J241" s="378" t="s">
        <v>3633</v>
      </c>
      <c r="K241" s="378" t="s">
        <v>922</v>
      </c>
      <c r="L241" s="63" t="s">
        <v>1961</v>
      </c>
      <c r="M241" s="64" t="s">
        <v>4320</v>
      </c>
      <c r="N241" s="64" t="s">
        <v>5214</v>
      </c>
      <c r="O241" s="64" t="s">
        <v>6112</v>
      </c>
      <c r="P241" s="61" t="s">
        <v>51</v>
      </c>
      <c r="Q241" s="67" t="s">
        <v>2552</v>
      </c>
      <c r="R241" s="61" t="s">
        <v>2498</v>
      </c>
      <c r="S241" s="61" t="s">
        <v>2495</v>
      </c>
      <c r="T241" s="134" t="str">
        <f>IF(R241="Bogs Ponds Streams","20",IF(R241="Coastal Areas","26",IF(R241="Meadows Dry Open","10",IF(R241="Forest &amp; Understory","14",IF(R241="Moist Open","12",IF(R241="Moist Shady","10",IF(R241="Sub-Alpine Slopes","0")))))))</f>
        <v>10</v>
      </c>
      <c r="U241" s="134" t="str">
        <f>IF(R241="Bogs Ponds Streams","52",IF(R241="Coastal Areas","51",IF(R241="Meadows Dry Open","53",IF(R241="Forest &amp; Understory","52",IF(R241="Moist Open","50",IF(R241="Moist Shady","46",IF(R241="Sub-Alpine Slopes","40")))))))</f>
        <v>46</v>
      </c>
      <c r="V241" s="134" t="str">
        <f>IF(R241="Bogs Ponds Streams","84",IF(R241="Coastal Areas","76",IF(R241="Meadows Dry Open","96", IF(R241="Forest &amp; Understory","90", IF(R241="Moist Open","88", IF(R241="Moist Shady","82", IF(R241="Sub-Alpine Slopes","80")))))))</f>
        <v>82</v>
      </c>
      <c r="W241" s="67">
        <v>1</v>
      </c>
      <c r="X241" s="67">
        <v>0</v>
      </c>
      <c r="Y241" s="67">
        <v>3500</v>
      </c>
      <c r="Z241" s="67" t="s">
        <v>2519</v>
      </c>
      <c r="AA241" s="67" t="s">
        <v>2518</v>
      </c>
      <c r="AB241" s="67">
        <v>6.8</v>
      </c>
      <c r="AC241" s="85">
        <f>C241+AK241+(0.1)*AL241</f>
        <v>17.2</v>
      </c>
      <c r="AD241" s="78">
        <v>110</v>
      </c>
      <c r="AE241" s="67">
        <v>5</v>
      </c>
      <c r="AF241" s="67">
        <v>5</v>
      </c>
      <c r="AG241" s="67">
        <v>1900</v>
      </c>
      <c r="AH241" s="78">
        <v>0</v>
      </c>
      <c r="AI241" s="67">
        <f>AJ241</f>
        <v>2004</v>
      </c>
      <c r="AJ241" s="69">
        <v>2004</v>
      </c>
      <c r="AK241" s="69">
        <v>14</v>
      </c>
      <c r="AL241" s="69">
        <v>22</v>
      </c>
      <c r="AM241" s="70">
        <v>5</v>
      </c>
      <c r="AN241" s="70">
        <v>0</v>
      </c>
      <c r="AO241" s="86">
        <v>0</v>
      </c>
      <c r="AP241" s="70">
        <v>0</v>
      </c>
      <c r="AQ241" s="70">
        <v>0</v>
      </c>
      <c r="AR241" s="70">
        <v>0</v>
      </c>
      <c r="AS241" s="86">
        <v>0</v>
      </c>
      <c r="AT241" s="70">
        <v>0</v>
      </c>
      <c r="AU241" s="70">
        <v>0</v>
      </c>
      <c r="AV241" s="70">
        <v>0</v>
      </c>
      <c r="AW241" s="86">
        <v>0</v>
      </c>
      <c r="AX241" s="70">
        <v>0</v>
      </c>
      <c r="AY241" s="233"/>
      <c r="AZ241" s="4"/>
      <c r="BA241" s="35" t="str">
        <f>IF(OR(S241="North America",S241="Rocky Mountain"), "Widespread",BC241)</f>
        <v>Widespread</v>
      </c>
      <c r="BB241" s="4"/>
      <c r="BC241" s="35">
        <f ca="1">IF(BE241&gt;2046, "Abundant",BE241)</f>
        <v>2034.491165775401</v>
      </c>
      <c r="BD241" s="4"/>
      <c r="BE241" s="81">
        <f ca="1">YEAR($C$13)+(BG241*80)</f>
        <v>2034.491165775401</v>
      </c>
      <c r="BF241" s="4"/>
      <c r="BG241" s="137">
        <f ca="1">BH241*$BH$14</f>
        <v>0.19363957219251335</v>
      </c>
      <c r="BH241" s="137">
        <f ca="1">(((BJ241+BK241+BM241+BN241)/4)*$BM$11)+(((BP241+BQ241)/2)*$BQ$11)+(((BU241+BV241+BW241)/3)*$BU$11)+(((BY241+BZ241+CA241+CB241+CC241)/5)*$CA$11)</f>
        <v>0.19363957219251335</v>
      </c>
      <c r="BI241" s="4"/>
      <c r="BJ241" s="33">
        <f>AP241/(AM241+AO241)</f>
        <v>0</v>
      </c>
      <c r="BK241" s="33">
        <f>(AN241+AO241)/(AM241+AO241)</f>
        <v>0</v>
      </c>
      <c r="BL241" s="4"/>
      <c r="BM241" s="127">
        <f>CF241/102</f>
        <v>0.16862745098039214</v>
      </c>
      <c r="BN241" s="127">
        <f>C241/2</f>
        <v>0.5</v>
      </c>
      <c r="BO241" s="4"/>
      <c r="BP241" s="127">
        <f>(AK241)/($AW$6)</f>
        <v>0.14141414141414141</v>
      </c>
      <c r="BQ241" s="127">
        <f ca="1">(CH241-$AW$4)/((YEAR($C$13))-$AW$4)</f>
        <v>0</v>
      </c>
      <c r="BR241" s="127">
        <f>(AL241)/($AW$6)</f>
        <v>0.22222222222222221</v>
      </c>
      <c r="BS241" s="4"/>
      <c r="BT241" s="127"/>
      <c r="BU241" s="127">
        <f ca="1">(CG241-$AW$4)/((YEAR($C$13))-$AW$4)</f>
        <v>0</v>
      </c>
      <c r="BV241" s="127">
        <f>AE241/5</f>
        <v>1</v>
      </c>
      <c r="BW241" s="127">
        <f>AF241/5</f>
        <v>1</v>
      </c>
      <c r="BX241" s="4"/>
      <c r="BY241" s="148" t="str">
        <f>IF(E241="A",".98",IF(E241="B",".99",IF(E241="C","1.00",IF(E241="D","1.00" ))))</f>
        <v>.98</v>
      </c>
      <c r="BZ241" s="127">
        <f>(CE241+7)/10</f>
        <v>0.8</v>
      </c>
      <c r="CA241" s="76" t="str">
        <f>IF(D241="Fern",".97",IF(D241="Grass",".99",IF(D241="Herb",".97",IF(D241="Shrub",".99",IF(D241="Tree","1.00",IF(D241="Vine",".98"))))))</f>
        <v>.97</v>
      </c>
      <c r="CB241" s="149" t="str">
        <f>IF(R241="Bogs Ponds Streams",".96", IF(R241="Coastal Areas",".97",IF(R241="Meadows Dry Open",".96",IF(R241="Forest &amp; Understory",".97",IF(R241="Moist Open",".98",IF(R241="Moist Shady",".96",IF(R241="Sub-Alpine","1.0")))))))</f>
        <v>.96</v>
      </c>
      <c r="CC241" s="76" t="str">
        <f>IF(S241="Local Endemic",".50",IF(S241="Regional Endemic",".70",IF(S241="Cascadia",".90",IF(S241="Rocky Mountain",".95",IF(S241="North America",".99")))))</f>
        <v>.99</v>
      </c>
      <c r="CD241" s="4"/>
      <c r="CE241" s="21">
        <f>IF(W241&gt;3,3,W241)</f>
        <v>1</v>
      </c>
      <c r="CF241" s="21">
        <f>IF(AC241&gt;102,102,AC241)</f>
        <v>17.2</v>
      </c>
      <c r="CG241" s="34">
        <f>IF(AI241&lt;$AW$4,$AW$4,AI241)</f>
        <v>2004</v>
      </c>
      <c r="CH241" s="34">
        <f>IF(AJ241&lt;$AW$4,$AW$4,AJ241)</f>
        <v>2004</v>
      </c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</row>
    <row r="242" spans="1:115" s="13" customFormat="1" ht="15" customHeight="1" x14ac:dyDescent="0.3">
      <c r="A242" s="235"/>
      <c r="B242" s="218"/>
      <c r="C242" s="375">
        <v>1</v>
      </c>
      <c r="D242" s="67" t="s">
        <v>2505</v>
      </c>
      <c r="E242" s="67" t="s">
        <v>2501</v>
      </c>
      <c r="F242" s="403">
        <f ca="1">IF(BC242&lt;2025, "Extinct&lt; 6Yrs?",BA242)</f>
        <v>2030.7802096256685</v>
      </c>
      <c r="G242" s="376" t="s">
        <v>525</v>
      </c>
      <c r="H242" s="376" t="s">
        <v>4028</v>
      </c>
      <c r="I242" s="380" t="s">
        <v>1326</v>
      </c>
      <c r="J242" s="378" t="s">
        <v>4064</v>
      </c>
      <c r="K242" s="378" t="s">
        <v>1325</v>
      </c>
      <c r="L242" s="63" t="s">
        <v>1960</v>
      </c>
      <c r="M242" s="64" t="s">
        <v>4321</v>
      </c>
      <c r="N242" s="64" t="s">
        <v>5215</v>
      </c>
      <c r="O242" s="64" t="s">
        <v>6113</v>
      </c>
      <c r="P242" s="62" t="s">
        <v>285</v>
      </c>
      <c r="Q242" s="67" t="s">
        <v>2552</v>
      </c>
      <c r="R242" s="61" t="s">
        <v>2498</v>
      </c>
      <c r="S242" s="61" t="s">
        <v>2309</v>
      </c>
      <c r="T242" s="134" t="str">
        <f>IF(R242="Bogs Ponds Streams","20",IF(R242="Coastal Areas","26",IF(R242="Meadows Dry Open","10",IF(R242="Forest &amp; Understory","14",IF(R242="Moist Open","12",IF(R242="Moist Shady","10",IF(R242="Sub-Alpine Slopes","0")))))))</f>
        <v>10</v>
      </c>
      <c r="U242" s="134" t="str">
        <f>IF(R242="Bogs Ponds Streams","52",IF(R242="Coastal Areas","51",IF(R242="Meadows Dry Open","53",IF(R242="Forest &amp; Understory","52",IF(R242="Moist Open","50",IF(R242="Moist Shady","46",IF(R242="Sub-Alpine Slopes","40")))))))</f>
        <v>46</v>
      </c>
      <c r="V242" s="134" t="str">
        <f>IF(R242="Bogs Ponds Streams","84",IF(R242="Coastal Areas","76",IF(R242="Meadows Dry Open","96", IF(R242="Forest &amp; Understory","90", IF(R242="Moist Open","88", IF(R242="Moist Shady","82", IF(R242="Sub-Alpine Slopes","80")))))))</f>
        <v>82</v>
      </c>
      <c r="W242" s="67">
        <v>20</v>
      </c>
      <c r="X242" s="67">
        <v>0</v>
      </c>
      <c r="Y242" s="67">
        <v>3500</v>
      </c>
      <c r="Z242" s="67" t="s">
        <v>2519</v>
      </c>
      <c r="AA242" s="67" t="s">
        <v>2518</v>
      </c>
      <c r="AB242" s="67">
        <v>6.8</v>
      </c>
      <c r="AC242" s="85">
        <f>C242+AK242+(0.1)*AL242</f>
        <v>6</v>
      </c>
      <c r="AD242" s="78">
        <v>39</v>
      </c>
      <c r="AE242" s="67">
        <v>2</v>
      </c>
      <c r="AF242" s="67">
        <v>5</v>
      </c>
      <c r="AG242" s="67">
        <v>1900</v>
      </c>
      <c r="AH242" s="78">
        <v>0</v>
      </c>
      <c r="AI242" s="67">
        <f>AJ242</f>
        <v>1994</v>
      </c>
      <c r="AJ242" s="69">
        <v>1994</v>
      </c>
      <c r="AK242" s="69">
        <v>5</v>
      </c>
      <c r="AL242" s="69">
        <v>0</v>
      </c>
      <c r="AM242" s="70">
        <v>5</v>
      </c>
      <c r="AN242" s="70">
        <v>0</v>
      </c>
      <c r="AO242" s="86">
        <v>0</v>
      </c>
      <c r="AP242" s="70">
        <v>0</v>
      </c>
      <c r="AQ242" s="70">
        <v>0</v>
      </c>
      <c r="AR242" s="70">
        <v>0</v>
      </c>
      <c r="AS242" s="86">
        <v>0</v>
      </c>
      <c r="AT242" s="70">
        <v>0</v>
      </c>
      <c r="AU242" s="70">
        <v>0</v>
      </c>
      <c r="AV242" s="70">
        <v>0</v>
      </c>
      <c r="AW242" s="86">
        <v>0</v>
      </c>
      <c r="AX242" s="70">
        <v>0</v>
      </c>
      <c r="AY242" s="233"/>
      <c r="AZ242" s="4"/>
      <c r="BA242" s="35">
        <f ca="1">IF(OR(S242="North America",S242="Rocky Mountain"), "Widespread",BC242)</f>
        <v>2030.7802096256685</v>
      </c>
      <c r="BB242" s="4"/>
      <c r="BC242" s="35">
        <f ca="1">IF(BE242&gt;2046, "Abundant",BE242)</f>
        <v>2030.7802096256685</v>
      </c>
      <c r="BD242" s="4"/>
      <c r="BE242" s="81">
        <f ca="1">YEAR($C$13)+(BG242*80)</f>
        <v>2030.7802096256685</v>
      </c>
      <c r="BF242" s="4"/>
      <c r="BG242" s="137">
        <f ca="1">BH242*$BH$14</f>
        <v>0.14725262032085559</v>
      </c>
      <c r="BH242" s="137">
        <f ca="1">(((BJ242+BK242+BM242+BN242)/4)*$BM$11)+(((BP242+BQ242)/2)*$BQ$11)+(((BU242+BV242+BW242)/3)*$BU$11)+(((BY242+BZ242+CA242+CB242+CC242)/5)*$CA$11)</f>
        <v>0.14725262032085559</v>
      </c>
      <c r="BI242" s="4"/>
      <c r="BJ242" s="33">
        <f>AP242/(AM242+AO242)</f>
        <v>0</v>
      </c>
      <c r="BK242" s="33">
        <f>(AN242+AO242)/(AM242+AO242)</f>
        <v>0</v>
      </c>
      <c r="BL242" s="4"/>
      <c r="BM242" s="127">
        <f>CF242/102</f>
        <v>5.8823529411764705E-2</v>
      </c>
      <c r="BN242" s="127">
        <f>C242/2</f>
        <v>0.5</v>
      </c>
      <c r="BO242" s="4"/>
      <c r="BP242" s="127">
        <f>(AK242)/($AW$6)</f>
        <v>5.0505050505050504E-2</v>
      </c>
      <c r="BQ242" s="127">
        <f ca="1">(CH242-$AW$4)/((YEAR($C$13))-$AW$4)</f>
        <v>0</v>
      </c>
      <c r="BR242" s="127">
        <f>(AL242)/($AW$6)</f>
        <v>0</v>
      </c>
      <c r="BS242" s="4"/>
      <c r="BT242" s="127"/>
      <c r="BU242" s="127">
        <f ca="1">(CG242-$AW$4)/((YEAR($C$13))-$AW$4)</f>
        <v>0</v>
      </c>
      <c r="BV242" s="127">
        <f>AE242/5</f>
        <v>0.4</v>
      </c>
      <c r="BW242" s="127">
        <f>AF242/5</f>
        <v>1</v>
      </c>
      <c r="BX242" s="4"/>
      <c r="BY242" s="148" t="str">
        <f>IF(E242="A",".98",IF(E242="B",".99",IF(E242="C","1.00",IF(E242="D","1.00" ))))</f>
        <v>1.00</v>
      </c>
      <c r="BZ242" s="127">
        <f>(CE242+7)/10</f>
        <v>1</v>
      </c>
      <c r="CA242" s="76" t="str">
        <f>IF(D242="Fern",".97",IF(D242="Grass",".99",IF(D242="Herb",".97",IF(D242="Shrub",".99",IF(D242="Tree","1.00",IF(D242="Vine",".98"))))))</f>
        <v>.97</v>
      </c>
      <c r="CB242" s="149" t="str">
        <f>IF(R242="Bogs Ponds Streams",".96", IF(R242="Coastal Areas",".97",IF(R242="Meadows Dry Open",".96",IF(R242="Forest &amp; Understory",".97",IF(R242="Moist Open",".98",IF(R242="Moist Shady",".96",IF(R242="Sub-Alpine","1.0")))))))</f>
        <v>.96</v>
      </c>
      <c r="CC242" s="76" t="str">
        <f>IF(S242="Local Endemic",".50",IF(S242="Regional Endemic",".70",IF(S242="Cascadia",".90",IF(S242="Rocky Mountain",".95",IF(S242="North America",".99")))))</f>
        <v>.70</v>
      </c>
      <c r="CD242" s="4"/>
      <c r="CE242" s="21">
        <f>IF(W242&gt;3,3,W242)</f>
        <v>3</v>
      </c>
      <c r="CF242" s="21">
        <f>IF(AC242&gt;102,102,AC242)</f>
        <v>6</v>
      </c>
      <c r="CG242" s="34">
        <f>IF(AI242&lt;$AW$4,$AW$4,AI242)</f>
        <v>2004</v>
      </c>
      <c r="CH242" s="34">
        <f>IF(AJ242&lt;$AW$4,$AW$4,AJ242)</f>
        <v>2004</v>
      </c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12"/>
    </row>
    <row r="243" spans="1:115" s="13" customFormat="1" ht="15" customHeight="1" x14ac:dyDescent="0.3">
      <c r="A243" s="235"/>
      <c r="B243" s="218"/>
      <c r="C243" s="375">
        <v>1</v>
      </c>
      <c r="D243" s="67" t="s">
        <v>2505</v>
      </c>
      <c r="E243" s="67" t="s">
        <v>2501</v>
      </c>
      <c r="F243" s="403">
        <f ca="1">IF(BC243&lt;2025, "Extinct&lt; 6Yrs?",BA243)</f>
        <v>2037.9444829471183</v>
      </c>
      <c r="G243" s="376" t="s">
        <v>525</v>
      </c>
      <c r="H243" s="376" t="s">
        <v>4028</v>
      </c>
      <c r="I243" s="380" t="s">
        <v>1328</v>
      </c>
      <c r="J243" s="378" t="s">
        <v>3632</v>
      </c>
      <c r="K243" s="378" t="s">
        <v>1327</v>
      </c>
      <c r="L243" s="63" t="s">
        <v>1959</v>
      </c>
      <c r="M243" s="64" t="s">
        <v>4322</v>
      </c>
      <c r="N243" s="64" t="s">
        <v>5216</v>
      </c>
      <c r="O243" s="64" t="s">
        <v>6114</v>
      </c>
      <c r="P243" s="62" t="s">
        <v>285</v>
      </c>
      <c r="Q243" s="67" t="s">
        <v>2552</v>
      </c>
      <c r="R243" s="61" t="s">
        <v>2498</v>
      </c>
      <c r="S243" s="61" t="s">
        <v>2459</v>
      </c>
      <c r="T243" s="134" t="str">
        <f>IF(R243="Bogs Ponds Streams","20",IF(R243="Coastal Areas","26",IF(R243="Meadows Dry Open","10",IF(R243="Forest &amp; Understory","14",IF(R243="Moist Open","12",IF(R243="Moist Shady","10",IF(R243="Sub-Alpine Slopes","0")))))))</f>
        <v>10</v>
      </c>
      <c r="U243" s="134" t="str">
        <f>IF(R243="Bogs Ponds Streams","52",IF(R243="Coastal Areas","51",IF(R243="Meadows Dry Open","53",IF(R243="Forest &amp; Understory","52",IF(R243="Moist Open","50",IF(R243="Moist Shady","46",IF(R243="Sub-Alpine Slopes","40")))))))</f>
        <v>46</v>
      </c>
      <c r="V243" s="134" t="str">
        <f>IF(R243="Bogs Ponds Streams","84",IF(R243="Coastal Areas","76",IF(R243="Meadows Dry Open","96", IF(R243="Forest &amp; Understory","90", IF(R243="Moist Open","88", IF(R243="Moist Shady","82", IF(R243="Sub-Alpine Slopes","80")))))))</f>
        <v>82</v>
      </c>
      <c r="W243" s="67">
        <v>20</v>
      </c>
      <c r="X243" s="67">
        <v>0</v>
      </c>
      <c r="Y243" s="67">
        <v>3500</v>
      </c>
      <c r="Z243" s="67" t="s">
        <v>2519</v>
      </c>
      <c r="AA243" s="67" t="s">
        <v>2518</v>
      </c>
      <c r="AB243" s="67">
        <v>6.8</v>
      </c>
      <c r="AC243" s="85">
        <f>C243+AK243+(0.1)*AL243</f>
        <v>24</v>
      </c>
      <c r="AD243" s="78">
        <v>27</v>
      </c>
      <c r="AE243" s="67">
        <v>5</v>
      </c>
      <c r="AF243" s="67">
        <v>5</v>
      </c>
      <c r="AG243" s="67">
        <v>1900</v>
      </c>
      <c r="AH243" s="78">
        <v>0</v>
      </c>
      <c r="AI243" s="67">
        <f>AJ243</f>
        <v>2006</v>
      </c>
      <c r="AJ243" s="69">
        <v>2006</v>
      </c>
      <c r="AK243" s="69">
        <v>20</v>
      </c>
      <c r="AL243" s="69">
        <v>30</v>
      </c>
      <c r="AM243" s="70">
        <v>5</v>
      </c>
      <c r="AN243" s="70">
        <v>0</v>
      </c>
      <c r="AO243" s="86">
        <v>0</v>
      </c>
      <c r="AP243" s="70">
        <v>0</v>
      </c>
      <c r="AQ243" s="70">
        <v>0</v>
      </c>
      <c r="AR243" s="70">
        <v>0</v>
      </c>
      <c r="AS243" s="86">
        <v>0</v>
      </c>
      <c r="AT243" s="70">
        <v>0</v>
      </c>
      <c r="AU243" s="70">
        <v>0</v>
      </c>
      <c r="AV243" s="70">
        <v>0</v>
      </c>
      <c r="AW243" s="86">
        <v>0</v>
      </c>
      <c r="AX243" s="70">
        <v>0</v>
      </c>
      <c r="AY243" s="233"/>
      <c r="AZ243" s="4"/>
      <c r="BA243" s="35">
        <f ca="1">IF(OR(S243="North America",S243="Rocky Mountain"), "Widespread",BC243)</f>
        <v>2037.9444829471183</v>
      </c>
      <c r="BB243" s="4"/>
      <c r="BC243" s="35">
        <f ca="1">IF(BE243&gt;2046, "Abundant",BE243)</f>
        <v>2037.9444829471183</v>
      </c>
      <c r="BD243" s="4"/>
      <c r="BE243" s="81">
        <f ca="1">YEAR($C$13)+(BG243*80)</f>
        <v>2037.9444829471183</v>
      </c>
      <c r="BF243" s="4"/>
      <c r="BG243" s="137">
        <f ca="1">BH243*$BH$14</f>
        <v>0.23680603683897805</v>
      </c>
      <c r="BH243" s="137">
        <f ca="1">(((BJ243+BK243+BM243+BN243)/4)*$BM$11)+(((BP243+BQ243)/2)*$BQ$11)+(((BU243+BV243+BW243)/3)*$BU$11)+(((BY243+BZ243+CA243+CB243+CC243)/5)*$CA$11)</f>
        <v>0.23680603683897805</v>
      </c>
      <c r="BI243" s="4"/>
      <c r="BJ243" s="33">
        <f>AP243/(AM243+AO243)</f>
        <v>0</v>
      </c>
      <c r="BK243" s="33">
        <f>(AN243+AO243)/(AM243+AO243)</f>
        <v>0</v>
      </c>
      <c r="BL243" s="4"/>
      <c r="BM243" s="127">
        <f>CF243/102</f>
        <v>0.23529411764705882</v>
      </c>
      <c r="BN243" s="127">
        <f>C243/2</f>
        <v>0.5</v>
      </c>
      <c r="BO243" s="4"/>
      <c r="BP243" s="127">
        <f>(AK243)/($AW$6)</f>
        <v>0.20202020202020202</v>
      </c>
      <c r="BQ243" s="127">
        <f ca="1">(CH243-$AW$4)/((YEAR($C$13))-$AW$4)</f>
        <v>0.13333333333333333</v>
      </c>
      <c r="BR243" s="127">
        <f>(AL243)/($AW$6)</f>
        <v>0.30303030303030304</v>
      </c>
      <c r="BS243" s="4"/>
      <c r="BT243" s="127"/>
      <c r="BU243" s="127">
        <f ca="1">(CG243-$AW$4)/((YEAR($C$13))-$AW$4)</f>
        <v>0.13333333333333333</v>
      </c>
      <c r="BV243" s="127">
        <f>AE243/5</f>
        <v>1</v>
      </c>
      <c r="BW243" s="127">
        <f>AF243/5</f>
        <v>1</v>
      </c>
      <c r="BX243" s="4"/>
      <c r="BY243" s="148" t="str">
        <f>IF(E243="A",".98",IF(E243="B",".99",IF(E243="C","1.00",IF(E243="D","1.00" ))))</f>
        <v>1.00</v>
      </c>
      <c r="BZ243" s="127">
        <f>(CE243+7)/10</f>
        <v>1</v>
      </c>
      <c r="CA243" s="76" t="str">
        <f>IF(D243="Fern",".97",IF(D243="Grass",".99",IF(D243="Herb",".97",IF(D243="Shrub",".99",IF(D243="Tree","1.00",IF(D243="Vine",".98"))))))</f>
        <v>.97</v>
      </c>
      <c r="CB243" s="149" t="str">
        <f>IF(R243="Bogs Ponds Streams",".96", IF(R243="Coastal Areas",".97",IF(R243="Meadows Dry Open",".96",IF(R243="Forest &amp; Understory",".97",IF(R243="Moist Open",".98",IF(R243="Moist Shady",".96",IF(R243="Sub-Alpine","1.0")))))))</f>
        <v>.96</v>
      </c>
      <c r="CC243" s="76" t="str">
        <f>IF(S243="Local Endemic",".50",IF(S243="Regional Endemic",".70",IF(S243="Cascadia",".90",IF(S243="Rocky Mountain",".95",IF(S243="North America",".99")))))</f>
        <v>.90</v>
      </c>
      <c r="CD243" s="4"/>
      <c r="CE243" s="21">
        <f>IF(W243&gt;3,3,W243)</f>
        <v>3</v>
      </c>
      <c r="CF243" s="21">
        <f>IF(AC243&gt;102,102,AC243)</f>
        <v>24</v>
      </c>
      <c r="CG243" s="34">
        <f>IF(AI243&lt;$AW$4,$AW$4,AI243)</f>
        <v>2006</v>
      </c>
      <c r="CH243" s="34">
        <f>IF(AJ243&lt;$AW$4,$AW$4,AJ243)</f>
        <v>2006</v>
      </c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12"/>
    </row>
    <row r="244" spans="1:115" s="13" customFormat="1" ht="15" customHeight="1" x14ac:dyDescent="0.3">
      <c r="A244" s="235"/>
      <c r="B244" s="218"/>
      <c r="C244" s="226">
        <v>2</v>
      </c>
      <c r="D244" s="104" t="s">
        <v>2505</v>
      </c>
      <c r="E244" s="104" t="s">
        <v>2501</v>
      </c>
      <c r="F244" s="400" t="str">
        <f ca="1">IF(BC244&lt;2025, "Extinct&lt; 6Yrs?",BA244)</f>
        <v>Widespread</v>
      </c>
      <c r="G244" s="369" t="s">
        <v>525</v>
      </c>
      <c r="H244" s="369" t="s">
        <v>4028</v>
      </c>
      <c r="I244" s="370" t="s">
        <v>464</v>
      </c>
      <c r="J244" s="371" t="s">
        <v>3797</v>
      </c>
      <c r="K244" s="371" t="s">
        <v>925</v>
      </c>
      <c r="L244" s="106" t="s">
        <v>1958</v>
      </c>
      <c r="M244" s="111" t="s">
        <v>4323</v>
      </c>
      <c r="N244" s="111" t="s">
        <v>5217</v>
      </c>
      <c r="O244" s="111" t="s">
        <v>6115</v>
      </c>
      <c r="P244" s="105" t="s">
        <v>458</v>
      </c>
      <c r="Q244" s="104" t="s">
        <v>2552</v>
      </c>
      <c r="R244" s="105" t="s">
        <v>2498</v>
      </c>
      <c r="S244" s="105" t="s">
        <v>2495</v>
      </c>
      <c r="T244" s="133" t="str">
        <f>IF(R244="Bogs Ponds Streams","20",IF(R244="Coastal Areas","26",IF(R244="Meadows Dry Open","10",IF(R244="Forest &amp; Understory","14",IF(R244="Moist Open","12",IF(R244="Moist Shady","10",IF(R244="Sub-Alpine Slopes","0")))))))</f>
        <v>10</v>
      </c>
      <c r="U244" s="133" t="str">
        <f>IF(R244="Bogs Ponds Streams","52",IF(R244="Coastal Areas","51",IF(R244="Meadows Dry Open","53",IF(R244="Forest &amp; Understory","52",IF(R244="Moist Open","50",IF(R244="Moist Shady","46",IF(R244="Sub-Alpine Slopes","40")))))))</f>
        <v>46</v>
      </c>
      <c r="V244" s="133" t="str">
        <f>IF(R244="Bogs Ponds Streams","84",IF(R244="Coastal Areas","76",IF(R244="Meadows Dry Open","96", IF(R244="Forest &amp; Understory","90", IF(R244="Moist Open","88", IF(R244="Moist Shady","82", IF(R244="Sub-Alpine Slopes","80")))))))</f>
        <v>82</v>
      </c>
      <c r="W244" s="104">
        <v>20</v>
      </c>
      <c r="X244" s="104">
        <v>0</v>
      </c>
      <c r="Y244" s="104">
        <v>3500</v>
      </c>
      <c r="Z244" s="104" t="s">
        <v>2519</v>
      </c>
      <c r="AA244" s="104" t="s">
        <v>2518</v>
      </c>
      <c r="AB244" s="104">
        <v>6.8</v>
      </c>
      <c r="AC244" s="107">
        <f>C244+AK244+(0.1)*AL244</f>
        <v>25.2</v>
      </c>
      <c r="AD244" s="113">
        <v>130</v>
      </c>
      <c r="AE244" s="104">
        <v>5</v>
      </c>
      <c r="AF244" s="104">
        <v>5</v>
      </c>
      <c r="AG244" s="104">
        <v>1900</v>
      </c>
      <c r="AH244" s="113">
        <v>0</v>
      </c>
      <c r="AI244" s="104">
        <f>AJ244</f>
        <v>2004</v>
      </c>
      <c r="AJ244" s="108">
        <v>2004</v>
      </c>
      <c r="AK244" s="108">
        <v>22</v>
      </c>
      <c r="AL244" s="108">
        <v>12</v>
      </c>
      <c r="AM244" s="109">
        <v>5</v>
      </c>
      <c r="AN244" s="109">
        <v>1</v>
      </c>
      <c r="AO244" s="110">
        <v>0</v>
      </c>
      <c r="AP244" s="109">
        <v>0</v>
      </c>
      <c r="AQ244" s="109">
        <v>0</v>
      </c>
      <c r="AR244" s="109">
        <v>0</v>
      </c>
      <c r="AS244" s="110">
        <v>0</v>
      </c>
      <c r="AT244" s="109">
        <v>0</v>
      </c>
      <c r="AU244" s="109">
        <v>0</v>
      </c>
      <c r="AV244" s="109">
        <v>0</v>
      </c>
      <c r="AW244" s="110">
        <v>0</v>
      </c>
      <c r="AX244" s="109">
        <v>0</v>
      </c>
      <c r="AY244" s="233"/>
      <c r="AZ244" s="4"/>
      <c r="BA244" s="35" t="str">
        <f>IF(OR(S244="North America",S244="Rocky Mountain"), "Widespread",BC244)</f>
        <v>Widespread</v>
      </c>
      <c r="BB244" s="4"/>
      <c r="BC244" s="35">
        <f ca="1">IF(BE244&gt;2046, "Abundant",BE244)</f>
        <v>2044.8724392156862</v>
      </c>
      <c r="BD244" s="4"/>
      <c r="BE244" s="81">
        <f ca="1">YEAR($C$13)+(BG244*80)</f>
        <v>2044.8724392156862</v>
      </c>
      <c r="BF244" s="4"/>
      <c r="BG244" s="137">
        <f ca="1">BH244*$BH$14</f>
        <v>0.32340549019607839</v>
      </c>
      <c r="BH244" s="137">
        <f ca="1">(((BJ244+BK244+BM244+BN244)/4)*$BM$11)+(((BP244+BQ244)/2)*$BQ$11)+(((BU244+BV244+BW244)/3)*$BU$11)+(((BY244+BZ244+CA244+CB244+CC244)/5)*$CA$11)</f>
        <v>0.32340549019607839</v>
      </c>
      <c r="BI244" s="4"/>
      <c r="BJ244" s="33">
        <f>AP244/(AM244+AO244)</f>
        <v>0</v>
      </c>
      <c r="BK244" s="33">
        <f>(AN244+AO244)/(AM244+AO244)</f>
        <v>0.2</v>
      </c>
      <c r="BL244" s="4"/>
      <c r="BM244" s="127">
        <f>CF244/102</f>
        <v>0.24705882352941175</v>
      </c>
      <c r="BN244" s="127">
        <f>C244/2</f>
        <v>1</v>
      </c>
      <c r="BO244" s="4"/>
      <c r="BP244" s="127">
        <f>(AK244)/($AW$6)</f>
        <v>0.22222222222222221</v>
      </c>
      <c r="BQ244" s="127">
        <f ca="1">(CH244-$AW$4)/((YEAR($C$13))-$AW$4)</f>
        <v>0</v>
      </c>
      <c r="BR244" s="127">
        <f>(AL244)/($AW$6)</f>
        <v>0.12121212121212122</v>
      </c>
      <c r="BS244" s="4"/>
      <c r="BT244" s="127"/>
      <c r="BU244" s="127">
        <f ca="1">(CG244-$AW$4)/((YEAR($C$13))-$AW$4)</f>
        <v>0</v>
      </c>
      <c r="BV244" s="127">
        <f>AE244/5</f>
        <v>1</v>
      </c>
      <c r="BW244" s="127">
        <f>AF244/5</f>
        <v>1</v>
      </c>
      <c r="BX244" s="4"/>
      <c r="BY244" s="148" t="str">
        <f>IF(E244="A",".98",IF(E244="B",".99",IF(E244="C","1.00",IF(E244="D","1.00" ))))</f>
        <v>1.00</v>
      </c>
      <c r="BZ244" s="127">
        <f>(CE244+7)/10</f>
        <v>1</v>
      </c>
      <c r="CA244" s="76" t="str">
        <f>IF(D244="Fern",".97",IF(D244="Grass",".99",IF(D244="Herb",".97",IF(D244="Shrub",".99",IF(D244="Tree","1.00",IF(D244="Vine",".98"))))))</f>
        <v>.97</v>
      </c>
      <c r="CB244" s="149" t="str">
        <f>IF(R244="Bogs Ponds Streams",".96", IF(R244="Coastal Areas",".97",IF(R244="Meadows Dry Open",".96",IF(R244="Forest &amp; Understory",".97",IF(R244="Moist Open",".98",IF(R244="Moist Shady",".96",IF(R244="Sub-Alpine","1.0")))))))</f>
        <v>.96</v>
      </c>
      <c r="CC244" s="76" t="str">
        <f>IF(S244="Local Endemic",".50",IF(S244="Regional Endemic",".70",IF(S244="Cascadia",".90",IF(S244="Rocky Mountain",".95",IF(S244="North America",".99")))))</f>
        <v>.99</v>
      </c>
      <c r="CD244" s="4"/>
      <c r="CE244" s="21">
        <f>IF(W244&gt;3,3,W244)</f>
        <v>3</v>
      </c>
      <c r="CF244" s="21">
        <f>IF(AC244&gt;102,102,AC244)</f>
        <v>25.2</v>
      </c>
      <c r="CG244" s="34">
        <f>IF(AI244&lt;$AW$4,$AW$4,AI244)</f>
        <v>2004</v>
      </c>
      <c r="CH244" s="34">
        <f>IF(AJ244&lt;$AW$4,$AW$4,AJ244)</f>
        <v>2004</v>
      </c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</row>
    <row r="245" spans="1:115" s="13" customFormat="1" ht="15" customHeight="1" x14ac:dyDescent="0.3">
      <c r="A245" s="235"/>
      <c r="B245" s="218"/>
      <c r="C245" s="226">
        <v>2</v>
      </c>
      <c r="D245" s="104" t="s">
        <v>2505</v>
      </c>
      <c r="E245" s="104" t="s">
        <v>2501</v>
      </c>
      <c r="F245" s="400" t="str">
        <f ca="1">IF(BC245&lt;2025, "Extinct&lt; 6Yrs?",BA245)</f>
        <v>Widespread</v>
      </c>
      <c r="G245" s="369" t="s">
        <v>525</v>
      </c>
      <c r="H245" s="369" t="s">
        <v>4028</v>
      </c>
      <c r="I245" s="370" t="s">
        <v>463</v>
      </c>
      <c r="J245" s="371" t="s">
        <v>3796</v>
      </c>
      <c r="K245" s="371" t="s">
        <v>926</v>
      </c>
      <c r="L245" s="106" t="s">
        <v>1957</v>
      </c>
      <c r="M245" s="111" t="s">
        <v>4324</v>
      </c>
      <c r="N245" s="111" t="s">
        <v>5218</v>
      </c>
      <c r="O245" s="111" t="s">
        <v>6116</v>
      </c>
      <c r="P245" s="105" t="s">
        <v>458</v>
      </c>
      <c r="Q245" s="104" t="s">
        <v>2552</v>
      </c>
      <c r="R245" s="105" t="s">
        <v>2498</v>
      </c>
      <c r="S245" s="105" t="s">
        <v>2495</v>
      </c>
      <c r="T245" s="133" t="str">
        <f>IF(R245="Bogs Ponds Streams","20",IF(R245="Coastal Areas","26",IF(R245="Meadows Dry Open","10",IF(R245="Forest &amp; Understory","14",IF(R245="Moist Open","12",IF(R245="Moist Shady","10",IF(R245="Sub-Alpine Slopes","0")))))))</f>
        <v>10</v>
      </c>
      <c r="U245" s="133" t="str">
        <f>IF(R245="Bogs Ponds Streams","52",IF(R245="Coastal Areas","51",IF(R245="Meadows Dry Open","53",IF(R245="Forest &amp; Understory","52",IF(R245="Moist Open","50",IF(R245="Moist Shady","46",IF(R245="Sub-Alpine Slopes","40")))))))</f>
        <v>46</v>
      </c>
      <c r="V245" s="133" t="str">
        <f>IF(R245="Bogs Ponds Streams","84",IF(R245="Coastal Areas","76",IF(R245="Meadows Dry Open","96", IF(R245="Forest &amp; Understory","90", IF(R245="Moist Open","88", IF(R245="Moist Shady","82", IF(R245="Sub-Alpine Slopes","80")))))))</f>
        <v>82</v>
      </c>
      <c r="W245" s="104">
        <v>20</v>
      </c>
      <c r="X245" s="104">
        <v>0</v>
      </c>
      <c r="Y245" s="104">
        <v>3500</v>
      </c>
      <c r="Z245" s="104" t="s">
        <v>2519</v>
      </c>
      <c r="AA245" s="104" t="s">
        <v>2518</v>
      </c>
      <c r="AB245" s="104">
        <v>6.8</v>
      </c>
      <c r="AC245" s="107">
        <f>C245+AK245+(0.1)*AL245</f>
        <v>8.5</v>
      </c>
      <c r="AD245" s="113">
        <v>37</v>
      </c>
      <c r="AE245" s="104">
        <v>5</v>
      </c>
      <c r="AF245" s="104">
        <v>5</v>
      </c>
      <c r="AG245" s="104">
        <v>1900</v>
      </c>
      <c r="AH245" s="113">
        <v>0</v>
      </c>
      <c r="AI245" s="104">
        <f>AJ245</f>
        <v>2004</v>
      </c>
      <c r="AJ245" s="108">
        <v>2004</v>
      </c>
      <c r="AK245" s="108">
        <v>6</v>
      </c>
      <c r="AL245" s="108">
        <v>5</v>
      </c>
      <c r="AM245" s="109">
        <v>5</v>
      </c>
      <c r="AN245" s="109">
        <v>1</v>
      </c>
      <c r="AO245" s="110">
        <v>0</v>
      </c>
      <c r="AP245" s="109">
        <v>0</v>
      </c>
      <c r="AQ245" s="109">
        <v>0</v>
      </c>
      <c r="AR245" s="109">
        <v>0</v>
      </c>
      <c r="AS245" s="110">
        <v>0</v>
      </c>
      <c r="AT245" s="109">
        <v>0</v>
      </c>
      <c r="AU245" s="109">
        <v>0</v>
      </c>
      <c r="AV245" s="109">
        <v>0</v>
      </c>
      <c r="AW245" s="110">
        <v>0</v>
      </c>
      <c r="AX245" s="109">
        <v>0</v>
      </c>
      <c r="AY245" s="233"/>
      <c r="AZ245" s="4"/>
      <c r="BA245" s="35" t="str">
        <f>IF(OR(S245="North America",S245="Rocky Mountain"), "Widespread",BC245)</f>
        <v>Widespread</v>
      </c>
      <c r="BB245" s="4"/>
      <c r="BC245" s="35">
        <f ca="1">IF(BE245&gt;2046, "Abundant",BE245)</f>
        <v>2040.9683393939395</v>
      </c>
      <c r="BD245" s="4"/>
      <c r="BE245" s="81">
        <f ca="1">YEAR($C$13)+(BG245*80)</f>
        <v>2040.9683393939395</v>
      </c>
      <c r="BF245" s="4"/>
      <c r="BG245" s="137">
        <f ca="1">BH245*$BH$14</f>
        <v>0.27460424242424236</v>
      </c>
      <c r="BH245" s="137">
        <f ca="1">(((BJ245+BK245+BM245+BN245)/4)*$BM$11)+(((BP245+BQ245)/2)*$BQ$11)+(((BU245+BV245+BW245)/3)*$BU$11)+(((BY245+BZ245+CA245+CB245+CC245)/5)*$CA$11)</f>
        <v>0.27460424242424236</v>
      </c>
      <c r="BI245" s="4"/>
      <c r="BJ245" s="33">
        <f>AP245/(AM245+AO245)</f>
        <v>0</v>
      </c>
      <c r="BK245" s="33">
        <f>(AN245+AO245)/(AM245+AO245)</f>
        <v>0.2</v>
      </c>
      <c r="BL245" s="4"/>
      <c r="BM245" s="127">
        <f>CF245/102</f>
        <v>8.3333333333333329E-2</v>
      </c>
      <c r="BN245" s="127">
        <f>C245/2</f>
        <v>1</v>
      </c>
      <c r="BO245" s="4"/>
      <c r="BP245" s="127">
        <f>(AK245)/($AW$6)</f>
        <v>6.0606060606060608E-2</v>
      </c>
      <c r="BQ245" s="127">
        <f ca="1">(CH245-$AW$4)/((YEAR($C$13))-$AW$4)</f>
        <v>0</v>
      </c>
      <c r="BR245" s="127">
        <f>(AL245)/($AW$6)</f>
        <v>5.0505050505050504E-2</v>
      </c>
      <c r="BS245" s="4"/>
      <c r="BT245" s="127"/>
      <c r="BU245" s="127">
        <f ca="1">(CG245-$AW$4)/((YEAR($C$13))-$AW$4)</f>
        <v>0</v>
      </c>
      <c r="BV245" s="127">
        <f>AE245/5</f>
        <v>1</v>
      </c>
      <c r="BW245" s="127">
        <f>AF245/5</f>
        <v>1</v>
      </c>
      <c r="BX245" s="4"/>
      <c r="BY245" s="148" t="str">
        <f>IF(E245="A",".98",IF(E245="B",".99",IF(E245="C","1.00",IF(E245="D","1.00" ))))</f>
        <v>1.00</v>
      </c>
      <c r="BZ245" s="127">
        <f>(CE245+7)/10</f>
        <v>1</v>
      </c>
      <c r="CA245" s="76" t="str">
        <f>IF(D245="Fern",".97",IF(D245="Grass",".99",IF(D245="Herb",".97",IF(D245="Shrub",".99",IF(D245="Tree","1.00",IF(D245="Vine",".98"))))))</f>
        <v>.97</v>
      </c>
      <c r="CB245" s="149" t="str">
        <f>IF(R245="Bogs Ponds Streams",".96", IF(R245="Coastal Areas",".97",IF(R245="Meadows Dry Open",".96",IF(R245="Forest &amp; Understory",".97",IF(R245="Moist Open",".98",IF(R245="Moist Shady",".96",IF(R245="Sub-Alpine","1.0")))))))</f>
        <v>.96</v>
      </c>
      <c r="CC245" s="76" t="str">
        <f>IF(S245="Local Endemic",".50",IF(S245="Regional Endemic",".70",IF(S245="Cascadia",".90",IF(S245="Rocky Mountain",".95",IF(S245="North America",".99")))))</f>
        <v>.99</v>
      </c>
      <c r="CD245" s="4"/>
      <c r="CE245" s="21">
        <f>IF(W245&gt;3,3,W245)</f>
        <v>3</v>
      </c>
      <c r="CF245" s="21">
        <f>IF(AC245&gt;102,102,AC245)</f>
        <v>8.5</v>
      </c>
      <c r="CG245" s="34">
        <f>IF(AI245&lt;$AW$4,$AW$4,AI245)</f>
        <v>2004</v>
      </c>
      <c r="CH245" s="34">
        <f>IF(AJ245&lt;$AW$4,$AW$4,AJ245)</f>
        <v>2004</v>
      </c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12"/>
    </row>
    <row r="246" spans="1:115" s="13" customFormat="1" ht="15" customHeight="1" x14ac:dyDescent="0.3">
      <c r="A246" s="235"/>
      <c r="B246" s="218"/>
      <c r="C246" s="226">
        <v>2</v>
      </c>
      <c r="D246" s="104" t="s">
        <v>2505</v>
      </c>
      <c r="E246" s="104" t="s">
        <v>2501</v>
      </c>
      <c r="F246" s="400" t="str">
        <f ca="1">IF(BC246&lt;2025, "Extinct&lt; 6Yrs?",BA246)</f>
        <v>Widespread</v>
      </c>
      <c r="G246" s="369" t="s">
        <v>525</v>
      </c>
      <c r="H246" s="369" t="s">
        <v>4028</v>
      </c>
      <c r="I246" s="372" t="s">
        <v>2623</v>
      </c>
      <c r="J246" s="371" t="s">
        <v>3795</v>
      </c>
      <c r="K246" s="371" t="s">
        <v>2754</v>
      </c>
      <c r="L246" s="114" t="s">
        <v>1956</v>
      </c>
      <c r="M246" s="111" t="s">
        <v>4325</v>
      </c>
      <c r="N246" s="111" t="s">
        <v>5219</v>
      </c>
      <c r="O246" s="111" t="s">
        <v>6117</v>
      </c>
      <c r="P246" s="105" t="s">
        <v>458</v>
      </c>
      <c r="Q246" s="104" t="s">
        <v>2552</v>
      </c>
      <c r="R246" s="105" t="s">
        <v>2500</v>
      </c>
      <c r="S246" s="105" t="s">
        <v>2495</v>
      </c>
      <c r="T246" s="133" t="str">
        <f>IF(R246="Bogs Ponds Streams","20",IF(R246="Coastal Areas","26",IF(R246="Meadows Dry Open","10",IF(R246="Forest &amp; Understory","14",IF(R246="Moist Open","12",IF(R246="Moist Shady","10",IF(R246="Sub-Alpine Slopes","0")))))))</f>
        <v>10</v>
      </c>
      <c r="U246" s="133" t="str">
        <f>IF(R246="Bogs Ponds Streams","52",IF(R246="Coastal Areas","51",IF(R246="Meadows Dry Open","53",IF(R246="Forest &amp; Understory","52",IF(R246="Moist Open","50",IF(R246="Moist Shady","46",IF(R246="Sub-Alpine Slopes","40")))))))</f>
        <v>53</v>
      </c>
      <c r="V246" s="133" t="str">
        <f>IF(R246="Bogs Ponds Streams","84",IF(R246="Coastal Areas","76",IF(R246="Meadows Dry Open","96", IF(R246="Forest &amp; Understory","90", IF(R246="Moist Open","88", IF(R246="Moist Shady","82", IF(R246="Sub-Alpine Slopes","80")))))))</f>
        <v>96</v>
      </c>
      <c r="W246" s="104">
        <v>20</v>
      </c>
      <c r="X246" s="104">
        <v>0</v>
      </c>
      <c r="Y246" s="104">
        <v>3500</v>
      </c>
      <c r="Z246" s="104" t="s">
        <v>2519</v>
      </c>
      <c r="AA246" s="104" t="s">
        <v>2518</v>
      </c>
      <c r="AB246" s="104">
        <v>6.8</v>
      </c>
      <c r="AC246" s="107">
        <f>C246+AK246+(0.1)*AL246</f>
        <v>5.2</v>
      </c>
      <c r="AD246" s="113">
        <v>21</v>
      </c>
      <c r="AE246" s="104">
        <v>5</v>
      </c>
      <c r="AF246" s="104">
        <v>5</v>
      </c>
      <c r="AG246" s="104">
        <v>1900</v>
      </c>
      <c r="AH246" s="113">
        <v>0</v>
      </c>
      <c r="AI246" s="104">
        <f>AJ246</f>
        <v>2004</v>
      </c>
      <c r="AJ246" s="108">
        <v>2004</v>
      </c>
      <c r="AK246" s="108">
        <v>3</v>
      </c>
      <c r="AL246" s="108">
        <v>2</v>
      </c>
      <c r="AM246" s="109">
        <v>5</v>
      </c>
      <c r="AN246" s="109">
        <v>1</v>
      </c>
      <c r="AO246" s="110">
        <v>0</v>
      </c>
      <c r="AP246" s="109">
        <v>0</v>
      </c>
      <c r="AQ246" s="109">
        <v>0</v>
      </c>
      <c r="AR246" s="109">
        <v>0</v>
      </c>
      <c r="AS246" s="110">
        <v>0</v>
      </c>
      <c r="AT246" s="109">
        <v>0</v>
      </c>
      <c r="AU246" s="109">
        <v>0</v>
      </c>
      <c r="AV246" s="109">
        <v>0</v>
      </c>
      <c r="AW246" s="110">
        <v>0</v>
      </c>
      <c r="AX246" s="109">
        <v>0</v>
      </c>
      <c r="AY246" s="233"/>
      <c r="AZ246" s="4"/>
      <c r="BA246" s="35" t="str">
        <f>IF(OR(S246="North America",S246="Rocky Mountain"), "Widespread",BC246)</f>
        <v>Widespread</v>
      </c>
      <c r="BB246" s="4"/>
      <c r="BC246" s="35">
        <f ca="1">IF(BE246&gt;2046, "Abundant",BE246)</f>
        <v>2040.2164677361855</v>
      </c>
      <c r="BD246" s="4"/>
      <c r="BE246" s="81">
        <f ca="1">YEAR($C$13)+(BG246*80)</f>
        <v>2040.2164677361855</v>
      </c>
      <c r="BF246" s="4"/>
      <c r="BG246" s="137">
        <f ca="1">BH246*$BH$14</f>
        <v>0.26520584670231728</v>
      </c>
      <c r="BH246" s="137">
        <f ca="1">(((BJ246+BK246+BM246+BN246)/4)*$BM$11)+(((BP246+BQ246)/2)*$BQ$11)+(((BU246+BV246+BW246)/3)*$BU$11)+(((BY246+BZ246+CA246+CB246+CC246)/5)*$CA$11)</f>
        <v>0.26520584670231728</v>
      </c>
      <c r="BI246" s="4"/>
      <c r="BJ246" s="33">
        <f>AP246/(AM246+AO246)</f>
        <v>0</v>
      </c>
      <c r="BK246" s="33">
        <f>(AN246+AO246)/(AM246+AO246)</f>
        <v>0.2</v>
      </c>
      <c r="BL246" s="4"/>
      <c r="BM246" s="127">
        <f>CF246/102</f>
        <v>5.0980392156862744E-2</v>
      </c>
      <c r="BN246" s="127">
        <f>C246/2</f>
        <v>1</v>
      </c>
      <c r="BO246" s="4"/>
      <c r="BP246" s="127">
        <f>(AK246)/($AW$6)</f>
        <v>3.0303030303030304E-2</v>
      </c>
      <c r="BQ246" s="127">
        <f ca="1">(CH246-$AW$4)/((YEAR($C$13))-$AW$4)</f>
        <v>0</v>
      </c>
      <c r="BR246" s="127">
        <f>(AL246)/($AW$6)</f>
        <v>2.0202020202020204E-2</v>
      </c>
      <c r="BS246" s="4"/>
      <c r="BT246" s="127"/>
      <c r="BU246" s="127">
        <f ca="1">(CG246-$AW$4)/((YEAR($C$13))-$AW$4)</f>
        <v>0</v>
      </c>
      <c r="BV246" s="127">
        <f>AE246/5</f>
        <v>1</v>
      </c>
      <c r="BW246" s="127">
        <f>AF246/5</f>
        <v>1</v>
      </c>
      <c r="BX246" s="4"/>
      <c r="BY246" s="148" t="str">
        <f>IF(E246="A",".98",IF(E246="B",".99",IF(E246="C","1.00",IF(E246="D","1.00" ))))</f>
        <v>1.00</v>
      </c>
      <c r="BZ246" s="127">
        <f>(CE246+7)/10</f>
        <v>1</v>
      </c>
      <c r="CA246" s="76" t="str">
        <f>IF(D246="Fern",".97",IF(D246="Grass",".99",IF(D246="Herb",".97",IF(D246="Shrub",".99",IF(D246="Tree","1.00",IF(D246="Vine",".98"))))))</f>
        <v>.97</v>
      </c>
      <c r="CB246" s="149" t="str">
        <f>IF(R246="Bogs Ponds Streams",".96", IF(R246="Coastal Areas",".97",IF(R246="Meadows Dry Open",".96",IF(R246="Forest &amp; Understory",".97",IF(R246="Moist Open",".98",IF(R246="Moist Shady",".96",IF(R246="Sub-Alpine","1.0")))))))</f>
        <v>.96</v>
      </c>
      <c r="CC246" s="76" t="str">
        <f>IF(S246="Local Endemic",".50",IF(S246="Regional Endemic",".70",IF(S246="Cascadia",".90",IF(S246="Rocky Mountain",".95",IF(S246="North America",".99")))))</f>
        <v>.99</v>
      </c>
      <c r="CD246" s="4"/>
      <c r="CE246" s="21">
        <f>IF(W246&gt;3,3,W246)</f>
        <v>3</v>
      </c>
      <c r="CF246" s="21">
        <f>IF(AC246&gt;102,102,AC246)</f>
        <v>5.2</v>
      </c>
      <c r="CG246" s="34">
        <f>IF(AI246&lt;$AW$4,$AW$4,AI246)</f>
        <v>2004</v>
      </c>
      <c r="CH246" s="34">
        <f>IF(AJ246&lt;$AW$4,$AW$4,AJ246)</f>
        <v>2004</v>
      </c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12"/>
    </row>
    <row r="247" spans="1:115" s="13" customFormat="1" ht="15" customHeight="1" x14ac:dyDescent="0.3">
      <c r="A247" s="235"/>
      <c r="B247" s="218"/>
      <c r="C247" s="225">
        <v>8</v>
      </c>
      <c r="D247" s="59" t="s">
        <v>2507</v>
      </c>
      <c r="E247" s="59" t="s">
        <v>2501</v>
      </c>
      <c r="F247" s="397" t="str">
        <f ca="1">IF(BC247&lt;2025, "Extinct&lt; 6Yrs?",BA247)</f>
        <v>Abundant</v>
      </c>
      <c r="G247" s="363" t="s">
        <v>525</v>
      </c>
      <c r="H247" s="363" t="s">
        <v>688</v>
      </c>
      <c r="I247" s="366" t="s">
        <v>188</v>
      </c>
      <c r="J247" s="365" t="s">
        <v>3287</v>
      </c>
      <c r="K247" s="365" t="s">
        <v>187</v>
      </c>
      <c r="L247" s="10" t="s">
        <v>1955</v>
      </c>
      <c r="M247" s="8" t="s">
        <v>4326</v>
      </c>
      <c r="N247" s="8" t="s">
        <v>5220</v>
      </c>
      <c r="O247" s="8" t="s">
        <v>6118</v>
      </c>
      <c r="P247" s="9" t="s">
        <v>186</v>
      </c>
      <c r="Q247" s="59" t="s">
        <v>2552</v>
      </c>
      <c r="R247" s="9" t="s">
        <v>2500</v>
      </c>
      <c r="S247" s="9" t="s">
        <v>2459</v>
      </c>
      <c r="T247" s="123" t="str">
        <f>IF(R247="Bogs Ponds Streams","20",IF(R247="Coastal Areas","26",IF(R247="Meadows Dry Open","10",IF(R247="Forest &amp; Understory","14",IF(R247="Moist Open","12",IF(R247="Moist Shady","10",IF(R247="Sub-Alpine Slopes","0")))))))</f>
        <v>10</v>
      </c>
      <c r="U247" s="123" t="str">
        <f>IF(R247="Bogs Ponds Streams","52",IF(R247="Coastal Areas","51",IF(R247="Meadows Dry Open","53",IF(R247="Forest &amp; Understory","52",IF(R247="Moist Open","50",IF(R247="Moist Shady","46",IF(R247="Sub-Alpine Slopes","40")))))))</f>
        <v>53</v>
      </c>
      <c r="V247" s="123" t="str">
        <f>IF(R247="Bogs Ponds Streams","84",IF(R247="Coastal Areas","76",IF(R247="Meadows Dry Open","96", IF(R247="Forest &amp; Understory","90", IF(R247="Moist Open","88", IF(R247="Moist Shady","82", IF(R247="Sub-Alpine Slopes","80")))))))</f>
        <v>96</v>
      </c>
      <c r="W247" s="59">
        <v>20</v>
      </c>
      <c r="X247" s="59">
        <v>0</v>
      </c>
      <c r="Y247" s="59">
        <v>3500</v>
      </c>
      <c r="Z247" s="59" t="s">
        <v>2519</v>
      </c>
      <c r="AA247" s="59" t="s">
        <v>2518</v>
      </c>
      <c r="AB247" s="59">
        <v>6.8</v>
      </c>
      <c r="AC247" s="45">
        <f>C247+AK247+(0.1)*AL247</f>
        <v>41.3</v>
      </c>
      <c r="AD247" s="77">
        <v>67</v>
      </c>
      <c r="AE247" s="59">
        <v>5</v>
      </c>
      <c r="AF247" s="59">
        <v>5</v>
      </c>
      <c r="AG247" s="59">
        <v>1900</v>
      </c>
      <c r="AH247" s="77">
        <v>0</v>
      </c>
      <c r="AI247" s="59">
        <f ca="1">AJ247</f>
        <v>2019</v>
      </c>
      <c r="AJ247" s="18">
        <f ca="1">YEAR(TODAY())</f>
        <v>2019</v>
      </c>
      <c r="AK247" s="18">
        <v>33</v>
      </c>
      <c r="AL247" s="18">
        <v>3</v>
      </c>
      <c r="AM247" s="18">
        <v>1</v>
      </c>
      <c r="AN247" s="18">
        <v>1</v>
      </c>
      <c r="AO247" s="18">
        <v>5</v>
      </c>
      <c r="AP247" s="18">
        <v>1</v>
      </c>
      <c r="AQ247" s="18">
        <v>0</v>
      </c>
      <c r="AR247" s="18">
        <v>0</v>
      </c>
      <c r="AS247" s="18">
        <v>0</v>
      </c>
      <c r="AT247" s="18">
        <v>0</v>
      </c>
      <c r="AU247" s="18">
        <v>0</v>
      </c>
      <c r="AV247" s="18">
        <v>0</v>
      </c>
      <c r="AW247" s="18">
        <v>0</v>
      </c>
      <c r="AX247" s="18">
        <v>0</v>
      </c>
      <c r="AY247" s="233"/>
      <c r="AZ247" s="4"/>
      <c r="BA247" s="35" t="str">
        <f ca="1">IF(OR(S247="North America",S247="Rocky Mountain"), "Widespread",BC247)</f>
        <v>Abundant</v>
      </c>
      <c r="BB247" s="4"/>
      <c r="BC247" s="35" t="str">
        <f ca="1">IF(BE247&gt;2046, "Abundant",BE247)</f>
        <v>Abundant</v>
      </c>
      <c r="BD247" s="4"/>
      <c r="BE247" s="81">
        <f ca="1">YEAR($C$13)+(BG247*80)</f>
        <v>2109.8140235294118</v>
      </c>
      <c r="BF247" s="4"/>
      <c r="BG247" s="137">
        <f ca="1">BH247*$BH$14</f>
        <v>1.1351752941176469</v>
      </c>
      <c r="BH247" s="137">
        <f ca="1">(((BJ247+BK247+BM247+BN247)/4)*$BM$11)+(((BP247+BQ247)/2)*$BQ$11)+(((BU247+BV247+BW247)/3)*$BU$11)+(((BY247+BZ247+CA247+CB247+CC247)/5)*$CA$11)</f>
        <v>1.1351752941176469</v>
      </c>
      <c r="BI247" s="4"/>
      <c r="BJ247" s="33">
        <f>AP247/(AM247+AO247)</f>
        <v>0.16666666666666666</v>
      </c>
      <c r="BK247" s="33">
        <f>(AN247+AO247)/(AM247+AO247)</f>
        <v>1</v>
      </c>
      <c r="BL247" s="4"/>
      <c r="BM247" s="127">
        <f>CF247/102</f>
        <v>0.40490196078431367</v>
      </c>
      <c r="BN247" s="127">
        <f>C247/2</f>
        <v>4</v>
      </c>
      <c r="BO247" s="4"/>
      <c r="BP247" s="127">
        <f>(AK247)/($AW$6)</f>
        <v>0.33333333333333331</v>
      </c>
      <c r="BQ247" s="127">
        <f ca="1">(CH247-$AW$4)/((YEAR($C$13))-$AW$4)</f>
        <v>1</v>
      </c>
      <c r="BR247" s="127">
        <f>(AL247)/($AW$6)</f>
        <v>3.0303030303030304E-2</v>
      </c>
      <c r="BS247" s="4"/>
      <c r="BT247" s="127"/>
      <c r="BU247" s="127">
        <f ca="1">(CG247-$AW$4)/((YEAR($C$13))-$AW$4)</f>
        <v>1</v>
      </c>
      <c r="BV247" s="127">
        <f>AE247/5</f>
        <v>1</v>
      </c>
      <c r="BW247" s="127">
        <f>AF247/5</f>
        <v>1</v>
      </c>
      <c r="BX247" s="4"/>
      <c r="BY247" s="148" t="str">
        <f>IF(E247="A",".98",IF(E247="B",".99",IF(E247="C","1.00",IF(E247="D","1.00" ))))</f>
        <v>1.00</v>
      </c>
      <c r="BZ247" s="127">
        <f>(CE247+7)/10</f>
        <v>1</v>
      </c>
      <c r="CA247" s="76" t="str">
        <f>IF(D247="Fern",".97",IF(D247="Grass",".99",IF(D247="Herb",".97",IF(D247="Shrub",".99",IF(D247="Tree","1.00",IF(D247="Vine",".98"))))))</f>
        <v>1.00</v>
      </c>
      <c r="CB247" s="149" t="str">
        <f>IF(R247="Bogs Ponds Streams",".96", IF(R247="Coastal Areas",".97",IF(R247="Meadows Dry Open",".96",IF(R247="Forest &amp; Understory",".97",IF(R247="Moist Open",".98",IF(R247="Moist Shady",".96",IF(R247="Sub-Alpine","1.0")))))))</f>
        <v>.96</v>
      </c>
      <c r="CC247" s="76" t="str">
        <f>IF(S247="Local Endemic",".50",IF(S247="Regional Endemic",".70",IF(S247="Cascadia",".90",IF(S247="Rocky Mountain",".95",IF(S247="North America",".99")))))</f>
        <v>.90</v>
      </c>
      <c r="CD247" s="4"/>
      <c r="CE247" s="21">
        <f>IF(W247&gt;3,3,W247)</f>
        <v>3</v>
      </c>
      <c r="CF247" s="21">
        <f>IF(AC247&gt;102,102,AC247)</f>
        <v>41.3</v>
      </c>
      <c r="CG247" s="34">
        <f ca="1">IF(AI247&lt;$AW$4,$AW$4,AI247)</f>
        <v>2019</v>
      </c>
      <c r="CH247" s="34">
        <f ca="1">IF(AJ247&lt;$AW$4,$AW$4,AJ247)</f>
        <v>2019</v>
      </c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12"/>
    </row>
    <row r="248" spans="1:115" s="13" customFormat="1" ht="15" customHeight="1" x14ac:dyDescent="0.3">
      <c r="A248" s="235"/>
      <c r="B248" s="218"/>
      <c r="C248" s="225">
        <v>8</v>
      </c>
      <c r="D248" s="59" t="s">
        <v>2506</v>
      </c>
      <c r="E248" s="60" t="s">
        <v>2501</v>
      </c>
      <c r="F248" s="397" t="str">
        <f ca="1">IF(BC248&lt;2025, "Extinct&lt; 6Yrs?",BA248)</f>
        <v>Widespread</v>
      </c>
      <c r="G248" s="363" t="s">
        <v>525</v>
      </c>
      <c r="H248" s="363" t="s">
        <v>685</v>
      </c>
      <c r="I248" s="366" t="s">
        <v>189</v>
      </c>
      <c r="J248" s="365" t="s">
        <v>3288</v>
      </c>
      <c r="K248" s="365" t="s">
        <v>927</v>
      </c>
      <c r="L248" s="10" t="s">
        <v>1954</v>
      </c>
      <c r="M248" s="8" t="s">
        <v>4327</v>
      </c>
      <c r="N248" s="8" t="s">
        <v>5221</v>
      </c>
      <c r="O248" s="8" t="s">
        <v>6119</v>
      </c>
      <c r="P248" s="9" t="s">
        <v>186</v>
      </c>
      <c r="Q248" s="59" t="s">
        <v>2552</v>
      </c>
      <c r="R248" s="9" t="s">
        <v>2498</v>
      </c>
      <c r="S248" s="9" t="s">
        <v>2495</v>
      </c>
      <c r="T248" s="123" t="str">
        <f>IF(R248="Bogs Ponds Streams","20",IF(R248="Coastal Areas","26",IF(R248="Meadows Dry Open","10",IF(R248="Forest &amp; Understory","14",IF(R248="Moist Open","12",IF(R248="Moist Shady","10",IF(R248="Sub-Alpine Slopes","0")))))))</f>
        <v>10</v>
      </c>
      <c r="U248" s="123" t="str">
        <f>IF(R248="Bogs Ponds Streams","52",IF(R248="Coastal Areas","51",IF(R248="Meadows Dry Open","53",IF(R248="Forest &amp; Understory","52",IF(R248="Moist Open","50",IF(R248="Moist Shady","46",IF(R248="Sub-Alpine Slopes","40")))))))</f>
        <v>46</v>
      </c>
      <c r="V248" s="123" t="str">
        <f>IF(R248="Bogs Ponds Streams","84",IF(R248="Coastal Areas","76",IF(R248="Meadows Dry Open","96", IF(R248="Forest &amp; Understory","90", IF(R248="Moist Open","88", IF(R248="Moist Shady","82", IF(R248="Sub-Alpine Slopes","80")))))))</f>
        <v>82</v>
      </c>
      <c r="W248" s="59">
        <v>20</v>
      </c>
      <c r="X248" s="59">
        <v>0</v>
      </c>
      <c r="Y248" s="59">
        <v>3500</v>
      </c>
      <c r="Z248" s="59" t="s">
        <v>2519</v>
      </c>
      <c r="AA248" s="59" t="s">
        <v>2518</v>
      </c>
      <c r="AB248" s="59">
        <v>6.8</v>
      </c>
      <c r="AC248" s="45">
        <f>C248+AK248+(0.1)*AL248</f>
        <v>31</v>
      </c>
      <c r="AD248" s="77">
        <v>140</v>
      </c>
      <c r="AE248" s="59">
        <v>5</v>
      </c>
      <c r="AF248" s="59">
        <v>5</v>
      </c>
      <c r="AG248" s="59">
        <v>1900</v>
      </c>
      <c r="AH248" s="77">
        <v>0</v>
      </c>
      <c r="AI248" s="59">
        <f ca="1">AJ248</f>
        <v>2019</v>
      </c>
      <c r="AJ248" s="18">
        <f ca="1">YEAR(TODAY())</f>
        <v>2019</v>
      </c>
      <c r="AK248" s="18">
        <v>20</v>
      </c>
      <c r="AL248" s="18">
        <v>30</v>
      </c>
      <c r="AM248" s="18">
        <v>1</v>
      </c>
      <c r="AN248" s="18">
        <v>1</v>
      </c>
      <c r="AO248" s="18">
        <v>5</v>
      </c>
      <c r="AP248" s="18">
        <v>1</v>
      </c>
      <c r="AQ248" s="18">
        <v>0</v>
      </c>
      <c r="AR248" s="18">
        <v>0</v>
      </c>
      <c r="AS248" s="18">
        <v>0</v>
      </c>
      <c r="AT248" s="18">
        <v>0</v>
      </c>
      <c r="AU248" s="18">
        <v>0</v>
      </c>
      <c r="AV248" s="18">
        <v>0</v>
      </c>
      <c r="AW248" s="18">
        <v>0</v>
      </c>
      <c r="AX248" s="18">
        <v>0</v>
      </c>
      <c r="AY248" s="233"/>
      <c r="AZ248" s="4"/>
      <c r="BA248" s="35" t="str">
        <f>IF(OR(S248="North America",S248="Rocky Mountain"), "Widespread",BC248)</f>
        <v>Widespread</v>
      </c>
      <c r="BB248" s="4"/>
      <c r="BC248" s="35" t="str">
        <f ca="1">IF(BE248&gt;2046, "Abundant",BE248)</f>
        <v>Abundant</v>
      </c>
      <c r="BD248" s="4"/>
      <c r="BE248" s="81">
        <f ca="1">YEAR($C$13)+(BG248*80)</f>
        <v>2107.052101247772</v>
      </c>
      <c r="BF248" s="4"/>
      <c r="BG248" s="137">
        <f ca="1">BH248*$BH$14</f>
        <v>1.1006512655971481</v>
      </c>
      <c r="BH248" s="137">
        <f ca="1">(((BJ248+BK248+BM248+BN248)/4)*$BM$11)+(((BP248+BQ248)/2)*$BQ$11)+(((BU248+BV248+BW248)/3)*$BU$11)+(((BY248+BZ248+CA248+CB248+CC248)/5)*$CA$11)</f>
        <v>1.1006512655971481</v>
      </c>
      <c r="BI248" s="4"/>
      <c r="BJ248" s="33">
        <f>AP248/(AM248+AO248)</f>
        <v>0.16666666666666666</v>
      </c>
      <c r="BK248" s="33">
        <f>(AN248+AO248)/(AM248+AO248)</f>
        <v>1</v>
      </c>
      <c r="BL248" s="4"/>
      <c r="BM248" s="127">
        <f>CF248/102</f>
        <v>0.30392156862745096</v>
      </c>
      <c r="BN248" s="127">
        <f>C248/2</f>
        <v>4</v>
      </c>
      <c r="BO248" s="4"/>
      <c r="BP248" s="127">
        <f>(AK248)/($AW$6)</f>
        <v>0.20202020202020202</v>
      </c>
      <c r="BQ248" s="127">
        <f ca="1">(CH248-$AW$4)/((YEAR($C$13))-$AW$4)</f>
        <v>1</v>
      </c>
      <c r="BR248" s="127">
        <f>(AL248)/($AW$6)</f>
        <v>0.30303030303030304</v>
      </c>
      <c r="BS248" s="4"/>
      <c r="BT248" s="127"/>
      <c r="BU248" s="127">
        <f ca="1">(CG248-$AW$4)/((YEAR($C$13))-$AW$4)</f>
        <v>1</v>
      </c>
      <c r="BV248" s="127">
        <f>AE248/5</f>
        <v>1</v>
      </c>
      <c r="BW248" s="127">
        <f>AF248/5</f>
        <v>1</v>
      </c>
      <c r="BX248" s="4"/>
      <c r="BY248" s="148" t="str">
        <f>IF(E248="A",".98",IF(E248="B",".99",IF(E248="C","1.00",IF(E248="D","1.00" ))))</f>
        <v>1.00</v>
      </c>
      <c r="BZ248" s="127">
        <f>(CE248+7)/10</f>
        <v>1</v>
      </c>
      <c r="CA248" s="76" t="str">
        <f>IF(D248="Fern",".97",IF(D248="Grass",".99",IF(D248="Herb",".97",IF(D248="Shrub",".99",IF(D248="Tree","1.00",IF(D248="Vine",".98"))))))</f>
        <v>.99</v>
      </c>
      <c r="CB248" s="149" t="str">
        <f>IF(R248="Bogs Ponds Streams",".96", IF(R248="Coastal Areas",".97",IF(R248="Meadows Dry Open",".96",IF(R248="Forest &amp; Understory",".97",IF(R248="Moist Open",".98",IF(R248="Moist Shady",".96",IF(R248="Sub-Alpine","1.0")))))))</f>
        <v>.96</v>
      </c>
      <c r="CC248" s="76" t="str">
        <f>IF(S248="Local Endemic",".50",IF(S248="Regional Endemic",".70",IF(S248="Cascadia",".90",IF(S248="Rocky Mountain",".95",IF(S248="North America",".99")))))</f>
        <v>.99</v>
      </c>
      <c r="CD248" s="4"/>
      <c r="CE248" s="21">
        <f>IF(W248&gt;3,3,W248)</f>
        <v>3</v>
      </c>
      <c r="CF248" s="21">
        <f>IF(AC248&gt;102,102,AC248)</f>
        <v>31</v>
      </c>
      <c r="CG248" s="34">
        <f ca="1">IF(AI248&lt;$AW$4,$AW$4,AI248)</f>
        <v>2019</v>
      </c>
      <c r="CH248" s="34">
        <f ca="1">IF(AJ248&lt;$AW$4,$AW$4,AJ248)</f>
        <v>2019</v>
      </c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12"/>
    </row>
    <row r="249" spans="1:115" s="13" customFormat="1" ht="15" customHeight="1" x14ac:dyDescent="0.3">
      <c r="A249" s="235"/>
      <c r="B249" s="218"/>
      <c r="C249" s="225">
        <v>8</v>
      </c>
      <c r="D249" s="59" t="s">
        <v>2505</v>
      </c>
      <c r="E249" s="59" t="s">
        <v>2501</v>
      </c>
      <c r="F249" s="397" t="str">
        <f ca="1">IF(BC249&lt;2025, "Extinct&lt; 6Yrs?",BA249)</f>
        <v>Abundant</v>
      </c>
      <c r="G249" s="363" t="s">
        <v>525</v>
      </c>
      <c r="H249" s="363" t="s">
        <v>688</v>
      </c>
      <c r="I249" s="364" t="s">
        <v>2489</v>
      </c>
      <c r="J249" s="365" t="s">
        <v>3289</v>
      </c>
      <c r="K249" s="365" t="s">
        <v>928</v>
      </c>
      <c r="L249" s="10" t="s">
        <v>1953</v>
      </c>
      <c r="M249" s="8" t="s">
        <v>4328</v>
      </c>
      <c r="N249" s="8" t="s">
        <v>5222</v>
      </c>
      <c r="O249" s="8" t="s">
        <v>6120</v>
      </c>
      <c r="P249" s="9" t="s">
        <v>186</v>
      </c>
      <c r="Q249" s="59" t="s">
        <v>2552</v>
      </c>
      <c r="R249" s="9" t="s">
        <v>2498</v>
      </c>
      <c r="S249" s="9" t="s">
        <v>2459</v>
      </c>
      <c r="T249" s="123" t="str">
        <f>IF(R249="Bogs Ponds Streams","20",IF(R249="Coastal Areas","26",IF(R249="Meadows Dry Open","10",IF(R249="Forest &amp; Understory","14",IF(R249="Moist Open","12",IF(R249="Moist Shady","10",IF(R249="Sub-Alpine Slopes","0")))))))</f>
        <v>10</v>
      </c>
      <c r="U249" s="123" t="str">
        <f>IF(R249="Bogs Ponds Streams","52",IF(R249="Coastal Areas","51",IF(R249="Meadows Dry Open","53",IF(R249="Forest &amp; Understory","52",IF(R249="Moist Open","50",IF(R249="Moist Shady","46",IF(R249="Sub-Alpine Slopes","40")))))))</f>
        <v>46</v>
      </c>
      <c r="V249" s="123" t="str">
        <f>IF(R249="Bogs Ponds Streams","84",IF(R249="Coastal Areas","76",IF(R249="Meadows Dry Open","96", IF(R249="Forest &amp; Understory","90", IF(R249="Moist Open","88", IF(R249="Moist Shady","82", IF(R249="Sub-Alpine Slopes","80")))))))</f>
        <v>82</v>
      </c>
      <c r="W249" s="59">
        <v>20</v>
      </c>
      <c r="X249" s="59">
        <v>0</v>
      </c>
      <c r="Y249" s="59">
        <v>3500</v>
      </c>
      <c r="Z249" s="59" t="s">
        <v>2519</v>
      </c>
      <c r="AA249" s="59" t="s">
        <v>2518</v>
      </c>
      <c r="AB249" s="59">
        <v>6.8</v>
      </c>
      <c r="AC249" s="45">
        <f>C249+AK249+(0.1)*AL249</f>
        <v>54.2</v>
      </c>
      <c r="AD249" s="77">
        <v>135</v>
      </c>
      <c r="AE249" s="59">
        <v>5</v>
      </c>
      <c r="AF249" s="59">
        <v>5</v>
      </c>
      <c r="AG249" s="59">
        <v>1900</v>
      </c>
      <c r="AH249" s="77">
        <v>0</v>
      </c>
      <c r="AI249" s="59">
        <f ca="1">AJ249</f>
        <v>2019</v>
      </c>
      <c r="AJ249" s="18">
        <f ca="1">YEAR(TODAY())</f>
        <v>2019</v>
      </c>
      <c r="AK249" s="18">
        <v>44</v>
      </c>
      <c r="AL249" s="18">
        <v>22</v>
      </c>
      <c r="AM249" s="18">
        <v>1</v>
      </c>
      <c r="AN249" s="18">
        <v>1</v>
      </c>
      <c r="AO249" s="18">
        <v>5</v>
      </c>
      <c r="AP249" s="18">
        <v>1</v>
      </c>
      <c r="AQ249" s="18">
        <v>0</v>
      </c>
      <c r="AR249" s="18">
        <v>0</v>
      </c>
      <c r="AS249" s="18">
        <v>0</v>
      </c>
      <c r="AT249" s="18">
        <v>0</v>
      </c>
      <c r="AU249" s="18">
        <v>0</v>
      </c>
      <c r="AV249" s="18">
        <v>0</v>
      </c>
      <c r="AW249" s="18">
        <v>0</v>
      </c>
      <c r="AX249" s="18">
        <v>0</v>
      </c>
      <c r="AY249" s="233"/>
      <c r="AZ249" s="4"/>
      <c r="BA249" s="35" t="str">
        <f ca="1">IF(OR(S249="North America",S249="Rocky Mountain"), "Widespread",BC249)</f>
        <v>Abundant</v>
      </c>
      <c r="BB249" s="4"/>
      <c r="BC249" s="35" t="str">
        <f ca="1">IF(BE249&gt;2046, "Abundant",BE249)</f>
        <v>Abundant</v>
      </c>
      <c r="BD249" s="4"/>
      <c r="BE249" s="81">
        <f ca="1">YEAR($C$13)+(BG249*80)</f>
        <v>2112.6554039215684</v>
      </c>
      <c r="BF249" s="4"/>
      <c r="BG249" s="137">
        <f ca="1">BH249*$BH$14</f>
        <v>1.1706925490196078</v>
      </c>
      <c r="BH249" s="137">
        <f ca="1">(((BJ249+BK249+BM249+BN249)/4)*$BM$11)+(((BP249+BQ249)/2)*$BQ$11)+(((BU249+BV249+BW249)/3)*$BU$11)+(((BY249+BZ249+CA249+CB249+CC249)/5)*$CA$11)</f>
        <v>1.1706925490196078</v>
      </c>
      <c r="BI249" s="4"/>
      <c r="BJ249" s="33">
        <f>AP249/(AM249+AO249)</f>
        <v>0.16666666666666666</v>
      </c>
      <c r="BK249" s="33">
        <f>(AN249+AO249)/(AM249+AO249)</f>
        <v>1</v>
      </c>
      <c r="BL249" s="4"/>
      <c r="BM249" s="127">
        <f>CF249/102</f>
        <v>0.53137254901960784</v>
      </c>
      <c r="BN249" s="127">
        <f>C249/2</f>
        <v>4</v>
      </c>
      <c r="BO249" s="4"/>
      <c r="BP249" s="127">
        <f>(AK249)/($AW$6)</f>
        <v>0.44444444444444442</v>
      </c>
      <c r="BQ249" s="127">
        <f ca="1">(CH249-$AW$4)/((YEAR($C$13))-$AW$4)</f>
        <v>1</v>
      </c>
      <c r="BR249" s="127">
        <f>(AL249)/($AW$6)</f>
        <v>0.22222222222222221</v>
      </c>
      <c r="BS249" s="4"/>
      <c r="BT249" s="127"/>
      <c r="BU249" s="127">
        <f ca="1">(CG249-$AW$4)/((YEAR($C$13))-$AW$4)</f>
        <v>1</v>
      </c>
      <c r="BV249" s="127">
        <f>AE249/5</f>
        <v>1</v>
      </c>
      <c r="BW249" s="127">
        <f>AF249/5</f>
        <v>1</v>
      </c>
      <c r="BX249" s="4"/>
      <c r="BY249" s="148" t="str">
        <f>IF(E249="A",".98",IF(E249="B",".99",IF(E249="C","1.00",IF(E249="D","1.00" ))))</f>
        <v>1.00</v>
      </c>
      <c r="BZ249" s="127">
        <f>(CE249+7)/10</f>
        <v>1</v>
      </c>
      <c r="CA249" s="76" t="str">
        <f>IF(D249="Fern",".97",IF(D249="Grass",".99",IF(D249="Herb",".97",IF(D249="Shrub",".99",IF(D249="Tree","1.00",IF(D249="Vine",".98"))))))</f>
        <v>.97</v>
      </c>
      <c r="CB249" s="149" t="str">
        <f>IF(R249="Bogs Ponds Streams",".96", IF(R249="Coastal Areas",".97",IF(R249="Meadows Dry Open",".96",IF(R249="Forest &amp; Understory",".97",IF(R249="Moist Open",".98",IF(R249="Moist Shady",".96",IF(R249="Sub-Alpine","1.0")))))))</f>
        <v>.96</v>
      </c>
      <c r="CC249" s="76" t="str">
        <f>IF(S249="Local Endemic",".50",IF(S249="Regional Endemic",".70",IF(S249="Cascadia",".90",IF(S249="Rocky Mountain",".95",IF(S249="North America",".99")))))</f>
        <v>.90</v>
      </c>
      <c r="CD249" s="4"/>
      <c r="CE249" s="21">
        <f>IF(W249&gt;3,3,W249)</f>
        <v>3</v>
      </c>
      <c r="CF249" s="21">
        <f>IF(AC249&gt;102,102,AC249)</f>
        <v>54.2</v>
      </c>
      <c r="CG249" s="34">
        <f ca="1">IF(AI249&lt;$AW$4,$AW$4,AI249)</f>
        <v>2019</v>
      </c>
      <c r="CH249" s="34">
        <f ca="1">IF(AJ249&lt;$AW$4,$AW$4,AJ249)</f>
        <v>2019</v>
      </c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12"/>
    </row>
    <row r="250" spans="1:115" s="13" customFormat="1" ht="15" customHeight="1" x14ac:dyDescent="0.3">
      <c r="A250" s="235"/>
      <c r="B250" s="218"/>
      <c r="C250" s="375">
        <v>1</v>
      </c>
      <c r="D250" s="67" t="s">
        <v>2505</v>
      </c>
      <c r="E250" s="67" t="s">
        <v>2501</v>
      </c>
      <c r="F250" s="403">
        <f ca="1">IF(BC250&lt;2025, "Extinct&lt; 6Yrs?",BA250)</f>
        <v>2030.6325209744505</v>
      </c>
      <c r="G250" s="376" t="s">
        <v>525</v>
      </c>
      <c r="H250" s="376" t="s">
        <v>4028</v>
      </c>
      <c r="I250" s="377" t="s">
        <v>2331</v>
      </c>
      <c r="J250" s="378" t="s">
        <v>2391</v>
      </c>
      <c r="K250" s="378" t="s">
        <v>2330</v>
      </c>
      <c r="L250" s="63" t="s">
        <v>2392</v>
      </c>
      <c r="M250" s="64" t="s">
        <v>4330</v>
      </c>
      <c r="N250" s="64" t="s">
        <v>5223</v>
      </c>
      <c r="O250" s="64" t="s">
        <v>6121</v>
      </c>
      <c r="P250" s="61" t="s">
        <v>670</v>
      </c>
      <c r="Q250" s="67" t="s">
        <v>2552</v>
      </c>
      <c r="R250" s="163" t="s">
        <v>2499</v>
      </c>
      <c r="S250" s="164" t="s">
        <v>2309</v>
      </c>
      <c r="T250" s="134" t="str">
        <f>IF(R250="Bogs Ponds Streams","20",IF(R250="Coastal Areas","26",IF(R250="Meadows Dry Open","10",IF(R250="Forest &amp; Understory","14",IF(R250="Moist Open","12",IF(R250="Moist Shady","10",IF(R250="Sub-Alpine Slopes","0")))))))</f>
        <v>20</v>
      </c>
      <c r="U250" s="134" t="str">
        <f>IF(R250="Bogs Ponds Streams","52",IF(R250="Coastal Areas","51",IF(R250="Meadows Dry Open","53",IF(R250="Forest &amp; Understory","52",IF(R250="Moist Open","50",IF(R250="Moist Shady","46",IF(R250="Sub-Alpine Slopes","40")))))))</f>
        <v>52</v>
      </c>
      <c r="V250" s="134" t="str">
        <f>IF(R250="Bogs Ponds Streams","84",IF(R250="Coastal Areas","76",IF(R250="Meadows Dry Open","96", IF(R250="Forest &amp; Understory","90", IF(R250="Moist Open","88", IF(R250="Moist Shady","82", IF(R250="Sub-Alpine Slopes","80")))))))</f>
        <v>84</v>
      </c>
      <c r="W250" s="67">
        <v>20</v>
      </c>
      <c r="X250" s="67">
        <v>0</v>
      </c>
      <c r="Y250" s="67">
        <v>1</v>
      </c>
      <c r="Z250" s="67" t="s">
        <v>2519</v>
      </c>
      <c r="AA250" s="67" t="s">
        <v>2518</v>
      </c>
      <c r="AB250" s="67">
        <v>6.8</v>
      </c>
      <c r="AC250" s="85">
        <f>C250+AK250+(0.1)*AL250</f>
        <v>3</v>
      </c>
      <c r="AD250" s="78">
        <v>5</v>
      </c>
      <c r="AE250" s="68">
        <v>2</v>
      </c>
      <c r="AF250" s="68">
        <v>3</v>
      </c>
      <c r="AG250" s="78">
        <v>1974</v>
      </c>
      <c r="AH250" s="78">
        <v>0</v>
      </c>
      <c r="AI250" s="78">
        <v>2014</v>
      </c>
      <c r="AJ250" s="67">
        <v>1990</v>
      </c>
      <c r="AK250" s="67">
        <v>2</v>
      </c>
      <c r="AL250" s="67">
        <v>0</v>
      </c>
      <c r="AM250" s="70">
        <v>5</v>
      </c>
      <c r="AN250" s="70">
        <v>0</v>
      </c>
      <c r="AO250" s="86">
        <v>0</v>
      </c>
      <c r="AP250" s="70">
        <v>0</v>
      </c>
      <c r="AQ250" s="70">
        <v>0</v>
      </c>
      <c r="AR250" s="70">
        <v>0</v>
      </c>
      <c r="AS250" s="86">
        <v>0</v>
      </c>
      <c r="AT250" s="70">
        <v>0</v>
      </c>
      <c r="AU250" s="70">
        <v>0</v>
      </c>
      <c r="AV250" s="70">
        <v>0</v>
      </c>
      <c r="AW250" s="86">
        <v>0</v>
      </c>
      <c r="AX250" s="70">
        <v>0</v>
      </c>
      <c r="AY250" s="233"/>
      <c r="AZ250" s="11"/>
      <c r="BA250" s="35">
        <f ca="1">IF(OR(S250="North America",S250="Rocky Mountain"), "Widespread",BC250)</f>
        <v>2030.6325209744505</v>
      </c>
      <c r="BB250" s="11"/>
      <c r="BC250" s="35">
        <f ca="1">IF(BE250&gt;2046, "Abundant",BE250)</f>
        <v>2030.6325209744505</v>
      </c>
      <c r="BD250" s="11"/>
      <c r="BE250" s="81">
        <f ca="1">YEAR($C$13)+(BG250*80)</f>
        <v>2030.6325209744505</v>
      </c>
      <c r="BF250" s="11"/>
      <c r="BG250" s="137">
        <f ca="1">BH250*$BH$14</f>
        <v>0.14540651218062983</v>
      </c>
      <c r="BH250" s="137">
        <f ca="1">(((BJ250+BK250+BM250+BN250)/4)*$BM$11)+(((BP250+BQ250)/2)*$BQ$11)+(((BU250+BV250+BW250)/3)*$BU$11)+(((BY250+BZ250+CA250+CB250+CC250)/5)*$CA$11)</f>
        <v>0.14540651218062983</v>
      </c>
      <c r="BI250" s="11"/>
      <c r="BJ250" s="33">
        <f>AP250/(AM250+AO250)</f>
        <v>0</v>
      </c>
      <c r="BK250" s="33">
        <f>(AN250+AO250)/(AM250+AO250)</f>
        <v>0</v>
      </c>
      <c r="BL250" s="11"/>
      <c r="BM250" s="127">
        <f>CF250/102</f>
        <v>2.9411764705882353E-2</v>
      </c>
      <c r="BN250" s="127">
        <f>C250/2</f>
        <v>0.5</v>
      </c>
      <c r="BO250" s="11"/>
      <c r="BP250" s="127">
        <f>(AK250)/($AW$6)</f>
        <v>2.0202020202020204E-2</v>
      </c>
      <c r="BQ250" s="127">
        <f ca="1">(CH250-$AW$4)/((YEAR($C$13))-$AW$4)</f>
        <v>0</v>
      </c>
      <c r="BR250" s="127">
        <f>(AL250)/($AW$6)</f>
        <v>0</v>
      </c>
      <c r="BS250" s="11"/>
      <c r="BT250" s="127"/>
      <c r="BU250" s="127">
        <f ca="1">(CG250-$AW$4)/((YEAR($C$13))-$AW$4)</f>
        <v>0.66666666666666663</v>
      </c>
      <c r="BV250" s="127">
        <f>AE250/5</f>
        <v>0.4</v>
      </c>
      <c r="BW250" s="127">
        <f>AF250/5</f>
        <v>0.6</v>
      </c>
      <c r="BX250" s="11"/>
      <c r="BY250" s="148" t="str">
        <f>IF(E250="A",".98",IF(E250="B",".99",IF(E250="C","1.00",IF(E250="D","1.00" ))))</f>
        <v>1.00</v>
      </c>
      <c r="BZ250" s="127">
        <f>(CE250+7)/10</f>
        <v>1</v>
      </c>
      <c r="CA250" s="76" t="str">
        <f>IF(D250="Fern",".97",IF(D250="Grass",".99",IF(D250="Herb",".97",IF(D250="Shrub",".99",IF(D250="Tree","1.00",IF(D250="Vine",".98"))))))</f>
        <v>.97</v>
      </c>
      <c r="CB250" s="149" t="str">
        <f>IF(R250="Bogs Ponds Streams",".96", IF(R250="Coastal Areas",".97",IF(R250="Meadows Dry Open",".96",IF(R250="Forest &amp; Understory",".97",IF(R250="Moist Open",".98",IF(R250="Moist Shady",".96",IF(R250="Sub-Alpine","1.0")))))))</f>
        <v>.96</v>
      </c>
      <c r="CC250" s="76" t="str">
        <f>IF(S250="Local Endemic",".50",IF(S250="Regional Endemic",".70",IF(S250="Cascadia",".90",IF(S250="Rocky Mountain",".95",IF(S250="North America",".99")))))</f>
        <v>.70</v>
      </c>
      <c r="CD250" s="11"/>
      <c r="CE250" s="21">
        <f>IF(W250&gt;3,3,W250)</f>
        <v>3</v>
      </c>
      <c r="CF250" s="21">
        <f>IF(AC250&gt;102,102,AC250)</f>
        <v>3</v>
      </c>
      <c r="CG250" s="34">
        <f>IF(AI250&lt;$AW$4,$AW$4,AI250)</f>
        <v>2014</v>
      </c>
      <c r="CH250" s="34">
        <f>IF(AJ250&lt;$AW$4,$AW$4,AJ250)</f>
        <v>2004</v>
      </c>
      <c r="CI250" s="11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11"/>
      <c r="DC250" s="11"/>
      <c r="DD250" s="11"/>
      <c r="DE250" s="11"/>
      <c r="DF250" s="11"/>
      <c r="DG250" s="11"/>
      <c r="DH250" s="11"/>
      <c r="DI250" s="11"/>
      <c r="DJ250" s="11"/>
      <c r="DK250" s="12"/>
    </row>
    <row r="251" spans="1:115" s="13" customFormat="1" ht="15" customHeight="1" x14ac:dyDescent="0.3">
      <c r="A251" s="235"/>
      <c r="B251" s="218"/>
      <c r="C251" s="225">
        <v>8</v>
      </c>
      <c r="D251" s="59" t="s">
        <v>2505</v>
      </c>
      <c r="E251" s="59" t="s">
        <v>2501</v>
      </c>
      <c r="F251" s="397" t="str">
        <f ca="1">IF(BC251&lt;2025, "Extinct&lt; 6Yrs?",BA251)</f>
        <v>Abundant</v>
      </c>
      <c r="G251" s="363" t="s">
        <v>525</v>
      </c>
      <c r="H251" s="363" t="s">
        <v>689</v>
      </c>
      <c r="I251" s="366" t="s">
        <v>3051</v>
      </c>
      <c r="J251" s="365" t="s">
        <v>3290</v>
      </c>
      <c r="K251" s="365" t="s">
        <v>929</v>
      </c>
      <c r="L251" s="10" t="s">
        <v>1952</v>
      </c>
      <c r="M251" s="8" t="s">
        <v>4329</v>
      </c>
      <c r="N251" s="8" t="s">
        <v>5224</v>
      </c>
      <c r="O251" s="8" t="s">
        <v>6122</v>
      </c>
      <c r="P251" s="9" t="s">
        <v>747</v>
      </c>
      <c r="Q251" s="59" t="s">
        <v>2552</v>
      </c>
      <c r="R251" s="9" t="s">
        <v>2498</v>
      </c>
      <c r="S251" s="9" t="s">
        <v>2309</v>
      </c>
      <c r="T251" s="123" t="str">
        <f>IF(R251="Bogs Ponds Streams","20",IF(R251="Coastal Areas","26",IF(R251="Meadows Dry Open","10",IF(R251="Forest &amp; Understory","14",IF(R251="Moist Open","12",IF(R251="Moist Shady","10",IF(R251="Sub-Alpine Slopes","0")))))))</f>
        <v>10</v>
      </c>
      <c r="U251" s="123" t="str">
        <f>IF(R251="Bogs Ponds Streams","52",IF(R251="Coastal Areas","51",IF(R251="Meadows Dry Open","53",IF(R251="Forest &amp; Understory","52",IF(R251="Moist Open","50",IF(R251="Moist Shady","46",IF(R251="Sub-Alpine Slopes","40")))))))</f>
        <v>46</v>
      </c>
      <c r="V251" s="123" t="str">
        <f>IF(R251="Bogs Ponds Streams","84",IF(R251="Coastal Areas","76",IF(R251="Meadows Dry Open","96", IF(R251="Forest &amp; Understory","90", IF(R251="Moist Open","88", IF(R251="Moist Shady","82", IF(R251="Sub-Alpine Slopes","80")))))))</f>
        <v>82</v>
      </c>
      <c r="W251" s="59">
        <v>20</v>
      </c>
      <c r="X251" s="59">
        <v>0</v>
      </c>
      <c r="Y251" s="59">
        <v>3500</v>
      </c>
      <c r="Z251" s="59" t="s">
        <v>2519</v>
      </c>
      <c r="AA251" s="59" t="s">
        <v>2518</v>
      </c>
      <c r="AB251" s="59">
        <v>6.8</v>
      </c>
      <c r="AC251" s="45">
        <f>C251+AK251+(0.1)*AL251</f>
        <v>18</v>
      </c>
      <c r="AD251" s="77">
        <v>54</v>
      </c>
      <c r="AE251" s="59">
        <v>5</v>
      </c>
      <c r="AF251" s="59">
        <v>5</v>
      </c>
      <c r="AG251" s="59">
        <v>1900</v>
      </c>
      <c r="AH251" s="77">
        <v>0</v>
      </c>
      <c r="AI251" s="59">
        <f ca="1">AJ251</f>
        <v>2019</v>
      </c>
      <c r="AJ251" s="18">
        <f ca="1">YEAR(TODAY())</f>
        <v>2019</v>
      </c>
      <c r="AK251" s="18">
        <v>10</v>
      </c>
      <c r="AL251" s="18">
        <v>0</v>
      </c>
      <c r="AM251" s="18">
        <v>1</v>
      </c>
      <c r="AN251" s="18">
        <v>1</v>
      </c>
      <c r="AO251" s="25">
        <v>0</v>
      </c>
      <c r="AP251" s="24">
        <v>0</v>
      </c>
      <c r="AQ251" s="18">
        <v>0</v>
      </c>
      <c r="AR251" s="18">
        <v>0</v>
      </c>
      <c r="AS251" s="18">
        <v>0</v>
      </c>
      <c r="AT251" s="18">
        <v>0</v>
      </c>
      <c r="AU251" s="18">
        <v>0</v>
      </c>
      <c r="AV251" s="18">
        <v>0</v>
      </c>
      <c r="AW251" s="18">
        <v>0</v>
      </c>
      <c r="AX251" s="18">
        <v>0</v>
      </c>
      <c r="AY251" s="233"/>
      <c r="AZ251" s="4"/>
      <c r="BA251" s="35" t="str">
        <f ca="1">IF(OR(S251="North America",S251="Rocky Mountain"), "Widespread",BC251)</f>
        <v>Abundant</v>
      </c>
      <c r="BB251" s="4"/>
      <c r="BC251" s="35" t="str">
        <f ca="1">IF(BE251&gt;2046, "Abundant",BE251)</f>
        <v>Abundant</v>
      </c>
      <c r="BD251" s="4"/>
      <c r="BE251" s="81">
        <f ca="1">YEAR($C$13)+(BG251*80)</f>
        <v>2102.2113682709446</v>
      </c>
      <c r="BF251" s="4"/>
      <c r="BG251" s="137">
        <f ca="1">BH251*$BH$14</f>
        <v>1.0401421033868095</v>
      </c>
      <c r="BH251" s="137">
        <f ca="1">(((BJ251+BK251+BM251+BN251)/4)*$BM$11)+(((BP251+BQ251)/2)*$BQ$11)+(((BU251+BV251+BW251)/3)*$BU$11)+(((BY251+BZ251+CA251+CB251+CC251)/5)*$CA$11)</f>
        <v>1.0401421033868095</v>
      </c>
      <c r="BI251" s="4"/>
      <c r="BJ251" s="33">
        <f>AP251/(AM251+AO251)</f>
        <v>0</v>
      </c>
      <c r="BK251" s="33">
        <f>(AN251+AO251)/(AM251+AO251)</f>
        <v>1</v>
      </c>
      <c r="BL251" s="4"/>
      <c r="BM251" s="127">
        <f>CF251/102</f>
        <v>0.17647058823529413</v>
      </c>
      <c r="BN251" s="127">
        <f>C251/2</f>
        <v>4</v>
      </c>
      <c r="BO251" s="4"/>
      <c r="BP251" s="127">
        <f>(AK251)/($AW$6)</f>
        <v>0.10101010101010101</v>
      </c>
      <c r="BQ251" s="127">
        <f ca="1">(CH251-$AW$4)/((YEAR($C$13))-$AW$4)</f>
        <v>1</v>
      </c>
      <c r="BR251" s="127">
        <f>(AL251)/($AW$6)</f>
        <v>0</v>
      </c>
      <c r="BS251" s="4"/>
      <c r="BT251" s="127"/>
      <c r="BU251" s="127">
        <f ca="1">(CG251-$AW$4)/((YEAR($C$13))-$AW$4)</f>
        <v>1</v>
      </c>
      <c r="BV251" s="127">
        <f>AE251/5</f>
        <v>1</v>
      </c>
      <c r="BW251" s="127">
        <f>AF251/5</f>
        <v>1</v>
      </c>
      <c r="BX251" s="4"/>
      <c r="BY251" s="148" t="str">
        <f>IF(E251="A",".98",IF(E251="B",".99",IF(E251="C","1.00",IF(E251="D","1.00" ))))</f>
        <v>1.00</v>
      </c>
      <c r="BZ251" s="127">
        <f>(CE251+7)/10</f>
        <v>1</v>
      </c>
      <c r="CA251" s="76" t="str">
        <f>IF(D251="Fern",".97",IF(D251="Grass",".99",IF(D251="Herb",".97",IF(D251="Shrub",".99",IF(D251="Tree","1.00",IF(D251="Vine",".98"))))))</f>
        <v>.97</v>
      </c>
      <c r="CB251" s="149" t="str">
        <f>IF(R251="Bogs Ponds Streams",".96", IF(R251="Coastal Areas",".97",IF(R251="Meadows Dry Open",".96",IF(R251="Forest &amp; Understory",".97",IF(R251="Moist Open",".98",IF(R251="Moist Shady",".96",IF(R251="Sub-Alpine","1.0")))))))</f>
        <v>.96</v>
      </c>
      <c r="CC251" s="76" t="str">
        <f>IF(S251="Local Endemic",".50",IF(S251="Regional Endemic",".70",IF(S251="Cascadia",".90",IF(S251="Rocky Mountain",".95",IF(S251="North America",".99")))))</f>
        <v>.70</v>
      </c>
      <c r="CD251" s="4"/>
      <c r="CE251" s="21">
        <f>IF(W251&gt;3,3,W251)</f>
        <v>3</v>
      </c>
      <c r="CF251" s="21">
        <f>IF(AC251&gt;102,102,AC251)</f>
        <v>18</v>
      </c>
      <c r="CG251" s="34">
        <f ca="1">IF(AI251&lt;$AW$4,$AW$4,AI251)</f>
        <v>2019</v>
      </c>
      <c r="CH251" s="34">
        <f ca="1">IF(AJ251&lt;$AW$4,$AW$4,AJ251)</f>
        <v>2019</v>
      </c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12"/>
    </row>
    <row r="252" spans="1:115" s="13" customFormat="1" ht="15" customHeight="1" x14ac:dyDescent="0.3">
      <c r="A252" s="235"/>
      <c r="B252" s="218"/>
      <c r="C252" s="225">
        <v>8</v>
      </c>
      <c r="D252" s="59" t="s">
        <v>2506</v>
      </c>
      <c r="E252" s="60" t="s">
        <v>2501</v>
      </c>
      <c r="F252" s="397" t="str">
        <f ca="1">IF(BC252&lt;2025, "Extinct&lt; 6Yrs?",BA252)</f>
        <v>Widespread</v>
      </c>
      <c r="G252" s="363" t="s">
        <v>525</v>
      </c>
      <c r="H252" s="363" t="s">
        <v>689</v>
      </c>
      <c r="I252" s="366" t="s">
        <v>931</v>
      </c>
      <c r="J252" s="365" t="s">
        <v>3291</v>
      </c>
      <c r="K252" s="365" t="s">
        <v>930</v>
      </c>
      <c r="L252" s="10" t="s">
        <v>1951</v>
      </c>
      <c r="M252" s="8" t="s">
        <v>4331</v>
      </c>
      <c r="N252" s="8" t="s">
        <v>5225</v>
      </c>
      <c r="O252" s="8" t="s">
        <v>6123</v>
      </c>
      <c r="P252" s="9" t="s">
        <v>543</v>
      </c>
      <c r="Q252" s="59" t="s">
        <v>2552</v>
      </c>
      <c r="R252" s="9" t="s">
        <v>2497</v>
      </c>
      <c r="S252" s="9" t="s">
        <v>2495</v>
      </c>
      <c r="T252" s="123" t="str">
        <f>IF(R252="Bogs Ponds Streams","20",IF(R252="Coastal Areas","26",IF(R252="Meadows Dry Open","10",IF(R252="Forest &amp; Understory","14",IF(R252="Moist Open","12",IF(R252="Moist Shady","10",IF(R252="Sub-Alpine Slopes","0")))))))</f>
        <v>12</v>
      </c>
      <c r="U252" s="123" t="str">
        <f>IF(R252="Bogs Ponds Streams","52",IF(R252="Coastal Areas","51",IF(R252="Meadows Dry Open","53",IF(R252="Forest &amp; Understory","52",IF(R252="Moist Open","50",IF(R252="Moist Shady","46",IF(R252="Sub-Alpine Slopes","40")))))))</f>
        <v>50</v>
      </c>
      <c r="V252" s="123" t="str">
        <f>IF(R252="Bogs Ponds Streams","84",IF(R252="Coastal Areas","76",IF(R252="Meadows Dry Open","96", IF(R252="Forest &amp; Understory","90", IF(R252="Moist Open","88", IF(R252="Moist Shady","82", IF(R252="Sub-Alpine Slopes","80")))))))</f>
        <v>88</v>
      </c>
      <c r="W252" s="59">
        <v>20</v>
      </c>
      <c r="X252" s="59">
        <v>0</v>
      </c>
      <c r="Y252" s="59">
        <v>3500</v>
      </c>
      <c r="Z252" s="59" t="s">
        <v>2519</v>
      </c>
      <c r="AA252" s="59" t="s">
        <v>2518</v>
      </c>
      <c r="AB252" s="59">
        <v>6.8</v>
      </c>
      <c r="AC252" s="45">
        <f>C252+AK252+(0.1)*AL252</f>
        <v>41.2</v>
      </c>
      <c r="AD252" s="77">
        <v>97</v>
      </c>
      <c r="AE252" s="59">
        <v>5</v>
      </c>
      <c r="AF252" s="59">
        <v>5</v>
      </c>
      <c r="AG252" s="59">
        <v>1900</v>
      </c>
      <c r="AH252" s="77">
        <v>0</v>
      </c>
      <c r="AI252" s="59">
        <f ca="1">AJ252</f>
        <v>2019</v>
      </c>
      <c r="AJ252" s="18">
        <f ca="1">YEAR(TODAY())</f>
        <v>2019</v>
      </c>
      <c r="AK252" s="18">
        <v>33</v>
      </c>
      <c r="AL252" s="18">
        <v>2</v>
      </c>
      <c r="AM252" s="18">
        <v>1</v>
      </c>
      <c r="AN252" s="18">
        <v>1</v>
      </c>
      <c r="AO252" s="18">
        <v>5</v>
      </c>
      <c r="AP252" s="18">
        <v>1</v>
      </c>
      <c r="AQ252" s="18">
        <v>0</v>
      </c>
      <c r="AR252" s="18">
        <v>0</v>
      </c>
      <c r="AS252" s="18">
        <v>0</v>
      </c>
      <c r="AT252" s="18">
        <v>0</v>
      </c>
      <c r="AU252" s="18">
        <v>0</v>
      </c>
      <c r="AV252" s="18">
        <v>0</v>
      </c>
      <c r="AW252" s="18">
        <v>0</v>
      </c>
      <c r="AX252" s="18">
        <v>0</v>
      </c>
      <c r="AY252" s="233"/>
      <c r="AZ252" s="4"/>
      <c r="BA252" s="35" t="str">
        <f>IF(OR(S252="North America",S252="Rocky Mountain"), "Widespread",BC252)</f>
        <v>Widespread</v>
      </c>
      <c r="BB252" s="4"/>
      <c r="BC252" s="35" t="str">
        <f ca="1">IF(BE252&gt;2046, "Abundant",BE252)</f>
        <v>Abundant</v>
      </c>
      <c r="BD252" s="4"/>
      <c r="BE252" s="81">
        <f ca="1">YEAR($C$13)+(BG252*80)</f>
        <v>2109.8342588235296</v>
      </c>
      <c r="BF252" s="4"/>
      <c r="BG252" s="137">
        <f ca="1">BH252*$BH$14</f>
        <v>1.1354282352941178</v>
      </c>
      <c r="BH252" s="137">
        <f ca="1">(((BJ252+BK252+BM252+BN252)/4)*$BM$11)+(((BP252+BQ252)/2)*$BQ$11)+(((BU252+BV252+BW252)/3)*$BU$11)+(((BY252+BZ252+CA252+CB252+CC252)/5)*$CA$11)</f>
        <v>1.1354282352941178</v>
      </c>
      <c r="BI252" s="4"/>
      <c r="BJ252" s="33">
        <f>AP252/(AM252+AO252)</f>
        <v>0.16666666666666666</v>
      </c>
      <c r="BK252" s="33">
        <f>(AN252+AO252)/(AM252+AO252)</f>
        <v>1</v>
      </c>
      <c r="BL252" s="4"/>
      <c r="BM252" s="127">
        <f>CF252/102</f>
        <v>0.40392156862745099</v>
      </c>
      <c r="BN252" s="127">
        <f>C252/2</f>
        <v>4</v>
      </c>
      <c r="BO252" s="4"/>
      <c r="BP252" s="127">
        <f>(AK252)/($AW$6)</f>
        <v>0.33333333333333331</v>
      </c>
      <c r="BQ252" s="127">
        <f ca="1">(CH252-$AW$4)/((YEAR($C$13))-$AW$4)</f>
        <v>1</v>
      </c>
      <c r="BR252" s="127">
        <f>(AL252)/($AW$6)</f>
        <v>2.0202020202020204E-2</v>
      </c>
      <c r="BS252" s="4"/>
      <c r="BT252" s="127"/>
      <c r="BU252" s="127">
        <f ca="1">(CG252-$AW$4)/((YEAR($C$13))-$AW$4)</f>
        <v>1</v>
      </c>
      <c r="BV252" s="127">
        <f>AE252/5</f>
        <v>1</v>
      </c>
      <c r="BW252" s="127">
        <f>AF252/5</f>
        <v>1</v>
      </c>
      <c r="BX252" s="4"/>
      <c r="BY252" s="148" t="str">
        <f>IF(E252="A",".98",IF(E252="B",".99",IF(E252="C","1.00",IF(E252="D","1.00" ))))</f>
        <v>1.00</v>
      </c>
      <c r="BZ252" s="127">
        <f>(CE252+7)/10</f>
        <v>1</v>
      </c>
      <c r="CA252" s="76" t="str">
        <f>IF(D252="Fern",".97",IF(D252="Grass",".99",IF(D252="Herb",".97",IF(D252="Shrub",".99",IF(D252="Tree","1.00",IF(D252="Vine",".98"))))))</f>
        <v>.99</v>
      </c>
      <c r="CB252" s="149" t="str">
        <f>IF(R252="Bogs Ponds Streams",".96", IF(R252="Coastal Areas",".97",IF(R252="Meadows Dry Open",".96",IF(R252="Forest &amp; Understory",".97",IF(R252="Moist Open",".98",IF(R252="Moist Shady",".96",IF(R252="Sub-Alpine","1.0")))))))</f>
        <v>.98</v>
      </c>
      <c r="CC252" s="76" t="str">
        <f>IF(S252="Local Endemic",".50",IF(S252="Regional Endemic",".70",IF(S252="Cascadia",".90",IF(S252="Rocky Mountain",".95",IF(S252="North America",".99")))))</f>
        <v>.99</v>
      </c>
      <c r="CD252" s="4"/>
      <c r="CE252" s="21">
        <f>IF(W252&gt;3,3,W252)</f>
        <v>3</v>
      </c>
      <c r="CF252" s="21">
        <f>IF(AC252&gt;102,102,AC252)</f>
        <v>41.2</v>
      </c>
      <c r="CG252" s="34">
        <f ca="1">IF(AI252&lt;$AW$4,$AW$4,AI252)</f>
        <v>2019</v>
      </c>
      <c r="CH252" s="34">
        <f ca="1">IF(AJ252&lt;$AW$4,$AW$4,AJ252)</f>
        <v>2019</v>
      </c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12"/>
    </row>
    <row r="253" spans="1:115" s="13" customFormat="1" ht="15" customHeight="1" x14ac:dyDescent="0.3">
      <c r="A253" s="235"/>
      <c r="B253" s="218"/>
      <c r="C253" s="375">
        <v>1</v>
      </c>
      <c r="D253" s="67" t="s">
        <v>2505</v>
      </c>
      <c r="E253" s="67" t="s">
        <v>2502</v>
      </c>
      <c r="F253" s="403" t="str">
        <f ca="1">IF(BC253&lt;2025, "Extinct&lt; 6Yrs?",BA253)</f>
        <v>Widespread</v>
      </c>
      <c r="G253" s="376" t="s">
        <v>525</v>
      </c>
      <c r="H253" s="376" t="s">
        <v>4028</v>
      </c>
      <c r="I253" s="380" t="s">
        <v>191</v>
      </c>
      <c r="J253" s="378" t="s">
        <v>3631</v>
      </c>
      <c r="K253" s="378" t="s">
        <v>190</v>
      </c>
      <c r="L253" s="63" t="s">
        <v>1950</v>
      </c>
      <c r="M253" s="64" t="s">
        <v>4332</v>
      </c>
      <c r="N253" s="64" t="s">
        <v>5226</v>
      </c>
      <c r="O253" s="64" t="s">
        <v>6124</v>
      </c>
      <c r="P253" s="61" t="s">
        <v>192</v>
      </c>
      <c r="Q253" s="67" t="s">
        <v>2552</v>
      </c>
      <c r="R253" s="61" t="s">
        <v>2498</v>
      </c>
      <c r="S253" s="61" t="s">
        <v>2495</v>
      </c>
      <c r="T253" s="134" t="str">
        <f>IF(R253="Bogs Ponds Streams","20",IF(R253="Coastal Areas","26",IF(R253="Meadows Dry Open","10",IF(R253="Forest &amp; Understory","14",IF(R253="Moist Open","12",IF(R253="Moist Shady","10",IF(R253="Sub-Alpine Slopes","0")))))))</f>
        <v>10</v>
      </c>
      <c r="U253" s="134" t="str">
        <f>IF(R253="Bogs Ponds Streams","52",IF(R253="Coastal Areas","51",IF(R253="Meadows Dry Open","53",IF(R253="Forest &amp; Understory","52",IF(R253="Moist Open","50",IF(R253="Moist Shady","46",IF(R253="Sub-Alpine Slopes","40")))))))</f>
        <v>46</v>
      </c>
      <c r="V253" s="134" t="str">
        <f>IF(R253="Bogs Ponds Streams","84",IF(R253="Coastal Areas","76",IF(R253="Meadows Dry Open","96", IF(R253="Forest &amp; Understory","90", IF(R253="Moist Open","88", IF(R253="Moist Shady","82", IF(R253="Sub-Alpine Slopes","80")))))))</f>
        <v>82</v>
      </c>
      <c r="W253" s="67">
        <v>1</v>
      </c>
      <c r="X253" s="67">
        <v>0</v>
      </c>
      <c r="Y253" s="67">
        <v>3500</v>
      </c>
      <c r="Z253" s="67" t="s">
        <v>2519</v>
      </c>
      <c r="AA253" s="67" t="s">
        <v>2518</v>
      </c>
      <c r="AB253" s="67">
        <v>6.8</v>
      </c>
      <c r="AC253" s="85">
        <f>C253+AK253+(0.1)*AL253</f>
        <v>14.2</v>
      </c>
      <c r="AD253" s="78">
        <v>41</v>
      </c>
      <c r="AE253" s="67">
        <v>5</v>
      </c>
      <c r="AF253" s="67">
        <v>5</v>
      </c>
      <c r="AG253" s="67">
        <v>1900</v>
      </c>
      <c r="AH253" s="78">
        <v>0</v>
      </c>
      <c r="AI253" s="67">
        <f>AJ253</f>
        <v>2007</v>
      </c>
      <c r="AJ253" s="69">
        <v>2007</v>
      </c>
      <c r="AK253" s="69">
        <v>12</v>
      </c>
      <c r="AL253" s="69">
        <v>12</v>
      </c>
      <c r="AM253" s="70">
        <v>5</v>
      </c>
      <c r="AN253" s="70">
        <v>0</v>
      </c>
      <c r="AO253" s="86">
        <v>0</v>
      </c>
      <c r="AP253" s="70">
        <v>0</v>
      </c>
      <c r="AQ253" s="70">
        <v>0</v>
      </c>
      <c r="AR253" s="70">
        <v>0</v>
      </c>
      <c r="AS253" s="86">
        <v>0</v>
      </c>
      <c r="AT253" s="70">
        <v>0</v>
      </c>
      <c r="AU253" s="70">
        <v>0</v>
      </c>
      <c r="AV253" s="70">
        <v>0</v>
      </c>
      <c r="AW253" s="86">
        <v>0</v>
      </c>
      <c r="AX253" s="70">
        <v>0</v>
      </c>
      <c r="AY253" s="233"/>
      <c r="AZ253" s="4"/>
      <c r="BA253" s="35" t="str">
        <f>IF(OR(S253="North America",S253="Rocky Mountain"), "Widespread",BC253)</f>
        <v>Widespread</v>
      </c>
      <c r="BB253" s="4"/>
      <c r="BC253" s="35">
        <f ca="1">IF(BE253&gt;2046, "Abundant",BE253)</f>
        <v>2036.7224670231728</v>
      </c>
      <c r="BD253" s="4"/>
      <c r="BE253" s="81">
        <f ca="1">YEAR($C$13)+(BG253*80)</f>
        <v>2036.7224670231728</v>
      </c>
      <c r="BF253" s="4"/>
      <c r="BG253" s="137">
        <f ca="1">BH253*$BH$14</f>
        <v>0.22153083778966132</v>
      </c>
      <c r="BH253" s="137">
        <f ca="1">(((BJ253+BK253+BM253+BN253)/4)*$BM$11)+(((BP253+BQ253)/2)*$BQ$11)+(((BU253+BV253+BW253)/3)*$BU$11)+(((BY253+BZ253+CA253+CB253+CC253)/5)*$CA$11)</f>
        <v>0.22153083778966132</v>
      </c>
      <c r="BI253" s="4"/>
      <c r="BJ253" s="33">
        <f>AP253/(AM253+AO253)</f>
        <v>0</v>
      </c>
      <c r="BK253" s="33">
        <f>(AN253+AO253)/(AM253+AO253)</f>
        <v>0</v>
      </c>
      <c r="BL253" s="4"/>
      <c r="BM253" s="127">
        <f>CF253/102</f>
        <v>0.13921568627450981</v>
      </c>
      <c r="BN253" s="127">
        <f>C253/2</f>
        <v>0.5</v>
      </c>
      <c r="BO253" s="4"/>
      <c r="BP253" s="127">
        <f>(AK253)/($AW$6)</f>
        <v>0.12121212121212122</v>
      </c>
      <c r="BQ253" s="127">
        <f ca="1">(CH253-$AW$4)/((YEAR($C$13))-$AW$4)</f>
        <v>0.2</v>
      </c>
      <c r="BR253" s="127">
        <f>(AL253)/($AW$6)</f>
        <v>0.12121212121212122</v>
      </c>
      <c r="BS253" s="4"/>
      <c r="BT253" s="127"/>
      <c r="BU253" s="127">
        <f ca="1">(CG253-$AW$4)/((YEAR($C$13))-$AW$4)</f>
        <v>0.2</v>
      </c>
      <c r="BV253" s="127">
        <f>AE253/5</f>
        <v>1</v>
      </c>
      <c r="BW253" s="127">
        <f>AF253/5</f>
        <v>1</v>
      </c>
      <c r="BX253" s="4"/>
      <c r="BY253" s="148" t="str">
        <f>IF(E253="A",".98",IF(E253="B",".99",IF(E253="C","1.00",IF(E253="D","1.00" ))))</f>
        <v>.98</v>
      </c>
      <c r="BZ253" s="127">
        <f>(CE253+7)/10</f>
        <v>0.8</v>
      </c>
      <c r="CA253" s="76" t="str">
        <f>IF(D253="Fern",".97",IF(D253="Grass",".99",IF(D253="Herb",".97",IF(D253="Shrub",".99",IF(D253="Tree","1.00",IF(D253="Vine",".98"))))))</f>
        <v>.97</v>
      </c>
      <c r="CB253" s="149" t="str">
        <f>IF(R253="Bogs Ponds Streams",".96", IF(R253="Coastal Areas",".97",IF(R253="Meadows Dry Open",".96",IF(R253="Forest &amp; Understory",".97",IF(R253="Moist Open",".98",IF(R253="Moist Shady",".96",IF(R253="Sub-Alpine","1.0")))))))</f>
        <v>.96</v>
      </c>
      <c r="CC253" s="76" t="str">
        <f>IF(S253="Local Endemic",".50",IF(S253="Regional Endemic",".70",IF(S253="Cascadia",".90",IF(S253="Rocky Mountain",".95",IF(S253="North America",".99")))))</f>
        <v>.99</v>
      </c>
      <c r="CD253" s="4"/>
      <c r="CE253" s="21">
        <f>IF(W253&gt;3,3,W253)</f>
        <v>1</v>
      </c>
      <c r="CF253" s="21">
        <f>IF(AC253&gt;102,102,AC253)</f>
        <v>14.2</v>
      </c>
      <c r="CG253" s="34">
        <f>IF(AI253&lt;$AW$4,$AW$4,AI253)</f>
        <v>2007</v>
      </c>
      <c r="CH253" s="34">
        <f>IF(AJ253&lt;$AW$4,$AW$4,AJ253)</f>
        <v>2007</v>
      </c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12"/>
    </row>
    <row r="254" spans="1:115" s="13" customFormat="1" ht="15" customHeight="1" x14ac:dyDescent="0.3">
      <c r="A254" s="235"/>
      <c r="B254" s="218"/>
      <c r="C254" s="375">
        <v>1</v>
      </c>
      <c r="D254" s="67" t="s">
        <v>2505</v>
      </c>
      <c r="E254" s="67" t="s">
        <v>2502</v>
      </c>
      <c r="F254" s="403">
        <f ca="1">IF(BC254&lt;2025, "Extinct&lt; 6Yrs?",BA254)</f>
        <v>2036.4681801544859</v>
      </c>
      <c r="G254" s="376" t="s">
        <v>525</v>
      </c>
      <c r="H254" s="376" t="s">
        <v>4028</v>
      </c>
      <c r="I254" s="380" t="s">
        <v>3151</v>
      </c>
      <c r="J254" s="378" t="s">
        <v>3630</v>
      </c>
      <c r="K254" s="378" t="s">
        <v>932</v>
      </c>
      <c r="L254" s="63" t="s">
        <v>1949</v>
      </c>
      <c r="M254" s="64" t="s">
        <v>4333</v>
      </c>
      <c r="N254" s="64" t="s">
        <v>5227</v>
      </c>
      <c r="O254" s="64" t="s">
        <v>6125</v>
      </c>
      <c r="P254" s="61" t="s">
        <v>192</v>
      </c>
      <c r="Q254" s="67" t="s">
        <v>2552</v>
      </c>
      <c r="R254" s="61" t="s">
        <v>2453</v>
      </c>
      <c r="S254" s="62" t="s">
        <v>2459</v>
      </c>
      <c r="T254" s="134" t="str">
        <f>IF(R254="Bogs Ponds Streams","20",IF(R254="Coastal Areas","26",IF(R254="Meadows Dry Open","10",IF(R254="Forest &amp; Understory","14",IF(R254="Moist Open","12",IF(R254="Moist Shady","10",IF(R254="Sub-Alpine Slopes","0")))))))</f>
        <v>26</v>
      </c>
      <c r="U254" s="134" t="str">
        <f>IF(R254="Bogs Ponds Streams","52",IF(R254="Coastal Areas","51",IF(R254="Meadows Dry Open","53",IF(R254="Forest &amp; Understory","52",IF(R254="Moist Open","50",IF(R254="Moist Shady","46",IF(R254="Sub-Alpine Slopes","40")))))))</f>
        <v>51</v>
      </c>
      <c r="V254" s="134" t="str">
        <f>IF(R254="Bogs Ponds Streams","84",IF(R254="Coastal Areas","76",IF(R254="Meadows Dry Open","96", IF(R254="Forest &amp; Understory","90", IF(R254="Moist Open","88", IF(R254="Moist Shady","82", IF(R254="Sub-Alpine Slopes","80")))))))</f>
        <v>76</v>
      </c>
      <c r="W254" s="67">
        <v>1</v>
      </c>
      <c r="X254" s="67">
        <v>0</v>
      </c>
      <c r="Y254" s="67">
        <v>3500</v>
      </c>
      <c r="Z254" s="67" t="s">
        <v>2519</v>
      </c>
      <c r="AA254" s="67" t="s">
        <v>2518</v>
      </c>
      <c r="AB254" s="67">
        <v>6.8</v>
      </c>
      <c r="AC254" s="85">
        <f>C254+AK254+(0.1)*AL254</f>
        <v>4</v>
      </c>
      <c r="AD254" s="78">
        <v>8</v>
      </c>
      <c r="AE254" s="67">
        <v>1</v>
      </c>
      <c r="AF254" s="67">
        <v>5</v>
      </c>
      <c r="AG254" s="67">
        <v>1900</v>
      </c>
      <c r="AH254" s="78">
        <v>0</v>
      </c>
      <c r="AI254" s="67">
        <f>AJ254</f>
        <v>2011</v>
      </c>
      <c r="AJ254" s="69">
        <v>2011</v>
      </c>
      <c r="AK254" s="69">
        <v>3</v>
      </c>
      <c r="AL254" s="69">
        <v>0</v>
      </c>
      <c r="AM254" s="70">
        <v>5</v>
      </c>
      <c r="AN254" s="70">
        <v>0</v>
      </c>
      <c r="AO254" s="86">
        <v>0</v>
      </c>
      <c r="AP254" s="70">
        <v>0</v>
      </c>
      <c r="AQ254" s="70">
        <v>0</v>
      </c>
      <c r="AR254" s="70">
        <v>0</v>
      </c>
      <c r="AS254" s="86">
        <v>0</v>
      </c>
      <c r="AT254" s="70">
        <v>0</v>
      </c>
      <c r="AU254" s="70">
        <v>0</v>
      </c>
      <c r="AV254" s="70">
        <v>0</v>
      </c>
      <c r="AW254" s="86">
        <v>0</v>
      </c>
      <c r="AX254" s="70">
        <v>0</v>
      </c>
      <c r="AY254" s="233"/>
      <c r="AZ254" s="4"/>
      <c r="BA254" s="35">
        <f ca="1">IF(OR(S254="North America",S254="Rocky Mountain"), "Widespread",BC254)</f>
        <v>2036.4681801544859</v>
      </c>
      <c r="BB254" s="4"/>
      <c r="BC254" s="35">
        <f ca="1">IF(BE254&gt;2046, "Abundant",BE254)</f>
        <v>2036.4681801544859</v>
      </c>
      <c r="BD254" s="4"/>
      <c r="BE254" s="81">
        <f ca="1">YEAR($C$13)+(BG254*80)</f>
        <v>2036.4681801544859</v>
      </c>
      <c r="BF254" s="4"/>
      <c r="BG254" s="137">
        <f ca="1">BH254*$BH$14</f>
        <v>0.21835225193107544</v>
      </c>
      <c r="BH254" s="137">
        <f ca="1">(((BJ254+BK254+BM254+BN254)/4)*$BM$11)+(((BP254+BQ254)/2)*$BQ$11)+(((BU254+BV254+BW254)/3)*$BU$11)+(((BY254+BZ254+CA254+CB254+CC254)/5)*$CA$11)</f>
        <v>0.21835225193107544</v>
      </c>
      <c r="BI254" s="4"/>
      <c r="BJ254" s="33">
        <f>AP254/(AM254+AO254)</f>
        <v>0</v>
      </c>
      <c r="BK254" s="33">
        <f>(AN254+AO254)/(AM254+AO254)</f>
        <v>0</v>
      </c>
      <c r="BL254" s="4"/>
      <c r="BM254" s="127">
        <f>CF254/102</f>
        <v>3.9215686274509803E-2</v>
      </c>
      <c r="BN254" s="127">
        <f>C254/2</f>
        <v>0.5</v>
      </c>
      <c r="BO254" s="4"/>
      <c r="BP254" s="127">
        <f>(AK254)/($AW$6)</f>
        <v>3.0303030303030304E-2</v>
      </c>
      <c r="BQ254" s="127">
        <f ca="1">(CH254-$AW$4)/((YEAR($C$13))-$AW$4)</f>
        <v>0.46666666666666667</v>
      </c>
      <c r="BR254" s="127">
        <f>(AL254)/($AW$6)</f>
        <v>0</v>
      </c>
      <c r="BS254" s="4"/>
      <c r="BT254" s="127"/>
      <c r="BU254" s="127">
        <f ca="1">(CG254-$AW$4)/((YEAR($C$13))-$AW$4)</f>
        <v>0.46666666666666667</v>
      </c>
      <c r="BV254" s="127">
        <f>AE254/5</f>
        <v>0.2</v>
      </c>
      <c r="BW254" s="127">
        <f>AF254/5</f>
        <v>1</v>
      </c>
      <c r="BX254" s="4"/>
      <c r="BY254" s="148" t="str">
        <f>IF(E254="A",".98",IF(E254="B",".99",IF(E254="C","1.00",IF(E254="D","1.00" ))))</f>
        <v>.98</v>
      </c>
      <c r="BZ254" s="127">
        <f>(CE254+7)/10</f>
        <v>0.8</v>
      </c>
      <c r="CA254" s="76" t="str">
        <f>IF(D254="Fern",".97",IF(D254="Grass",".99",IF(D254="Herb",".97",IF(D254="Shrub",".99",IF(D254="Tree","1.00",IF(D254="Vine",".98"))))))</f>
        <v>.97</v>
      </c>
      <c r="CB254" s="149" t="str">
        <f>IF(R254="Bogs Ponds Streams",".96", IF(R254="Coastal Areas",".97",IF(R254="Meadows Dry Open",".96",IF(R254="Forest &amp; Understory",".97",IF(R254="Moist Open",".98",IF(R254="Moist Shady",".96",IF(R254="Sub-Alpine","1.0")))))))</f>
        <v>.97</v>
      </c>
      <c r="CC254" s="76" t="str">
        <f>IF(S254="Local Endemic",".50",IF(S254="Regional Endemic",".70",IF(S254="Cascadia",".90",IF(S254="Rocky Mountain",".95",IF(S254="North America",".99")))))</f>
        <v>.90</v>
      </c>
      <c r="CD254" s="4"/>
      <c r="CE254" s="21">
        <f>IF(W254&gt;3,3,W254)</f>
        <v>1</v>
      </c>
      <c r="CF254" s="21">
        <f>IF(AC254&gt;102,102,AC254)</f>
        <v>4</v>
      </c>
      <c r="CG254" s="34">
        <f>IF(AI254&lt;$AW$4,$AW$4,AI254)</f>
        <v>2011</v>
      </c>
      <c r="CH254" s="34">
        <f>IF(AJ254&lt;$AW$4,$AW$4,AJ254)</f>
        <v>2011</v>
      </c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12"/>
    </row>
    <row r="255" spans="1:115" s="13" customFormat="1" ht="15" customHeight="1" x14ac:dyDescent="0.3">
      <c r="A255" s="235"/>
      <c r="B255" s="218"/>
      <c r="C255" s="225">
        <v>8</v>
      </c>
      <c r="D255" s="59" t="s">
        <v>2507</v>
      </c>
      <c r="E255" s="59" t="s">
        <v>2501</v>
      </c>
      <c r="F255" s="397" t="str">
        <f ca="1">IF(BC255&lt;2025, "Extinct&lt; 6Yrs?",BA255)</f>
        <v>Widespread</v>
      </c>
      <c r="G255" s="363" t="s">
        <v>525</v>
      </c>
      <c r="H255" s="363" t="s">
        <v>687</v>
      </c>
      <c r="I255" s="366" t="s">
        <v>3052</v>
      </c>
      <c r="J255" s="365" t="s">
        <v>3292</v>
      </c>
      <c r="K255" s="365" t="s">
        <v>309</v>
      </c>
      <c r="L255" s="10" t="s">
        <v>1948</v>
      </c>
      <c r="M255" s="8" t="s">
        <v>4334</v>
      </c>
      <c r="N255" s="8" t="s">
        <v>5228</v>
      </c>
      <c r="O255" s="8" t="s">
        <v>6126</v>
      </c>
      <c r="P255" s="9" t="s">
        <v>303</v>
      </c>
      <c r="Q255" s="59" t="s">
        <v>2552</v>
      </c>
      <c r="R255" s="9" t="s">
        <v>2498</v>
      </c>
      <c r="S255" s="9" t="s">
        <v>2495</v>
      </c>
      <c r="T255" s="123" t="str">
        <f>IF(R255="Bogs Ponds Streams","20",IF(R255="Coastal Areas","26",IF(R255="Meadows Dry Open","10",IF(R255="Forest &amp; Understory","14",IF(R255="Moist Open","12",IF(R255="Moist Shady","10",IF(R255="Sub-Alpine Slopes","0")))))))</f>
        <v>10</v>
      </c>
      <c r="U255" s="123" t="str">
        <f>IF(R255="Bogs Ponds Streams","52",IF(R255="Coastal Areas","51",IF(R255="Meadows Dry Open","53",IF(R255="Forest &amp; Understory","52",IF(R255="Moist Open","50",IF(R255="Moist Shady","46",IF(R255="Sub-Alpine Slopes","40")))))))</f>
        <v>46</v>
      </c>
      <c r="V255" s="123" t="str">
        <f>IF(R255="Bogs Ponds Streams","84",IF(R255="Coastal Areas","76",IF(R255="Meadows Dry Open","96", IF(R255="Forest &amp; Understory","90", IF(R255="Moist Open","88", IF(R255="Moist Shady","82", IF(R255="Sub-Alpine Slopes","80")))))))</f>
        <v>82</v>
      </c>
      <c r="W255" s="59">
        <v>20</v>
      </c>
      <c r="X255" s="59">
        <v>0</v>
      </c>
      <c r="Y255" s="59">
        <v>3500</v>
      </c>
      <c r="Z255" s="59" t="s">
        <v>2519</v>
      </c>
      <c r="AA255" s="59" t="s">
        <v>2518</v>
      </c>
      <c r="AB255" s="59">
        <v>6.8</v>
      </c>
      <c r="AC255" s="45">
        <f>C255+AK255+(0.1)*AL255</f>
        <v>20.2</v>
      </c>
      <c r="AD255" s="77">
        <v>128</v>
      </c>
      <c r="AE255" s="59">
        <v>5</v>
      </c>
      <c r="AF255" s="59">
        <v>5</v>
      </c>
      <c r="AG255" s="59">
        <v>1900</v>
      </c>
      <c r="AH255" s="77">
        <v>0</v>
      </c>
      <c r="AI255" s="59">
        <f ca="1">AJ255</f>
        <v>2019</v>
      </c>
      <c r="AJ255" s="18">
        <f ca="1">YEAR(TODAY())</f>
        <v>2019</v>
      </c>
      <c r="AK255" s="18">
        <v>10</v>
      </c>
      <c r="AL255" s="18">
        <v>22</v>
      </c>
      <c r="AM255" s="18">
        <v>1</v>
      </c>
      <c r="AN255" s="18">
        <v>1</v>
      </c>
      <c r="AO255" s="18">
        <v>5</v>
      </c>
      <c r="AP255" s="18">
        <v>1</v>
      </c>
      <c r="AQ255" s="18">
        <v>0</v>
      </c>
      <c r="AR255" s="18">
        <v>0</v>
      </c>
      <c r="AS255" s="18">
        <v>0</v>
      </c>
      <c r="AT255" s="18">
        <v>0</v>
      </c>
      <c r="AU255" s="18">
        <v>0</v>
      </c>
      <c r="AV255" s="18">
        <v>0</v>
      </c>
      <c r="AW255" s="18">
        <v>0</v>
      </c>
      <c r="AX255" s="18">
        <v>0</v>
      </c>
      <c r="AY255" s="233"/>
      <c r="AZ255" s="4"/>
      <c r="BA255" s="35" t="str">
        <f>IF(OR(S255="North America",S255="Rocky Mountain"), "Widespread",BC255)</f>
        <v>Widespread</v>
      </c>
      <c r="BB255" s="4"/>
      <c r="BC255" s="35" t="str">
        <f ca="1">IF(BE255&gt;2046, "Abundant",BE255)</f>
        <v>Abundant</v>
      </c>
      <c r="BD255" s="4"/>
      <c r="BE255" s="81">
        <f ca="1">YEAR($C$13)+(BG255*80)</f>
        <v>2104.5725918003563</v>
      </c>
      <c r="BF255" s="4"/>
      <c r="BG255" s="137">
        <f ca="1">BH255*$BH$14</f>
        <v>1.0696573975044565</v>
      </c>
      <c r="BH255" s="137">
        <f ca="1">(((BJ255+BK255+BM255+BN255)/4)*$BM$11)+(((BP255+BQ255)/2)*$BQ$11)+(((BU255+BV255+BW255)/3)*$BU$11)+(((BY255+BZ255+CA255+CB255+CC255)/5)*$CA$11)</f>
        <v>1.0696573975044565</v>
      </c>
      <c r="BI255" s="4"/>
      <c r="BJ255" s="33">
        <f>AP255/(AM255+AO255)</f>
        <v>0.16666666666666666</v>
      </c>
      <c r="BK255" s="33">
        <f>(AN255+AO255)/(AM255+AO255)</f>
        <v>1</v>
      </c>
      <c r="BL255" s="4"/>
      <c r="BM255" s="127">
        <f>CF255/102</f>
        <v>0.1980392156862745</v>
      </c>
      <c r="BN255" s="127">
        <f>C255/2</f>
        <v>4</v>
      </c>
      <c r="BO255" s="4"/>
      <c r="BP255" s="127">
        <f>(AK255)/($AW$6)</f>
        <v>0.10101010101010101</v>
      </c>
      <c r="BQ255" s="127">
        <f ca="1">(CH255-$AW$4)/((YEAR($C$13))-$AW$4)</f>
        <v>1</v>
      </c>
      <c r="BR255" s="127">
        <f>(AL255)/($AW$6)</f>
        <v>0.22222222222222221</v>
      </c>
      <c r="BS255" s="4"/>
      <c r="BT255" s="127"/>
      <c r="BU255" s="127">
        <f ca="1">(CG255-$AW$4)/((YEAR($C$13))-$AW$4)</f>
        <v>1</v>
      </c>
      <c r="BV255" s="127">
        <f>AE255/5</f>
        <v>1</v>
      </c>
      <c r="BW255" s="127">
        <f>AF255/5</f>
        <v>1</v>
      </c>
      <c r="BX255" s="4"/>
      <c r="BY255" s="148" t="str">
        <f>IF(E255="A",".98",IF(E255="B",".99",IF(E255="C","1.00",IF(E255="D","1.00" ))))</f>
        <v>1.00</v>
      </c>
      <c r="BZ255" s="127">
        <f>(CE255+7)/10</f>
        <v>1</v>
      </c>
      <c r="CA255" s="76" t="str">
        <f>IF(D255="Fern",".97",IF(D255="Grass",".99",IF(D255="Herb",".97",IF(D255="Shrub",".99",IF(D255="Tree","1.00",IF(D255="Vine",".98"))))))</f>
        <v>1.00</v>
      </c>
      <c r="CB255" s="149" t="str">
        <f>IF(R255="Bogs Ponds Streams",".96", IF(R255="Coastal Areas",".97",IF(R255="Meadows Dry Open",".96",IF(R255="Forest &amp; Understory",".97",IF(R255="Moist Open",".98",IF(R255="Moist Shady",".96",IF(R255="Sub-Alpine","1.0")))))))</f>
        <v>.96</v>
      </c>
      <c r="CC255" s="76" t="str">
        <f>IF(S255="Local Endemic",".50",IF(S255="Regional Endemic",".70",IF(S255="Cascadia",".90",IF(S255="Rocky Mountain",".95",IF(S255="North America",".99")))))</f>
        <v>.99</v>
      </c>
      <c r="CD255" s="4"/>
      <c r="CE255" s="21">
        <f>IF(W255&gt;3,3,W255)</f>
        <v>3</v>
      </c>
      <c r="CF255" s="21">
        <f>IF(AC255&gt;102,102,AC255)</f>
        <v>20.2</v>
      </c>
      <c r="CG255" s="34">
        <f ca="1">IF(AI255&lt;$AW$4,$AW$4,AI255)</f>
        <v>2019</v>
      </c>
      <c r="CH255" s="34">
        <f ca="1">IF(AJ255&lt;$AW$4,$AW$4,AJ255)</f>
        <v>2019</v>
      </c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12"/>
    </row>
    <row r="256" spans="1:115" s="13" customFormat="1" ht="15" customHeight="1" x14ac:dyDescent="0.3">
      <c r="A256" s="235"/>
      <c r="B256" s="218"/>
      <c r="C256" s="226">
        <v>2</v>
      </c>
      <c r="D256" s="104" t="s">
        <v>2505</v>
      </c>
      <c r="E256" s="104" t="s">
        <v>2502</v>
      </c>
      <c r="F256" s="400">
        <f ca="1">IF(BC256&lt;2025, "Extinct&lt; 6Yrs?",BA256)</f>
        <v>2040.8420449197861</v>
      </c>
      <c r="G256" s="369" t="s">
        <v>525</v>
      </c>
      <c r="H256" s="369" t="s">
        <v>4028</v>
      </c>
      <c r="I256" s="370" t="s">
        <v>56</v>
      </c>
      <c r="J256" s="371" t="s">
        <v>3794</v>
      </c>
      <c r="K256" s="371" t="s">
        <v>933</v>
      </c>
      <c r="L256" s="106" t="s">
        <v>1947</v>
      </c>
      <c r="M256" s="111" t="s">
        <v>4335</v>
      </c>
      <c r="N256" s="111" t="s">
        <v>5229</v>
      </c>
      <c r="O256" s="111" t="s">
        <v>6127</v>
      </c>
      <c r="P256" s="105" t="s">
        <v>51</v>
      </c>
      <c r="Q256" s="104" t="s">
        <v>2552</v>
      </c>
      <c r="R256" s="105" t="s">
        <v>2500</v>
      </c>
      <c r="S256" s="105" t="s">
        <v>2459</v>
      </c>
      <c r="T256" s="133" t="str">
        <f>IF(R256="Bogs Ponds Streams","20",IF(R256="Coastal Areas","26",IF(R256="Meadows Dry Open","10",IF(R256="Forest &amp; Understory","14",IF(R256="Moist Open","12",IF(R256="Moist Shady","10",IF(R256="Sub-Alpine Slopes","0")))))))</f>
        <v>10</v>
      </c>
      <c r="U256" s="133" t="str">
        <f>IF(R256="Bogs Ponds Streams","52",IF(R256="Coastal Areas","51",IF(R256="Meadows Dry Open","53",IF(R256="Forest &amp; Understory","52",IF(R256="Moist Open","50",IF(R256="Moist Shady","46",IF(R256="Sub-Alpine Slopes","40")))))))</f>
        <v>53</v>
      </c>
      <c r="V256" s="133" t="str">
        <f>IF(R256="Bogs Ponds Streams","84",IF(R256="Coastal Areas","76",IF(R256="Meadows Dry Open","96", IF(R256="Forest &amp; Understory","90", IF(R256="Moist Open","88", IF(R256="Moist Shady","82", IF(R256="Sub-Alpine Slopes","80")))))))</f>
        <v>96</v>
      </c>
      <c r="W256" s="104">
        <v>1</v>
      </c>
      <c r="X256" s="104">
        <v>0</v>
      </c>
      <c r="Y256" s="104">
        <v>3500</v>
      </c>
      <c r="Z256" s="104" t="s">
        <v>2519</v>
      </c>
      <c r="AA256" s="104" t="s">
        <v>2518</v>
      </c>
      <c r="AB256" s="104">
        <v>6.8</v>
      </c>
      <c r="AC256" s="107">
        <f>C256+AK256+(0.1)*AL256</f>
        <v>9.3000000000000007</v>
      </c>
      <c r="AD256" s="113">
        <v>72</v>
      </c>
      <c r="AE256" s="104">
        <v>5</v>
      </c>
      <c r="AF256" s="104">
        <v>5</v>
      </c>
      <c r="AG256" s="104">
        <v>1900</v>
      </c>
      <c r="AH256" s="113">
        <v>0</v>
      </c>
      <c r="AI256" s="104">
        <f>AJ256</f>
        <v>2004</v>
      </c>
      <c r="AJ256" s="108">
        <v>2004</v>
      </c>
      <c r="AK256" s="108">
        <v>5</v>
      </c>
      <c r="AL256" s="108">
        <v>23</v>
      </c>
      <c r="AM256" s="109">
        <v>5</v>
      </c>
      <c r="AN256" s="109">
        <v>1</v>
      </c>
      <c r="AO256" s="110">
        <v>0</v>
      </c>
      <c r="AP256" s="109">
        <v>0</v>
      </c>
      <c r="AQ256" s="109">
        <v>0</v>
      </c>
      <c r="AR256" s="109">
        <v>0</v>
      </c>
      <c r="AS256" s="110">
        <v>0</v>
      </c>
      <c r="AT256" s="109">
        <v>0</v>
      </c>
      <c r="AU256" s="109">
        <v>0</v>
      </c>
      <c r="AV256" s="109">
        <v>0</v>
      </c>
      <c r="AW256" s="110">
        <v>0</v>
      </c>
      <c r="AX256" s="109">
        <v>0</v>
      </c>
      <c r="AY256" s="233"/>
      <c r="AZ256" s="4"/>
      <c r="BA256" s="35">
        <f ca="1">IF(OR(S256="North America",S256="Rocky Mountain"), "Widespread",BC256)</f>
        <v>2040.8420449197861</v>
      </c>
      <c r="BB256" s="4"/>
      <c r="BC256" s="35">
        <f ca="1">IF(BE256&gt;2046, "Abundant",BE256)</f>
        <v>2040.8420449197861</v>
      </c>
      <c r="BD256" s="4"/>
      <c r="BE256" s="81">
        <f ca="1">YEAR($C$13)+(BG256*80)</f>
        <v>2040.8420449197861</v>
      </c>
      <c r="BF256" s="4"/>
      <c r="BG256" s="137">
        <f ca="1">BH256*$BH$14</f>
        <v>0.27302556149732621</v>
      </c>
      <c r="BH256" s="137">
        <f ca="1">(((BJ256+BK256+BM256+BN256)/4)*$BM$11)+(((BP256+BQ256)/2)*$BQ$11)+(((BU256+BV256+BW256)/3)*$BU$11)+(((BY256+BZ256+CA256+CB256+CC256)/5)*$CA$11)</f>
        <v>0.27302556149732621</v>
      </c>
      <c r="BI256" s="4"/>
      <c r="BJ256" s="33">
        <f>AP256/(AM256+AO256)</f>
        <v>0</v>
      </c>
      <c r="BK256" s="33">
        <f>(AN256+AO256)/(AM256+AO256)</f>
        <v>0.2</v>
      </c>
      <c r="BL256" s="4"/>
      <c r="BM256" s="127">
        <f>CF256/102</f>
        <v>9.1176470588235303E-2</v>
      </c>
      <c r="BN256" s="127">
        <f>C256/2</f>
        <v>1</v>
      </c>
      <c r="BO256" s="4"/>
      <c r="BP256" s="127">
        <f>(AK256)/($AW$6)</f>
        <v>5.0505050505050504E-2</v>
      </c>
      <c r="BQ256" s="127">
        <f ca="1">(CH256-$AW$4)/((YEAR($C$13))-$AW$4)</f>
        <v>0</v>
      </c>
      <c r="BR256" s="127">
        <f>(AL256)/($AW$6)</f>
        <v>0.23232323232323232</v>
      </c>
      <c r="BS256" s="4"/>
      <c r="BT256" s="127"/>
      <c r="BU256" s="127">
        <f ca="1">(CG256-$AW$4)/((YEAR($C$13))-$AW$4)</f>
        <v>0</v>
      </c>
      <c r="BV256" s="127">
        <f>AE256/5</f>
        <v>1</v>
      </c>
      <c r="BW256" s="127">
        <f>AF256/5</f>
        <v>1</v>
      </c>
      <c r="BX256" s="4"/>
      <c r="BY256" s="148" t="str">
        <f>IF(E256="A",".98",IF(E256="B",".99",IF(E256="C","1.00",IF(E256="D","1.00" ))))</f>
        <v>.98</v>
      </c>
      <c r="BZ256" s="127">
        <f>(CE256+7)/10</f>
        <v>0.8</v>
      </c>
      <c r="CA256" s="76" t="str">
        <f>IF(D256="Fern",".97",IF(D256="Grass",".99",IF(D256="Herb",".97",IF(D256="Shrub",".99",IF(D256="Tree","1.00",IF(D256="Vine",".98"))))))</f>
        <v>.97</v>
      </c>
      <c r="CB256" s="149" t="str">
        <f>IF(R256="Bogs Ponds Streams",".96", IF(R256="Coastal Areas",".97",IF(R256="Meadows Dry Open",".96",IF(R256="Forest &amp; Understory",".97",IF(R256="Moist Open",".98",IF(R256="Moist Shady",".96",IF(R256="Sub-Alpine","1.0")))))))</f>
        <v>.96</v>
      </c>
      <c r="CC256" s="76" t="str">
        <f>IF(S256="Local Endemic",".50",IF(S256="Regional Endemic",".70",IF(S256="Cascadia",".90",IF(S256="Rocky Mountain",".95",IF(S256="North America",".99")))))</f>
        <v>.90</v>
      </c>
      <c r="CD256" s="4"/>
      <c r="CE256" s="21">
        <f>IF(W256&gt;3,3,W256)</f>
        <v>1</v>
      </c>
      <c r="CF256" s="21">
        <f>IF(AC256&gt;102,102,AC256)</f>
        <v>9.3000000000000007</v>
      </c>
      <c r="CG256" s="34">
        <f>IF(AI256&lt;$AW$4,$AW$4,AI256)</f>
        <v>2004</v>
      </c>
      <c r="CH256" s="34">
        <f>IF(AJ256&lt;$AW$4,$AW$4,AJ256)</f>
        <v>2004</v>
      </c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12"/>
    </row>
    <row r="257" spans="1:115" s="13" customFormat="1" ht="15" customHeight="1" x14ac:dyDescent="0.3">
      <c r="A257" s="235"/>
      <c r="B257" s="218"/>
      <c r="C257" s="375">
        <v>1</v>
      </c>
      <c r="D257" s="67" t="s">
        <v>2505</v>
      </c>
      <c r="E257" s="67" t="s">
        <v>2502</v>
      </c>
      <c r="F257" s="403">
        <f ca="1">IF(BC257&lt;2025, "Extinct&lt; 6Yrs?",BA257)</f>
        <v>2031.7055030303031</v>
      </c>
      <c r="G257" s="376" t="s">
        <v>525</v>
      </c>
      <c r="H257" s="376" t="s">
        <v>4028</v>
      </c>
      <c r="I257" s="380" t="s">
        <v>551</v>
      </c>
      <c r="J257" s="378" t="s">
        <v>3629</v>
      </c>
      <c r="K257" s="378" t="s">
        <v>934</v>
      </c>
      <c r="L257" s="63" t="s">
        <v>1946</v>
      </c>
      <c r="M257" s="64" t="s">
        <v>4336</v>
      </c>
      <c r="N257" s="64" t="s">
        <v>5230</v>
      </c>
      <c r="O257" s="64" t="s">
        <v>6128</v>
      </c>
      <c r="P257" s="61" t="s">
        <v>549</v>
      </c>
      <c r="Q257" s="67" t="s">
        <v>2552</v>
      </c>
      <c r="R257" s="61" t="s">
        <v>2500</v>
      </c>
      <c r="S257" s="61" t="s">
        <v>2459</v>
      </c>
      <c r="T257" s="134" t="str">
        <f>IF(R257="Bogs Ponds Streams","20",IF(R257="Coastal Areas","26",IF(R257="Meadows Dry Open","10",IF(R257="Forest &amp; Understory","14",IF(R257="Moist Open","12",IF(R257="Moist Shady","10",IF(R257="Sub-Alpine Slopes","0")))))))</f>
        <v>10</v>
      </c>
      <c r="U257" s="134" t="str">
        <f>IF(R257="Bogs Ponds Streams","52",IF(R257="Coastal Areas","51",IF(R257="Meadows Dry Open","53",IF(R257="Forest &amp; Understory","52",IF(R257="Moist Open","50",IF(R257="Moist Shady","46",IF(R257="Sub-Alpine Slopes","40")))))))</f>
        <v>53</v>
      </c>
      <c r="V257" s="134" t="str">
        <f>IF(R257="Bogs Ponds Streams","84",IF(R257="Coastal Areas","76",IF(R257="Meadows Dry Open","96", IF(R257="Forest &amp; Understory","90", IF(R257="Moist Open","88", IF(R257="Moist Shady","82", IF(R257="Sub-Alpine Slopes","80")))))))</f>
        <v>96</v>
      </c>
      <c r="W257" s="67">
        <v>1</v>
      </c>
      <c r="X257" s="67">
        <v>0</v>
      </c>
      <c r="Y257" s="67">
        <v>3500</v>
      </c>
      <c r="Z257" s="67" t="s">
        <v>2519</v>
      </c>
      <c r="AA257" s="67" t="s">
        <v>2518</v>
      </c>
      <c r="AB257" s="67">
        <v>6.8</v>
      </c>
      <c r="AC257" s="85">
        <f>C257+AK257+(0.1)*AL257</f>
        <v>5.0999999999999996</v>
      </c>
      <c r="AD257" s="78">
        <v>73</v>
      </c>
      <c r="AE257" s="67">
        <v>5</v>
      </c>
      <c r="AF257" s="67">
        <v>5</v>
      </c>
      <c r="AG257" s="67">
        <v>1900</v>
      </c>
      <c r="AH257" s="78">
        <v>0</v>
      </c>
      <c r="AI257" s="67">
        <f>AJ257</f>
        <v>2004</v>
      </c>
      <c r="AJ257" s="69">
        <v>2004</v>
      </c>
      <c r="AK257" s="69">
        <v>3</v>
      </c>
      <c r="AL257" s="69">
        <v>11</v>
      </c>
      <c r="AM257" s="70">
        <v>5</v>
      </c>
      <c r="AN257" s="70">
        <v>0</v>
      </c>
      <c r="AO257" s="86">
        <v>0</v>
      </c>
      <c r="AP257" s="70">
        <v>0</v>
      </c>
      <c r="AQ257" s="70">
        <v>0</v>
      </c>
      <c r="AR257" s="70">
        <v>0</v>
      </c>
      <c r="AS257" s="86">
        <v>0</v>
      </c>
      <c r="AT257" s="70">
        <v>0</v>
      </c>
      <c r="AU257" s="70">
        <v>0</v>
      </c>
      <c r="AV257" s="70">
        <v>0</v>
      </c>
      <c r="AW257" s="86">
        <v>0</v>
      </c>
      <c r="AX257" s="70">
        <v>0</v>
      </c>
      <c r="AY257" s="233"/>
      <c r="AZ257" s="4"/>
      <c r="BA257" s="35">
        <f ca="1">IF(OR(S257="North America",S257="Rocky Mountain"), "Widespread",BC257)</f>
        <v>2031.7055030303031</v>
      </c>
      <c r="BB257" s="4"/>
      <c r="BC257" s="35">
        <f ca="1">IF(BE257&gt;2046, "Abundant",BE257)</f>
        <v>2031.7055030303031</v>
      </c>
      <c r="BD257" s="4"/>
      <c r="BE257" s="81">
        <f ca="1">YEAR($C$13)+(BG257*80)</f>
        <v>2031.7055030303031</v>
      </c>
      <c r="BF257" s="4"/>
      <c r="BG257" s="137">
        <f ca="1">BH257*$BH$14</f>
        <v>0.15881878787878789</v>
      </c>
      <c r="BH257" s="137">
        <f ca="1">(((BJ257+BK257+BM257+BN257)/4)*$BM$11)+(((BP257+BQ257)/2)*$BQ$11)+(((BU257+BV257+BW257)/3)*$BU$11)+(((BY257+BZ257+CA257+CB257+CC257)/5)*$CA$11)</f>
        <v>0.15881878787878789</v>
      </c>
      <c r="BI257" s="4"/>
      <c r="BJ257" s="33">
        <f>AP257/(AM257+AO257)</f>
        <v>0</v>
      </c>
      <c r="BK257" s="33">
        <f>(AN257+AO257)/(AM257+AO257)</f>
        <v>0</v>
      </c>
      <c r="BL257" s="4"/>
      <c r="BM257" s="127">
        <f>CF257/102</f>
        <v>4.9999999999999996E-2</v>
      </c>
      <c r="BN257" s="127">
        <f>C257/2</f>
        <v>0.5</v>
      </c>
      <c r="BO257" s="4"/>
      <c r="BP257" s="127">
        <f>(AK257)/($AW$6)</f>
        <v>3.0303030303030304E-2</v>
      </c>
      <c r="BQ257" s="127">
        <f ca="1">(CH257-$AW$4)/((YEAR($C$13))-$AW$4)</f>
        <v>0</v>
      </c>
      <c r="BR257" s="127">
        <f>(AL257)/($AW$6)</f>
        <v>0.1111111111111111</v>
      </c>
      <c r="BS257" s="4"/>
      <c r="BT257" s="127"/>
      <c r="BU257" s="127">
        <f ca="1">(CG257-$AW$4)/((YEAR($C$13))-$AW$4)</f>
        <v>0</v>
      </c>
      <c r="BV257" s="127">
        <f>AE257/5</f>
        <v>1</v>
      </c>
      <c r="BW257" s="127">
        <f>AF257/5</f>
        <v>1</v>
      </c>
      <c r="BX257" s="4"/>
      <c r="BY257" s="148" t="str">
        <f>IF(E257="A",".98",IF(E257="B",".99",IF(E257="C","1.00",IF(E257="D","1.00" ))))</f>
        <v>.98</v>
      </c>
      <c r="BZ257" s="127">
        <f>(CE257+7)/10</f>
        <v>0.8</v>
      </c>
      <c r="CA257" s="76" t="str">
        <f>IF(D257="Fern",".97",IF(D257="Grass",".99",IF(D257="Herb",".97",IF(D257="Shrub",".99",IF(D257="Tree","1.00",IF(D257="Vine",".98"))))))</f>
        <v>.97</v>
      </c>
      <c r="CB257" s="149" t="str">
        <f>IF(R257="Bogs Ponds Streams",".96", IF(R257="Coastal Areas",".97",IF(R257="Meadows Dry Open",".96",IF(R257="Forest &amp; Understory",".97",IF(R257="Moist Open",".98",IF(R257="Moist Shady",".96",IF(R257="Sub-Alpine","1.0")))))))</f>
        <v>.96</v>
      </c>
      <c r="CC257" s="76" t="str">
        <f>IF(S257="Local Endemic",".50",IF(S257="Regional Endemic",".70",IF(S257="Cascadia",".90",IF(S257="Rocky Mountain",".95",IF(S257="North America",".99")))))</f>
        <v>.90</v>
      </c>
      <c r="CD257" s="4"/>
      <c r="CE257" s="21">
        <f>IF(W257&gt;3,3,W257)</f>
        <v>1</v>
      </c>
      <c r="CF257" s="21">
        <f>IF(AC257&gt;102,102,AC257)</f>
        <v>5.0999999999999996</v>
      </c>
      <c r="CG257" s="34">
        <f>IF(AI257&lt;$AW$4,$AW$4,AI257)</f>
        <v>2004</v>
      </c>
      <c r="CH257" s="34">
        <f>IF(AJ257&lt;$AW$4,$AW$4,AJ257)</f>
        <v>2004</v>
      </c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12"/>
    </row>
    <row r="258" spans="1:115" s="13" customFormat="1" ht="15" customHeight="1" x14ac:dyDescent="0.3">
      <c r="A258" s="235"/>
      <c r="B258" s="218"/>
      <c r="C258" s="225">
        <v>8</v>
      </c>
      <c r="D258" s="59" t="s">
        <v>1154</v>
      </c>
      <c r="E258" s="59" t="s">
        <v>2501</v>
      </c>
      <c r="F258" s="397" t="str">
        <f ca="1">IF(BC258&lt;2025, "Extinct&lt; 6Yrs?",BA258)</f>
        <v>Widespread</v>
      </c>
      <c r="G258" s="363" t="s">
        <v>525</v>
      </c>
      <c r="H258" s="363" t="s">
        <v>688</v>
      </c>
      <c r="I258" s="364" t="s">
        <v>1180</v>
      </c>
      <c r="J258" s="365" t="s">
        <v>1216</v>
      </c>
      <c r="K258" s="365" t="s">
        <v>1179</v>
      </c>
      <c r="L258" s="10" t="s">
        <v>1945</v>
      </c>
      <c r="M258" s="8" t="s">
        <v>4337</v>
      </c>
      <c r="N258" s="8" t="s">
        <v>5231</v>
      </c>
      <c r="O258" s="8" t="s">
        <v>6129</v>
      </c>
      <c r="P258" s="9" t="s">
        <v>739</v>
      </c>
      <c r="Q258" s="59" t="s">
        <v>2552</v>
      </c>
      <c r="R258" s="160" t="s">
        <v>2497</v>
      </c>
      <c r="S258" s="17" t="s">
        <v>2479</v>
      </c>
      <c r="T258" s="123" t="str">
        <f>IF(R258="Bogs Ponds Streams","20",IF(R258="Coastal Areas","26",IF(R258="Meadows Dry Open","10",IF(R258="Forest &amp; Understory","14",IF(R258="Moist Open","12",IF(R258="Moist Shady","10",IF(R258="Sub-Alpine Slopes","0")))))))</f>
        <v>12</v>
      </c>
      <c r="U258" s="123" t="str">
        <f>IF(R258="Bogs Ponds Streams","52",IF(R258="Coastal Areas","51",IF(R258="Meadows Dry Open","53",IF(R258="Forest &amp; Understory","52",IF(R258="Moist Open","50",IF(R258="Moist Shady","46",IF(R258="Sub-Alpine Slopes","40")))))))</f>
        <v>50</v>
      </c>
      <c r="V258" s="123" t="str">
        <f>IF(R258="Bogs Ponds Streams","84",IF(R258="Coastal Areas","76",IF(R258="Meadows Dry Open","96", IF(R258="Forest &amp; Understory","90", IF(R258="Moist Open","88", IF(R258="Moist Shady","82", IF(R258="Sub-Alpine Slopes","80")))))))</f>
        <v>88</v>
      </c>
      <c r="W258" s="59">
        <v>20</v>
      </c>
      <c r="X258" s="59">
        <v>0</v>
      </c>
      <c r="Y258" s="59">
        <v>3500</v>
      </c>
      <c r="Z258" s="59" t="s">
        <v>2519</v>
      </c>
      <c r="AA258" s="59" t="s">
        <v>2518</v>
      </c>
      <c r="AB258" s="59">
        <v>6.8</v>
      </c>
      <c r="AC258" s="45">
        <f>C258+AK258+(0.1)*AL258</f>
        <v>35.5</v>
      </c>
      <c r="AD258" s="77">
        <v>241</v>
      </c>
      <c r="AE258" s="59">
        <v>5</v>
      </c>
      <c r="AF258" s="59">
        <v>5</v>
      </c>
      <c r="AG258" s="59">
        <v>1900</v>
      </c>
      <c r="AH258" s="77">
        <v>0</v>
      </c>
      <c r="AI258" s="59">
        <f ca="1">AJ258</f>
        <v>2019</v>
      </c>
      <c r="AJ258" s="18">
        <f ca="1">YEAR(TODAY())</f>
        <v>2019</v>
      </c>
      <c r="AK258" s="18">
        <v>25</v>
      </c>
      <c r="AL258" s="18">
        <v>25</v>
      </c>
      <c r="AM258" s="18">
        <v>1</v>
      </c>
      <c r="AN258" s="18">
        <v>1</v>
      </c>
      <c r="AO258" s="18">
        <v>5</v>
      </c>
      <c r="AP258" s="18">
        <v>1</v>
      </c>
      <c r="AQ258" s="18">
        <v>0</v>
      </c>
      <c r="AR258" s="18">
        <v>0</v>
      </c>
      <c r="AS258" s="18">
        <v>0</v>
      </c>
      <c r="AT258" s="18">
        <v>0</v>
      </c>
      <c r="AU258" s="18">
        <v>0</v>
      </c>
      <c r="AV258" s="18">
        <v>0</v>
      </c>
      <c r="AW258" s="18">
        <v>0</v>
      </c>
      <c r="AX258" s="18">
        <v>0</v>
      </c>
      <c r="AY258" s="233"/>
      <c r="AZ258" s="4"/>
      <c r="BA258" s="35" t="str">
        <f>IF(OR(S258="North America",S258="Rocky Mountain"), "Widespread",BC258)</f>
        <v>Widespread</v>
      </c>
      <c r="BB258" s="4"/>
      <c r="BC258" s="35" t="str">
        <f ca="1">IF(BE258&gt;2046, "Abundant",BE258)</f>
        <v>Abundant</v>
      </c>
      <c r="BD258" s="4"/>
      <c r="BE258" s="81">
        <f ca="1">YEAR($C$13)+(BG258*80)</f>
        <v>2108.1747736185384</v>
      </c>
      <c r="BF258" s="4"/>
      <c r="BG258" s="137">
        <f ca="1">BH258*$BH$14</f>
        <v>1.1146846702317292</v>
      </c>
      <c r="BH258" s="137">
        <f ca="1">(((BJ258+BK258+BM258+BN258)/4)*$BM$11)+(((BP258+BQ258)/2)*$BQ$11)+(((BU258+BV258+BW258)/3)*$BU$11)+(((BY258+BZ258+CA258+CB258+CC258)/5)*$CA$11)</f>
        <v>1.1146846702317292</v>
      </c>
      <c r="BI258" s="4"/>
      <c r="BJ258" s="33">
        <f>AP258/(AM258+AO258)</f>
        <v>0.16666666666666666</v>
      </c>
      <c r="BK258" s="33">
        <f>(AN258+AO258)/(AM258+AO258)</f>
        <v>1</v>
      </c>
      <c r="BL258" s="4"/>
      <c r="BM258" s="127">
        <f>CF258/102</f>
        <v>0.34803921568627449</v>
      </c>
      <c r="BN258" s="127">
        <f>C258/2</f>
        <v>4</v>
      </c>
      <c r="BO258" s="4"/>
      <c r="BP258" s="127">
        <f>(AK258)/($AW$6)</f>
        <v>0.25252525252525254</v>
      </c>
      <c r="BQ258" s="127">
        <f ca="1">(CH258-$AW$4)/((YEAR($C$13))-$AW$4)</f>
        <v>1</v>
      </c>
      <c r="BR258" s="127">
        <f>(AL258)/($AW$6)</f>
        <v>0.25252525252525254</v>
      </c>
      <c r="BS258" s="4"/>
      <c r="BT258" s="127"/>
      <c r="BU258" s="127">
        <f ca="1">(CG258-$AW$4)/((YEAR($C$13))-$AW$4)</f>
        <v>1</v>
      </c>
      <c r="BV258" s="127">
        <f>AE258/5</f>
        <v>1</v>
      </c>
      <c r="BW258" s="127">
        <f>AF258/5</f>
        <v>1</v>
      </c>
      <c r="BX258" s="4"/>
      <c r="BY258" s="148" t="str">
        <f>IF(E258="A",".98",IF(E258="B",".99",IF(E258="C","1.00",IF(E258="D","1.00" ))))</f>
        <v>1.00</v>
      </c>
      <c r="BZ258" s="127">
        <f>(CE258+7)/10</f>
        <v>1</v>
      </c>
      <c r="CA258" s="76" t="str">
        <f>IF(D258="Fern",".97",IF(D258="Grass",".99",IF(D258="Herb",".97",IF(D258="Shrub",".99",IF(D258="Tree","1.00",IF(D258="Vine",".98"))))))</f>
        <v>.97</v>
      </c>
      <c r="CB258" s="149" t="str">
        <f>IF(R258="Bogs Ponds Streams",".96", IF(R258="Coastal Areas",".97",IF(R258="Meadows Dry Open",".96",IF(R258="Forest &amp; Understory",".97",IF(R258="Moist Open",".98",IF(R258="Moist Shady",".96",IF(R258="Sub-Alpine","1.0")))))))</f>
        <v>.98</v>
      </c>
      <c r="CC258" s="76" t="str">
        <f>IF(S258="Local Endemic",".50",IF(S258="Regional Endemic",".70",IF(S258="Cascadia",".90",IF(S258="Rocky Mountain",".95",IF(S258="North America",".99")))))</f>
        <v>.95</v>
      </c>
      <c r="CD258" s="4"/>
      <c r="CE258" s="21">
        <f>IF(W258&gt;3,3,W258)</f>
        <v>3</v>
      </c>
      <c r="CF258" s="21">
        <f>IF(AC258&gt;102,102,AC258)</f>
        <v>35.5</v>
      </c>
      <c r="CG258" s="34">
        <f ca="1">IF(AI258&lt;$AW$4,$AW$4,AI258)</f>
        <v>2019</v>
      </c>
      <c r="CH258" s="34">
        <f ca="1">IF(AJ258&lt;$AW$4,$AW$4,AJ258)</f>
        <v>2019</v>
      </c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</row>
    <row r="259" spans="1:115" s="13" customFormat="1" ht="15" customHeight="1" x14ac:dyDescent="0.3">
      <c r="A259" s="235"/>
      <c r="B259" s="218"/>
      <c r="C259" s="375">
        <v>1</v>
      </c>
      <c r="D259" s="67" t="s">
        <v>2505</v>
      </c>
      <c r="E259" s="67" t="s">
        <v>2501</v>
      </c>
      <c r="F259" s="403" t="str">
        <f ca="1">IF(BC259&lt;2025, "Extinct&lt; 6Yrs?",BA259)</f>
        <v>Widespread</v>
      </c>
      <c r="G259" s="376" t="s">
        <v>525</v>
      </c>
      <c r="H259" s="376" t="s">
        <v>4028</v>
      </c>
      <c r="I259" s="380" t="s">
        <v>3152</v>
      </c>
      <c r="J259" s="378" t="s">
        <v>3628</v>
      </c>
      <c r="K259" s="378" t="s">
        <v>20</v>
      </c>
      <c r="L259" s="63" t="s">
        <v>1944</v>
      </c>
      <c r="M259" s="64" t="s">
        <v>4338</v>
      </c>
      <c r="N259" s="64" t="s">
        <v>5232</v>
      </c>
      <c r="O259" s="64" t="s">
        <v>6130</v>
      </c>
      <c r="P259" s="61" t="s">
        <v>1167</v>
      </c>
      <c r="Q259" s="67" t="s">
        <v>2552</v>
      </c>
      <c r="R259" s="63" t="s">
        <v>2500</v>
      </c>
      <c r="S259" s="65" t="s">
        <v>2495</v>
      </c>
      <c r="T259" s="134" t="str">
        <f>IF(R259="Bogs Ponds Streams","20",IF(R259="Coastal Areas","26",IF(R259="Meadows Dry Open","10",IF(R259="Forest &amp; Understory","14",IF(R259="Moist Open","12",IF(R259="Moist Shady","10",IF(R259="Sub-Alpine Slopes","0")))))))</f>
        <v>10</v>
      </c>
      <c r="U259" s="134" t="str">
        <f>IF(R259="Bogs Ponds Streams","52",IF(R259="Coastal Areas","51",IF(R259="Meadows Dry Open","53",IF(R259="Forest &amp; Understory","52",IF(R259="Moist Open","50",IF(R259="Moist Shady","46",IF(R259="Sub-Alpine Slopes","40")))))))</f>
        <v>53</v>
      </c>
      <c r="V259" s="134" t="str">
        <f>IF(R259="Bogs Ponds Streams","84",IF(R259="Coastal Areas","76",IF(R259="Meadows Dry Open","96", IF(R259="Forest &amp; Understory","90", IF(R259="Moist Open","88", IF(R259="Moist Shady","82", IF(R259="Sub-Alpine Slopes","80")))))))</f>
        <v>96</v>
      </c>
      <c r="W259" s="67">
        <v>20</v>
      </c>
      <c r="X259" s="67">
        <v>0</v>
      </c>
      <c r="Y259" s="67">
        <v>3500</v>
      </c>
      <c r="Z259" s="67" t="s">
        <v>2519</v>
      </c>
      <c r="AA259" s="67" t="s">
        <v>2518</v>
      </c>
      <c r="AB259" s="67">
        <v>6.8</v>
      </c>
      <c r="AC259" s="85">
        <f>C259+AK259+(0.1)*AL259</f>
        <v>4.2</v>
      </c>
      <c r="AD259" s="78">
        <v>10</v>
      </c>
      <c r="AE259" s="67">
        <v>5</v>
      </c>
      <c r="AF259" s="67">
        <v>5</v>
      </c>
      <c r="AG259" s="67">
        <v>1900</v>
      </c>
      <c r="AH259" s="78">
        <v>0</v>
      </c>
      <c r="AI259" s="67">
        <f>AJ259</f>
        <v>2016</v>
      </c>
      <c r="AJ259" s="69">
        <v>2016</v>
      </c>
      <c r="AK259" s="69">
        <v>3</v>
      </c>
      <c r="AL259" s="69">
        <v>2</v>
      </c>
      <c r="AM259" s="70">
        <v>5</v>
      </c>
      <c r="AN259" s="70">
        <v>0</v>
      </c>
      <c r="AO259" s="86">
        <v>0</v>
      </c>
      <c r="AP259" s="70">
        <v>0</v>
      </c>
      <c r="AQ259" s="70">
        <v>0</v>
      </c>
      <c r="AR259" s="70">
        <v>0</v>
      </c>
      <c r="AS259" s="86">
        <v>0</v>
      </c>
      <c r="AT259" s="70">
        <v>0</v>
      </c>
      <c r="AU259" s="70">
        <v>0</v>
      </c>
      <c r="AV259" s="70">
        <v>0</v>
      </c>
      <c r="AW259" s="86">
        <v>0</v>
      </c>
      <c r="AX259" s="70">
        <v>0</v>
      </c>
      <c r="AY259" s="233"/>
      <c r="AZ259" s="4"/>
      <c r="BA259" s="35" t="str">
        <f>IF(OR(S259="North America",S259="Rocky Mountain"), "Widespread",BC259)</f>
        <v>Widespread</v>
      </c>
      <c r="BB259" s="4"/>
      <c r="BC259" s="35">
        <f ca="1">IF(BE259&gt;2046, "Abundant",BE259)</f>
        <v>2043.0054873440286</v>
      </c>
      <c r="BD259" s="4"/>
      <c r="BE259" s="81">
        <f ca="1">YEAR($C$13)+(BG259*80)</f>
        <v>2043.0054873440286</v>
      </c>
      <c r="BF259" s="4"/>
      <c r="BG259" s="137">
        <f ca="1">BH259*$BH$14</f>
        <v>0.30006859180035644</v>
      </c>
      <c r="BH259" s="137">
        <f ca="1">(((BJ259+BK259+BM259+BN259)/4)*$BM$11)+(((BP259+BQ259)/2)*$BQ$11)+(((BU259+BV259+BW259)/3)*$BU$11)+(((BY259+BZ259+CA259+CB259+CC259)/5)*$CA$11)</f>
        <v>0.30006859180035644</v>
      </c>
      <c r="BI259" s="4"/>
      <c r="BJ259" s="33">
        <f>AP259/(AM259+AO259)</f>
        <v>0</v>
      </c>
      <c r="BK259" s="33">
        <f>(AN259+AO259)/(AM259+AO259)</f>
        <v>0</v>
      </c>
      <c r="BL259" s="4"/>
      <c r="BM259" s="127">
        <f>CF259/102</f>
        <v>4.1176470588235294E-2</v>
      </c>
      <c r="BN259" s="127">
        <f>C259/2</f>
        <v>0.5</v>
      </c>
      <c r="BO259" s="4"/>
      <c r="BP259" s="127">
        <f>(AK259)/($AW$6)</f>
        <v>3.0303030303030304E-2</v>
      </c>
      <c r="BQ259" s="127">
        <f ca="1">(CH259-$AW$4)/((YEAR($C$13))-$AW$4)</f>
        <v>0.8</v>
      </c>
      <c r="BR259" s="127">
        <f>(AL259)/($AW$6)</f>
        <v>2.0202020202020204E-2</v>
      </c>
      <c r="BS259" s="4"/>
      <c r="BT259" s="127"/>
      <c r="BU259" s="127">
        <f ca="1">(CG259-$AW$4)/((YEAR($C$13))-$AW$4)</f>
        <v>0.8</v>
      </c>
      <c r="BV259" s="127">
        <f>AE259/5</f>
        <v>1</v>
      </c>
      <c r="BW259" s="127">
        <f>AF259/5</f>
        <v>1</v>
      </c>
      <c r="BX259" s="4"/>
      <c r="BY259" s="148" t="str">
        <f>IF(E259="A",".98",IF(E259="B",".99",IF(E259="C","1.00",IF(E259="D","1.00" ))))</f>
        <v>1.00</v>
      </c>
      <c r="BZ259" s="127">
        <f>(CE259+7)/10</f>
        <v>1</v>
      </c>
      <c r="CA259" s="76" t="str">
        <f>IF(D259="Fern",".97",IF(D259="Grass",".99",IF(D259="Herb",".97",IF(D259="Shrub",".99",IF(D259="Tree","1.00",IF(D259="Vine",".98"))))))</f>
        <v>.97</v>
      </c>
      <c r="CB259" s="149" t="str">
        <f>IF(R259="Bogs Ponds Streams",".96", IF(R259="Coastal Areas",".97",IF(R259="Meadows Dry Open",".96",IF(R259="Forest &amp; Understory",".97",IF(R259="Moist Open",".98",IF(R259="Moist Shady",".96",IF(R259="Sub-Alpine","1.0")))))))</f>
        <v>.96</v>
      </c>
      <c r="CC259" s="76" t="str">
        <f>IF(S259="Local Endemic",".50",IF(S259="Regional Endemic",".70",IF(S259="Cascadia",".90",IF(S259="Rocky Mountain",".95",IF(S259="North America",".99")))))</f>
        <v>.99</v>
      </c>
      <c r="CD259" s="4"/>
      <c r="CE259" s="21">
        <f>IF(W259&gt;3,3,W259)</f>
        <v>3</v>
      </c>
      <c r="CF259" s="21">
        <f>IF(AC259&gt;102,102,AC259)</f>
        <v>4.2</v>
      </c>
      <c r="CG259" s="34">
        <f>IF(AI259&lt;$AW$4,$AW$4,AI259)</f>
        <v>2016</v>
      </c>
      <c r="CH259" s="34">
        <f>IF(AJ259&lt;$AW$4,$AW$4,AJ259)</f>
        <v>2016</v>
      </c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12"/>
    </row>
    <row r="260" spans="1:115" s="13" customFormat="1" ht="15" customHeight="1" x14ac:dyDescent="0.3">
      <c r="A260" s="235"/>
      <c r="B260" s="218"/>
      <c r="C260" s="375">
        <v>1</v>
      </c>
      <c r="D260" s="67" t="s">
        <v>2505</v>
      </c>
      <c r="E260" s="67" t="s">
        <v>2502</v>
      </c>
      <c r="F260" s="403" t="str">
        <f ca="1">IF(BC260&lt;2025, "Extinct&lt; 6Yrs?",BA260)</f>
        <v>Widespread</v>
      </c>
      <c r="G260" s="376" t="s">
        <v>525</v>
      </c>
      <c r="H260" s="376" t="s">
        <v>4028</v>
      </c>
      <c r="I260" s="379" t="s">
        <v>2624</v>
      </c>
      <c r="J260" s="378" t="s">
        <v>3627</v>
      </c>
      <c r="K260" s="378" t="s">
        <v>935</v>
      </c>
      <c r="L260" s="65" t="s">
        <v>1943</v>
      </c>
      <c r="M260" s="64" t="s">
        <v>4339</v>
      </c>
      <c r="N260" s="64" t="s">
        <v>5233</v>
      </c>
      <c r="O260" s="64" t="s">
        <v>6131</v>
      </c>
      <c r="P260" s="404" t="s">
        <v>403</v>
      </c>
      <c r="Q260" s="67" t="s">
        <v>2552</v>
      </c>
      <c r="R260" s="61" t="s">
        <v>2497</v>
      </c>
      <c r="S260" s="61" t="s">
        <v>2495</v>
      </c>
      <c r="T260" s="134" t="str">
        <f>IF(R260="Bogs Ponds Streams","20",IF(R260="Coastal Areas","26",IF(R260="Meadows Dry Open","10",IF(R260="Forest &amp; Understory","14",IF(R260="Moist Open","12",IF(R260="Moist Shady","10",IF(R260="Sub-Alpine Slopes","0")))))))</f>
        <v>12</v>
      </c>
      <c r="U260" s="134" t="str">
        <f>IF(R260="Bogs Ponds Streams","52",IF(R260="Coastal Areas","51",IF(R260="Meadows Dry Open","53",IF(R260="Forest &amp; Understory","52",IF(R260="Moist Open","50",IF(R260="Moist Shady","46",IF(R260="Sub-Alpine Slopes","40")))))))</f>
        <v>50</v>
      </c>
      <c r="V260" s="134" t="str">
        <f>IF(R260="Bogs Ponds Streams","84",IF(R260="Coastal Areas","76",IF(R260="Meadows Dry Open","96", IF(R260="Forest &amp; Understory","90", IF(R260="Moist Open","88", IF(R260="Moist Shady","82", IF(R260="Sub-Alpine Slopes","80")))))))</f>
        <v>88</v>
      </c>
      <c r="W260" s="67">
        <v>1</v>
      </c>
      <c r="X260" s="67">
        <v>0</v>
      </c>
      <c r="Y260" s="67">
        <v>3500</v>
      </c>
      <c r="Z260" s="67" t="s">
        <v>2519</v>
      </c>
      <c r="AA260" s="67" t="s">
        <v>2518</v>
      </c>
      <c r="AB260" s="67">
        <v>6.8</v>
      </c>
      <c r="AC260" s="85">
        <f>C260+AK260+(0.1)*AL260</f>
        <v>5.0999999999999996</v>
      </c>
      <c r="AD260" s="78">
        <v>33</v>
      </c>
      <c r="AE260" s="67">
        <v>5</v>
      </c>
      <c r="AF260" s="67">
        <v>5</v>
      </c>
      <c r="AG260" s="67">
        <v>1900</v>
      </c>
      <c r="AH260" s="78">
        <v>0</v>
      </c>
      <c r="AI260" s="67">
        <f>AJ260</f>
        <v>1998</v>
      </c>
      <c r="AJ260" s="69">
        <v>1998</v>
      </c>
      <c r="AK260" s="69">
        <v>3</v>
      </c>
      <c r="AL260" s="69">
        <v>11</v>
      </c>
      <c r="AM260" s="70">
        <v>5</v>
      </c>
      <c r="AN260" s="70">
        <v>0</v>
      </c>
      <c r="AO260" s="86">
        <v>0</v>
      </c>
      <c r="AP260" s="70">
        <v>0</v>
      </c>
      <c r="AQ260" s="70">
        <v>0</v>
      </c>
      <c r="AR260" s="70">
        <v>0</v>
      </c>
      <c r="AS260" s="86">
        <v>0</v>
      </c>
      <c r="AT260" s="70">
        <v>0</v>
      </c>
      <c r="AU260" s="70">
        <v>0</v>
      </c>
      <c r="AV260" s="70">
        <v>0</v>
      </c>
      <c r="AW260" s="86">
        <v>0</v>
      </c>
      <c r="AX260" s="70">
        <v>0</v>
      </c>
      <c r="AY260" s="233"/>
      <c r="AZ260" s="4"/>
      <c r="BA260" s="35" t="str">
        <f>IF(OR(S260="North America",S260="Rocky Mountain"), "Widespread",BC260)</f>
        <v>Widespread</v>
      </c>
      <c r="BB260" s="4"/>
      <c r="BC260" s="35">
        <f ca="1">IF(BE260&gt;2046, "Abundant",BE260)</f>
        <v>2031.7407030303029</v>
      </c>
      <c r="BD260" s="4"/>
      <c r="BE260" s="81">
        <f ca="1">YEAR($C$13)+(BG260*80)</f>
        <v>2031.7407030303029</v>
      </c>
      <c r="BF260" s="4"/>
      <c r="BG260" s="137">
        <f ca="1">BH260*$BH$14</f>
        <v>0.15925878787878789</v>
      </c>
      <c r="BH260" s="137">
        <f ca="1">(((BJ260+BK260+BM260+BN260)/4)*$BM$11)+(((BP260+BQ260)/2)*$BQ$11)+(((BU260+BV260+BW260)/3)*$BU$11)+(((BY260+BZ260+CA260+CB260+CC260)/5)*$CA$11)</f>
        <v>0.15925878787878789</v>
      </c>
      <c r="BI260" s="4"/>
      <c r="BJ260" s="33">
        <f>AP260/(AM260+AO260)</f>
        <v>0</v>
      </c>
      <c r="BK260" s="33">
        <f>(AN260+AO260)/(AM260+AO260)</f>
        <v>0</v>
      </c>
      <c r="BL260" s="4"/>
      <c r="BM260" s="127">
        <f>CF260/102</f>
        <v>4.9999999999999996E-2</v>
      </c>
      <c r="BN260" s="127">
        <f>C260/2</f>
        <v>0.5</v>
      </c>
      <c r="BO260" s="4"/>
      <c r="BP260" s="127">
        <f>(AK260)/($AW$6)</f>
        <v>3.0303030303030304E-2</v>
      </c>
      <c r="BQ260" s="127">
        <f ca="1">(CH260-$AW$4)/((YEAR($C$13))-$AW$4)</f>
        <v>0</v>
      </c>
      <c r="BR260" s="127">
        <f>(AL260)/($AW$6)</f>
        <v>0.1111111111111111</v>
      </c>
      <c r="BS260" s="4"/>
      <c r="BT260" s="127"/>
      <c r="BU260" s="127">
        <f ca="1">(CG260-$AW$4)/((YEAR($C$13))-$AW$4)</f>
        <v>0</v>
      </c>
      <c r="BV260" s="127">
        <f>AE260/5</f>
        <v>1</v>
      </c>
      <c r="BW260" s="127">
        <f>AF260/5</f>
        <v>1</v>
      </c>
      <c r="BX260" s="4"/>
      <c r="BY260" s="148" t="str">
        <f>IF(E260="A",".98",IF(E260="B",".99",IF(E260="C","1.00",IF(E260="D","1.00" ))))</f>
        <v>.98</v>
      </c>
      <c r="BZ260" s="127">
        <f>(CE260+7)/10</f>
        <v>0.8</v>
      </c>
      <c r="CA260" s="76" t="str">
        <f>IF(D260="Fern",".97",IF(D260="Grass",".99",IF(D260="Herb",".97",IF(D260="Shrub",".99",IF(D260="Tree","1.00",IF(D260="Vine",".98"))))))</f>
        <v>.97</v>
      </c>
      <c r="CB260" s="149" t="str">
        <f>IF(R260="Bogs Ponds Streams",".96", IF(R260="Coastal Areas",".97",IF(R260="Meadows Dry Open",".96",IF(R260="Forest &amp; Understory",".97",IF(R260="Moist Open",".98",IF(R260="Moist Shady",".96",IF(R260="Sub-Alpine","1.0")))))))</f>
        <v>.98</v>
      </c>
      <c r="CC260" s="76" t="str">
        <f>IF(S260="Local Endemic",".50",IF(S260="Regional Endemic",".70",IF(S260="Cascadia",".90",IF(S260="Rocky Mountain",".95",IF(S260="North America",".99")))))</f>
        <v>.99</v>
      </c>
      <c r="CD260" s="4"/>
      <c r="CE260" s="21">
        <f>IF(W260&gt;3,3,W260)</f>
        <v>1</v>
      </c>
      <c r="CF260" s="21">
        <f>IF(AC260&gt;102,102,AC260)</f>
        <v>5.0999999999999996</v>
      </c>
      <c r="CG260" s="34">
        <f>IF(AI260&lt;$AW$4,$AW$4,AI260)</f>
        <v>2004</v>
      </c>
      <c r="CH260" s="34">
        <f>IF(AJ260&lt;$AW$4,$AW$4,AJ260)</f>
        <v>2004</v>
      </c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12"/>
    </row>
    <row r="261" spans="1:115" s="13" customFormat="1" ht="15" customHeight="1" x14ac:dyDescent="0.3">
      <c r="A261" s="235"/>
      <c r="B261" s="218"/>
      <c r="C261" s="225">
        <v>8</v>
      </c>
      <c r="D261" s="59" t="s">
        <v>2505</v>
      </c>
      <c r="E261" s="59" t="s">
        <v>2502</v>
      </c>
      <c r="F261" s="397" t="str">
        <f ca="1">IF(BC261&lt;2025, "Extinct&lt; 6Yrs?",BA261)</f>
        <v>Widespread</v>
      </c>
      <c r="G261" s="363" t="s">
        <v>525</v>
      </c>
      <c r="H261" s="363" t="s">
        <v>681</v>
      </c>
      <c r="I261" s="366" t="s">
        <v>3053</v>
      </c>
      <c r="J261" s="365" t="s">
        <v>3293</v>
      </c>
      <c r="K261" s="365" t="s">
        <v>1266</v>
      </c>
      <c r="L261" s="10" t="s">
        <v>1942</v>
      </c>
      <c r="M261" s="8" t="s">
        <v>4340</v>
      </c>
      <c r="N261" s="8" t="s">
        <v>5234</v>
      </c>
      <c r="O261" s="8" t="s">
        <v>6132</v>
      </c>
      <c r="P261" s="9" t="s">
        <v>403</v>
      </c>
      <c r="Q261" s="59" t="s">
        <v>2552</v>
      </c>
      <c r="R261" s="9" t="s">
        <v>2497</v>
      </c>
      <c r="S261" s="9" t="s">
        <v>2495</v>
      </c>
      <c r="T261" s="123" t="str">
        <f>IF(R261="Bogs Ponds Streams","20",IF(R261="Coastal Areas","26",IF(R261="Meadows Dry Open","10",IF(R261="Forest &amp; Understory","14",IF(R261="Moist Open","12",IF(R261="Moist Shady","10",IF(R261="Sub-Alpine Slopes","0")))))))</f>
        <v>12</v>
      </c>
      <c r="U261" s="123" t="str">
        <f>IF(R261="Bogs Ponds Streams","52",IF(R261="Coastal Areas","51",IF(R261="Meadows Dry Open","53",IF(R261="Forest &amp; Understory","52",IF(R261="Moist Open","50",IF(R261="Moist Shady","46",IF(R261="Sub-Alpine Slopes","40")))))))</f>
        <v>50</v>
      </c>
      <c r="V261" s="123" t="str">
        <f>IF(R261="Bogs Ponds Streams","84",IF(R261="Coastal Areas","76",IF(R261="Meadows Dry Open","96", IF(R261="Forest &amp; Understory","90", IF(R261="Moist Open","88", IF(R261="Moist Shady","82", IF(R261="Sub-Alpine Slopes","80")))))))</f>
        <v>88</v>
      </c>
      <c r="W261" s="59">
        <v>1</v>
      </c>
      <c r="X261" s="59">
        <v>0</v>
      </c>
      <c r="Y261" s="59">
        <v>3500</v>
      </c>
      <c r="Z261" s="59" t="s">
        <v>2519</v>
      </c>
      <c r="AA261" s="59" t="s">
        <v>2518</v>
      </c>
      <c r="AB261" s="59">
        <v>6.8</v>
      </c>
      <c r="AC261" s="45">
        <f>C261+AK261+(0.1)*AL261</f>
        <v>14.1</v>
      </c>
      <c r="AD261" s="77">
        <v>39</v>
      </c>
      <c r="AE261" s="59">
        <v>5</v>
      </c>
      <c r="AF261" s="59">
        <v>5</v>
      </c>
      <c r="AG261" s="59">
        <v>1900</v>
      </c>
      <c r="AH261" s="77">
        <v>0</v>
      </c>
      <c r="AI261" s="59">
        <f ca="1">AJ261</f>
        <v>2019</v>
      </c>
      <c r="AJ261" s="18">
        <f ca="1">YEAR(TODAY())</f>
        <v>2019</v>
      </c>
      <c r="AK261" s="18">
        <v>5</v>
      </c>
      <c r="AL261" s="18">
        <v>11</v>
      </c>
      <c r="AM261" s="18">
        <v>1</v>
      </c>
      <c r="AN261" s="18">
        <v>1</v>
      </c>
      <c r="AO261" s="18">
        <v>5</v>
      </c>
      <c r="AP261" s="18">
        <v>1</v>
      </c>
      <c r="AQ261" s="18">
        <v>0</v>
      </c>
      <c r="AR261" s="18">
        <v>0</v>
      </c>
      <c r="AS261" s="18">
        <v>0</v>
      </c>
      <c r="AT261" s="18">
        <v>0</v>
      </c>
      <c r="AU261" s="18">
        <v>0</v>
      </c>
      <c r="AV261" s="18">
        <v>0</v>
      </c>
      <c r="AW261" s="18">
        <v>0</v>
      </c>
      <c r="AX261" s="18">
        <v>0</v>
      </c>
      <c r="AY261" s="233"/>
      <c r="AZ261" s="4"/>
      <c r="BA261" s="35" t="str">
        <f>IF(OR(S261="North America",S261="Rocky Mountain"), "Widespread",BC261)</f>
        <v>Widespread</v>
      </c>
      <c r="BB261" s="4"/>
      <c r="BC261" s="35" t="str">
        <f ca="1">IF(BE261&gt;2046, "Abundant",BE261)</f>
        <v>Abundant</v>
      </c>
      <c r="BD261" s="4"/>
      <c r="BE261" s="81">
        <f ca="1">YEAR($C$13)+(BG261*80)</f>
        <v>2103.1752841354723</v>
      </c>
      <c r="BF261" s="4"/>
      <c r="BG261" s="137">
        <f ca="1">BH261*$BH$14</f>
        <v>1.0521910516934045</v>
      </c>
      <c r="BH261" s="137">
        <f ca="1">(((BJ261+BK261+BM261+BN261)/4)*$BM$11)+(((BP261+BQ261)/2)*$BQ$11)+(((BU261+BV261+BW261)/3)*$BU$11)+(((BY261+BZ261+CA261+CB261+CC261)/5)*$CA$11)</f>
        <v>1.0521910516934045</v>
      </c>
      <c r="BI261" s="4"/>
      <c r="BJ261" s="33">
        <f>AP261/(AM261+AO261)</f>
        <v>0.16666666666666666</v>
      </c>
      <c r="BK261" s="33">
        <f>(AN261+AO261)/(AM261+AO261)</f>
        <v>1</v>
      </c>
      <c r="BL261" s="4"/>
      <c r="BM261" s="127">
        <f>CF261/102</f>
        <v>0.13823529411764707</v>
      </c>
      <c r="BN261" s="127">
        <f>C261/2</f>
        <v>4</v>
      </c>
      <c r="BO261" s="4"/>
      <c r="BP261" s="127">
        <f>(AK261)/($AW$6)</f>
        <v>5.0505050505050504E-2</v>
      </c>
      <c r="BQ261" s="127">
        <f ca="1">(CH261-$AW$4)/((YEAR($C$13))-$AW$4)</f>
        <v>1</v>
      </c>
      <c r="BR261" s="127">
        <f>(AL261)/($AW$6)</f>
        <v>0.1111111111111111</v>
      </c>
      <c r="BS261" s="4"/>
      <c r="BT261" s="127"/>
      <c r="BU261" s="127">
        <f ca="1">(CG261-$AW$4)/((YEAR($C$13))-$AW$4)</f>
        <v>1</v>
      </c>
      <c r="BV261" s="127">
        <f>AE261/5</f>
        <v>1</v>
      </c>
      <c r="BW261" s="127">
        <f>AF261/5</f>
        <v>1</v>
      </c>
      <c r="BX261" s="4"/>
      <c r="BY261" s="148" t="str">
        <f>IF(E261="A",".98",IF(E261="B",".99",IF(E261="C","1.00",IF(E261="D","1.00" ))))</f>
        <v>.98</v>
      </c>
      <c r="BZ261" s="127">
        <f>(CE261+7)/10</f>
        <v>0.8</v>
      </c>
      <c r="CA261" s="76" t="str">
        <f>IF(D261="Fern",".97",IF(D261="Grass",".99",IF(D261="Herb",".97",IF(D261="Shrub",".99",IF(D261="Tree","1.00",IF(D261="Vine",".98"))))))</f>
        <v>.97</v>
      </c>
      <c r="CB261" s="149" t="str">
        <f>IF(R261="Bogs Ponds Streams",".96", IF(R261="Coastal Areas",".97",IF(R261="Meadows Dry Open",".96",IF(R261="Forest &amp; Understory",".97",IF(R261="Moist Open",".98",IF(R261="Moist Shady",".96",IF(R261="Sub-Alpine","1.0")))))))</f>
        <v>.98</v>
      </c>
      <c r="CC261" s="76" t="str">
        <f>IF(S261="Local Endemic",".50",IF(S261="Regional Endemic",".70",IF(S261="Cascadia",".90",IF(S261="Rocky Mountain",".95",IF(S261="North America",".99")))))</f>
        <v>.99</v>
      </c>
      <c r="CD261" s="4"/>
      <c r="CE261" s="21">
        <f>IF(W261&gt;3,3,W261)</f>
        <v>1</v>
      </c>
      <c r="CF261" s="21">
        <f>IF(AC261&gt;102,102,AC261)</f>
        <v>14.1</v>
      </c>
      <c r="CG261" s="34">
        <f ca="1">IF(AI261&lt;$AW$4,$AW$4,AI261)</f>
        <v>2019</v>
      </c>
      <c r="CH261" s="34">
        <f ca="1">IF(AJ261&lt;$AW$4,$AW$4,AJ261)</f>
        <v>2019</v>
      </c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12"/>
    </row>
    <row r="262" spans="1:115" s="13" customFormat="1" ht="15" customHeight="1" x14ac:dyDescent="0.3">
      <c r="A262" s="235"/>
      <c r="B262" s="218"/>
      <c r="C262" s="375">
        <v>1</v>
      </c>
      <c r="D262" s="67" t="s">
        <v>2505</v>
      </c>
      <c r="E262" s="67" t="s">
        <v>2502</v>
      </c>
      <c r="F262" s="403" t="str">
        <f ca="1">IF(BC262&lt;2025, "Extinct&lt; 6Yrs?",BA262)</f>
        <v>Widespread</v>
      </c>
      <c r="G262" s="376" t="s">
        <v>525</v>
      </c>
      <c r="H262" s="376" t="s">
        <v>4028</v>
      </c>
      <c r="I262" s="380" t="s">
        <v>125</v>
      </c>
      <c r="J262" s="378" t="s">
        <v>3626</v>
      </c>
      <c r="K262" s="378" t="s">
        <v>936</v>
      </c>
      <c r="L262" s="63" t="s">
        <v>1941</v>
      </c>
      <c r="M262" s="64" t="s">
        <v>4341</v>
      </c>
      <c r="N262" s="64" t="s">
        <v>5235</v>
      </c>
      <c r="O262" s="64" t="s">
        <v>6133</v>
      </c>
      <c r="P262" s="61" t="s">
        <v>403</v>
      </c>
      <c r="Q262" s="67" t="s">
        <v>2552</v>
      </c>
      <c r="R262" s="61" t="s">
        <v>2498</v>
      </c>
      <c r="S262" s="61" t="s">
        <v>2495</v>
      </c>
      <c r="T262" s="134" t="str">
        <f>IF(R262="Bogs Ponds Streams","20",IF(R262="Coastal Areas","26",IF(R262="Meadows Dry Open","10",IF(R262="Forest &amp; Understory","14",IF(R262="Moist Open","12",IF(R262="Moist Shady","10",IF(R262="Sub-Alpine Slopes","0")))))))</f>
        <v>10</v>
      </c>
      <c r="U262" s="134" t="str">
        <f>IF(R262="Bogs Ponds Streams","52",IF(R262="Coastal Areas","51",IF(R262="Meadows Dry Open","53",IF(R262="Forest &amp; Understory","52",IF(R262="Moist Open","50",IF(R262="Moist Shady","46",IF(R262="Sub-Alpine Slopes","40")))))))</f>
        <v>46</v>
      </c>
      <c r="V262" s="134" t="str">
        <f>IF(R262="Bogs Ponds Streams","84",IF(R262="Coastal Areas","76",IF(R262="Meadows Dry Open","96", IF(R262="Forest &amp; Understory","90", IF(R262="Moist Open","88", IF(R262="Moist Shady","82", IF(R262="Sub-Alpine Slopes","80")))))))</f>
        <v>82</v>
      </c>
      <c r="W262" s="67">
        <v>1</v>
      </c>
      <c r="X262" s="67">
        <v>0</v>
      </c>
      <c r="Y262" s="67">
        <v>3500</v>
      </c>
      <c r="Z262" s="67" t="s">
        <v>2519</v>
      </c>
      <c r="AA262" s="67" t="s">
        <v>2518</v>
      </c>
      <c r="AB262" s="67">
        <v>6.8</v>
      </c>
      <c r="AC262" s="85">
        <f>C262+AK262+(0.1)*AL262</f>
        <v>9.1999999999999993</v>
      </c>
      <c r="AD262" s="78">
        <v>53</v>
      </c>
      <c r="AE262" s="67">
        <v>5</v>
      </c>
      <c r="AF262" s="67">
        <v>5</v>
      </c>
      <c r="AG262" s="67">
        <v>1900</v>
      </c>
      <c r="AH262" s="78">
        <v>0</v>
      </c>
      <c r="AI262" s="67">
        <f>AJ262</f>
        <v>2005</v>
      </c>
      <c r="AJ262" s="69">
        <v>2005</v>
      </c>
      <c r="AK262" s="69">
        <v>6</v>
      </c>
      <c r="AL262" s="69">
        <v>22</v>
      </c>
      <c r="AM262" s="70">
        <v>5</v>
      </c>
      <c r="AN262" s="70">
        <v>0</v>
      </c>
      <c r="AO262" s="86">
        <v>0</v>
      </c>
      <c r="AP262" s="70">
        <v>0</v>
      </c>
      <c r="AQ262" s="70">
        <v>0</v>
      </c>
      <c r="AR262" s="70">
        <v>0</v>
      </c>
      <c r="AS262" s="86">
        <v>0</v>
      </c>
      <c r="AT262" s="70">
        <v>0</v>
      </c>
      <c r="AU262" s="70">
        <v>0</v>
      </c>
      <c r="AV262" s="70">
        <v>0</v>
      </c>
      <c r="AW262" s="86">
        <v>0</v>
      </c>
      <c r="AX262" s="70">
        <v>0</v>
      </c>
      <c r="AY262" s="233"/>
      <c r="AZ262" s="4"/>
      <c r="BA262" s="35" t="str">
        <f>IF(OR(S262="North America",S262="Rocky Mountain"), "Widespread",BC262)</f>
        <v>Widespread</v>
      </c>
      <c r="BB262" s="4"/>
      <c r="BC262" s="35">
        <f ca="1">IF(BE262&gt;2046, "Abundant",BE262)</f>
        <v>2033.5225145573381</v>
      </c>
      <c r="BD262" s="4"/>
      <c r="BE262" s="81">
        <f ca="1">YEAR($C$13)+(BG262*80)</f>
        <v>2033.5225145573381</v>
      </c>
      <c r="BF262" s="4"/>
      <c r="BG262" s="137">
        <f ca="1">BH262*$BH$14</f>
        <v>0.18153143196672608</v>
      </c>
      <c r="BH262" s="137">
        <f ca="1">(((BJ262+BK262+BM262+BN262)/4)*$BM$11)+(((BP262+BQ262)/2)*$BQ$11)+(((BU262+BV262+BW262)/3)*$BU$11)+(((BY262+BZ262+CA262+CB262+CC262)/5)*$CA$11)</f>
        <v>0.18153143196672608</v>
      </c>
      <c r="BI262" s="4"/>
      <c r="BJ262" s="33">
        <f>AP262/(AM262+AO262)</f>
        <v>0</v>
      </c>
      <c r="BK262" s="33">
        <f>(AN262+AO262)/(AM262+AO262)</f>
        <v>0</v>
      </c>
      <c r="BL262" s="4"/>
      <c r="BM262" s="127">
        <f>CF262/102</f>
        <v>9.0196078431372548E-2</v>
      </c>
      <c r="BN262" s="127">
        <f>C262/2</f>
        <v>0.5</v>
      </c>
      <c r="BO262" s="4"/>
      <c r="BP262" s="127">
        <f>(AK262)/($AW$6)</f>
        <v>6.0606060606060608E-2</v>
      </c>
      <c r="BQ262" s="127">
        <f ca="1">(CH262-$AW$4)/((YEAR($C$13))-$AW$4)</f>
        <v>6.6666666666666666E-2</v>
      </c>
      <c r="BR262" s="127">
        <f>(AL262)/($AW$6)</f>
        <v>0.22222222222222221</v>
      </c>
      <c r="BS262" s="4"/>
      <c r="BT262" s="127"/>
      <c r="BU262" s="127">
        <f ca="1">(CG262-$AW$4)/((YEAR($C$13))-$AW$4)</f>
        <v>6.6666666666666666E-2</v>
      </c>
      <c r="BV262" s="127">
        <f>AE262/5</f>
        <v>1</v>
      </c>
      <c r="BW262" s="127">
        <f>AF262/5</f>
        <v>1</v>
      </c>
      <c r="BX262" s="4"/>
      <c r="BY262" s="148" t="str">
        <f>IF(E262="A",".98",IF(E262="B",".99",IF(E262="C","1.00",IF(E262="D","1.00" ))))</f>
        <v>.98</v>
      </c>
      <c r="BZ262" s="127">
        <f>(CE262+7)/10</f>
        <v>0.8</v>
      </c>
      <c r="CA262" s="76" t="str">
        <f>IF(D262="Fern",".97",IF(D262="Grass",".99",IF(D262="Herb",".97",IF(D262="Shrub",".99",IF(D262="Tree","1.00",IF(D262="Vine",".98"))))))</f>
        <v>.97</v>
      </c>
      <c r="CB262" s="149" t="str">
        <f>IF(R262="Bogs Ponds Streams",".96", IF(R262="Coastal Areas",".97",IF(R262="Meadows Dry Open",".96",IF(R262="Forest &amp; Understory",".97",IF(R262="Moist Open",".98",IF(R262="Moist Shady",".96",IF(R262="Sub-Alpine","1.0")))))))</f>
        <v>.96</v>
      </c>
      <c r="CC262" s="76" t="str">
        <f>IF(S262="Local Endemic",".50",IF(S262="Regional Endemic",".70",IF(S262="Cascadia",".90",IF(S262="Rocky Mountain",".95",IF(S262="North America",".99")))))</f>
        <v>.99</v>
      </c>
      <c r="CD262" s="4"/>
      <c r="CE262" s="21">
        <f>IF(W262&gt;3,3,W262)</f>
        <v>1</v>
      </c>
      <c r="CF262" s="21">
        <f>IF(AC262&gt;102,102,AC262)</f>
        <v>9.1999999999999993</v>
      </c>
      <c r="CG262" s="34">
        <f>IF(AI262&lt;$AW$4,$AW$4,AI262)</f>
        <v>2005</v>
      </c>
      <c r="CH262" s="34">
        <f>IF(AJ262&lt;$AW$4,$AW$4,AJ262)</f>
        <v>2005</v>
      </c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12"/>
    </row>
    <row r="263" spans="1:115" s="13" customFormat="1" ht="15" customHeight="1" x14ac:dyDescent="0.3">
      <c r="A263" s="235"/>
      <c r="B263" s="218"/>
      <c r="C263" s="226">
        <v>2</v>
      </c>
      <c r="D263" s="104" t="s">
        <v>2505</v>
      </c>
      <c r="E263" s="104" t="s">
        <v>2501</v>
      </c>
      <c r="F263" s="400" t="str">
        <f ca="1">IF(BC263&lt;2025, "Extinct&lt; 6Yrs?",BA263)</f>
        <v>Widespread</v>
      </c>
      <c r="G263" s="369" t="s">
        <v>525</v>
      </c>
      <c r="H263" s="369" t="s">
        <v>4028</v>
      </c>
      <c r="I263" s="371" t="s">
        <v>1367</v>
      </c>
      <c r="J263" s="371" t="s">
        <v>3793</v>
      </c>
      <c r="K263" s="371" t="s">
        <v>1381</v>
      </c>
      <c r="L263" s="106" t="s">
        <v>2079</v>
      </c>
      <c r="M263" s="111" t="s">
        <v>4342</v>
      </c>
      <c r="N263" s="111" t="s">
        <v>5236</v>
      </c>
      <c r="O263" s="111" t="s">
        <v>6134</v>
      </c>
      <c r="P263" s="401" t="s">
        <v>458</v>
      </c>
      <c r="Q263" s="104" t="s">
        <v>2552</v>
      </c>
      <c r="R263" s="161" t="s">
        <v>2497</v>
      </c>
      <c r="S263" s="114" t="s">
        <v>2479</v>
      </c>
      <c r="T263" s="133" t="str">
        <f>IF(R263="Bogs Ponds Streams","20",IF(R263="Coastal Areas","26",IF(R263="Meadows Dry Open","10",IF(R263="Forest &amp; Understory","14",IF(R263="Moist Open","12",IF(R263="Moist Shady","10",IF(R263="Sub-Alpine Slopes","0")))))))</f>
        <v>12</v>
      </c>
      <c r="U263" s="133" t="str">
        <f>IF(R263="Bogs Ponds Streams","52",IF(R263="Coastal Areas","51",IF(R263="Meadows Dry Open","53",IF(R263="Forest &amp; Understory","52",IF(R263="Moist Open","50",IF(R263="Moist Shady","46",IF(R263="Sub-Alpine Slopes","40")))))))</f>
        <v>50</v>
      </c>
      <c r="V263" s="133" t="str">
        <f>IF(R263="Bogs Ponds Streams","84",IF(R263="Coastal Areas","76",IF(R263="Meadows Dry Open","96", IF(R263="Forest &amp; Understory","90", IF(R263="Moist Open","88", IF(R263="Moist Shady","82", IF(R263="Sub-Alpine Slopes","80")))))))</f>
        <v>88</v>
      </c>
      <c r="W263" s="104">
        <v>20</v>
      </c>
      <c r="X263" s="104">
        <v>0</v>
      </c>
      <c r="Y263" s="104">
        <v>3500</v>
      </c>
      <c r="Z263" s="104" t="s">
        <v>2519</v>
      </c>
      <c r="AA263" s="104" t="s">
        <v>2518</v>
      </c>
      <c r="AB263" s="104">
        <v>6.8</v>
      </c>
      <c r="AC263" s="107">
        <f>C263+AK263+(0.1)*AL263</f>
        <v>6.2</v>
      </c>
      <c r="AD263" s="113">
        <v>69</v>
      </c>
      <c r="AE263" s="104">
        <v>5</v>
      </c>
      <c r="AF263" s="104">
        <v>5</v>
      </c>
      <c r="AG263" s="104">
        <v>1900</v>
      </c>
      <c r="AH263" s="113">
        <v>0</v>
      </c>
      <c r="AI263" s="104">
        <f>AJ263</f>
        <v>2018</v>
      </c>
      <c r="AJ263" s="108">
        <v>2018</v>
      </c>
      <c r="AK263" s="108">
        <v>2</v>
      </c>
      <c r="AL263" s="108">
        <v>22</v>
      </c>
      <c r="AM263" s="109">
        <v>5</v>
      </c>
      <c r="AN263" s="109">
        <v>5</v>
      </c>
      <c r="AO263" s="109">
        <v>5</v>
      </c>
      <c r="AP263" s="109">
        <v>5</v>
      </c>
      <c r="AQ263" s="109">
        <v>0</v>
      </c>
      <c r="AR263" s="109">
        <v>0</v>
      </c>
      <c r="AS263" s="110">
        <v>0</v>
      </c>
      <c r="AT263" s="109">
        <v>0</v>
      </c>
      <c r="AU263" s="109">
        <v>0</v>
      </c>
      <c r="AV263" s="109">
        <v>0</v>
      </c>
      <c r="AW263" s="110">
        <v>0</v>
      </c>
      <c r="AX263" s="109">
        <v>0</v>
      </c>
      <c r="AY263" s="233"/>
      <c r="AZ263" s="4"/>
      <c r="BA263" s="35" t="str">
        <f>IF(OR(S263="North America",S263="Rocky Mountain"), "Widespread",BC263)</f>
        <v>Widespread</v>
      </c>
      <c r="BB263" s="4"/>
      <c r="BC263" s="35" t="str">
        <f ca="1">IF(BE263&gt;2046, "Abundant",BE263)</f>
        <v>Abundant</v>
      </c>
      <c r="BD263" s="4"/>
      <c r="BE263" s="81">
        <f ca="1">YEAR($C$13)+(BG263*80)</f>
        <v>2068.997613784908</v>
      </c>
      <c r="BF263" s="4"/>
      <c r="BG263" s="137">
        <f ca="1">BH263*$BH$14</f>
        <v>0.62497017231134866</v>
      </c>
      <c r="BH263" s="137">
        <f ca="1">(((BJ263+BK263+BM263+BN263)/4)*$BM$11)+(((BP263+BQ263)/2)*$BQ$11)+(((BU263+BV263+BW263)/3)*$BU$11)+(((BY263+BZ263+CA263+CB263+CC263)/5)*$CA$11)</f>
        <v>0.62497017231134866</v>
      </c>
      <c r="BI263" s="4"/>
      <c r="BJ263" s="33">
        <f>AP263/(AM263+AO263)</f>
        <v>0.5</v>
      </c>
      <c r="BK263" s="33">
        <f>(AN263+AO263)/(AM263+AO263)</f>
        <v>1</v>
      </c>
      <c r="BL263" s="4"/>
      <c r="BM263" s="127">
        <f>CF263/102</f>
        <v>6.0784313725490195E-2</v>
      </c>
      <c r="BN263" s="127">
        <f>C263/2</f>
        <v>1</v>
      </c>
      <c r="BO263" s="4"/>
      <c r="BP263" s="127">
        <f>(AK263)/($AW$6)</f>
        <v>2.0202020202020204E-2</v>
      </c>
      <c r="BQ263" s="127">
        <f ca="1">(CH263-$AW$4)/((YEAR($C$13))-$AW$4)</f>
        <v>0.93333333333333335</v>
      </c>
      <c r="BR263" s="127">
        <f>(AL263)/($AW$6)</f>
        <v>0.22222222222222221</v>
      </c>
      <c r="BS263" s="4"/>
      <c r="BT263" s="127"/>
      <c r="BU263" s="127">
        <f ca="1">(CG263-$AW$4)/((YEAR($C$13))-$AW$4)</f>
        <v>0.93333333333333335</v>
      </c>
      <c r="BV263" s="127">
        <f>AE263/5</f>
        <v>1</v>
      </c>
      <c r="BW263" s="127">
        <f>AF263/5</f>
        <v>1</v>
      </c>
      <c r="BX263" s="4"/>
      <c r="BY263" s="148" t="str">
        <f>IF(E263="A",".98",IF(E263="B",".99",IF(E263="C","1.00",IF(E263="D","1.00" ))))</f>
        <v>1.00</v>
      </c>
      <c r="BZ263" s="127">
        <f>(CE263+7)/10</f>
        <v>1</v>
      </c>
      <c r="CA263" s="76" t="str">
        <f>IF(D263="Fern",".97",IF(D263="Grass",".99",IF(D263="Herb",".97",IF(D263="Shrub",".99",IF(D263="Tree","1.00",IF(D263="Vine",".98"))))))</f>
        <v>.97</v>
      </c>
      <c r="CB263" s="149" t="str">
        <f>IF(R263="Bogs Ponds Streams",".96", IF(R263="Coastal Areas",".97",IF(R263="Meadows Dry Open",".96",IF(R263="Forest &amp; Understory",".97",IF(R263="Moist Open",".98",IF(R263="Moist Shady",".96",IF(R263="Sub-Alpine","1.0")))))))</f>
        <v>.98</v>
      </c>
      <c r="CC263" s="76" t="str">
        <f>IF(S263="Local Endemic",".50",IF(S263="Regional Endemic",".70",IF(S263="Cascadia",".90",IF(S263="Rocky Mountain",".95",IF(S263="North America",".99")))))</f>
        <v>.95</v>
      </c>
      <c r="CD263" s="4"/>
      <c r="CE263" s="21">
        <f>IF(W263&gt;3,3,W263)</f>
        <v>3</v>
      </c>
      <c r="CF263" s="21">
        <f>IF(AC263&gt;102,102,AC263)</f>
        <v>6.2</v>
      </c>
      <c r="CG263" s="34">
        <f>IF(AI263&lt;$AW$4,$AW$4,AI263)</f>
        <v>2018</v>
      </c>
      <c r="CH263" s="34">
        <f>IF(AJ263&lt;$AW$4,$AW$4,AJ263)</f>
        <v>2018</v>
      </c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</row>
    <row r="264" spans="1:115" s="13" customFormat="1" ht="15" customHeight="1" x14ac:dyDescent="0.3">
      <c r="A264" s="235"/>
      <c r="B264" s="218"/>
      <c r="C264" s="225">
        <v>8</v>
      </c>
      <c r="D264" s="59" t="s">
        <v>1154</v>
      </c>
      <c r="E264" s="59" t="s">
        <v>2501</v>
      </c>
      <c r="F264" s="397" t="str">
        <f ca="1">IF(BC264&lt;2025, "Extinct&lt; 6Yrs?",BA264)</f>
        <v>Widespread</v>
      </c>
      <c r="G264" s="363" t="s">
        <v>525</v>
      </c>
      <c r="H264" s="363" t="s">
        <v>681</v>
      </c>
      <c r="I264" s="366" t="s">
        <v>3031</v>
      </c>
      <c r="J264" s="365" t="s">
        <v>3294</v>
      </c>
      <c r="K264" s="365" t="s">
        <v>937</v>
      </c>
      <c r="L264" s="10" t="s">
        <v>1940</v>
      </c>
      <c r="M264" s="8" t="s">
        <v>4343</v>
      </c>
      <c r="N264" s="8" t="s">
        <v>5237</v>
      </c>
      <c r="O264" s="8" t="s">
        <v>6135</v>
      </c>
      <c r="P264" s="9" t="s">
        <v>3298</v>
      </c>
      <c r="Q264" s="59" t="s">
        <v>2552</v>
      </c>
      <c r="R264" s="9" t="s">
        <v>2498</v>
      </c>
      <c r="S264" s="9" t="s">
        <v>2495</v>
      </c>
      <c r="T264" s="123" t="str">
        <f>IF(R264="Bogs Ponds Streams","20",IF(R264="Coastal Areas","26",IF(R264="Meadows Dry Open","10",IF(R264="Forest &amp; Understory","14",IF(R264="Moist Open","12",IF(R264="Moist Shady","10",IF(R264="Sub-Alpine Slopes","0")))))))</f>
        <v>10</v>
      </c>
      <c r="U264" s="123" t="str">
        <f>IF(R264="Bogs Ponds Streams","52",IF(R264="Coastal Areas","51",IF(R264="Meadows Dry Open","53",IF(R264="Forest &amp; Understory","52",IF(R264="Moist Open","50",IF(R264="Moist Shady","46",IF(R264="Sub-Alpine Slopes","40")))))))</f>
        <v>46</v>
      </c>
      <c r="V264" s="123" t="str">
        <f>IF(R264="Bogs Ponds Streams","84",IF(R264="Coastal Areas","76",IF(R264="Meadows Dry Open","96", IF(R264="Forest &amp; Understory","90", IF(R264="Moist Open","88", IF(R264="Moist Shady","82", IF(R264="Sub-Alpine Slopes","80")))))))</f>
        <v>82</v>
      </c>
      <c r="W264" s="59">
        <v>20</v>
      </c>
      <c r="X264" s="59">
        <v>0</v>
      </c>
      <c r="Y264" s="59">
        <v>3500</v>
      </c>
      <c r="Z264" s="59" t="s">
        <v>2519</v>
      </c>
      <c r="AA264" s="59" t="s">
        <v>2518</v>
      </c>
      <c r="AB264" s="59">
        <v>6.8</v>
      </c>
      <c r="AC264" s="45">
        <f>C264+AK264+(0.1)*AL264</f>
        <v>18</v>
      </c>
      <c r="AD264" s="77">
        <v>306</v>
      </c>
      <c r="AE264" s="59">
        <v>5</v>
      </c>
      <c r="AF264" s="59">
        <v>5</v>
      </c>
      <c r="AG264" s="59">
        <v>1900</v>
      </c>
      <c r="AH264" s="77">
        <v>0</v>
      </c>
      <c r="AI264" s="59">
        <f ca="1">AJ264</f>
        <v>2019</v>
      </c>
      <c r="AJ264" s="18">
        <f ca="1">YEAR(TODAY())</f>
        <v>2019</v>
      </c>
      <c r="AK264" s="18">
        <v>10</v>
      </c>
      <c r="AL264" s="18">
        <v>0</v>
      </c>
      <c r="AM264" s="18">
        <v>1</v>
      </c>
      <c r="AN264" s="18">
        <v>1</v>
      </c>
      <c r="AO264" s="18">
        <v>5</v>
      </c>
      <c r="AP264" s="18">
        <v>1</v>
      </c>
      <c r="AQ264" s="18">
        <v>0</v>
      </c>
      <c r="AR264" s="18">
        <v>0</v>
      </c>
      <c r="AS264" s="18">
        <v>0</v>
      </c>
      <c r="AT264" s="18">
        <v>0</v>
      </c>
      <c r="AU264" s="18">
        <v>0</v>
      </c>
      <c r="AV264" s="18">
        <v>0</v>
      </c>
      <c r="AW264" s="18">
        <v>0</v>
      </c>
      <c r="AX264" s="18">
        <v>0</v>
      </c>
      <c r="AY264" s="233"/>
      <c r="AZ264" s="4"/>
      <c r="BA264" s="35" t="str">
        <f>IF(OR(S264="North America",S264="Rocky Mountain"), "Widespread",BC264)</f>
        <v>Widespread</v>
      </c>
      <c r="BB264" s="4"/>
      <c r="BC264" s="35" t="str">
        <f ca="1">IF(BE264&gt;2046, "Abundant",BE264)</f>
        <v>Abundant</v>
      </c>
      <c r="BD264" s="4"/>
      <c r="BE264" s="81">
        <f ca="1">YEAR($C$13)+(BG264*80)</f>
        <v>2104.3041682709445</v>
      </c>
      <c r="BF264" s="4"/>
      <c r="BG264" s="137">
        <f ca="1">BH264*$BH$14</f>
        <v>1.0663021033868092</v>
      </c>
      <c r="BH264" s="137">
        <f ca="1">(((BJ264+BK264+BM264+BN264)/4)*$BM$11)+(((BP264+BQ264)/2)*$BQ$11)+(((BU264+BV264+BW264)/3)*$BU$11)+(((BY264+BZ264+CA264+CB264+CC264)/5)*$CA$11)</f>
        <v>1.0663021033868092</v>
      </c>
      <c r="BI264" s="4"/>
      <c r="BJ264" s="33">
        <f>AP264/(AM264+AO264)</f>
        <v>0.16666666666666666</v>
      </c>
      <c r="BK264" s="33">
        <f>(AN264+AO264)/(AM264+AO264)</f>
        <v>1</v>
      </c>
      <c r="BL264" s="4"/>
      <c r="BM264" s="127">
        <f>CF264/102</f>
        <v>0.17647058823529413</v>
      </c>
      <c r="BN264" s="127">
        <f>C264/2</f>
        <v>4</v>
      </c>
      <c r="BO264" s="4"/>
      <c r="BP264" s="127">
        <f>(AK264)/($AW$6)</f>
        <v>0.10101010101010101</v>
      </c>
      <c r="BQ264" s="127">
        <f ca="1">(CH264-$AW$4)/((YEAR($C$13))-$AW$4)</f>
        <v>1</v>
      </c>
      <c r="BR264" s="127">
        <f>(AL264)/($AW$6)</f>
        <v>0</v>
      </c>
      <c r="BS264" s="4"/>
      <c r="BT264" s="127"/>
      <c r="BU264" s="127">
        <f ca="1">(CG264-$AW$4)/((YEAR($C$13))-$AW$4)</f>
        <v>1</v>
      </c>
      <c r="BV264" s="127">
        <f>AE264/5</f>
        <v>1</v>
      </c>
      <c r="BW264" s="127">
        <f>AF264/5</f>
        <v>1</v>
      </c>
      <c r="BX264" s="4"/>
      <c r="BY264" s="148" t="str">
        <f>IF(E264="A",".98",IF(E264="B",".99",IF(E264="C","1.00",IF(E264="D","1.00" ))))</f>
        <v>1.00</v>
      </c>
      <c r="BZ264" s="127">
        <f>(CE264+7)/10</f>
        <v>1</v>
      </c>
      <c r="CA264" s="76" t="str">
        <f>IF(D264="Fern",".97",IF(D264="Grass",".99",IF(D264="Herb",".97",IF(D264="Shrub",".99",IF(D264="Tree","1.00",IF(D264="Vine",".98"))))))</f>
        <v>.97</v>
      </c>
      <c r="CB264" s="149" t="str">
        <f>IF(R264="Bogs Ponds Streams",".96", IF(R264="Coastal Areas",".97",IF(R264="Meadows Dry Open",".96",IF(R264="Forest &amp; Understory",".97",IF(R264="Moist Open",".98",IF(R264="Moist Shady",".96",IF(R264="Sub-Alpine","1.0")))))))</f>
        <v>.96</v>
      </c>
      <c r="CC264" s="76" t="str">
        <f>IF(S264="Local Endemic",".50",IF(S264="Regional Endemic",".70",IF(S264="Cascadia",".90",IF(S264="Rocky Mountain",".95",IF(S264="North America",".99")))))</f>
        <v>.99</v>
      </c>
      <c r="CD264" s="4"/>
      <c r="CE264" s="21">
        <f>IF(W264&gt;3,3,W264)</f>
        <v>3</v>
      </c>
      <c r="CF264" s="21">
        <f>IF(AC264&gt;102,102,AC264)</f>
        <v>18</v>
      </c>
      <c r="CG264" s="34">
        <f ca="1">IF(AI264&lt;$AW$4,$AW$4,AI264)</f>
        <v>2019</v>
      </c>
      <c r="CH264" s="34">
        <f ca="1">IF(AJ264&lt;$AW$4,$AW$4,AJ264)</f>
        <v>2019</v>
      </c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</row>
    <row r="265" spans="1:115" s="13" customFormat="1" ht="15" customHeight="1" x14ac:dyDescent="0.3">
      <c r="A265" s="235"/>
      <c r="B265" s="218"/>
      <c r="C265" s="225">
        <v>8</v>
      </c>
      <c r="D265" s="94" t="s">
        <v>1155</v>
      </c>
      <c r="E265" s="59" t="s">
        <v>2501</v>
      </c>
      <c r="F265" s="397" t="str">
        <f ca="1">IF(BC265&lt;2025, "Extinct&lt; 6Yrs?",BA265)</f>
        <v>Widespread</v>
      </c>
      <c r="G265" s="363" t="s">
        <v>525</v>
      </c>
      <c r="H265" s="363" t="s">
        <v>681</v>
      </c>
      <c r="I265" s="366" t="s">
        <v>210</v>
      </c>
      <c r="J265" s="365" t="s">
        <v>3295</v>
      </c>
      <c r="K265" s="365" t="s">
        <v>209</v>
      </c>
      <c r="L265" s="10" t="s">
        <v>2011</v>
      </c>
      <c r="M265" s="8" t="s">
        <v>4344</v>
      </c>
      <c r="N265" s="8" t="s">
        <v>5238</v>
      </c>
      <c r="O265" s="8" t="s">
        <v>6136</v>
      </c>
      <c r="P265" s="9" t="s">
        <v>468</v>
      </c>
      <c r="Q265" s="59" t="s">
        <v>2552</v>
      </c>
      <c r="R265" s="9" t="s">
        <v>2500</v>
      </c>
      <c r="S265" s="9" t="s">
        <v>2479</v>
      </c>
      <c r="T265" s="123" t="str">
        <f>IF(R265="Bogs Ponds Streams","20",IF(R265="Coastal Areas","26",IF(R265="Meadows Dry Open","10",IF(R265="Forest &amp; Understory","14",IF(R265="Moist Open","12",IF(R265="Moist Shady","10",IF(R265="Sub-Alpine Slopes","0")))))))</f>
        <v>10</v>
      </c>
      <c r="U265" s="123" t="str">
        <f>IF(R265="Bogs Ponds Streams","52",IF(R265="Coastal Areas","51",IF(R265="Meadows Dry Open","53",IF(R265="Forest &amp; Understory","52",IF(R265="Moist Open","50",IF(R265="Moist Shady","46",IF(R265="Sub-Alpine Slopes","40")))))))</f>
        <v>53</v>
      </c>
      <c r="V265" s="123" t="str">
        <f>IF(R265="Bogs Ponds Streams","84",IF(R265="Coastal Areas","76",IF(R265="Meadows Dry Open","96", IF(R265="Forest &amp; Understory","90", IF(R265="Moist Open","88", IF(R265="Moist Shady","82", IF(R265="Sub-Alpine Slopes","80")))))))</f>
        <v>96</v>
      </c>
      <c r="W265" s="59">
        <v>20</v>
      </c>
      <c r="X265" s="59">
        <v>0</v>
      </c>
      <c r="Y265" s="59">
        <v>3500</v>
      </c>
      <c r="Z265" s="59" t="s">
        <v>2519</v>
      </c>
      <c r="AA265" s="59" t="s">
        <v>2518</v>
      </c>
      <c r="AB265" s="59">
        <v>6.8</v>
      </c>
      <c r="AC265" s="45">
        <f>C265+AK265+(0.1)*AL265</f>
        <v>28.5</v>
      </c>
      <c r="AD265" s="77">
        <v>84</v>
      </c>
      <c r="AE265" s="59">
        <v>5</v>
      </c>
      <c r="AF265" s="59">
        <v>5</v>
      </c>
      <c r="AG265" s="59">
        <v>1900</v>
      </c>
      <c r="AH265" s="77">
        <v>0</v>
      </c>
      <c r="AI265" s="59">
        <f>AJ265</f>
        <v>2015</v>
      </c>
      <c r="AJ265" s="18">
        <v>2015</v>
      </c>
      <c r="AK265" s="18">
        <v>19</v>
      </c>
      <c r="AL265" s="18">
        <v>15</v>
      </c>
      <c r="AM265" s="18">
        <v>1</v>
      </c>
      <c r="AN265" s="18">
        <v>1</v>
      </c>
      <c r="AO265" s="18">
        <v>5</v>
      </c>
      <c r="AP265" s="18">
        <v>1</v>
      </c>
      <c r="AQ265" s="18">
        <v>0</v>
      </c>
      <c r="AR265" s="18">
        <v>0</v>
      </c>
      <c r="AS265" s="18">
        <v>0</v>
      </c>
      <c r="AT265" s="18">
        <v>0</v>
      </c>
      <c r="AU265" s="18">
        <v>0</v>
      </c>
      <c r="AV265" s="18">
        <v>0</v>
      </c>
      <c r="AW265" s="18">
        <v>0</v>
      </c>
      <c r="AX265" s="18">
        <v>0</v>
      </c>
      <c r="AY265" s="233"/>
      <c r="AZ265" s="4"/>
      <c r="BA265" s="35" t="str">
        <f>IF(OR(S265="North America",S265="Rocky Mountain"), "Widespread",BC265)</f>
        <v>Widespread</v>
      </c>
      <c r="BB265" s="4"/>
      <c r="BC265" s="35" t="str">
        <f ca="1">IF(BE265&gt;2046, "Abundant",BE265)</f>
        <v>Abundant</v>
      </c>
      <c r="BD265" s="4"/>
      <c r="BE265" s="81">
        <f ca="1">YEAR($C$13)+(BG265*80)</f>
        <v>2102.8550825906118</v>
      </c>
      <c r="BF265" s="4"/>
      <c r="BG265" s="137">
        <f ca="1">BH265*$BH$14</f>
        <v>1.0481885323826501</v>
      </c>
      <c r="BH265" s="137">
        <f ca="1">(((BJ265+BK265+BM265+BN265)/4)*$BM$11)+(((BP265+BQ265)/2)*$BQ$11)+(((BU265+BV265+BW265)/3)*$BU$11)+(((BY265+BZ265+CA265+CB265+CC265)/5)*$CA$11)</f>
        <v>1.0481885323826501</v>
      </c>
      <c r="BI265" s="4"/>
      <c r="BJ265" s="33">
        <f>AP265/(AM265+AO265)</f>
        <v>0.16666666666666666</v>
      </c>
      <c r="BK265" s="33">
        <f>(AN265+AO265)/(AM265+AO265)</f>
        <v>1</v>
      </c>
      <c r="BL265" s="4"/>
      <c r="BM265" s="127">
        <f>CF265/102</f>
        <v>0.27941176470588236</v>
      </c>
      <c r="BN265" s="127">
        <f>C265/2</f>
        <v>4</v>
      </c>
      <c r="BO265" s="4"/>
      <c r="BP265" s="127">
        <f>(AK265)/($AW$6)</f>
        <v>0.19191919191919191</v>
      </c>
      <c r="BQ265" s="127">
        <f ca="1">(CH265-$AW$4)/((YEAR($C$13))-$AW$4)</f>
        <v>0.73333333333333328</v>
      </c>
      <c r="BR265" s="127">
        <f>(AL265)/($AW$6)</f>
        <v>0.15151515151515152</v>
      </c>
      <c r="BS265" s="4"/>
      <c r="BT265" s="127"/>
      <c r="BU265" s="127">
        <f ca="1">(CG265-$AW$4)/((YEAR($C$13))-$AW$4)</f>
        <v>0.73333333333333328</v>
      </c>
      <c r="BV265" s="127">
        <f>AE265/5</f>
        <v>1</v>
      </c>
      <c r="BW265" s="127">
        <f>AF265/5</f>
        <v>1</v>
      </c>
      <c r="BX265" s="4"/>
      <c r="BY265" s="148" t="str">
        <f>IF(E265="A",".98",IF(E265="B",".99",IF(E265="C","1.00",IF(E265="D","1.00" ))))</f>
        <v>1.00</v>
      </c>
      <c r="BZ265" s="127">
        <f>(CE265+7)/10</f>
        <v>1</v>
      </c>
      <c r="CA265" s="76" t="str">
        <f>IF(D265="Fern",".97",IF(D265="Grass",".99",IF(D265="Herb",".97",IF(D265="Shrub",".99",IF(D265="Tree","1.00",IF(D265="Vine",".98"))))))</f>
        <v>.99</v>
      </c>
      <c r="CB265" s="149" t="str">
        <f>IF(R265="Bogs Ponds Streams",".96", IF(R265="Coastal Areas",".97",IF(R265="Meadows Dry Open",".96",IF(R265="Forest &amp; Understory",".97",IF(R265="Moist Open",".98",IF(R265="Moist Shady",".96",IF(R265="Sub-Alpine","1.0")))))))</f>
        <v>.96</v>
      </c>
      <c r="CC265" s="76" t="str">
        <f>IF(S265="Local Endemic",".50",IF(S265="Regional Endemic",".70",IF(S265="Cascadia",".90",IF(S265="Rocky Mountain",".95",IF(S265="North America",".99")))))</f>
        <v>.95</v>
      </c>
      <c r="CD265" s="4"/>
      <c r="CE265" s="21">
        <f>IF(W265&gt;3,3,W265)</f>
        <v>3</v>
      </c>
      <c r="CF265" s="21">
        <f>IF(AC265&gt;102,102,AC265)</f>
        <v>28.5</v>
      </c>
      <c r="CG265" s="34">
        <f>IF(AI265&lt;$AW$4,$AW$4,AI265)</f>
        <v>2015</v>
      </c>
      <c r="CH265" s="34">
        <f>IF(AJ265&lt;$AW$4,$AW$4,AJ265)</f>
        <v>2015</v>
      </c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</row>
    <row r="266" spans="1:115" s="13" customFormat="1" ht="15" customHeight="1" x14ac:dyDescent="0.3">
      <c r="A266" s="235"/>
      <c r="B266" s="218"/>
      <c r="C266" s="225">
        <v>8</v>
      </c>
      <c r="D266" s="94" t="s">
        <v>1155</v>
      </c>
      <c r="E266" s="59" t="s">
        <v>2501</v>
      </c>
      <c r="F266" s="397" t="str">
        <f ca="1">IF(BC266&lt;2025, "Extinct&lt; 6Yrs?",BA266)</f>
        <v>Widespread</v>
      </c>
      <c r="G266" s="363" t="s">
        <v>525</v>
      </c>
      <c r="H266" s="363" t="s">
        <v>688</v>
      </c>
      <c r="I266" s="366" t="s">
        <v>211</v>
      </c>
      <c r="J266" s="365" t="s">
        <v>3296</v>
      </c>
      <c r="K266" s="365" t="s">
        <v>332</v>
      </c>
      <c r="L266" s="10" t="s">
        <v>2035</v>
      </c>
      <c r="M266" s="8" t="s">
        <v>4345</v>
      </c>
      <c r="N266" s="8" t="s">
        <v>5239</v>
      </c>
      <c r="O266" s="8" t="s">
        <v>6137</v>
      </c>
      <c r="P266" s="9" t="s">
        <v>468</v>
      </c>
      <c r="Q266" s="59" t="s">
        <v>2552</v>
      </c>
      <c r="R266" s="160" t="s">
        <v>2497</v>
      </c>
      <c r="S266" s="17" t="s">
        <v>2495</v>
      </c>
      <c r="T266" s="123" t="str">
        <f>IF(R266="Bogs Ponds Streams","20",IF(R266="Coastal Areas","26",IF(R266="Meadows Dry Open","10",IF(R266="Forest &amp; Understory","14",IF(R266="Moist Open","12",IF(R266="Moist Shady","10",IF(R266="Sub-Alpine Slopes","0")))))))</f>
        <v>12</v>
      </c>
      <c r="U266" s="123" t="str">
        <f>IF(R266="Bogs Ponds Streams","52",IF(R266="Coastal Areas","51",IF(R266="Meadows Dry Open","53",IF(R266="Forest &amp; Understory","52",IF(R266="Moist Open","50",IF(R266="Moist Shady","46",IF(R266="Sub-Alpine Slopes","40")))))))</f>
        <v>50</v>
      </c>
      <c r="V266" s="123" t="str">
        <f>IF(R266="Bogs Ponds Streams","84",IF(R266="Coastal Areas","76",IF(R266="Meadows Dry Open","96", IF(R266="Forest &amp; Understory","90", IF(R266="Moist Open","88", IF(R266="Moist Shady","82", IF(R266="Sub-Alpine Slopes","80")))))))</f>
        <v>88</v>
      </c>
      <c r="W266" s="59">
        <v>20</v>
      </c>
      <c r="X266" s="59">
        <v>0</v>
      </c>
      <c r="Y266" s="59">
        <v>3500</v>
      </c>
      <c r="Z266" s="59" t="s">
        <v>2519</v>
      </c>
      <c r="AA266" s="59" t="s">
        <v>2518</v>
      </c>
      <c r="AB266" s="59">
        <v>6.8</v>
      </c>
      <c r="AC266" s="45">
        <f>C266+AK266+(0.1)*AL266</f>
        <v>30.7</v>
      </c>
      <c r="AD266" s="77">
        <v>122</v>
      </c>
      <c r="AE266" s="59">
        <v>5</v>
      </c>
      <c r="AF266" s="59">
        <v>5</v>
      </c>
      <c r="AG266" s="59">
        <v>1900</v>
      </c>
      <c r="AH266" s="77">
        <v>0</v>
      </c>
      <c r="AI266" s="59">
        <f ca="1">AJ266</f>
        <v>2019</v>
      </c>
      <c r="AJ266" s="18">
        <f ca="1">YEAR(TODAY())</f>
        <v>2019</v>
      </c>
      <c r="AK266" s="18">
        <v>22</v>
      </c>
      <c r="AL266" s="18">
        <v>7</v>
      </c>
      <c r="AM266" s="18">
        <v>1</v>
      </c>
      <c r="AN266" s="18">
        <v>1</v>
      </c>
      <c r="AO266" s="18">
        <v>5</v>
      </c>
      <c r="AP266" s="18">
        <v>1</v>
      </c>
      <c r="AQ266" s="18">
        <v>0</v>
      </c>
      <c r="AR266" s="18">
        <v>0</v>
      </c>
      <c r="AS266" s="18">
        <v>0</v>
      </c>
      <c r="AT266" s="18">
        <v>0</v>
      </c>
      <c r="AU266" s="18">
        <v>0</v>
      </c>
      <c r="AV266" s="18">
        <v>0</v>
      </c>
      <c r="AW266" s="18">
        <v>0</v>
      </c>
      <c r="AX266" s="18">
        <v>0</v>
      </c>
      <c r="AY266" s="233"/>
      <c r="AZ266" s="4"/>
      <c r="BA266" s="35" t="str">
        <f>IF(OR(S266="North America",S266="Rocky Mountain"), "Widespread",BC266)</f>
        <v>Widespread</v>
      </c>
      <c r="BB266" s="4"/>
      <c r="BC266" s="35" t="str">
        <f ca="1">IF(BE266&gt;2046, "Abundant",BE266)</f>
        <v>Abundant</v>
      </c>
      <c r="BD266" s="4"/>
      <c r="BE266" s="81">
        <f ca="1">YEAR($C$13)+(BG266*80)</f>
        <v>2107.2656313725493</v>
      </c>
      <c r="BF266" s="4"/>
      <c r="BG266" s="137">
        <f ca="1">BH266*$BH$14</f>
        <v>1.1033203921568628</v>
      </c>
      <c r="BH266" s="137">
        <f ca="1">(((BJ266+BK266+BM266+BN266)/4)*$BM$11)+(((BP266+BQ266)/2)*$BQ$11)+(((BU266+BV266+BW266)/3)*$BU$11)+(((BY266+BZ266+CA266+CB266+CC266)/5)*$CA$11)</f>
        <v>1.1033203921568628</v>
      </c>
      <c r="BI266" s="4"/>
      <c r="BJ266" s="33">
        <f>AP266/(AM266+AO266)</f>
        <v>0.16666666666666666</v>
      </c>
      <c r="BK266" s="33">
        <f>(AN266+AO266)/(AM266+AO266)</f>
        <v>1</v>
      </c>
      <c r="BL266" s="4"/>
      <c r="BM266" s="127">
        <f>CF266/102</f>
        <v>0.30098039215686273</v>
      </c>
      <c r="BN266" s="127">
        <f>C266/2</f>
        <v>4</v>
      </c>
      <c r="BO266" s="4"/>
      <c r="BP266" s="127">
        <f>(AK266)/($AW$6)</f>
        <v>0.22222222222222221</v>
      </c>
      <c r="BQ266" s="127">
        <f ca="1">(CH266-$AW$4)/((YEAR($C$13))-$AW$4)</f>
        <v>1</v>
      </c>
      <c r="BR266" s="127">
        <f>(AL266)/($AW$6)</f>
        <v>7.0707070707070704E-2</v>
      </c>
      <c r="BS266" s="4"/>
      <c r="BT266" s="127"/>
      <c r="BU266" s="127">
        <f ca="1">(CG266-$AW$4)/((YEAR($C$13))-$AW$4)</f>
        <v>1</v>
      </c>
      <c r="BV266" s="127">
        <f>AE266/5</f>
        <v>1</v>
      </c>
      <c r="BW266" s="127">
        <f>AF266/5</f>
        <v>1</v>
      </c>
      <c r="BX266" s="4"/>
      <c r="BY266" s="148" t="str">
        <f>IF(E266="A",".98",IF(E266="B",".99",IF(E266="C","1.00",IF(E266="D","1.00" ))))</f>
        <v>1.00</v>
      </c>
      <c r="BZ266" s="127">
        <f>(CE266+7)/10</f>
        <v>1</v>
      </c>
      <c r="CA266" s="76" t="str">
        <f>IF(D266="Fern",".97",IF(D266="Grass",".99",IF(D266="Herb",".97",IF(D266="Shrub",".99",IF(D266="Tree","1.00",IF(D266="Vine",".98"))))))</f>
        <v>.99</v>
      </c>
      <c r="CB266" s="149" t="str">
        <f>IF(R266="Bogs Ponds Streams",".96", IF(R266="Coastal Areas",".97",IF(R266="Meadows Dry Open",".96",IF(R266="Forest &amp; Understory",".97",IF(R266="Moist Open",".98",IF(R266="Moist Shady",".96",IF(R266="Sub-Alpine","1.0")))))))</f>
        <v>.98</v>
      </c>
      <c r="CC266" s="76" t="str">
        <f>IF(S266="Local Endemic",".50",IF(S266="Regional Endemic",".70",IF(S266="Cascadia",".90",IF(S266="Rocky Mountain",".95",IF(S266="North America",".99")))))</f>
        <v>.99</v>
      </c>
      <c r="CD266" s="4"/>
      <c r="CE266" s="21">
        <f>IF(W266&gt;3,3,W266)</f>
        <v>3</v>
      </c>
      <c r="CF266" s="21">
        <f>IF(AC266&gt;102,102,AC266)</f>
        <v>30.7</v>
      </c>
      <c r="CG266" s="34">
        <f ca="1">IF(AI266&lt;$AW$4,$AW$4,AI266)</f>
        <v>2019</v>
      </c>
      <c r="CH266" s="34">
        <f ca="1">IF(AJ266&lt;$AW$4,$AW$4,AJ266)</f>
        <v>2019</v>
      </c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</row>
    <row r="267" spans="1:115" s="13" customFormat="1" ht="15" customHeight="1" x14ac:dyDescent="0.3">
      <c r="A267" s="235"/>
      <c r="B267" s="218"/>
      <c r="C267" s="226">
        <v>2</v>
      </c>
      <c r="D267" s="119" t="s">
        <v>1155</v>
      </c>
      <c r="E267" s="104" t="s">
        <v>2501</v>
      </c>
      <c r="F267" s="400" t="str">
        <f ca="1">IF(BC267&lt;2025, "Extinct&lt; 6Yrs?",BA267)</f>
        <v>Widespread</v>
      </c>
      <c r="G267" s="369" t="s">
        <v>525</v>
      </c>
      <c r="H267" s="369" t="s">
        <v>4028</v>
      </c>
      <c r="I267" s="370" t="s">
        <v>213</v>
      </c>
      <c r="J267" s="371" t="s">
        <v>3792</v>
      </c>
      <c r="K267" s="371" t="s">
        <v>212</v>
      </c>
      <c r="L267" s="106" t="s">
        <v>2010</v>
      </c>
      <c r="M267" s="111" t="s">
        <v>4346</v>
      </c>
      <c r="N267" s="111" t="s">
        <v>5240</v>
      </c>
      <c r="O267" s="111" t="s">
        <v>6138</v>
      </c>
      <c r="P267" s="105" t="s">
        <v>468</v>
      </c>
      <c r="Q267" s="104" t="s">
        <v>2552</v>
      </c>
      <c r="R267" s="105" t="s">
        <v>2500</v>
      </c>
      <c r="S267" s="105" t="s">
        <v>2495</v>
      </c>
      <c r="T267" s="133" t="str">
        <f>IF(R267="Bogs Ponds Streams","20",IF(R267="Coastal Areas","26",IF(R267="Meadows Dry Open","10",IF(R267="Forest &amp; Understory","14",IF(R267="Moist Open","12",IF(R267="Moist Shady","10",IF(R267="Sub-Alpine Slopes","0")))))))</f>
        <v>10</v>
      </c>
      <c r="U267" s="133" t="str">
        <f>IF(R267="Bogs Ponds Streams","52",IF(R267="Coastal Areas","51",IF(R267="Meadows Dry Open","53",IF(R267="Forest &amp; Understory","52",IF(R267="Moist Open","50",IF(R267="Moist Shady","46",IF(R267="Sub-Alpine Slopes","40")))))))</f>
        <v>53</v>
      </c>
      <c r="V267" s="133" t="str">
        <f>IF(R267="Bogs Ponds Streams","84",IF(R267="Coastal Areas","76",IF(R267="Meadows Dry Open","96", IF(R267="Forest &amp; Understory","90", IF(R267="Moist Open","88", IF(R267="Moist Shady","82", IF(R267="Sub-Alpine Slopes","80")))))))</f>
        <v>96</v>
      </c>
      <c r="W267" s="104">
        <v>20</v>
      </c>
      <c r="X267" s="104">
        <v>0</v>
      </c>
      <c r="Y267" s="104">
        <v>3500</v>
      </c>
      <c r="Z267" s="104" t="s">
        <v>2519</v>
      </c>
      <c r="AA267" s="104" t="s">
        <v>2518</v>
      </c>
      <c r="AB267" s="104">
        <v>6.8</v>
      </c>
      <c r="AC267" s="107">
        <f>C267+AK267+(0.1)*AL267</f>
        <v>20</v>
      </c>
      <c r="AD267" s="113">
        <v>65</v>
      </c>
      <c r="AE267" s="104">
        <v>5</v>
      </c>
      <c r="AF267" s="104">
        <v>5</v>
      </c>
      <c r="AG267" s="104">
        <v>1900</v>
      </c>
      <c r="AH267" s="113">
        <v>0</v>
      </c>
      <c r="AI267" s="104">
        <f>AJ267</f>
        <v>2015</v>
      </c>
      <c r="AJ267" s="108">
        <v>2015</v>
      </c>
      <c r="AK267" s="108">
        <v>17</v>
      </c>
      <c r="AL267" s="108">
        <v>10</v>
      </c>
      <c r="AM267" s="109">
        <v>5</v>
      </c>
      <c r="AN267" s="109">
        <v>1</v>
      </c>
      <c r="AO267" s="110">
        <v>0</v>
      </c>
      <c r="AP267" s="109">
        <v>0</v>
      </c>
      <c r="AQ267" s="109">
        <v>0</v>
      </c>
      <c r="AR267" s="109">
        <v>0</v>
      </c>
      <c r="AS267" s="110">
        <v>0</v>
      </c>
      <c r="AT267" s="109">
        <v>0</v>
      </c>
      <c r="AU267" s="109">
        <v>0</v>
      </c>
      <c r="AV267" s="109">
        <v>0</v>
      </c>
      <c r="AW267" s="110">
        <v>0</v>
      </c>
      <c r="AX267" s="109">
        <v>0</v>
      </c>
      <c r="AY267" s="233"/>
      <c r="AZ267" s="4"/>
      <c r="BA267" s="35" t="str">
        <f>IF(OR(S267="North America",S267="Rocky Mountain"), "Widespread",BC267)</f>
        <v>Widespread</v>
      </c>
      <c r="BB267" s="4"/>
      <c r="BC267" s="35" t="str">
        <f ca="1">IF(BE267&gt;2046, "Abundant",BE267)</f>
        <v>Abundant</v>
      </c>
      <c r="BD267" s="4"/>
      <c r="BE267" s="81">
        <f ca="1">YEAR($C$13)+(BG267*80)</f>
        <v>2054.0254583481878</v>
      </c>
      <c r="BF267" s="4"/>
      <c r="BG267" s="137">
        <f ca="1">BH267*$BH$14</f>
        <v>0.43781822935234693</v>
      </c>
      <c r="BH267" s="137">
        <f ca="1">(((BJ267+BK267+BM267+BN267)/4)*$BM$11)+(((BP267+BQ267)/2)*$BQ$11)+(((BU267+BV267+BW267)/3)*$BU$11)+(((BY267+BZ267+CA267+CB267+CC267)/5)*$CA$11)</f>
        <v>0.43781822935234693</v>
      </c>
      <c r="BI267" s="4"/>
      <c r="BJ267" s="33">
        <f>AP267/(AM267+AO267)</f>
        <v>0</v>
      </c>
      <c r="BK267" s="33">
        <f>(AN267+AO267)/(AM267+AO267)</f>
        <v>0.2</v>
      </c>
      <c r="BL267" s="4"/>
      <c r="BM267" s="127">
        <f>CF267/102</f>
        <v>0.19607843137254902</v>
      </c>
      <c r="BN267" s="127">
        <f>C267/2</f>
        <v>1</v>
      </c>
      <c r="BO267" s="4"/>
      <c r="BP267" s="127">
        <f>(AK267)/($AW$6)</f>
        <v>0.17171717171717171</v>
      </c>
      <c r="BQ267" s="127">
        <f ca="1">(CH267-$AW$4)/((YEAR($C$13))-$AW$4)</f>
        <v>0.73333333333333328</v>
      </c>
      <c r="BR267" s="127">
        <f>(AL267)/($AW$6)</f>
        <v>0.10101010101010101</v>
      </c>
      <c r="BS267" s="4"/>
      <c r="BT267" s="127"/>
      <c r="BU267" s="127">
        <f ca="1">(CG267-$AW$4)/((YEAR($C$13))-$AW$4)</f>
        <v>0.73333333333333328</v>
      </c>
      <c r="BV267" s="127">
        <f>AE267/5</f>
        <v>1</v>
      </c>
      <c r="BW267" s="127">
        <f>AF267/5</f>
        <v>1</v>
      </c>
      <c r="BX267" s="4"/>
      <c r="BY267" s="148" t="str">
        <f>IF(E267="A",".98",IF(E267="B",".99",IF(E267="C","1.00",IF(E267="D","1.00" ))))</f>
        <v>1.00</v>
      </c>
      <c r="BZ267" s="127">
        <f>(CE267+7)/10</f>
        <v>1</v>
      </c>
      <c r="CA267" s="76" t="str">
        <f>IF(D267="Fern",".97",IF(D267="Grass",".99",IF(D267="Herb",".97",IF(D267="Shrub",".99",IF(D267="Tree","1.00",IF(D267="Vine",".98"))))))</f>
        <v>.99</v>
      </c>
      <c r="CB267" s="149" t="str">
        <f>IF(R267="Bogs Ponds Streams",".96", IF(R267="Coastal Areas",".97",IF(R267="Meadows Dry Open",".96",IF(R267="Forest &amp; Understory",".97",IF(R267="Moist Open",".98",IF(R267="Moist Shady",".96",IF(R267="Sub-Alpine","1.0")))))))</f>
        <v>.96</v>
      </c>
      <c r="CC267" s="76" t="str">
        <f>IF(S267="Local Endemic",".50",IF(S267="Regional Endemic",".70",IF(S267="Cascadia",".90",IF(S267="Rocky Mountain",".95",IF(S267="North America",".99")))))</f>
        <v>.99</v>
      </c>
      <c r="CD267" s="4"/>
      <c r="CE267" s="21">
        <f>IF(W267&gt;3,3,W267)</f>
        <v>3</v>
      </c>
      <c r="CF267" s="21">
        <f>IF(AC267&gt;102,102,AC267)</f>
        <v>20</v>
      </c>
      <c r="CG267" s="34">
        <f>IF(AI267&lt;$AW$4,$AW$4,AI267)</f>
        <v>2015</v>
      </c>
      <c r="CH267" s="34">
        <f>IF(AJ267&lt;$AW$4,$AW$4,AJ267)</f>
        <v>2015</v>
      </c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</row>
    <row r="268" spans="1:115" s="13" customFormat="1" ht="15" customHeight="1" x14ac:dyDescent="0.3">
      <c r="A268" s="235"/>
      <c r="B268" s="218"/>
      <c r="C268" s="225">
        <v>8</v>
      </c>
      <c r="D268" s="96" t="s">
        <v>2505</v>
      </c>
      <c r="E268" s="59" t="s">
        <v>2501</v>
      </c>
      <c r="F268" s="397" t="str">
        <f ca="1">IF(BC268&lt;2025, "Extinct&lt; 6Yrs?",BA268)</f>
        <v>Abundant</v>
      </c>
      <c r="G268" s="363" t="s">
        <v>525</v>
      </c>
      <c r="H268" s="363" t="s">
        <v>683</v>
      </c>
      <c r="I268" s="364" t="s">
        <v>2577</v>
      </c>
      <c r="J268" s="365" t="s">
        <v>2085</v>
      </c>
      <c r="K268" s="365" t="s">
        <v>1345</v>
      </c>
      <c r="L268" s="10" t="s">
        <v>1346</v>
      </c>
      <c r="M268" s="8" t="s">
        <v>4347</v>
      </c>
      <c r="N268" s="8" t="s">
        <v>5241</v>
      </c>
      <c r="O268" s="8" t="s">
        <v>6139</v>
      </c>
      <c r="P268" s="9" t="s">
        <v>1742</v>
      </c>
      <c r="Q268" s="59" t="s">
        <v>2552</v>
      </c>
      <c r="R268" s="9" t="s">
        <v>2497</v>
      </c>
      <c r="S268" s="10" t="s">
        <v>2459</v>
      </c>
      <c r="T268" s="123" t="str">
        <f>IF(R268="Bogs Ponds Streams","20",IF(R268="Coastal Areas","26",IF(R268="Meadows Dry Open","10",IF(R268="Forest &amp; Understory","14",IF(R268="Moist Open","12",IF(R268="Moist Shady","10",IF(R268="Sub-Alpine Slopes","0")))))))</f>
        <v>12</v>
      </c>
      <c r="U268" s="123" t="str">
        <f>IF(R268="Bogs Ponds Streams","52",IF(R268="Coastal Areas","51",IF(R268="Meadows Dry Open","53",IF(R268="Forest &amp; Understory","52",IF(R268="Moist Open","50",IF(R268="Moist Shady","46",IF(R268="Sub-Alpine Slopes","40")))))))</f>
        <v>50</v>
      </c>
      <c r="V268" s="123" t="str">
        <f>IF(R268="Bogs Ponds Streams","84",IF(R268="Coastal Areas","76",IF(R268="Meadows Dry Open","96", IF(R268="Forest &amp; Understory","90", IF(R268="Moist Open","88", IF(R268="Moist Shady","82", IF(R268="Sub-Alpine Slopes","80")))))))</f>
        <v>88</v>
      </c>
      <c r="W268" s="59">
        <v>20</v>
      </c>
      <c r="X268" s="59">
        <v>0</v>
      </c>
      <c r="Y268" s="59">
        <v>3500</v>
      </c>
      <c r="Z268" s="59" t="s">
        <v>2519</v>
      </c>
      <c r="AA268" s="59" t="s">
        <v>2518</v>
      </c>
      <c r="AB268" s="59">
        <v>6.8</v>
      </c>
      <c r="AC268" s="45">
        <f>C268+AK268+(0.1)*AL268</f>
        <v>10</v>
      </c>
      <c r="AD268" s="77">
        <v>22</v>
      </c>
      <c r="AE268" s="59">
        <v>5</v>
      </c>
      <c r="AF268" s="59">
        <v>5</v>
      </c>
      <c r="AG268" s="59">
        <v>1900</v>
      </c>
      <c r="AH268" s="77">
        <v>0</v>
      </c>
      <c r="AI268" s="59">
        <f ca="1">AJ268</f>
        <v>2019</v>
      </c>
      <c r="AJ268" s="18">
        <f ca="1">YEAR(TODAY())</f>
        <v>2019</v>
      </c>
      <c r="AK268" s="18">
        <v>2</v>
      </c>
      <c r="AL268" s="18">
        <v>0</v>
      </c>
      <c r="AM268" s="18">
        <v>1</v>
      </c>
      <c r="AN268" s="18">
        <v>1</v>
      </c>
      <c r="AO268" s="25">
        <v>0</v>
      </c>
      <c r="AP268" s="18">
        <v>1</v>
      </c>
      <c r="AQ268" s="18">
        <v>0</v>
      </c>
      <c r="AR268" s="18">
        <v>0</v>
      </c>
      <c r="AS268" s="18">
        <v>0</v>
      </c>
      <c r="AT268" s="18">
        <v>0</v>
      </c>
      <c r="AU268" s="18">
        <v>0</v>
      </c>
      <c r="AV268" s="18">
        <v>0</v>
      </c>
      <c r="AW268" s="18">
        <v>0</v>
      </c>
      <c r="AX268" s="18">
        <v>0</v>
      </c>
      <c r="AY268" s="233"/>
      <c r="AZ268" s="4"/>
      <c r="BA268" s="35" t="str">
        <f ca="1">IF(OR(S268="North America",S268="Rocky Mountain"), "Widespread",BC268)</f>
        <v>Abundant</v>
      </c>
      <c r="BB268" s="4"/>
      <c r="BC268" s="35" t="str">
        <f ca="1">IF(BE268&gt;2046, "Abundant",BE268)</f>
        <v>Abundant</v>
      </c>
      <c r="BD268" s="4"/>
      <c r="BE268" s="81">
        <f ca="1">YEAR($C$13)+(BG268*80)</f>
        <v>2112.3708948306594</v>
      </c>
      <c r="BF268" s="4"/>
      <c r="BG268" s="137">
        <f ca="1">BH268*$BH$14</f>
        <v>1.1671361853832443</v>
      </c>
      <c r="BH268" s="137">
        <f ca="1">(((BJ268+BK268+BM268+BN268)/4)*$BM$11)+(((BP268+BQ268)/2)*$BQ$11)+(((BU268+BV268+BW268)/3)*$BU$11)+(((BY268+BZ268+CA268+CB268+CC268)/5)*$CA$11)</f>
        <v>1.1671361853832443</v>
      </c>
      <c r="BI268" s="4"/>
      <c r="BJ268" s="33">
        <f>AP268/(AM268+AO268)</f>
        <v>1</v>
      </c>
      <c r="BK268" s="33">
        <f>(AN268+AO268)/(AM268+AO268)</f>
        <v>1</v>
      </c>
      <c r="BL268" s="4"/>
      <c r="BM268" s="127">
        <f>CF268/102</f>
        <v>9.8039215686274508E-2</v>
      </c>
      <c r="BN268" s="127">
        <f>C268/2</f>
        <v>4</v>
      </c>
      <c r="BO268" s="4"/>
      <c r="BP268" s="127">
        <f>(AK268)/($AW$6)</f>
        <v>2.0202020202020204E-2</v>
      </c>
      <c r="BQ268" s="127">
        <f ca="1">(CH268-$AW$4)/((YEAR($C$13))-$AW$4)</f>
        <v>1</v>
      </c>
      <c r="BR268" s="127">
        <f>(AL268)/($AW$6)</f>
        <v>0</v>
      </c>
      <c r="BS268" s="4"/>
      <c r="BT268" s="127"/>
      <c r="BU268" s="127">
        <f ca="1">(CG268-$AW$4)/((YEAR($C$13))-$AW$4)</f>
        <v>1</v>
      </c>
      <c r="BV268" s="127">
        <f>AE268/5</f>
        <v>1</v>
      </c>
      <c r="BW268" s="127">
        <f>AF268/5</f>
        <v>1</v>
      </c>
      <c r="BX268" s="4"/>
      <c r="BY268" s="148" t="str">
        <f>IF(E268="A",".98",IF(E268="B",".99",IF(E268="C","1.00",IF(E268="D","1.00" ))))</f>
        <v>1.00</v>
      </c>
      <c r="BZ268" s="127">
        <f>(CE268+7)/10</f>
        <v>1</v>
      </c>
      <c r="CA268" s="76" t="str">
        <f>IF(D268="Fern",".97",IF(D268="Grass",".99",IF(D268="Herb",".97",IF(D268="Shrub",".99",IF(D268="Tree","1.00",IF(D268="Vine",".98"))))))</f>
        <v>.97</v>
      </c>
      <c r="CB268" s="149" t="str">
        <f>IF(R268="Bogs Ponds Streams",".96", IF(R268="Coastal Areas",".97",IF(R268="Meadows Dry Open",".96",IF(R268="Forest &amp; Understory",".97",IF(R268="Moist Open",".98",IF(R268="Moist Shady",".96",IF(R268="Sub-Alpine","1.0")))))))</f>
        <v>.98</v>
      </c>
      <c r="CC268" s="76" t="str">
        <f>IF(S268="Local Endemic",".50",IF(S268="Regional Endemic",".70",IF(S268="Cascadia",".90",IF(S268="Rocky Mountain",".95",IF(S268="North America",".99")))))</f>
        <v>.90</v>
      </c>
      <c r="CD268" s="4"/>
      <c r="CE268" s="21">
        <f>IF(W268&gt;3,3,W268)</f>
        <v>3</v>
      </c>
      <c r="CF268" s="21">
        <f>IF(AC268&gt;102,102,AC268)</f>
        <v>10</v>
      </c>
      <c r="CG268" s="34">
        <f ca="1">IF(AI268&lt;$AW$4,$AW$4,AI268)</f>
        <v>2019</v>
      </c>
      <c r="CH268" s="34">
        <f ca="1">IF(AJ268&lt;$AW$4,$AW$4,AJ268)</f>
        <v>2019</v>
      </c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12"/>
    </row>
    <row r="269" spans="1:115" s="13" customFormat="1" ht="15" customHeight="1" x14ac:dyDescent="0.3">
      <c r="A269" s="235"/>
      <c r="B269" s="218"/>
      <c r="C269" s="225">
        <v>8</v>
      </c>
      <c r="D269" s="59" t="s">
        <v>2505</v>
      </c>
      <c r="E269" s="59" t="s">
        <v>2501</v>
      </c>
      <c r="F269" s="397" t="str">
        <f ca="1">IF(BC269&lt;2025, "Extinct&lt; 6Yrs?",BA269)</f>
        <v>Abundant</v>
      </c>
      <c r="G269" s="363" t="s">
        <v>525</v>
      </c>
      <c r="H269" s="363" t="s">
        <v>684</v>
      </c>
      <c r="I269" s="364" t="s">
        <v>1157</v>
      </c>
      <c r="J269" s="365" t="s">
        <v>3297</v>
      </c>
      <c r="K269" s="365" t="s">
        <v>1156</v>
      </c>
      <c r="L269" s="17" t="s">
        <v>1211</v>
      </c>
      <c r="M269" s="8" t="s">
        <v>4348</v>
      </c>
      <c r="N269" s="8" t="s">
        <v>5242</v>
      </c>
      <c r="O269" s="8" t="s">
        <v>4348</v>
      </c>
      <c r="P269" s="398" t="s">
        <v>361</v>
      </c>
      <c r="Q269" s="59" t="s">
        <v>2552</v>
      </c>
      <c r="R269" s="9" t="s">
        <v>2500</v>
      </c>
      <c r="S269" s="17" t="s">
        <v>2309</v>
      </c>
      <c r="T269" s="123" t="str">
        <f>IF(R269="Bogs Ponds Streams","20",IF(R269="Coastal Areas","26",IF(R269="Meadows Dry Open","10",IF(R269="Forest &amp; Understory","14",IF(R269="Moist Open","12",IF(R269="Moist Shady","10",IF(R269="Sub-Alpine Slopes","0")))))))</f>
        <v>10</v>
      </c>
      <c r="U269" s="123" t="str">
        <f>IF(R269="Bogs Ponds Streams","52",IF(R269="Coastal Areas","51",IF(R269="Meadows Dry Open","53",IF(R269="Forest &amp; Understory","52",IF(R269="Moist Open","50",IF(R269="Moist Shady","46",IF(R269="Sub-Alpine Slopes","40")))))))</f>
        <v>53</v>
      </c>
      <c r="V269" s="123" t="str">
        <f>IF(R269="Bogs Ponds Streams","84",IF(R269="Coastal Areas","76",IF(R269="Meadows Dry Open","96", IF(R269="Forest &amp; Understory","90", IF(R269="Moist Open","88", IF(R269="Moist Shady","82", IF(R269="Sub-Alpine Slopes","80")))))))</f>
        <v>96</v>
      </c>
      <c r="W269" s="59">
        <v>20</v>
      </c>
      <c r="X269" s="59">
        <v>0</v>
      </c>
      <c r="Y269" s="59">
        <v>3500</v>
      </c>
      <c r="Z269" s="59" t="s">
        <v>2519</v>
      </c>
      <c r="AA269" s="59" t="s">
        <v>2518</v>
      </c>
      <c r="AB269" s="59">
        <v>6.8</v>
      </c>
      <c r="AC269" s="45">
        <f>C269+AK269+(0.1)*AL269</f>
        <v>10</v>
      </c>
      <c r="AD269" s="77">
        <v>11</v>
      </c>
      <c r="AE269" s="59">
        <v>5</v>
      </c>
      <c r="AF269" s="59">
        <v>5</v>
      </c>
      <c r="AG269" s="59">
        <v>1900</v>
      </c>
      <c r="AH269" s="77">
        <v>0</v>
      </c>
      <c r="AI269" s="59">
        <f ca="1">AJ269</f>
        <v>2019</v>
      </c>
      <c r="AJ269" s="18">
        <f ca="1">YEAR(TODAY())</f>
        <v>2019</v>
      </c>
      <c r="AK269" s="18">
        <v>2</v>
      </c>
      <c r="AL269" s="18">
        <v>0</v>
      </c>
      <c r="AM269" s="18">
        <v>1</v>
      </c>
      <c r="AN269" s="18">
        <v>1</v>
      </c>
      <c r="AO269" s="25">
        <v>0</v>
      </c>
      <c r="AP269" s="18">
        <v>1</v>
      </c>
      <c r="AQ269" s="18">
        <v>0</v>
      </c>
      <c r="AR269" s="18">
        <v>0</v>
      </c>
      <c r="AS269" s="18">
        <v>0</v>
      </c>
      <c r="AT269" s="18">
        <v>0</v>
      </c>
      <c r="AU269" s="18">
        <v>0</v>
      </c>
      <c r="AV269" s="18">
        <v>0</v>
      </c>
      <c r="AW269" s="18">
        <v>0</v>
      </c>
      <c r="AX269" s="18">
        <v>0</v>
      </c>
      <c r="AY269" s="233"/>
      <c r="AZ269" s="4"/>
      <c r="BA269" s="35" t="str">
        <f ca="1">IF(OR(S269="North America",S269="Rocky Mountain"), "Widespread",BC269)</f>
        <v>Abundant</v>
      </c>
      <c r="BB269" s="4"/>
      <c r="BC269" s="35" t="str">
        <f ca="1">IF(BE269&gt;2046, "Abundant",BE269)</f>
        <v>Abundant</v>
      </c>
      <c r="BD269" s="4"/>
      <c r="BE269" s="81">
        <f ca="1">YEAR($C$13)+(BG269*80)</f>
        <v>2112.3004948306598</v>
      </c>
      <c r="BF269" s="4"/>
      <c r="BG269" s="137">
        <f ca="1">BH269*$BH$14</f>
        <v>1.1662561853832443</v>
      </c>
      <c r="BH269" s="137">
        <f ca="1">(((BJ269+BK269+BM269+BN269)/4)*$BM$11)+(((BP269+BQ269)/2)*$BQ$11)+(((BU269+BV269+BW269)/3)*$BU$11)+(((BY269+BZ269+CA269+CB269+CC269)/5)*$CA$11)</f>
        <v>1.1662561853832443</v>
      </c>
      <c r="BI269" s="4"/>
      <c r="BJ269" s="33">
        <f>AP269/(AM269+AO269)</f>
        <v>1</v>
      </c>
      <c r="BK269" s="33">
        <f>(AN269+AO269)/(AM269+AO269)</f>
        <v>1</v>
      </c>
      <c r="BL269" s="4"/>
      <c r="BM269" s="127">
        <f>CF269/102</f>
        <v>9.8039215686274508E-2</v>
      </c>
      <c r="BN269" s="127">
        <f>C269/2</f>
        <v>4</v>
      </c>
      <c r="BO269" s="4"/>
      <c r="BP269" s="127">
        <f>(AK269)/($AW$6)</f>
        <v>2.0202020202020204E-2</v>
      </c>
      <c r="BQ269" s="127">
        <f ca="1">(CH269-$AW$4)/((YEAR($C$13))-$AW$4)</f>
        <v>1</v>
      </c>
      <c r="BR269" s="127">
        <f>(AL269)/($AW$6)</f>
        <v>0</v>
      </c>
      <c r="BS269" s="4"/>
      <c r="BT269" s="127"/>
      <c r="BU269" s="127">
        <f ca="1">(CG269-$AW$4)/((YEAR($C$13))-$AW$4)</f>
        <v>1</v>
      </c>
      <c r="BV269" s="127">
        <f>AE269/5</f>
        <v>1</v>
      </c>
      <c r="BW269" s="127">
        <f>AF269/5</f>
        <v>1</v>
      </c>
      <c r="BX269" s="4"/>
      <c r="BY269" s="148" t="str">
        <f>IF(E269="A",".98",IF(E269="B",".99",IF(E269="C","1.00",IF(E269="D","1.00" ))))</f>
        <v>1.00</v>
      </c>
      <c r="BZ269" s="127">
        <f>(CE269+7)/10</f>
        <v>1</v>
      </c>
      <c r="CA269" s="76" t="str">
        <f>IF(D269="Fern",".97",IF(D269="Grass",".99",IF(D269="Herb",".97",IF(D269="Shrub",".99",IF(D269="Tree","1.00",IF(D269="Vine",".98"))))))</f>
        <v>.97</v>
      </c>
      <c r="CB269" s="149" t="str">
        <f>IF(R269="Bogs Ponds Streams",".96", IF(R269="Coastal Areas",".97",IF(R269="Meadows Dry Open",".96",IF(R269="Forest &amp; Understory",".97",IF(R269="Moist Open",".98",IF(R269="Moist Shady",".96",IF(R269="Sub-Alpine","1.0")))))))</f>
        <v>.96</v>
      </c>
      <c r="CC269" s="76" t="str">
        <f>IF(S269="Local Endemic",".50",IF(S269="Regional Endemic",".70",IF(S269="Cascadia",".90",IF(S269="Rocky Mountain",".95",IF(S269="North America",".99")))))</f>
        <v>.70</v>
      </c>
      <c r="CD269" s="4"/>
      <c r="CE269" s="21">
        <f>IF(W269&gt;3,3,W269)</f>
        <v>3</v>
      </c>
      <c r="CF269" s="21">
        <f>IF(AC269&gt;102,102,AC269)</f>
        <v>10</v>
      </c>
      <c r="CG269" s="34">
        <f ca="1">IF(AI269&lt;$AW$4,$AW$4,AI269)</f>
        <v>2019</v>
      </c>
      <c r="CH269" s="34">
        <f ca="1">IF(AJ269&lt;$AW$4,$AW$4,AJ269)</f>
        <v>2019</v>
      </c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</row>
    <row r="270" spans="1:115" ht="15" customHeight="1" x14ac:dyDescent="0.3">
      <c r="A270" s="235"/>
      <c r="B270" s="218"/>
      <c r="C270" s="225">
        <v>8</v>
      </c>
      <c r="D270" s="59" t="s">
        <v>2506</v>
      </c>
      <c r="E270" s="60" t="s">
        <v>2501</v>
      </c>
      <c r="F270" s="397" t="str">
        <f ca="1">IF(BC270&lt;2025, "Extinct&lt; 6Yrs?",BA270)</f>
        <v>Widespread</v>
      </c>
      <c r="G270" s="363" t="s">
        <v>525</v>
      </c>
      <c r="H270" s="363" t="s">
        <v>696</v>
      </c>
      <c r="I270" s="364" t="s">
        <v>753</v>
      </c>
      <c r="J270" s="365" t="s">
        <v>3299</v>
      </c>
      <c r="K270" s="365" t="s">
        <v>938</v>
      </c>
      <c r="L270" s="10" t="s">
        <v>2034</v>
      </c>
      <c r="M270" s="8" t="s">
        <v>4349</v>
      </c>
      <c r="N270" s="8" t="s">
        <v>5243</v>
      </c>
      <c r="O270" s="8" t="s">
        <v>6140</v>
      </c>
      <c r="P270" s="9" t="s">
        <v>303</v>
      </c>
      <c r="Q270" s="59" t="s">
        <v>2552</v>
      </c>
      <c r="R270" s="9" t="s">
        <v>2500</v>
      </c>
      <c r="S270" s="9" t="s">
        <v>2495</v>
      </c>
      <c r="T270" s="123" t="str">
        <f>IF(R270="Bogs Ponds Streams","20",IF(R270="Coastal Areas","26",IF(R270="Meadows Dry Open","10",IF(R270="Forest &amp; Understory","14",IF(R270="Moist Open","12",IF(R270="Moist Shady","10",IF(R270="Sub-Alpine Slopes","0")))))))</f>
        <v>10</v>
      </c>
      <c r="U270" s="123" t="str">
        <f>IF(R270="Bogs Ponds Streams","52",IF(R270="Coastal Areas","51",IF(R270="Meadows Dry Open","53",IF(R270="Forest &amp; Understory","52",IF(R270="Moist Open","50",IF(R270="Moist Shady","46",IF(R270="Sub-Alpine Slopes","40")))))))</f>
        <v>53</v>
      </c>
      <c r="V270" s="123" t="str">
        <f>IF(R270="Bogs Ponds Streams","84",IF(R270="Coastal Areas","76",IF(R270="Meadows Dry Open","96", IF(R270="Forest &amp; Understory","90", IF(R270="Moist Open","88", IF(R270="Moist Shady","82", IF(R270="Sub-Alpine Slopes","80")))))))</f>
        <v>96</v>
      </c>
      <c r="W270" s="59">
        <v>20</v>
      </c>
      <c r="X270" s="59">
        <v>0</v>
      </c>
      <c r="Y270" s="59">
        <v>3500</v>
      </c>
      <c r="Z270" s="59" t="s">
        <v>2519</v>
      </c>
      <c r="AA270" s="59" t="s">
        <v>2518</v>
      </c>
      <c r="AB270" s="59">
        <v>6.8</v>
      </c>
      <c r="AC270" s="45">
        <f>C270+AK270+(0.1)*AL270</f>
        <v>24</v>
      </c>
      <c r="AD270" s="77">
        <v>158</v>
      </c>
      <c r="AE270" s="59">
        <v>5</v>
      </c>
      <c r="AF270" s="59">
        <v>5</v>
      </c>
      <c r="AG270" s="59">
        <v>1900</v>
      </c>
      <c r="AH270" s="77">
        <v>0</v>
      </c>
      <c r="AI270" s="59">
        <f ca="1">AJ270</f>
        <v>2019</v>
      </c>
      <c r="AJ270" s="18">
        <f ca="1">YEAR(TODAY())</f>
        <v>2019</v>
      </c>
      <c r="AK270" s="18">
        <v>14</v>
      </c>
      <c r="AL270" s="18">
        <v>20</v>
      </c>
      <c r="AM270" s="18">
        <v>1</v>
      </c>
      <c r="AN270" s="18">
        <v>1</v>
      </c>
      <c r="AO270" s="24">
        <v>1</v>
      </c>
      <c r="AP270" s="24">
        <v>0</v>
      </c>
      <c r="AQ270" s="18">
        <v>0</v>
      </c>
      <c r="AR270" s="18">
        <v>0</v>
      </c>
      <c r="AS270" s="18">
        <v>0</v>
      </c>
      <c r="AT270" s="18">
        <v>0</v>
      </c>
      <c r="AU270" s="18">
        <v>0</v>
      </c>
      <c r="AV270" s="18">
        <v>0</v>
      </c>
      <c r="AW270" s="18">
        <v>0</v>
      </c>
      <c r="AX270" s="18">
        <v>0</v>
      </c>
      <c r="AY270" s="233"/>
      <c r="AZ270" s="4"/>
      <c r="BA270" s="35" t="str">
        <f>IF(OR(S270="North America",S270="Rocky Mountain"), "Widespread",BC270)</f>
        <v>Widespread</v>
      </c>
      <c r="BB270" s="4"/>
      <c r="BC270" s="35" t="str">
        <f ca="1">IF(BE270&gt;2046, "Abundant",BE270)</f>
        <v>Abundant</v>
      </c>
      <c r="BD270" s="4"/>
      <c r="BE270" s="81">
        <f ca="1">YEAR($C$13)+(BG270*80)</f>
        <v>2103.5012991087342</v>
      </c>
      <c r="BF270" s="4"/>
      <c r="BG270" s="137">
        <f ca="1">BH270*$BH$14</f>
        <v>1.0562662388591801</v>
      </c>
      <c r="BH270" s="137">
        <f ca="1">(((BJ270+BK270+BM270+BN270)/4)*$BM$11)+(((BP270+BQ270)/2)*$BQ$11)+(((BU270+BV270+BW270)/3)*$BU$11)+(((BY270+BZ270+CA270+CB270+CC270)/5)*$CA$11)</f>
        <v>1.0562662388591801</v>
      </c>
      <c r="BI270" s="4"/>
      <c r="BJ270" s="33">
        <f>AP270/(AM270+AO270)</f>
        <v>0</v>
      </c>
      <c r="BK270" s="33">
        <f>(AN270+AO270)/(AM270+AO270)</f>
        <v>1</v>
      </c>
      <c r="BL270" s="4"/>
      <c r="BM270" s="127">
        <f>CF270/102</f>
        <v>0.23529411764705882</v>
      </c>
      <c r="BN270" s="127">
        <f>C270/2</f>
        <v>4</v>
      </c>
      <c r="BO270" s="4"/>
      <c r="BP270" s="127">
        <f>(AK270)/($AW$6)</f>
        <v>0.14141414141414141</v>
      </c>
      <c r="BQ270" s="127">
        <f ca="1">(CH270-$AW$4)/((YEAR($C$13))-$AW$4)</f>
        <v>1</v>
      </c>
      <c r="BR270" s="127">
        <f>(AL270)/($AW$6)</f>
        <v>0.20202020202020202</v>
      </c>
      <c r="BS270" s="4"/>
      <c r="BT270" s="127"/>
      <c r="BU270" s="127">
        <f ca="1">(CG270-$AW$4)/((YEAR($C$13))-$AW$4)</f>
        <v>1</v>
      </c>
      <c r="BV270" s="127">
        <f>AE270/5</f>
        <v>1</v>
      </c>
      <c r="BW270" s="127">
        <f>AF270/5</f>
        <v>1</v>
      </c>
      <c r="BX270" s="4"/>
      <c r="BY270" s="148" t="str">
        <f>IF(E270="A",".98",IF(E270="B",".99",IF(E270="C","1.00",IF(E270="D","1.00" ))))</f>
        <v>1.00</v>
      </c>
      <c r="BZ270" s="127">
        <f>(CE270+7)/10</f>
        <v>1</v>
      </c>
      <c r="CA270" s="76" t="str">
        <f>IF(D270="Fern",".97",IF(D270="Grass",".99",IF(D270="Herb",".97",IF(D270="Shrub",".99",IF(D270="Tree","1.00",IF(D270="Vine",".98"))))))</f>
        <v>.99</v>
      </c>
      <c r="CB270" s="149" t="str">
        <f>IF(R270="Bogs Ponds Streams",".96", IF(R270="Coastal Areas",".97",IF(R270="Meadows Dry Open",".96",IF(R270="Forest &amp; Understory",".97",IF(R270="Moist Open",".98",IF(R270="Moist Shady",".96",IF(R270="Sub-Alpine","1.0")))))))</f>
        <v>.96</v>
      </c>
      <c r="CC270" s="76" t="str">
        <f>IF(S270="Local Endemic",".50",IF(S270="Regional Endemic",".70",IF(S270="Cascadia",".90",IF(S270="Rocky Mountain",".95",IF(S270="North America",".99")))))</f>
        <v>.99</v>
      </c>
      <c r="CD270" s="4"/>
      <c r="CE270" s="21">
        <f>IF(W270&gt;3,3,W270)</f>
        <v>3</v>
      </c>
      <c r="CF270" s="21">
        <f>IF(AC270&gt;102,102,AC270)</f>
        <v>24</v>
      </c>
      <c r="CG270" s="34">
        <f ca="1">IF(AI270&lt;$AW$4,$AW$4,AI270)</f>
        <v>2019</v>
      </c>
      <c r="CH270" s="34">
        <f ca="1">IF(AJ270&lt;$AW$4,$AW$4,AJ270)</f>
        <v>2019</v>
      </c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</row>
    <row r="271" spans="1:115" s="13" customFormat="1" ht="15" customHeight="1" x14ac:dyDescent="0.3">
      <c r="A271" s="235"/>
      <c r="B271" s="218"/>
      <c r="C271" s="225">
        <v>8</v>
      </c>
      <c r="D271" s="59" t="s">
        <v>2505</v>
      </c>
      <c r="E271" s="59" t="s">
        <v>2501</v>
      </c>
      <c r="F271" s="397" t="str">
        <f ca="1">IF(BC271&lt;2025, "Extinct&lt; 6Yrs?",BA271)</f>
        <v>Widespread</v>
      </c>
      <c r="G271" s="363" t="s">
        <v>525</v>
      </c>
      <c r="H271" s="363" t="s">
        <v>690</v>
      </c>
      <c r="I271" s="364" t="s">
        <v>1189</v>
      </c>
      <c r="J271" s="365" t="s">
        <v>3300</v>
      </c>
      <c r="K271" s="365" t="s">
        <v>1190</v>
      </c>
      <c r="L271" s="10" t="s">
        <v>2033</v>
      </c>
      <c r="M271" s="8" t="s">
        <v>4350</v>
      </c>
      <c r="N271" s="8" t="s">
        <v>5244</v>
      </c>
      <c r="O271" s="8" t="s">
        <v>6141</v>
      </c>
      <c r="P271" s="9" t="s">
        <v>1203</v>
      </c>
      <c r="Q271" s="59" t="s">
        <v>2552</v>
      </c>
      <c r="R271" s="9" t="s">
        <v>2500</v>
      </c>
      <c r="S271" s="17" t="s">
        <v>2495</v>
      </c>
      <c r="T271" s="123" t="str">
        <f>IF(R271="Bogs Ponds Streams","20",IF(R271="Coastal Areas","26",IF(R271="Meadows Dry Open","10",IF(R271="Forest &amp; Understory","14",IF(R271="Moist Open","12",IF(R271="Moist Shady","10",IF(R271="Sub-Alpine Slopes","0")))))))</f>
        <v>10</v>
      </c>
      <c r="U271" s="123" t="str">
        <f>IF(R271="Bogs Ponds Streams","52",IF(R271="Coastal Areas","51",IF(R271="Meadows Dry Open","53",IF(R271="Forest &amp; Understory","52",IF(R271="Moist Open","50",IF(R271="Moist Shady","46",IF(R271="Sub-Alpine Slopes","40")))))))</f>
        <v>53</v>
      </c>
      <c r="V271" s="123" t="str">
        <f>IF(R271="Bogs Ponds Streams","84",IF(R271="Coastal Areas","76",IF(R271="Meadows Dry Open","96", IF(R271="Forest &amp; Understory","90", IF(R271="Moist Open","88", IF(R271="Moist Shady","82", IF(R271="Sub-Alpine Slopes","80")))))))</f>
        <v>96</v>
      </c>
      <c r="W271" s="59">
        <v>20</v>
      </c>
      <c r="X271" s="59">
        <v>0</v>
      </c>
      <c r="Y271" s="59">
        <v>3500</v>
      </c>
      <c r="Z271" s="59" t="s">
        <v>2519</v>
      </c>
      <c r="AA271" s="59" t="s">
        <v>2518</v>
      </c>
      <c r="AB271" s="59">
        <v>6.8</v>
      </c>
      <c r="AC271" s="45">
        <f>C271+AK271+(0.1)*AL271</f>
        <v>9.1</v>
      </c>
      <c r="AD271" s="77">
        <v>6</v>
      </c>
      <c r="AE271" s="59">
        <v>5</v>
      </c>
      <c r="AF271" s="59">
        <v>5</v>
      </c>
      <c r="AG271" s="59">
        <v>1900</v>
      </c>
      <c r="AH271" s="77">
        <v>0</v>
      </c>
      <c r="AI271" s="59">
        <f ca="1">AJ271</f>
        <v>2019</v>
      </c>
      <c r="AJ271" s="18">
        <f ca="1">YEAR(TODAY())</f>
        <v>2019</v>
      </c>
      <c r="AK271" s="18">
        <v>1</v>
      </c>
      <c r="AL271" s="18">
        <v>1</v>
      </c>
      <c r="AM271" s="18">
        <v>1</v>
      </c>
      <c r="AN271" s="18">
        <v>1</v>
      </c>
      <c r="AO271" s="18">
        <v>5</v>
      </c>
      <c r="AP271" s="18">
        <v>1</v>
      </c>
      <c r="AQ271" s="18">
        <v>0</v>
      </c>
      <c r="AR271" s="18">
        <v>0</v>
      </c>
      <c r="AS271" s="18">
        <v>0</v>
      </c>
      <c r="AT271" s="18">
        <v>0</v>
      </c>
      <c r="AU271" s="18">
        <v>0</v>
      </c>
      <c r="AV271" s="18">
        <v>0</v>
      </c>
      <c r="AW271" s="18">
        <v>0</v>
      </c>
      <c r="AX271" s="18">
        <v>0</v>
      </c>
      <c r="AY271" s="233"/>
      <c r="AZ271" s="4"/>
      <c r="BA271" s="35" t="str">
        <f>IF(OR(S271="North America",S271="Rocky Mountain"), "Widespread",BC271)</f>
        <v>Widespread</v>
      </c>
      <c r="BB271" s="4"/>
      <c r="BC271" s="35" t="str">
        <f ca="1">IF(BE271&gt;2046, "Abundant",BE271)</f>
        <v>Abundant</v>
      </c>
      <c r="BD271" s="4"/>
      <c r="BE271" s="81">
        <f ca="1">YEAR($C$13)+(BG271*80)</f>
        <v>2102.1662003565061</v>
      </c>
      <c r="BF271" s="4"/>
      <c r="BG271" s="137">
        <f ca="1">BH271*$BH$14</f>
        <v>1.0395775044563278</v>
      </c>
      <c r="BH271" s="137">
        <f ca="1">(((BJ271+BK271+BM271+BN271)/4)*$BM$11)+(((BP271+BQ271)/2)*$BQ$11)+(((BU271+BV271+BW271)/3)*$BU$11)+(((BY271+BZ271+CA271+CB271+CC271)/5)*$CA$11)</f>
        <v>1.0395775044563278</v>
      </c>
      <c r="BI271" s="4"/>
      <c r="BJ271" s="33">
        <f>AP271/(AM271+AO271)</f>
        <v>0.16666666666666666</v>
      </c>
      <c r="BK271" s="33">
        <f>(AN271+AO271)/(AM271+AO271)</f>
        <v>1</v>
      </c>
      <c r="BL271" s="4"/>
      <c r="BM271" s="127">
        <f>CF271/102</f>
        <v>8.9215686274509806E-2</v>
      </c>
      <c r="BN271" s="127">
        <f>C271/2</f>
        <v>4</v>
      </c>
      <c r="BO271" s="4"/>
      <c r="BP271" s="127">
        <f>(AK271)/($AW$6)</f>
        <v>1.0101010101010102E-2</v>
      </c>
      <c r="BQ271" s="127">
        <f ca="1">(CH271-$AW$4)/((YEAR($C$13))-$AW$4)</f>
        <v>1</v>
      </c>
      <c r="BR271" s="127">
        <f>(AL271)/($AW$6)</f>
        <v>1.0101010101010102E-2</v>
      </c>
      <c r="BS271" s="4"/>
      <c r="BT271" s="127"/>
      <c r="BU271" s="127">
        <f ca="1">(CG271-$AW$4)/((YEAR($C$13))-$AW$4)</f>
        <v>1</v>
      </c>
      <c r="BV271" s="127">
        <f>AE271/5</f>
        <v>1</v>
      </c>
      <c r="BW271" s="127">
        <f>AF271/5</f>
        <v>1</v>
      </c>
      <c r="BX271" s="4"/>
      <c r="BY271" s="148" t="str">
        <f>IF(E271="A",".98",IF(E271="B",".99",IF(E271="C","1.00",IF(E271="D","1.00" ))))</f>
        <v>1.00</v>
      </c>
      <c r="BZ271" s="127">
        <f>(CE271+7)/10</f>
        <v>1</v>
      </c>
      <c r="CA271" s="76" t="str">
        <f>IF(D271="Fern",".97",IF(D271="Grass",".99",IF(D271="Herb",".97",IF(D271="Shrub",".99",IF(D271="Tree","1.00",IF(D271="Vine",".98"))))))</f>
        <v>.97</v>
      </c>
      <c r="CB271" s="149" t="str">
        <f>IF(R271="Bogs Ponds Streams",".96", IF(R271="Coastal Areas",".97",IF(R271="Meadows Dry Open",".96",IF(R271="Forest &amp; Understory",".97",IF(R271="Moist Open",".98",IF(R271="Moist Shady",".96",IF(R271="Sub-Alpine","1.0")))))))</f>
        <v>.96</v>
      </c>
      <c r="CC271" s="76" t="str">
        <f>IF(S271="Local Endemic",".50",IF(S271="Regional Endemic",".70",IF(S271="Cascadia",".90",IF(S271="Rocky Mountain",".95",IF(S271="North America",".99")))))</f>
        <v>.99</v>
      </c>
      <c r="CD271" s="4"/>
      <c r="CE271" s="21">
        <f>IF(W271&gt;3,3,W271)</f>
        <v>3</v>
      </c>
      <c r="CF271" s="21">
        <f>IF(AC271&gt;102,102,AC271)</f>
        <v>9.1</v>
      </c>
      <c r="CG271" s="34">
        <f ca="1">IF(AI271&lt;$AW$4,$AW$4,AI271)</f>
        <v>2019</v>
      </c>
      <c r="CH271" s="34">
        <f ca="1">IF(AJ271&lt;$AW$4,$AW$4,AJ271)</f>
        <v>2019</v>
      </c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12"/>
    </row>
    <row r="272" spans="1:115" ht="15" customHeight="1" x14ac:dyDescent="0.3">
      <c r="A272" s="235"/>
      <c r="B272" s="218"/>
      <c r="C272" s="375">
        <v>1</v>
      </c>
      <c r="D272" s="67" t="s">
        <v>2505</v>
      </c>
      <c r="E272" s="67" t="s">
        <v>2502</v>
      </c>
      <c r="F272" s="403" t="str">
        <f ca="1">IF(BC272&lt;2025, "Extinct&lt; 6Yrs?",BA272)</f>
        <v>Widespread</v>
      </c>
      <c r="G272" s="376" t="s">
        <v>525</v>
      </c>
      <c r="H272" s="376" t="s">
        <v>4028</v>
      </c>
      <c r="I272" s="380" t="s">
        <v>35</v>
      </c>
      <c r="J272" s="378" t="s">
        <v>3625</v>
      </c>
      <c r="K272" s="378" t="s">
        <v>939</v>
      </c>
      <c r="L272" s="63" t="s">
        <v>2032</v>
      </c>
      <c r="M272" s="64" t="s">
        <v>4351</v>
      </c>
      <c r="N272" s="64" t="s">
        <v>5245</v>
      </c>
      <c r="O272" s="64" t="s">
        <v>6142</v>
      </c>
      <c r="P272" s="61" t="s">
        <v>558</v>
      </c>
      <c r="Q272" s="67" t="s">
        <v>2552</v>
      </c>
      <c r="R272" s="61" t="s">
        <v>2500</v>
      </c>
      <c r="S272" s="61" t="s">
        <v>2495</v>
      </c>
      <c r="T272" s="134" t="str">
        <f>IF(R272="Bogs Ponds Streams","20",IF(R272="Coastal Areas","26",IF(R272="Meadows Dry Open","10",IF(R272="Forest &amp; Understory","14",IF(R272="Moist Open","12",IF(R272="Moist Shady","10",IF(R272="Sub-Alpine Slopes","0")))))))</f>
        <v>10</v>
      </c>
      <c r="U272" s="134" t="str">
        <f>IF(R272="Bogs Ponds Streams","52",IF(R272="Coastal Areas","51",IF(R272="Meadows Dry Open","53",IF(R272="Forest &amp; Understory","52",IF(R272="Moist Open","50",IF(R272="Moist Shady","46",IF(R272="Sub-Alpine Slopes","40")))))))</f>
        <v>53</v>
      </c>
      <c r="V272" s="134" t="str">
        <f>IF(R272="Bogs Ponds Streams","84",IF(R272="Coastal Areas","76",IF(R272="Meadows Dry Open","96", IF(R272="Forest &amp; Understory","90", IF(R272="Moist Open","88", IF(R272="Moist Shady","82", IF(R272="Sub-Alpine Slopes","80")))))))</f>
        <v>96</v>
      </c>
      <c r="W272" s="67">
        <v>1</v>
      </c>
      <c r="X272" s="67">
        <v>0</v>
      </c>
      <c r="Y272" s="67">
        <v>3500</v>
      </c>
      <c r="Z272" s="67" t="s">
        <v>2519</v>
      </c>
      <c r="AA272" s="67" t="s">
        <v>2518</v>
      </c>
      <c r="AB272" s="67">
        <v>6.8</v>
      </c>
      <c r="AC272" s="85">
        <f>C272+AK272+(0.1)*AL272</f>
        <v>36.1</v>
      </c>
      <c r="AD272" s="78">
        <v>35</v>
      </c>
      <c r="AE272" s="67">
        <v>5</v>
      </c>
      <c r="AF272" s="67">
        <v>5</v>
      </c>
      <c r="AG272" s="67">
        <v>1900</v>
      </c>
      <c r="AH272" s="78">
        <v>0</v>
      </c>
      <c r="AI272" s="67">
        <f>AJ272</f>
        <v>2004</v>
      </c>
      <c r="AJ272" s="69">
        <v>2004</v>
      </c>
      <c r="AK272" s="69">
        <v>35</v>
      </c>
      <c r="AL272" s="69">
        <v>1</v>
      </c>
      <c r="AM272" s="70">
        <v>5</v>
      </c>
      <c r="AN272" s="70">
        <v>0</v>
      </c>
      <c r="AO272" s="86">
        <v>0</v>
      </c>
      <c r="AP272" s="70">
        <v>0</v>
      </c>
      <c r="AQ272" s="70">
        <v>0</v>
      </c>
      <c r="AR272" s="70">
        <v>0</v>
      </c>
      <c r="AS272" s="86">
        <v>0</v>
      </c>
      <c r="AT272" s="70">
        <v>0</v>
      </c>
      <c r="AU272" s="70">
        <v>0</v>
      </c>
      <c r="AV272" s="70">
        <v>0</v>
      </c>
      <c r="AW272" s="86">
        <v>0</v>
      </c>
      <c r="AX272" s="70">
        <v>0</v>
      </c>
      <c r="AY272" s="233"/>
      <c r="AZ272" s="4"/>
      <c r="BA272" s="35" t="str">
        <f>IF(OR(S272="North America",S272="Rocky Mountain"), "Widespread",BC272)</f>
        <v>Widespread</v>
      </c>
      <c r="BB272" s="4"/>
      <c r="BC272" s="35">
        <f ca="1">IF(BE272&gt;2046, "Abundant",BE272)</f>
        <v>2039.2601497326202</v>
      </c>
      <c r="BD272" s="4"/>
      <c r="BE272" s="81">
        <f ca="1">YEAR($C$13)+(BG272*80)</f>
        <v>2039.2601497326202</v>
      </c>
      <c r="BF272" s="4"/>
      <c r="BG272" s="137">
        <f ca="1">BH272*$BH$14</f>
        <v>0.25325187165775398</v>
      </c>
      <c r="BH272" s="137">
        <f ca="1">(((BJ272+BK272+BM272+BN272)/4)*$BM$11)+(((BP272+BQ272)/2)*$BQ$11)+(((BU272+BV272+BW272)/3)*$BU$11)+(((BY272+BZ272+CA272+CB272+CC272)/5)*$CA$11)</f>
        <v>0.25325187165775398</v>
      </c>
      <c r="BI272" s="4"/>
      <c r="BJ272" s="33">
        <f>AP272/(AM272+AO272)</f>
        <v>0</v>
      </c>
      <c r="BK272" s="33">
        <f>(AN272+AO272)/(AM272+AO272)</f>
        <v>0</v>
      </c>
      <c r="BL272" s="4"/>
      <c r="BM272" s="127">
        <f>CF272/102</f>
        <v>0.353921568627451</v>
      </c>
      <c r="BN272" s="127">
        <f>C272/2</f>
        <v>0.5</v>
      </c>
      <c r="BO272" s="4"/>
      <c r="BP272" s="127">
        <f>(AK272)/($AW$6)</f>
        <v>0.35353535353535354</v>
      </c>
      <c r="BQ272" s="127">
        <f ca="1">(CH272-$AW$4)/((YEAR($C$13))-$AW$4)</f>
        <v>0</v>
      </c>
      <c r="BR272" s="127">
        <f>(AL272)/($AW$6)</f>
        <v>1.0101010101010102E-2</v>
      </c>
      <c r="BS272" s="4"/>
      <c r="BT272" s="127"/>
      <c r="BU272" s="127">
        <f ca="1">(CG272-$AW$4)/((YEAR($C$13))-$AW$4)</f>
        <v>0</v>
      </c>
      <c r="BV272" s="127">
        <f>AE272/5</f>
        <v>1</v>
      </c>
      <c r="BW272" s="127">
        <f>AF272/5</f>
        <v>1</v>
      </c>
      <c r="BX272" s="4"/>
      <c r="BY272" s="148" t="str">
        <f>IF(E272="A",".98",IF(E272="B",".99",IF(E272="C","1.00",IF(E272="D","1.00" ))))</f>
        <v>.98</v>
      </c>
      <c r="BZ272" s="127">
        <f>(CE272+7)/10</f>
        <v>0.8</v>
      </c>
      <c r="CA272" s="76" t="str">
        <f>IF(D272="Fern",".97",IF(D272="Grass",".99",IF(D272="Herb",".97",IF(D272="Shrub",".99",IF(D272="Tree","1.00",IF(D272="Vine",".98"))))))</f>
        <v>.97</v>
      </c>
      <c r="CB272" s="149" t="str">
        <f>IF(R272="Bogs Ponds Streams",".96", IF(R272="Coastal Areas",".97",IF(R272="Meadows Dry Open",".96",IF(R272="Forest &amp; Understory",".97",IF(R272="Moist Open",".98",IF(R272="Moist Shady",".96",IF(R272="Sub-Alpine","1.0")))))))</f>
        <v>.96</v>
      </c>
      <c r="CC272" s="76" t="str">
        <f>IF(S272="Local Endemic",".50",IF(S272="Regional Endemic",".70",IF(S272="Cascadia",".90",IF(S272="Rocky Mountain",".95",IF(S272="North America",".99")))))</f>
        <v>.99</v>
      </c>
      <c r="CD272" s="4"/>
      <c r="CE272" s="21">
        <f>IF(W272&gt;3,3,W272)</f>
        <v>1</v>
      </c>
      <c r="CF272" s="21">
        <f>IF(AC272&gt;102,102,AC272)</f>
        <v>36.1</v>
      </c>
      <c r="CG272" s="34">
        <f>IF(AI272&lt;$AW$4,$AW$4,AI272)</f>
        <v>2004</v>
      </c>
      <c r="CH272" s="34">
        <f>IF(AJ272&lt;$AW$4,$AW$4,AJ272)</f>
        <v>2004</v>
      </c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</row>
    <row r="273" spans="1:115" s="13" customFormat="1" ht="15" customHeight="1" x14ac:dyDescent="0.3">
      <c r="A273" s="235"/>
      <c r="B273" s="218"/>
      <c r="C273" s="225">
        <v>7</v>
      </c>
      <c r="D273" s="59" t="s">
        <v>2505</v>
      </c>
      <c r="E273" s="59" t="s">
        <v>2502</v>
      </c>
      <c r="F273" s="397" t="str">
        <f ca="1">IF(BC273&lt;2025, "Extinct&lt; 6Yrs?",BA273)</f>
        <v>Widespread</v>
      </c>
      <c r="G273" s="363" t="s">
        <v>525</v>
      </c>
      <c r="H273" s="363" t="s">
        <v>680</v>
      </c>
      <c r="I273" s="366" t="s">
        <v>3054</v>
      </c>
      <c r="J273" s="365" t="s">
        <v>3301</v>
      </c>
      <c r="K273" s="365" t="s">
        <v>1209</v>
      </c>
      <c r="L273" s="10" t="s">
        <v>2031</v>
      </c>
      <c r="M273" s="8" t="s">
        <v>4352</v>
      </c>
      <c r="N273" s="8" t="s">
        <v>5246</v>
      </c>
      <c r="O273" s="8" t="s">
        <v>6143</v>
      </c>
      <c r="P273" s="9" t="s">
        <v>285</v>
      </c>
      <c r="Q273" s="59" t="s">
        <v>2552</v>
      </c>
      <c r="R273" s="9" t="s">
        <v>2498</v>
      </c>
      <c r="S273" s="9" t="s">
        <v>2479</v>
      </c>
      <c r="T273" s="123" t="str">
        <f>IF(R273="Bogs Ponds Streams","20",IF(R273="Coastal Areas","26",IF(R273="Meadows Dry Open","10",IF(R273="Forest &amp; Understory","14",IF(R273="Moist Open","12",IF(R273="Moist Shady","10",IF(R273="Sub-Alpine Slopes","0")))))))</f>
        <v>10</v>
      </c>
      <c r="U273" s="123" t="str">
        <f>IF(R273="Bogs Ponds Streams","52",IF(R273="Coastal Areas","51",IF(R273="Meadows Dry Open","53",IF(R273="Forest &amp; Understory","52",IF(R273="Moist Open","50",IF(R273="Moist Shady","46",IF(R273="Sub-Alpine Slopes","40")))))))</f>
        <v>46</v>
      </c>
      <c r="V273" s="123" t="str">
        <f>IF(R273="Bogs Ponds Streams","84",IF(R273="Coastal Areas","76",IF(R273="Meadows Dry Open","96", IF(R273="Forest &amp; Understory","90", IF(R273="Moist Open","88", IF(R273="Moist Shady","82", IF(R273="Sub-Alpine Slopes","80")))))))</f>
        <v>82</v>
      </c>
      <c r="W273" s="59">
        <v>1</v>
      </c>
      <c r="X273" s="59">
        <v>0</v>
      </c>
      <c r="Y273" s="59">
        <v>3500</v>
      </c>
      <c r="Z273" s="59" t="s">
        <v>2519</v>
      </c>
      <c r="AA273" s="59" t="s">
        <v>2518</v>
      </c>
      <c r="AB273" s="59">
        <v>6.8</v>
      </c>
      <c r="AC273" s="45">
        <f>C273+AK273+(0.1)*AL273</f>
        <v>28.3</v>
      </c>
      <c r="AD273" s="77">
        <v>63</v>
      </c>
      <c r="AE273" s="59">
        <v>5</v>
      </c>
      <c r="AF273" s="59">
        <v>5</v>
      </c>
      <c r="AG273" s="59">
        <v>1900</v>
      </c>
      <c r="AH273" s="77">
        <v>0</v>
      </c>
      <c r="AI273" s="59">
        <f>AJ273</f>
        <v>2018</v>
      </c>
      <c r="AJ273" s="18">
        <v>2018</v>
      </c>
      <c r="AK273" s="18">
        <v>21</v>
      </c>
      <c r="AL273" s="18">
        <v>3</v>
      </c>
      <c r="AM273" s="18">
        <v>1</v>
      </c>
      <c r="AN273" s="18">
        <v>1</v>
      </c>
      <c r="AO273" s="24">
        <v>2</v>
      </c>
      <c r="AP273" s="24">
        <v>2</v>
      </c>
      <c r="AQ273" s="18">
        <v>0</v>
      </c>
      <c r="AR273" s="18">
        <v>0</v>
      </c>
      <c r="AS273" s="18">
        <v>0</v>
      </c>
      <c r="AT273" s="18">
        <v>0</v>
      </c>
      <c r="AU273" s="18">
        <v>0</v>
      </c>
      <c r="AV273" s="18">
        <v>0</v>
      </c>
      <c r="AW273" s="18">
        <v>0</v>
      </c>
      <c r="AX273" s="18">
        <v>0</v>
      </c>
      <c r="AY273" s="233"/>
      <c r="AZ273" s="4"/>
      <c r="BA273" s="35" t="str">
        <f>IF(OR(S273="North America",S273="Rocky Mountain"), "Widespread",BC273)</f>
        <v>Widespread</v>
      </c>
      <c r="BB273" s="4"/>
      <c r="BC273" s="35" t="str">
        <f ca="1">IF(BE273&gt;2046, "Abundant",BE273)</f>
        <v>Abundant</v>
      </c>
      <c r="BD273" s="4"/>
      <c r="BE273" s="81">
        <f ca="1">YEAR($C$13)+(BG273*80)</f>
        <v>2105.8238440879381</v>
      </c>
      <c r="BF273" s="4"/>
      <c r="BG273" s="137">
        <f ca="1">BH273*$BH$14</f>
        <v>1.0852980510992274</v>
      </c>
      <c r="BH273" s="137">
        <f ca="1">(((BJ273+BK273+BM273+BN273)/4)*$BM$11)+(((BP273+BQ273)/2)*$BQ$11)+(((BU273+BV273+BW273)/3)*$BU$11)+(((BY273+BZ273+CA273+CB273+CC273)/5)*$CA$11)</f>
        <v>1.0852980510992274</v>
      </c>
      <c r="BI273" s="4"/>
      <c r="BJ273" s="33">
        <f>AP273/(AM273+AO273)</f>
        <v>0.66666666666666663</v>
      </c>
      <c r="BK273" s="33">
        <f>(AN273+AO273)/(AM273+AO273)</f>
        <v>1</v>
      </c>
      <c r="BL273" s="4"/>
      <c r="BM273" s="127">
        <f>CF273/102</f>
        <v>0.27745098039215688</v>
      </c>
      <c r="BN273" s="127">
        <f>C273/2</f>
        <v>3.5</v>
      </c>
      <c r="BO273" s="4"/>
      <c r="BP273" s="127">
        <f>(AK273)/($AW$6)</f>
        <v>0.21212121212121213</v>
      </c>
      <c r="BQ273" s="127">
        <f ca="1">(CH273-$AW$4)/((YEAR($C$13))-$AW$4)</f>
        <v>0.93333333333333335</v>
      </c>
      <c r="BR273" s="127">
        <f>(AL273)/($AW$6)</f>
        <v>3.0303030303030304E-2</v>
      </c>
      <c r="BS273" s="4"/>
      <c r="BT273" s="127"/>
      <c r="BU273" s="127">
        <f ca="1">(CG273-$AW$4)/((YEAR($C$13))-$AW$4)</f>
        <v>0.93333333333333335</v>
      </c>
      <c r="BV273" s="127">
        <f>AE273/5</f>
        <v>1</v>
      </c>
      <c r="BW273" s="127">
        <f>AF273/5</f>
        <v>1</v>
      </c>
      <c r="BX273" s="4"/>
      <c r="BY273" s="148" t="str">
        <f>IF(E273="A",".98",IF(E273="B",".99",IF(E273="C","1.00",IF(E273="D","1.00" ))))</f>
        <v>.98</v>
      </c>
      <c r="BZ273" s="127">
        <f>(CE273+7)/10</f>
        <v>0.8</v>
      </c>
      <c r="CA273" s="76" t="str">
        <f>IF(D273="Fern",".97",IF(D273="Grass",".99",IF(D273="Herb",".97",IF(D273="Shrub",".99",IF(D273="Tree","1.00",IF(D273="Vine",".98"))))))</f>
        <v>.97</v>
      </c>
      <c r="CB273" s="149" t="str">
        <f>IF(R273="Bogs Ponds Streams",".96", IF(R273="Coastal Areas",".97",IF(R273="Meadows Dry Open",".96",IF(R273="Forest &amp; Understory",".97",IF(R273="Moist Open",".98",IF(R273="Moist Shady",".96",IF(R273="Sub-Alpine","1.0")))))))</f>
        <v>.96</v>
      </c>
      <c r="CC273" s="76" t="str">
        <f>IF(S273="Local Endemic",".50",IF(S273="Regional Endemic",".70",IF(S273="Cascadia",".90",IF(S273="Rocky Mountain",".95",IF(S273="North America",".99")))))</f>
        <v>.95</v>
      </c>
      <c r="CD273" s="4"/>
      <c r="CE273" s="21">
        <f>IF(W273&gt;3,3,W273)</f>
        <v>1</v>
      </c>
      <c r="CF273" s="21">
        <f>IF(AC273&gt;102,102,AC273)</f>
        <v>28.3</v>
      </c>
      <c r="CG273" s="34">
        <f>IF(AI273&lt;$AW$4,$AW$4,AI273)</f>
        <v>2018</v>
      </c>
      <c r="CH273" s="34">
        <f>IF(AJ273&lt;$AW$4,$AW$4,AJ273)</f>
        <v>2018</v>
      </c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12"/>
    </row>
    <row r="274" spans="1:115" s="13" customFormat="1" ht="15" customHeight="1" x14ac:dyDescent="0.3">
      <c r="A274" s="235"/>
      <c r="B274" s="218"/>
      <c r="C274" s="225">
        <v>8</v>
      </c>
      <c r="D274" s="59" t="s">
        <v>2505</v>
      </c>
      <c r="E274" s="59" t="s">
        <v>2501</v>
      </c>
      <c r="F274" s="397" t="str">
        <f ca="1">IF(BC274&lt;2025, "Extinct&lt; 6Yrs?",BA274)</f>
        <v>Abundant</v>
      </c>
      <c r="G274" s="363" t="s">
        <v>525</v>
      </c>
      <c r="H274" s="363" t="s">
        <v>684</v>
      </c>
      <c r="I274" s="366" t="s">
        <v>288</v>
      </c>
      <c r="J274" s="365" t="s">
        <v>3302</v>
      </c>
      <c r="K274" s="365" t="s">
        <v>940</v>
      </c>
      <c r="L274" s="10" t="s">
        <v>2030</v>
      </c>
      <c r="M274" s="8" t="s">
        <v>4353</v>
      </c>
      <c r="N274" s="8" t="s">
        <v>5247</v>
      </c>
      <c r="O274" s="8" t="s">
        <v>6144</v>
      </c>
      <c r="P274" s="9" t="s">
        <v>285</v>
      </c>
      <c r="Q274" s="59" t="s">
        <v>2552</v>
      </c>
      <c r="R274" s="9" t="s">
        <v>2500</v>
      </c>
      <c r="S274" s="9" t="s">
        <v>2309</v>
      </c>
      <c r="T274" s="123" t="str">
        <f>IF(R274="Bogs Ponds Streams","20",IF(R274="Coastal Areas","26",IF(R274="Meadows Dry Open","10",IF(R274="Forest &amp; Understory","14",IF(R274="Moist Open","12",IF(R274="Moist Shady","10",IF(R274="Sub-Alpine Slopes","0")))))))</f>
        <v>10</v>
      </c>
      <c r="U274" s="123" t="str">
        <f>IF(R274="Bogs Ponds Streams","52",IF(R274="Coastal Areas","51",IF(R274="Meadows Dry Open","53",IF(R274="Forest &amp; Understory","52",IF(R274="Moist Open","50",IF(R274="Moist Shady","46",IF(R274="Sub-Alpine Slopes","40")))))))</f>
        <v>53</v>
      </c>
      <c r="V274" s="123" t="str">
        <f>IF(R274="Bogs Ponds Streams","84",IF(R274="Coastal Areas","76",IF(R274="Meadows Dry Open","96", IF(R274="Forest &amp; Understory","90", IF(R274="Moist Open","88", IF(R274="Moist Shady","82", IF(R274="Sub-Alpine Slopes","80")))))))</f>
        <v>96</v>
      </c>
      <c r="W274" s="59">
        <v>20</v>
      </c>
      <c r="X274" s="59">
        <v>0</v>
      </c>
      <c r="Y274" s="59">
        <v>3500</v>
      </c>
      <c r="Z274" s="59" t="s">
        <v>2519</v>
      </c>
      <c r="AA274" s="59" t="s">
        <v>2518</v>
      </c>
      <c r="AB274" s="59">
        <v>6.8</v>
      </c>
      <c r="AC274" s="45">
        <f>C274+AK274+(0.1)*AL274</f>
        <v>34</v>
      </c>
      <c r="AD274" s="77">
        <v>69</v>
      </c>
      <c r="AE274" s="59">
        <v>5</v>
      </c>
      <c r="AF274" s="59">
        <v>5</v>
      </c>
      <c r="AG274" s="59">
        <v>1900</v>
      </c>
      <c r="AH274" s="77">
        <v>0</v>
      </c>
      <c r="AI274" s="59">
        <f ca="1">AJ274</f>
        <v>2019</v>
      </c>
      <c r="AJ274" s="18">
        <f ca="1">YEAR(TODAY())</f>
        <v>2019</v>
      </c>
      <c r="AK274" s="18">
        <v>25</v>
      </c>
      <c r="AL274" s="18">
        <v>10</v>
      </c>
      <c r="AM274" s="18">
        <v>1</v>
      </c>
      <c r="AN274" s="18">
        <v>1</v>
      </c>
      <c r="AO274" s="24">
        <v>2</v>
      </c>
      <c r="AP274" s="24">
        <v>2</v>
      </c>
      <c r="AQ274" s="18">
        <v>0</v>
      </c>
      <c r="AR274" s="18">
        <v>0</v>
      </c>
      <c r="AS274" s="18">
        <v>0</v>
      </c>
      <c r="AT274" s="18">
        <v>0</v>
      </c>
      <c r="AU274" s="18">
        <v>0</v>
      </c>
      <c r="AV274" s="18">
        <v>0</v>
      </c>
      <c r="AW274" s="18">
        <v>0</v>
      </c>
      <c r="AX274" s="18">
        <v>0</v>
      </c>
      <c r="AY274" s="233"/>
      <c r="AZ274" s="4"/>
      <c r="BA274" s="35" t="str">
        <f ca="1">IF(OR(S274="North America",S274="Rocky Mountain"), "Widespread",BC274)</f>
        <v>Abundant</v>
      </c>
      <c r="BB274" s="4"/>
      <c r="BC274" s="35" t="str">
        <f ca="1">IF(BE274&gt;2046, "Abundant",BE274)</f>
        <v>Abundant</v>
      </c>
      <c r="BD274" s="4"/>
      <c r="BE274" s="81">
        <f ca="1">YEAR($C$13)+(BG274*80)</f>
        <v>2113.9119030303032</v>
      </c>
      <c r="BF274" s="4"/>
      <c r="BG274" s="137">
        <f ca="1">BH274*$BH$14</f>
        <v>1.1863987878787881</v>
      </c>
      <c r="BH274" s="137">
        <f ca="1">(((BJ274+BK274+BM274+BN274)/4)*$BM$11)+(((BP274+BQ274)/2)*$BQ$11)+(((BU274+BV274+BW274)/3)*$BU$11)+(((BY274+BZ274+CA274+CB274+CC274)/5)*$CA$11)</f>
        <v>1.1863987878787881</v>
      </c>
      <c r="BI274" s="4"/>
      <c r="BJ274" s="33">
        <f>AP274/(AM274+AO274)</f>
        <v>0.66666666666666663</v>
      </c>
      <c r="BK274" s="33">
        <f>(AN274+AO274)/(AM274+AO274)</f>
        <v>1</v>
      </c>
      <c r="BL274" s="4"/>
      <c r="BM274" s="127">
        <f>CF274/102</f>
        <v>0.33333333333333331</v>
      </c>
      <c r="BN274" s="127">
        <f>C274/2</f>
        <v>4</v>
      </c>
      <c r="BO274" s="4"/>
      <c r="BP274" s="127">
        <f>(AK274)/($AW$6)</f>
        <v>0.25252525252525254</v>
      </c>
      <c r="BQ274" s="127">
        <f ca="1">(CH274-$AW$4)/((YEAR($C$13))-$AW$4)</f>
        <v>1</v>
      </c>
      <c r="BR274" s="127">
        <f>(AL274)/($AW$6)</f>
        <v>0.10101010101010101</v>
      </c>
      <c r="BS274" s="4"/>
      <c r="BT274" s="127"/>
      <c r="BU274" s="127">
        <f ca="1">(CG274-$AW$4)/((YEAR($C$13))-$AW$4)</f>
        <v>1</v>
      </c>
      <c r="BV274" s="127">
        <f>AE274/5</f>
        <v>1</v>
      </c>
      <c r="BW274" s="127">
        <f>AF274/5</f>
        <v>1</v>
      </c>
      <c r="BX274" s="4"/>
      <c r="BY274" s="148" t="str">
        <f>IF(E274="A",".98",IF(E274="B",".99",IF(E274="C","1.00",IF(E274="D","1.00" ))))</f>
        <v>1.00</v>
      </c>
      <c r="BZ274" s="127">
        <f>(CE274+7)/10</f>
        <v>1</v>
      </c>
      <c r="CA274" s="76" t="str">
        <f>IF(D274="Fern",".97",IF(D274="Grass",".99",IF(D274="Herb",".97",IF(D274="Shrub",".99",IF(D274="Tree","1.00",IF(D274="Vine",".98"))))))</f>
        <v>.97</v>
      </c>
      <c r="CB274" s="149" t="str">
        <f>IF(R274="Bogs Ponds Streams",".96", IF(R274="Coastal Areas",".97",IF(R274="Meadows Dry Open",".96",IF(R274="Forest &amp; Understory",".97",IF(R274="Moist Open",".98",IF(R274="Moist Shady",".96",IF(R274="Sub-Alpine","1.0")))))))</f>
        <v>.96</v>
      </c>
      <c r="CC274" s="76" t="str">
        <f>IF(S274="Local Endemic",".50",IF(S274="Regional Endemic",".70",IF(S274="Cascadia",".90",IF(S274="Rocky Mountain",".95",IF(S274="North America",".99")))))</f>
        <v>.70</v>
      </c>
      <c r="CD274" s="4"/>
      <c r="CE274" s="21">
        <f>IF(W274&gt;3,3,W274)</f>
        <v>3</v>
      </c>
      <c r="CF274" s="21">
        <f>IF(AC274&gt;102,102,AC274)</f>
        <v>34</v>
      </c>
      <c r="CG274" s="34">
        <f ca="1">IF(AI274&lt;$AW$4,$AW$4,AI274)</f>
        <v>2019</v>
      </c>
      <c r="CH274" s="34">
        <f ca="1">IF(AJ274&lt;$AW$4,$AW$4,AJ274)</f>
        <v>2019</v>
      </c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12"/>
    </row>
    <row r="275" spans="1:115" ht="15" customHeight="1" x14ac:dyDescent="0.3">
      <c r="A275" s="235"/>
      <c r="B275" s="218"/>
      <c r="C275" s="226">
        <v>2</v>
      </c>
      <c r="D275" s="104" t="s">
        <v>2505</v>
      </c>
      <c r="E275" s="104" t="s">
        <v>2501</v>
      </c>
      <c r="F275" s="400" t="str">
        <f ca="1">IF(BC275&lt;2025, "Extinct&lt; 6Yrs?",BA275)</f>
        <v>Abundant</v>
      </c>
      <c r="G275" s="369" t="s">
        <v>525</v>
      </c>
      <c r="H275" s="369" t="s">
        <v>4028</v>
      </c>
      <c r="I275" s="372" t="s">
        <v>2625</v>
      </c>
      <c r="J275" s="371" t="s">
        <v>3791</v>
      </c>
      <c r="K275" s="371" t="s">
        <v>2755</v>
      </c>
      <c r="L275" s="114" t="s">
        <v>2029</v>
      </c>
      <c r="M275" s="111" t="s">
        <v>4354</v>
      </c>
      <c r="N275" s="111" t="s">
        <v>5248</v>
      </c>
      <c r="O275" s="111" t="s">
        <v>6145</v>
      </c>
      <c r="P275" s="401" t="s">
        <v>285</v>
      </c>
      <c r="Q275" s="104" t="s">
        <v>2552</v>
      </c>
      <c r="R275" s="105" t="s">
        <v>2500</v>
      </c>
      <c r="S275" s="105" t="s">
        <v>2316</v>
      </c>
      <c r="T275" s="133" t="str">
        <f>IF(R275="Bogs Ponds Streams","20",IF(R275="Coastal Areas","26",IF(R275="Meadows Dry Open","10",IF(R275="Forest &amp; Understory","14",IF(R275="Moist Open","12",IF(R275="Moist Shady","10",IF(R275="Sub-Alpine Slopes","0")))))))</f>
        <v>10</v>
      </c>
      <c r="U275" s="133" t="str">
        <f>IF(R275="Bogs Ponds Streams","52",IF(R275="Coastal Areas","51",IF(R275="Meadows Dry Open","53",IF(R275="Forest &amp; Understory","52",IF(R275="Moist Open","50",IF(R275="Moist Shady","46",IF(R275="Sub-Alpine Slopes","40")))))))</f>
        <v>53</v>
      </c>
      <c r="V275" s="133" t="str">
        <f>IF(R275="Bogs Ponds Streams","84",IF(R275="Coastal Areas","76",IF(R275="Meadows Dry Open","96", IF(R275="Forest &amp; Understory","90", IF(R275="Moist Open","88", IF(R275="Moist Shady","82", IF(R275="Sub-Alpine Slopes","80")))))))</f>
        <v>96</v>
      </c>
      <c r="W275" s="104">
        <v>20</v>
      </c>
      <c r="X275" s="104">
        <v>0</v>
      </c>
      <c r="Y275" s="104">
        <v>3500</v>
      </c>
      <c r="Z275" s="104" t="s">
        <v>2519</v>
      </c>
      <c r="AA275" s="104" t="s">
        <v>2518</v>
      </c>
      <c r="AB275" s="104">
        <v>6.8</v>
      </c>
      <c r="AC275" s="107">
        <f>C275+AK275+(0.1)*AL275</f>
        <v>22.6</v>
      </c>
      <c r="AD275" s="113">
        <v>28</v>
      </c>
      <c r="AE275" s="104">
        <v>5</v>
      </c>
      <c r="AF275" s="104">
        <v>5</v>
      </c>
      <c r="AG275" s="104">
        <v>1900</v>
      </c>
      <c r="AH275" s="113">
        <v>0</v>
      </c>
      <c r="AI275" s="104">
        <f ca="1">AJ275</f>
        <v>2019</v>
      </c>
      <c r="AJ275" s="108">
        <f ca="1">YEAR(TODAY())</f>
        <v>2019</v>
      </c>
      <c r="AK275" s="108">
        <v>20</v>
      </c>
      <c r="AL275" s="108">
        <v>6</v>
      </c>
      <c r="AM275" s="108">
        <v>1</v>
      </c>
      <c r="AN275" s="108">
        <v>1</v>
      </c>
      <c r="AO275" s="108">
        <v>5</v>
      </c>
      <c r="AP275" s="108">
        <v>1</v>
      </c>
      <c r="AQ275" s="108">
        <v>0</v>
      </c>
      <c r="AR275" s="108">
        <v>0</v>
      </c>
      <c r="AS275" s="108">
        <v>0</v>
      </c>
      <c r="AT275" s="108">
        <v>0</v>
      </c>
      <c r="AU275" s="108">
        <v>0</v>
      </c>
      <c r="AV275" s="108">
        <v>0</v>
      </c>
      <c r="AW275" s="108">
        <v>0</v>
      </c>
      <c r="AX275" s="108">
        <v>0</v>
      </c>
      <c r="AY275" s="233"/>
      <c r="AZ275" s="4"/>
      <c r="BA275" s="35" t="str">
        <f ca="1">IF(OR(S275="North America",S275="Rocky Mountain"), "Widespread",BC275)</f>
        <v>Abundant</v>
      </c>
      <c r="BB275" s="4"/>
      <c r="BC275" s="35" t="str">
        <f ca="1">IF(BE275&gt;2046, "Abundant",BE275)</f>
        <v>Abundant</v>
      </c>
      <c r="BD275" s="4"/>
      <c r="BE275" s="81">
        <f ca="1">YEAR($C$13)+(BG275*80)</f>
        <v>2069.900665953654</v>
      </c>
      <c r="BF275" s="4"/>
      <c r="BG275" s="137">
        <f ca="1">BH275*$BH$14</f>
        <v>0.63625832442067731</v>
      </c>
      <c r="BH275" s="137">
        <f ca="1">(((BJ275+BK275+BM275+BN275)/4)*$BM$11)+(((BP275+BQ275)/2)*$BQ$11)+(((BU275+BV275+BW275)/3)*$BU$11)+(((BY275+BZ275+CA275+CB275+CC275)/5)*$CA$11)</f>
        <v>0.63625832442067731</v>
      </c>
      <c r="BI275" s="4"/>
      <c r="BJ275" s="33">
        <f>AP275/(AM275+AO275)</f>
        <v>0.16666666666666666</v>
      </c>
      <c r="BK275" s="33">
        <f>(AN275+AO275)/(AM275+AO275)</f>
        <v>1</v>
      </c>
      <c r="BL275" s="4"/>
      <c r="BM275" s="127">
        <f>CF275/102</f>
        <v>0.22156862745098041</v>
      </c>
      <c r="BN275" s="127">
        <f>C275/2</f>
        <v>1</v>
      </c>
      <c r="BO275" s="4"/>
      <c r="BP275" s="127">
        <f>(AK275)/($AW$6)</f>
        <v>0.20202020202020202</v>
      </c>
      <c r="BQ275" s="127">
        <f ca="1">(CH275-$AW$4)/((YEAR($C$13))-$AW$4)</f>
        <v>1</v>
      </c>
      <c r="BR275" s="127">
        <f>(AL275)/($AW$6)</f>
        <v>6.0606060606060608E-2</v>
      </c>
      <c r="BS275" s="4"/>
      <c r="BT275" s="127"/>
      <c r="BU275" s="127">
        <f ca="1">(CG275-$AW$4)/((YEAR($C$13))-$AW$4)</f>
        <v>1</v>
      </c>
      <c r="BV275" s="127">
        <f>AE275/5</f>
        <v>1</v>
      </c>
      <c r="BW275" s="127">
        <f>AF275/5</f>
        <v>1</v>
      </c>
      <c r="BX275" s="4"/>
      <c r="BY275" s="148" t="str">
        <f>IF(E275="A",".98",IF(E275="B",".99",IF(E275="C","1.00",IF(E275="D","1.00" ))))</f>
        <v>1.00</v>
      </c>
      <c r="BZ275" s="127">
        <f>(CE275+7)/10</f>
        <v>1</v>
      </c>
      <c r="CA275" s="76" t="str">
        <f>IF(D275="Fern",".97",IF(D275="Grass",".99",IF(D275="Herb",".97",IF(D275="Shrub",".99",IF(D275="Tree","1.00",IF(D275="Vine",".98"))))))</f>
        <v>.97</v>
      </c>
      <c r="CB275" s="149" t="str">
        <f>IF(R275="Bogs Ponds Streams",".96", IF(R275="Coastal Areas",".97",IF(R275="Meadows Dry Open",".96",IF(R275="Forest &amp; Understory",".97",IF(R275="Moist Open",".98",IF(R275="Moist Shady",".96",IF(R275="Sub-Alpine","1.0")))))))</f>
        <v>.96</v>
      </c>
      <c r="CC275" s="76" t="str">
        <f>IF(S275="Local Endemic",".50",IF(S275="Regional Endemic",".70",IF(S275="Cascadia",".90",IF(S275="Rocky Mountain",".95",IF(S275="North America",".99")))))</f>
        <v>.50</v>
      </c>
      <c r="CD275" s="4"/>
      <c r="CE275" s="21">
        <f>IF(W275&gt;3,3,W275)</f>
        <v>3</v>
      </c>
      <c r="CF275" s="21">
        <f>IF(AC275&gt;102,102,AC275)</f>
        <v>22.6</v>
      </c>
      <c r="CG275" s="34">
        <f ca="1">IF(AI275&lt;$AW$4,$AW$4,AI275)</f>
        <v>2019</v>
      </c>
      <c r="CH275" s="34">
        <f ca="1">IF(AJ275&lt;$AW$4,$AW$4,AJ275)</f>
        <v>2019</v>
      </c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13"/>
    </row>
    <row r="276" spans="1:115" ht="15" customHeight="1" x14ac:dyDescent="0.3">
      <c r="A276" s="235"/>
      <c r="B276" s="218"/>
      <c r="C276" s="225">
        <v>8</v>
      </c>
      <c r="D276" s="59" t="s">
        <v>2505</v>
      </c>
      <c r="E276" s="59" t="s">
        <v>2502</v>
      </c>
      <c r="F276" s="397" t="str">
        <f ca="1">IF(BC276&lt;2025, "Extinct&lt; 6Yrs?",BA276)</f>
        <v>Abundant</v>
      </c>
      <c r="G276" s="363" t="s">
        <v>525</v>
      </c>
      <c r="H276" s="363" t="s">
        <v>690</v>
      </c>
      <c r="I276" s="364" t="s">
        <v>2626</v>
      </c>
      <c r="J276" s="365" t="s">
        <v>3303</v>
      </c>
      <c r="K276" s="365" t="s">
        <v>2756</v>
      </c>
      <c r="L276" s="17" t="s">
        <v>2028</v>
      </c>
      <c r="M276" s="8" t="s">
        <v>4355</v>
      </c>
      <c r="N276" s="8" t="s">
        <v>5249</v>
      </c>
      <c r="O276" s="8" t="s">
        <v>6146</v>
      </c>
      <c r="P276" s="398" t="s">
        <v>285</v>
      </c>
      <c r="Q276" s="59" t="s">
        <v>2552</v>
      </c>
      <c r="R276" s="9" t="s">
        <v>2498</v>
      </c>
      <c r="S276" s="9" t="s">
        <v>2309</v>
      </c>
      <c r="T276" s="123" t="str">
        <f>IF(R276="Bogs Ponds Streams","20",IF(R276="Coastal Areas","26",IF(R276="Meadows Dry Open","10",IF(R276="Forest &amp; Understory","14",IF(R276="Moist Open","12",IF(R276="Moist Shady","10",IF(R276="Sub-Alpine Slopes","0")))))))</f>
        <v>10</v>
      </c>
      <c r="U276" s="123" t="str">
        <f>IF(R276="Bogs Ponds Streams","52",IF(R276="Coastal Areas","51",IF(R276="Meadows Dry Open","53",IF(R276="Forest &amp; Understory","52",IF(R276="Moist Open","50",IF(R276="Moist Shady","46",IF(R276="Sub-Alpine Slopes","40")))))))</f>
        <v>46</v>
      </c>
      <c r="V276" s="123" t="str">
        <f>IF(R276="Bogs Ponds Streams","84",IF(R276="Coastal Areas","76",IF(R276="Meadows Dry Open","96", IF(R276="Forest &amp; Understory","90", IF(R276="Moist Open","88", IF(R276="Moist Shady","82", IF(R276="Sub-Alpine Slopes","80")))))))</f>
        <v>82</v>
      </c>
      <c r="W276" s="59">
        <v>1</v>
      </c>
      <c r="X276" s="59">
        <v>0</v>
      </c>
      <c r="Y276" s="59">
        <v>3500</v>
      </c>
      <c r="Z276" s="59" t="s">
        <v>2519</v>
      </c>
      <c r="AA276" s="59" t="s">
        <v>2518</v>
      </c>
      <c r="AB276" s="59">
        <v>6.8</v>
      </c>
      <c r="AC276" s="45">
        <f>C276+AK276+(0.1)*AL276</f>
        <v>15.1</v>
      </c>
      <c r="AD276" s="77">
        <v>33</v>
      </c>
      <c r="AE276" s="59">
        <v>5</v>
      </c>
      <c r="AF276" s="59">
        <v>5</v>
      </c>
      <c r="AG276" s="59">
        <v>1900</v>
      </c>
      <c r="AH276" s="77">
        <v>0</v>
      </c>
      <c r="AI276" s="59">
        <f ca="1">AJ276</f>
        <v>2019</v>
      </c>
      <c r="AJ276" s="18">
        <f ca="1">YEAR(TODAY())</f>
        <v>2019</v>
      </c>
      <c r="AK276" s="18">
        <v>7</v>
      </c>
      <c r="AL276" s="18">
        <v>1</v>
      </c>
      <c r="AM276" s="18">
        <v>1</v>
      </c>
      <c r="AN276" s="18">
        <v>1</v>
      </c>
      <c r="AO276" s="18">
        <v>5</v>
      </c>
      <c r="AP276" s="18">
        <v>1</v>
      </c>
      <c r="AQ276" s="18">
        <v>0</v>
      </c>
      <c r="AR276" s="18">
        <v>0</v>
      </c>
      <c r="AS276" s="18">
        <v>0</v>
      </c>
      <c r="AT276" s="18">
        <v>0</v>
      </c>
      <c r="AU276" s="18">
        <v>0</v>
      </c>
      <c r="AV276" s="18">
        <v>0</v>
      </c>
      <c r="AW276" s="18">
        <v>0</v>
      </c>
      <c r="AX276" s="18">
        <v>0</v>
      </c>
      <c r="AY276" s="233"/>
      <c r="AZ276" s="4"/>
      <c r="BA276" s="35" t="str">
        <f ca="1">IF(OR(S276="North America",S276="Rocky Mountain"), "Widespread",BC276)</f>
        <v>Abundant</v>
      </c>
      <c r="BB276" s="4"/>
      <c r="BC276" s="35" t="str">
        <f ca="1">IF(BE276&gt;2046, "Abundant",BE276)</f>
        <v>Abundant</v>
      </c>
      <c r="BD276" s="4"/>
      <c r="BE276" s="81">
        <f ca="1">YEAR($C$13)+(BG276*80)</f>
        <v>2103.4361554367201</v>
      </c>
      <c r="BF276" s="4"/>
      <c r="BG276" s="137">
        <f ca="1">BH276*$BH$14</f>
        <v>1.0554519429590019</v>
      </c>
      <c r="BH276" s="137">
        <f ca="1">(((BJ276+BK276+BM276+BN276)/4)*$BM$11)+(((BP276+BQ276)/2)*$BQ$11)+(((BU276+BV276+BW276)/3)*$BU$11)+(((BY276+BZ276+CA276+CB276+CC276)/5)*$CA$11)</f>
        <v>1.0554519429590019</v>
      </c>
      <c r="BI276" s="4"/>
      <c r="BJ276" s="33">
        <f>AP276/(AM276+AO276)</f>
        <v>0.16666666666666666</v>
      </c>
      <c r="BK276" s="33">
        <f>(AN276+AO276)/(AM276+AO276)</f>
        <v>1</v>
      </c>
      <c r="BL276" s="4"/>
      <c r="BM276" s="127">
        <f>CF276/102</f>
        <v>0.14803921568627451</v>
      </c>
      <c r="BN276" s="127">
        <f>C276/2</f>
        <v>4</v>
      </c>
      <c r="BO276" s="4"/>
      <c r="BP276" s="127">
        <f>(AK276)/($AW$6)</f>
        <v>7.0707070707070704E-2</v>
      </c>
      <c r="BQ276" s="127">
        <f ca="1">(CH276-$AW$4)/((YEAR($C$13))-$AW$4)</f>
        <v>1</v>
      </c>
      <c r="BR276" s="127">
        <f>(AL276)/($AW$6)</f>
        <v>1.0101010101010102E-2</v>
      </c>
      <c r="BS276" s="4"/>
      <c r="BT276" s="127"/>
      <c r="BU276" s="127">
        <f ca="1">(CG276-$AW$4)/((YEAR($C$13))-$AW$4)</f>
        <v>1</v>
      </c>
      <c r="BV276" s="127">
        <f>AE276/5</f>
        <v>1</v>
      </c>
      <c r="BW276" s="127">
        <f>AF276/5</f>
        <v>1</v>
      </c>
      <c r="BX276" s="4"/>
      <c r="BY276" s="148" t="str">
        <f>IF(E276="A",".98",IF(E276="B",".99",IF(E276="C","1.00",IF(E276="D","1.00" ))))</f>
        <v>.98</v>
      </c>
      <c r="BZ276" s="127">
        <f>(CE276+7)/10</f>
        <v>0.8</v>
      </c>
      <c r="CA276" s="76" t="str">
        <f>IF(D276="Fern",".97",IF(D276="Grass",".99",IF(D276="Herb",".97",IF(D276="Shrub",".99",IF(D276="Tree","1.00",IF(D276="Vine",".98"))))))</f>
        <v>.97</v>
      </c>
      <c r="CB276" s="149" t="str">
        <f>IF(R276="Bogs Ponds Streams",".96", IF(R276="Coastal Areas",".97",IF(R276="Meadows Dry Open",".96",IF(R276="Forest &amp; Understory",".97",IF(R276="Moist Open",".98",IF(R276="Moist Shady",".96",IF(R276="Sub-Alpine","1.0")))))))</f>
        <v>.96</v>
      </c>
      <c r="CC276" s="76" t="str">
        <f>IF(S276="Local Endemic",".50",IF(S276="Regional Endemic",".70",IF(S276="Cascadia",".90",IF(S276="Rocky Mountain",".95",IF(S276="North America",".99")))))</f>
        <v>.70</v>
      </c>
      <c r="CD276" s="4"/>
      <c r="CE276" s="21">
        <f>IF(W276&gt;3,3,W276)</f>
        <v>1</v>
      </c>
      <c r="CF276" s="21">
        <f>IF(AC276&gt;102,102,AC276)</f>
        <v>15.1</v>
      </c>
      <c r="CG276" s="34">
        <f ca="1">IF(AI276&lt;$AW$4,$AW$4,AI276)</f>
        <v>2019</v>
      </c>
      <c r="CH276" s="34">
        <f ca="1">IF(AJ276&lt;$AW$4,$AW$4,AJ276)</f>
        <v>2019</v>
      </c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</row>
    <row r="277" spans="1:115" ht="15" customHeight="1" x14ac:dyDescent="0.3">
      <c r="A277" s="235"/>
      <c r="B277" s="218"/>
      <c r="C277" s="375">
        <v>1</v>
      </c>
      <c r="D277" s="68" t="s">
        <v>1154</v>
      </c>
      <c r="E277" s="67" t="s">
        <v>2501</v>
      </c>
      <c r="F277" s="403" t="str">
        <f ca="1">IF(BC277&lt;2025, "Extinct&lt; 6Yrs?",BA277)</f>
        <v>Widespread</v>
      </c>
      <c r="G277" s="376" t="s">
        <v>525</v>
      </c>
      <c r="H277" s="376" t="s">
        <v>4028</v>
      </c>
      <c r="I277" s="377" t="s">
        <v>2352</v>
      </c>
      <c r="J277" s="378" t="s">
        <v>2393</v>
      </c>
      <c r="K277" s="378" t="s">
        <v>2351</v>
      </c>
      <c r="L277" s="63" t="s">
        <v>2394</v>
      </c>
      <c r="M277" s="64" t="s">
        <v>4356</v>
      </c>
      <c r="N277" s="64" t="s">
        <v>5250</v>
      </c>
      <c r="O277" s="64" t="s">
        <v>6147</v>
      </c>
      <c r="P277" s="61" t="s">
        <v>481</v>
      </c>
      <c r="Q277" s="67" t="s">
        <v>2552</v>
      </c>
      <c r="R277" s="163" t="s">
        <v>2497</v>
      </c>
      <c r="S277" s="164" t="s">
        <v>2495</v>
      </c>
      <c r="T277" s="134" t="str">
        <f>IF(R277="Bogs Ponds Streams","20",IF(R277="Coastal Areas","26",IF(R277="Meadows Dry Open","10",IF(R277="Forest &amp; Understory","14",IF(R277="Moist Open","12",IF(R277="Moist Shady","10",IF(R277="Sub-Alpine Slopes","0")))))))</f>
        <v>12</v>
      </c>
      <c r="U277" s="134" t="str">
        <f>IF(R277="Bogs Ponds Streams","52",IF(R277="Coastal Areas","51",IF(R277="Meadows Dry Open","53",IF(R277="Forest &amp; Understory","52",IF(R277="Moist Open","50",IF(R277="Moist Shady","46",IF(R277="Sub-Alpine Slopes","40")))))))</f>
        <v>50</v>
      </c>
      <c r="V277" s="134" t="str">
        <f>IF(R277="Bogs Ponds Streams","84",IF(R277="Coastal Areas","76",IF(R277="Meadows Dry Open","96", IF(R277="Forest &amp; Understory","90", IF(R277="Moist Open","88", IF(R277="Moist Shady","82", IF(R277="Sub-Alpine Slopes","80")))))))</f>
        <v>88</v>
      </c>
      <c r="W277" s="67">
        <v>20</v>
      </c>
      <c r="X277" s="67">
        <v>0</v>
      </c>
      <c r="Y277" s="67">
        <v>3500</v>
      </c>
      <c r="Z277" s="67" t="s">
        <v>2519</v>
      </c>
      <c r="AA277" s="67" t="s">
        <v>2518</v>
      </c>
      <c r="AB277" s="67">
        <v>6.8</v>
      </c>
      <c r="AC277" s="85">
        <f>C277+AK277+(0.1)*AL277</f>
        <v>4.0999999999999996</v>
      </c>
      <c r="AD277" s="78">
        <v>49</v>
      </c>
      <c r="AE277" s="68">
        <v>3</v>
      </c>
      <c r="AF277" s="68">
        <v>5</v>
      </c>
      <c r="AG277" s="78">
        <v>1937</v>
      </c>
      <c r="AH277" s="78">
        <v>0</v>
      </c>
      <c r="AI277" s="78">
        <v>2017</v>
      </c>
      <c r="AJ277" s="67">
        <v>2004</v>
      </c>
      <c r="AK277" s="67">
        <v>3</v>
      </c>
      <c r="AL277" s="67">
        <v>1</v>
      </c>
      <c r="AM277" s="70">
        <v>5</v>
      </c>
      <c r="AN277" s="70">
        <v>0</v>
      </c>
      <c r="AO277" s="86">
        <v>0</v>
      </c>
      <c r="AP277" s="70">
        <v>0</v>
      </c>
      <c r="AQ277" s="70">
        <v>0</v>
      </c>
      <c r="AR277" s="70">
        <v>0</v>
      </c>
      <c r="AS277" s="86">
        <v>0</v>
      </c>
      <c r="AT277" s="70">
        <v>0</v>
      </c>
      <c r="AU277" s="70">
        <v>0</v>
      </c>
      <c r="AV277" s="70">
        <v>0</v>
      </c>
      <c r="AW277" s="86">
        <v>0</v>
      </c>
      <c r="AX277" s="70">
        <v>0</v>
      </c>
      <c r="AY277" s="233"/>
      <c r="AZ277" s="11"/>
      <c r="BA277" s="35" t="str">
        <f>IF(OR(S277="North America",S277="Rocky Mountain"), "Widespread",BC277)</f>
        <v>Widespread</v>
      </c>
      <c r="BB277" s="11"/>
      <c r="BC277" s="35">
        <f ca="1">IF(BE277&gt;2046, "Abundant",BE277)</f>
        <v>2032.6890115270351</v>
      </c>
      <c r="BD277" s="11"/>
      <c r="BE277" s="81">
        <f ca="1">YEAR($C$13)+(BG277*80)</f>
        <v>2032.6890115270351</v>
      </c>
      <c r="BF277" s="11"/>
      <c r="BG277" s="137">
        <f ca="1">BH277*$BH$14</f>
        <v>0.17111264408793819</v>
      </c>
      <c r="BH277" s="137">
        <f ca="1">(((BJ277+BK277+BM277+BN277)/4)*$BM$11)+(((BP277+BQ277)/2)*$BQ$11)+(((BU277+BV277+BW277)/3)*$BU$11)+(((BY277+BZ277+CA277+CB277+CC277)/5)*$CA$11)</f>
        <v>0.17111264408793819</v>
      </c>
      <c r="BI277" s="11"/>
      <c r="BJ277" s="33">
        <f>AP277/(AM277+AO277)</f>
        <v>0</v>
      </c>
      <c r="BK277" s="33">
        <f>(AN277+AO277)/(AM277+AO277)</f>
        <v>0</v>
      </c>
      <c r="BL277" s="11"/>
      <c r="BM277" s="127">
        <f>CF277/102</f>
        <v>4.0196078431372545E-2</v>
      </c>
      <c r="BN277" s="127">
        <f>C277/2</f>
        <v>0.5</v>
      </c>
      <c r="BO277" s="11"/>
      <c r="BP277" s="127">
        <f>(AK277)/($AW$6)</f>
        <v>3.0303030303030304E-2</v>
      </c>
      <c r="BQ277" s="127">
        <f ca="1">(CH277-$AW$4)/((YEAR($C$13))-$AW$4)</f>
        <v>0</v>
      </c>
      <c r="BR277" s="127">
        <f>(AL277)/($AW$6)</f>
        <v>1.0101010101010102E-2</v>
      </c>
      <c r="BS277" s="11"/>
      <c r="BT277" s="127"/>
      <c r="BU277" s="127">
        <f ca="1">(CG277-$AW$4)/((YEAR($C$13))-$AW$4)</f>
        <v>0.8666666666666667</v>
      </c>
      <c r="BV277" s="127">
        <f>AE277/5</f>
        <v>0.6</v>
      </c>
      <c r="BW277" s="127">
        <f>AF277/5</f>
        <v>1</v>
      </c>
      <c r="BX277" s="11"/>
      <c r="BY277" s="148" t="str">
        <f>IF(E277="A",".98",IF(E277="B",".99",IF(E277="C","1.00",IF(E277="D","1.00" ))))</f>
        <v>1.00</v>
      </c>
      <c r="BZ277" s="127">
        <f>(CE277+7)/10</f>
        <v>1</v>
      </c>
      <c r="CA277" s="76" t="str">
        <f>IF(D277="Fern",".97",IF(D277="Grass",".99",IF(D277="Herb",".97",IF(D277="Shrub",".99",IF(D277="Tree","1.00",IF(D277="Vine",".98"))))))</f>
        <v>.97</v>
      </c>
      <c r="CB277" s="149" t="str">
        <f>IF(R277="Bogs Ponds Streams",".96", IF(R277="Coastal Areas",".97",IF(R277="Meadows Dry Open",".96",IF(R277="Forest &amp; Understory",".97",IF(R277="Moist Open",".98",IF(R277="Moist Shady",".96",IF(R277="Sub-Alpine","1.0")))))))</f>
        <v>.98</v>
      </c>
      <c r="CC277" s="76" t="str">
        <f>IF(S277="Local Endemic",".50",IF(S277="Regional Endemic",".70",IF(S277="Cascadia",".90",IF(S277="Rocky Mountain",".95",IF(S277="North America",".99")))))</f>
        <v>.99</v>
      </c>
      <c r="CD277" s="11"/>
      <c r="CE277" s="21">
        <f>IF(W277&gt;3,3,W277)</f>
        <v>3</v>
      </c>
      <c r="CF277" s="21">
        <f>IF(AC277&gt;102,102,AC277)</f>
        <v>4.0999999999999996</v>
      </c>
      <c r="CG277" s="34">
        <f>IF(AI277&lt;$AW$4,$AW$4,AI277)</f>
        <v>2017</v>
      </c>
      <c r="CH277" s="34">
        <f>IF(AJ277&lt;$AW$4,$AW$4,AJ277)</f>
        <v>2004</v>
      </c>
      <c r="CI277" s="11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11"/>
      <c r="DC277" s="11"/>
      <c r="DD277" s="11"/>
      <c r="DE277" s="11"/>
      <c r="DF277" s="11"/>
      <c r="DG277" s="11"/>
      <c r="DH277" s="11"/>
      <c r="DI277" s="11"/>
      <c r="DJ277" s="11"/>
      <c r="DK277" s="13"/>
    </row>
    <row r="278" spans="1:115" ht="15" customHeight="1" x14ac:dyDescent="0.3">
      <c r="A278" s="235"/>
      <c r="B278" s="218"/>
      <c r="C278" s="225">
        <v>8</v>
      </c>
      <c r="D278" s="94" t="s">
        <v>1155</v>
      </c>
      <c r="E278" s="59" t="s">
        <v>2501</v>
      </c>
      <c r="F278" s="397" t="str">
        <f ca="1">IF(BC278&lt;2025, "Extinct&lt; 6Yrs?",BA278)</f>
        <v>Widespread</v>
      </c>
      <c r="G278" s="363" t="s">
        <v>525</v>
      </c>
      <c r="H278" s="363" t="s">
        <v>681</v>
      </c>
      <c r="I278" s="366" t="s">
        <v>214</v>
      </c>
      <c r="J278" s="365" t="s">
        <v>3304</v>
      </c>
      <c r="K278" s="365" t="s">
        <v>333</v>
      </c>
      <c r="L278" s="10" t="s">
        <v>2027</v>
      </c>
      <c r="M278" s="8" t="s">
        <v>4357</v>
      </c>
      <c r="N278" s="8" t="s">
        <v>5251</v>
      </c>
      <c r="O278" s="8" t="s">
        <v>6148</v>
      </c>
      <c r="P278" s="9" t="s">
        <v>468</v>
      </c>
      <c r="Q278" s="59" t="s">
        <v>2552</v>
      </c>
      <c r="R278" s="9" t="s">
        <v>2498</v>
      </c>
      <c r="S278" s="9" t="s">
        <v>2495</v>
      </c>
      <c r="T278" s="123" t="str">
        <f>IF(R278="Bogs Ponds Streams","20",IF(R278="Coastal Areas","26",IF(R278="Meadows Dry Open","10",IF(R278="Forest &amp; Understory","14",IF(R278="Moist Open","12",IF(R278="Moist Shady","10",IF(R278="Sub-Alpine Slopes","0")))))))</f>
        <v>10</v>
      </c>
      <c r="U278" s="123" t="str">
        <f>IF(R278="Bogs Ponds Streams","52",IF(R278="Coastal Areas","51",IF(R278="Meadows Dry Open","53",IF(R278="Forest &amp; Understory","52",IF(R278="Moist Open","50",IF(R278="Moist Shady","46",IF(R278="Sub-Alpine Slopes","40")))))))</f>
        <v>46</v>
      </c>
      <c r="V278" s="123" t="str">
        <f>IF(R278="Bogs Ponds Streams","84",IF(R278="Coastal Areas","76",IF(R278="Meadows Dry Open","96", IF(R278="Forest &amp; Understory","90", IF(R278="Moist Open","88", IF(R278="Moist Shady","82", IF(R278="Sub-Alpine Slopes","80")))))))</f>
        <v>82</v>
      </c>
      <c r="W278" s="59">
        <v>20</v>
      </c>
      <c r="X278" s="59">
        <v>0</v>
      </c>
      <c r="Y278" s="59">
        <v>3500</v>
      </c>
      <c r="Z278" s="59" t="s">
        <v>2519</v>
      </c>
      <c r="AA278" s="59" t="s">
        <v>2518</v>
      </c>
      <c r="AB278" s="59">
        <v>6.8</v>
      </c>
      <c r="AC278" s="45">
        <f>C278+AK278+(0.1)*AL278</f>
        <v>47</v>
      </c>
      <c r="AD278" s="77">
        <v>261</v>
      </c>
      <c r="AE278" s="59">
        <v>5</v>
      </c>
      <c r="AF278" s="59">
        <v>5</v>
      </c>
      <c r="AG278" s="59">
        <v>1900</v>
      </c>
      <c r="AH278" s="77">
        <v>0</v>
      </c>
      <c r="AI278" s="59">
        <f ca="1">AJ278</f>
        <v>2019</v>
      </c>
      <c r="AJ278" s="18">
        <f ca="1">YEAR(TODAY())</f>
        <v>2019</v>
      </c>
      <c r="AK278" s="18">
        <v>35</v>
      </c>
      <c r="AL278" s="18">
        <v>40</v>
      </c>
      <c r="AM278" s="18">
        <v>1</v>
      </c>
      <c r="AN278" s="18">
        <v>1</v>
      </c>
      <c r="AO278" s="18">
        <v>5</v>
      </c>
      <c r="AP278" s="18">
        <v>1</v>
      </c>
      <c r="AQ278" s="18">
        <v>0</v>
      </c>
      <c r="AR278" s="18">
        <v>0</v>
      </c>
      <c r="AS278" s="18">
        <v>0</v>
      </c>
      <c r="AT278" s="18">
        <v>0</v>
      </c>
      <c r="AU278" s="18">
        <v>0</v>
      </c>
      <c r="AV278" s="18">
        <v>0</v>
      </c>
      <c r="AW278" s="18">
        <v>0</v>
      </c>
      <c r="AX278" s="18">
        <v>0</v>
      </c>
      <c r="AY278" s="233"/>
      <c r="AZ278" s="4"/>
      <c r="BA278" s="35" t="str">
        <f>IF(OR(S278="North America",S278="Rocky Mountain"), "Widespread",BC278)</f>
        <v>Widespread</v>
      </c>
      <c r="BB278" s="4"/>
      <c r="BC278" s="35" t="str">
        <f ca="1">IF(BE278&gt;2046, "Abundant",BE278)</f>
        <v>Abundant</v>
      </c>
      <c r="BD278" s="4"/>
      <c r="BE278" s="81">
        <f ca="1">YEAR($C$13)+(BG278*80)</f>
        <v>2110.7526360071301</v>
      </c>
      <c r="BF278" s="4"/>
      <c r="BG278" s="137">
        <f ca="1">BH278*$BH$14</f>
        <v>1.1469079500891266</v>
      </c>
      <c r="BH278" s="137">
        <f ca="1">(((BJ278+BK278+BM278+BN278)/4)*$BM$11)+(((BP278+BQ278)/2)*$BQ$11)+(((BU278+BV278+BW278)/3)*$BU$11)+(((BY278+BZ278+CA278+CB278+CC278)/5)*$CA$11)</f>
        <v>1.1469079500891266</v>
      </c>
      <c r="BI278" s="4"/>
      <c r="BJ278" s="33">
        <f>AP278/(AM278+AO278)</f>
        <v>0.16666666666666666</v>
      </c>
      <c r="BK278" s="33">
        <f>(AN278+AO278)/(AM278+AO278)</f>
        <v>1</v>
      </c>
      <c r="BL278" s="4"/>
      <c r="BM278" s="127">
        <f>CF278/102</f>
        <v>0.46078431372549017</v>
      </c>
      <c r="BN278" s="127">
        <f>C278/2</f>
        <v>4</v>
      </c>
      <c r="BO278" s="4"/>
      <c r="BP278" s="127">
        <f>(AK278)/($AW$6)</f>
        <v>0.35353535353535354</v>
      </c>
      <c r="BQ278" s="127">
        <f ca="1">(CH278-$AW$4)/((YEAR($C$13))-$AW$4)</f>
        <v>1</v>
      </c>
      <c r="BR278" s="127">
        <f>(AL278)/($AW$6)</f>
        <v>0.40404040404040403</v>
      </c>
      <c r="BS278" s="4"/>
      <c r="BT278" s="127"/>
      <c r="BU278" s="127">
        <f ca="1">(CG278-$AW$4)/((YEAR($C$13))-$AW$4)</f>
        <v>1</v>
      </c>
      <c r="BV278" s="127">
        <f>AE278/5</f>
        <v>1</v>
      </c>
      <c r="BW278" s="127">
        <f>AF278/5</f>
        <v>1</v>
      </c>
      <c r="BX278" s="4"/>
      <c r="BY278" s="148" t="str">
        <f>IF(E278="A",".98",IF(E278="B",".99",IF(E278="C","1.00",IF(E278="D","1.00" ))))</f>
        <v>1.00</v>
      </c>
      <c r="BZ278" s="127">
        <f>(CE278+7)/10</f>
        <v>1</v>
      </c>
      <c r="CA278" s="76" t="str">
        <f>IF(D278="Fern",".97",IF(D278="Grass",".99",IF(D278="Herb",".97",IF(D278="Shrub",".99",IF(D278="Tree","1.00",IF(D278="Vine",".98"))))))</f>
        <v>.99</v>
      </c>
      <c r="CB278" s="149" t="str">
        <f>IF(R278="Bogs Ponds Streams",".96", IF(R278="Coastal Areas",".97",IF(R278="Meadows Dry Open",".96",IF(R278="Forest &amp; Understory",".97",IF(R278="Moist Open",".98",IF(R278="Moist Shady",".96",IF(R278="Sub-Alpine","1.0")))))))</f>
        <v>.96</v>
      </c>
      <c r="CC278" s="76" t="str">
        <f>IF(S278="Local Endemic",".50",IF(S278="Regional Endemic",".70",IF(S278="Cascadia",".90",IF(S278="Rocky Mountain",".95",IF(S278="North America",".99")))))</f>
        <v>.99</v>
      </c>
      <c r="CD278" s="4"/>
      <c r="CE278" s="21">
        <f>IF(W278&gt;3,3,W278)</f>
        <v>3</v>
      </c>
      <c r="CF278" s="21">
        <f>IF(AC278&gt;102,102,AC278)</f>
        <v>47</v>
      </c>
      <c r="CG278" s="34">
        <f ca="1">IF(AI278&lt;$AW$4,$AW$4,AI278)</f>
        <v>2019</v>
      </c>
      <c r="CH278" s="34">
        <f ca="1">IF(AJ278&lt;$AW$4,$AW$4,AJ278)</f>
        <v>2019</v>
      </c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13"/>
    </row>
    <row r="279" spans="1:115" s="13" customFormat="1" ht="15" customHeight="1" x14ac:dyDescent="0.3">
      <c r="A279" s="235"/>
      <c r="B279" s="218"/>
      <c r="C279" s="225">
        <v>8</v>
      </c>
      <c r="D279" s="94" t="s">
        <v>1155</v>
      </c>
      <c r="E279" s="59" t="s">
        <v>2501</v>
      </c>
      <c r="F279" s="397" t="str">
        <f ca="1">IF(BC279&lt;2025, "Extinct&lt; 6Yrs?",BA279)</f>
        <v>Widespread</v>
      </c>
      <c r="G279" s="363" t="s">
        <v>525</v>
      </c>
      <c r="H279" s="363" t="s">
        <v>681</v>
      </c>
      <c r="I279" s="366" t="s">
        <v>216</v>
      </c>
      <c r="J279" s="365" t="s">
        <v>3305</v>
      </c>
      <c r="K279" s="365" t="s">
        <v>215</v>
      </c>
      <c r="L279" s="10" t="s">
        <v>2026</v>
      </c>
      <c r="M279" s="8" t="s">
        <v>4358</v>
      </c>
      <c r="N279" s="8" t="s">
        <v>5252</v>
      </c>
      <c r="O279" s="8" t="s">
        <v>6149</v>
      </c>
      <c r="P279" s="9" t="s">
        <v>468</v>
      </c>
      <c r="Q279" s="59" t="s">
        <v>2552</v>
      </c>
      <c r="R279" s="9" t="s">
        <v>2498</v>
      </c>
      <c r="S279" s="9" t="s">
        <v>2495</v>
      </c>
      <c r="T279" s="123" t="str">
        <f>IF(R279="Bogs Ponds Streams","20",IF(R279="Coastal Areas","26",IF(R279="Meadows Dry Open","10",IF(R279="Forest &amp; Understory","14",IF(R279="Moist Open","12",IF(R279="Moist Shady","10",IF(R279="Sub-Alpine Slopes","0")))))))</f>
        <v>10</v>
      </c>
      <c r="U279" s="123" t="str">
        <f>IF(R279="Bogs Ponds Streams","52",IF(R279="Coastal Areas","51",IF(R279="Meadows Dry Open","53",IF(R279="Forest &amp; Understory","52",IF(R279="Moist Open","50",IF(R279="Moist Shady","46",IF(R279="Sub-Alpine Slopes","40")))))))</f>
        <v>46</v>
      </c>
      <c r="V279" s="123" t="str">
        <f>IF(R279="Bogs Ponds Streams","84",IF(R279="Coastal Areas","76",IF(R279="Meadows Dry Open","96", IF(R279="Forest &amp; Understory","90", IF(R279="Moist Open","88", IF(R279="Moist Shady","82", IF(R279="Sub-Alpine Slopes","80")))))))</f>
        <v>82</v>
      </c>
      <c r="W279" s="59">
        <v>20</v>
      </c>
      <c r="X279" s="59">
        <v>0</v>
      </c>
      <c r="Y279" s="59">
        <v>3500</v>
      </c>
      <c r="Z279" s="59" t="s">
        <v>2519</v>
      </c>
      <c r="AA279" s="59" t="s">
        <v>2518</v>
      </c>
      <c r="AB279" s="59">
        <v>6.8</v>
      </c>
      <c r="AC279" s="45">
        <f>C279+AK279+(0.1)*AL279</f>
        <v>42</v>
      </c>
      <c r="AD279" s="77">
        <v>163</v>
      </c>
      <c r="AE279" s="59">
        <v>5</v>
      </c>
      <c r="AF279" s="59">
        <v>5</v>
      </c>
      <c r="AG279" s="59">
        <v>1900</v>
      </c>
      <c r="AH279" s="77">
        <v>0</v>
      </c>
      <c r="AI279" s="59">
        <f ca="1">AJ279</f>
        <v>2019</v>
      </c>
      <c r="AJ279" s="18">
        <f ca="1">YEAR(TODAY())</f>
        <v>2019</v>
      </c>
      <c r="AK279" s="18">
        <v>30</v>
      </c>
      <c r="AL279" s="18">
        <v>40</v>
      </c>
      <c r="AM279" s="18">
        <v>1</v>
      </c>
      <c r="AN279" s="18">
        <v>1</v>
      </c>
      <c r="AO279" s="18">
        <v>5</v>
      </c>
      <c r="AP279" s="18">
        <v>1</v>
      </c>
      <c r="AQ279" s="18">
        <v>0</v>
      </c>
      <c r="AR279" s="18">
        <v>0</v>
      </c>
      <c r="AS279" s="18">
        <v>0</v>
      </c>
      <c r="AT279" s="18">
        <v>0</v>
      </c>
      <c r="AU279" s="18">
        <v>0</v>
      </c>
      <c r="AV279" s="18">
        <v>0</v>
      </c>
      <c r="AW279" s="18">
        <v>0</v>
      </c>
      <c r="AX279" s="18">
        <v>0</v>
      </c>
      <c r="AY279" s="233"/>
      <c r="AZ279" s="4"/>
      <c r="BA279" s="35" t="str">
        <f>IF(OR(S279="North America",S279="Rocky Mountain"), "Widespread",BC279)</f>
        <v>Widespread</v>
      </c>
      <c r="BB279" s="4"/>
      <c r="BC279" s="35" t="str">
        <f ca="1">IF(BE279&gt;2046, "Abundant",BE279)</f>
        <v>Abundant</v>
      </c>
      <c r="BD279" s="4"/>
      <c r="BE279" s="81">
        <f ca="1">YEAR($C$13)+(BG279*80)</f>
        <v>2109.5583401069521</v>
      </c>
      <c r="BF279" s="4"/>
      <c r="BG279" s="137">
        <f ca="1">BH279*$BH$14</f>
        <v>1.1319792513368985</v>
      </c>
      <c r="BH279" s="137">
        <f ca="1">(((BJ279+BK279+BM279+BN279)/4)*$BM$11)+(((BP279+BQ279)/2)*$BQ$11)+(((BU279+BV279+BW279)/3)*$BU$11)+(((BY279+BZ279+CA279+CB279+CC279)/5)*$CA$11)</f>
        <v>1.1319792513368985</v>
      </c>
      <c r="BI279" s="4"/>
      <c r="BJ279" s="33">
        <f>AP279/(AM279+AO279)</f>
        <v>0.16666666666666666</v>
      </c>
      <c r="BK279" s="33">
        <f>(AN279+AO279)/(AM279+AO279)</f>
        <v>1</v>
      </c>
      <c r="BL279" s="4"/>
      <c r="BM279" s="127">
        <f>CF279/102</f>
        <v>0.41176470588235292</v>
      </c>
      <c r="BN279" s="127">
        <f>C279/2</f>
        <v>4</v>
      </c>
      <c r="BO279" s="4"/>
      <c r="BP279" s="127">
        <f>(AK279)/($AW$6)</f>
        <v>0.30303030303030304</v>
      </c>
      <c r="BQ279" s="127">
        <f ca="1">(CH279-$AW$4)/((YEAR($C$13))-$AW$4)</f>
        <v>1</v>
      </c>
      <c r="BR279" s="127">
        <f>(AL279)/($AW$6)</f>
        <v>0.40404040404040403</v>
      </c>
      <c r="BS279" s="4"/>
      <c r="BT279" s="127"/>
      <c r="BU279" s="127">
        <f ca="1">(CG279-$AW$4)/((YEAR($C$13))-$AW$4)</f>
        <v>1</v>
      </c>
      <c r="BV279" s="127">
        <f>AE279/5</f>
        <v>1</v>
      </c>
      <c r="BW279" s="127">
        <f>AF279/5</f>
        <v>1</v>
      </c>
      <c r="BX279" s="4"/>
      <c r="BY279" s="148" t="str">
        <f>IF(E279="A",".98",IF(E279="B",".99",IF(E279="C","1.00",IF(E279="D","1.00" ))))</f>
        <v>1.00</v>
      </c>
      <c r="BZ279" s="127">
        <f>(CE279+7)/10</f>
        <v>1</v>
      </c>
      <c r="CA279" s="76" t="str">
        <f>IF(D279="Fern",".97",IF(D279="Grass",".99",IF(D279="Herb",".97",IF(D279="Shrub",".99",IF(D279="Tree","1.00",IF(D279="Vine",".98"))))))</f>
        <v>.99</v>
      </c>
      <c r="CB279" s="149" t="str">
        <f>IF(R279="Bogs Ponds Streams",".96", IF(R279="Coastal Areas",".97",IF(R279="Meadows Dry Open",".96",IF(R279="Forest &amp; Understory",".97",IF(R279="Moist Open",".98",IF(R279="Moist Shady",".96",IF(R279="Sub-Alpine","1.0")))))))</f>
        <v>.96</v>
      </c>
      <c r="CC279" s="76" t="str">
        <f>IF(S279="Local Endemic",".50",IF(S279="Regional Endemic",".70",IF(S279="Cascadia",".90",IF(S279="Rocky Mountain",".95",IF(S279="North America",".99")))))</f>
        <v>.99</v>
      </c>
      <c r="CD279" s="4"/>
      <c r="CE279" s="21">
        <f>IF(W279&gt;3,3,W279)</f>
        <v>3</v>
      </c>
      <c r="CF279" s="21">
        <f>IF(AC279&gt;102,102,AC279)</f>
        <v>42</v>
      </c>
      <c r="CG279" s="34">
        <f ca="1">IF(AI279&lt;$AW$4,$AW$4,AI279)</f>
        <v>2019</v>
      </c>
      <c r="CH279" s="34">
        <f ca="1">IF(AJ279&lt;$AW$4,$AW$4,AJ279)</f>
        <v>2019</v>
      </c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</row>
    <row r="280" spans="1:115" s="13" customFormat="1" ht="15" customHeight="1" x14ac:dyDescent="0.3">
      <c r="A280" s="235"/>
      <c r="B280" s="218"/>
      <c r="C280" s="225">
        <v>8</v>
      </c>
      <c r="D280" s="59" t="s">
        <v>2505</v>
      </c>
      <c r="E280" s="59" t="s">
        <v>2502</v>
      </c>
      <c r="F280" s="397" t="str">
        <f ca="1">IF(BC280&lt;2025, "Extinct&lt; 6Yrs?",BA280)</f>
        <v>Abundant</v>
      </c>
      <c r="G280" s="363" t="s">
        <v>525</v>
      </c>
      <c r="H280" s="363" t="s">
        <v>690</v>
      </c>
      <c r="I280" s="366" t="s">
        <v>3055</v>
      </c>
      <c r="J280" s="365" t="s">
        <v>3306</v>
      </c>
      <c r="K280" s="365" t="s">
        <v>941</v>
      </c>
      <c r="L280" s="10" t="s">
        <v>2025</v>
      </c>
      <c r="M280" s="8" t="s">
        <v>4359</v>
      </c>
      <c r="N280" s="8" t="s">
        <v>5253</v>
      </c>
      <c r="O280" s="8" t="s">
        <v>6150</v>
      </c>
      <c r="P280" s="9" t="s">
        <v>747</v>
      </c>
      <c r="Q280" s="59" t="s">
        <v>2552</v>
      </c>
      <c r="R280" s="9" t="s">
        <v>2498</v>
      </c>
      <c r="S280" s="9" t="s">
        <v>2459</v>
      </c>
      <c r="T280" s="123" t="str">
        <f>IF(R280="Bogs Ponds Streams","20",IF(R280="Coastal Areas","26",IF(R280="Meadows Dry Open","10",IF(R280="Forest &amp; Understory","14",IF(R280="Moist Open","12",IF(R280="Moist Shady","10",IF(R280="Sub-Alpine Slopes","0")))))))</f>
        <v>10</v>
      </c>
      <c r="U280" s="123" t="str">
        <f>IF(R280="Bogs Ponds Streams","52",IF(R280="Coastal Areas","51",IF(R280="Meadows Dry Open","53",IF(R280="Forest &amp; Understory","52",IF(R280="Moist Open","50",IF(R280="Moist Shady","46",IF(R280="Sub-Alpine Slopes","40")))))))</f>
        <v>46</v>
      </c>
      <c r="V280" s="123" t="str">
        <f>IF(R280="Bogs Ponds Streams","84",IF(R280="Coastal Areas","76",IF(R280="Meadows Dry Open","96", IF(R280="Forest &amp; Understory","90", IF(R280="Moist Open","88", IF(R280="Moist Shady","82", IF(R280="Sub-Alpine Slopes","80")))))))</f>
        <v>82</v>
      </c>
      <c r="W280" s="59">
        <v>1</v>
      </c>
      <c r="X280" s="59">
        <v>0</v>
      </c>
      <c r="Y280" s="59">
        <v>3500</v>
      </c>
      <c r="Z280" s="59" t="s">
        <v>2519</v>
      </c>
      <c r="AA280" s="59" t="s">
        <v>2518</v>
      </c>
      <c r="AB280" s="59">
        <v>6.8</v>
      </c>
      <c r="AC280" s="45">
        <f>C280+AK280+(0.1)*AL280</f>
        <v>99</v>
      </c>
      <c r="AD280" s="77">
        <v>148</v>
      </c>
      <c r="AE280" s="59">
        <v>5</v>
      </c>
      <c r="AF280" s="59">
        <v>5</v>
      </c>
      <c r="AG280" s="59">
        <v>1900</v>
      </c>
      <c r="AH280" s="77">
        <v>0</v>
      </c>
      <c r="AI280" s="59">
        <f ca="1">AJ280</f>
        <v>2019</v>
      </c>
      <c r="AJ280" s="18">
        <f ca="1">YEAR(TODAY())</f>
        <v>2019</v>
      </c>
      <c r="AK280" s="18">
        <v>90</v>
      </c>
      <c r="AL280" s="18">
        <v>10</v>
      </c>
      <c r="AM280" s="18">
        <v>1</v>
      </c>
      <c r="AN280" s="18">
        <v>1</v>
      </c>
      <c r="AO280" s="24">
        <v>1</v>
      </c>
      <c r="AP280" s="24">
        <v>0</v>
      </c>
      <c r="AQ280" s="18">
        <v>0</v>
      </c>
      <c r="AR280" s="18">
        <v>0</v>
      </c>
      <c r="AS280" s="18">
        <v>0</v>
      </c>
      <c r="AT280" s="18">
        <v>0</v>
      </c>
      <c r="AU280" s="18">
        <v>0</v>
      </c>
      <c r="AV280" s="18">
        <v>0</v>
      </c>
      <c r="AW280" s="18">
        <v>0</v>
      </c>
      <c r="AX280" s="18">
        <v>0</v>
      </c>
      <c r="AY280" s="233"/>
      <c r="AZ280" s="4"/>
      <c r="BA280" s="35" t="str">
        <f ca="1">IF(OR(S280="North America",S280="Rocky Mountain"), "Widespread",BC280)</f>
        <v>Abundant</v>
      </c>
      <c r="BB280" s="4"/>
      <c r="BC280" s="35" t="str">
        <f ca="1">IF(BE280&gt;2046, "Abundant",BE280)</f>
        <v>Abundant</v>
      </c>
      <c r="BD280" s="4"/>
      <c r="BE280" s="81">
        <f ca="1">YEAR($C$13)+(BG280*80)</f>
        <v>2121.4313497326202</v>
      </c>
      <c r="BF280" s="4"/>
      <c r="BG280" s="137">
        <f ca="1">BH280*$BH$14</f>
        <v>1.2803918716577543</v>
      </c>
      <c r="BH280" s="137">
        <f ca="1">(((BJ280+BK280+BM280+BN280)/4)*$BM$11)+(((BP280+BQ280)/2)*$BQ$11)+(((BU280+BV280+BW280)/3)*$BU$11)+(((BY280+BZ280+CA280+CB280+CC280)/5)*$CA$11)</f>
        <v>1.2803918716577543</v>
      </c>
      <c r="BI280" s="4"/>
      <c r="BJ280" s="33">
        <f>AP280/(AM280+AO280)</f>
        <v>0</v>
      </c>
      <c r="BK280" s="33">
        <f>(AN280+AO280)/(AM280+AO280)</f>
        <v>1</v>
      </c>
      <c r="BL280" s="4"/>
      <c r="BM280" s="127">
        <f>CF280/102</f>
        <v>0.97058823529411764</v>
      </c>
      <c r="BN280" s="127">
        <f>C280/2</f>
        <v>4</v>
      </c>
      <c r="BO280" s="4"/>
      <c r="BP280" s="127">
        <f>(AK280)/($AW$6)</f>
        <v>0.90909090909090906</v>
      </c>
      <c r="BQ280" s="127">
        <f ca="1">(CH280-$AW$4)/((YEAR($C$13))-$AW$4)</f>
        <v>1</v>
      </c>
      <c r="BR280" s="127">
        <f>(AL280)/($AW$6)</f>
        <v>0.10101010101010101</v>
      </c>
      <c r="BS280" s="4"/>
      <c r="BT280" s="127"/>
      <c r="BU280" s="127">
        <f ca="1">(CG280-$AW$4)/((YEAR($C$13))-$AW$4)</f>
        <v>1</v>
      </c>
      <c r="BV280" s="127">
        <f>AE280/5</f>
        <v>1</v>
      </c>
      <c r="BW280" s="127">
        <f>AF280/5</f>
        <v>1</v>
      </c>
      <c r="BX280" s="4"/>
      <c r="BY280" s="148" t="str">
        <f>IF(E280="A",".98",IF(E280="B",".99",IF(E280="C","1.00",IF(E280="D","1.00" ))))</f>
        <v>.98</v>
      </c>
      <c r="BZ280" s="127">
        <f>(CE280+7)/10</f>
        <v>0.8</v>
      </c>
      <c r="CA280" s="76" t="str">
        <f>IF(D280="Fern",".97",IF(D280="Grass",".99",IF(D280="Herb",".97",IF(D280="Shrub",".99",IF(D280="Tree","1.00",IF(D280="Vine",".98"))))))</f>
        <v>.97</v>
      </c>
      <c r="CB280" s="149" t="str">
        <f>IF(R280="Bogs Ponds Streams",".96", IF(R280="Coastal Areas",".97",IF(R280="Meadows Dry Open",".96",IF(R280="Forest &amp; Understory",".97",IF(R280="Moist Open",".98",IF(R280="Moist Shady",".96",IF(R280="Sub-Alpine","1.0")))))))</f>
        <v>.96</v>
      </c>
      <c r="CC280" s="76" t="str">
        <f>IF(S280="Local Endemic",".50",IF(S280="Regional Endemic",".70",IF(S280="Cascadia",".90",IF(S280="Rocky Mountain",".95",IF(S280="North America",".99")))))</f>
        <v>.90</v>
      </c>
      <c r="CD280" s="4"/>
      <c r="CE280" s="21">
        <f>IF(W280&gt;3,3,W280)</f>
        <v>1</v>
      </c>
      <c r="CF280" s="21">
        <f>IF(AC280&gt;102,102,AC280)</f>
        <v>99</v>
      </c>
      <c r="CG280" s="34">
        <f ca="1">IF(AI280&lt;$AW$4,$AW$4,AI280)</f>
        <v>2019</v>
      </c>
      <c r="CH280" s="34">
        <f ca="1">IF(AJ280&lt;$AW$4,$AW$4,AJ280)</f>
        <v>2019</v>
      </c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12"/>
    </row>
    <row r="281" spans="1:115" s="13" customFormat="1" ht="15" customHeight="1" x14ac:dyDescent="0.3">
      <c r="A281" s="235"/>
      <c r="B281" s="218"/>
      <c r="C281" s="375">
        <v>1</v>
      </c>
      <c r="D281" s="95" t="s">
        <v>1155</v>
      </c>
      <c r="E281" s="67" t="s">
        <v>2501</v>
      </c>
      <c r="F281" s="403" t="str">
        <f ca="1">IF(BC281&lt;2025, "Extinct&lt; 6Yrs?",BA281)</f>
        <v>Widespread</v>
      </c>
      <c r="G281" s="376" t="s">
        <v>525</v>
      </c>
      <c r="H281" s="376" t="s">
        <v>4028</v>
      </c>
      <c r="I281" s="379" t="s">
        <v>2627</v>
      </c>
      <c r="J281" s="378" t="s">
        <v>3624</v>
      </c>
      <c r="K281" s="378" t="s">
        <v>2757</v>
      </c>
      <c r="L281" s="65" t="s">
        <v>2024</v>
      </c>
      <c r="M281" s="64" t="s">
        <v>4360</v>
      </c>
      <c r="N281" s="64" t="s">
        <v>5254</v>
      </c>
      <c r="O281" s="64" t="s">
        <v>6151</v>
      </c>
      <c r="P281" s="404" t="s">
        <v>468</v>
      </c>
      <c r="Q281" s="67" t="s">
        <v>2552</v>
      </c>
      <c r="R281" s="61" t="s">
        <v>2497</v>
      </c>
      <c r="S281" s="61" t="s">
        <v>2495</v>
      </c>
      <c r="T281" s="134" t="str">
        <f>IF(R281="Bogs Ponds Streams","20",IF(R281="Coastal Areas","26",IF(R281="Meadows Dry Open","10",IF(R281="Forest &amp; Understory","14",IF(R281="Moist Open","12",IF(R281="Moist Shady","10",IF(R281="Sub-Alpine Slopes","0")))))))</f>
        <v>12</v>
      </c>
      <c r="U281" s="134" t="str">
        <f>IF(R281="Bogs Ponds Streams","52",IF(R281="Coastal Areas","51",IF(R281="Meadows Dry Open","53",IF(R281="Forest &amp; Understory","52",IF(R281="Moist Open","50",IF(R281="Moist Shady","46",IF(R281="Sub-Alpine Slopes","40")))))))</f>
        <v>50</v>
      </c>
      <c r="V281" s="134" t="str">
        <f>IF(R281="Bogs Ponds Streams","84",IF(R281="Coastal Areas","76",IF(R281="Meadows Dry Open","96", IF(R281="Forest &amp; Understory","90", IF(R281="Moist Open","88", IF(R281="Moist Shady","82", IF(R281="Sub-Alpine Slopes","80")))))))</f>
        <v>88</v>
      </c>
      <c r="W281" s="67">
        <v>20</v>
      </c>
      <c r="X281" s="67">
        <v>0</v>
      </c>
      <c r="Y281" s="67">
        <v>3500</v>
      </c>
      <c r="Z281" s="67" t="s">
        <v>2519</v>
      </c>
      <c r="AA281" s="67" t="s">
        <v>2518</v>
      </c>
      <c r="AB281" s="67">
        <v>6.8</v>
      </c>
      <c r="AC281" s="85">
        <f>C281+AK281+(0.1)*AL281</f>
        <v>33.5</v>
      </c>
      <c r="AD281" s="78">
        <v>76</v>
      </c>
      <c r="AE281" s="67">
        <v>5</v>
      </c>
      <c r="AF281" s="67">
        <v>5</v>
      </c>
      <c r="AG281" s="67">
        <v>1900</v>
      </c>
      <c r="AH281" s="78">
        <v>0</v>
      </c>
      <c r="AI281" s="67">
        <f>AJ281</f>
        <v>2004</v>
      </c>
      <c r="AJ281" s="69">
        <v>2004</v>
      </c>
      <c r="AK281" s="69">
        <v>30</v>
      </c>
      <c r="AL281" s="69">
        <v>25</v>
      </c>
      <c r="AM281" s="70">
        <v>5</v>
      </c>
      <c r="AN281" s="70">
        <v>0</v>
      </c>
      <c r="AO281" s="86">
        <v>0</v>
      </c>
      <c r="AP281" s="70">
        <v>0</v>
      </c>
      <c r="AQ281" s="70">
        <v>0</v>
      </c>
      <c r="AR281" s="70">
        <v>0</v>
      </c>
      <c r="AS281" s="86">
        <v>0</v>
      </c>
      <c r="AT281" s="70">
        <v>0</v>
      </c>
      <c r="AU281" s="70">
        <v>0</v>
      </c>
      <c r="AV281" s="70">
        <v>0</v>
      </c>
      <c r="AW281" s="86">
        <v>0</v>
      </c>
      <c r="AX281" s="70">
        <v>0</v>
      </c>
      <c r="AY281" s="233"/>
      <c r="AZ281" s="4"/>
      <c r="BA281" s="35" t="str">
        <f>IF(OR(S281="North America",S281="Rocky Mountain"), "Widespread",BC281)</f>
        <v>Widespread</v>
      </c>
      <c r="BB281" s="4"/>
      <c r="BC281" s="35">
        <f ca="1">IF(BE281&gt;2046, "Abundant",BE281)</f>
        <v>2038.4314067736186</v>
      </c>
      <c r="BD281" s="4"/>
      <c r="BE281" s="81">
        <f ca="1">YEAR($C$13)+(BG281*80)</f>
        <v>2038.4314067736186</v>
      </c>
      <c r="BF281" s="4"/>
      <c r="BG281" s="137">
        <f ca="1">BH281*$BH$14</f>
        <v>0.2428925846702317</v>
      </c>
      <c r="BH281" s="137">
        <f ca="1">(((BJ281+BK281+BM281+BN281)/4)*$BM$11)+(((BP281+BQ281)/2)*$BQ$11)+(((BU281+BV281+BW281)/3)*$BU$11)+(((BY281+BZ281+CA281+CB281+CC281)/5)*$CA$11)</f>
        <v>0.2428925846702317</v>
      </c>
      <c r="BI281" s="4"/>
      <c r="BJ281" s="33">
        <f>AP281/(AM281+AO281)</f>
        <v>0</v>
      </c>
      <c r="BK281" s="33">
        <f>(AN281+AO281)/(AM281+AO281)</f>
        <v>0</v>
      </c>
      <c r="BL281" s="4"/>
      <c r="BM281" s="127">
        <f>CF281/102</f>
        <v>0.32843137254901961</v>
      </c>
      <c r="BN281" s="127">
        <f>C281/2</f>
        <v>0.5</v>
      </c>
      <c r="BO281" s="4"/>
      <c r="BP281" s="127">
        <f>(AK281)/($AW$6)</f>
        <v>0.30303030303030304</v>
      </c>
      <c r="BQ281" s="127">
        <f ca="1">(CH281-$AW$4)/((YEAR($C$13))-$AW$4)</f>
        <v>0</v>
      </c>
      <c r="BR281" s="127">
        <f>(AL281)/($AW$6)</f>
        <v>0.25252525252525254</v>
      </c>
      <c r="BS281" s="4"/>
      <c r="BT281" s="127"/>
      <c r="BU281" s="127">
        <f ca="1">(CG281-$AW$4)/((YEAR($C$13))-$AW$4)</f>
        <v>0</v>
      </c>
      <c r="BV281" s="127">
        <f>AE281/5</f>
        <v>1</v>
      </c>
      <c r="BW281" s="127">
        <f>AF281/5</f>
        <v>1</v>
      </c>
      <c r="BX281" s="4"/>
      <c r="BY281" s="148" t="str">
        <f>IF(E281="A",".98",IF(E281="B",".99",IF(E281="C","1.00",IF(E281="D","1.00" ))))</f>
        <v>1.00</v>
      </c>
      <c r="BZ281" s="127">
        <f>(CE281+7)/10</f>
        <v>1</v>
      </c>
      <c r="CA281" s="76" t="str">
        <f>IF(D281="Fern",".97",IF(D281="Grass",".99",IF(D281="Herb",".97",IF(D281="Shrub",".99",IF(D281="Tree","1.00",IF(D281="Vine",".98"))))))</f>
        <v>.99</v>
      </c>
      <c r="CB281" s="149" t="str">
        <f>IF(R281="Bogs Ponds Streams",".96", IF(R281="Coastal Areas",".97",IF(R281="Meadows Dry Open",".96",IF(R281="Forest &amp; Understory",".97",IF(R281="Moist Open",".98",IF(R281="Moist Shady",".96",IF(R281="Sub-Alpine","1.0")))))))</f>
        <v>.98</v>
      </c>
      <c r="CC281" s="76" t="str">
        <f>IF(S281="Local Endemic",".50",IF(S281="Regional Endemic",".70",IF(S281="Cascadia",".90",IF(S281="Rocky Mountain",".95",IF(S281="North America",".99")))))</f>
        <v>.99</v>
      </c>
      <c r="CD281" s="4"/>
      <c r="CE281" s="21">
        <f>IF(W281&gt;3,3,W281)</f>
        <v>3</v>
      </c>
      <c r="CF281" s="21">
        <f>IF(AC281&gt;102,102,AC281)</f>
        <v>33.5</v>
      </c>
      <c r="CG281" s="34">
        <f>IF(AI281&lt;$AW$4,$AW$4,AI281)</f>
        <v>2004</v>
      </c>
      <c r="CH281" s="34">
        <f>IF(AJ281&lt;$AW$4,$AW$4,AJ281)</f>
        <v>2004</v>
      </c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</row>
    <row r="282" spans="1:115" s="13" customFormat="1" ht="15" customHeight="1" x14ac:dyDescent="0.3">
      <c r="A282" s="235"/>
      <c r="B282" s="218"/>
      <c r="C282" s="225">
        <v>8</v>
      </c>
      <c r="D282" s="59" t="s">
        <v>2505</v>
      </c>
      <c r="E282" s="59" t="s">
        <v>2501</v>
      </c>
      <c r="F282" s="397" t="str">
        <f ca="1">IF(BC282&lt;2025, "Extinct&lt; 6Yrs?",BA282)</f>
        <v>Abundant</v>
      </c>
      <c r="G282" s="363" t="s">
        <v>525</v>
      </c>
      <c r="H282" s="363" t="s">
        <v>690</v>
      </c>
      <c r="I282" s="366" t="s">
        <v>70</v>
      </c>
      <c r="J282" s="365" t="s">
        <v>3340</v>
      </c>
      <c r="K282" s="365" t="s">
        <v>85</v>
      </c>
      <c r="L282" s="10" t="s">
        <v>2023</v>
      </c>
      <c r="M282" s="8" t="s">
        <v>4361</v>
      </c>
      <c r="N282" s="8" t="s">
        <v>5255</v>
      </c>
      <c r="O282" s="8" t="s">
        <v>6152</v>
      </c>
      <c r="P282" s="9" t="s">
        <v>749</v>
      </c>
      <c r="Q282" s="59" t="s">
        <v>2552</v>
      </c>
      <c r="R282" s="160" t="s">
        <v>2497</v>
      </c>
      <c r="S282" s="17" t="s">
        <v>2459</v>
      </c>
      <c r="T282" s="123" t="str">
        <f>IF(R282="Bogs Ponds Streams","20",IF(R282="Coastal Areas","26",IF(R282="Meadows Dry Open","10",IF(R282="Forest &amp; Understory","14",IF(R282="Moist Open","12",IF(R282="Moist Shady","10",IF(R282="Sub-Alpine Slopes","0")))))))</f>
        <v>12</v>
      </c>
      <c r="U282" s="123" t="str">
        <f>IF(R282="Bogs Ponds Streams","52",IF(R282="Coastal Areas","51",IF(R282="Meadows Dry Open","53",IF(R282="Forest &amp; Understory","52",IF(R282="Moist Open","50",IF(R282="Moist Shady","46",IF(R282="Sub-Alpine Slopes","40")))))))</f>
        <v>50</v>
      </c>
      <c r="V282" s="123" t="str">
        <f>IF(R282="Bogs Ponds Streams","84",IF(R282="Coastal Areas","76",IF(R282="Meadows Dry Open","96", IF(R282="Forest &amp; Understory","90", IF(R282="Moist Open","88", IF(R282="Moist Shady","82", IF(R282="Sub-Alpine Slopes","80")))))))</f>
        <v>88</v>
      </c>
      <c r="W282" s="59">
        <v>20</v>
      </c>
      <c r="X282" s="59">
        <v>0</v>
      </c>
      <c r="Y282" s="59">
        <v>3500</v>
      </c>
      <c r="Z282" s="59" t="s">
        <v>2519</v>
      </c>
      <c r="AA282" s="59" t="s">
        <v>2518</v>
      </c>
      <c r="AB282" s="59">
        <v>6.8</v>
      </c>
      <c r="AC282" s="45">
        <f>C282+AK282+(0.1)*AL282</f>
        <v>20</v>
      </c>
      <c r="AD282" s="77">
        <v>30</v>
      </c>
      <c r="AE282" s="59">
        <v>5</v>
      </c>
      <c r="AF282" s="59">
        <v>5</v>
      </c>
      <c r="AG282" s="59">
        <v>1900</v>
      </c>
      <c r="AH282" s="77">
        <v>0</v>
      </c>
      <c r="AI282" s="59">
        <f ca="1">AJ282</f>
        <v>2019</v>
      </c>
      <c r="AJ282" s="18">
        <f ca="1">YEAR(TODAY())</f>
        <v>2019</v>
      </c>
      <c r="AK282" s="18">
        <v>12</v>
      </c>
      <c r="AL282" s="18">
        <v>0</v>
      </c>
      <c r="AM282" s="18">
        <v>1</v>
      </c>
      <c r="AN282" s="18">
        <v>1</v>
      </c>
      <c r="AO282" s="18">
        <v>5</v>
      </c>
      <c r="AP282" s="18">
        <v>1</v>
      </c>
      <c r="AQ282" s="18">
        <v>0</v>
      </c>
      <c r="AR282" s="18">
        <v>0</v>
      </c>
      <c r="AS282" s="18">
        <v>0</v>
      </c>
      <c r="AT282" s="18">
        <v>0</v>
      </c>
      <c r="AU282" s="18">
        <v>0</v>
      </c>
      <c r="AV282" s="18">
        <v>0</v>
      </c>
      <c r="AW282" s="18">
        <v>0</v>
      </c>
      <c r="AX282" s="18">
        <v>0</v>
      </c>
      <c r="AY282" s="233"/>
      <c r="AZ282" s="4"/>
      <c r="BA282" s="35" t="str">
        <f ca="1">IF(OR(S282="North America",S282="Rocky Mountain"), "Widespread",BC282)</f>
        <v>Abundant</v>
      </c>
      <c r="BB282" s="4"/>
      <c r="BC282" s="35" t="str">
        <f ca="1">IF(BE282&gt;2046, "Abundant",BE282)</f>
        <v>Abundant</v>
      </c>
      <c r="BD282" s="4"/>
      <c r="BE282" s="81">
        <f ca="1">YEAR($C$13)+(BG282*80)</f>
        <v>2104.759486631016</v>
      </c>
      <c r="BF282" s="4"/>
      <c r="BG282" s="137">
        <f ca="1">BH282*$BH$14</f>
        <v>1.0719935828877007</v>
      </c>
      <c r="BH282" s="137">
        <f ca="1">(((BJ282+BK282+BM282+BN282)/4)*$BM$11)+(((BP282+BQ282)/2)*$BQ$11)+(((BU282+BV282+BW282)/3)*$BU$11)+(((BY282+BZ282+CA282+CB282+CC282)/5)*$CA$11)</f>
        <v>1.0719935828877007</v>
      </c>
      <c r="BI282" s="4"/>
      <c r="BJ282" s="33">
        <f>AP282/(AM282+AO282)</f>
        <v>0.16666666666666666</v>
      </c>
      <c r="BK282" s="33">
        <f>(AN282+AO282)/(AM282+AO282)</f>
        <v>1</v>
      </c>
      <c r="BL282" s="4"/>
      <c r="BM282" s="127">
        <f>CF282/102</f>
        <v>0.19607843137254902</v>
      </c>
      <c r="BN282" s="127">
        <f>C282/2</f>
        <v>4</v>
      </c>
      <c r="BO282" s="4"/>
      <c r="BP282" s="127">
        <f>(AK282)/($AW$6)</f>
        <v>0.12121212121212122</v>
      </c>
      <c r="BQ282" s="127">
        <f ca="1">(CH282-$AW$4)/((YEAR($C$13))-$AW$4)</f>
        <v>1</v>
      </c>
      <c r="BR282" s="127">
        <f>(AL282)/($AW$6)</f>
        <v>0</v>
      </c>
      <c r="BS282" s="4"/>
      <c r="BT282" s="127"/>
      <c r="BU282" s="127">
        <f ca="1">(CG282-$AW$4)/((YEAR($C$13))-$AW$4)</f>
        <v>1</v>
      </c>
      <c r="BV282" s="127">
        <f>AE282/5</f>
        <v>1</v>
      </c>
      <c r="BW282" s="127">
        <f>AF282/5</f>
        <v>1</v>
      </c>
      <c r="BX282" s="4"/>
      <c r="BY282" s="148" t="str">
        <f>IF(E282="A",".98",IF(E282="B",".99",IF(E282="C","1.00",IF(E282="D","1.00" ))))</f>
        <v>1.00</v>
      </c>
      <c r="BZ282" s="127">
        <f>(CE282+7)/10</f>
        <v>1</v>
      </c>
      <c r="CA282" s="76" t="str">
        <f>IF(D282="Fern",".97",IF(D282="Grass",".99",IF(D282="Herb",".97",IF(D282="Shrub",".99",IF(D282="Tree","1.00",IF(D282="Vine",".98"))))))</f>
        <v>.97</v>
      </c>
      <c r="CB282" s="149" t="str">
        <f>IF(R282="Bogs Ponds Streams",".96", IF(R282="Coastal Areas",".97",IF(R282="Meadows Dry Open",".96",IF(R282="Forest &amp; Understory",".97",IF(R282="Moist Open",".98",IF(R282="Moist Shady",".96",IF(R282="Sub-Alpine","1.0")))))))</f>
        <v>.98</v>
      </c>
      <c r="CC282" s="76" t="str">
        <f>IF(S282="Local Endemic",".50",IF(S282="Regional Endemic",".70",IF(S282="Cascadia",".90",IF(S282="Rocky Mountain",".95",IF(S282="North America",".99")))))</f>
        <v>.90</v>
      </c>
      <c r="CD282" s="4"/>
      <c r="CE282" s="21">
        <f>IF(W282&gt;3,3,W282)</f>
        <v>3</v>
      </c>
      <c r="CF282" s="21">
        <f>IF(AC282&gt;102,102,AC282)</f>
        <v>20</v>
      </c>
      <c r="CG282" s="34">
        <f ca="1">IF(AI282&lt;$AW$4,$AW$4,AI282)</f>
        <v>2019</v>
      </c>
      <c r="CH282" s="34">
        <f ca="1">IF(AJ282&lt;$AW$4,$AW$4,AJ282)</f>
        <v>2019</v>
      </c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</row>
    <row r="283" spans="1:115" s="13" customFormat="1" ht="15" customHeight="1" x14ac:dyDescent="0.3">
      <c r="A283" s="235"/>
      <c r="B283" s="218"/>
      <c r="C283" s="225">
        <v>8</v>
      </c>
      <c r="D283" s="94" t="s">
        <v>1155</v>
      </c>
      <c r="E283" s="59" t="s">
        <v>2501</v>
      </c>
      <c r="F283" s="397" t="str">
        <f ca="1">IF(BC283&lt;2025, "Extinct&lt; 6Yrs?",BA283)</f>
        <v>Widespread</v>
      </c>
      <c r="G283" s="363" t="s">
        <v>525</v>
      </c>
      <c r="H283" s="363" t="s">
        <v>685</v>
      </c>
      <c r="I283" s="364" t="s">
        <v>2628</v>
      </c>
      <c r="J283" s="365" t="s">
        <v>3339</v>
      </c>
      <c r="K283" s="365" t="s">
        <v>2758</v>
      </c>
      <c r="L283" s="17" t="s">
        <v>2022</v>
      </c>
      <c r="M283" s="8" t="s">
        <v>4362</v>
      </c>
      <c r="N283" s="8" t="s">
        <v>5256</v>
      </c>
      <c r="O283" s="8" t="s">
        <v>6153</v>
      </c>
      <c r="P283" s="398" t="s">
        <v>468</v>
      </c>
      <c r="Q283" s="59" t="s">
        <v>2552</v>
      </c>
      <c r="R283" s="9" t="s">
        <v>2453</v>
      </c>
      <c r="S283" s="9" t="s">
        <v>2495</v>
      </c>
      <c r="T283" s="123" t="str">
        <f>IF(R283="Bogs Ponds Streams","20",IF(R283="Coastal Areas","26",IF(R283="Meadows Dry Open","10",IF(R283="Forest &amp; Understory","14",IF(R283="Moist Open","12",IF(R283="Moist Shady","10",IF(R283="Sub-Alpine Slopes","0")))))))</f>
        <v>26</v>
      </c>
      <c r="U283" s="123" t="str">
        <f>IF(R283="Bogs Ponds Streams","52",IF(R283="Coastal Areas","51",IF(R283="Meadows Dry Open","53",IF(R283="Forest &amp; Understory","52",IF(R283="Moist Open","50",IF(R283="Moist Shady","46",IF(R283="Sub-Alpine Slopes","40")))))))</f>
        <v>51</v>
      </c>
      <c r="V283" s="123" t="str">
        <f>IF(R283="Bogs Ponds Streams","84",IF(R283="Coastal Areas","76",IF(R283="Meadows Dry Open","96", IF(R283="Forest &amp; Understory","90", IF(R283="Moist Open","88", IF(R283="Moist Shady","82", IF(R283="Sub-Alpine Slopes","80")))))))</f>
        <v>76</v>
      </c>
      <c r="W283" s="59">
        <v>20</v>
      </c>
      <c r="X283" s="59">
        <v>0</v>
      </c>
      <c r="Y283" s="59">
        <v>3500</v>
      </c>
      <c r="Z283" s="59" t="s">
        <v>2519</v>
      </c>
      <c r="AA283" s="59" t="s">
        <v>2518</v>
      </c>
      <c r="AB283" s="59">
        <v>6.8</v>
      </c>
      <c r="AC283" s="45">
        <f>C283+AK283+(0.1)*AL283</f>
        <v>42</v>
      </c>
      <c r="AD283" s="77">
        <v>136</v>
      </c>
      <c r="AE283" s="59">
        <v>5</v>
      </c>
      <c r="AF283" s="59">
        <v>5</v>
      </c>
      <c r="AG283" s="59">
        <v>1900</v>
      </c>
      <c r="AH283" s="77">
        <v>0</v>
      </c>
      <c r="AI283" s="59">
        <f ca="1">AJ283</f>
        <v>2019</v>
      </c>
      <c r="AJ283" s="18">
        <f ca="1">YEAR(TODAY())</f>
        <v>2019</v>
      </c>
      <c r="AK283" s="18">
        <v>30</v>
      </c>
      <c r="AL283" s="18">
        <v>40</v>
      </c>
      <c r="AM283" s="18">
        <v>1</v>
      </c>
      <c r="AN283" s="18">
        <v>1</v>
      </c>
      <c r="AO283" s="25">
        <v>0</v>
      </c>
      <c r="AP283" s="24">
        <v>0</v>
      </c>
      <c r="AQ283" s="18">
        <v>0</v>
      </c>
      <c r="AR283" s="18">
        <v>0</v>
      </c>
      <c r="AS283" s="18">
        <v>0</v>
      </c>
      <c r="AT283" s="18">
        <v>0</v>
      </c>
      <c r="AU283" s="18">
        <v>0</v>
      </c>
      <c r="AV283" s="18">
        <v>0</v>
      </c>
      <c r="AW283" s="18">
        <v>0</v>
      </c>
      <c r="AX283" s="18">
        <v>0</v>
      </c>
      <c r="AY283" s="233"/>
      <c r="AZ283" s="4"/>
      <c r="BA283" s="35" t="str">
        <f>IF(OR(S283="North America",S283="Rocky Mountain"), "Widespread",BC283)</f>
        <v>Widespread</v>
      </c>
      <c r="BB283" s="4"/>
      <c r="BC283" s="35" t="str">
        <f ca="1">IF(BE283&gt;2046, "Abundant",BE283)</f>
        <v>Abundant</v>
      </c>
      <c r="BD283" s="4"/>
      <c r="BE283" s="81">
        <f ca="1">YEAR($C$13)+(BG283*80)</f>
        <v>2107.5615401069517</v>
      </c>
      <c r="BF283" s="4"/>
      <c r="BG283" s="137">
        <f ca="1">BH283*$BH$14</f>
        <v>1.1070192513368986</v>
      </c>
      <c r="BH283" s="137">
        <f ca="1">(((BJ283+BK283+BM283+BN283)/4)*$BM$11)+(((BP283+BQ283)/2)*$BQ$11)+(((BU283+BV283+BW283)/3)*$BU$11)+(((BY283+BZ283+CA283+CB283+CC283)/5)*$CA$11)</f>
        <v>1.1070192513368986</v>
      </c>
      <c r="BI283" s="4"/>
      <c r="BJ283" s="33">
        <f>AP283/(AM283+AO283)</f>
        <v>0</v>
      </c>
      <c r="BK283" s="33">
        <f>(AN283+AO283)/(AM283+AO283)</f>
        <v>1</v>
      </c>
      <c r="BL283" s="4"/>
      <c r="BM283" s="127">
        <f>CF283/102</f>
        <v>0.41176470588235292</v>
      </c>
      <c r="BN283" s="127">
        <f>C283/2</f>
        <v>4</v>
      </c>
      <c r="BO283" s="4"/>
      <c r="BP283" s="127">
        <f>(AK283)/($AW$6)</f>
        <v>0.30303030303030304</v>
      </c>
      <c r="BQ283" s="127">
        <f ca="1">(CH283-$AW$4)/((YEAR($C$13))-$AW$4)</f>
        <v>1</v>
      </c>
      <c r="BR283" s="127">
        <f>(AL283)/($AW$6)</f>
        <v>0.40404040404040403</v>
      </c>
      <c r="BS283" s="4"/>
      <c r="BT283" s="127"/>
      <c r="BU283" s="127">
        <f ca="1">(CG283-$AW$4)/((YEAR($C$13))-$AW$4)</f>
        <v>1</v>
      </c>
      <c r="BV283" s="127">
        <f>AE283/5</f>
        <v>1</v>
      </c>
      <c r="BW283" s="127">
        <f>AF283/5</f>
        <v>1</v>
      </c>
      <c r="BX283" s="4"/>
      <c r="BY283" s="148" t="str">
        <f>IF(E283="A",".98",IF(E283="B",".99",IF(E283="C","1.00",IF(E283="D","1.00" ))))</f>
        <v>1.00</v>
      </c>
      <c r="BZ283" s="127">
        <f>(CE283+7)/10</f>
        <v>1</v>
      </c>
      <c r="CA283" s="76" t="str">
        <f>IF(D283="Fern",".97",IF(D283="Grass",".99",IF(D283="Herb",".97",IF(D283="Shrub",".99",IF(D283="Tree","1.00",IF(D283="Vine",".98"))))))</f>
        <v>.99</v>
      </c>
      <c r="CB283" s="149" t="str">
        <f>IF(R283="Bogs Ponds Streams",".96", IF(R283="Coastal Areas",".97",IF(R283="Meadows Dry Open",".96",IF(R283="Forest &amp; Understory",".97",IF(R283="Moist Open",".98",IF(R283="Moist Shady",".96",IF(R283="Sub-Alpine","1.0")))))))</f>
        <v>.97</v>
      </c>
      <c r="CC283" s="76" t="str">
        <f>IF(S283="Local Endemic",".50",IF(S283="Regional Endemic",".70",IF(S283="Cascadia",".90",IF(S283="Rocky Mountain",".95",IF(S283="North America",".99")))))</f>
        <v>.99</v>
      </c>
      <c r="CD283" s="4"/>
      <c r="CE283" s="21">
        <f>IF(W283&gt;3,3,W283)</f>
        <v>3</v>
      </c>
      <c r="CF283" s="21">
        <f>IF(AC283&gt;102,102,AC283)</f>
        <v>42</v>
      </c>
      <c r="CG283" s="34">
        <f ca="1">IF(AI283&lt;$AW$4,$AW$4,AI283)</f>
        <v>2019</v>
      </c>
      <c r="CH283" s="34">
        <f ca="1">IF(AJ283&lt;$AW$4,$AW$4,AJ283)</f>
        <v>2019</v>
      </c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</row>
    <row r="284" spans="1:115" s="13" customFormat="1" ht="15" customHeight="1" x14ac:dyDescent="0.3">
      <c r="A284" s="235"/>
      <c r="B284" s="218"/>
      <c r="C284" s="226">
        <v>2</v>
      </c>
      <c r="D284" s="104" t="s">
        <v>2505</v>
      </c>
      <c r="E284" s="104" t="s">
        <v>2501</v>
      </c>
      <c r="F284" s="400" t="str">
        <f ca="1">IF(BC284&lt;2025, "Extinct&lt; 6Yrs?",BA284)</f>
        <v>Abundant</v>
      </c>
      <c r="G284" s="369" t="s">
        <v>525</v>
      </c>
      <c r="H284" s="369" t="s">
        <v>4028</v>
      </c>
      <c r="I284" s="372" t="s">
        <v>2629</v>
      </c>
      <c r="J284" s="371" t="s">
        <v>3790</v>
      </c>
      <c r="K284" s="371" t="s">
        <v>990</v>
      </c>
      <c r="L284" s="114" t="s">
        <v>2021</v>
      </c>
      <c r="M284" s="111" t="s">
        <v>4364</v>
      </c>
      <c r="N284" s="111" t="s">
        <v>5257</v>
      </c>
      <c r="O284" s="111" t="s">
        <v>6154</v>
      </c>
      <c r="P284" s="401" t="s">
        <v>280</v>
      </c>
      <c r="Q284" s="104" t="s">
        <v>2552</v>
      </c>
      <c r="R284" s="105" t="s">
        <v>2498</v>
      </c>
      <c r="S284" s="105" t="s">
        <v>2309</v>
      </c>
      <c r="T284" s="133" t="str">
        <f>IF(R284="Bogs Ponds Streams","20",IF(R284="Coastal Areas","26",IF(R284="Meadows Dry Open","10",IF(R284="Forest &amp; Understory","14",IF(R284="Moist Open","12",IF(R284="Moist Shady","10",IF(R284="Sub-Alpine Slopes","0")))))))</f>
        <v>10</v>
      </c>
      <c r="U284" s="133" t="str">
        <f>IF(R284="Bogs Ponds Streams","52",IF(R284="Coastal Areas","51",IF(R284="Meadows Dry Open","53",IF(R284="Forest &amp; Understory","52",IF(R284="Moist Open","50",IF(R284="Moist Shady","46",IF(R284="Sub-Alpine Slopes","40")))))))</f>
        <v>46</v>
      </c>
      <c r="V284" s="133" t="str">
        <f>IF(R284="Bogs Ponds Streams","84",IF(R284="Coastal Areas","76",IF(R284="Meadows Dry Open","96", IF(R284="Forest &amp; Understory","90", IF(R284="Moist Open","88", IF(R284="Moist Shady","82", IF(R284="Sub-Alpine Slopes","80")))))))</f>
        <v>82</v>
      </c>
      <c r="W284" s="104">
        <v>20</v>
      </c>
      <c r="X284" s="104">
        <v>0</v>
      </c>
      <c r="Y284" s="104">
        <v>3500</v>
      </c>
      <c r="Z284" s="104" t="s">
        <v>2519</v>
      </c>
      <c r="AA284" s="104" t="s">
        <v>2518</v>
      </c>
      <c r="AB284" s="104">
        <v>6.8</v>
      </c>
      <c r="AC284" s="107">
        <f>C284+AK284+(0.1)*AL284</f>
        <v>4</v>
      </c>
      <c r="AD284" s="113">
        <v>3</v>
      </c>
      <c r="AE284" s="112">
        <v>1</v>
      </c>
      <c r="AF284" s="112">
        <v>2</v>
      </c>
      <c r="AG284" s="113">
        <v>1983</v>
      </c>
      <c r="AH284" s="113">
        <v>0</v>
      </c>
      <c r="AI284" s="113">
        <v>2011</v>
      </c>
      <c r="AJ284" s="108">
        <f ca="1">YEAR(TODAY())</f>
        <v>2019</v>
      </c>
      <c r="AK284" s="108">
        <v>2</v>
      </c>
      <c r="AL284" s="108">
        <v>0</v>
      </c>
      <c r="AM284" s="108">
        <v>1</v>
      </c>
      <c r="AN284" s="108">
        <v>1</v>
      </c>
      <c r="AO284" s="108">
        <v>5</v>
      </c>
      <c r="AP284" s="108">
        <v>1</v>
      </c>
      <c r="AQ284" s="108">
        <v>0</v>
      </c>
      <c r="AR284" s="108">
        <v>0</v>
      </c>
      <c r="AS284" s="108">
        <v>0</v>
      </c>
      <c r="AT284" s="108">
        <v>0</v>
      </c>
      <c r="AU284" s="108">
        <v>0</v>
      </c>
      <c r="AV284" s="108">
        <v>0</v>
      </c>
      <c r="AW284" s="108">
        <v>0</v>
      </c>
      <c r="AX284" s="108">
        <v>0</v>
      </c>
      <c r="AY284" s="233"/>
      <c r="AZ284" s="4"/>
      <c r="BA284" s="35" t="str">
        <f ca="1">IF(OR(S284="North America",S284="Rocky Mountain"), "Widespread",BC284)</f>
        <v>Abundant</v>
      </c>
      <c r="BB284" s="4"/>
      <c r="BC284" s="35" t="str">
        <f ca="1">IF(BE284&gt;2046, "Abundant",BE284)</f>
        <v>Abundant</v>
      </c>
      <c r="BD284" s="4"/>
      <c r="BE284" s="81">
        <f ca="1">YEAR($C$13)+(BG284*80)</f>
        <v>2061.4701680332737</v>
      </c>
      <c r="BF284" s="4"/>
      <c r="BG284" s="137">
        <f ca="1">BH284*$BH$14</f>
        <v>0.53087710041592395</v>
      </c>
      <c r="BH284" s="137">
        <f ca="1">(((BJ284+BK284+BM284+BN284)/4)*$BM$11)+(((BP284+BQ284)/2)*$BQ$11)+(((BU284+BV284+BW284)/3)*$BU$11)+(((BY284+BZ284+CA284+CB284+CC284)/5)*$CA$11)</f>
        <v>0.53087710041592395</v>
      </c>
      <c r="BI284" s="4"/>
      <c r="BJ284" s="33">
        <f>AP284/(AM284+AO284)</f>
        <v>0.16666666666666666</v>
      </c>
      <c r="BK284" s="33">
        <f>(AN284+AO284)/(AM284+AO284)</f>
        <v>1</v>
      </c>
      <c r="BL284" s="4"/>
      <c r="BM284" s="127">
        <f>CF284/102</f>
        <v>3.9215686274509803E-2</v>
      </c>
      <c r="BN284" s="127">
        <f>C284/2</f>
        <v>1</v>
      </c>
      <c r="BO284" s="4"/>
      <c r="BP284" s="127">
        <f>(AK284)/($AW$6)</f>
        <v>2.0202020202020204E-2</v>
      </c>
      <c r="BQ284" s="127">
        <f ca="1">(CH284-$AW$4)/((YEAR($C$13))-$AW$4)</f>
        <v>1</v>
      </c>
      <c r="BR284" s="127">
        <f>(AL284)/($AW$6)</f>
        <v>0</v>
      </c>
      <c r="BS284" s="4"/>
      <c r="BT284" s="127"/>
      <c r="BU284" s="127">
        <f ca="1">(CG284-$AW$4)/((YEAR($C$13))-$AW$4)</f>
        <v>0.46666666666666667</v>
      </c>
      <c r="BV284" s="127">
        <f>AE284/5</f>
        <v>0.2</v>
      </c>
      <c r="BW284" s="127">
        <f>AF284/5</f>
        <v>0.4</v>
      </c>
      <c r="BX284" s="4"/>
      <c r="BY284" s="148" t="str">
        <f>IF(E284="A",".98",IF(E284="B",".99",IF(E284="C","1.00",IF(E284="D","1.00" ))))</f>
        <v>1.00</v>
      </c>
      <c r="BZ284" s="127">
        <f>(CE284+7)/10</f>
        <v>1</v>
      </c>
      <c r="CA284" s="76" t="str">
        <f>IF(D284="Fern",".97",IF(D284="Grass",".99",IF(D284="Herb",".97",IF(D284="Shrub",".99",IF(D284="Tree","1.00",IF(D284="Vine",".98"))))))</f>
        <v>.97</v>
      </c>
      <c r="CB284" s="149" t="str">
        <f>IF(R284="Bogs Ponds Streams",".96", IF(R284="Coastal Areas",".97",IF(R284="Meadows Dry Open",".96",IF(R284="Forest &amp; Understory",".97",IF(R284="Moist Open",".98",IF(R284="Moist Shady",".96",IF(R284="Sub-Alpine","1.0")))))))</f>
        <v>.96</v>
      </c>
      <c r="CC284" s="76" t="str">
        <f>IF(S284="Local Endemic",".50",IF(S284="Regional Endemic",".70",IF(S284="Cascadia",".90",IF(S284="Rocky Mountain",".95",IF(S284="North America",".99")))))</f>
        <v>.70</v>
      </c>
      <c r="CD284" s="4"/>
      <c r="CE284" s="21">
        <f>IF(W284&gt;3,3,W284)</f>
        <v>3</v>
      </c>
      <c r="CF284" s="21">
        <f>IF(AC284&gt;102,102,AC284)</f>
        <v>4</v>
      </c>
      <c r="CG284" s="34">
        <f>IF(AI284&lt;$AW$4,$AW$4,AI284)</f>
        <v>2011</v>
      </c>
      <c r="CH284" s="34">
        <f ca="1">IF(AJ284&lt;$AW$4,$AW$4,AJ284)</f>
        <v>2019</v>
      </c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</row>
    <row r="285" spans="1:115" s="13" customFormat="1" ht="19.2" customHeight="1" x14ac:dyDescent="0.3">
      <c r="A285" s="235"/>
      <c r="B285" s="218"/>
      <c r="C285" s="225">
        <v>8</v>
      </c>
      <c r="D285" s="59" t="s">
        <v>2505</v>
      </c>
      <c r="E285" s="59" t="s">
        <v>2501</v>
      </c>
      <c r="F285" s="397" t="str">
        <f ca="1">IF(BC285&lt;2025, "Extinct&lt; 6Yrs?",BA285)</f>
        <v>Abundant</v>
      </c>
      <c r="G285" s="363" t="s">
        <v>525</v>
      </c>
      <c r="H285" s="363" t="s">
        <v>687</v>
      </c>
      <c r="I285" s="366" t="s">
        <v>1255</v>
      </c>
      <c r="J285" s="365" t="s">
        <v>3338</v>
      </c>
      <c r="K285" s="365" t="s">
        <v>942</v>
      </c>
      <c r="L285" s="10" t="s">
        <v>2020</v>
      </c>
      <c r="M285" s="8" t="s">
        <v>4363</v>
      </c>
      <c r="N285" s="8" t="s">
        <v>5258</v>
      </c>
      <c r="O285" s="8" t="s">
        <v>6155</v>
      </c>
      <c r="P285" s="9" t="s">
        <v>280</v>
      </c>
      <c r="Q285" s="59" t="s">
        <v>2552</v>
      </c>
      <c r="R285" s="9" t="s">
        <v>2500</v>
      </c>
      <c r="S285" s="9" t="s">
        <v>2459</v>
      </c>
      <c r="T285" s="123" t="str">
        <f>IF(R285="Bogs Ponds Streams","20",IF(R285="Coastal Areas","26",IF(R285="Meadows Dry Open","10",IF(R285="Forest &amp; Understory","14",IF(R285="Moist Open","12",IF(R285="Moist Shady","10",IF(R285="Sub-Alpine Slopes","0")))))))</f>
        <v>10</v>
      </c>
      <c r="U285" s="123" t="str">
        <f>IF(R285="Bogs Ponds Streams","52",IF(R285="Coastal Areas","51",IF(R285="Meadows Dry Open","53",IF(R285="Forest &amp; Understory","52",IF(R285="Moist Open","50",IF(R285="Moist Shady","46",IF(R285="Sub-Alpine Slopes","40")))))))</f>
        <v>53</v>
      </c>
      <c r="V285" s="123" t="str">
        <f>IF(R285="Bogs Ponds Streams","84",IF(R285="Coastal Areas","76",IF(R285="Meadows Dry Open","96", IF(R285="Forest &amp; Understory","90", IF(R285="Moist Open","88", IF(R285="Moist Shady","82", IF(R285="Sub-Alpine Slopes","80")))))))</f>
        <v>96</v>
      </c>
      <c r="W285" s="59">
        <v>20</v>
      </c>
      <c r="X285" s="59">
        <v>0</v>
      </c>
      <c r="Y285" s="59">
        <v>3500</v>
      </c>
      <c r="Z285" s="59" t="s">
        <v>2519</v>
      </c>
      <c r="AA285" s="59" t="s">
        <v>2518</v>
      </c>
      <c r="AB285" s="59">
        <v>6.8</v>
      </c>
      <c r="AC285" s="45">
        <f>C285+AK285+(0.1)*AL285</f>
        <v>26</v>
      </c>
      <c r="AD285" s="77">
        <v>50</v>
      </c>
      <c r="AE285" s="59">
        <v>5</v>
      </c>
      <c r="AF285" s="59">
        <v>5</v>
      </c>
      <c r="AG285" s="59">
        <v>1900</v>
      </c>
      <c r="AH285" s="77">
        <v>0</v>
      </c>
      <c r="AI285" s="59">
        <f ca="1">AJ285</f>
        <v>2019</v>
      </c>
      <c r="AJ285" s="18">
        <f ca="1">YEAR(TODAY())</f>
        <v>2019</v>
      </c>
      <c r="AK285" s="18">
        <v>18</v>
      </c>
      <c r="AL285" s="18">
        <v>0</v>
      </c>
      <c r="AM285" s="18">
        <v>1</v>
      </c>
      <c r="AN285" s="18">
        <v>1</v>
      </c>
      <c r="AO285" s="18">
        <v>5</v>
      </c>
      <c r="AP285" s="18">
        <v>1</v>
      </c>
      <c r="AQ285" s="18">
        <v>0</v>
      </c>
      <c r="AR285" s="18">
        <v>0</v>
      </c>
      <c r="AS285" s="18">
        <v>0</v>
      </c>
      <c r="AT285" s="18">
        <v>0</v>
      </c>
      <c r="AU285" s="18">
        <v>0</v>
      </c>
      <c r="AV285" s="18">
        <v>0</v>
      </c>
      <c r="AW285" s="18">
        <v>0</v>
      </c>
      <c r="AX285" s="18">
        <v>0</v>
      </c>
      <c r="AY285" s="233"/>
      <c r="AZ285" s="4"/>
      <c r="BA285" s="35" t="str">
        <f ca="1">IF(OR(S285="North America",S285="Rocky Mountain"), "Widespread",BC285)</f>
        <v>Abundant</v>
      </c>
      <c r="BB285" s="4"/>
      <c r="BC285" s="35" t="str">
        <f ca="1">IF(BE285&gt;2046, "Abundant",BE285)</f>
        <v>Abundant</v>
      </c>
      <c r="BD285" s="4"/>
      <c r="BE285" s="81">
        <f ca="1">YEAR($C$13)+(BG285*80)</f>
        <v>2106.1862417112297</v>
      </c>
      <c r="BF285" s="4"/>
      <c r="BG285" s="137">
        <f ca="1">BH285*$BH$14</f>
        <v>1.0898280213903744</v>
      </c>
      <c r="BH285" s="137">
        <f ca="1">(((BJ285+BK285+BM285+BN285)/4)*$BM$11)+(((BP285+BQ285)/2)*$BQ$11)+(((BU285+BV285+BW285)/3)*$BU$11)+(((BY285+BZ285+CA285+CB285+CC285)/5)*$CA$11)</f>
        <v>1.0898280213903744</v>
      </c>
      <c r="BI285" s="4"/>
      <c r="BJ285" s="33">
        <f>AP285/(AM285+AO285)</f>
        <v>0.16666666666666666</v>
      </c>
      <c r="BK285" s="33">
        <f>(AN285+AO285)/(AM285+AO285)</f>
        <v>1</v>
      </c>
      <c r="BL285" s="4"/>
      <c r="BM285" s="127">
        <f>CF285/102</f>
        <v>0.25490196078431371</v>
      </c>
      <c r="BN285" s="127">
        <f>C285/2</f>
        <v>4</v>
      </c>
      <c r="BO285" s="4"/>
      <c r="BP285" s="127">
        <f>(AK285)/($AW$6)</f>
        <v>0.18181818181818182</v>
      </c>
      <c r="BQ285" s="127">
        <f ca="1">(CH285-$AW$4)/((YEAR($C$13))-$AW$4)</f>
        <v>1</v>
      </c>
      <c r="BR285" s="127">
        <f>(AL285)/($AW$6)</f>
        <v>0</v>
      </c>
      <c r="BS285" s="4"/>
      <c r="BT285" s="127"/>
      <c r="BU285" s="127">
        <f ca="1">(CG285-$AW$4)/((YEAR($C$13))-$AW$4)</f>
        <v>1</v>
      </c>
      <c r="BV285" s="127">
        <f>AE285/5</f>
        <v>1</v>
      </c>
      <c r="BW285" s="127">
        <f>AF285/5</f>
        <v>1</v>
      </c>
      <c r="BX285" s="4"/>
      <c r="BY285" s="148" t="str">
        <f>IF(E285="A",".98",IF(E285="B",".99",IF(E285="C","1.00",IF(E285="D","1.00" ))))</f>
        <v>1.00</v>
      </c>
      <c r="BZ285" s="127">
        <f>(CE285+7)/10</f>
        <v>1</v>
      </c>
      <c r="CA285" s="76" t="str">
        <f>IF(D285="Fern",".97",IF(D285="Grass",".99",IF(D285="Herb",".97",IF(D285="Shrub",".99",IF(D285="Tree","1.00",IF(D285="Vine",".98"))))))</f>
        <v>.97</v>
      </c>
      <c r="CB285" s="149" t="str">
        <f>IF(R285="Bogs Ponds Streams",".96", IF(R285="Coastal Areas",".97",IF(R285="Meadows Dry Open",".96",IF(R285="Forest &amp; Understory",".97",IF(R285="Moist Open",".98",IF(R285="Moist Shady",".96",IF(R285="Sub-Alpine","1.0")))))))</f>
        <v>.96</v>
      </c>
      <c r="CC285" s="76" t="str">
        <f>IF(S285="Local Endemic",".50",IF(S285="Regional Endemic",".70",IF(S285="Cascadia",".90",IF(S285="Rocky Mountain",".95",IF(S285="North America",".99")))))</f>
        <v>.90</v>
      </c>
      <c r="CD285" s="4"/>
      <c r="CE285" s="21">
        <f>IF(W285&gt;3,3,W285)</f>
        <v>3</v>
      </c>
      <c r="CF285" s="21">
        <f>IF(AC285&gt;102,102,AC285)</f>
        <v>26</v>
      </c>
      <c r="CG285" s="34">
        <f ca="1">IF(AI285&lt;$AW$4,$AW$4,AI285)</f>
        <v>2019</v>
      </c>
      <c r="CH285" s="34">
        <f ca="1">IF(AJ285&lt;$AW$4,$AW$4,AJ285)</f>
        <v>2019</v>
      </c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</row>
    <row r="286" spans="1:115" s="13" customFormat="1" ht="15" customHeight="1" x14ac:dyDescent="0.3">
      <c r="A286" s="235"/>
      <c r="B286" s="218"/>
      <c r="C286" s="226">
        <v>2</v>
      </c>
      <c r="D286" s="104" t="s">
        <v>2505</v>
      </c>
      <c r="E286" s="104" t="s">
        <v>2501</v>
      </c>
      <c r="F286" s="400" t="str">
        <f ca="1">IF(BC286&lt;2025, "Extinct&lt; 6Yrs?",BA286)</f>
        <v>Widespread</v>
      </c>
      <c r="G286" s="369" t="s">
        <v>525</v>
      </c>
      <c r="H286" s="369" t="s">
        <v>4028</v>
      </c>
      <c r="I286" s="370" t="s">
        <v>281</v>
      </c>
      <c r="J286" s="371" t="s">
        <v>4065</v>
      </c>
      <c r="K286" s="371" t="s">
        <v>30</v>
      </c>
      <c r="L286" s="106" t="s">
        <v>2019</v>
      </c>
      <c r="M286" s="111" t="s">
        <v>4365</v>
      </c>
      <c r="N286" s="111" t="s">
        <v>5259</v>
      </c>
      <c r="O286" s="111" t="s">
        <v>6156</v>
      </c>
      <c r="P286" s="105" t="s">
        <v>280</v>
      </c>
      <c r="Q286" s="104" t="s">
        <v>2552</v>
      </c>
      <c r="R286" s="105" t="s">
        <v>2498</v>
      </c>
      <c r="S286" s="105" t="s">
        <v>2479</v>
      </c>
      <c r="T286" s="133" t="str">
        <f>IF(R286="Bogs Ponds Streams","20",IF(R286="Coastal Areas","26",IF(R286="Meadows Dry Open","10",IF(R286="Forest &amp; Understory","14",IF(R286="Moist Open","12",IF(R286="Moist Shady","10",IF(R286="Sub-Alpine Slopes","0")))))))</f>
        <v>10</v>
      </c>
      <c r="U286" s="133" t="str">
        <f>IF(R286="Bogs Ponds Streams","52",IF(R286="Coastal Areas","51",IF(R286="Meadows Dry Open","53",IF(R286="Forest &amp; Understory","52",IF(R286="Moist Open","50",IF(R286="Moist Shady","46",IF(R286="Sub-Alpine Slopes","40")))))))</f>
        <v>46</v>
      </c>
      <c r="V286" s="133" t="str">
        <f>IF(R286="Bogs Ponds Streams","84",IF(R286="Coastal Areas","76",IF(R286="Meadows Dry Open","96", IF(R286="Forest &amp; Understory","90", IF(R286="Moist Open","88", IF(R286="Moist Shady","82", IF(R286="Sub-Alpine Slopes","80")))))))</f>
        <v>82</v>
      </c>
      <c r="W286" s="104">
        <v>20</v>
      </c>
      <c r="X286" s="104">
        <v>0</v>
      </c>
      <c r="Y286" s="104">
        <v>3500</v>
      </c>
      <c r="Z286" s="104" t="s">
        <v>2519</v>
      </c>
      <c r="AA286" s="104" t="s">
        <v>2518</v>
      </c>
      <c r="AB286" s="104">
        <v>6.8</v>
      </c>
      <c r="AC286" s="107">
        <f>C285+AK286+(0.1)*AL286</f>
        <v>21.2</v>
      </c>
      <c r="AD286" s="113">
        <v>179</v>
      </c>
      <c r="AE286" s="104">
        <v>5</v>
      </c>
      <c r="AF286" s="104">
        <v>5</v>
      </c>
      <c r="AG286" s="104">
        <v>1900</v>
      </c>
      <c r="AH286" s="113">
        <v>0</v>
      </c>
      <c r="AI286" s="104">
        <f>AJ286</f>
        <v>2018</v>
      </c>
      <c r="AJ286" s="108">
        <v>2018</v>
      </c>
      <c r="AK286" s="108">
        <v>11</v>
      </c>
      <c r="AL286" s="108">
        <v>22</v>
      </c>
      <c r="AM286" s="109">
        <v>5</v>
      </c>
      <c r="AN286" s="109">
        <v>1</v>
      </c>
      <c r="AO286" s="110">
        <v>0</v>
      </c>
      <c r="AP286" s="109">
        <v>1</v>
      </c>
      <c r="AQ286" s="109">
        <v>0</v>
      </c>
      <c r="AR286" s="109">
        <v>0</v>
      </c>
      <c r="AS286" s="110">
        <v>0</v>
      </c>
      <c r="AT286" s="109">
        <v>0</v>
      </c>
      <c r="AU286" s="109">
        <v>0</v>
      </c>
      <c r="AV286" s="109">
        <v>0</v>
      </c>
      <c r="AW286" s="110">
        <v>0</v>
      </c>
      <c r="AX286" s="109">
        <v>0</v>
      </c>
      <c r="AY286" s="233"/>
      <c r="AZ286" s="4"/>
      <c r="BA286" s="35" t="str">
        <f>IF(OR(S286="North America",S286="Rocky Mountain"), "Widespread",BC286)</f>
        <v>Widespread</v>
      </c>
      <c r="BB286" s="4"/>
      <c r="BC286" s="35" t="str">
        <f ca="1">IF(BE286&gt;2046, "Abundant",BE286)</f>
        <v>Abundant</v>
      </c>
      <c r="BD286" s="4"/>
      <c r="BE286" s="81">
        <f ca="1">YEAR($C$13)+(BG286*80)</f>
        <v>2094.6468287581697</v>
      </c>
      <c r="BF286" s="4"/>
      <c r="BG286" s="137">
        <f ca="1">BH286*$BH$14</f>
        <v>0.94558535947712397</v>
      </c>
      <c r="BH286" s="137">
        <f ca="1">(((BJ286+BK286+BM286+BN286)/4)*$BM$11)+(((BP286+BQ286)/2)*$BQ$11)+(((BU286+BV286+BW286)/3)*$BU$11)+(((BY286+BZ286+CA286+CB286+CC286)/5)*$CA$11)</f>
        <v>0.94558535947712397</v>
      </c>
      <c r="BI286" s="4"/>
      <c r="BJ286" s="33">
        <f>AP286/(AM286+AO286)</f>
        <v>0.2</v>
      </c>
      <c r="BK286" s="33">
        <f>(AN286+AO286)/(AM286+AO286)</f>
        <v>0.2</v>
      </c>
      <c r="BL286" s="4"/>
      <c r="BM286" s="127">
        <f>CF286/102</f>
        <v>0.20784313725490194</v>
      </c>
      <c r="BN286" s="127">
        <f>C285/2</f>
        <v>4</v>
      </c>
      <c r="BO286" s="4"/>
      <c r="BP286" s="127">
        <f>(AK286)/($AW$6)</f>
        <v>0.1111111111111111</v>
      </c>
      <c r="BQ286" s="127">
        <f ca="1">(CH286-$AW$4)/((YEAR($C$13))-$AW$4)</f>
        <v>0.93333333333333335</v>
      </c>
      <c r="BR286" s="127">
        <f>(AL286)/($AW$6)</f>
        <v>0.22222222222222221</v>
      </c>
      <c r="BS286" s="4"/>
      <c r="BT286" s="127"/>
      <c r="BU286" s="127">
        <f ca="1">(CG286-$AW$4)/((YEAR($C$13))-$AW$4)</f>
        <v>0.93333333333333335</v>
      </c>
      <c r="BV286" s="127">
        <f>AE286/5</f>
        <v>1</v>
      </c>
      <c r="BW286" s="127">
        <f>AF286/5</f>
        <v>1</v>
      </c>
      <c r="BX286" s="4"/>
      <c r="BY286" s="148" t="str">
        <f>IF(E286="A",".98",IF(E286="B",".99",IF(E286="C","1.00",IF(E286="D","1.00" ))))</f>
        <v>1.00</v>
      </c>
      <c r="BZ286" s="127">
        <f>(CE286+7)/10</f>
        <v>1</v>
      </c>
      <c r="CA286" s="76" t="str">
        <f>IF(D286="Fern",".97",IF(D286="Grass",".99",IF(D286="Herb",".97",IF(D286="Shrub",".99",IF(D286="Tree","1.00",IF(D286="Vine",".98"))))))</f>
        <v>.97</v>
      </c>
      <c r="CB286" s="149" t="str">
        <f>IF(R286="Bogs Ponds Streams",".96", IF(R286="Coastal Areas",".97",IF(R286="Meadows Dry Open",".96",IF(R286="Forest &amp; Understory",".97",IF(R286="Moist Open",".98",IF(R286="Moist Shady",".96",IF(R286="Sub-Alpine","1.0")))))))</f>
        <v>.96</v>
      </c>
      <c r="CC286" s="76" t="str">
        <f>IF(S286="Local Endemic",".50",IF(S286="Regional Endemic",".70",IF(S286="Cascadia",".90",IF(S286="Rocky Mountain",".95",IF(S286="North America",".99")))))</f>
        <v>.95</v>
      </c>
      <c r="CD286" s="4"/>
      <c r="CE286" s="21">
        <f>IF(W286&gt;3,3,W286)</f>
        <v>3</v>
      </c>
      <c r="CF286" s="21">
        <f>IF(AC286&gt;102,102,AC286)</f>
        <v>21.2</v>
      </c>
      <c r="CG286" s="34">
        <f>IF(AI286&lt;$AW$4,$AW$4,AI286)</f>
        <v>2018</v>
      </c>
      <c r="CH286" s="34">
        <f>IF(AJ286&lt;$AW$4,$AW$4,AJ286)</f>
        <v>2018</v>
      </c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</row>
    <row r="287" spans="1:115" s="13" customFormat="1" ht="15" customHeight="1" x14ac:dyDescent="0.3">
      <c r="A287" s="235"/>
      <c r="B287" s="218"/>
      <c r="C287" s="225">
        <v>8</v>
      </c>
      <c r="D287" s="59" t="s">
        <v>2505</v>
      </c>
      <c r="E287" s="59" t="s">
        <v>2501</v>
      </c>
      <c r="F287" s="397" t="str">
        <f ca="1">IF(BC287&lt;2025, "Extinct&lt; 6Yrs?",BA287)</f>
        <v>Widespread</v>
      </c>
      <c r="G287" s="363" t="s">
        <v>525</v>
      </c>
      <c r="H287" s="363" t="s">
        <v>687</v>
      </c>
      <c r="I287" s="366" t="s">
        <v>282</v>
      </c>
      <c r="J287" s="365" t="s">
        <v>3337</v>
      </c>
      <c r="K287" s="365" t="s">
        <v>943</v>
      </c>
      <c r="L287" s="10" t="s">
        <v>2018</v>
      </c>
      <c r="M287" s="8" t="s">
        <v>4366</v>
      </c>
      <c r="N287" s="8" t="s">
        <v>5260</v>
      </c>
      <c r="O287" s="8" t="s">
        <v>6157</v>
      </c>
      <c r="P287" s="9" t="s">
        <v>280</v>
      </c>
      <c r="Q287" s="59" t="s">
        <v>2552</v>
      </c>
      <c r="R287" s="9" t="s">
        <v>2453</v>
      </c>
      <c r="S287" s="9" t="s">
        <v>2479</v>
      </c>
      <c r="T287" s="123" t="str">
        <f>IF(R287="Bogs Ponds Streams","20",IF(R287="Coastal Areas","26",IF(R287="Meadows Dry Open","10",IF(R287="Forest &amp; Understory","14",IF(R287="Moist Open","12",IF(R287="Moist Shady","10",IF(R287="Sub-Alpine Slopes","0")))))))</f>
        <v>26</v>
      </c>
      <c r="U287" s="123" t="str">
        <f>IF(R287="Bogs Ponds Streams","52",IF(R287="Coastal Areas","51",IF(R287="Meadows Dry Open","53",IF(R287="Forest &amp; Understory","52",IF(R287="Moist Open","50",IF(R287="Moist Shady","46",IF(R287="Sub-Alpine Slopes","40")))))))</f>
        <v>51</v>
      </c>
      <c r="V287" s="123" t="str">
        <f>IF(R287="Bogs Ponds Streams","84",IF(R287="Coastal Areas","76",IF(R287="Meadows Dry Open","96", IF(R287="Forest &amp; Understory","90", IF(R287="Moist Open","88", IF(R287="Moist Shady","82", IF(R287="Sub-Alpine Slopes","80")))))))</f>
        <v>76</v>
      </c>
      <c r="W287" s="59">
        <v>20</v>
      </c>
      <c r="X287" s="59">
        <v>0</v>
      </c>
      <c r="Y287" s="59">
        <v>3500</v>
      </c>
      <c r="Z287" s="59" t="s">
        <v>2519</v>
      </c>
      <c r="AA287" s="59" t="s">
        <v>2518</v>
      </c>
      <c r="AB287" s="59">
        <v>6.8</v>
      </c>
      <c r="AC287" s="45">
        <f>C287+AK287+(0.1)*AL287</f>
        <v>44</v>
      </c>
      <c r="AD287" s="77">
        <v>303</v>
      </c>
      <c r="AE287" s="59">
        <v>5</v>
      </c>
      <c r="AF287" s="59">
        <v>5</v>
      </c>
      <c r="AG287" s="59">
        <v>1900</v>
      </c>
      <c r="AH287" s="77">
        <v>0</v>
      </c>
      <c r="AI287" s="59">
        <f ca="1">AJ287</f>
        <v>2019</v>
      </c>
      <c r="AJ287" s="18">
        <f ca="1">YEAR(TODAY())</f>
        <v>2019</v>
      </c>
      <c r="AK287" s="18">
        <v>30</v>
      </c>
      <c r="AL287" s="18">
        <v>60</v>
      </c>
      <c r="AM287" s="18">
        <v>1</v>
      </c>
      <c r="AN287" s="18">
        <v>1</v>
      </c>
      <c r="AO287" s="25">
        <v>0</v>
      </c>
      <c r="AP287" s="24">
        <v>0</v>
      </c>
      <c r="AQ287" s="18">
        <v>0</v>
      </c>
      <c r="AR287" s="18">
        <v>0</v>
      </c>
      <c r="AS287" s="18">
        <v>0</v>
      </c>
      <c r="AT287" s="18">
        <v>0</v>
      </c>
      <c r="AU287" s="18">
        <v>0</v>
      </c>
      <c r="AV287" s="18">
        <v>0</v>
      </c>
      <c r="AW287" s="18">
        <v>0</v>
      </c>
      <c r="AX287" s="18">
        <v>0</v>
      </c>
      <c r="AY287" s="233"/>
      <c r="AZ287" s="4"/>
      <c r="BA287" s="35" t="str">
        <f>IF(OR(S287="North America",S287="Rocky Mountain"), "Widespread",BC287)</f>
        <v>Widespread</v>
      </c>
      <c r="BB287" s="4"/>
      <c r="BC287" s="35" t="str">
        <f ca="1">IF(BE287&gt;2046, "Abundant",BE287)</f>
        <v>Abundant</v>
      </c>
      <c r="BD287" s="4"/>
      <c r="BE287" s="81">
        <f ca="1">YEAR($C$13)+(BG287*80)</f>
        <v>2107.7776342245988</v>
      </c>
      <c r="BF287" s="4"/>
      <c r="BG287" s="137">
        <f ca="1">BH287*$BH$14</f>
        <v>1.1097204278074868</v>
      </c>
      <c r="BH287" s="137">
        <f ca="1">(((BJ287+BK287+BM287+BN287)/4)*$BM$11)+(((BP287+BQ287)/2)*$BQ$11)+(((BU287+BV287+BW287)/3)*$BU$11)+(((BY287+BZ287+CA287+CB287+CC287)/5)*$CA$11)</f>
        <v>1.1097204278074868</v>
      </c>
      <c r="BI287" s="4"/>
      <c r="BJ287" s="33">
        <f>AP287/(AM287+AO287)</f>
        <v>0</v>
      </c>
      <c r="BK287" s="33">
        <f>(AN287+AO287)/(AM287+AO287)</f>
        <v>1</v>
      </c>
      <c r="BL287" s="4"/>
      <c r="BM287" s="127">
        <f>CF287/102</f>
        <v>0.43137254901960786</v>
      </c>
      <c r="BN287" s="127">
        <f>C287/2</f>
        <v>4</v>
      </c>
      <c r="BO287" s="4"/>
      <c r="BP287" s="127">
        <f>(AK287)/($AW$6)</f>
        <v>0.30303030303030304</v>
      </c>
      <c r="BQ287" s="127">
        <f ca="1">(CH287-$AW$4)/((YEAR($C$13))-$AW$4)</f>
        <v>1</v>
      </c>
      <c r="BR287" s="127">
        <f>(AL287)/($AW$6)</f>
        <v>0.60606060606060608</v>
      </c>
      <c r="BS287" s="4"/>
      <c r="BT287" s="127"/>
      <c r="BU287" s="127">
        <f ca="1">(CG287-$AW$4)/((YEAR($C$13))-$AW$4)</f>
        <v>1</v>
      </c>
      <c r="BV287" s="127">
        <f>AE287/5</f>
        <v>1</v>
      </c>
      <c r="BW287" s="127">
        <f>AF287/5</f>
        <v>1</v>
      </c>
      <c r="BX287" s="4"/>
      <c r="BY287" s="148" t="str">
        <f>IF(E287="A",".98",IF(E287="B",".99",IF(E287="C","1.00",IF(E287="D","1.00" ))))</f>
        <v>1.00</v>
      </c>
      <c r="BZ287" s="127">
        <f>(CE287+7)/10</f>
        <v>1</v>
      </c>
      <c r="CA287" s="76" t="str">
        <f>IF(D287="Fern",".97",IF(D287="Grass",".99",IF(D287="Herb",".97",IF(D287="Shrub",".99",IF(D287="Tree","1.00",IF(D287="Vine",".98"))))))</f>
        <v>.97</v>
      </c>
      <c r="CB287" s="149" t="str">
        <f>IF(R287="Bogs Ponds Streams",".96", IF(R287="Coastal Areas",".97",IF(R287="Meadows Dry Open",".96",IF(R287="Forest &amp; Understory",".97",IF(R287="Moist Open",".98",IF(R287="Moist Shady",".96",IF(R287="Sub-Alpine","1.0")))))))</f>
        <v>.97</v>
      </c>
      <c r="CC287" s="76" t="str">
        <f>IF(S287="Local Endemic",".50",IF(S287="Regional Endemic",".70",IF(S287="Cascadia",".90",IF(S287="Rocky Mountain",".95",IF(S287="North America",".99")))))</f>
        <v>.95</v>
      </c>
      <c r="CD287" s="4"/>
      <c r="CE287" s="21">
        <f>IF(W287&gt;3,3,W287)</f>
        <v>3</v>
      </c>
      <c r="CF287" s="21">
        <f>IF(AC287&gt;102,102,AC287)</f>
        <v>44</v>
      </c>
      <c r="CG287" s="34">
        <f ca="1">IF(AI287&lt;$AW$4,$AW$4,AI287)</f>
        <v>2019</v>
      </c>
      <c r="CH287" s="34">
        <f ca="1">IF(AJ287&lt;$AW$4,$AW$4,AJ287)</f>
        <v>2019</v>
      </c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</row>
    <row r="288" spans="1:115" s="13" customFormat="1" ht="15" customHeight="1" x14ac:dyDescent="0.3">
      <c r="A288" s="235"/>
      <c r="B288" s="218"/>
      <c r="C288" s="375">
        <v>1</v>
      </c>
      <c r="D288" s="67" t="s">
        <v>2505</v>
      </c>
      <c r="E288" s="67" t="s">
        <v>2502</v>
      </c>
      <c r="F288" s="403" t="str">
        <f ca="1">IF(BC288&lt;2025, "Extinct&lt; 6Yrs?",BA288)</f>
        <v>Widespread</v>
      </c>
      <c r="G288" s="376" t="s">
        <v>525</v>
      </c>
      <c r="H288" s="376" t="s">
        <v>4028</v>
      </c>
      <c r="I288" s="377" t="s">
        <v>2335</v>
      </c>
      <c r="J288" s="378" t="s">
        <v>2396</v>
      </c>
      <c r="K288" s="378" t="s">
        <v>2334</v>
      </c>
      <c r="L288" s="63" t="s">
        <v>2395</v>
      </c>
      <c r="M288" s="64" t="s">
        <v>4367</v>
      </c>
      <c r="N288" s="64" t="s">
        <v>5261</v>
      </c>
      <c r="O288" s="64" t="s">
        <v>6158</v>
      </c>
      <c r="P288" s="404" t="s">
        <v>144</v>
      </c>
      <c r="Q288" s="67" t="s">
        <v>2552</v>
      </c>
      <c r="R288" s="61" t="s">
        <v>2497</v>
      </c>
      <c r="S288" s="164" t="s">
        <v>2495</v>
      </c>
      <c r="T288" s="134" t="str">
        <f>IF(R288="Bogs Ponds Streams","20",IF(R288="Coastal Areas","26",IF(R288="Meadows Dry Open","10",IF(R288="Forest &amp; Understory","14",IF(R288="Moist Open","12",IF(R288="Moist Shady","10",IF(R288="Sub-Alpine Slopes","0")))))))</f>
        <v>12</v>
      </c>
      <c r="U288" s="134" t="str">
        <f>IF(R288="Bogs Ponds Streams","52",IF(R288="Coastal Areas","51",IF(R288="Meadows Dry Open","53",IF(R288="Forest &amp; Understory","52",IF(R288="Moist Open","50",IF(R288="Moist Shady","46",IF(R288="Sub-Alpine Slopes","40")))))))</f>
        <v>50</v>
      </c>
      <c r="V288" s="134" t="str">
        <f>IF(R288="Bogs Ponds Streams","84",IF(R288="Coastal Areas","76",IF(R288="Meadows Dry Open","96", IF(R288="Forest &amp; Understory","90", IF(R288="Moist Open","88", IF(R288="Moist Shady","82", IF(R288="Sub-Alpine Slopes","80")))))))</f>
        <v>88</v>
      </c>
      <c r="W288" s="67">
        <v>1</v>
      </c>
      <c r="X288" s="67">
        <v>5700</v>
      </c>
      <c r="Y288" s="67">
        <v>9700</v>
      </c>
      <c r="Z288" s="67" t="s">
        <v>2519</v>
      </c>
      <c r="AA288" s="67" t="s">
        <v>2518</v>
      </c>
      <c r="AB288" s="67">
        <v>6.8</v>
      </c>
      <c r="AC288" s="85">
        <f>C288+AK288+(0.1)*AL288</f>
        <v>2</v>
      </c>
      <c r="AD288" s="78">
        <v>2</v>
      </c>
      <c r="AE288" s="68">
        <v>3</v>
      </c>
      <c r="AF288" s="68">
        <v>5</v>
      </c>
      <c r="AG288" s="78">
        <v>1972</v>
      </c>
      <c r="AH288" s="78">
        <v>0</v>
      </c>
      <c r="AI288" s="78">
        <v>1977</v>
      </c>
      <c r="AJ288" s="67">
        <v>2007</v>
      </c>
      <c r="AK288" s="67">
        <v>1</v>
      </c>
      <c r="AL288" s="67">
        <v>0</v>
      </c>
      <c r="AM288" s="70">
        <v>5</v>
      </c>
      <c r="AN288" s="70">
        <v>0</v>
      </c>
      <c r="AO288" s="86">
        <v>0</v>
      </c>
      <c r="AP288" s="70">
        <v>0</v>
      </c>
      <c r="AQ288" s="70">
        <v>0</v>
      </c>
      <c r="AR288" s="70">
        <v>0</v>
      </c>
      <c r="AS288" s="86">
        <v>0</v>
      </c>
      <c r="AT288" s="70">
        <v>0</v>
      </c>
      <c r="AU288" s="70">
        <v>0</v>
      </c>
      <c r="AV288" s="70">
        <v>0</v>
      </c>
      <c r="AW288" s="86">
        <v>0</v>
      </c>
      <c r="AX288" s="70">
        <v>0</v>
      </c>
      <c r="AY288" s="233"/>
      <c r="AZ288" s="11"/>
      <c r="BA288" s="35" t="str">
        <f>IF(OR(S288="North America",S288="Rocky Mountain"), "Widespread",BC288)</f>
        <v>Widespread</v>
      </c>
      <c r="BB288" s="11"/>
      <c r="BC288" s="35">
        <f ca="1">IF(BE288&gt;2046, "Abundant",BE288)</f>
        <v>2032.6802395721925</v>
      </c>
      <c r="BD288" s="11"/>
      <c r="BE288" s="81">
        <f ca="1">YEAR($C$13)+(BG288*80)</f>
        <v>2032.6802395721925</v>
      </c>
      <c r="BF288" s="11"/>
      <c r="BG288" s="137">
        <f ca="1">BH288*$BH$14</f>
        <v>0.17100299465240643</v>
      </c>
      <c r="BH288" s="137">
        <f ca="1">(((BJ288+BK288+BM288+BN288)/4)*$BM$11)+(((BP288+BQ288)/2)*$BQ$11)+(((BU288+BV288+BW288)/3)*$BU$11)+(((BY288+BZ288+CA288+CB288+CC288)/5)*$CA$11)</f>
        <v>0.17100299465240643</v>
      </c>
      <c r="BI288" s="11"/>
      <c r="BJ288" s="33">
        <f>AP288/(AM288+AO288)</f>
        <v>0</v>
      </c>
      <c r="BK288" s="33">
        <f>(AN288+AO288)/(AM288+AO288)</f>
        <v>0</v>
      </c>
      <c r="BL288" s="11"/>
      <c r="BM288" s="127">
        <f>CF288/102</f>
        <v>1.9607843137254902E-2</v>
      </c>
      <c r="BN288" s="127">
        <f>C288/2</f>
        <v>0.5</v>
      </c>
      <c r="BO288" s="11"/>
      <c r="BP288" s="127">
        <f>(AK288)/($AW$6)</f>
        <v>1.0101010101010102E-2</v>
      </c>
      <c r="BQ288" s="127">
        <f ca="1">(CH288-$AW$4)/((YEAR($C$13))-$AW$4)</f>
        <v>0.2</v>
      </c>
      <c r="BR288" s="127">
        <f>(AL288)/($AW$6)</f>
        <v>0</v>
      </c>
      <c r="BS288" s="11"/>
      <c r="BT288" s="127"/>
      <c r="BU288" s="127">
        <f ca="1">(CG288-$AW$4)/((YEAR($C$13))-$AW$4)</f>
        <v>0</v>
      </c>
      <c r="BV288" s="127">
        <f>AE288/5</f>
        <v>0.6</v>
      </c>
      <c r="BW288" s="127">
        <f>AF288/5</f>
        <v>1</v>
      </c>
      <c r="BX288" s="11"/>
      <c r="BY288" s="148" t="str">
        <f>IF(E288="A",".98",IF(E288="B",".99",IF(E288="C","1.00",IF(E288="D","1.00" ))))</f>
        <v>.98</v>
      </c>
      <c r="BZ288" s="127">
        <f>(CE288+7)/10</f>
        <v>0.8</v>
      </c>
      <c r="CA288" s="76" t="str">
        <f>IF(D288="Fern",".97",IF(D288="Grass",".99",IF(D288="Herb",".97",IF(D288="Shrub",".99",IF(D288="Tree","1.00",IF(D288="Vine",".98"))))))</f>
        <v>.97</v>
      </c>
      <c r="CB288" s="149" t="str">
        <f>IF(R288="Bogs Ponds Streams",".96", IF(R288="Coastal Areas",".97",IF(R288="Meadows Dry Open",".96",IF(R288="Forest &amp; Understory",".97",IF(R288="Moist Open",".98",IF(R288="Moist Shady",".96",IF(R288="Sub-Alpine","1.0")))))))</f>
        <v>.98</v>
      </c>
      <c r="CC288" s="76" t="str">
        <f>IF(S288="Local Endemic",".50",IF(S288="Regional Endemic",".70",IF(S288="Cascadia",".90",IF(S288="Rocky Mountain",".95",IF(S288="North America",".99")))))</f>
        <v>.99</v>
      </c>
      <c r="CD288" s="11"/>
      <c r="CE288" s="21">
        <f>IF(W288&gt;3,3,W288)</f>
        <v>1</v>
      </c>
      <c r="CF288" s="21">
        <f>IF(AC288&gt;102,102,AC288)</f>
        <v>2</v>
      </c>
      <c r="CG288" s="34">
        <f>IF(AI288&lt;$AW$4,$AW$4,AI288)</f>
        <v>2004</v>
      </c>
      <c r="CH288" s="34">
        <f>IF(AJ288&lt;$AW$4,$AW$4,AJ288)</f>
        <v>2007</v>
      </c>
      <c r="CI288" s="11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11"/>
      <c r="DC288" s="11"/>
      <c r="DD288" s="11"/>
      <c r="DE288" s="11"/>
      <c r="DF288" s="11"/>
      <c r="DG288" s="11"/>
      <c r="DH288" s="11"/>
      <c r="DI288" s="11"/>
      <c r="DJ288" s="11"/>
      <c r="DK288" s="12"/>
    </row>
    <row r="289" spans="1:116" s="13" customFormat="1" ht="15" customHeight="1" x14ac:dyDescent="0.3">
      <c r="A289" s="235"/>
      <c r="B289" s="218"/>
      <c r="C289" s="225">
        <v>8</v>
      </c>
      <c r="D289" s="59" t="s">
        <v>2505</v>
      </c>
      <c r="E289" s="59" t="s">
        <v>2501</v>
      </c>
      <c r="F289" s="397" t="str">
        <f ca="1">IF(BC289&lt;2025, "Extinct&lt; 6Yrs?",BA289)</f>
        <v>Widespread</v>
      </c>
      <c r="G289" s="363" t="s">
        <v>525</v>
      </c>
      <c r="H289" s="363" t="s">
        <v>682</v>
      </c>
      <c r="I289" s="366" t="s">
        <v>3056</v>
      </c>
      <c r="J289" s="365" t="s">
        <v>3336</v>
      </c>
      <c r="K289" s="365" t="s">
        <v>944</v>
      </c>
      <c r="L289" s="10" t="s">
        <v>2017</v>
      </c>
      <c r="M289" s="8" t="s">
        <v>4368</v>
      </c>
      <c r="N289" s="8" t="s">
        <v>5262</v>
      </c>
      <c r="O289" s="8" t="s">
        <v>6159</v>
      </c>
      <c r="P289" s="9" t="s">
        <v>197</v>
      </c>
      <c r="Q289" s="59" t="s">
        <v>2552</v>
      </c>
      <c r="R289" s="9" t="s">
        <v>2499</v>
      </c>
      <c r="S289" s="9" t="s">
        <v>2495</v>
      </c>
      <c r="T289" s="123" t="str">
        <f>IF(R289="Bogs Ponds Streams","20",IF(R289="Coastal Areas","26",IF(R289="Meadows Dry Open","10",IF(R289="Forest &amp; Understory","14",IF(R289="Moist Open","12",IF(R289="Moist Shady","10",IF(R289="Sub-Alpine Slopes","0")))))))</f>
        <v>20</v>
      </c>
      <c r="U289" s="123" t="str">
        <f>IF(R289="Bogs Ponds Streams","52",IF(R289="Coastal Areas","51",IF(R289="Meadows Dry Open","53",IF(R289="Forest &amp; Understory","52",IF(R289="Moist Open","50",IF(R289="Moist Shady","46",IF(R289="Sub-Alpine Slopes","40")))))))</f>
        <v>52</v>
      </c>
      <c r="V289" s="123" t="str">
        <f>IF(R289="Bogs Ponds Streams","84",IF(R289="Coastal Areas","76",IF(R289="Meadows Dry Open","96", IF(R289="Forest &amp; Understory","90", IF(R289="Moist Open","88", IF(R289="Moist Shady","82", IF(R289="Sub-Alpine Slopes","80")))))))</f>
        <v>84</v>
      </c>
      <c r="W289" s="59">
        <v>20</v>
      </c>
      <c r="X289" s="59">
        <v>0</v>
      </c>
      <c r="Y289" s="59">
        <v>3500</v>
      </c>
      <c r="Z289" s="59" t="s">
        <v>2519</v>
      </c>
      <c r="AA289" s="59" t="s">
        <v>2518</v>
      </c>
      <c r="AB289" s="59">
        <v>6.8</v>
      </c>
      <c r="AC289" s="45">
        <f>C289+AK289+(0.1)*AL289</f>
        <v>49</v>
      </c>
      <c r="AD289" s="77">
        <v>78</v>
      </c>
      <c r="AE289" s="59">
        <v>5</v>
      </c>
      <c r="AF289" s="59">
        <v>5</v>
      </c>
      <c r="AG289" s="59">
        <v>1900</v>
      </c>
      <c r="AH289" s="77">
        <v>0</v>
      </c>
      <c r="AI289" s="59">
        <f ca="1">AJ289</f>
        <v>2019</v>
      </c>
      <c r="AJ289" s="18">
        <f ca="1">YEAR(TODAY())</f>
        <v>2019</v>
      </c>
      <c r="AK289" s="18">
        <v>40</v>
      </c>
      <c r="AL289" s="18">
        <v>10</v>
      </c>
      <c r="AM289" s="18">
        <v>1</v>
      </c>
      <c r="AN289" s="18">
        <v>1</v>
      </c>
      <c r="AO289" s="24">
        <v>3</v>
      </c>
      <c r="AP289" s="24">
        <v>3</v>
      </c>
      <c r="AQ289" s="18">
        <v>0</v>
      </c>
      <c r="AR289" s="18">
        <v>0</v>
      </c>
      <c r="AS289" s="18">
        <v>0</v>
      </c>
      <c r="AT289" s="18">
        <v>0</v>
      </c>
      <c r="AU289" s="18">
        <v>0</v>
      </c>
      <c r="AV289" s="18">
        <v>0</v>
      </c>
      <c r="AW289" s="18">
        <v>0</v>
      </c>
      <c r="AX289" s="18">
        <v>0</v>
      </c>
      <c r="AY289" s="233"/>
      <c r="AZ289" s="4"/>
      <c r="BA289" s="35" t="str">
        <f>IF(OR(S289="North America",S289="Rocky Mountain"), "Widespread",BC289)</f>
        <v>Widespread</v>
      </c>
      <c r="BB289" s="4"/>
      <c r="BC289" s="35" t="str">
        <f ca="1">IF(BE289&gt;2046, "Abundant",BE289)</f>
        <v>Abundant</v>
      </c>
      <c r="BD289" s="4"/>
      <c r="BE289" s="81">
        <f ca="1">YEAR($C$13)+(BG289*80)</f>
        <v>2118.5875907308377</v>
      </c>
      <c r="BF289" s="4"/>
      <c r="BG289" s="137">
        <f ca="1">BH289*$BH$14</f>
        <v>1.2448448841354725</v>
      </c>
      <c r="BH289" s="137">
        <f ca="1">(((BJ289+BK289+BM289+BN289)/4)*$BM$11)+(((BP289+BQ289)/2)*$BQ$11)+(((BU289+BV289+BW289)/3)*$BU$11)+(((BY289+BZ289+CA289+CB289+CC289)/5)*$CA$11)</f>
        <v>1.2448448841354725</v>
      </c>
      <c r="BI289" s="4"/>
      <c r="BJ289" s="33">
        <f>AP289/(AM289+AO289)</f>
        <v>0.75</v>
      </c>
      <c r="BK289" s="33">
        <f>(AN289+AO289)/(AM289+AO289)</f>
        <v>1</v>
      </c>
      <c r="BL289" s="4"/>
      <c r="BM289" s="127">
        <f>CF289/102</f>
        <v>0.48039215686274511</v>
      </c>
      <c r="BN289" s="127">
        <f>C289/2</f>
        <v>4</v>
      </c>
      <c r="BO289" s="4"/>
      <c r="BP289" s="127">
        <f>(AK289)/($AW$6)</f>
        <v>0.40404040404040403</v>
      </c>
      <c r="BQ289" s="127">
        <f ca="1">(CH289-$AW$4)/((YEAR($C$13))-$AW$4)</f>
        <v>1</v>
      </c>
      <c r="BR289" s="127">
        <f>(AL289)/($AW$6)</f>
        <v>0.10101010101010101</v>
      </c>
      <c r="BS289" s="4"/>
      <c r="BT289" s="127"/>
      <c r="BU289" s="127">
        <f ca="1">(CG289-$AW$4)/((YEAR($C$13))-$AW$4)</f>
        <v>1</v>
      </c>
      <c r="BV289" s="127">
        <f>AE289/5</f>
        <v>1</v>
      </c>
      <c r="BW289" s="127">
        <f>AF289/5</f>
        <v>1</v>
      </c>
      <c r="BX289" s="4"/>
      <c r="BY289" s="148" t="str">
        <f>IF(E289="A",".98",IF(E289="B",".99",IF(E289="C","1.00",IF(E289="D","1.00" ))))</f>
        <v>1.00</v>
      </c>
      <c r="BZ289" s="127">
        <f>(CE289+7)/10</f>
        <v>1</v>
      </c>
      <c r="CA289" s="76" t="str">
        <f>IF(D289="Fern",".97",IF(D289="Grass",".99",IF(D289="Herb",".97",IF(D289="Shrub",".99",IF(D289="Tree","1.00",IF(D289="Vine",".98"))))))</f>
        <v>.97</v>
      </c>
      <c r="CB289" s="149" t="str">
        <f>IF(R289="Bogs Ponds Streams",".96", IF(R289="Coastal Areas",".97",IF(R289="Meadows Dry Open",".96",IF(R289="Forest &amp; Understory",".97",IF(R289="Moist Open",".98",IF(R289="Moist Shady",".96",IF(R289="Sub-Alpine","1.0")))))))</f>
        <v>.96</v>
      </c>
      <c r="CC289" s="76" t="str">
        <f>IF(S289="Local Endemic",".50",IF(S289="Regional Endemic",".70",IF(S289="Cascadia",".90",IF(S289="Rocky Mountain",".95",IF(S289="North America",".99")))))</f>
        <v>.99</v>
      </c>
      <c r="CD289" s="4"/>
      <c r="CE289" s="21">
        <f>IF(W289&gt;3,3,W289)</f>
        <v>3</v>
      </c>
      <c r="CF289" s="21">
        <f>IF(AC289&gt;102,102,AC289)</f>
        <v>49</v>
      </c>
      <c r="CG289" s="34">
        <f ca="1">IF(AI289&lt;$AW$4,$AW$4,AI289)</f>
        <v>2019</v>
      </c>
      <c r="CH289" s="34">
        <f ca="1">IF(AJ289&lt;$AW$4,$AW$4,AJ289)</f>
        <v>2019</v>
      </c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</row>
    <row r="290" spans="1:116" s="13" customFormat="1" ht="15" customHeight="1" x14ac:dyDescent="0.3">
      <c r="A290" s="235"/>
      <c r="B290" s="218"/>
      <c r="C290" s="225">
        <v>8</v>
      </c>
      <c r="D290" s="59" t="s">
        <v>2505</v>
      </c>
      <c r="E290" s="59" t="s">
        <v>2501</v>
      </c>
      <c r="F290" s="397" t="str">
        <f ca="1">IF(BC290&lt;2025, "Extinct&lt; 6Yrs?",BA290)</f>
        <v>Widespread</v>
      </c>
      <c r="G290" s="363" t="s">
        <v>525</v>
      </c>
      <c r="H290" s="363" t="s">
        <v>680</v>
      </c>
      <c r="I290" s="364" t="s">
        <v>2238</v>
      </c>
      <c r="J290" s="365" t="s">
        <v>3335</v>
      </c>
      <c r="K290" s="365" t="s">
        <v>2759</v>
      </c>
      <c r="L290" s="17" t="s">
        <v>2237</v>
      </c>
      <c r="M290" s="8" t="s">
        <v>4369</v>
      </c>
      <c r="N290" s="8" t="s">
        <v>5263</v>
      </c>
      <c r="O290" s="8" t="s">
        <v>6160</v>
      </c>
      <c r="P290" s="398" t="s">
        <v>303</v>
      </c>
      <c r="Q290" s="59" t="s">
        <v>2552</v>
      </c>
      <c r="R290" s="9" t="s">
        <v>2497</v>
      </c>
      <c r="S290" s="17" t="s">
        <v>2479</v>
      </c>
      <c r="T290" s="123" t="str">
        <f>IF(R290="Bogs Ponds Streams","20",IF(R290="Coastal Areas","26",IF(R290="Meadows Dry Open","10",IF(R290="Forest &amp; Understory","14",IF(R290="Moist Open","12",IF(R290="Moist Shady","10",IF(R290="Sub-Alpine Slopes","0")))))))</f>
        <v>12</v>
      </c>
      <c r="U290" s="123" t="str">
        <f>IF(R290="Bogs Ponds Streams","52",IF(R290="Coastal Areas","51",IF(R290="Meadows Dry Open","53",IF(R290="Forest &amp; Understory","52",IF(R290="Moist Open","50",IF(R290="Moist Shady","46",IF(R290="Sub-Alpine Slopes","40")))))))</f>
        <v>50</v>
      </c>
      <c r="V290" s="123" t="str">
        <f>IF(R290="Bogs Ponds Streams","84",IF(R290="Coastal Areas","76",IF(R290="Meadows Dry Open","96", IF(R290="Forest &amp; Understory","90", IF(R290="Moist Open","88", IF(R290="Moist Shady","82", IF(R290="Sub-Alpine Slopes","80")))))))</f>
        <v>88</v>
      </c>
      <c r="W290" s="59">
        <v>20</v>
      </c>
      <c r="X290" s="59">
        <v>0</v>
      </c>
      <c r="Y290" s="59">
        <v>3500</v>
      </c>
      <c r="Z290" s="59" t="s">
        <v>2519</v>
      </c>
      <c r="AA290" s="59" t="s">
        <v>2518</v>
      </c>
      <c r="AB290" s="59">
        <v>6.8</v>
      </c>
      <c r="AC290" s="45">
        <f>C290+AK290+(0.1)*AL290</f>
        <v>34</v>
      </c>
      <c r="AD290" s="77">
        <v>323</v>
      </c>
      <c r="AE290" s="59">
        <v>5</v>
      </c>
      <c r="AF290" s="59">
        <v>5</v>
      </c>
      <c r="AG290" s="59">
        <v>1900</v>
      </c>
      <c r="AH290" s="77">
        <v>0</v>
      </c>
      <c r="AI290" s="59">
        <f ca="1">AJ290</f>
        <v>2019</v>
      </c>
      <c r="AJ290" s="18">
        <f ca="1">YEAR(TODAY())</f>
        <v>2019</v>
      </c>
      <c r="AK290" s="18">
        <v>20</v>
      </c>
      <c r="AL290" s="18">
        <v>60</v>
      </c>
      <c r="AM290" s="18">
        <v>1</v>
      </c>
      <c r="AN290" s="18">
        <v>1</v>
      </c>
      <c r="AO290" s="18">
        <v>5</v>
      </c>
      <c r="AP290" s="18">
        <v>1</v>
      </c>
      <c r="AQ290" s="18">
        <v>0</v>
      </c>
      <c r="AR290" s="18">
        <v>0</v>
      </c>
      <c r="AS290" s="18">
        <v>0</v>
      </c>
      <c r="AT290" s="18">
        <v>0</v>
      </c>
      <c r="AU290" s="18">
        <v>0</v>
      </c>
      <c r="AV290" s="18">
        <v>0</v>
      </c>
      <c r="AW290" s="18">
        <v>0</v>
      </c>
      <c r="AX290" s="18">
        <v>0</v>
      </c>
      <c r="AY290" s="233"/>
      <c r="AZ290" s="4"/>
      <c r="BA290" s="35" t="str">
        <f>IF(OR(S290="North America",S290="Rocky Mountain"), "Widespread",BC290)</f>
        <v>Widespread</v>
      </c>
      <c r="BB290" s="4"/>
      <c r="BC290" s="35" t="str">
        <f ca="1">IF(BE290&gt;2046, "Abundant",BE290)</f>
        <v>Abundant</v>
      </c>
      <c r="BD290" s="4"/>
      <c r="BE290" s="81">
        <f ca="1">YEAR($C$13)+(BG290*80)</f>
        <v>2107.3922424242423</v>
      </c>
      <c r="BF290" s="4"/>
      <c r="BG290" s="137">
        <f ca="1">BH290*$BH$14</f>
        <v>1.1049030303030305</v>
      </c>
      <c r="BH290" s="137">
        <f ca="1">(((BJ290+BK290+BM290+BN290)/4)*$BM$11)+(((BP290+BQ290)/2)*$BQ$11)+(((BU290+BV290+BW290)/3)*$BU$11)+(((BY290+BZ290+CA290+CB290+CC290)/5)*$CA$11)</f>
        <v>1.1049030303030305</v>
      </c>
      <c r="BI290" s="4"/>
      <c r="BJ290" s="33">
        <f>AP290/(AM290+AO290)</f>
        <v>0.16666666666666666</v>
      </c>
      <c r="BK290" s="33">
        <f>(AN290+AO290)/(AM290+AO290)</f>
        <v>1</v>
      </c>
      <c r="BL290" s="4"/>
      <c r="BM290" s="127">
        <f>CF290/102</f>
        <v>0.33333333333333331</v>
      </c>
      <c r="BN290" s="127">
        <f>C290/2</f>
        <v>4</v>
      </c>
      <c r="BO290" s="4"/>
      <c r="BP290" s="127">
        <f>(AK290)/($AW$6)</f>
        <v>0.20202020202020202</v>
      </c>
      <c r="BQ290" s="127">
        <f ca="1">(CH290-$AW$4)/((YEAR($C$13))-$AW$4)</f>
        <v>1</v>
      </c>
      <c r="BR290" s="127">
        <f>(AL290)/($AW$6)</f>
        <v>0.60606060606060608</v>
      </c>
      <c r="BS290" s="4"/>
      <c r="BT290" s="127"/>
      <c r="BU290" s="127">
        <f ca="1">(CG290-$AW$4)/((YEAR($C$13))-$AW$4)</f>
        <v>1</v>
      </c>
      <c r="BV290" s="127">
        <f>AE290/5</f>
        <v>1</v>
      </c>
      <c r="BW290" s="127">
        <f>AF290/5</f>
        <v>1</v>
      </c>
      <c r="BX290" s="4"/>
      <c r="BY290" s="148" t="str">
        <f>IF(E290="A",".98",IF(E290="B",".99",IF(E290="C","1.00",IF(E290="D","1.00" ))))</f>
        <v>1.00</v>
      </c>
      <c r="BZ290" s="127">
        <f>(CE290+7)/10</f>
        <v>1</v>
      </c>
      <c r="CA290" s="76" t="str">
        <f>IF(D290="Fern",".97",IF(D290="Grass",".99",IF(D290="Herb",".97",IF(D290="Shrub",".99",IF(D290="Tree","1.00",IF(D290="Vine",".98"))))))</f>
        <v>.97</v>
      </c>
      <c r="CB290" s="149" t="str">
        <f>IF(R290="Bogs Ponds Streams",".96", IF(R290="Coastal Areas",".97",IF(R290="Meadows Dry Open",".96",IF(R290="Forest &amp; Understory",".97",IF(R290="Moist Open",".98",IF(R290="Moist Shady",".96",IF(R290="Sub-Alpine","1.0")))))))</f>
        <v>.98</v>
      </c>
      <c r="CC290" s="76" t="str">
        <f>IF(S290="Local Endemic",".50",IF(S290="Regional Endemic",".70",IF(S290="Cascadia",".90",IF(S290="Rocky Mountain",".95",IF(S290="North America",".99")))))</f>
        <v>.95</v>
      </c>
      <c r="CD290" s="4"/>
      <c r="CE290" s="21">
        <f>IF(W290&gt;3,3,W290)</f>
        <v>3</v>
      </c>
      <c r="CF290" s="21">
        <f>IF(AC290&gt;102,102,AC290)</f>
        <v>34</v>
      </c>
      <c r="CG290" s="34">
        <f ca="1">IF(AI290&lt;$AW$4,$AW$4,AI290)</f>
        <v>2019</v>
      </c>
      <c r="CH290" s="34">
        <f ca="1">IF(AJ290&lt;$AW$4,$AW$4,AJ290)</f>
        <v>2019</v>
      </c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</row>
    <row r="291" spans="1:116" s="13" customFormat="1" ht="15" customHeight="1" x14ac:dyDescent="0.3">
      <c r="A291" s="235"/>
      <c r="B291" s="218"/>
      <c r="C291" s="225">
        <v>8</v>
      </c>
      <c r="D291" s="59" t="s">
        <v>1154</v>
      </c>
      <c r="E291" s="59" t="s">
        <v>2501</v>
      </c>
      <c r="F291" s="397" t="str">
        <f ca="1">IF(BC291&lt;2025, "Extinct&lt; 6Yrs?",BA291)</f>
        <v>Abundant</v>
      </c>
      <c r="G291" s="363" t="s">
        <v>525</v>
      </c>
      <c r="H291" s="363" t="s">
        <v>679</v>
      </c>
      <c r="I291" s="366" t="s">
        <v>3057</v>
      </c>
      <c r="J291" s="365" t="s">
        <v>3334</v>
      </c>
      <c r="K291" s="365" t="s">
        <v>8</v>
      </c>
      <c r="L291" s="10" t="s">
        <v>2016</v>
      </c>
      <c r="M291" s="8" t="s">
        <v>4370</v>
      </c>
      <c r="N291" s="8" t="s">
        <v>5264</v>
      </c>
      <c r="O291" s="8" t="s">
        <v>6161</v>
      </c>
      <c r="P291" s="9" t="s">
        <v>741</v>
      </c>
      <c r="Q291" s="59" t="s">
        <v>2552</v>
      </c>
      <c r="R291" s="9" t="s">
        <v>2500</v>
      </c>
      <c r="S291" s="9" t="s">
        <v>2459</v>
      </c>
      <c r="T291" s="123" t="str">
        <f>IF(R291="Bogs Ponds Streams","20",IF(R291="Coastal Areas","26",IF(R291="Meadows Dry Open","10",IF(R291="Forest &amp; Understory","14",IF(R291="Moist Open","12",IF(R291="Moist Shady","10",IF(R291="Sub-Alpine Slopes","0")))))))</f>
        <v>10</v>
      </c>
      <c r="U291" s="123" t="str">
        <f>IF(R291="Bogs Ponds Streams","52",IF(R291="Coastal Areas","51",IF(R291="Meadows Dry Open","53",IF(R291="Forest &amp; Understory","52",IF(R291="Moist Open","50",IF(R291="Moist Shady","46",IF(R291="Sub-Alpine Slopes","40")))))))</f>
        <v>53</v>
      </c>
      <c r="V291" s="123" t="str">
        <f>IF(R291="Bogs Ponds Streams","84",IF(R291="Coastal Areas","76",IF(R291="Meadows Dry Open","96", IF(R291="Forest &amp; Understory","90", IF(R291="Moist Open","88", IF(R291="Moist Shady","82", IF(R291="Sub-Alpine Slopes","80")))))))</f>
        <v>96</v>
      </c>
      <c r="W291" s="59">
        <v>20</v>
      </c>
      <c r="X291" s="59">
        <v>0</v>
      </c>
      <c r="Y291" s="59">
        <v>3500</v>
      </c>
      <c r="Z291" s="59" t="s">
        <v>2519</v>
      </c>
      <c r="AA291" s="59" t="s">
        <v>2518</v>
      </c>
      <c r="AB291" s="59">
        <v>6.8</v>
      </c>
      <c r="AC291" s="45">
        <f>C291+AK291+(0.1)*AL291</f>
        <v>16</v>
      </c>
      <c r="AD291" s="77">
        <v>35</v>
      </c>
      <c r="AE291" s="59">
        <v>5</v>
      </c>
      <c r="AF291" s="59">
        <v>5</v>
      </c>
      <c r="AG291" s="59">
        <v>1900</v>
      </c>
      <c r="AH291" s="77">
        <v>0</v>
      </c>
      <c r="AI291" s="59">
        <f ca="1">AJ291</f>
        <v>2019</v>
      </c>
      <c r="AJ291" s="18">
        <f ca="1">YEAR(TODAY())</f>
        <v>2019</v>
      </c>
      <c r="AK291" s="18">
        <v>8</v>
      </c>
      <c r="AL291" s="18">
        <v>0</v>
      </c>
      <c r="AM291" s="18">
        <v>1</v>
      </c>
      <c r="AN291" s="18">
        <v>1</v>
      </c>
      <c r="AO291" s="18">
        <v>5</v>
      </c>
      <c r="AP291" s="18">
        <v>1</v>
      </c>
      <c r="AQ291" s="18">
        <v>0</v>
      </c>
      <c r="AR291" s="18">
        <v>0</v>
      </c>
      <c r="AS291" s="18">
        <v>0</v>
      </c>
      <c r="AT291" s="18">
        <v>0</v>
      </c>
      <c r="AU291" s="18">
        <v>0</v>
      </c>
      <c r="AV291" s="18">
        <v>0</v>
      </c>
      <c r="AW291" s="18">
        <v>0</v>
      </c>
      <c r="AX291" s="18">
        <v>0</v>
      </c>
      <c r="AY291" s="233"/>
      <c r="AZ291" s="4"/>
      <c r="BA291" s="35" t="str">
        <f ca="1">IF(OR(S291="North America",S291="Rocky Mountain"), "Widespread",BC291)</f>
        <v>Abundant</v>
      </c>
      <c r="BB291" s="4"/>
      <c r="BC291" s="35" t="str">
        <f ca="1">IF(BE291&gt;2046, "Abundant",BE291)</f>
        <v>Abundant</v>
      </c>
      <c r="BD291" s="4"/>
      <c r="BE291" s="81">
        <f ca="1">YEAR($C$13)+(BG291*80)</f>
        <v>2103.7976499108736</v>
      </c>
      <c r="BF291" s="4"/>
      <c r="BG291" s="137">
        <f ca="1">BH291*$BH$14</f>
        <v>1.0599706238859181</v>
      </c>
      <c r="BH291" s="137">
        <f ca="1">(((BJ291+BK291+BM291+BN291)/4)*$BM$11)+(((BP291+BQ291)/2)*$BQ$11)+(((BU291+BV291+BW291)/3)*$BU$11)+(((BY291+BZ291+CA291+CB291+CC291)/5)*$CA$11)</f>
        <v>1.0599706238859181</v>
      </c>
      <c r="BI291" s="4"/>
      <c r="BJ291" s="33">
        <f>AP291/(AM291+AO291)</f>
        <v>0.16666666666666666</v>
      </c>
      <c r="BK291" s="33">
        <f>(AN291+AO291)/(AM291+AO291)</f>
        <v>1</v>
      </c>
      <c r="BL291" s="4"/>
      <c r="BM291" s="127">
        <f>CF291/102</f>
        <v>0.15686274509803921</v>
      </c>
      <c r="BN291" s="127">
        <f>C291/2</f>
        <v>4</v>
      </c>
      <c r="BO291" s="4"/>
      <c r="BP291" s="127">
        <f>(AK291)/($AW$6)</f>
        <v>8.0808080808080815E-2</v>
      </c>
      <c r="BQ291" s="127">
        <f ca="1">(CH291-$AW$4)/((YEAR($C$13))-$AW$4)</f>
        <v>1</v>
      </c>
      <c r="BR291" s="127">
        <f>(AL291)/($AW$6)</f>
        <v>0</v>
      </c>
      <c r="BS291" s="4"/>
      <c r="BT291" s="127"/>
      <c r="BU291" s="127">
        <f ca="1">(CG291-$AW$4)/((YEAR($C$13))-$AW$4)</f>
        <v>1</v>
      </c>
      <c r="BV291" s="127">
        <f>AE291/5</f>
        <v>1</v>
      </c>
      <c r="BW291" s="127">
        <f>AF291/5</f>
        <v>1</v>
      </c>
      <c r="BX291" s="4"/>
      <c r="BY291" s="148" t="str">
        <f>IF(E291="A",".98",IF(E291="B",".99",IF(E291="C","1.00",IF(E291="D","1.00" ))))</f>
        <v>1.00</v>
      </c>
      <c r="BZ291" s="127">
        <f>(CE291+7)/10</f>
        <v>1</v>
      </c>
      <c r="CA291" s="76" t="str">
        <f>IF(D291="Fern",".97",IF(D291="Grass",".99",IF(D291="Herb",".97",IF(D291="Shrub",".99",IF(D291="Tree","1.00",IF(D291="Vine",".98"))))))</f>
        <v>.97</v>
      </c>
      <c r="CB291" s="149" t="str">
        <f>IF(R291="Bogs Ponds Streams",".96", IF(R291="Coastal Areas",".97",IF(R291="Meadows Dry Open",".96",IF(R291="Forest &amp; Understory",".97",IF(R291="Moist Open",".98",IF(R291="Moist Shady",".96",IF(R291="Sub-Alpine","1.0")))))))</f>
        <v>.96</v>
      </c>
      <c r="CC291" s="76" t="str">
        <f>IF(S291="Local Endemic",".50",IF(S291="Regional Endemic",".70",IF(S291="Cascadia",".90",IF(S291="Rocky Mountain",".95",IF(S291="North America",".99")))))</f>
        <v>.90</v>
      </c>
      <c r="CD291" s="4"/>
      <c r="CE291" s="21">
        <f>IF(W291&gt;3,3,W291)</f>
        <v>3</v>
      </c>
      <c r="CF291" s="21">
        <f>IF(AC291&gt;102,102,AC291)</f>
        <v>16</v>
      </c>
      <c r="CG291" s="34">
        <f ca="1">IF(AI291&lt;$AW$4,$AW$4,AI291)</f>
        <v>2019</v>
      </c>
      <c r="CH291" s="34">
        <f ca="1">IF(AJ291&lt;$AW$4,$AW$4,AJ291)</f>
        <v>2019</v>
      </c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</row>
    <row r="292" spans="1:116" s="13" customFormat="1" ht="15" customHeight="1" x14ac:dyDescent="0.3">
      <c r="A292" s="235"/>
      <c r="B292" s="218"/>
      <c r="C292" s="225">
        <v>8</v>
      </c>
      <c r="D292" s="59" t="s">
        <v>1154</v>
      </c>
      <c r="E292" s="59" t="s">
        <v>2501</v>
      </c>
      <c r="F292" s="397" t="str">
        <f ca="1">IF(BC292&lt;2025, "Extinct&lt; 6Yrs?",BA292)</f>
        <v>Widespread</v>
      </c>
      <c r="G292" s="363" t="s">
        <v>525</v>
      </c>
      <c r="H292" s="363" t="s">
        <v>688</v>
      </c>
      <c r="I292" s="366" t="s">
        <v>475</v>
      </c>
      <c r="J292" s="365" t="s">
        <v>3333</v>
      </c>
      <c r="K292" s="365" t="s">
        <v>474</v>
      </c>
      <c r="L292" s="10" t="s">
        <v>2015</v>
      </c>
      <c r="M292" s="8" t="s">
        <v>4371</v>
      </c>
      <c r="N292" s="8" t="s">
        <v>5265</v>
      </c>
      <c r="O292" s="8" t="s">
        <v>6162</v>
      </c>
      <c r="P292" s="9" t="s">
        <v>741</v>
      </c>
      <c r="Q292" s="59" t="s">
        <v>2552</v>
      </c>
      <c r="R292" s="9" t="s">
        <v>2498</v>
      </c>
      <c r="S292" s="9" t="s">
        <v>2495</v>
      </c>
      <c r="T292" s="123" t="str">
        <f>IF(R292="Bogs Ponds Streams","20",IF(R292="Coastal Areas","26",IF(R292="Meadows Dry Open","10",IF(R292="Forest &amp; Understory","14",IF(R292="Moist Open","12",IF(R292="Moist Shady","10",IF(R292="Sub-Alpine Slopes","0")))))))</f>
        <v>10</v>
      </c>
      <c r="U292" s="123" t="str">
        <f>IF(R292="Bogs Ponds Streams","52",IF(R292="Coastal Areas","51",IF(R292="Meadows Dry Open","53",IF(R292="Forest &amp; Understory","52",IF(R292="Moist Open","50",IF(R292="Moist Shady","46",IF(R292="Sub-Alpine Slopes","40")))))))</f>
        <v>46</v>
      </c>
      <c r="V292" s="123" t="str">
        <f>IF(R292="Bogs Ponds Streams","84",IF(R292="Coastal Areas","76",IF(R292="Meadows Dry Open","96", IF(R292="Forest &amp; Understory","90", IF(R292="Moist Open","88", IF(R292="Moist Shady","82", IF(R292="Sub-Alpine Slopes","80")))))))</f>
        <v>82</v>
      </c>
      <c r="W292" s="59">
        <v>20</v>
      </c>
      <c r="X292" s="59">
        <v>0</v>
      </c>
      <c r="Y292" s="59">
        <v>3500</v>
      </c>
      <c r="Z292" s="59" t="s">
        <v>2519</v>
      </c>
      <c r="AA292" s="59" t="s">
        <v>2518</v>
      </c>
      <c r="AB292" s="59">
        <v>6.8</v>
      </c>
      <c r="AC292" s="45">
        <f>C292+AK292+(0.1)*AL292</f>
        <v>15</v>
      </c>
      <c r="AD292" s="77">
        <v>35</v>
      </c>
      <c r="AE292" s="59">
        <v>5</v>
      </c>
      <c r="AF292" s="59">
        <v>5</v>
      </c>
      <c r="AG292" s="59">
        <v>1900</v>
      </c>
      <c r="AH292" s="77">
        <v>0</v>
      </c>
      <c r="AI292" s="59">
        <f ca="1">AJ292</f>
        <v>2019</v>
      </c>
      <c r="AJ292" s="18">
        <f ca="1">YEAR(TODAY())</f>
        <v>2019</v>
      </c>
      <c r="AK292" s="18">
        <v>5</v>
      </c>
      <c r="AL292" s="18">
        <v>20</v>
      </c>
      <c r="AM292" s="18">
        <v>1</v>
      </c>
      <c r="AN292" s="18">
        <v>1</v>
      </c>
      <c r="AO292" s="18">
        <v>5</v>
      </c>
      <c r="AP292" s="18">
        <v>1</v>
      </c>
      <c r="AQ292" s="18">
        <v>0</v>
      </c>
      <c r="AR292" s="18">
        <v>0</v>
      </c>
      <c r="AS292" s="18">
        <v>0</v>
      </c>
      <c r="AT292" s="18">
        <v>0</v>
      </c>
      <c r="AU292" s="18">
        <v>0</v>
      </c>
      <c r="AV292" s="18">
        <v>0</v>
      </c>
      <c r="AW292" s="18">
        <v>0</v>
      </c>
      <c r="AX292" s="18">
        <v>0</v>
      </c>
      <c r="AY292" s="233"/>
      <c r="AZ292" s="4"/>
      <c r="BA292" s="35" t="str">
        <f>IF(OR(S292="North America",S292="Rocky Mountain"), "Widespread",BC292)</f>
        <v>Widespread</v>
      </c>
      <c r="BB292" s="4"/>
      <c r="BC292" s="35" t="str">
        <f ca="1">IF(BE292&gt;2046, "Abundant",BE292)</f>
        <v>Abundant</v>
      </c>
      <c r="BD292" s="4"/>
      <c r="BE292" s="81">
        <f ca="1">YEAR($C$13)+(BG292*80)</f>
        <v>2103.3451664884137</v>
      </c>
      <c r="BF292" s="4"/>
      <c r="BG292" s="137">
        <f ca="1">BH292*$BH$14</f>
        <v>1.0543145811051693</v>
      </c>
      <c r="BH292" s="137">
        <f ca="1">(((BJ292+BK292+BM292+BN292)/4)*$BM$11)+(((BP292+BQ292)/2)*$BQ$11)+(((BU292+BV292+BW292)/3)*$BU$11)+(((BY292+BZ292+CA292+CB292+CC292)/5)*$CA$11)</f>
        <v>1.0543145811051693</v>
      </c>
      <c r="BI292" s="4"/>
      <c r="BJ292" s="33">
        <f>AP292/(AM292+AO292)</f>
        <v>0.16666666666666666</v>
      </c>
      <c r="BK292" s="33">
        <f>(AN292+AO292)/(AM292+AO292)</f>
        <v>1</v>
      </c>
      <c r="BL292" s="4"/>
      <c r="BM292" s="127">
        <f>CF292/102</f>
        <v>0.14705882352941177</v>
      </c>
      <c r="BN292" s="127">
        <f>C292/2</f>
        <v>4</v>
      </c>
      <c r="BO292" s="4"/>
      <c r="BP292" s="127">
        <f>(AK292)/($AW$6)</f>
        <v>5.0505050505050504E-2</v>
      </c>
      <c r="BQ292" s="127">
        <f ca="1">(CH292-$AW$4)/((YEAR($C$13))-$AW$4)</f>
        <v>1</v>
      </c>
      <c r="BR292" s="127">
        <f>(AL292)/($AW$6)</f>
        <v>0.20202020202020202</v>
      </c>
      <c r="BS292" s="4"/>
      <c r="BT292" s="127"/>
      <c r="BU292" s="127">
        <f ca="1">(CG292-$AW$4)/((YEAR($C$13))-$AW$4)</f>
        <v>1</v>
      </c>
      <c r="BV292" s="127">
        <f>AE292/5</f>
        <v>1</v>
      </c>
      <c r="BW292" s="127">
        <f>AF292/5</f>
        <v>1</v>
      </c>
      <c r="BX292" s="4"/>
      <c r="BY292" s="148" t="str">
        <f>IF(E292="A",".98",IF(E292="B",".99",IF(E292="C","1.00",IF(E292="D","1.00" ))))</f>
        <v>1.00</v>
      </c>
      <c r="BZ292" s="127">
        <f>(CE292+7)/10</f>
        <v>1</v>
      </c>
      <c r="CA292" s="76" t="str">
        <f>IF(D292="Fern",".97",IF(D292="Grass",".99",IF(D292="Herb",".97",IF(D292="Shrub",".99",IF(D292="Tree","1.00",IF(D292="Vine",".98"))))))</f>
        <v>.97</v>
      </c>
      <c r="CB292" s="149" t="str">
        <f>IF(R292="Bogs Ponds Streams",".96", IF(R292="Coastal Areas",".97",IF(R292="Meadows Dry Open",".96",IF(R292="Forest &amp; Understory",".97",IF(R292="Moist Open",".98",IF(R292="Moist Shady",".96",IF(R292="Sub-Alpine","1.0")))))))</f>
        <v>.96</v>
      </c>
      <c r="CC292" s="76" t="str">
        <f>IF(S292="Local Endemic",".50",IF(S292="Regional Endemic",".70",IF(S292="Cascadia",".90",IF(S292="Rocky Mountain",".95",IF(S292="North America",".99")))))</f>
        <v>.99</v>
      </c>
      <c r="CD292" s="4"/>
      <c r="CE292" s="21">
        <f>IF(W292&gt;3,3,W292)</f>
        <v>3</v>
      </c>
      <c r="CF292" s="21">
        <f>IF(AC292&gt;102,102,AC292)</f>
        <v>15</v>
      </c>
      <c r="CG292" s="34">
        <f ca="1">IF(AI292&lt;$AW$4,$AW$4,AI292)</f>
        <v>2019</v>
      </c>
      <c r="CH292" s="34">
        <f ca="1">IF(AJ292&lt;$AW$4,$AW$4,AJ292)</f>
        <v>2019</v>
      </c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</row>
    <row r="293" spans="1:116" s="13" customFormat="1" ht="15" customHeight="1" x14ac:dyDescent="0.3">
      <c r="A293" s="235"/>
      <c r="B293" s="218"/>
      <c r="C293" s="225">
        <v>8</v>
      </c>
      <c r="D293" s="59" t="s">
        <v>1154</v>
      </c>
      <c r="E293" s="59" t="s">
        <v>2501</v>
      </c>
      <c r="F293" s="397" t="str">
        <f ca="1">IF(BC293&lt;2025, "Extinct&lt; 6Yrs?",BA293)</f>
        <v>Widespread</v>
      </c>
      <c r="G293" s="363" t="s">
        <v>525</v>
      </c>
      <c r="H293" s="363" t="s">
        <v>678</v>
      </c>
      <c r="I293" s="366" t="s">
        <v>3058</v>
      </c>
      <c r="J293" s="365" t="s">
        <v>3332</v>
      </c>
      <c r="K293" s="365" t="s">
        <v>945</v>
      </c>
      <c r="L293" s="10" t="s">
        <v>2014</v>
      </c>
      <c r="M293" s="8" t="s">
        <v>4372</v>
      </c>
      <c r="N293" s="8" t="s">
        <v>5266</v>
      </c>
      <c r="O293" s="8" t="s">
        <v>6163</v>
      </c>
      <c r="P293" s="9" t="s">
        <v>741</v>
      </c>
      <c r="Q293" s="59" t="s">
        <v>2552</v>
      </c>
      <c r="R293" s="9" t="s">
        <v>2498</v>
      </c>
      <c r="S293" s="9" t="s">
        <v>2479</v>
      </c>
      <c r="T293" s="123" t="str">
        <f>IF(R293="Bogs Ponds Streams","20",IF(R293="Coastal Areas","26",IF(R293="Meadows Dry Open","10",IF(R293="Forest &amp; Understory","14",IF(R293="Moist Open","12",IF(R293="Moist Shady","10",IF(R293="Sub-Alpine Slopes","0")))))))</f>
        <v>10</v>
      </c>
      <c r="U293" s="123" t="str">
        <f>IF(R293="Bogs Ponds Streams","52",IF(R293="Coastal Areas","51",IF(R293="Meadows Dry Open","53",IF(R293="Forest &amp; Understory","52",IF(R293="Moist Open","50",IF(R293="Moist Shady","46",IF(R293="Sub-Alpine Slopes","40")))))))</f>
        <v>46</v>
      </c>
      <c r="V293" s="123" t="str">
        <f>IF(R293="Bogs Ponds Streams","84",IF(R293="Coastal Areas","76",IF(R293="Meadows Dry Open","96", IF(R293="Forest &amp; Understory","90", IF(R293="Moist Open","88", IF(R293="Moist Shady","82", IF(R293="Sub-Alpine Slopes","80")))))))</f>
        <v>82</v>
      </c>
      <c r="W293" s="59">
        <v>20</v>
      </c>
      <c r="X293" s="59">
        <v>0</v>
      </c>
      <c r="Y293" s="59">
        <v>3500</v>
      </c>
      <c r="Z293" s="59" t="s">
        <v>2519</v>
      </c>
      <c r="AA293" s="59" t="s">
        <v>2518</v>
      </c>
      <c r="AB293" s="59">
        <v>6.8</v>
      </c>
      <c r="AC293" s="45">
        <f>C293+AK293+(0.1)*AL293</f>
        <v>49</v>
      </c>
      <c r="AD293" s="77">
        <v>221</v>
      </c>
      <c r="AE293" s="59">
        <v>5</v>
      </c>
      <c r="AF293" s="59">
        <v>5</v>
      </c>
      <c r="AG293" s="59">
        <v>1900</v>
      </c>
      <c r="AH293" s="77">
        <v>0</v>
      </c>
      <c r="AI293" s="59">
        <f ca="1">AJ293</f>
        <v>2019</v>
      </c>
      <c r="AJ293" s="18">
        <f ca="1">YEAR(TODAY())</f>
        <v>2019</v>
      </c>
      <c r="AK293" s="18">
        <v>40</v>
      </c>
      <c r="AL293" s="18">
        <v>10</v>
      </c>
      <c r="AM293" s="18">
        <v>1</v>
      </c>
      <c r="AN293" s="18">
        <v>1</v>
      </c>
      <c r="AO293" s="18">
        <v>5</v>
      </c>
      <c r="AP293" s="18">
        <v>1</v>
      </c>
      <c r="AQ293" s="18">
        <v>0</v>
      </c>
      <c r="AR293" s="18">
        <v>0</v>
      </c>
      <c r="AS293" s="18">
        <v>0</v>
      </c>
      <c r="AT293" s="18">
        <v>0</v>
      </c>
      <c r="AU293" s="18">
        <v>0</v>
      </c>
      <c r="AV293" s="18">
        <v>0</v>
      </c>
      <c r="AW293" s="18">
        <v>0</v>
      </c>
      <c r="AX293" s="18">
        <v>0</v>
      </c>
      <c r="AY293" s="233"/>
      <c r="AZ293" s="4"/>
      <c r="BA293" s="35" t="str">
        <f>IF(OR(S293="North America",S293="Rocky Mountain"), "Widespread",BC293)</f>
        <v>Widespread</v>
      </c>
      <c r="BB293" s="4"/>
      <c r="BC293" s="35" t="str">
        <f ca="1">IF(BE293&gt;2046, "Abundant",BE293)</f>
        <v>Abundant</v>
      </c>
      <c r="BD293" s="4"/>
      <c r="BE293" s="81">
        <f ca="1">YEAR($C$13)+(BG293*80)</f>
        <v>2111.5747907308378</v>
      </c>
      <c r="BF293" s="4"/>
      <c r="BG293" s="137">
        <f ca="1">BH293*$BH$14</f>
        <v>1.1571848841354724</v>
      </c>
      <c r="BH293" s="137">
        <f ca="1">(((BJ293+BK293+BM293+BN293)/4)*$BM$11)+(((BP293+BQ293)/2)*$BQ$11)+(((BU293+BV293+BW293)/3)*$BU$11)+(((BY293+BZ293+CA293+CB293+CC293)/5)*$CA$11)</f>
        <v>1.1571848841354724</v>
      </c>
      <c r="BI293" s="4"/>
      <c r="BJ293" s="33">
        <f>AP293/(AM293+AO293)</f>
        <v>0.16666666666666666</v>
      </c>
      <c r="BK293" s="33">
        <f>(AN293+AO293)/(AM293+AO293)</f>
        <v>1</v>
      </c>
      <c r="BL293" s="4"/>
      <c r="BM293" s="127">
        <f>CF293/102</f>
        <v>0.48039215686274511</v>
      </c>
      <c r="BN293" s="127">
        <f>C293/2</f>
        <v>4</v>
      </c>
      <c r="BO293" s="4"/>
      <c r="BP293" s="127">
        <f>(AK293)/($AW$6)</f>
        <v>0.40404040404040403</v>
      </c>
      <c r="BQ293" s="127">
        <f ca="1">(CH293-$AW$4)/((YEAR($C$13))-$AW$4)</f>
        <v>1</v>
      </c>
      <c r="BR293" s="127">
        <f>(AL293)/($AW$6)</f>
        <v>0.10101010101010101</v>
      </c>
      <c r="BS293" s="4"/>
      <c r="BT293" s="127"/>
      <c r="BU293" s="127">
        <f ca="1">(CG293-$AW$4)/((YEAR($C$13))-$AW$4)</f>
        <v>1</v>
      </c>
      <c r="BV293" s="127">
        <f>AE293/5</f>
        <v>1</v>
      </c>
      <c r="BW293" s="127">
        <f>AF293/5</f>
        <v>1</v>
      </c>
      <c r="BX293" s="4"/>
      <c r="BY293" s="148" t="str">
        <f>IF(E293="A",".98",IF(E293="B",".99",IF(E293="C","1.00",IF(E293="D","1.00" ))))</f>
        <v>1.00</v>
      </c>
      <c r="BZ293" s="127">
        <f>(CE293+7)/10</f>
        <v>1</v>
      </c>
      <c r="CA293" s="76" t="str">
        <f>IF(D293="Fern",".97",IF(D293="Grass",".99",IF(D293="Herb",".97",IF(D293="Shrub",".99",IF(D293="Tree","1.00",IF(D293="Vine",".98"))))))</f>
        <v>.97</v>
      </c>
      <c r="CB293" s="149" t="str">
        <f>IF(R293="Bogs Ponds Streams",".96", IF(R293="Coastal Areas",".97",IF(R293="Meadows Dry Open",".96",IF(R293="Forest &amp; Understory",".97",IF(R293="Moist Open",".98",IF(R293="Moist Shady",".96",IF(R293="Sub-Alpine","1.0")))))))</f>
        <v>.96</v>
      </c>
      <c r="CC293" s="76" t="str">
        <f>IF(S293="Local Endemic",".50",IF(S293="Regional Endemic",".70",IF(S293="Cascadia",".90",IF(S293="Rocky Mountain",".95",IF(S293="North America",".99")))))</f>
        <v>.95</v>
      </c>
      <c r="CD293" s="4"/>
      <c r="CE293" s="21">
        <f>IF(W293&gt;3,3,W293)</f>
        <v>3</v>
      </c>
      <c r="CF293" s="21">
        <f>IF(AC293&gt;102,102,AC293)</f>
        <v>49</v>
      </c>
      <c r="CG293" s="34">
        <f ca="1">IF(AI293&lt;$AW$4,$AW$4,AI293)</f>
        <v>2019</v>
      </c>
      <c r="CH293" s="34">
        <f ca="1">IF(AJ293&lt;$AW$4,$AW$4,AJ293)</f>
        <v>2019</v>
      </c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</row>
    <row r="294" spans="1:116" s="13" customFormat="1" ht="15" customHeight="1" x14ac:dyDescent="0.3">
      <c r="A294" s="235"/>
      <c r="B294" s="218"/>
      <c r="C294" s="225">
        <v>8</v>
      </c>
      <c r="D294" s="59" t="s">
        <v>1154</v>
      </c>
      <c r="E294" s="59" t="s">
        <v>2501</v>
      </c>
      <c r="F294" s="397" t="str">
        <f ca="1">IF(BC294&lt;2025, "Extinct&lt; 6Yrs?",BA294)</f>
        <v>Widespread</v>
      </c>
      <c r="G294" s="363" t="s">
        <v>525</v>
      </c>
      <c r="H294" s="363" t="s">
        <v>688</v>
      </c>
      <c r="I294" s="366" t="s">
        <v>498</v>
      </c>
      <c r="J294" s="365" t="s">
        <v>3331</v>
      </c>
      <c r="K294" s="365" t="s">
        <v>503</v>
      </c>
      <c r="L294" s="10" t="s">
        <v>2013</v>
      </c>
      <c r="M294" s="8" t="s">
        <v>4373</v>
      </c>
      <c r="N294" s="8" t="s">
        <v>5267</v>
      </c>
      <c r="O294" s="8" t="s">
        <v>6164</v>
      </c>
      <c r="P294" s="9" t="s">
        <v>741</v>
      </c>
      <c r="Q294" s="59" t="s">
        <v>2552</v>
      </c>
      <c r="R294" s="160" t="s">
        <v>2497</v>
      </c>
      <c r="S294" s="17" t="s">
        <v>2495</v>
      </c>
      <c r="T294" s="123" t="str">
        <f>IF(R294="Bogs Ponds Streams","20",IF(R294="Coastal Areas","26",IF(R294="Meadows Dry Open","10",IF(R294="Forest &amp; Understory","14",IF(R294="Moist Open","12",IF(R294="Moist Shady","10",IF(R294="Sub-Alpine Slopes","0")))))))</f>
        <v>12</v>
      </c>
      <c r="U294" s="123" t="str">
        <f>IF(R294="Bogs Ponds Streams","52",IF(R294="Coastal Areas","51",IF(R294="Meadows Dry Open","53",IF(R294="Forest &amp; Understory","52",IF(R294="Moist Open","50",IF(R294="Moist Shady","46",IF(R294="Sub-Alpine Slopes","40")))))))</f>
        <v>50</v>
      </c>
      <c r="V294" s="123" t="str">
        <f>IF(R294="Bogs Ponds Streams","84",IF(R294="Coastal Areas","76",IF(R294="Meadows Dry Open","96", IF(R294="Forest &amp; Understory","90", IF(R294="Moist Open","88", IF(R294="Moist Shady","82", IF(R294="Sub-Alpine Slopes","80")))))))</f>
        <v>88</v>
      </c>
      <c r="W294" s="59">
        <v>20</v>
      </c>
      <c r="X294" s="59">
        <v>0</v>
      </c>
      <c r="Y294" s="59">
        <v>3500</v>
      </c>
      <c r="Z294" s="59" t="s">
        <v>2519</v>
      </c>
      <c r="AA294" s="59" t="s">
        <v>2518</v>
      </c>
      <c r="AB294" s="59">
        <v>6.8</v>
      </c>
      <c r="AC294" s="45">
        <f>C294+AK294+(0.1)*AL294</f>
        <v>20.8</v>
      </c>
      <c r="AD294" s="77">
        <v>48</v>
      </c>
      <c r="AE294" s="59">
        <v>5</v>
      </c>
      <c r="AF294" s="59">
        <v>5</v>
      </c>
      <c r="AG294" s="59">
        <v>1900</v>
      </c>
      <c r="AH294" s="77">
        <v>0</v>
      </c>
      <c r="AI294" s="59">
        <f ca="1">AJ294</f>
        <v>2019</v>
      </c>
      <c r="AJ294" s="18">
        <f ca="1">YEAR(TODAY())</f>
        <v>2019</v>
      </c>
      <c r="AK294" s="18">
        <v>12</v>
      </c>
      <c r="AL294" s="18">
        <v>8</v>
      </c>
      <c r="AM294" s="18">
        <v>1</v>
      </c>
      <c r="AN294" s="18">
        <v>1</v>
      </c>
      <c r="AO294" s="18">
        <v>5</v>
      </c>
      <c r="AP294" s="18">
        <v>1</v>
      </c>
      <c r="AQ294" s="18">
        <v>0</v>
      </c>
      <c r="AR294" s="18">
        <v>0</v>
      </c>
      <c r="AS294" s="18">
        <v>0</v>
      </c>
      <c r="AT294" s="18">
        <v>0</v>
      </c>
      <c r="AU294" s="18">
        <v>0</v>
      </c>
      <c r="AV294" s="18">
        <v>0</v>
      </c>
      <c r="AW294" s="18">
        <v>0</v>
      </c>
      <c r="AX294" s="18">
        <v>0</v>
      </c>
      <c r="AY294" s="233"/>
      <c r="AZ294" s="4"/>
      <c r="BA294" s="35" t="str">
        <f>IF(OR(S294="North America",S294="Rocky Mountain"), "Widespread",BC294)</f>
        <v>Widespread</v>
      </c>
      <c r="BB294" s="4"/>
      <c r="BC294" s="35" t="str">
        <f ca="1">IF(BE294&gt;2046, "Abundant",BE294)</f>
        <v>Abundant</v>
      </c>
      <c r="BD294" s="4"/>
      <c r="BE294" s="81">
        <f ca="1">YEAR($C$13)+(BG294*80)</f>
        <v>2104.8824042780748</v>
      </c>
      <c r="BF294" s="4"/>
      <c r="BG294" s="137">
        <f ca="1">BH294*$BH$14</f>
        <v>1.073530053475936</v>
      </c>
      <c r="BH294" s="137">
        <f ca="1">(((BJ294+BK294+BM294+BN294)/4)*$BM$11)+(((BP294+BQ294)/2)*$BQ$11)+(((BU294+BV294+BW294)/3)*$BU$11)+(((BY294+BZ294+CA294+CB294+CC294)/5)*$CA$11)</f>
        <v>1.073530053475936</v>
      </c>
      <c r="BI294" s="4"/>
      <c r="BJ294" s="33">
        <f>AP294/(AM294+AO294)</f>
        <v>0.16666666666666666</v>
      </c>
      <c r="BK294" s="33">
        <f>(AN294+AO294)/(AM294+AO294)</f>
        <v>1</v>
      </c>
      <c r="BL294" s="4"/>
      <c r="BM294" s="127">
        <f>CF294/102</f>
        <v>0.20392156862745098</v>
      </c>
      <c r="BN294" s="127">
        <f>C294/2</f>
        <v>4</v>
      </c>
      <c r="BO294" s="4"/>
      <c r="BP294" s="127">
        <f>(AK294)/($AW$6)</f>
        <v>0.12121212121212122</v>
      </c>
      <c r="BQ294" s="127">
        <f ca="1">(CH294-$AW$4)/((YEAR($C$13))-$AW$4)</f>
        <v>1</v>
      </c>
      <c r="BR294" s="127">
        <f>(AL294)/($AW$6)</f>
        <v>8.0808080808080815E-2</v>
      </c>
      <c r="BS294" s="4"/>
      <c r="BT294" s="127"/>
      <c r="BU294" s="127">
        <f ca="1">(CG294-$AW$4)/((YEAR($C$13))-$AW$4)</f>
        <v>1</v>
      </c>
      <c r="BV294" s="127">
        <f>AE294/5</f>
        <v>1</v>
      </c>
      <c r="BW294" s="127">
        <f>AF294/5</f>
        <v>1</v>
      </c>
      <c r="BX294" s="4"/>
      <c r="BY294" s="148" t="str">
        <f>IF(E294="A",".98",IF(E294="B",".99",IF(E294="C","1.00",IF(E294="D","1.00" ))))</f>
        <v>1.00</v>
      </c>
      <c r="BZ294" s="127">
        <f>(CE294+7)/10</f>
        <v>1</v>
      </c>
      <c r="CA294" s="76" t="str">
        <f>IF(D294="Fern",".97",IF(D294="Grass",".99",IF(D294="Herb",".97",IF(D294="Shrub",".99",IF(D294="Tree","1.00",IF(D294="Vine",".98"))))))</f>
        <v>.97</v>
      </c>
      <c r="CB294" s="149" t="str">
        <f>IF(R294="Bogs Ponds Streams",".96", IF(R294="Coastal Areas",".97",IF(R294="Meadows Dry Open",".96",IF(R294="Forest &amp; Understory",".97",IF(R294="Moist Open",".98",IF(R294="Moist Shady",".96",IF(R294="Sub-Alpine","1.0")))))))</f>
        <v>.98</v>
      </c>
      <c r="CC294" s="76" t="str">
        <f>IF(S294="Local Endemic",".50",IF(S294="Regional Endemic",".70",IF(S294="Cascadia",".90",IF(S294="Rocky Mountain",".95",IF(S294="North America",".99")))))</f>
        <v>.99</v>
      </c>
      <c r="CD294" s="4"/>
      <c r="CE294" s="21">
        <f>IF(W294&gt;3,3,W294)</f>
        <v>3</v>
      </c>
      <c r="CF294" s="21">
        <f>IF(AC294&gt;102,102,AC294)</f>
        <v>20.8</v>
      </c>
      <c r="CG294" s="34">
        <f ca="1">IF(AI294&lt;$AW$4,$AW$4,AI294)</f>
        <v>2019</v>
      </c>
      <c r="CH294" s="34">
        <f ca="1">IF(AJ294&lt;$AW$4,$AW$4,AJ294)</f>
        <v>2019</v>
      </c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</row>
    <row r="295" spans="1:116" s="13" customFormat="1" ht="15" customHeight="1" x14ac:dyDescent="0.3">
      <c r="A295" s="235"/>
      <c r="B295" s="218"/>
      <c r="C295" s="375">
        <v>1</v>
      </c>
      <c r="D295" s="67" t="s">
        <v>2505</v>
      </c>
      <c r="E295" s="67" t="s">
        <v>2501</v>
      </c>
      <c r="F295" s="403" t="str">
        <f ca="1">IF(BC295&lt;2025, "Extinct&lt; 6Yrs?",BA295)</f>
        <v>Widespread</v>
      </c>
      <c r="G295" s="376" t="s">
        <v>525</v>
      </c>
      <c r="H295" s="376" t="s">
        <v>4028</v>
      </c>
      <c r="I295" s="380" t="s">
        <v>402</v>
      </c>
      <c r="J295" s="378" t="s">
        <v>947</v>
      </c>
      <c r="K295" s="378" t="s">
        <v>947</v>
      </c>
      <c r="L295" s="63" t="s">
        <v>2012</v>
      </c>
      <c r="M295" s="64" t="s">
        <v>4374</v>
      </c>
      <c r="N295" s="64" t="s">
        <v>5268</v>
      </c>
      <c r="O295" s="64" t="s">
        <v>6165</v>
      </c>
      <c r="P295" s="61" t="s">
        <v>403</v>
      </c>
      <c r="Q295" s="67" t="s">
        <v>2552</v>
      </c>
      <c r="R295" s="61" t="s">
        <v>2498</v>
      </c>
      <c r="S295" s="61" t="s">
        <v>2495</v>
      </c>
      <c r="T295" s="134" t="str">
        <f>IF(R295="Bogs Ponds Streams","20",IF(R295="Coastal Areas","26",IF(R295="Meadows Dry Open","10",IF(R295="Forest &amp; Understory","14",IF(R295="Moist Open","12",IF(R295="Moist Shady","10",IF(R295="Sub-Alpine Slopes","0")))))))</f>
        <v>10</v>
      </c>
      <c r="U295" s="134" t="str">
        <f>IF(R295="Bogs Ponds Streams","52",IF(R295="Coastal Areas","51",IF(R295="Meadows Dry Open","53",IF(R295="Forest &amp; Understory","52",IF(R295="Moist Open","50",IF(R295="Moist Shady","46",IF(R295="Sub-Alpine Slopes","40")))))))</f>
        <v>46</v>
      </c>
      <c r="V295" s="134" t="str">
        <f>IF(R295="Bogs Ponds Streams","84",IF(R295="Coastal Areas","76",IF(R295="Meadows Dry Open","96", IF(R295="Forest &amp; Understory","90", IF(R295="Moist Open","88", IF(R295="Moist Shady","82", IF(R295="Sub-Alpine Slopes","80")))))))</f>
        <v>82</v>
      </c>
      <c r="W295" s="67">
        <v>20</v>
      </c>
      <c r="X295" s="67">
        <v>0</v>
      </c>
      <c r="Y295" s="67">
        <v>3500</v>
      </c>
      <c r="Z295" s="67" t="s">
        <v>2519</v>
      </c>
      <c r="AA295" s="67" t="s">
        <v>2518</v>
      </c>
      <c r="AB295" s="67">
        <v>6.8</v>
      </c>
      <c r="AC295" s="85">
        <f>C295+AK295+(0.1)*AL295</f>
        <v>31.3</v>
      </c>
      <c r="AD295" s="78">
        <v>43</v>
      </c>
      <c r="AE295" s="67">
        <v>5</v>
      </c>
      <c r="AF295" s="67">
        <v>5</v>
      </c>
      <c r="AG295" s="67">
        <v>1900</v>
      </c>
      <c r="AH295" s="78">
        <v>0</v>
      </c>
      <c r="AI295" s="67">
        <f>AJ295</f>
        <v>2006</v>
      </c>
      <c r="AJ295" s="69">
        <v>2006</v>
      </c>
      <c r="AK295" s="69">
        <v>30</v>
      </c>
      <c r="AL295" s="69">
        <v>3</v>
      </c>
      <c r="AM295" s="70">
        <v>5</v>
      </c>
      <c r="AN295" s="70">
        <v>0</v>
      </c>
      <c r="AO295" s="86">
        <v>0</v>
      </c>
      <c r="AP295" s="70">
        <v>0</v>
      </c>
      <c r="AQ295" s="70">
        <v>0</v>
      </c>
      <c r="AR295" s="70">
        <v>0</v>
      </c>
      <c r="AS295" s="86">
        <v>0</v>
      </c>
      <c r="AT295" s="70">
        <v>0</v>
      </c>
      <c r="AU295" s="70">
        <v>0</v>
      </c>
      <c r="AV295" s="70">
        <v>0</v>
      </c>
      <c r="AW295" s="86">
        <v>0</v>
      </c>
      <c r="AX295" s="70">
        <v>0</v>
      </c>
      <c r="AY295" s="233"/>
      <c r="AZ295" s="4"/>
      <c r="BA295" s="35" t="str">
        <f>IF(OR(S295="North America",S295="Rocky Mountain"), "Widespread",BC295)</f>
        <v>Widespread</v>
      </c>
      <c r="BB295" s="4"/>
      <c r="BC295" s="35">
        <f ca="1">IF(BE295&gt;2046, "Abundant",BE295)</f>
        <v>2040.0442276886513</v>
      </c>
      <c r="BD295" s="4"/>
      <c r="BE295" s="81">
        <f ca="1">YEAR($C$13)+(BG295*80)</f>
        <v>2040.0442276886513</v>
      </c>
      <c r="BF295" s="4"/>
      <c r="BG295" s="137">
        <f ca="1">BH295*$BH$14</f>
        <v>0.26305284610814023</v>
      </c>
      <c r="BH295" s="137">
        <f ca="1">(((BJ295+BK295+BM295+BN295)/4)*$BM$11)+(((BP295+BQ295)/2)*$BQ$11)+(((BU295+BV295+BW295)/3)*$BU$11)+(((BY295+BZ295+CA295+CB295+CC295)/5)*$CA$11)</f>
        <v>0.26305284610814023</v>
      </c>
      <c r="BI295" s="4"/>
      <c r="BJ295" s="33">
        <f>AP295/(AM295+AO295)</f>
        <v>0</v>
      </c>
      <c r="BK295" s="33">
        <f>(AN295+AO295)/(AM295+AO295)</f>
        <v>0</v>
      </c>
      <c r="BL295" s="4"/>
      <c r="BM295" s="127">
        <f>CF295/102</f>
        <v>0.30686274509803924</v>
      </c>
      <c r="BN295" s="127">
        <f>C295/2</f>
        <v>0.5</v>
      </c>
      <c r="BO295" s="4"/>
      <c r="BP295" s="127">
        <f>(AK295)/($AW$6)</f>
        <v>0.30303030303030304</v>
      </c>
      <c r="BQ295" s="127">
        <f ca="1">(CH295-$AW$4)/((YEAR($C$13))-$AW$4)</f>
        <v>0.13333333333333333</v>
      </c>
      <c r="BR295" s="127">
        <f>(AL295)/($AW$6)</f>
        <v>3.0303030303030304E-2</v>
      </c>
      <c r="BS295" s="4"/>
      <c r="BT295" s="127"/>
      <c r="BU295" s="127">
        <f ca="1">(CG295-$AW$4)/((YEAR($C$13))-$AW$4)</f>
        <v>0.13333333333333333</v>
      </c>
      <c r="BV295" s="127">
        <f>AE295/5</f>
        <v>1</v>
      </c>
      <c r="BW295" s="127">
        <f>AF295/5</f>
        <v>1</v>
      </c>
      <c r="BX295" s="4"/>
      <c r="BY295" s="148" t="str">
        <f>IF(E295="A",".98",IF(E295="B",".99",IF(E295="C","1.00",IF(E295="D","1.00" ))))</f>
        <v>1.00</v>
      </c>
      <c r="BZ295" s="127">
        <f>(CE295+7)/10</f>
        <v>1</v>
      </c>
      <c r="CA295" s="76" t="str">
        <f>IF(D295="Fern",".97",IF(D295="Grass",".99",IF(D295="Herb",".97",IF(D295="Shrub",".99",IF(D295="Tree","1.00",IF(D295="Vine",".98"))))))</f>
        <v>.97</v>
      </c>
      <c r="CB295" s="149" t="str">
        <f>IF(R295="Bogs Ponds Streams",".96", IF(R295="Coastal Areas",".97",IF(R295="Meadows Dry Open",".96",IF(R295="Forest &amp; Understory",".97",IF(R295="Moist Open",".98",IF(R295="Moist Shady",".96",IF(R295="Sub-Alpine","1.0")))))))</f>
        <v>.96</v>
      </c>
      <c r="CC295" s="76" t="str">
        <f>IF(S295="Local Endemic",".50",IF(S295="Regional Endemic",".70",IF(S295="Cascadia",".90",IF(S295="Rocky Mountain",".95",IF(S295="North America",".99")))))</f>
        <v>.99</v>
      </c>
      <c r="CD295" s="4"/>
      <c r="CE295" s="21">
        <f>IF(W295&gt;3,3,W295)</f>
        <v>3</v>
      </c>
      <c r="CF295" s="21">
        <f>IF(AC295&gt;102,102,AC295)</f>
        <v>31.3</v>
      </c>
      <c r="CG295" s="34">
        <f>IF(AI295&lt;$AW$4,$AW$4,AI295)</f>
        <v>2006</v>
      </c>
      <c r="CH295" s="34">
        <f>IF(AJ295&lt;$AW$4,$AW$4,AJ295)</f>
        <v>2006</v>
      </c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12"/>
    </row>
    <row r="296" spans="1:116" s="13" customFormat="1" ht="15" customHeight="1" x14ac:dyDescent="0.3">
      <c r="A296" s="235"/>
      <c r="B296" s="218"/>
      <c r="C296" s="225">
        <v>9</v>
      </c>
      <c r="D296" s="59" t="s">
        <v>2505</v>
      </c>
      <c r="E296" s="59" t="s">
        <v>2501</v>
      </c>
      <c r="F296" s="397" t="str">
        <f ca="1">IF(BC296&lt;2025, "Extinct&lt; 6Yrs?",BA296)</f>
        <v>Abundant</v>
      </c>
      <c r="G296" s="363" t="s">
        <v>525</v>
      </c>
      <c r="H296" s="363" t="s">
        <v>679</v>
      </c>
      <c r="I296" s="365" t="s">
        <v>1250</v>
      </c>
      <c r="J296" s="365" t="s">
        <v>3330</v>
      </c>
      <c r="K296" s="365" t="s">
        <v>2093</v>
      </c>
      <c r="L296" s="17" t="s">
        <v>1399</v>
      </c>
      <c r="M296" s="8" t="s">
        <v>4375</v>
      </c>
      <c r="N296" s="8" t="s">
        <v>5269</v>
      </c>
      <c r="O296" s="8" t="s">
        <v>6166</v>
      </c>
      <c r="P296" s="9" t="s">
        <v>51</v>
      </c>
      <c r="Q296" s="59" t="s">
        <v>2552</v>
      </c>
      <c r="R296" s="9" t="s">
        <v>2500</v>
      </c>
      <c r="S296" s="17" t="s">
        <v>2316</v>
      </c>
      <c r="T296" s="123" t="str">
        <f>IF(R296="Bogs Ponds Streams","20",IF(R296="Coastal Areas","26",IF(R296="Meadows Dry Open","10",IF(R296="Forest &amp; Understory","14",IF(R296="Moist Open","12",IF(R296="Moist Shady","10",IF(R296="Sub-Alpine Slopes","0")))))))</f>
        <v>10</v>
      </c>
      <c r="U296" s="123" t="str">
        <f>IF(R296="Bogs Ponds Streams","52",IF(R296="Coastal Areas","51",IF(R296="Meadows Dry Open","53",IF(R296="Forest &amp; Understory","52",IF(R296="Moist Open","50",IF(R296="Moist Shady","46",IF(R296="Sub-Alpine Slopes","40")))))))</f>
        <v>53</v>
      </c>
      <c r="V296" s="123" t="str">
        <f>IF(R296="Bogs Ponds Streams","84",IF(R296="Coastal Areas","76",IF(R296="Meadows Dry Open","96", IF(R296="Forest &amp; Understory","90", IF(R296="Moist Open","88", IF(R296="Moist Shady","82", IF(R296="Sub-Alpine Slopes","80")))))))</f>
        <v>96</v>
      </c>
      <c r="W296" s="59">
        <v>20</v>
      </c>
      <c r="X296" s="59">
        <v>0</v>
      </c>
      <c r="Y296" s="59">
        <v>3500</v>
      </c>
      <c r="Z296" s="59" t="s">
        <v>2519</v>
      </c>
      <c r="AA296" s="59" t="s">
        <v>2518</v>
      </c>
      <c r="AB296" s="59">
        <v>6.8</v>
      </c>
      <c r="AC296" s="45">
        <f>C296+AK296+(0.1)*AL296</f>
        <v>21.1</v>
      </c>
      <c r="AD296" s="77">
        <v>0</v>
      </c>
      <c r="AE296" s="59">
        <v>5</v>
      </c>
      <c r="AF296" s="59">
        <v>5</v>
      </c>
      <c r="AG296" s="59">
        <v>1900</v>
      </c>
      <c r="AH296" s="77">
        <v>0</v>
      </c>
      <c r="AI296" s="59">
        <f>AJ296</f>
        <v>2004</v>
      </c>
      <c r="AJ296" s="18">
        <v>2004</v>
      </c>
      <c r="AK296" s="18">
        <v>11</v>
      </c>
      <c r="AL296" s="18">
        <v>11</v>
      </c>
      <c r="AM296" s="24">
        <v>5</v>
      </c>
      <c r="AN296" s="24">
        <v>0</v>
      </c>
      <c r="AO296" s="25">
        <v>0</v>
      </c>
      <c r="AP296" s="24">
        <v>0</v>
      </c>
      <c r="AQ296" s="24">
        <v>0</v>
      </c>
      <c r="AR296" s="24">
        <v>0</v>
      </c>
      <c r="AS296" s="25">
        <v>0</v>
      </c>
      <c r="AT296" s="24">
        <v>0</v>
      </c>
      <c r="AU296" s="24">
        <v>0</v>
      </c>
      <c r="AV296" s="24">
        <v>0</v>
      </c>
      <c r="AW296" s="25">
        <v>0</v>
      </c>
      <c r="AX296" s="24">
        <v>0</v>
      </c>
      <c r="AY296" s="233"/>
      <c r="AZ296" s="4"/>
      <c r="BA296" s="35" t="str">
        <f ca="1">IF(OR(S296="North America",S296="Rocky Mountain"), "Widespread",BC296)</f>
        <v>Abundant</v>
      </c>
      <c r="BB296" s="4"/>
      <c r="BC296" s="35" t="str">
        <f ca="1">IF(BE296&gt;2046, "Abundant",BE296)</f>
        <v>Abundant</v>
      </c>
      <c r="BD296" s="4"/>
      <c r="BE296" s="81">
        <f ca="1">YEAR($C$13)+(BG296*80)</f>
        <v>2082.4999529411766</v>
      </c>
      <c r="BF296" s="4"/>
      <c r="BG296" s="137">
        <f ca="1">BH296*$BH$14</f>
        <v>0.79374941176470593</v>
      </c>
      <c r="BH296" s="137">
        <f ca="1">(((BJ296+BK296+BM296+BN296)/4)*$BM$11)+(((BP296+BQ296)/2)*$BQ$11)+(((BU296+BV296+BW296)/3)*$BU$11)+(((BY296+BZ296+CA296+CB296+CC296)/5)*$CA$11)</f>
        <v>0.79374941176470593</v>
      </c>
      <c r="BI296" s="4"/>
      <c r="BJ296" s="33">
        <f>AP296/(AM296+AO296)</f>
        <v>0</v>
      </c>
      <c r="BK296" s="33">
        <f>(AN296+AO296)/(AM296+AO296)</f>
        <v>0</v>
      </c>
      <c r="BL296" s="4"/>
      <c r="BM296" s="127">
        <f>CF296/102</f>
        <v>0.20686274509803923</v>
      </c>
      <c r="BN296" s="127">
        <f>C296/2</f>
        <v>4.5</v>
      </c>
      <c r="BO296" s="4"/>
      <c r="BP296" s="127">
        <f>(AK296)/($AW$6)</f>
        <v>0.1111111111111111</v>
      </c>
      <c r="BQ296" s="127">
        <f ca="1">(CH296-$AW$4)/((YEAR($C$13))-$AW$4)</f>
        <v>0</v>
      </c>
      <c r="BR296" s="127">
        <f>(AL296)/($AW$6)</f>
        <v>0.1111111111111111</v>
      </c>
      <c r="BS296" s="4"/>
      <c r="BT296" s="127"/>
      <c r="BU296" s="127">
        <f ca="1">(CG296-$AW$4)/((YEAR($C$13))-$AW$4)</f>
        <v>0</v>
      </c>
      <c r="BV296" s="127">
        <f>AE296/5</f>
        <v>1</v>
      </c>
      <c r="BW296" s="127">
        <f>AF296/5</f>
        <v>1</v>
      </c>
      <c r="BX296" s="4"/>
      <c r="BY296" s="148" t="str">
        <f>IF(E296="A",".98",IF(E296="B",".99",IF(E296="C","1.00",IF(E296="D","1.00" ))))</f>
        <v>1.00</v>
      </c>
      <c r="BZ296" s="127">
        <f>(CE296+7)/10</f>
        <v>1</v>
      </c>
      <c r="CA296" s="76" t="str">
        <f>IF(D296="Fern",".97",IF(D296="Grass",".99",IF(D296="Herb",".97",IF(D296="Shrub",".99",IF(D296="Tree","1.00",IF(D296="Vine",".98"))))))</f>
        <v>.97</v>
      </c>
      <c r="CB296" s="149" t="str">
        <f>IF(R296="Bogs Ponds Streams",".96", IF(R296="Coastal Areas",".97",IF(R296="Meadows Dry Open",".96",IF(R296="Forest &amp; Understory",".97",IF(R296="Moist Open",".98",IF(R296="Moist Shady",".96",IF(R296="Sub-Alpine","1.0")))))))</f>
        <v>.96</v>
      </c>
      <c r="CC296" s="76" t="str">
        <f>IF(S296="Local Endemic",".50",IF(S296="Regional Endemic",".70",IF(S296="Cascadia",".90",IF(S296="Rocky Mountain",".95",IF(S296="North America",".99")))))</f>
        <v>.50</v>
      </c>
      <c r="CD296" s="4"/>
      <c r="CE296" s="21">
        <f>IF(W296&gt;3,3,W296)</f>
        <v>3</v>
      </c>
      <c r="CF296" s="21">
        <f>IF(AC296&gt;102,102,AC296)</f>
        <v>21.1</v>
      </c>
      <c r="CG296" s="34">
        <f>IF(AI296&lt;$AW$4,$AW$4,AI296)</f>
        <v>2004</v>
      </c>
      <c r="CH296" s="34">
        <f>IF(AJ296&lt;$AW$4,$AW$4,AJ296)</f>
        <v>2004</v>
      </c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</row>
    <row r="297" spans="1:116" s="13" customFormat="1" ht="15" customHeight="1" x14ac:dyDescent="0.3">
      <c r="A297" s="235"/>
      <c r="B297" s="218"/>
      <c r="C297" s="226">
        <v>2</v>
      </c>
      <c r="D297" s="119" t="s">
        <v>1155</v>
      </c>
      <c r="E297" s="104" t="s">
        <v>2501</v>
      </c>
      <c r="F297" s="400" t="str">
        <f ca="1">IF(BC297&lt;2025, "Extinct&lt; 6Yrs?",BA297)</f>
        <v>Widespread</v>
      </c>
      <c r="G297" s="369" t="s">
        <v>525</v>
      </c>
      <c r="H297" s="369" t="s">
        <v>4028</v>
      </c>
      <c r="I297" s="370" t="s">
        <v>126</v>
      </c>
      <c r="J297" s="371" t="s">
        <v>3789</v>
      </c>
      <c r="K297" s="371" t="s">
        <v>948</v>
      </c>
      <c r="L297" s="106" t="s">
        <v>1400</v>
      </c>
      <c r="M297" s="111" t="s">
        <v>4376</v>
      </c>
      <c r="N297" s="111" t="s">
        <v>5270</v>
      </c>
      <c r="O297" s="111" t="s">
        <v>6167</v>
      </c>
      <c r="P297" s="105" t="s">
        <v>403</v>
      </c>
      <c r="Q297" s="104" t="s">
        <v>2552</v>
      </c>
      <c r="R297" s="105" t="s">
        <v>2499</v>
      </c>
      <c r="S297" s="105" t="s">
        <v>2495</v>
      </c>
      <c r="T297" s="133" t="str">
        <f>IF(R297="Bogs Ponds Streams","20",IF(R297="Coastal Areas","26",IF(R297="Meadows Dry Open","10",IF(R297="Forest &amp; Understory","14",IF(R297="Moist Open","12",IF(R297="Moist Shady","10",IF(R297="Sub-Alpine Slopes","0")))))))</f>
        <v>20</v>
      </c>
      <c r="U297" s="133" t="str">
        <f>IF(R297="Bogs Ponds Streams","52",IF(R297="Coastal Areas","51",IF(R297="Meadows Dry Open","53",IF(R297="Forest &amp; Understory","52",IF(R297="Moist Open","50",IF(R297="Moist Shady","46",IF(R297="Sub-Alpine Slopes","40")))))))</f>
        <v>52</v>
      </c>
      <c r="V297" s="133" t="str">
        <f>IF(R297="Bogs Ponds Streams","84",IF(R297="Coastal Areas","76",IF(R297="Meadows Dry Open","96", IF(R297="Forest &amp; Understory","90", IF(R297="Moist Open","88", IF(R297="Moist Shady","82", IF(R297="Sub-Alpine Slopes","80")))))))</f>
        <v>84</v>
      </c>
      <c r="W297" s="104">
        <v>20</v>
      </c>
      <c r="X297" s="104">
        <v>0</v>
      </c>
      <c r="Y297" s="104">
        <v>3500</v>
      </c>
      <c r="Z297" s="104" t="s">
        <v>2519</v>
      </c>
      <c r="AA297" s="104" t="s">
        <v>2518</v>
      </c>
      <c r="AB297" s="104">
        <v>6.8</v>
      </c>
      <c r="AC297" s="107">
        <f>C297+AK297+(0.1)*AL297</f>
        <v>18.399999999999999</v>
      </c>
      <c r="AD297" s="113">
        <v>42</v>
      </c>
      <c r="AE297" s="104">
        <v>5</v>
      </c>
      <c r="AF297" s="104">
        <v>5</v>
      </c>
      <c r="AG297" s="104">
        <v>1900</v>
      </c>
      <c r="AH297" s="113">
        <v>0</v>
      </c>
      <c r="AI297" s="104">
        <f>AJ297</f>
        <v>2004</v>
      </c>
      <c r="AJ297" s="108">
        <v>2004</v>
      </c>
      <c r="AK297" s="108">
        <v>16</v>
      </c>
      <c r="AL297" s="108">
        <v>4</v>
      </c>
      <c r="AM297" s="109">
        <v>5</v>
      </c>
      <c r="AN297" s="109">
        <v>1</v>
      </c>
      <c r="AO297" s="110">
        <v>0</v>
      </c>
      <c r="AP297" s="109">
        <v>0</v>
      </c>
      <c r="AQ297" s="109">
        <v>0</v>
      </c>
      <c r="AR297" s="109">
        <v>0</v>
      </c>
      <c r="AS297" s="110">
        <v>0</v>
      </c>
      <c r="AT297" s="109">
        <v>0</v>
      </c>
      <c r="AU297" s="109">
        <v>0</v>
      </c>
      <c r="AV297" s="109">
        <v>0</v>
      </c>
      <c r="AW297" s="110">
        <v>0</v>
      </c>
      <c r="AX297" s="109">
        <v>0</v>
      </c>
      <c r="AY297" s="233"/>
      <c r="AZ297" s="4"/>
      <c r="BA297" s="35" t="str">
        <f>IF(OR(S297="North America",S297="Rocky Mountain"), "Widespread",BC297)</f>
        <v>Widespread</v>
      </c>
      <c r="BB297" s="4"/>
      <c r="BC297" s="35">
        <f ca="1">IF(BE297&gt;2046, "Abundant",BE297)</f>
        <v>2043.3515664884135</v>
      </c>
      <c r="BD297" s="4"/>
      <c r="BE297" s="81">
        <f ca="1">YEAR($C$13)+(BG297*80)</f>
        <v>2043.3515664884135</v>
      </c>
      <c r="BF297" s="4"/>
      <c r="BG297" s="137">
        <f ca="1">BH297*$BH$14</f>
        <v>0.30439458110516932</v>
      </c>
      <c r="BH297" s="137">
        <f ca="1">(((BJ297+BK297+BM297+BN297)/4)*$BM$11)+(((BP297+BQ297)/2)*$BQ$11)+(((BU297+BV297+BW297)/3)*$BU$11)+(((BY297+BZ297+CA297+CB297+CC297)/5)*$CA$11)</f>
        <v>0.30439458110516932</v>
      </c>
      <c r="BI297" s="4"/>
      <c r="BJ297" s="33">
        <f>AP297/(AM297+AO297)</f>
        <v>0</v>
      </c>
      <c r="BK297" s="33">
        <f>(AN297+AO297)/(AM297+AO297)</f>
        <v>0.2</v>
      </c>
      <c r="BL297" s="4"/>
      <c r="BM297" s="127">
        <f>CF297/102</f>
        <v>0.1803921568627451</v>
      </c>
      <c r="BN297" s="127">
        <f>C297/2</f>
        <v>1</v>
      </c>
      <c r="BO297" s="4"/>
      <c r="BP297" s="127">
        <f>(AK297)/($AW$6)</f>
        <v>0.16161616161616163</v>
      </c>
      <c r="BQ297" s="127">
        <f ca="1">(CH297-$AW$4)/((YEAR($C$13))-$AW$4)</f>
        <v>0</v>
      </c>
      <c r="BR297" s="127">
        <f>(AL297)/($AW$6)</f>
        <v>4.0404040404040407E-2</v>
      </c>
      <c r="BS297" s="4"/>
      <c r="BT297" s="127"/>
      <c r="BU297" s="127">
        <f ca="1">(CG297-$AW$4)/((YEAR($C$13))-$AW$4)</f>
        <v>0</v>
      </c>
      <c r="BV297" s="127">
        <f>AE297/5</f>
        <v>1</v>
      </c>
      <c r="BW297" s="127">
        <f>AF297/5</f>
        <v>1</v>
      </c>
      <c r="BX297" s="4"/>
      <c r="BY297" s="148" t="str">
        <f>IF(E297="A",".98",IF(E297="B",".99",IF(E297="C","1.00",IF(E297="D","1.00" ))))</f>
        <v>1.00</v>
      </c>
      <c r="BZ297" s="127">
        <f>(CE297+7)/10</f>
        <v>1</v>
      </c>
      <c r="CA297" s="76" t="str">
        <f>IF(D297="Fern",".97",IF(D297="Grass",".99",IF(D297="Herb",".97",IF(D297="Shrub",".99",IF(D297="Tree","1.00",IF(D297="Vine",".98"))))))</f>
        <v>.99</v>
      </c>
      <c r="CB297" s="149" t="str">
        <f>IF(R297="Bogs Ponds Streams",".96", IF(R297="Coastal Areas",".97",IF(R297="Meadows Dry Open",".96",IF(R297="Forest &amp; Understory",".97",IF(R297="Moist Open",".98",IF(R297="Moist Shady",".96",IF(R297="Sub-Alpine","1.0")))))))</f>
        <v>.96</v>
      </c>
      <c r="CC297" s="76" t="str">
        <f>IF(S297="Local Endemic",".50",IF(S297="Regional Endemic",".70",IF(S297="Cascadia",".90",IF(S297="Rocky Mountain",".95",IF(S297="North America",".99")))))</f>
        <v>.99</v>
      </c>
      <c r="CD297" s="4"/>
      <c r="CE297" s="21">
        <f>IF(W297&gt;3,3,W297)</f>
        <v>3</v>
      </c>
      <c r="CF297" s="21">
        <f>IF(AC297&gt;102,102,AC297)</f>
        <v>18.399999999999999</v>
      </c>
      <c r="CG297" s="34">
        <f>IF(AI297&lt;$AW$4,$AW$4,AI297)</f>
        <v>2004</v>
      </c>
      <c r="CH297" s="34">
        <f>IF(AJ297&lt;$AW$4,$AW$4,AJ297)</f>
        <v>2004</v>
      </c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</row>
    <row r="298" spans="1:116" s="13" customFormat="1" ht="15" customHeight="1" x14ac:dyDescent="0.3">
      <c r="A298" s="235"/>
      <c r="B298" s="218"/>
      <c r="C298" s="375">
        <v>1</v>
      </c>
      <c r="D298" s="67" t="s">
        <v>2505</v>
      </c>
      <c r="E298" s="67" t="s">
        <v>2502</v>
      </c>
      <c r="F298" s="403" t="str">
        <f ca="1">IF(BC298&lt;2025, "Extinct&lt; 6Yrs?",BA298)</f>
        <v>Widespread</v>
      </c>
      <c r="G298" s="376" t="s">
        <v>525</v>
      </c>
      <c r="H298" s="376" t="s">
        <v>4028</v>
      </c>
      <c r="I298" s="379" t="s">
        <v>2630</v>
      </c>
      <c r="J298" s="378" t="s">
        <v>3623</v>
      </c>
      <c r="K298" s="378" t="s">
        <v>2760</v>
      </c>
      <c r="L298" s="65" t="s">
        <v>2078</v>
      </c>
      <c r="M298" s="64" t="s">
        <v>4377</v>
      </c>
      <c r="N298" s="64" t="s">
        <v>5271</v>
      </c>
      <c r="O298" s="64" t="s">
        <v>6168</v>
      </c>
      <c r="P298" s="404" t="s">
        <v>403</v>
      </c>
      <c r="Q298" s="67" t="s">
        <v>2552</v>
      </c>
      <c r="R298" s="61" t="s">
        <v>2499</v>
      </c>
      <c r="S298" s="61" t="s">
        <v>2495</v>
      </c>
      <c r="T298" s="134" t="str">
        <f>IF(R298="Bogs Ponds Streams","20",IF(R298="Coastal Areas","26",IF(R298="Meadows Dry Open","10",IF(R298="Forest &amp; Understory","14",IF(R298="Moist Open","12",IF(R298="Moist Shady","10",IF(R298="Sub-Alpine Slopes","0")))))))</f>
        <v>20</v>
      </c>
      <c r="U298" s="134" t="str">
        <f>IF(R298="Bogs Ponds Streams","52",IF(R298="Coastal Areas","51",IF(R298="Meadows Dry Open","53",IF(R298="Forest &amp; Understory","52",IF(R298="Moist Open","50",IF(R298="Moist Shady","46",IF(R298="Sub-Alpine Slopes","40")))))))</f>
        <v>52</v>
      </c>
      <c r="V298" s="134" t="str">
        <f>IF(R298="Bogs Ponds Streams","84",IF(R298="Coastal Areas","76",IF(R298="Meadows Dry Open","96", IF(R298="Forest &amp; Understory","90", IF(R298="Moist Open","88", IF(R298="Moist Shady","82", IF(R298="Sub-Alpine Slopes","80")))))))</f>
        <v>84</v>
      </c>
      <c r="W298" s="67">
        <v>1</v>
      </c>
      <c r="X298" s="67">
        <v>0</v>
      </c>
      <c r="Y298" s="67">
        <v>3500</v>
      </c>
      <c r="Z298" s="67" t="s">
        <v>2519</v>
      </c>
      <c r="AA298" s="67" t="s">
        <v>2518</v>
      </c>
      <c r="AB298" s="67">
        <v>6.8</v>
      </c>
      <c r="AC298" s="85">
        <f>C298+AK298+(0.1)*AL298</f>
        <v>3.4</v>
      </c>
      <c r="AD298" s="78">
        <v>7</v>
      </c>
      <c r="AE298" s="67">
        <v>5</v>
      </c>
      <c r="AF298" s="67">
        <v>5</v>
      </c>
      <c r="AG298" s="67">
        <v>1900</v>
      </c>
      <c r="AH298" s="78">
        <v>0</v>
      </c>
      <c r="AI298" s="67">
        <f>AJ298</f>
        <v>2004</v>
      </c>
      <c r="AJ298" s="69">
        <v>2004</v>
      </c>
      <c r="AK298" s="69">
        <v>2</v>
      </c>
      <c r="AL298" s="69">
        <v>4</v>
      </c>
      <c r="AM298" s="70">
        <v>5</v>
      </c>
      <c r="AN298" s="70">
        <v>0</v>
      </c>
      <c r="AO298" s="86">
        <v>0</v>
      </c>
      <c r="AP298" s="70">
        <v>0</v>
      </c>
      <c r="AQ298" s="70">
        <v>0</v>
      </c>
      <c r="AR298" s="70">
        <v>0</v>
      </c>
      <c r="AS298" s="86">
        <v>0</v>
      </c>
      <c r="AT298" s="70">
        <v>0</v>
      </c>
      <c r="AU298" s="70">
        <v>0</v>
      </c>
      <c r="AV298" s="70">
        <v>0</v>
      </c>
      <c r="AW298" s="86">
        <v>0</v>
      </c>
      <c r="AX298" s="70">
        <v>0</v>
      </c>
      <c r="AY298" s="233"/>
      <c r="AZ298" s="4"/>
      <c r="BA298" s="35" t="str">
        <f>IF(OR(S298="North America",S298="Rocky Mountain"), "Widespread",BC298)</f>
        <v>Widespread</v>
      </c>
      <c r="BB298" s="4"/>
      <c r="BC298" s="35">
        <f ca="1">IF(BE298&gt;2046, "Abundant",BE298)</f>
        <v>2031.4130909090909</v>
      </c>
      <c r="BD298" s="4"/>
      <c r="BE298" s="81">
        <f ca="1">YEAR($C$13)+(BG298*80)</f>
        <v>2031.4130909090909</v>
      </c>
      <c r="BF298" s="4"/>
      <c r="BG298" s="137">
        <f ca="1">BH298*$BH$14</f>
        <v>0.15516363636363636</v>
      </c>
      <c r="BH298" s="137">
        <f ca="1">(((BJ298+BK298+BM298+BN298)/4)*$BM$11)+(((BP298+BQ298)/2)*$BQ$11)+(((BU298+BV298+BW298)/3)*$BU$11)+(((BY298+BZ298+CA298+CB298+CC298)/5)*$CA$11)</f>
        <v>0.15516363636363636</v>
      </c>
      <c r="BI298" s="4"/>
      <c r="BJ298" s="33">
        <f>AP298/(AM298+AO298)</f>
        <v>0</v>
      </c>
      <c r="BK298" s="33">
        <f>(AN298+AO298)/(AM298+AO298)</f>
        <v>0</v>
      </c>
      <c r="BL298" s="4"/>
      <c r="BM298" s="127">
        <f>CF298/102</f>
        <v>3.3333333333333333E-2</v>
      </c>
      <c r="BN298" s="127">
        <f>C298/2</f>
        <v>0.5</v>
      </c>
      <c r="BO298" s="4"/>
      <c r="BP298" s="127">
        <f>(AK298)/($AW$6)</f>
        <v>2.0202020202020204E-2</v>
      </c>
      <c r="BQ298" s="127">
        <f ca="1">(CH298-$AW$4)/((YEAR($C$13))-$AW$4)</f>
        <v>0</v>
      </c>
      <c r="BR298" s="127">
        <f>(AL298)/($AW$6)</f>
        <v>4.0404040404040407E-2</v>
      </c>
      <c r="BS298" s="4"/>
      <c r="BT298" s="127"/>
      <c r="BU298" s="127">
        <f ca="1">(CG298-$AW$4)/((YEAR($C$13))-$AW$4)</f>
        <v>0</v>
      </c>
      <c r="BV298" s="127">
        <f>AE298/5</f>
        <v>1</v>
      </c>
      <c r="BW298" s="127">
        <f>AF298/5</f>
        <v>1</v>
      </c>
      <c r="BX298" s="4"/>
      <c r="BY298" s="148" t="str">
        <f>IF(E298="A",".98",IF(E298="B",".99",IF(E298="C","1.00",IF(E298="D","1.00" ))))</f>
        <v>.98</v>
      </c>
      <c r="BZ298" s="127">
        <f>(CE298+7)/10</f>
        <v>0.8</v>
      </c>
      <c r="CA298" s="76" t="str">
        <f>IF(D298="Fern",".97",IF(D298="Grass",".99",IF(D298="Herb",".97",IF(D298="Shrub",".99",IF(D298="Tree","1.00",IF(D298="Vine",".98"))))))</f>
        <v>.97</v>
      </c>
      <c r="CB298" s="149" t="str">
        <f>IF(R298="Bogs Ponds Streams",".96", IF(R298="Coastal Areas",".97",IF(R298="Meadows Dry Open",".96",IF(R298="Forest &amp; Understory",".97",IF(R298="Moist Open",".98",IF(R298="Moist Shady",".96",IF(R298="Sub-Alpine","1.0")))))))</f>
        <v>.96</v>
      </c>
      <c r="CC298" s="76" t="str">
        <f>IF(S298="Local Endemic",".50",IF(S298="Regional Endemic",".70",IF(S298="Cascadia",".90",IF(S298="Rocky Mountain",".95",IF(S298="North America",".99")))))</f>
        <v>.99</v>
      </c>
      <c r="CD298" s="4"/>
      <c r="CE298" s="21">
        <f>IF(W298&gt;3,3,W298)</f>
        <v>1</v>
      </c>
      <c r="CF298" s="21">
        <f>IF(AC298&gt;102,102,AC298)</f>
        <v>3.4</v>
      </c>
      <c r="CG298" s="34">
        <f>IF(AI298&lt;$AW$4,$AW$4,AI298)</f>
        <v>2004</v>
      </c>
      <c r="CH298" s="34">
        <f>IF(AJ298&lt;$AW$4,$AW$4,AJ298)</f>
        <v>2004</v>
      </c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12"/>
    </row>
    <row r="299" spans="1:116" s="14" customFormat="1" ht="15" customHeight="1" x14ac:dyDescent="0.3">
      <c r="A299" s="235"/>
      <c r="B299" s="218"/>
      <c r="C299" s="225">
        <v>8</v>
      </c>
      <c r="D299" s="59" t="s">
        <v>2505</v>
      </c>
      <c r="E299" s="59" t="s">
        <v>2502</v>
      </c>
      <c r="F299" s="397" t="str">
        <f ca="1">IF(BC299&lt;2025, "Extinct&lt; 6Yrs?",BA299)</f>
        <v>Widespread</v>
      </c>
      <c r="G299" s="363" t="s">
        <v>525</v>
      </c>
      <c r="H299" s="363" t="s">
        <v>681</v>
      </c>
      <c r="I299" s="366" t="s">
        <v>127</v>
      </c>
      <c r="J299" s="365" t="s">
        <v>3329</v>
      </c>
      <c r="K299" s="365" t="s">
        <v>946</v>
      </c>
      <c r="L299" s="10" t="s">
        <v>2077</v>
      </c>
      <c r="M299" s="8" t="s">
        <v>4378</v>
      </c>
      <c r="N299" s="8" t="s">
        <v>5272</v>
      </c>
      <c r="O299" s="8" t="s">
        <v>6169</v>
      </c>
      <c r="P299" s="9" t="s">
        <v>403</v>
      </c>
      <c r="Q299" s="59" t="s">
        <v>2552</v>
      </c>
      <c r="R299" s="9" t="s">
        <v>2499</v>
      </c>
      <c r="S299" s="9" t="s">
        <v>2495</v>
      </c>
      <c r="T299" s="123" t="str">
        <f>IF(R299="Bogs Ponds Streams","20",IF(R299="Coastal Areas","26",IF(R299="Meadows Dry Open","10",IF(R299="Forest &amp; Understory","14",IF(R299="Moist Open","12",IF(R299="Moist Shady","10",IF(R299="Sub-Alpine Slopes","0")))))))</f>
        <v>20</v>
      </c>
      <c r="U299" s="123" t="str">
        <f>IF(R299="Bogs Ponds Streams","52",IF(R299="Coastal Areas","51",IF(R299="Meadows Dry Open","53",IF(R299="Forest &amp; Understory","52",IF(R299="Moist Open","50",IF(R299="Moist Shady","46",IF(R299="Sub-Alpine Slopes","40")))))))</f>
        <v>52</v>
      </c>
      <c r="V299" s="123" t="str">
        <f>IF(R299="Bogs Ponds Streams","84",IF(R299="Coastal Areas","76",IF(R299="Meadows Dry Open","96", IF(R299="Forest &amp; Understory","90", IF(R299="Moist Open","88", IF(R299="Moist Shady","82", IF(R299="Sub-Alpine Slopes","80")))))))</f>
        <v>84</v>
      </c>
      <c r="W299" s="59">
        <v>1</v>
      </c>
      <c r="X299" s="59">
        <v>0</v>
      </c>
      <c r="Y299" s="59">
        <v>3500</v>
      </c>
      <c r="Z299" s="59" t="s">
        <v>2519</v>
      </c>
      <c r="AA299" s="59" t="s">
        <v>2518</v>
      </c>
      <c r="AB299" s="59">
        <v>6.8</v>
      </c>
      <c r="AC299" s="45">
        <f>C299+AK299+(0.1)*AL299</f>
        <v>30.3</v>
      </c>
      <c r="AD299" s="77">
        <v>34</v>
      </c>
      <c r="AE299" s="59">
        <v>5</v>
      </c>
      <c r="AF299" s="59">
        <v>5</v>
      </c>
      <c r="AG299" s="59">
        <v>1900</v>
      </c>
      <c r="AH299" s="77">
        <v>0</v>
      </c>
      <c r="AI299" s="59">
        <f>AJ299</f>
        <v>2004</v>
      </c>
      <c r="AJ299" s="18">
        <v>2004</v>
      </c>
      <c r="AK299" s="18">
        <v>22</v>
      </c>
      <c r="AL299" s="18">
        <v>3</v>
      </c>
      <c r="AM299" s="18">
        <v>1</v>
      </c>
      <c r="AN299" s="18">
        <v>1</v>
      </c>
      <c r="AO299" s="25">
        <v>0</v>
      </c>
      <c r="AP299" s="24">
        <v>0</v>
      </c>
      <c r="AQ299" s="18">
        <v>0</v>
      </c>
      <c r="AR299" s="18">
        <v>0</v>
      </c>
      <c r="AS299" s="18">
        <v>0</v>
      </c>
      <c r="AT299" s="18">
        <v>0</v>
      </c>
      <c r="AU299" s="18">
        <v>0</v>
      </c>
      <c r="AV299" s="18">
        <v>0</v>
      </c>
      <c r="AW299" s="18">
        <v>0</v>
      </c>
      <c r="AX299" s="18">
        <v>0</v>
      </c>
      <c r="AY299" s="233"/>
      <c r="AZ299" s="4"/>
      <c r="BA299" s="35" t="str">
        <f>IF(OR(S299="North America",S299="Rocky Mountain"), "Widespread",BC299)</f>
        <v>Widespread</v>
      </c>
      <c r="BB299" s="4"/>
      <c r="BC299" s="35" t="str">
        <f ca="1">IF(BE299&gt;2046, "Abundant",BE299)</f>
        <v>Abundant</v>
      </c>
      <c r="BD299" s="4"/>
      <c r="BE299" s="81">
        <f ca="1">YEAR($C$13)+(BG299*80)</f>
        <v>2091.0020392156862</v>
      </c>
      <c r="BF299" s="4"/>
      <c r="BG299" s="137">
        <f ca="1">BH299*$BH$14</f>
        <v>0.90002549019607847</v>
      </c>
      <c r="BH299" s="137">
        <f ca="1">(((BJ299+BK299+BM299+BN299)/4)*$BM$11)+(((BP299+BQ299)/2)*$BQ$11)+(((BU299+BV299+BW299)/3)*$BU$11)+(((BY299+BZ299+CA299+CB299+CC299)/5)*$CA$11)</f>
        <v>0.90002549019607847</v>
      </c>
      <c r="BI299" s="4"/>
      <c r="BJ299" s="33">
        <f>AP299/(AM299+AO299)</f>
        <v>0</v>
      </c>
      <c r="BK299" s="33">
        <f>(AN299+AO299)/(AM299+AO299)</f>
        <v>1</v>
      </c>
      <c r="BL299" s="4"/>
      <c r="BM299" s="127">
        <f>CF299/102</f>
        <v>0.29705882352941176</v>
      </c>
      <c r="BN299" s="127">
        <f>C299/2</f>
        <v>4</v>
      </c>
      <c r="BO299" s="4"/>
      <c r="BP299" s="127">
        <f>(AK299)/($AW$6)</f>
        <v>0.22222222222222221</v>
      </c>
      <c r="BQ299" s="127">
        <f ca="1">(CH299-$AW$4)/((YEAR($C$13))-$AW$4)</f>
        <v>0</v>
      </c>
      <c r="BR299" s="127">
        <f>(AL299)/($AW$6)</f>
        <v>3.0303030303030304E-2</v>
      </c>
      <c r="BS299" s="4"/>
      <c r="BT299" s="127"/>
      <c r="BU299" s="127">
        <f ca="1">(CG299-$AW$4)/((YEAR($C$13))-$AW$4)</f>
        <v>0</v>
      </c>
      <c r="BV299" s="127">
        <f>AE299/5</f>
        <v>1</v>
      </c>
      <c r="BW299" s="127">
        <f>AF299/5</f>
        <v>1</v>
      </c>
      <c r="BX299" s="4"/>
      <c r="BY299" s="148" t="str">
        <f>IF(E299="A",".98",IF(E299="B",".99",IF(E299="C","1.00",IF(E299="D","1.00" ))))</f>
        <v>.98</v>
      </c>
      <c r="BZ299" s="127">
        <f>(CE299+7)/10</f>
        <v>0.8</v>
      </c>
      <c r="CA299" s="76" t="str">
        <f>IF(D299="Fern",".97",IF(D299="Grass",".99",IF(D299="Herb",".97",IF(D299="Shrub",".99",IF(D299="Tree","1.00",IF(D299="Vine",".98"))))))</f>
        <v>.97</v>
      </c>
      <c r="CB299" s="149" t="str">
        <f>IF(R299="Bogs Ponds Streams",".96", IF(R299="Coastal Areas",".97",IF(R299="Meadows Dry Open",".96",IF(R299="Forest &amp; Understory",".97",IF(R299="Moist Open",".98",IF(R299="Moist Shady",".96",IF(R299="Sub-Alpine","1.0")))))))</f>
        <v>.96</v>
      </c>
      <c r="CC299" s="76" t="str">
        <f>IF(S299="Local Endemic",".50",IF(S299="Regional Endemic",".70",IF(S299="Cascadia",".90",IF(S299="Rocky Mountain",".95",IF(S299="North America",".99")))))</f>
        <v>.99</v>
      </c>
      <c r="CD299" s="4"/>
      <c r="CE299" s="21">
        <f>IF(W299&gt;3,3,W299)</f>
        <v>1</v>
      </c>
      <c r="CF299" s="21">
        <f>IF(AC299&gt;102,102,AC299)</f>
        <v>30.3</v>
      </c>
      <c r="CG299" s="34">
        <f>IF(AI299&lt;$AW$4,$AW$4,AI299)</f>
        <v>2004</v>
      </c>
      <c r="CH299" s="34">
        <f>IF(AJ299&lt;$AW$4,$AW$4,AJ299)</f>
        <v>2004</v>
      </c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13"/>
      <c r="DL299" s="13"/>
    </row>
    <row r="300" spans="1:116" s="13" customFormat="1" ht="15" customHeight="1" x14ac:dyDescent="0.3">
      <c r="A300" s="235"/>
      <c r="B300" s="218"/>
      <c r="C300" s="226">
        <v>2</v>
      </c>
      <c r="D300" s="119" t="s">
        <v>1155</v>
      </c>
      <c r="E300" s="104" t="s">
        <v>2501</v>
      </c>
      <c r="F300" s="400" t="str">
        <f ca="1">IF(BC300&lt;2025, "Extinct&lt; 6Yrs?",BA300)</f>
        <v>Widespread</v>
      </c>
      <c r="G300" s="369" t="s">
        <v>525</v>
      </c>
      <c r="H300" s="369" t="s">
        <v>4028</v>
      </c>
      <c r="I300" s="372" t="s">
        <v>2631</v>
      </c>
      <c r="J300" s="371" t="s">
        <v>3788</v>
      </c>
      <c r="K300" s="371" t="s">
        <v>949</v>
      </c>
      <c r="L300" s="114" t="s">
        <v>2172</v>
      </c>
      <c r="M300" s="111" t="s">
        <v>4379</v>
      </c>
      <c r="N300" s="111" t="s">
        <v>5273</v>
      </c>
      <c r="O300" s="111" t="s">
        <v>6170</v>
      </c>
      <c r="P300" s="401" t="s">
        <v>403</v>
      </c>
      <c r="Q300" s="104" t="s">
        <v>2552</v>
      </c>
      <c r="R300" s="105" t="s">
        <v>2498</v>
      </c>
      <c r="S300" s="105" t="s">
        <v>2495</v>
      </c>
      <c r="T300" s="133" t="str">
        <f>IF(R300="Bogs Ponds Streams","20",IF(R300="Coastal Areas","26",IF(R300="Meadows Dry Open","10",IF(R300="Forest &amp; Understory","14",IF(R300="Moist Open","12",IF(R300="Moist Shady","10",IF(R300="Sub-Alpine Slopes","0")))))))</f>
        <v>10</v>
      </c>
      <c r="U300" s="133" t="str">
        <f>IF(R300="Bogs Ponds Streams","52",IF(R300="Coastal Areas","51",IF(R300="Meadows Dry Open","53",IF(R300="Forest &amp; Understory","52",IF(R300="Moist Open","50",IF(R300="Moist Shady","46",IF(R300="Sub-Alpine Slopes","40")))))))</f>
        <v>46</v>
      </c>
      <c r="V300" s="133" t="str">
        <f>IF(R300="Bogs Ponds Streams","84",IF(R300="Coastal Areas","76",IF(R300="Meadows Dry Open","96", IF(R300="Forest &amp; Understory","90", IF(R300="Moist Open","88", IF(R300="Moist Shady","82", IF(R300="Sub-Alpine Slopes","80")))))))</f>
        <v>82</v>
      </c>
      <c r="W300" s="104">
        <v>20</v>
      </c>
      <c r="X300" s="104">
        <v>0</v>
      </c>
      <c r="Y300" s="104">
        <v>3500</v>
      </c>
      <c r="Z300" s="104" t="s">
        <v>2519</v>
      </c>
      <c r="AA300" s="104" t="s">
        <v>2518</v>
      </c>
      <c r="AB300" s="104">
        <v>6.8</v>
      </c>
      <c r="AC300" s="107">
        <f>C300+AK300+(0.1)*AL300</f>
        <v>70.2</v>
      </c>
      <c r="AD300" s="113">
        <v>127</v>
      </c>
      <c r="AE300" s="104">
        <v>5</v>
      </c>
      <c r="AF300" s="104">
        <v>5</v>
      </c>
      <c r="AG300" s="104">
        <v>1900</v>
      </c>
      <c r="AH300" s="113">
        <v>0</v>
      </c>
      <c r="AI300" s="104">
        <f>AJ300</f>
        <v>2004</v>
      </c>
      <c r="AJ300" s="108">
        <v>2004</v>
      </c>
      <c r="AK300" s="108">
        <v>66</v>
      </c>
      <c r="AL300" s="108">
        <v>22</v>
      </c>
      <c r="AM300" s="109">
        <v>5</v>
      </c>
      <c r="AN300" s="109">
        <v>1</v>
      </c>
      <c r="AO300" s="110">
        <v>0</v>
      </c>
      <c r="AP300" s="109">
        <v>0</v>
      </c>
      <c r="AQ300" s="109">
        <v>0</v>
      </c>
      <c r="AR300" s="109">
        <v>0</v>
      </c>
      <c r="AS300" s="110">
        <v>0</v>
      </c>
      <c r="AT300" s="109">
        <v>0</v>
      </c>
      <c r="AU300" s="109">
        <v>0</v>
      </c>
      <c r="AV300" s="109">
        <v>0</v>
      </c>
      <c r="AW300" s="110">
        <v>0</v>
      </c>
      <c r="AX300" s="109">
        <v>0</v>
      </c>
      <c r="AY300" s="233"/>
      <c r="AZ300" s="4"/>
      <c r="BA300" s="35" t="str">
        <f>IF(OR(S300="North America",S300="Rocky Mountain"), "Widespread",BC300)</f>
        <v>Widespread</v>
      </c>
      <c r="BB300" s="4"/>
      <c r="BC300" s="35" t="str">
        <f ca="1">IF(BE300&gt;2046, "Abundant",BE300)</f>
        <v>Abundant</v>
      </c>
      <c r="BD300" s="4"/>
      <c r="BE300" s="81">
        <f ca="1">YEAR($C$13)+(BG300*80)</f>
        <v>2055.5062901960782</v>
      </c>
      <c r="BF300" s="4"/>
      <c r="BG300" s="137">
        <f ca="1">BH300*$BH$14</f>
        <v>0.45632862745098035</v>
      </c>
      <c r="BH300" s="137">
        <f ca="1">(((BJ300+BK300+BM300+BN300)/4)*$BM$11)+(((BP300+BQ300)/2)*$BQ$11)+(((BU300+BV300+BW300)/3)*$BU$11)+(((BY300+BZ300+CA300+CB300+CC300)/5)*$CA$11)</f>
        <v>0.45632862745098035</v>
      </c>
      <c r="BI300" s="4"/>
      <c r="BJ300" s="33">
        <f>AP300/(AM300+AO300)</f>
        <v>0</v>
      </c>
      <c r="BK300" s="33">
        <f>(AN300+AO300)/(AM300+AO300)</f>
        <v>0.2</v>
      </c>
      <c r="BL300" s="4"/>
      <c r="BM300" s="127">
        <f>CF300/102</f>
        <v>0.68823529411764706</v>
      </c>
      <c r="BN300" s="127">
        <f>C300/2</f>
        <v>1</v>
      </c>
      <c r="BO300" s="4"/>
      <c r="BP300" s="127">
        <f>(AK300)/($AW$6)</f>
        <v>0.66666666666666663</v>
      </c>
      <c r="BQ300" s="127">
        <f ca="1">(CH300-$AW$4)/((YEAR($C$13))-$AW$4)</f>
        <v>0</v>
      </c>
      <c r="BR300" s="127">
        <f>(AL300)/($AW$6)</f>
        <v>0.22222222222222221</v>
      </c>
      <c r="BS300" s="4"/>
      <c r="BT300" s="127"/>
      <c r="BU300" s="127">
        <f ca="1">(CG300-$AW$4)/((YEAR($C$13))-$AW$4)</f>
        <v>0</v>
      </c>
      <c r="BV300" s="127">
        <f>AE300/5</f>
        <v>1</v>
      </c>
      <c r="BW300" s="127">
        <f>AF300/5</f>
        <v>1</v>
      </c>
      <c r="BX300" s="4"/>
      <c r="BY300" s="148" t="str">
        <f>IF(E300="A",".98",IF(E300="B",".99",IF(E300="C","1.00",IF(E300="D","1.00" ))))</f>
        <v>1.00</v>
      </c>
      <c r="BZ300" s="127">
        <f>(CE300+7)/10</f>
        <v>1</v>
      </c>
      <c r="CA300" s="76" t="str">
        <f>IF(D300="Fern",".97",IF(D300="Grass",".99",IF(D300="Herb",".97",IF(D300="Shrub",".99",IF(D300="Tree","1.00",IF(D300="Vine",".98"))))))</f>
        <v>.99</v>
      </c>
      <c r="CB300" s="149" t="str">
        <f>IF(R300="Bogs Ponds Streams",".96", IF(R300="Coastal Areas",".97",IF(R300="Meadows Dry Open",".96",IF(R300="Forest &amp; Understory",".97",IF(R300="Moist Open",".98",IF(R300="Moist Shady",".96",IF(R300="Sub-Alpine","1.0")))))))</f>
        <v>.96</v>
      </c>
      <c r="CC300" s="76" t="str">
        <f>IF(S300="Local Endemic",".50",IF(S300="Regional Endemic",".70",IF(S300="Cascadia",".90",IF(S300="Rocky Mountain",".95",IF(S300="North America",".99")))))</f>
        <v>.99</v>
      </c>
      <c r="CD300" s="4"/>
      <c r="CE300" s="21">
        <f>IF(W300&gt;3,3,W300)</f>
        <v>3</v>
      </c>
      <c r="CF300" s="21">
        <f>IF(AC300&gt;102,102,AC300)</f>
        <v>70.2</v>
      </c>
      <c r="CG300" s="34">
        <f>IF(AI300&lt;$AW$4,$AW$4,AI300)</f>
        <v>2004</v>
      </c>
      <c r="CH300" s="34">
        <f>IF(AJ300&lt;$AW$4,$AW$4,AJ300)</f>
        <v>2004</v>
      </c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L300" s="14"/>
    </row>
    <row r="301" spans="1:116" s="13" customFormat="1" ht="15" customHeight="1" x14ac:dyDescent="0.3">
      <c r="A301" s="235"/>
      <c r="B301" s="218"/>
      <c r="C301" s="226">
        <v>2</v>
      </c>
      <c r="D301" s="119" t="s">
        <v>1155</v>
      </c>
      <c r="E301" s="104" t="s">
        <v>2501</v>
      </c>
      <c r="F301" s="400" t="str">
        <f ca="1">IF(BC301&lt;2025, "Extinct&lt; 6Yrs?",BA301)</f>
        <v>Widespread</v>
      </c>
      <c r="G301" s="369" t="s">
        <v>525</v>
      </c>
      <c r="H301" s="369" t="s">
        <v>4028</v>
      </c>
      <c r="I301" s="370" t="s">
        <v>1268</v>
      </c>
      <c r="J301" s="371" t="s">
        <v>3787</v>
      </c>
      <c r="K301" s="371" t="s">
        <v>1267</v>
      </c>
      <c r="L301" s="106" t="s">
        <v>1401</v>
      </c>
      <c r="M301" s="111" t="s">
        <v>4380</v>
      </c>
      <c r="N301" s="111" t="s">
        <v>5274</v>
      </c>
      <c r="O301" s="111" t="s">
        <v>6171</v>
      </c>
      <c r="P301" s="105" t="s">
        <v>403</v>
      </c>
      <c r="Q301" s="104" t="s">
        <v>2552</v>
      </c>
      <c r="R301" s="105" t="s">
        <v>2498</v>
      </c>
      <c r="S301" s="105" t="s">
        <v>2495</v>
      </c>
      <c r="T301" s="133" t="str">
        <f>IF(R301="Bogs Ponds Streams","20",IF(R301="Coastal Areas","26",IF(R301="Meadows Dry Open","10",IF(R301="Forest &amp; Understory","14",IF(R301="Moist Open","12",IF(R301="Moist Shady","10",IF(R301="Sub-Alpine Slopes","0")))))))</f>
        <v>10</v>
      </c>
      <c r="U301" s="133" t="str">
        <f>IF(R301="Bogs Ponds Streams","52",IF(R301="Coastal Areas","51",IF(R301="Meadows Dry Open","53",IF(R301="Forest &amp; Understory","52",IF(R301="Moist Open","50",IF(R301="Moist Shady","46",IF(R301="Sub-Alpine Slopes","40")))))))</f>
        <v>46</v>
      </c>
      <c r="V301" s="133" t="str">
        <f>IF(R301="Bogs Ponds Streams","84",IF(R301="Coastal Areas","76",IF(R301="Meadows Dry Open","96", IF(R301="Forest &amp; Understory","90", IF(R301="Moist Open","88", IF(R301="Moist Shady","82", IF(R301="Sub-Alpine Slopes","80")))))))</f>
        <v>82</v>
      </c>
      <c r="W301" s="104">
        <v>20</v>
      </c>
      <c r="X301" s="104">
        <v>0</v>
      </c>
      <c r="Y301" s="104">
        <v>3500</v>
      </c>
      <c r="Z301" s="104" t="s">
        <v>2519</v>
      </c>
      <c r="AA301" s="104" t="s">
        <v>2518</v>
      </c>
      <c r="AB301" s="104">
        <v>6.8</v>
      </c>
      <c r="AC301" s="107">
        <f>C301+AK301+(0.1)*AL301</f>
        <v>9.3000000000000007</v>
      </c>
      <c r="AD301" s="113">
        <v>12</v>
      </c>
      <c r="AE301" s="104">
        <v>5</v>
      </c>
      <c r="AF301" s="104">
        <v>5</v>
      </c>
      <c r="AG301" s="104">
        <v>1900</v>
      </c>
      <c r="AH301" s="113">
        <v>0</v>
      </c>
      <c r="AI301" s="104">
        <f ca="1">AJ301</f>
        <v>2019</v>
      </c>
      <c r="AJ301" s="108">
        <f ca="1">YEAR(TODAY())</f>
        <v>2019</v>
      </c>
      <c r="AK301" s="108">
        <v>7</v>
      </c>
      <c r="AL301" s="108">
        <v>3</v>
      </c>
      <c r="AM301" s="108">
        <v>1</v>
      </c>
      <c r="AN301" s="108">
        <v>1</v>
      </c>
      <c r="AO301" s="110">
        <v>0</v>
      </c>
      <c r="AP301" s="109">
        <v>0</v>
      </c>
      <c r="AQ301" s="108">
        <v>0</v>
      </c>
      <c r="AR301" s="108">
        <v>0</v>
      </c>
      <c r="AS301" s="108">
        <v>0</v>
      </c>
      <c r="AT301" s="108">
        <v>0</v>
      </c>
      <c r="AU301" s="108">
        <v>0</v>
      </c>
      <c r="AV301" s="108">
        <v>0</v>
      </c>
      <c r="AW301" s="108">
        <v>0</v>
      </c>
      <c r="AX301" s="108">
        <v>0</v>
      </c>
      <c r="AY301" s="233"/>
      <c r="AZ301" s="4"/>
      <c r="BA301" s="35" t="str">
        <f>IF(OR(S301="North America",S301="Rocky Mountain"), "Widespread",BC301)</f>
        <v>Widespread</v>
      </c>
      <c r="BB301" s="4"/>
      <c r="BC301" s="35" t="str">
        <f ca="1">IF(BE301&gt;2046, "Abundant",BE301)</f>
        <v>Abundant</v>
      </c>
      <c r="BD301" s="4"/>
      <c r="BE301" s="81">
        <f ca="1">YEAR($C$13)+(BG301*80)</f>
        <v>2064.9234024955435</v>
      </c>
      <c r="BF301" s="4"/>
      <c r="BG301" s="137">
        <f ca="1">BH301*$BH$14</f>
        <v>0.57404253119429582</v>
      </c>
      <c r="BH301" s="137">
        <f ca="1">(((BJ301+BK301+BM301+BN301)/4)*$BM$11)+(((BP301+BQ301)/2)*$BQ$11)+(((BU301+BV301+BW301)/3)*$BU$11)+(((BY301+BZ301+CA301+CB301+CC301)/5)*$CA$11)</f>
        <v>0.57404253119429582</v>
      </c>
      <c r="BI301" s="4"/>
      <c r="BJ301" s="33">
        <f>AP301/(AM301+AO301)</f>
        <v>0</v>
      </c>
      <c r="BK301" s="33">
        <f>(AN301+AO301)/(AM301+AO301)</f>
        <v>1</v>
      </c>
      <c r="BL301" s="4"/>
      <c r="BM301" s="127">
        <f>CF301/102</f>
        <v>9.1176470588235303E-2</v>
      </c>
      <c r="BN301" s="127">
        <f>C301/2</f>
        <v>1</v>
      </c>
      <c r="BO301" s="4"/>
      <c r="BP301" s="127">
        <f>(AK301)/($AW$6)</f>
        <v>7.0707070707070704E-2</v>
      </c>
      <c r="BQ301" s="127">
        <f ca="1">(CH301-$AW$4)/((YEAR($C$13))-$AW$4)</f>
        <v>1</v>
      </c>
      <c r="BR301" s="127">
        <f>(AL301)/($AW$6)</f>
        <v>3.0303030303030304E-2</v>
      </c>
      <c r="BS301" s="4"/>
      <c r="BT301" s="127"/>
      <c r="BU301" s="127">
        <f ca="1">(CG301-$AW$4)/((YEAR($C$13))-$AW$4)</f>
        <v>1</v>
      </c>
      <c r="BV301" s="127">
        <f>AE301/5</f>
        <v>1</v>
      </c>
      <c r="BW301" s="127">
        <f>AF301/5</f>
        <v>1</v>
      </c>
      <c r="BX301" s="4"/>
      <c r="BY301" s="148" t="str">
        <f>IF(E301="A",".98",IF(E301="B",".99",IF(E301="C","1.00",IF(E301="D","1.00" ))))</f>
        <v>1.00</v>
      </c>
      <c r="BZ301" s="127">
        <f>(CE301+7)/10</f>
        <v>1</v>
      </c>
      <c r="CA301" s="76" t="str">
        <f>IF(D301="Fern",".97",IF(D301="Grass",".99",IF(D301="Herb",".97",IF(D301="Shrub",".99",IF(D301="Tree","1.00",IF(D301="Vine",".98"))))))</f>
        <v>.99</v>
      </c>
      <c r="CB301" s="149" t="str">
        <f>IF(R301="Bogs Ponds Streams",".96", IF(R301="Coastal Areas",".97",IF(R301="Meadows Dry Open",".96",IF(R301="Forest &amp; Understory",".97",IF(R301="Moist Open",".98",IF(R301="Moist Shady",".96",IF(R301="Sub-Alpine","1.0")))))))</f>
        <v>.96</v>
      </c>
      <c r="CC301" s="76" t="str">
        <f>IF(S301="Local Endemic",".50",IF(S301="Regional Endemic",".70",IF(S301="Cascadia",".90",IF(S301="Rocky Mountain",".95",IF(S301="North America",".99")))))</f>
        <v>.99</v>
      </c>
      <c r="CD301" s="4"/>
      <c r="CE301" s="21">
        <f>IF(W301&gt;3,3,W301)</f>
        <v>3</v>
      </c>
      <c r="CF301" s="21">
        <f>IF(AC301&gt;102,102,AC301)</f>
        <v>9.3000000000000007</v>
      </c>
      <c r="CG301" s="34">
        <f ca="1">IF(AI301&lt;$AW$4,$AW$4,AI301)</f>
        <v>2019</v>
      </c>
      <c r="CH301" s="34">
        <f ca="1">IF(AJ301&lt;$AW$4,$AW$4,AJ301)</f>
        <v>2019</v>
      </c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</row>
    <row r="302" spans="1:116" s="13" customFormat="1" ht="15" customHeight="1" x14ac:dyDescent="0.3">
      <c r="A302" s="235"/>
      <c r="B302" s="218"/>
      <c r="C302" s="226">
        <v>2</v>
      </c>
      <c r="D302" s="104" t="s">
        <v>2505</v>
      </c>
      <c r="E302" s="104" t="s">
        <v>2501</v>
      </c>
      <c r="F302" s="400" t="str">
        <f ca="1">IF(BC302&lt;2025, "Extinct&lt; 6Yrs?",BA302)</f>
        <v>Widespread</v>
      </c>
      <c r="G302" s="369" t="s">
        <v>525</v>
      </c>
      <c r="H302" s="369" t="s">
        <v>4028</v>
      </c>
      <c r="I302" s="370" t="s">
        <v>3059</v>
      </c>
      <c r="J302" s="371" t="s">
        <v>4092</v>
      </c>
      <c r="K302" s="371" t="s">
        <v>2761</v>
      </c>
      <c r="L302" s="106" t="s">
        <v>1402</v>
      </c>
      <c r="M302" s="111" t="s">
        <v>4381</v>
      </c>
      <c r="N302" s="111" t="s">
        <v>5275</v>
      </c>
      <c r="O302" s="111" t="s">
        <v>6172</v>
      </c>
      <c r="P302" s="105" t="s">
        <v>131</v>
      </c>
      <c r="Q302" s="104" t="s">
        <v>2552</v>
      </c>
      <c r="R302" s="105" t="s">
        <v>2498</v>
      </c>
      <c r="S302" s="105" t="s">
        <v>2495</v>
      </c>
      <c r="T302" s="133" t="str">
        <f>IF(R302="Bogs Ponds Streams","20",IF(R302="Coastal Areas","26",IF(R302="Meadows Dry Open","10",IF(R302="Forest &amp; Understory","14",IF(R302="Moist Open","12",IF(R302="Moist Shady","10",IF(R302="Sub-Alpine Slopes","0")))))))</f>
        <v>10</v>
      </c>
      <c r="U302" s="133" t="str">
        <f>IF(R302="Bogs Ponds Streams","52",IF(R302="Coastal Areas","51",IF(R302="Meadows Dry Open","53",IF(R302="Forest &amp; Understory","52",IF(R302="Moist Open","50",IF(R302="Moist Shady","46",IF(R302="Sub-Alpine Slopes","40")))))))</f>
        <v>46</v>
      </c>
      <c r="V302" s="133" t="str">
        <f>IF(R302="Bogs Ponds Streams","84",IF(R302="Coastal Areas","76",IF(R302="Meadows Dry Open","96", IF(R302="Forest &amp; Understory","90", IF(R302="Moist Open","88", IF(R302="Moist Shady","82", IF(R302="Sub-Alpine Slopes","80")))))))</f>
        <v>82</v>
      </c>
      <c r="W302" s="104">
        <v>20</v>
      </c>
      <c r="X302" s="104">
        <v>0</v>
      </c>
      <c r="Y302" s="104">
        <v>3500</v>
      </c>
      <c r="Z302" s="104" t="s">
        <v>2519</v>
      </c>
      <c r="AA302" s="104" t="s">
        <v>2518</v>
      </c>
      <c r="AB302" s="104">
        <v>6.8</v>
      </c>
      <c r="AC302" s="107">
        <f>C302+AK302+(0.1)*AL302</f>
        <v>35.1</v>
      </c>
      <c r="AD302" s="113">
        <v>79</v>
      </c>
      <c r="AE302" s="104">
        <v>5</v>
      </c>
      <c r="AF302" s="104">
        <v>5</v>
      </c>
      <c r="AG302" s="104">
        <v>1900</v>
      </c>
      <c r="AH302" s="113">
        <v>0</v>
      </c>
      <c r="AI302" s="104">
        <f>AJ302</f>
        <v>2004</v>
      </c>
      <c r="AJ302" s="108">
        <v>2004</v>
      </c>
      <c r="AK302" s="108">
        <v>32</v>
      </c>
      <c r="AL302" s="108">
        <v>11</v>
      </c>
      <c r="AM302" s="109">
        <v>5</v>
      </c>
      <c r="AN302" s="109">
        <v>1</v>
      </c>
      <c r="AO302" s="110">
        <v>0</v>
      </c>
      <c r="AP302" s="109">
        <v>0</v>
      </c>
      <c r="AQ302" s="109">
        <v>0</v>
      </c>
      <c r="AR302" s="109">
        <v>0</v>
      </c>
      <c r="AS302" s="110">
        <v>0</v>
      </c>
      <c r="AT302" s="109">
        <v>0</v>
      </c>
      <c r="AU302" s="109">
        <v>0</v>
      </c>
      <c r="AV302" s="109">
        <v>0</v>
      </c>
      <c r="AW302" s="110">
        <v>0</v>
      </c>
      <c r="AX302" s="109">
        <v>0</v>
      </c>
      <c r="AY302" s="233"/>
      <c r="AZ302" s="4"/>
      <c r="BA302" s="35" t="str">
        <f>IF(OR(S302="North America",S302="Rocky Mountain"), "Widespread",BC302)</f>
        <v>Widespread</v>
      </c>
      <c r="BB302" s="4"/>
      <c r="BC302" s="35" t="str">
        <f ca="1">IF(BE302&gt;2046, "Abundant",BE302)</f>
        <v>Abundant</v>
      </c>
      <c r="BD302" s="4"/>
      <c r="BE302" s="81">
        <f ca="1">YEAR($C$13)+(BG302*80)</f>
        <v>2047.2492663101605</v>
      </c>
      <c r="BF302" s="4"/>
      <c r="BG302" s="137">
        <f ca="1">BH302*$BH$14</f>
        <v>0.35311582887700532</v>
      </c>
      <c r="BH302" s="137">
        <f ca="1">(((BJ302+BK302+BM302+BN302)/4)*$BM$11)+(((BP302+BQ302)/2)*$BQ$11)+(((BU302+BV302+BW302)/3)*$BU$11)+(((BY302+BZ302+CA302+CB302+CC302)/5)*$CA$11)</f>
        <v>0.35311582887700532</v>
      </c>
      <c r="BI302" s="4"/>
      <c r="BJ302" s="33">
        <f>AP302/(AM302+AO302)</f>
        <v>0</v>
      </c>
      <c r="BK302" s="33">
        <f>(AN302+AO302)/(AM302+AO302)</f>
        <v>0.2</v>
      </c>
      <c r="BL302" s="4"/>
      <c r="BM302" s="127">
        <f>CF302/102</f>
        <v>0.34411764705882353</v>
      </c>
      <c r="BN302" s="127">
        <f>C302/2</f>
        <v>1</v>
      </c>
      <c r="BO302" s="4"/>
      <c r="BP302" s="127">
        <f>(AK302)/($AW$6)</f>
        <v>0.32323232323232326</v>
      </c>
      <c r="BQ302" s="127">
        <f ca="1">(CH302-$AW$4)/((YEAR($C$13))-$AW$4)</f>
        <v>0</v>
      </c>
      <c r="BR302" s="127">
        <f>(AL302)/($AW$6)</f>
        <v>0.1111111111111111</v>
      </c>
      <c r="BS302" s="4"/>
      <c r="BT302" s="127"/>
      <c r="BU302" s="127">
        <f ca="1">(CG302-$AW$4)/((YEAR($C$13))-$AW$4)</f>
        <v>0</v>
      </c>
      <c r="BV302" s="127">
        <f>AE302/5</f>
        <v>1</v>
      </c>
      <c r="BW302" s="127">
        <f>AF302/5</f>
        <v>1</v>
      </c>
      <c r="BX302" s="4"/>
      <c r="BY302" s="148" t="str">
        <f>IF(E302="A",".98",IF(E302="B",".99",IF(E302="C","1.00",IF(E302="D","1.00" ))))</f>
        <v>1.00</v>
      </c>
      <c r="BZ302" s="127">
        <f>(CE302+7)/10</f>
        <v>1</v>
      </c>
      <c r="CA302" s="76" t="str">
        <f>IF(D302="Fern",".97",IF(D302="Grass",".99",IF(D302="Herb",".97",IF(D302="Shrub",".99",IF(D302="Tree","1.00",IF(D302="Vine",".98"))))))</f>
        <v>.97</v>
      </c>
      <c r="CB302" s="149" t="str">
        <f>IF(R302="Bogs Ponds Streams",".96", IF(R302="Coastal Areas",".97",IF(R302="Meadows Dry Open",".96",IF(R302="Forest &amp; Understory",".97",IF(R302="Moist Open",".98",IF(R302="Moist Shady",".96",IF(R302="Sub-Alpine","1.0")))))))</f>
        <v>.96</v>
      </c>
      <c r="CC302" s="76" t="str">
        <f>IF(S302="Local Endemic",".50",IF(S302="Regional Endemic",".70",IF(S302="Cascadia",".90",IF(S302="Rocky Mountain",".95",IF(S302="North America",".99")))))</f>
        <v>.99</v>
      </c>
      <c r="CD302" s="4"/>
      <c r="CE302" s="21">
        <f>IF(W302&gt;3,3,W302)</f>
        <v>3</v>
      </c>
      <c r="CF302" s="21">
        <f>IF(AC302&gt;102,102,AC302)</f>
        <v>35.1</v>
      </c>
      <c r="CG302" s="34">
        <f>IF(AI302&lt;$AW$4,$AW$4,AI302)</f>
        <v>2004</v>
      </c>
      <c r="CH302" s="34">
        <f>IF(AJ302&lt;$AW$4,$AW$4,AJ302)</f>
        <v>2004</v>
      </c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12"/>
    </row>
    <row r="303" spans="1:116" s="13" customFormat="1" ht="15" customHeight="1" x14ac:dyDescent="0.3">
      <c r="A303" s="235"/>
      <c r="B303" s="218"/>
      <c r="C303" s="375">
        <v>1</v>
      </c>
      <c r="D303" s="67" t="s">
        <v>2505</v>
      </c>
      <c r="E303" s="67" t="s">
        <v>2501</v>
      </c>
      <c r="F303" s="403" t="str">
        <f ca="1">IF(BC303&lt;2025, "Extinct&lt; 6Yrs?",BA303)</f>
        <v>Widespread</v>
      </c>
      <c r="G303" s="376" t="s">
        <v>525</v>
      </c>
      <c r="H303" s="376" t="s">
        <v>4028</v>
      </c>
      <c r="I303" s="379" t="s">
        <v>2582</v>
      </c>
      <c r="J303" s="378" t="s">
        <v>3622</v>
      </c>
      <c r="K303" s="378" t="s">
        <v>1223</v>
      </c>
      <c r="L303" s="65" t="s">
        <v>2173</v>
      </c>
      <c r="M303" s="64" t="s">
        <v>4382</v>
      </c>
      <c r="N303" s="64" t="s">
        <v>5276</v>
      </c>
      <c r="O303" s="64" t="s">
        <v>6173</v>
      </c>
      <c r="P303" s="404" t="s">
        <v>131</v>
      </c>
      <c r="Q303" s="67" t="s">
        <v>2552</v>
      </c>
      <c r="R303" s="163" t="s">
        <v>2497</v>
      </c>
      <c r="S303" s="65" t="s">
        <v>2495</v>
      </c>
      <c r="T303" s="134" t="str">
        <f>IF(R303="Bogs Ponds Streams","20",IF(R303="Coastal Areas","26",IF(R303="Meadows Dry Open","10",IF(R303="Forest &amp; Understory","14",IF(R303="Moist Open","12",IF(R303="Moist Shady","10",IF(R303="Sub-Alpine Slopes","0")))))))</f>
        <v>12</v>
      </c>
      <c r="U303" s="134" t="str">
        <f>IF(R303="Bogs Ponds Streams","52",IF(R303="Coastal Areas","51",IF(R303="Meadows Dry Open","53",IF(R303="Forest &amp; Understory","52",IF(R303="Moist Open","50",IF(R303="Moist Shady","46",IF(R303="Sub-Alpine Slopes","40")))))))</f>
        <v>50</v>
      </c>
      <c r="V303" s="134" t="str">
        <f>IF(R303="Bogs Ponds Streams","84",IF(R303="Coastal Areas","76",IF(R303="Meadows Dry Open","96", IF(R303="Forest &amp; Understory","90", IF(R303="Moist Open","88", IF(R303="Moist Shady","82", IF(R303="Sub-Alpine Slopes","80")))))))</f>
        <v>88</v>
      </c>
      <c r="W303" s="67">
        <v>20</v>
      </c>
      <c r="X303" s="67">
        <v>0</v>
      </c>
      <c r="Y303" s="67">
        <v>3500</v>
      </c>
      <c r="Z303" s="67" t="s">
        <v>2519</v>
      </c>
      <c r="AA303" s="67" t="s">
        <v>2518</v>
      </c>
      <c r="AB303" s="67">
        <v>6.8</v>
      </c>
      <c r="AC303" s="85">
        <f>C303+AK303+(0.1)*AL303</f>
        <v>8.6999999999999993</v>
      </c>
      <c r="AD303" s="78">
        <v>30</v>
      </c>
      <c r="AE303" s="67">
        <v>5</v>
      </c>
      <c r="AF303" s="67">
        <v>5</v>
      </c>
      <c r="AG303" s="67">
        <v>1900</v>
      </c>
      <c r="AH303" s="78">
        <v>0</v>
      </c>
      <c r="AI303" s="67">
        <f>AJ303</f>
        <v>2004</v>
      </c>
      <c r="AJ303" s="69">
        <v>2004</v>
      </c>
      <c r="AK303" s="69">
        <v>7</v>
      </c>
      <c r="AL303" s="69">
        <v>7</v>
      </c>
      <c r="AM303" s="70">
        <v>5</v>
      </c>
      <c r="AN303" s="70">
        <v>0</v>
      </c>
      <c r="AO303" s="86">
        <v>0</v>
      </c>
      <c r="AP303" s="70">
        <v>0</v>
      </c>
      <c r="AQ303" s="70">
        <v>0</v>
      </c>
      <c r="AR303" s="70">
        <v>0</v>
      </c>
      <c r="AS303" s="86">
        <v>0</v>
      </c>
      <c r="AT303" s="70">
        <v>0</v>
      </c>
      <c r="AU303" s="70">
        <v>0</v>
      </c>
      <c r="AV303" s="70">
        <v>0</v>
      </c>
      <c r="AW303" s="86">
        <v>0</v>
      </c>
      <c r="AX303" s="70">
        <v>0</v>
      </c>
      <c r="AY303" s="233"/>
      <c r="AZ303" s="4"/>
      <c r="BA303" s="35" t="str">
        <f>IF(OR(S303="North America",S303="Rocky Mountain"), "Widespread",BC303)</f>
        <v>Widespread</v>
      </c>
      <c r="BB303" s="4"/>
      <c r="BC303" s="35">
        <f ca="1">IF(BE303&gt;2046, "Abundant",BE303)</f>
        <v>2032.7194809269163</v>
      </c>
      <c r="BD303" s="4"/>
      <c r="BE303" s="81">
        <f ca="1">YEAR($C$13)+(BG303*80)</f>
        <v>2032.7194809269163</v>
      </c>
      <c r="BF303" s="4"/>
      <c r="BG303" s="137">
        <f ca="1">BH303*$BH$14</f>
        <v>0.17149351158645276</v>
      </c>
      <c r="BH303" s="137">
        <f ca="1">(((BJ303+BK303+BM303+BN303)/4)*$BM$11)+(((BP303+BQ303)/2)*$BQ$11)+(((BU303+BV303+BW303)/3)*$BU$11)+(((BY303+BZ303+CA303+CB303+CC303)/5)*$CA$11)</f>
        <v>0.17149351158645276</v>
      </c>
      <c r="BI303" s="4"/>
      <c r="BJ303" s="33">
        <f>AP303/(AM303+AO303)</f>
        <v>0</v>
      </c>
      <c r="BK303" s="33">
        <f>(AN303+AO303)/(AM303+AO303)</f>
        <v>0</v>
      </c>
      <c r="BL303" s="4"/>
      <c r="BM303" s="127">
        <f>CF303/102</f>
        <v>8.5294117647058812E-2</v>
      </c>
      <c r="BN303" s="127">
        <f>C303/2</f>
        <v>0.5</v>
      </c>
      <c r="BO303" s="4"/>
      <c r="BP303" s="127">
        <f>(AK303)/($AW$6)</f>
        <v>7.0707070707070704E-2</v>
      </c>
      <c r="BQ303" s="127">
        <f ca="1">(CH303-$AW$4)/((YEAR($C$13))-$AW$4)</f>
        <v>0</v>
      </c>
      <c r="BR303" s="127">
        <f>(AL303)/($AW$6)</f>
        <v>7.0707070707070704E-2</v>
      </c>
      <c r="BS303" s="4"/>
      <c r="BT303" s="127"/>
      <c r="BU303" s="127">
        <f ca="1">(CG303-$AW$4)/((YEAR($C$13))-$AW$4)</f>
        <v>0</v>
      </c>
      <c r="BV303" s="127">
        <f>AE303/5</f>
        <v>1</v>
      </c>
      <c r="BW303" s="127">
        <f>AF303/5</f>
        <v>1</v>
      </c>
      <c r="BX303" s="4"/>
      <c r="BY303" s="148" t="str">
        <f>IF(E303="A",".98",IF(E303="B",".99",IF(E303="C","1.00",IF(E303="D","1.00" ))))</f>
        <v>1.00</v>
      </c>
      <c r="BZ303" s="127">
        <f>(CE303+7)/10</f>
        <v>1</v>
      </c>
      <c r="CA303" s="76" t="str">
        <f>IF(D303="Fern",".97",IF(D303="Grass",".99",IF(D303="Herb",".97",IF(D303="Shrub",".99",IF(D303="Tree","1.00",IF(D303="Vine",".98"))))))</f>
        <v>.97</v>
      </c>
      <c r="CB303" s="149" t="str">
        <f>IF(R303="Bogs Ponds Streams",".96", IF(R303="Coastal Areas",".97",IF(R303="Meadows Dry Open",".96",IF(R303="Forest &amp; Understory",".97",IF(R303="Moist Open",".98",IF(R303="Moist Shady",".96",IF(R303="Sub-Alpine","1.0")))))))</f>
        <v>.98</v>
      </c>
      <c r="CC303" s="76" t="str">
        <f>IF(S303="Local Endemic",".50",IF(S303="Regional Endemic",".70",IF(S303="Cascadia",".90",IF(S303="Rocky Mountain",".95",IF(S303="North America",".99")))))</f>
        <v>.99</v>
      </c>
      <c r="CD303" s="4"/>
      <c r="CE303" s="21">
        <f>IF(W303&gt;3,3,W303)</f>
        <v>3</v>
      </c>
      <c r="CF303" s="21">
        <f>IF(AC303&gt;102,102,AC303)</f>
        <v>8.6999999999999993</v>
      </c>
      <c r="CG303" s="34">
        <f>IF(AI303&lt;$AW$4,$AW$4,AI303)</f>
        <v>2004</v>
      </c>
      <c r="CH303" s="34">
        <f>IF(AJ303&lt;$AW$4,$AW$4,AJ303)</f>
        <v>2004</v>
      </c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12"/>
    </row>
    <row r="304" spans="1:116" s="13" customFormat="1" ht="15" customHeight="1" x14ac:dyDescent="0.3">
      <c r="A304" s="235"/>
      <c r="B304" s="218"/>
      <c r="C304" s="225">
        <v>8</v>
      </c>
      <c r="D304" s="94" t="s">
        <v>1155</v>
      </c>
      <c r="E304" s="59" t="s">
        <v>2501</v>
      </c>
      <c r="F304" s="397" t="str">
        <f ca="1">IF(BC304&lt;2025, "Extinct&lt; 6Yrs?",BA304)</f>
        <v>Widespread</v>
      </c>
      <c r="G304" s="363" t="s">
        <v>525</v>
      </c>
      <c r="H304" s="363" t="s">
        <v>681</v>
      </c>
      <c r="I304" s="366" t="s">
        <v>218</v>
      </c>
      <c r="J304" s="365" t="s">
        <v>3328</v>
      </c>
      <c r="K304" s="365" t="s">
        <v>217</v>
      </c>
      <c r="L304" s="10" t="s">
        <v>1403</v>
      </c>
      <c r="M304" s="8" t="s">
        <v>4383</v>
      </c>
      <c r="N304" s="8" t="s">
        <v>5277</v>
      </c>
      <c r="O304" s="8" t="s">
        <v>6174</v>
      </c>
      <c r="P304" s="9" t="s">
        <v>468</v>
      </c>
      <c r="Q304" s="59" t="s">
        <v>2552</v>
      </c>
      <c r="R304" s="9" t="s">
        <v>2500</v>
      </c>
      <c r="S304" s="9" t="s">
        <v>2479</v>
      </c>
      <c r="T304" s="123" t="str">
        <f>IF(R304="Bogs Ponds Streams","20",IF(R304="Coastal Areas","26",IF(R304="Meadows Dry Open","10",IF(R304="Forest &amp; Understory","14",IF(R304="Moist Open","12",IF(R304="Moist Shady","10",IF(R304="Sub-Alpine Slopes","0")))))))</f>
        <v>10</v>
      </c>
      <c r="U304" s="123" t="str">
        <f>IF(R304="Bogs Ponds Streams","52",IF(R304="Coastal Areas","51",IF(R304="Meadows Dry Open","53",IF(R304="Forest &amp; Understory","52",IF(R304="Moist Open","50",IF(R304="Moist Shady","46",IF(R304="Sub-Alpine Slopes","40")))))))</f>
        <v>53</v>
      </c>
      <c r="V304" s="123" t="str">
        <f>IF(R304="Bogs Ponds Streams","84",IF(R304="Coastal Areas","76",IF(R304="Meadows Dry Open","96", IF(R304="Forest &amp; Understory","90", IF(R304="Moist Open","88", IF(R304="Moist Shady","82", IF(R304="Sub-Alpine Slopes","80")))))))</f>
        <v>96</v>
      </c>
      <c r="W304" s="59">
        <v>20</v>
      </c>
      <c r="X304" s="59">
        <v>0</v>
      </c>
      <c r="Y304" s="59">
        <v>3500</v>
      </c>
      <c r="Z304" s="59" t="s">
        <v>2519</v>
      </c>
      <c r="AA304" s="59" t="s">
        <v>2518</v>
      </c>
      <c r="AB304" s="59">
        <v>6.8</v>
      </c>
      <c r="AC304" s="45">
        <f>C304+AK304+(0.1)*AL304</f>
        <v>22.3</v>
      </c>
      <c r="AD304" s="77">
        <v>204</v>
      </c>
      <c r="AE304" s="59">
        <v>5</v>
      </c>
      <c r="AF304" s="59">
        <v>5</v>
      </c>
      <c r="AG304" s="59">
        <v>1900</v>
      </c>
      <c r="AH304" s="77">
        <v>0</v>
      </c>
      <c r="AI304" s="59">
        <f ca="1">AJ304</f>
        <v>2019</v>
      </c>
      <c r="AJ304" s="18">
        <f ca="1">YEAR(TODAY())</f>
        <v>2019</v>
      </c>
      <c r="AK304" s="18">
        <v>11</v>
      </c>
      <c r="AL304" s="18">
        <v>33</v>
      </c>
      <c r="AM304" s="18">
        <v>1</v>
      </c>
      <c r="AN304" s="18">
        <v>1</v>
      </c>
      <c r="AO304" s="25">
        <v>0</v>
      </c>
      <c r="AP304" s="24">
        <v>0</v>
      </c>
      <c r="AQ304" s="18">
        <v>0</v>
      </c>
      <c r="AR304" s="18">
        <v>0</v>
      </c>
      <c r="AS304" s="18">
        <v>0</v>
      </c>
      <c r="AT304" s="18">
        <v>0</v>
      </c>
      <c r="AU304" s="18">
        <v>0</v>
      </c>
      <c r="AV304" s="18">
        <v>0</v>
      </c>
      <c r="AW304" s="18">
        <v>0</v>
      </c>
      <c r="AX304" s="18">
        <v>0</v>
      </c>
      <c r="AY304" s="233"/>
      <c r="AZ304" s="4"/>
      <c r="BA304" s="35" t="str">
        <f>IF(OR(S304="North America",S304="Rocky Mountain"), "Widespread",BC304)</f>
        <v>Widespread</v>
      </c>
      <c r="BB304" s="4"/>
      <c r="BC304" s="35" t="str">
        <f ca="1">IF(BE304&gt;2046, "Abundant",BE304)</f>
        <v>Abundant</v>
      </c>
      <c r="BD304" s="4"/>
      <c r="BE304" s="81">
        <f ca="1">YEAR($C$13)+(BG304*80)</f>
        <v>2102.9248627450979</v>
      </c>
      <c r="BF304" s="4"/>
      <c r="BG304" s="137">
        <f ca="1">BH304*$BH$14</f>
        <v>1.0490607843137256</v>
      </c>
      <c r="BH304" s="137">
        <f ca="1">(((BJ304+BK304+BM304+BN304)/4)*$BM$11)+(((BP304+BQ304)/2)*$BQ$11)+(((BU304+BV304+BW304)/3)*$BU$11)+(((BY304+BZ304+CA304+CB304+CC304)/5)*$CA$11)</f>
        <v>1.0490607843137256</v>
      </c>
      <c r="BI304" s="4"/>
      <c r="BJ304" s="33">
        <f>AP304/(AM304+AO304)</f>
        <v>0</v>
      </c>
      <c r="BK304" s="33">
        <f>(AN304+AO304)/(AM304+AO304)</f>
        <v>1</v>
      </c>
      <c r="BL304" s="4"/>
      <c r="BM304" s="127">
        <f>CF304/102</f>
        <v>0.21862745098039216</v>
      </c>
      <c r="BN304" s="127">
        <f>C304/2</f>
        <v>4</v>
      </c>
      <c r="BO304" s="4"/>
      <c r="BP304" s="127">
        <f>(AK304)/($AW$6)</f>
        <v>0.1111111111111111</v>
      </c>
      <c r="BQ304" s="127">
        <f ca="1">(CH304-$AW$4)/((YEAR($C$13))-$AW$4)</f>
        <v>1</v>
      </c>
      <c r="BR304" s="127">
        <f>(AL304)/($AW$6)</f>
        <v>0.33333333333333331</v>
      </c>
      <c r="BS304" s="4"/>
      <c r="BT304" s="127"/>
      <c r="BU304" s="127">
        <f ca="1">(CG304-$AW$4)/((YEAR($C$13))-$AW$4)</f>
        <v>1</v>
      </c>
      <c r="BV304" s="127">
        <f>AE304/5</f>
        <v>1</v>
      </c>
      <c r="BW304" s="127">
        <f>AF304/5</f>
        <v>1</v>
      </c>
      <c r="BX304" s="4"/>
      <c r="BY304" s="148" t="str">
        <f>IF(E304="A",".98",IF(E304="B",".99",IF(E304="C","1.00",IF(E304="D","1.00" ))))</f>
        <v>1.00</v>
      </c>
      <c r="BZ304" s="127">
        <f>(CE304+7)/10</f>
        <v>1</v>
      </c>
      <c r="CA304" s="76" t="str">
        <f>IF(D304="Fern",".97",IF(D304="Grass",".99",IF(D304="Herb",".97",IF(D304="Shrub",".99",IF(D304="Tree","1.00",IF(D304="Vine",".98"))))))</f>
        <v>.99</v>
      </c>
      <c r="CB304" s="149" t="str">
        <f>IF(R304="Bogs Ponds Streams",".96", IF(R304="Coastal Areas",".97",IF(R304="Meadows Dry Open",".96",IF(R304="Forest &amp; Understory",".97",IF(R304="Moist Open",".98",IF(R304="Moist Shady",".96",IF(R304="Sub-Alpine","1.0")))))))</f>
        <v>.96</v>
      </c>
      <c r="CC304" s="76" t="str">
        <f>IF(S304="Local Endemic",".50",IF(S304="Regional Endemic",".70",IF(S304="Cascadia",".90",IF(S304="Rocky Mountain",".95",IF(S304="North America",".99")))))</f>
        <v>.95</v>
      </c>
      <c r="CD304" s="4"/>
      <c r="CE304" s="21">
        <f>IF(W304&gt;3,3,W304)</f>
        <v>3</v>
      </c>
      <c r="CF304" s="21">
        <f>IF(AC304&gt;102,102,AC304)</f>
        <v>22.3</v>
      </c>
      <c r="CG304" s="34">
        <f ca="1">IF(AI304&lt;$AW$4,$AW$4,AI304)</f>
        <v>2019</v>
      </c>
      <c r="CH304" s="34">
        <f ca="1">IF(AJ304&lt;$AW$4,$AW$4,AJ304)</f>
        <v>2019</v>
      </c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</row>
    <row r="305" spans="1:115" s="13" customFormat="1" ht="15" customHeight="1" x14ac:dyDescent="0.3">
      <c r="A305" s="235"/>
      <c r="B305" s="218"/>
      <c r="C305" s="225">
        <v>8</v>
      </c>
      <c r="D305" s="94" t="s">
        <v>1155</v>
      </c>
      <c r="E305" s="59" t="s">
        <v>2501</v>
      </c>
      <c r="F305" s="397" t="str">
        <f ca="1">IF(BC305&lt;2025, "Extinct&lt; 6Yrs?",BA305)</f>
        <v>Widespread</v>
      </c>
      <c r="G305" s="363" t="s">
        <v>525</v>
      </c>
      <c r="H305" s="363" t="s">
        <v>696</v>
      </c>
      <c r="I305" s="366" t="s">
        <v>219</v>
      </c>
      <c r="J305" s="365" t="s">
        <v>3327</v>
      </c>
      <c r="K305" s="365" t="s">
        <v>950</v>
      </c>
      <c r="L305" s="10" t="s">
        <v>1404</v>
      </c>
      <c r="M305" s="8" t="s">
        <v>4384</v>
      </c>
      <c r="N305" s="8" t="s">
        <v>5278</v>
      </c>
      <c r="O305" s="8" t="s">
        <v>6175</v>
      </c>
      <c r="P305" s="9" t="s">
        <v>468</v>
      </c>
      <c r="Q305" s="59" t="s">
        <v>2552</v>
      </c>
      <c r="R305" s="9" t="s">
        <v>2500</v>
      </c>
      <c r="S305" s="9" t="s">
        <v>2495</v>
      </c>
      <c r="T305" s="123" t="str">
        <f>IF(R305="Bogs Ponds Streams","20",IF(R305="Coastal Areas","26",IF(R305="Meadows Dry Open","10",IF(R305="Forest &amp; Understory","14",IF(R305="Moist Open","12",IF(R305="Moist Shady","10",IF(R305="Sub-Alpine Slopes","0")))))))</f>
        <v>10</v>
      </c>
      <c r="U305" s="123" t="str">
        <f>IF(R305="Bogs Ponds Streams","52",IF(R305="Coastal Areas","51",IF(R305="Meadows Dry Open","53",IF(R305="Forest &amp; Understory","52",IF(R305="Moist Open","50",IF(R305="Moist Shady","46",IF(R305="Sub-Alpine Slopes","40")))))))</f>
        <v>53</v>
      </c>
      <c r="V305" s="123" t="str">
        <f>IF(R305="Bogs Ponds Streams","84",IF(R305="Coastal Areas","76",IF(R305="Meadows Dry Open","96", IF(R305="Forest &amp; Understory","90", IF(R305="Moist Open","88", IF(R305="Moist Shady","82", IF(R305="Sub-Alpine Slopes","80")))))))</f>
        <v>96</v>
      </c>
      <c r="W305" s="59">
        <v>20</v>
      </c>
      <c r="X305" s="59">
        <v>0</v>
      </c>
      <c r="Y305" s="59">
        <v>3500</v>
      </c>
      <c r="Z305" s="59" t="s">
        <v>2519</v>
      </c>
      <c r="AA305" s="59" t="s">
        <v>2518</v>
      </c>
      <c r="AB305" s="59">
        <v>6.8</v>
      </c>
      <c r="AC305" s="45">
        <f>C305+AK305+(0.1)*AL305</f>
        <v>45.4</v>
      </c>
      <c r="AD305" s="77">
        <v>351</v>
      </c>
      <c r="AE305" s="59">
        <v>5</v>
      </c>
      <c r="AF305" s="59">
        <v>5</v>
      </c>
      <c r="AG305" s="59">
        <v>1900</v>
      </c>
      <c r="AH305" s="77">
        <v>0</v>
      </c>
      <c r="AI305" s="59">
        <f ca="1">AJ305</f>
        <v>2019</v>
      </c>
      <c r="AJ305" s="18">
        <f ca="1">YEAR(TODAY())</f>
        <v>2019</v>
      </c>
      <c r="AK305" s="18">
        <v>33</v>
      </c>
      <c r="AL305" s="18">
        <v>44</v>
      </c>
      <c r="AM305" s="18">
        <v>1</v>
      </c>
      <c r="AN305" s="18">
        <v>1</v>
      </c>
      <c r="AO305" s="18">
        <v>5</v>
      </c>
      <c r="AP305" s="18">
        <v>1</v>
      </c>
      <c r="AQ305" s="18">
        <v>0</v>
      </c>
      <c r="AR305" s="18">
        <v>0</v>
      </c>
      <c r="AS305" s="18">
        <v>0</v>
      </c>
      <c r="AT305" s="18">
        <v>0</v>
      </c>
      <c r="AU305" s="18">
        <v>0</v>
      </c>
      <c r="AV305" s="18">
        <v>0</v>
      </c>
      <c r="AW305" s="18">
        <v>0</v>
      </c>
      <c r="AX305" s="18">
        <v>0</v>
      </c>
      <c r="AY305" s="233"/>
      <c r="AZ305" s="4"/>
      <c r="BA305" s="35" t="str">
        <f>IF(OR(S305="North America",S305="Rocky Mountain"), "Widespread",BC305)</f>
        <v>Widespread</v>
      </c>
      <c r="BB305" s="4"/>
      <c r="BC305" s="35" t="str">
        <f ca="1">IF(BE305&gt;2046, "Abundant",BE305)</f>
        <v>Abundant</v>
      </c>
      <c r="BD305" s="4"/>
      <c r="BE305" s="81">
        <f ca="1">YEAR($C$13)+(BG305*80)</f>
        <v>2110.3219764705882</v>
      </c>
      <c r="BF305" s="4"/>
      <c r="BG305" s="137">
        <f ca="1">BH305*$BH$14</f>
        <v>1.141524705882353</v>
      </c>
      <c r="BH305" s="137">
        <f ca="1">(((BJ305+BK305+BM305+BN305)/4)*$BM$11)+(((BP305+BQ305)/2)*$BQ$11)+(((BU305+BV305+BW305)/3)*$BU$11)+(((BY305+BZ305+CA305+CB305+CC305)/5)*$CA$11)</f>
        <v>1.141524705882353</v>
      </c>
      <c r="BI305" s="4"/>
      <c r="BJ305" s="33">
        <f>AP305/(AM305+AO305)</f>
        <v>0.16666666666666666</v>
      </c>
      <c r="BK305" s="33">
        <f>(AN305+AO305)/(AM305+AO305)</f>
        <v>1</v>
      </c>
      <c r="BL305" s="4"/>
      <c r="BM305" s="127">
        <f>CF305/102</f>
        <v>0.44509803921568625</v>
      </c>
      <c r="BN305" s="127">
        <f>C305/2</f>
        <v>4</v>
      </c>
      <c r="BO305" s="4"/>
      <c r="BP305" s="127">
        <f>(AK305)/($AW$6)</f>
        <v>0.33333333333333331</v>
      </c>
      <c r="BQ305" s="127">
        <f ca="1">(CH305-$AW$4)/((YEAR($C$13))-$AW$4)</f>
        <v>1</v>
      </c>
      <c r="BR305" s="127">
        <f>(AL305)/($AW$6)</f>
        <v>0.44444444444444442</v>
      </c>
      <c r="BS305" s="4"/>
      <c r="BT305" s="127"/>
      <c r="BU305" s="127">
        <f ca="1">(CG305-$AW$4)/((YEAR($C$13))-$AW$4)</f>
        <v>1</v>
      </c>
      <c r="BV305" s="127">
        <f>AE305/5</f>
        <v>1</v>
      </c>
      <c r="BW305" s="127">
        <f>AF305/5</f>
        <v>1</v>
      </c>
      <c r="BX305" s="4"/>
      <c r="BY305" s="148" t="str">
        <f>IF(E305="A",".98",IF(E305="B",".99",IF(E305="C","1.00",IF(E305="D","1.00" ))))</f>
        <v>1.00</v>
      </c>
      <c r="BZ305" s="127">
        <f>(CE305+7)/10</f>
        <v>1</v>
      </c>
      <c r="CA305" s="76" t="str">
        <f>IF(D305="Fern",".97",IF(D305="Grass",".99",IF(D305="Herb",".97",IF(D305="Shrub",".99",IF(D305="Tree","1.00",IF(D305="Vine",".98"))))))</f>
        <v>.99</v>
      </c>
      <c r="CB305" s="149" t="str">
        <f>IF(R305="Bogs Ponds Streams",".96", IF(R305="Coastal Areas",".97",IF(R305="Meadows Dry Open",".96",IF(R305="Forest &amp; Understory",".97",IF(R305="Moist Open",".98",IF(R305="Moist Shady",".96",IF(R305="Sub-Alpine","1.0")))))))</f>
        <v>.96</v>
      </c>
      <c r="CC305" s="76" t="str">
        <f>IF(S305="Local Endemic",".50",IF(S305="Regional Endemic",".70",IF(S305="Cascadia",".90",IF(S305="Rocky Mountain",".95",IF(S305="North America",".99")))))</f>
        <v>.99</v>
      </c>
      <c r="CD305" s="4"/>
      <c r="CE305" s="21">
        <f>IF(W305&gt;3,3,W305)</f>
        <v>3</v>
      </c>
      <c r="CF305" s="21">
        <f>IF(AC305&gt;102,102,AC305)</f>
        <v>45.4</v>
      </c>
      <c r="CG305" s="34">
        <f ca="1">IF(AI305&lt;$AW$4,$AW$4,AI305)</f>
        <v>2019</v>
      </c>
      <c r="CH305" s="34">
        <f ca="1">IF(AJ305&lt;$AW$4,$AW$4,AJ305)</f>
        <v>2019</v>
      </c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</row>
    <row r="306" spans="1:115" s="13" customFormat="1" ht="15" customHeight="1" x14ac:dyDescent="0.3">
      <c r="A306" s="235"/>
      <c r="B306" s="218"/>
      <c r="C306" s="225">
        <v>8</v>
      </c>
      <c r="D306" s="59" t="s">
        <v>2505</v>
      </c>
      <c r="E306" s="59" t="s">
        <v>2501</v>
      </c>
      <c r="F306" s="397" t="str">
        <f ca="1">IF(BC306&lt;2025, "Extinct&lt; 6Yrs?",BA306)</f>
        <v>Widespread</v>
      </c>
      <c r="G306" s="363" t="s">
        <v>525</v>
      </c>
      <c r="H306" s="363" t="s">
        <v>696</v>
      </c>
      <c r="I306" s="365" t="s">
        <v>2632</v>
      </c>
      <c r="J306" s="365" t="s">
        <v>3326</v>
      </c>
      <c r="K306" s="365" t="s">
        <v>2762</v>
      </c>
      <c r="L306" s="10" t="s">
        <v>1405</v>
      </c>
      <c r="M306" s="8" t="s">
        <v>4385</v>
      </c>
      <c r="N306" s="8" t="s">
        <v>5279</v>
      </c>
      <c r="O306" s="8" t="s">
        <v>6176</v>
      </c>
      <c r="P306" s="7" t="s">
        <v>198</v>
      </c>
      <c r="Q306" s="59" t="s">
        <v>2552</v>
      </c>
      <c r="R306" s="160" t="s">
        <v>2497</v>
      </c>
      <c r="S306" s="17" t="s">
        <v>2495</v>
      </c>
      <c r="T306" s="123" t="str">
        <f>IF(R306="Bogs Ponds Streams","20",IF(R306="Coastal Areas","26",IF(R306="Meadows Dry Open","10",IF(R306="Forest &amp; Understory","14",IF(R306="Moist Open","12",IF(R306="Moist Shady","10",IF(R306="Sub-Alpine Slopes","0")))))))</f>
        <v>12</v>
      </c>
      <c r="U306" s="123" t="str">
        <f>IF(R306="Bogs Ponds Streams","52",IF(R306="Coastal Areas","51",IF(R306="Meadows Dry Open","53",IF(R306="Forest &amp; Understory","52",IF(R306="Moist Open","50",IF(R306="Moist Shady","46",IF(R306="Sub-Alpine Slopes","40")))))))</f>
        <v>50</v>
      </c>
      <c r="V306" s="123" t="str">
        <f>IF(R306="Bogs Ponds Streams","84",IF(R306="Coastal Areas","76",IF(R306="Meadows Dry Open","96", IF(R306="Forest &amp; Understory","90", IF(R306="Moist Open","88", IF(R306="Moist Shady","82", IF(R306="Sub-Alpine Slopes","80")))))))</f>
        <v>88</v>
      </c>
      <c r="W306" s="59">
        <v>20</v>
      </c>
      <c r="X306" s="59">
        <v>0</v>
      </c>
      <c r="Y306" s="59">
        <v>3500</v>
      </c>
      <c r="Z306" s="59" t="s">
        <v>2519</v>
      </c>
      <c r="AA306" s="59" t="s">
        <v>2518</v>
      </c>
      <c r="AB306" s="59">
        <v>6.8</v>
      </c>
      <c r="AC306" s="45">
        <f>C306+AK306+(0.1)*AL306</f>
        <v>30.1</v>
      </c>
      <c r="AD306" s="77">
        <v>81</v>
      </c>
      <c r="AE306" s="59">
        <v>5</v>
      </c>
      <c r="AF306" s="59">
        <v>5</v>
      </c>
      <c r="AG306" s="59">
        <v>1900</v>
      </c>
      <c r="AH306" s="77">
        <v>0</v>
      </c>
      <c r="AI306" s="59">
        <f ca="1">AJ306</f>
        <v>2019</v>
      </c>
      <c r="AJ306" s="18">
        <f ca="1">YEAR(TODAY())</f>
        <v>2019</v>
      </c>
      <c r="AK306" s="18">
        <v>21</v>
      </c>
      <c r="AL306" s="18">
        <v>11</v>
      </c>
      <c r="AM306" s="18">
        <v>1</v>
      </c>
      <c r="AN306" s="18">
        <v>1</v>
      </c>
      <c r="AO306" s="24">
        <v>1</v>
      </c>
      <c r="AP306" s="24">
        <v>0</v>
      </c>
      <c r="AQ306" s="18">
        <v>0</v>
      </c>
      <c r="AR306" s="18">
        <v>0</v>
      </c>
      <c r="AS306" s="18">
        <v>0</v>
      </c>
      <c r="AT306" s="18">
        <v>0</v>
      </c>
      <c r="AU306" s="18">
        <v>0</v>
      </c>
      <c r="AV306" s="18">
        <v>0</v>
      </c>
      <c r="AW306" s="18">
        <v>0</v>
      </c>
      <c r="AX306" s="18">
        <v>0</v>
      </c>
      <c r="AY306" s="233"/>
      <c r="AZ306" s="4"/>
      <c r="BA306" s="35" t="str">
        <f>IF(OR(S306="North America",S306="Rocky Mountain"), "Widespread",BC306)</f>
        <v>Widespread</v>
      </c>
      <c r="BB306" s="4"/>
      <c r="BC306" s="35" t="str">
        <f ca="1">IF(BE306&gt;2046, "Abundant",BE306)</f>
        <v>Abundant</v>
      </c>
      <c r="BD306" s="4"/>
      <c r="BE306" s="81">
        <f ca="1">YEAR($C$13)+(BG306*80)</f>
        <v>2105.067431016043</v>
      </c>
      <c r="BF306" s="4"/>
      <c r="BG306" s="137">
        <f ca="1">BH306*$BH$14</f>
        <v>1.0758428877005348</v>
      </c>
      <c r="BH306" s="137">
        <f ca="1">(((BJ306+BK306+BM306+BN306)/4)*$BM$11)+(((BP306+BQ306)/2)*$BQ$11)+(((BU306+BV306+BW306)/3)*$BU$11)+(((BY306+BZ306+CA306+CB306+CC306)/5)*$CA$11)</f>
        <v>1.0758428877005348</v>
      </c>
      <c r="BI306" s="4"/>
      <c r="BJ306" s="33">
        <f>AP306/(AM306+AO306)</f>
        <v>0</v>
      </c>
      <c r="BK306" s="33">
        <f>(AN306+AO306)/(AM306+AO306)</f>
        <v>1</v>
      </c>
      <c r="BL306" s="4"/>
      <c r="BM306" s="127">
        <f>CF306/102</f>
        <v>0.29509803921568628</v>
      </c>
      <c r="BN306" s="127">
        <f>C306/2</f>
        <v>4</v>
      </c>
      <c r="BO306" s="4"/>
      <c r="BP306" s="127">
        <f>(AK306)/($AW$6)</f>
        <v>0.21212121212121213</v>
      </c>
      <c r="BQ306" s="127">
        <f ca="1">(CH306-$AW$4)/((YEAR($C$13))-$AW$4)</f>
        <v>1</v>
      </c>
      <c r="BR306" s="127">
        <f>(AL306)/($AW$6)</f>
        <v>0.1111111111111111</v>
      </c>
      <c r="BS306" s="4"/>
      <c r="BT306" s="127"/>
      <c r="BU306" s="127">
        <f ca="1">(CG306-$AW$4)/((YEAR($C$13))-$AW$4)</f>
        <v>1</v>
      </c>
      <c r="BV306" s="127">
        <f>AE306/5</f>
        <v>1</v>
      </c>
      <c r="BW306" s="127">
        <f>AF306/5</f>
        <v>1</v>
      </c>
      <c r="BX306" s="4"/>
      <c r="BY306" s="148" t="str">
        <f>IF(E306="A",".98",IF(E306="B",".99",IF(E306="C","1.00",IF(E306="D","1.00" ))))</f>
        <v>1.00</v>
      </c>
      <c r="BZ306" s="127">
        <f>(CE306+7)/10</f>
        <v>1</v>
      </c>
      <c r="CA306" s="76" t="str">
        <f>IF(D306="Fern",".97",IF(D306="Grass",".99",IF(D306="Herb",".97",IF(D306="Shrub",".99",IF(D306="Tree","1.00",IF(D306="Vine",".98"))))))</f>
        <v>.97</v>
      </c>
      <c r="CB306" s="149" t="str">
        <f>IF(R306="Bogs Ponds Streams",".96", IF(R306="Coastal Areas",".97",IF(R306="Meadows Dry Open",".96",IF(R306="Forest &amp; Understory",".97",IF(R306="Moist Open",".98",IF(R306="Moist Shady",".96",IF(R306="Sub-Alpine","1.0")))))))</f>
        <v>.98</v>
      </c>
      <c r="CC306" s="76" t="str">
        <f>IF(S306="Local Endemic",".50",IF(S306="Regional Endemic",".70",IF(S306="Cascadia",".90",IF(S306="Rocky Mountain",".95",IF(S306="North America",".99")))))</f>
        <v>.99</v>
      </c>
      <c r="CD306" s="4"/>
      <c r="CE306" s="21">
        <f>IF(W306&gt;3,3,W306)</f>
        <v>3</v>
      </c>
      <c r="CF306" s="21">
        <f>IF(AC306&gt;102,102,AC306)</f>
        <v>30.1</v>
      </c>
      <c r="CG306" s="34">
        <f ca="1">IF(AI306&lt;$AW$4,$AW$4,AI306)</f>
        <v>2019</v>
      </c>
      <c r="CH306" s="34">
        <f ca="1">IF(AJ306&lt;$AW$4,$AW$4,AJ306)</f>
        <v>2019</v>
      </c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</row>
    <row r="307" spans="1:115" s="13" customFormat="1" ht="15" customHeight="1" x14ac:dyDescent="0.3">
      <c r="A307" s="235"/>
      <c r="B307" s="218"/>
      <c r="C307" s="375">
        <v>1</v>
      </c>
      <c r="D307" s="67" t="s">
        <v>2505</v>
      </c>
      <c r="E307" s="67" t="s">
        <v>2502</v>
      </c>
      <c r="F307" s="403" t="str">
        <f ca="1">IF(BC307&lt;2025, "Extinct&lt; 6Yrs?",BA307)</f>
        <v>Widespread</v>
      </c>
      <c r="G307" s="376" t="s">
        <v>525</v>
      </c>
      <c r="H307" s="376" t="s">
        <v>4028</v>
      </c>
      <c r="I307" s="380" t="s">
        <v>665</v>
      </c>
      <c r="J307" s="378" t="s">
        <v>3621</v>
      </c>
      <c r="K307" s="378" t="s">
        <v>664</v>
      </c>
      <c r="L307" s="63" t="s">
        <v>1406</v>
      </c>
      <c r="M307" s="64" t="s">
        <v>4386</v>
      </c>
      <c r="N307" s="64" t="s">
        <v>5280</v>
      </c>
      <c r="O307" s="64" t="s">
        <v>6177</v>
      </c>
      <c r="P307" s="61" t="s">
        <v>660</v>
      </c>
      <c r="Q307" s="67" t="s">
        <v>2552</v>
      </c>
      <c r="R307" s="61" t="s">
        <v>2500</v>
      </c>
      <c r="S307" s="61" t="s">
        <v>2495</v>
      </c>
      <c r="T307" s="134" t="str">
        <f>IF(R307="Bogs Ponds Streams","20",IF(R307="Coastal Areas","26",IF(R307="Meadows Dry Open","10",IF(R307="Forest &amp; Understory","14",IF(R307="Moist Open","12",IF(R307="Moist Shady","10",IF(R307="Sub-Alpine Slopes","0")))))))</f>
        <v>10</v>
      </c>
      <c r="U307" s="134" t="str">
        <f>IF(R307="Bogs Ponds Streams","52",IF(R307="Coastal Areas","51",IF(R307="Meadows Dry Open","53",IF(R307="Forest &amp; Understory","52",IF(R307="Moist Open","50",IF(R307="Moist Shady","46",IF(R307="Sub-Alpine Slopes","40")))))))</f>
        <v>53</v>
      </c>
      <c r="V307" s="134" t="str">
        <f>IF(R307="Bogs Ponds Streams","84",IF(R307="Coastal Areas","76",IF(R307="Meadows Dry Open","96", IF(R307="Forest &amp; Understory","90", IF(R307="Moist Open","88", IF(R307="Moist Shady","82", IF(R307="Sub-Alpine Slopes","80")))))))</f>
        <v>96</v>
      </c>
      <c r="W307" s="67">
        <v>1</v>
      </c>
      <c r="X307" s="67">
        <v>0</v>
      </c>
      <c r="Y307" s="67">
        <v>3500</v>
      </c>
      <c r="Z307" s="67" t="s">
        <v>2519</v>
      </c>
      <c r="AA307" s="67" t="s">
        <v>2518</v>
      </c>
      <c r="AB307" s="67">
        <v>6.8</v>
      </c>
      <c r="AC307" s="85">
        <f>C307+AK307+(0.1)*AL307</f>
        <v>38.4</v>
      </c>
      <c r="AD307" s="78">
        <v>259</v>
      </c>
      <c r="AE307" s="67">
        <v>5</v>
      </c>
      <c r="AF307" s="67">
        <v>5</v>
      </c>
      <c r="AG307" s="67">
        <v>1900</v>
      </c>
      <c r="AH307" s="78">
        <v>0</v>
      </c>
      <c r="AI307" s="67">
        <f>AJ307</f>
        <v>2004</v>
      </c>
      <c r="AJ307" s="69">
        <v>2004</v>
      </c>
      <c r="AK307" s="69">
        <v>33</v>
      </c>
      <c r="AL307" s="69">
        <v>44</v>
      </c>
      <c r="AM307" s="70">
        <v>5</v>
      </c>
      <c r="AN307" s="70">
        <v>0</v>
      </c>
      <c r="AO307" s="86">
        <v>0</v>
      </c>
      <c r="AP307" s="70">
        <v>0</v>
      </c>
      <c r="AQ307" s="70">
        <v>0</v>
      </c>
      <c r="AR307" s="70">
        <v>0</v>
      </c>
      <c r="AS307" s="86">
        <v>0</v>
      </c>
      <c r="AT307" s="70">
        <v>0</v>
      </c>
      <c r="AU307" s="70">
        <v>0</v>
      </c>
      <c r="AV307" s="70">
        <v>0</v>
      </c>
      <c r="AW307" s="86">
        <v>0</v>
      </c>
      <c r="AX307" s="70">
        <v>0</v>
      </c>
      <c r="AY307" s="233"/>
      <c r="AZ307" s="4"/>
      <c r="BA307" s="35" t="str">
        <f>IF(OR(S307="North America",S307="Rocky Mountain"), "Widespread",BC307)</f>
        <v>Widespread</v>
      </c>
      <c r="BB307" s="4"/>
      <c r="BC307" s="35">
        <f ca="1">IF(BE307&gt;2046, "Abundant",BE307)</f>
        <v>2039.2883137254903</v>
      </c>
      <c r="BD307" s="4"/>
      <c r="BE307" s="81">
        <f ca="1">YEAR($C$13)+(BG307*80)</f>
        <v>2039.2883137254903</v>
      </c>
      <c r="BF307" s="4"/>
      <c r="BG307" s="137">
        <f ca="1">BH307*$BH$14</f>
        <v>0.25360392156862743</v>
      </c>
      <c r="BH307" s="137">
        <f ca="1">(((BJ307+BK307+BM307+BN307)/4)*$BM$11)+(((BP307+BQ307)/2)*$BQ$11)+(((BU307+BV307+BW307)/3)*$BU$11)+(((BY307+BZ307+CA307+CB307+CC307)/5)*$CA$11)</f>
        <v>0.25360392156862743</v>
      </c>
      <c r="BI307" s="4"/>
      <c r="BJ307" s="33">
        <f>AP307/(AM307+AO307)</f>
        <v>0</v>
      </c>
      <c r="BK307" s="33">
        <f>(AN307+AO307)/(AM307+AO307)</f>
        <v>0</v>
      </c>
      <c r="BL307" s="4"/>
      <c r="BM307" s="127">
        <f>CF307/102</f>
        <v>0.37647058823529411</v>
      </c>
      <c r="BN307" s="127">
        <f>C307/2</f>
        <v>0.5</v>
      </c>
      <c r="BO307" s="4"/>
      <c r="BP307" s="127">
        <f>(AK307)/($AW$6)</f>
        <v>0.33333333333333331</v>
      </c>
      <c r="BQ307" s="127">
        <f ca="1">(CH307-$AW$4)/((YEAR($C$13))-$AW$4)</f>
        <v>0</v>
      </c>
      <c r="BR307" s="127">
        <f>(AL307)/($AW$6)</f>
        <v>0.44444444444444442</v>
      </c>
      <c r="BS307" s="4"/>
      <c r="BT307" s="127"/>
      <c r="BU307" s="127">
        <f ca="1">(CG307-$AW$4)/((YEAR($C$13))-$AW$4)</f>
        <v>0</v>
      </c>
      <c r="BV307" s="127">
        <f>AE307/5</f>
        <v>1</v>
      </c>
      <c r="BW307" s="127">
        <f>AF307/5</f>
        <v>1</v>
      </c>
      <c r="BX307" s="4"/>
      <c r="BY307" s="148" t="str">
        <f>IF(E307="A",".98",IF(E307="B",".99",IF(E307="C","1.00",IF(E307="D","1.00" ))))</f>
        <v>.98</v>
      </c>
      <c r="BZ307" s="127">
        <f>(CE307+7)/10</f>
        <v>0.8</v>
      </c>
      <c r="CA307" s="76" t="str">
        <f>IF(D307="Fern",".97",IF(D307="Grass",".99",IF(D307="Herb",".97",IF(D307="Shrub",".99",IF(D307="Tree","1.00",IF(D307="Vine",".98"))))))</f>
        <v>.97</v>
      </c>
      <c r="CB307" s="149" t="str">
        <f>IF(R307="Bogs Ponds Streams",".96", IF(R307="Coastal Areas",".97",IF(R307="Meadows Dry Open",".96",IF(R307="Forest &amp; Understory",".97",IF(R307="Moist Open",".98",IF(R307="Moist Shady",".96",IF(R307="Sub-Alpine","1.0")))))))</f>
        <v>.96</v>
      </c>
      <c r="CC307" s="76" t="str">
        <f>IF(S307="Local Endemic",".50",IF(S307="Regional Endemic",".70",IF(S307="Cascadia",".90",IF(S307="Rocky Mountain",".95",IF(S307="North America",".99")))))</f>
        <v>.99</v>
      </c>
      <c r="CD307" s="4"/>
      <c r="CE307" s="21">
        <f>IF(W307&gt;3,3,W307)</f>
        <v>1</v>
      </c>
      <c r="CF307" s="21">
        <f>IF(AC307&gt;102,102,AC307)</f>
        <v>38.4</v>
      </c>
      <c r="CG307" s="34">
        <f>IF(AI307&lt;$AW$4,$AW$4,AI307)</f>
        <v>2004</v>
      </c>
      <c r="CH307" s="34">
        <f>IF(AJ307&lt;$AW$4,$AW$4,AJ307)</f>
        <v>2004</v>
      </c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12"/>
    </row>
    <row r="308" spans="1:115" s="13" customFormat="1" ht="15" customHeight="1" x14ac:dyDescent="0.3">
      <c r="A308" s="235"/>
      <c r="B308" s="218"/>
      <c r="C308" s="226">
        <v>2</v>
      </c>
      <c r="D308" s="104" t="s">
        <v>2505</v>
      </c>
      <c r="E308" s="104" t="s">
        <v>2501</v>
      </c>
      <c r="F308" s="400" t="str">
        <f ca="1">IF(BC308&lt;2025, "Extinct&lt; 6Yrs?",BA308)</f>
        <v>Widespread</v>
      </c>
      <c r="G308" s="369" t="s">
        <v>525</v>
      </c>
      <c r="H308" s="369" t="s">
        <v>4028</v>
      </c>
      <c r="I308" s="372" t="s">
        <v>2633</v>
      </c>
      <c r="J308" s="371" t="s">
        <v>3786</v>
      </c>
      <c r="K308" s="371" t="s">
        <v>951</v>
      </c>
      <c r="L308" s="114" t="s">
        <v>1407</v>
      </c>
      <c r="M308" s="111" t="s">
        <v>4387</v>
      </c>
      <c r="N308" s="111" t="s">
        <v>5281</v>
      </c>
      <c r="O308" s="111" t="s">
        <v>6178</v>
      </c>
      <c r="P308" s="401" t="s">
        <v>660</v>
      </c>
      <c r="Q308" s="104" t="s">
        <v>2552</v>
      </c>
      <c r="R308" s="105" t="s">
        <v>2498</v>
      </c>
      <c r="S308" s="105" t="s">
        <v>2495</v>
      </c>
      <c r="T308" s="133" t="str">
        <f>IF(R308="Bogs Ponds Streams","20",IF(R308="Coastal Areas","26",IF(R308="Meadows Dry Open","10",IF(R308="Forest &amp; Understory","14",IF(R308="Moist Open","12",IF(R308="Moist Shady","10",IF(R308="Sub-Alpine Slopes","0")))))))</f>
        <v>10</v>
      </c>
      <c r="U308" s="133" t="str">
        <f>IF(R308="Bogs Ponds Streams","52",IF(R308="Coastal Areas","51",IF(R308="Meadows Dry Open","53",IF(R308="Forest &amp; Understory","52",IF(R308="Moist Open","50",IF(R308="Moist Shady","46",IF(R308="Sub-Alpine Slopes","40")))))))</f>
        <v>46</v>
      </c>
      <c r="V308" s="133" t="str">
        <f>IF(R308="Bogs Ponds Streams","84",IF(R308="Coastal Areas","76",IF(R308="Meadows Dry Open","96", IF(R308="Forest &amp; Understory","90", IF(R308="Moist Open","88", IF(R308="Moist Shady","82", IF(R308="Sub-Alpine Slopes","80")))))))</f>
        <v>82</v>
      </c>
      <c r="W308" s="104">
        <v>20</v>
      </c>
      <c r="X308" s="104">
        <v>0</v>
      </c>
      <c r="Y308" s="104">
        <v>3500</v>
      </c>
      <c r="Z308" s="104" t="s">
        <v>2519</v>
      </c>
      <c r="AA308" s="104" t="s">
        <v>2518</v>
      </c>
      <c r="AB308" s="104">
        <v>6.8</v>
      </c>
      <c r="AC308" s="107">
        <f>C308+AK308+(0.1)*AL308</f>
        <v>51.5</v>
      </c>
      <c r="AD308" s="113">
        <v>249</v>
      </c>
      <c r="AE308" s="104">
        <v>5</v>
      </c>
      <c r="AF308" s="104">
        <v>5</v>
      </c>
      <c r="AG308" s="104">
        <v>1900</v>
      </c>
      <c r="AH308" s="113">
        <v>0</v>
      </c>
      <c r="AI308" s="104">
        <f>AJ308</f>
        <v>2004</v>
      </c>
      <c r="AJ308" s="108">
        <v>2004</v>
      </c>
      <c r="AK308" s="108">
        <v>44</v>
      </c>
      <c r="AL308" s="108">
        <v>55</v>
      </c>
      <c r="AM308" s="109">
        <v>5</v>
      </c>
      <c r="AN308" s="109">
        <v>1</v>
      </c>
      <c r="AO308" s="110">
        <v>0</v>
      </c>
      <c r="AP308" s="109">
        <v>0</v>
      </c>
      <c r="AQ308" s="109">
        <v>0</v>
      </c>
      <c r="AR308" s="109">
        <v>0</v>
      </c>
      <c r="AS308" s="110">
        <v>0</v>
      </c>
      <c r="AT308" s="109">
        <v>0</v>
      </c>
      <c r="AU308" s="109">
        <v>0</v>
      </c>
      <c r="AV308" s="109">
        <v>0</v>
      </c>
      <c r="AW308" s="110">
        <v>0</v>
      </c>
      <c r="AX308" s="109">
        <v>0</v>
      </c>
      <c r="AY308" s="233"/>
      <c r="AZ308" s="4"/>
      <c r="BA308" s="35" t="str">
        <f>IF(OR(S308="North America",S308="Rocky Mountain"), "Widespread",BC308)</f>
        <v>Widespread</v>
      </c>
      <c r="BB308" s="4"/>
      <c r="BC308" s="35" t="str">
        <f ca="1">IF(BE308&gt;2046, "Abundant",BE308)</f>
        <v>Abundant</v>
      </c>
      <c r="BD308" s="4"/>
      <c r="BE308" s="81">
        <f ca="1">YEAR($C$13)+(BG308*80)</f>
        <v>2050.6332235294117</v>
      </c>
      <c r="BF308" s="4"/>
      <c r="BG308" s="137">
        <f ca="1">BH308*$BH$14</f>
        <v>0.39541529411764703</v>
      </c>
      <c r="BH308" s="137">
        <f ca="1">(((BJ308+BK308+BM308+BN308)/4)*$BM$11)+(((BP308+BQ308)/2)*$BQ$11)+(((BU308+BV308+BW308)/3)*$BU$11)+(((BY308+BZ308+CA308+CB308+CC308)/5)*$CA$11)</f>
        <v>0.39541529411764703</v>
      </c>
      <c r="BI308" s="4"/>
      <c r="BJ308" s="33">
        <f>AP308/(AM308+AO308)</f>
        <v>0</v>
      </c>
      <c r="BK308" s="33">
        <f>(AN308+AO308)/(AM308+AO308)</f>
        <v>0.2</v>
      </c>
      <c r="BL308" s="4"/>
      <c r="BM308" s="127">
        <f>CF308/102</f>
        <v>0.50490196078431371</v>
      </c>
      <c r="BN308" s="127">
        <f>C308/2</f>
        <v>1</v>
      </c>
      <c r="BO308" s="4"/>
      <c r="BP308" s="127">
        <f>(AK308)/($AW$6)</f>
        <v>0.44444444444444442</v>
      </c>
      <c r="BQ308" s="127">
        <f ca="1">(CH308-$AW$4)/((YEAR($C$13))-$AW$4)</f>
        <v>0</v>
      </c>
      <c r="BR308" s="127">
        <f>(AL308)/($AW$6)</f>
        <v>0.55555555555555558</v>
      </c>
      <c r="BS308" s="4"/>
      <c r="BT308" s="127"/>
      <c r="BU308" s="127">
        <f ca="1">(CG308-$AW$4)/((YEAR($C$13))-$AW$4)</f>
        <v>0</v>
      </c>
      <c r="BV308" s="127">
        <f>AE308/5</f>
        <v>1</v>
      </c>
      <c r="BW308" s="127">
        <f>AF308/5</f>
        <v>1</v>
      </c>
      <c r="BX308" s="4"/>
      <c r="BY308" s="148" t="str">
        <f>IF(E308="A",".98",IF(E308="B",".99",IF(E308="C","1.00",IF(E308="D","1.00" ))))</f>
        <v>1.00</v>
      </c>
      <c r="BZ308" s="127">
        <f>(CE308+7)/10</f>
        <v>1</v>
      </c>
      <c r="CA308" s="76" t="str">
        <f>IF(D308="Fern",".97",IF(D308="Grass",".99",IF(D308="Herb",".97",IF(D308="Shrub",".99",IF(D308="Tree","1.00",IF(D308="Vine",".98"))))))</f>
        <v>.97</v>
      </c>
      <c r="CB308" s="149" t="str">
        <f>IF(R308="Bogs Ponds Streams",".96", IF(R308="Coastal Areas",".97",IF(R308="Meadows Dry Open",".96",IF(R308="Forest &amp; Understory",".97",IF(R308="Moist Open",".98",IF(R308="Moist Shady",".96",IF(R308="Sub-Alpine","1.0")))))))</f>
        <v>.96</v>
      </c>
      <c r="CC308" s="76" t="str">
        <f>IF(S308="Local Endemic",".50",IF(S308="Regional Endemic",".70",IF(S308="Cascadia",".90",IF(S308="Rocky Mountain",".95",IF(S308="North America",".99")))))</f>
        <v>.99</v>
      </c>
      <c r="CD308" s="4"/>
      <c r="CE308" s="21">
        <f>IF(W308&gt;3,3,W308)</f>
        <v>3</v>
      </c>
      <c r="CF308" s="21">
        <f>IF(AC308&gt;102,102,AC308)</f>
        <v>51.5</v>
      </c>
      <c r="CG308" s="34">
        <f>IF(AI308&lt;$AW$4,$AW$4,AI308)</f>
        <v>2004</v>
      </c>
      <c r="CH308" s="34">
        <f>IF(AJ308&lt;$AW$4,$AW$4,AJ308)</f>
        <v>2004</v>
      </c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</row>
    <row r="309" spans="1:115" s="13" customFormat="1" ht="15" customHeight="1" x14ac:dyDescent="0.3">
      <c r="A309" s="235"/>
      <c r="B309" s="218"/>
      <c r="C309" s="375">
        <v>1</v>
      </c>
      <c r="D309" s="67" t="s">
        <v>2505</v>
      </c>
      <c r="E309" s="67" t="s">
        <v>2502</v>
      </c>
      <c r="F309" s="403" t="str">
        <f ca="1">IF(BC309&lt;2025, "Extinct&lt; 6Yrs?",BA309)</f>
        <v>Widespread</v>
      </c>
      <c r="G309" s="376" t="s">
        <v>525</v>
      </c>
      <c r="H309" s="376" t="s">
        <v>4028</v>
      </c>
      <c r="I309" s="380" t="s">
        <v>663</v>
      </c>
      <c r="J309" s="378" t="s">
        <v>3620</v>
      </c>
      <c r="K309" s="378" t="s">
        <v>4091</v>
      </c>
      <c r="L309" s="63" t="s">
        <v>1408</v>
      </c>
      <c r="M309" s="64" t="s">
        <v>4388</v>
      </c>
      <c r="N309" s="64" t="s">
        <v>5282</v>
      </c>
      <c r="O309" s="64" t="s">
        <v>6179</v>
      </c>
      <c r="P309" s="61" t="s">
        <v>660</v>
      </c>
      <c r="Q309" s="67" t="s">
        <v>2552</v>
      </c>
      <c r="R309" s="61" t="s">
        <v>2499</v>
      </c>
      <c r="S309" s="61" t="s">
        <v>2479</v>
      </c>
      <c r="T309" s="134" t="str">
        <f>IF(R309="Bogs Ponds Streams","20",IF(R309="Coastal Areas","26",IF(R309="Meadows Dry Open","10",IF(R309="Forest &amp; Understory","14",IF(R309="Moist Open","12",IF(R309="Moist Shady","10",IF(R309="Sub-Alpine Slopes","0")))))))</f>
        <v>20</v>
      </c>
      <c r="U309" s="134" t="str">
        <f>IF(R309="Bogs Ponds Streams","52",IF(R309="Coastal Areas","51",IF(R309="Meadows Dry Open","53",IF(R309="Forest &amp; Understory","52",IF(R309="Moist Open","50",IF(R309="Moist Shady","46",IF(R309="Sub-Alpine Slopes","40")))))))</f>
        <v>52</v>
      </c>
      <c r="V309" s="134" t="str">
        <f>IF(R309="Bogs Ponds Streams","84",IF(R309="Coastal Areas","76",IF(R309="Meadows Dry Open","96", IF(R309="Forest &amp; Understory","90", IF(R309="Moist Open","88", IF(R309="Moist Shady","82", IF(R309="Sub-Alpine Slopes","80")))))))</f>
        <v>84</v>
      </c>
      <c r="W309" s="67">
        <v>1</v>
      </c>
      <c r="X309" s="67">
        <v>0</v>
      </c>
      <c r="Y309" s="67">
        <v>3500</v>
      </c>
      <c r="Z309" s="67" t="s">
        <v>2519</v>
      </c>
      <c r="AA309" s="67" t="s">
        <v>2518</v>
      </c>
      <c r="AB309" s="67">
        <v>6.8</v>
      </c>
      <c r="AC309" s="85">
        <f>C309+AK309+(0.1)*AL309</f>
        <v>4.0999999999999996</v>
      </c>
      <c r="AD309" s="78">
        <v>55</v>
      </c>
      <c r="AE309" s="67">
        <v>5</v>
      </c>
      <c r="AF309" s="67">
        <v>5</v>
      </c>
      <c r="AG309" s="67">
        <v>1900</v>
      </c>
      <c r="AH309" s="78">
        <v>0</v>
      </c>
      <c r="AI309" s="67">
        <f>AJ309</f>
        <v>2004</v>
      </c>
      <c r="AJ309" s="69">
        <v>2004</v>
      </c>
      <c r="AK309" s="69">
        <v>2</v>
      </c>
      <c r="AL309" s="69">
        <v>11</v>
      </c>
      <c r="AM309" s="70">
        <v>5</v>
      </c>
      <c r="AN309" s="70">
        <v>0</v>
      </c>
      <c r="AO309" s="86">
        <v>0</v>
      </c>
      <c r="AP309" s="70">
        <v>0</v>
      </c>
      <c r="AQ309" s="70">
        <v>0</v>
      </c>
      <c r="AR309" s="70">
        <v>0</v>
      </c>
      <c r="AS309" s="86">
        <v>0</v>
      </c>
      <c r="AT309" s="70">
        <v>0</v>
      </c>
      <c r="AU309" s="70">
        <v>0</v>
      </c>
      <c r="AV309" s="70">
        <v>0</v>
      </c>
      <c r="AW309" s="86">
        <v>0</v>
      </c>
      <c r="AX309" s="70">
        <v>0</v>
      </c>
      <c r="AY309" s="233"/>
      <c r="AZ309" s="4"/>
      <c r="BA309" s="35" t="str">
        <f>IF(OR(S309="North America",S309="Rocky Mountain"), "Widespread",BC309)</f>
        <v>Widespread</v>
      </c>
      <c r="BB309" s="4"/>
      <c r="BC309" s="35">
        <f ca="1">IF(BE309&gt;2046, "Abundant",BE309)</f>
        <v>2031.4826438502673</v>
      </c>
      <c r="BD309" s="4"/>
      <c r="BE309" s="81">
        <f ca="1">YEAR($C$13)+(BG309*80)</f>
        <v>2031.4826438502673</v>
      </c>
      <c r="BF309" s="4"/>
      <c r="BG309" s="137">
        <f ca="1">BH309*$BH$14</f>
        <v>0.15603304812834223</v>
      </c>
      <c r="BH309" s="137">
        <f ca="1">(((BJ309+BK309+BM309+BN309)/4)*$BM$11)+(((BP309+BQ309)/2)*$BQ$11)+(((BU309+BV309+BW309)/3)*$BU$11)+(((BY309+BZ309+CA309+CB309+CC309)/5)*$CA$11)</f>
        <v>0.15603304812834223</v>
      </c>
      <c r="BI309" s="4"/>
      <c r="BJ309" s="33">
        <f>AP309/(AM309+AO309)</f>
        <v>0</v>
      </c>
      <c r="BK309" s="33">
        <f>(AN309+AO309)/(AM309+AO309)</f>
        <v>0</v>
      </c>
      <c r="BL309" s="4"/>
      <c r="BM309" s="127">
        <f>CF309/102</f>
        <v>4.0196078431372545E-2</v>
      </c>
      <c r="BN309" s="127">
        <f>C309/2</f>
        <v>0.5</v>
      </c>
      <c r="BO309" s="4"/>
      <c r="BP309" s="127">
        <f>(AK309)/($AW$6)</f>
        <v>2.0202020202020204E-2</v>
      </c>
      <c r="BQ309" s="127">
        <f ca="1">(CH309-$AW$4)/((YEAR($C$13))-$AW$4)</f>
        <v>0</v>
      </c>
      <c r="BR309" s="127">
        <f>(AL309)/($AW$6)</f>
        <v>0.1111111111111111</v>
      </c>
      <c r="BS309" s="4"/>
      <c r="BT309" s="127"/>
      <c r="BU309" s="127">
        <f ca="1">(CG309-$AW$4)/((YEAR($C$13))-$AW$4)</f>
        <v>0</v>
      </c>
      <c r="BV309" s="127">
        <f>AE309/5</f>
        <v>1</v>
      </c>
      <c r="BW309" s="127">
        <f>AF309/5</f>
        <v>1</v>
      </c>
      <c r="BX309" s="4"/>
      <c r="BY309" s="148" t="str">
        <f>IF(E309="A",".98",IF(E309="B",".99",IF(E309="C","1.00",IF(E309="D","1.00" ))))</f>
        <v>.98</v>
      </c>
      <c r="BZ309" s="127">
        <f>(CE309+7)/10</f>
        <v>0.8</v>
      </c>
      <c r="CA309" s="76" t="str">
        <f>IF(D309="Fern",".97",IF(D309="Grass",".99",IF(D309="Herb",".97",IF(D309="Shrub",".99",IF(D309="Tree","1.00",IF(D309="Vine",".98"))))))</f>
        <v>.97</v>
      </c>
      <c r="CB309" s="149" t="str">
        <f>IF(R309="Bogs Ponds Streams",".96", IF(R309="Coastal Areas",".97",IF(R309="Meadows Dry Open",".96",IF(R309="Forest &amp; Understory",".97",IF(R309="Moist Open",".98",IF(R309="Moist Shady",".96",IF(R309="Sub-Alpine","1.0")))))))</f>
        <v>.96</v>
      </c>
      <c r="CC309" s="76" t="str">
        <f>IF(S309="Local Endemic",".50",IF(S309="Regional Endemic",".70",IF(S309="Cascadia",".90",IF(S309="Rocky Mountain",".95",IF(S309="North America",".99")))))</f>
        <v>.95</v>
      </c>
      <c r="CD309" s="4"/>
      <c r="CE309" s="21">
        <f>IF(W309&gt;3,3,W309)</f>
        <v>1</v>
      </c>
      <c r="CF309" s="21">
        <f>IF(AC309&gt;102,102,AC309)</f>
        <v>4.0999999999999996</v>
      </c>
      <c r="CG309" s="34">
        <f>IF(AI309&lt;$AW$4,$AW$4,AI309)</f>
        <v>2004</v>
      </c>
      <c r="CH309" s="34">
        <f>IF(AJ309&lt;$AW$4,$AW$4,AJ309)</f>
        <v>2004</v>
      </c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12"/>
    </row>
    <row r="310" spans="1:115" s="13" customFormat="1" ht="15" customHeight="1" x14ac:dyDescent="0.3">
      <c r="A310" s="235"/>
      <c r="B310" s="218"/>
      <c r="C310" s="375">
        <v>1</v>
      </c>
      <c r="D310" s="67" t="s">
        <v>2505</v>
      </c>
      <c r="E310" s="67" t="s">
        <v>2501</v>
      </c>
      <c r="F310" s="403" t="str">
        <f ca="1">IF(BC310&lt;2025, "Extinct&lt; 6Yrs?",BA310)</f>
        <v>Widespread</v>
      </c>
      <c r="G310" s="376" t="s">
        <v>525</v>
      </c>
      <c r="H310" s="376" t="s">
        <v>4028</v>
      </c>
      <c r="I310" s="380" t="s">
        <v>666</v>
      </c>
      <c r="J310" s="378" t="s">
        <v>3619</v>
      </c>
      <c r="K310" s="378" t="s">
        <v>27</v>
      </c>
      <c r="L310" s="63" t="s">
        <v>1409</v>
      </c>
      <c r="M310" s="64" t="s">
        <v>4389</v>
      </c>
      <c r="N310" s="64" t="s">
        <v>5283</v>
      </c>
      <c r="O310" s="64" t="s">
        <v>6180</v>
      </c>
      <c r="P310" s="61" t="s">
        <v>660</v>
      </c>
      <c r="Q310" s="67" t="s">
        <v>2552</v>
      </c>
      <c r="R310" s="61" t="s">
        <v>2498</v>
      </c>
      <c r="S310" s="61" t="s">
        <v>2479</v>
      </c>
      <c r="T310" s="134" t="str">
        <f>IF(R310="Bogs Ponds Streams","20",IF(R310="Coastal Areas","26",IF(R310="Meadows Dry Open","10",IF(R310="Forest &amp; Understory","14",IF(R310="Moist Open","12",IF(R310="Moist Shady","10",IF(R310="Sub-Alpine Slopes","0")))))))</f>
        <v>10</v>
      </c>
      <c r="U310" s="134" t="str">
        <f>IF(R310="Bogs Ponds Streams","52",IF(R310="Coastal Areas","51",IF(R310="Meadows Dry Open","53",IF(R310="Forest &amp; Understory","52",IF(R310="Moist Open","50",IF(R310="Moist Shady","46",IF(R310="Sub-Alpine Slopes","40")))))))</f>
        <v>46</v>
      </c>
      <c r="V310" s="134" t="str">
        <f>IF(R310="Bogs Ponds Streams","84",IF(R310="Coastal Areas","76",IF(R310="Meadows Dry Open","96", IF(R310="Forest &amp; Understory","90", IF(R310="Moist Open","88", IF(R310="Moist Shady","82", IF(R310="Sub-Alpine Slopes","80")))))))</f>
        <v>82</v>
      </c>
      <c r="W310" s="67">
        <v>20</v>
      </c>
      <c r="X310" s="67">
        <v>0</v>
      </c>
      <c r="Y310" s="67">
        <v>3500</v>
      </c>
      <c r="Z310" s="67" t="s">
        <v>2519</v>
      </c>
      <c r="AA310" s="67" t="s">
        <v>2518</v>
      </c>
      <c r="AB310" s="67">
        <v>6.8</v>
      </c>
      <c r="AC310" s="85">
        <f>C310+AK310+(0.1)*AL310</f>
        <v>14.2</v>
      </c>
      <c r="AD310" s="78">
        <v>73</v>
      </c>
      <c r="AE310" s="67">
        <v>5</v>
      </c>
      <c r="AF310" s="67">
        <v>5</v>
      </c>
      <c r="AG310" s="67">
        <v>1900</v>
      </c>
      <c r="AH310" s="78">
        <v>0</v>
      </c>
      <c r="AI310" s="67">
        <f>AJ310</f>
        <v>2004</v>
      </c>
      <c r="AJ310" s="69">
        <v>2004</v>
      </c>
      <c r="AK310" s="69">
        <v>12</v>
      </c>
      <c r="AL310" s="69">
        <v>12</v>
      </c>
      <c r="AM310" s="70">
        <v>5</v>
      </c>
      <c r="AN310" s="70">
        <v>0</v>
      </c>
      <c r="AO310" s="86">
        <v>0</v>
      </c>
      <c r="AP310" s="70">
        <v>0</v>
      </c>
      <c r="AQ310" s="70">
        <v>0</v>
      </c>
      <c r="AR310" s="70">
        <v>0</v>
      </c>
      <c r="AS310" s="86">
        <v>0</v>
      </c>
      <c r="AT310" s="70">
        <v>0</v>
      </c>
      <c r="AU310" s="70">
        <v>0</v>
      </c>
      <c r="AV310" s="70">
        <v>0</v>
      </c>
      <c r="AW310" s="86">
        <v>0</v>
      </c>
      <c r="AX310" s="70">
        <v>0</v>
      </c>
      <c r="AY310" s="233"/>
      <c r="AZ310" s="4"/>
      <c r="BA310" s="35" t="str">
        <f>IF(OR(S310="North America",S310="Rocky Mountain"), "Widespread",BC310)</f>
        <v>Widespread</v>
      </c>
      <c r="BB310" s="4"/>
      <c r="BC310" s="35">
        <f ca="1">IF(BE310&gt;2046, "Abundant",BE310)</f>
        <v>2033.9534003565063</v>
      </c>
      <c r="BD310" s="4"/>
      <c r="BE310" s="81">
        <f ca="1">YEAR($C$13)+(BG310*80)</f>
        <v>2033.9534003565063</v>
      </c>
      <c r="BF310" s="4"/>
      <c r="BG310" s="137">
        <f ca="1">BH310*$BH$14</f>
        <v>0.18691750445632796</v>
      </c>
      <c r="BH310" s="137">
        <f ca="1">(((BJ310+BK310+BM310+BN310)/4)*$BM$11)+(((BP310+BQ310)/2)*$BQ$11)+(((BU310+BV310+BW310)/3)*$BU$11)+(((BY310+BZ310+CA310+CB310+CC310)/5)*$CA$11)</f>
        <v>0.18691750445632796</v>
      </c>
      <c r="BI310" s="4"/>
      <c r="BJ310" s="33">
        <f>AP310/(AM310+AO310)</f>
        <v>0</v>
      </c>
      <c r="BK310" s="33">
        <f>(AN310+AO310)/(AM310+AO310)</f>
        <v>0</v>
      </c>
      <c r="BL310" s="4"/>
      <c r="BM310" s="127">
        <f>CF310/102</f>
        <v>0.13921568627450981</v>
      </c>
      <c r="BN310" s="127">
        <f>C310/2</f>
        <v>0.5</v>
      </c>
      <c r="BO310" s="4"/>
      <c r="BP310" s="127">
        <f>(AK310)/($AW$6)</f>
        <v>0.12121212121212122</v>
      </c>
      <c r="BQ310" s="127">
        <f ca="1">(CH310-$AW$4)/((YEAR($C$13))-$AW$4)</f>
        <v>0</v>
      </c>
      <c r="BR310" s="127">
        <f>(AL310)/($AW$6)</f>
        <v>0.12121212121212122</v>
      </c>
      <c r="BS310" s="4"/>
      <c r="BT310" s="127"/>
      <c r="BU310" s="127">
        <f ca="1">(CG310-$AW$4)/((YEAR($C$13))-$AW$4)</f>
        <v>0</v>
      </c>
      <c r="BV310" s="127">
        <f>AE310/5</f>
        <v>1</v>
      </c>
      <c r="BW310" s="127">
        <f>AF310/5</f>
        <v>1</v>
      </c>
      <c r="BX310" s="4"/>
      <c r="BY310" s="148" t="str">
        <f>IF(E310="A",".98",IF(E310="B",".99",IF(E310="C","1.00",IF(E310="D","1.00" ))))</f>
        <v>1.00</v>
      </c>
      <c r="BZ310" s="127">
        <f>(CE310+7)/10</f>
        <v>1</v>
      </c>
      <c r="CA310" s="76" t="str">
        <f>IF(D310="Fern",".97",IF(D310="Grass",".99",IF(D310="Herb",".97",IF(D310="Shrub",".99",IF(D310="Tree","1.00",IF(D310="Vine",".98"))))))</f>
        <v>.97</v>
      </c>
      <c r="CB310" s="149" t="str">
        <f>IF(R310="Bogs Ponds Streams",".96", IF(R310="Coastal Areas",".97",IF(R310="Meadows Dry Open",".96",IF(R310="Forest &amp; Understory",".97",IF(R310="Moist Open",".98",IF(R310="Moist Shady",".96",IF(R310="Sub-Alpine","1.0")))))))</f>
        <v>.96</v>
      </c>
      <c r="CC310" s="76" t="str">
        <f>IF(S310="Local Endemic",".50",IF(S310="Regional Endemic",".70",IF(S310="Cascadia",".90",IF(S310="Rocky Mountain",".95",IF(S310="North America",".99")))))</f>
        <v>.95</v>
      </c>
      <c r="CD310" s="4"/>
      <c r="CE310" s="21">
        <f>IF(W310&gt;3,3,W310)</f>
        <v>3</v>
      </c>
      <c r="CF310" s="21">
        <f>IF(AC310&gt;102,102,AC310)</f>
        <v>14.2</v>
      </c>
      <c r="CG310" s="34">
        <f>IF(AI310&lt;$AW$4,$AW$4,AI310)</f>
        <v>2004</v>
      </c>
      <c r="CH310" s="34">
        <f>IF(AJ310&lt;$AW$4,$AW$4,AJ310)</f>
        <v>2004</v>
      </c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12"/>
    </row>
    <row r="311" spans="1:115" s="13" customFormat="1" ht="15" customHeight="1" x14ac:dyDescent="0.3">
      <c r="A311" s="235"/>
      <c r="B311" s="218"/>
      <c r="C311" s="226">
        <v>2</v>
      </c>
      <c r="D311" s="104" t="s">
        <v>2505</v>
      </c>
      <c r="E311" s="104" t="s">
        <v>2502</v>
      </c>
      <c r="F311" s="400">
        <f ca="1">IF(BC311&lt;2025, "Extinct&lt; 6Yrs?",BA311)</f>
        <v>2045.0202980392157</v>
      </c>
      <c r="G311" s="369" t="s">
        <v>525</v>
      </c>
      <c r="H311" s="369" t="s">
        <v>4028</v>
      </c>
      <c r="I311" s="372" t="s">
        <v>2634</v>
      </c>
      <c r="J311" s="371" t="s">
        <v>3785</v>
      </c>
      <c r="K311" s="371" t="s">
        <v>2763</v>
      </c>
      <c r="L311" s="114" t="s">
        <v>1410</v>
      </c>
      <c r="M311" s="111" t="s">
        <v>4390</v>
      </c>
      <c r="N311" s="111" t="s">
        <v>5284</v>
      </c>
      <c r="O311" s="111" t="s">
        <v>6181</v>
      </c>
      <c r="P311" s="401" t="s">
        <v>660</v>
      </c>
      <c r="Q311" s="104" t="s">
        <v>2552</v>
      </c>
      <c r="R311" s="105" t="s">
        <v>2500</v>
      </c>
      <c r="S311" s="105" t="s">
        <v>2459</v>
      </c>
      <c r="T311" s="133" t="str">
        <f>IF(R311="Bogs Ponds Streams","20",IF(R311="Coastal Areas","26",IF(R311="Meadows Dry Open","10",IF(R311="Forest &amp; Understory","14",IF(R311="Moist Open","12",IF(R311="Moist Shady","10",IF(R311="Sub-Alpine Slopes","0")))))))</f>
        <v>10</v>
      </c>
      <c r="U311" s="133" t="str">
        <f>IF(R311="Bogs Ponds Streams","52",IF(R311="Coastal Areas","51",IF(R311="Meadows Dry Open","53",IF(R311="Forest &amp; Understory","52",IF(R311="Moist Open","50",IF(R311="Moist Shady","46",IF(R311="Sub-Alpine Slopes","40")))))))</f>
        <v>53</v>
      </c>
      <c r="V311" s="133" t="str">
        <f>IF(R311="Bogs Ponds Streams","84",IF(R311="Coastal Areas","76",IF(R311="Meadows Dry Open","96", IF(R311="Forest &amp; Understory","90", IF(R311="Moist Open","88", IF(R311="Moist Shady","82", IF(R311="Sub-Alpine Slopes","80")))))))</f>
        <v>96</v>
      </c>
      <c r="W311" s="104">
        <v>1</v>
      </c>
      <c r="X311" s="104">
        <v>0</v>
      </c>
      <c r="Y311" s="104">
        <v>3500</v>
      </c>
      <c r="Z311" s="104" t="s">
        <v>2519</v>
      </c>
      <c r="AA311" s="104" t="s">
        <v>2518</v>
      </c>
      <c r="AB311" s="104">
        <v>6.8</v>
      </c>
      <c r="AC311" s="107">
        <f>C311+AK311+(0.1)*AL311</f>
        <v>27.3</v>
      </c>
      <c r="AD311" s="113">
        <v>143</v>
      </c>
      <c r="AE311" s="104">
        <v>5</v>
      </c>
      <c r="AF311" s="104">
        <v>5</v>
      </c>
      <c r="AG311" s="104">
        <v>1900</v>
      </c>
      <c r="AH311" s="113">
        <v>0</v>
      </c>
      <c r="AI311" s="104">
        <f>AJ311</f>
        <v>2004</v>
      </c>
      <c r="AJ311" s="108">
        <v>2004</v>
      </c>
      <c r="AK311" s="108">
        <v>22</v>
      </c>
      <c r="AL311" s="108">
        <v>33</v>
      </c>
      <c r="AM311" s="109">
        <v>5</v>
      </c>
      <c r="AN311" s="109">
        <v>1</v>
      </c>
      <c r="AO311" s="110">
        <v>0</v>
      </c>
      <c r="AP311" s="109">
        <v>0</v>
      </c>
      <c r="AQ311" s="109">
        <v>0</v>
      </c>
      <c r="AR311" s="109">
        <v>0</v>
      </c>
      <c r="AS311" s="110">
        <v>0</v>
      </c>
      <c r="AT311" s="109">
        <v>0</v>
      </c>
      <c r="AU311" s="109">
        <v>0</v>
      </c>
      <c r="AV311" s="109">
        <v>0</v>
      </c>
      <c r="AW311" s="110">
        <v>0</v>
      </c>
      <c r="AX311" s="109">
        <v>0</v>
      </c>
      <c r="AY311" s="233"/>
      <c r="AZ311" s="4"/>
      <c r="BA311" s="35">
        <f ca="1">IF(OR(S311="North America",S311="Rocky Mountain"), "Widespread",BC311)</f>
        <v>2045.0202980392157</v>
      </c>
      <c r="BB311" s="4"/>
      <c r="BC311" s="35">
        <f ca="1">IF(BE311&gt;2046, "Abundant",BE311)</f>
        <v>2045.0202980392157</v>
      </c>
      <c r="BD311" s="4"/>
      <c r="BE311" s="81">
        <f ca="1">YEAR($C$13)+(BG311*80)</f>
        <v>2045.0202980392157</v>
      </c>
      <c r="BF311" s="4"/>
      <c r="BG311" s="137">
        <f ca="1">BH311*$BH$14</f>
        <v>0.3252537254901961</v>
      </c>
      <c r="BH311" s="137">
        <f ca="1">(((BJ311+BK311+BM311+BN311)/4)*$BM$11)+(((BP311+BQ311)/2)*$BQ$11)+(((BU311+BV311+BW311)/3)*$BU$11)+(((BY311+BZ311+CA311+CB311+CC311)/5)*$CA$11)</f>
        <v>0.3252537254901961</v>
      </c>
      <c r="BI311" s="4"/>
      <c r="BJ311" s="33">
        <f>AP311/(AM311+AO311)</f>
        <v>0</v>
      </c>
      <c r="BK311" s="33">
        <f>(AN311+AO311)/(AM311+AO311)</f>
        <v>0.2</v>
      </c>
      <c r="BL311" s="4"/>
      <c r="BM311" s="127">
        <f>CF311/102</f>
        <v>0.2676470588235294</v>
      </c>
      <c r="BN311" s="127">
        <f>C311/2</f>
        <v>1</v>
      </c>
      <c r="BO311" s="4"/>
      <c r="BP311" s="127">
        <f>(AK311)/($AW$6)</f>
        <v>0.22222222222222221</v>
      </c>
      <c r="BQ311" s="127">
        <f ca="1">(CH311-$AW$4)/((YEAR($C$13))-$AW$4)</f>
        <v>0</v>
      </c>
      <c r="BR311" s="127">
        <f>(AL311)/($AW$6)</f>
        <v>0.33333333333333331</v>
      </c>
      <c r="BS311" s="4"/>
      <c r="BT311" s="127"/>
      <c r="BU311" s="127">
        <f ca="1">(CG311-$AW$4)/((YEAR($C$13))-$AW$4)</f>
        <v>0</v>
      </c>
      <c r="BV311" s="127">
        <f>AE311/5</f>
        <v>1</v>
      </c>
      <c r="BW311" s="127">
        <f>AF311/5</f>
        <v>1</v>
      </c>
      <c r="BX311" s="4"/>
      <c r="BY311" s="148" t="str">
        <f>IF(E311="A",".98",IF(E311="B",".99",IF(E311="C","1.00",IF(E311="D","1.00" ))))</f>
        <v>.98</v>
      </c>
      <c r="BZ311" s="127">
        <f>(CE311+7)/10</f>
        <v>0.8</v>
      </c>
      <c r="CA311" s="76" t="str">
        <f>IF(D311="Fern",".97",IF(D311="Grass",".99",IF(D311="Herb",".97",IF(D311="Shrub",".99",IF(D311="Tree","1.00",IF(D311="Vine",".98"))))))</f>
        <v>.97</v>
      </c>
      <c r="CB311" s="149" t="str">
        <f>IF(R311="Bogs Ponds Streams",".96", IF(R311="Coastal Areas",".97",IF(R311="Meadows Dry Open",".96",IF(R311="Forest &amp; Understory",".97",IF(R311="Moist Open",".98",IF(R311="Moist Shady",".96",IF(R311="Sub-Alpine","1.0")))))))</f>
        <v>.96</v>
      </c>
      <c r="CC311" s="76" t="str">
        <f>IF(S311="Local Endemic",".50",IF(S311="Regional Endemic",".70",IF(S311="Cascadia",".90",IF(S311="Rocky Mountain",".95",IF(S311="North America",".99")))))</f>
        <v>.90</v>
      </c>
      <c r="CD311" s="4"/>
      <c r="CE311" s="21">
        <f>IF(W311&gt;3,3,W311)</f>
        <v>1</v>
      </c>
      <c r="CF311" s="21">
        <f>IF(AC311&gt;102,102,AC311)</f>
        <v>27.3</v>
      </c>
      <c r="CG311" s="34">
        <f>IF(AI311&lt;$AW$4,$AW$4,AI311)</f>
        <v>2004</v>
      </c>
      <c r="CH311" s="34">
        <f>IF(AJ311&lt;$AW$4,$AW$4,AJ311)</f>
        <v>2004</v>
      </c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</row>
    <row r="312" spans="1:115" s="13" customFormat="1" ht="15" customHeight="1" x14ac:dyDescent="0.3">
      <c r="A312" s="235"/>
      <c r="B312" s="218"/>
      <c r="C312" s="226">
        <v>3</v>
      </c>
      <c r="D312" s="104" t="s">
        <v>2505</v>
      </c>
      <c r="E312" s="104" t="s">
        <v>2501</v>
      </c>
      <c r="F312" s="400" t="str">
        <f ca="1">IF(BC312&lt;2025, "Extinct&lt; 6Yrs?",BA312)</f>
        <v>Abundant</v>
      </c>
      <c r="G312" s="369" t="s">
        <v>525</v>
      </c>
      <c r="H312" s="369" t="s">
        <v>4028</v>
      </c>
      <c r="I312" s="371" t="s">
        <v>1368</v>
      </c>
      <c r="J312" s="371" t="s">
        <v>2092</v>
      </c>
      <c r="K312" s="371" t="s">
        <v>1382</v>
      </c>
      <c r="L312" s="106" t="s">
        <v>1383</v>
      </c>
      <c r="M312" s="111" t="s">
        <v>4391</v>
      </c>
      <c r="N312" s="111" t="s">
        <v>5285</v>
      </c>
      <c r="O312" s="111" t="s">
        <v>6182</v>
      </c>
      <c r="P312" s="401" t="s">
        <v>660</v>
      </c>
      <c r="Q312" s="104" t="s">
        <v>2552</v>
      </c>
      <c r="R312" s="161" t="s">
        <v>2497</v>
      </c>
      <c r="S312" s="114" t="s">
        <v>2459</v>
      </c>
      <c r="T312" s="133" t="str">
        <f>IF(R312="Bogs Ponds Streams","20",IF(R312="Coastal Areas","26",IF(R312="Meadows Dry Open","10",IF(R312="Forest &amp; Understory","14",IF(R312="Moist Open","12",IF(R312="Moist Shady","10",IF(R312="Sub-Alpine Slopes","0")))))))</f>
        <v>12</v>
      </c>
      <c r="U312" s="133" t="str">
        <f>IF(R312="Bogs Ponds Streams","52",IF(R312="Coastal Areas","51",IF(R312="Meadows Dry Open","53",IF(R312="Forest &amp; Understory","52",IF(R312="Moist Open","50",IF(R312="Moist Shady","46",IF(R312="Sub-Alpine Slopes","40")))))))</f>
        <v>50</v>
      </c>
      <c r="V312" s="133" t="str">
        <f>IF(R312="Bogs Ponds Streams","84",IF(R312="Coastal Areas","76",IF(R312="Meadows Dry Open","96", IF(R312="Forest &amp; Understory","90", IF(R312="Moist Open","88", IF(R312="Moist Shady","82", IF(R312="Sub-Alpine Slopes","80")))))))</f>
        <v>88</v>
      </c>
      <c r="W312" s="104">
        <v>20</v>
      </c>
      <c r="X312" s="104">
        <v>0</v>
      </c>
      <c r="Y312" s="104">
        <v>3500</v>
      </c>
      <c r="Z312" s="104" t="s">
        <v>2519</v>
      </c>
      <c r="AA312" s="104" t="s">
        <v>2518</v>
      </c>
      <c r="AB312" s="104">
        <v>6.8</v>
      </c>
      <c r="AC312" s="107">
        <f>C312+AK312+(0.1)*AL312</f>
        <v>5.8</v>
      </c>
      <c r="AD312" s="113">
        <v>33</v>
      </c>
      <c r="AE312" s="104">
        <v>5</v>
      </c>
      <c r="AF312" s="104">
        <v>5</v>
      </c>
      <c r="AG312" s="104">
        <v>1900</v>
      </c>
      <c r="AH312" s="113">
        <v>0</v>
      </c>
      <c r="AI312" s="104">
        <f>AJ312</f>
        <v>2004</v>
      </c>
      <c r="AJ312" s="108">
        <v>2004</v>
      </c>
      <c r="AK312" s="108">
        <v>2</v>
      </c>
      <c r="AL312" s="108">
        <v>8</v>
      </c>
      <c r="AM312" s="109">
        <v>5</v>
      </c>
      <c r="AN312" s="109">
        <v>1</v>
      </c>
      <c r="AO312" s="109">
        <v>1</v>
      </c>
      <c r="AP312" s="109">
        <v>0</v>
      </c>
      <c r="AQ312" s="109">
        <v>0</v>
      </c>
      <c r="AR312" s="109">
        <v>0</v>
      </c>
      <c r="AS312" s="110">
        <v>0</v>
      </c>
      <c r="AT312" s="109">
        <v>0</v>
      </c>
      <c r="AU312" s="109">
        <v>0</v>
      </c>
      <c r="AV312" s="109">
        <v>0</v>
      </c>
      <c r="AW312" s="110">
        <v>0</v>
      </c>
      <c r="AX312" s="109">
        <v>0</v>
      </c>
      <c r="AY312" s="233"/>
      <c r="AZ312" s="4"/>
      <c r="BA312" s="35" t="str">
        <f ca="1">IF(OR(S312="North America",S312="Rocky Mountain"), "Widespread",BC312)</f>
        <v>Abundant</v>
      </c>
      <c r="BB312" s="4"/>
      <c r="BC312" s="35" t="str">
        <f ca="1">IF(BE312&gt;2046, "Abundant",BE312)</f>
        <v>Abundant</v>
      </c>
      <c r="BD312" s="4"/>
      <c r="BE312" s="81">
        <f ca="1">YEAR($C$13)+(BG312*80)</f>
        <v>2047.7434438502673</v>
      </c>
      <c r="BF312" s="4"/>
      <c r="BG312" s="137">
        <f ca="1">BH312*$BH$14</f>
        <v>0.35929304812834228</v>
      </c>
      <c r="BH312" s="137">
        <f ca="1">(((BJ312+BK312+BM312+BN312)/4)*$BM$11)+(((BP312+BQ312)/2)*$BQ$11)+(((BU312+BV312+BW312)/3)*$BU$11)+(((BY312+BZ312+CA312+CB312+CC312)/5)*$CA$11)</f>
        <v>0.35929304812834228</v>
      </c>
      <c r="BI312" s="4"/>
      <c r="BJ312" s="33">
        <f>AP312/(AM312+AO312)</f>
        <v>0</v>
      </c>
      <c r="BK312" s="33">
        <f>(AN312+AO312)/(AM312+AO312)</f>
        <v>0.33333333333333331</v>
      </c>
      <c r="BL312" s="4"/>
      <c r="BM312" s="127">
        <f>CF312/102</f>
        <v>5.6862745098039215E-2</v>
      </c>
      <c r="BN312" s="127">
        <f>C312/2</f>
        <v>1.5</v>
      </c>
      <c r="BO312" s="4"/>
      <c r="BP312" s="127">
        <f>(AK312)/($AW$6)</f>
        <v>2.0202020202020204E-2</v>
      </c>
      <c r="BQ312" s="127">
        <f ca="1">(CH312-$AW$4)/((YEAR($C$13))-$AW$4)</f>
        <v>0</v>
      </c>
      <c r="BR312" s="127">
        <f>(AL312)/($AW$6)</f>
        <v>8.0808080808080815E-2</v>
      </c>
      <c r="BS312" s="4"/>
      <c r="BT312" s="127"/>
      <c r="BU312" s="127">
        <f ca="1">(CG312-$AW$4)/((YEAR($C$13))-$AW$4)</f>
        <v>0</v>
      </c>
      <c r="BV312" s="127">
        <f>AE312/5</f>
        <v>1</v>
      </c>
      <c r="BW312" s="127">
        <f>AF312/5</f>
        <v>1</v>
      </c>
      <c r="BX312" s="4"/>
      <c r="BY312" s="148" t="str">
        <f>IF(E312="A",".98",IF(E312="B",".99",IF(E312="C","1.00",IF(E312="D","1.00" ))))</f>
        <v>1.00</v>
      </c>
      <c r="BZ312" s="127">
        <f>(CE312+7)/10</f>
        <v>1</v>
      </c>
      <c r="CA312" s="76" t="str">
        <f>IF(D312="Fern",".97",IF(D312="Grass",".99",IF(D312="Herb",".97",IF(D312="Shrub",".99",IF(D312="Tree","1.00",IF(D312="Vine",".98"))))))</f>
        <v>.97</v>
      </c>
      <c r="CB312" s="149" t="str">
        <f>IF(R312="Bogs Ponds Streams",".96", IF(R312="Coastal Areas",".97",IF(R312="Meadows Dry Open",".96",IF(R312="Forest &amp; Understory",".97",IF(R312="Moist Open",".98",IF(R312="Moist Shady",".96",IF(R312="Sub-Alpine","1.0")))))))</f>
        <v>.98</v>
      </c>
      <c r="CC312" s="76" t="str">
        <f>IF(S312="Local Endemic",".50",IF(S312="Regional Endemic",".70",IF(S312="Cascadia",".90",IF(S312="Rocky Mountain",".95",IF(S312="North America",".99")))))</f>
        <v>.90</v>
      </c>
      <c r="CD312" s="4"/>
      <c r="CE312" s="21">
        <f>IF(W312&gt;3,3,W312)</f>
        <v>3</v>
      </c>
      <c r="CF312" s="21">
        <f>IF(AC312&gt;102,102,AC312)</f>
        <v>5.8</v>
      </c>
      <c r="CG312" s="34">
        <f>IF(AI312&lt;$AW$4,$AW$4,AI312)</f>
        <v>2004</v>
      </c>
      <c r="CH312" s="34">
        <f>IF(AJ312&lt;$AW$4,$AW$4,AJ312)</f>
        <v>2004</v>
      </c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</row>
    <row r="313" spans="1:115" s="13" customFormat="1" ht="15" customHeight="1" x14ac:dyDescent="0.3">
      <c r="A313" s="235"/>
      <c r="B313" s="218"/>
      <c r="C313" s="226">
        <v>2</v>
      </c>
      <c r="D313" s="104" t="s">
        <v>2505</v>
      </c>
      <c r="E313" s="104" t="s">
        <v>2501</v>
      </c>
      <c r="F313" s="400" t="str">
        <f ca="1">IF(BC313&lt;2025, "Extinct&lt; 6Yrs?",BA313)</f>
        <v>Widespread</v>
      </c>
      <c r="G313" s="369" t="s">
        <v>525</v>
      </c>
      <c r="H313" s="369" t="s">
        <v>4028</v>
      </c>
      <c r="I313" s="370" t="s">
        <v>3060</v>
      </c>
      <c r="J313" s="371" t="s">
        <v>3784</v>
      </c>
      <c r="K313" s="371" t="s">
        <v>954</v>
      </c>
      <c r="L313" s="106" t="s">
        <v>1411</v>
      </c>
      <c r="M313" s="111" t="s">
        <v>4392</v>
      </c>
      <c r="N313" s="111" t="s">
        <v>5286</v>
      </c>
      <c r="O313" s="111" t="s">
        <v>6183</v>
      </c>
      <c r="P313" s="105" t="s">
        <v>458</v>
      </c>
      <c r="Q313" s="104" t="s">
        <v>2552</v>
      </c>
      <c r="R313" s="105" t="s">
        <v>2497</v>
      </c>
      <c r="S313" s="105" t="s">
        <v>2479</v>
      </c>
      <c r="T313" s="133" t="str">
        <f>IF(R313="Bogs Ponds Streams","20",IF(R313="Coastal Areas","26",IF(R313="Meadows Dry Open","10",IF(R313="Forest &amp; Understory","14",IF(R313="Moist Open","12",IF(R313="Moist Shady","10",IF(R313="Sub-Alpine Slopes","0")))))))</f>
        <v>12</v>
      </c>
      <c r="U313" s="133" t="str">
        <f>IF(R313="Bogs Ponds Streams","52",IF(R313="Coastal Areas","51",IF(R313="Meadows Dry Open","53",IF(R313="Forest &amp; Understory","52",IF(R313="Moist Open","50",IF(R313="Moist Shady","46",IF(R313="Sub-Alpine Slopes","40")))))))</f>
        <v>50</v>
      </c>
      <c r="V313" s="133" t="str">
        <f>IF(R313="Bogs Ponds Streams","84",IF(R313="Coastal Areas","76",IF(R313="Meadows Dry Open","96", IF(R313="Forest &amp; Understory","90", IF(R313="Moist Open","88", IF(R313="Moist Shady","82", IF(R313="Sub-Alpine Slopes","80")))))))</f>
        <v>88</v>
      </c>
      <c r="W313" s="104">
        <v>20</v>
      </c>
      <c r="X313" s="104">
        <v>0</v>
      </c>
      <c r="Y313" s="104">
        <v>3500</v>
      </c>
      <c r="Z313" s="104" t="s">
        <v>2519</v>
      </c>
      <c r="AA313" s="104" t="s">
        <v>2518</v>
      </c>
      <c r="AB313" s="104">
        <v>6.8</v>
      </c>
      <c r="AC313" s="107">
        <f>C313+AK313+(0.1)*AL313</f>
        <v>6.8</v>
      </c>
      <c r="AD313" s="113">
        <v>40</v>
      </c>
      <c r="AE313" s="104">
        <v>5</v>
      </c>
      <c r="AF313" s="104">
        <v>5</v>
      </c>
      <c r="AG313" s="104">
        <v>1900</v>
      </c>
      <c r="AH313" s="113">
        <v>0</v>
      </c>
      <c r="AI313" s="104">
        <f ca="1">AJ313</f>
        <v>2019</v>
      </c>
      <c r="AJ313" s="108">
        <f ca="1">YEAR(TODAY())</f>
        <v>2019</v>
      </c>
      <c r="AK313" s="108">
        <v>4</v>
      </c>
      <c r="AL313" s="108">
        <v>8</v>
      </c>
      <c r="AM313" s="108">
        <v>1</v>
      </c>
      <c r="AN313" s="108">
        <v>1</v>
      </c>
      <c r="AO313" s="110">
        <v>0</v>
      </c>
      <c r="AP313" s="109">
        <v>0</v>
      </c>
      <c r="AQ313" s="108">
        <v>0</v>
      </c>
      <c r="AR313" s="108">
        <v>0</v>
      </c>
      <c r="AS313" s="108">
        <v>0</v>
      </c>
      <c r="AT313" s="108">
        <v>0</v>
      </c>
      <c r="AU313" s="108">
        <v>0</v>
      </c>
      <c r="AV313" s="108">
        <v>0</v>
      </c>
      <c r="AW313" s="108">
        <v>0</v>
      </c>
      <c r="AX313" s="108">
        <v>0</v>
      </c>
      <c r="AY313" s="233"/>
      <c r="AZ313" s="4"/>
      <c r="BA313" s="35" t="str">
        <f>IF(OR(S313="North America",S313="Rocky Mountain"), "Widespread",BC313)</f>
        <v>Widespread</v>
      </c>
      <c r="BB313" s="4"/>
      <c r="BC313" s="35" t="str">
        <f ca="1">IF(BE313&gt;2046, "Abundant",BE313)</f>
        <v>Abundant</v>
      </c>
      <c r="BD313" s="4"/>
      <c r="BE313" s="81">
        <f ca="1">YEAR($C$13)+(BG313*80)</f>
        <v>2064.2528484848485</v>
      </c>
      <c r="BF313" s="4"/>
      <c r="BG313" s="137">
        <f ca="1">BH313*$BH$14</f>
        <v>0.56566060606060597</v>
      </c>
      <c r="BH313" s="137">
        <f ca="1">(((BJ313+BK313+BM313+BN313)/4)*$BM$11)+(((BP313+BQ313)/2)*$BQ$11)+(((BU313+BV313+BW313)/3)*$BU$11)+(((BY313+BZ313+CA313+CB313+CC313)/5)*$CA$11)</f>
        <v>0.56566060606060597</v>
      </c>
      <c r="BI313" s="4"/>
      <c r="BJ313" s="33">
        <f>AP313/(AM313+AO313)</f>
        <v>0</v>
      </c>
      <c r="BK313" s="33">
        <f>(AN313+AO313)/(AM313+AO313)</f>
        <v>1</v>
      </c>
      <c r="BL313" s="4"/>
      <c r="BM313" s="127">
        <f>CF313/102</f>
        <v>6.6666666666666666E-2</v>
      </c>
      <c r="BN313" s="127">
        <f>C313/2</f>
        <v>1</v>
      </c>
      <c r="BO313" s="4"/>
      <c r="BP313" s="127">
        <f>(AK313)/($AW$6)</f>
        <v>4.0404040404040407E-2</v>
      </c>
      <c r="BQ313" s="127">
        <f ca="1">(CH313-$AW$4)/((YEAR($C$13))-$AW$4)</f>
        <v>1</v>
      </c>
      <c r="BR313" s="127">
        <f>(AL313)/($AW$6)</f>
        <v>8.0808080808080815E-2</v>
      </c>
      <c r="BS313" s="4"/>
      <c r="BT313" s="127"/>
      <c r="BU313" s="127">
        <f ca="1">(CG313-$AW$4)/((YEAR($C$13))-$AW$4)</f>
        <v>1</v>
      </c>
      <c r="BV313" s="127">
        <f>AE313/5</f>
        <v>1</v>
      </c>
      <c r="BW313" s="127">
        <f>AF313/5</f>
        <v>1</v>
      </c>
      <c r="BX313" s="4"/>
      <c r="BY313" s="148" t="str">
        <f>IF(E313="A",".98",IF(E313="B",".99",IF(E313="C","1.00",IF(E313="D","1.00" ))))</f>
        <v>1.00</v>
      </c>
      <c r="BZ313" s="127">
        <f>(CE313+7)/10</f>
        <v>1</v>
      </c>
      <c r="CA313" s="76" t="str">
        <f>IF(D313="Fern",".97",IF(D313="Grass",".99",IF(D313="Herb",".97",IF(D313="Shrub",".99",IF(D313="Tree","1.00",IF(D313="Vine",".98"))))))</f>
        <v>.97</v>
      </c>
      <c r="CB313" s="149" t="str">
        <f>IF(R313="Bogs Ponds Streams",".96", IF(R313="Coastal Areas",".97",IF(R313="Meadows Dry Open",".96",IF(R313="Forest &amp; Understory",".97",IF(R313="Moist Open",".98",IF(R313="Moist Shady",".96",IF(R313="Sub-Alpine","1.0")))))))</f>
        <v>.98</v>
      </c>
      <c r="CC313" s="76" t="str">
        <f>IF(S313="Local Endemic",".50",IF(S313="Regional Endemic",".70",IF(S313="Cascadia",".90",IF(S313="Rocky Mountain",".95",IF(S313="North America",".99")))))</f>
        <v>.95</v>
      </c>
      <c r="CD313" s="4"/>
      <c r="CE313" s="21">
        <f>IF(W313&gt;3,3,W313)</f>
        <v>3</v>
      </c>
      <c r="CF313" s="21">
        <f>IF(AC313&gt;102,102,AC313)</f>
        <v>6.8</v>
      </c>
      <c r="CG313" s="34">
        <f ca="1">IF(AI313&lt;$AW$4,$AW$4,AI313)</f>
        <v>2019</v>
      </c>
      <c r="CH313" s="34">
        <f ca="1">IF(AJ313&lt;$AW$4,$AW$4,AJ313)</f>
        <v>2019</v>
      </c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</row>
    <row r="314" spans="1:115" s="13" customFormat="1" ht="15" customHeight="1" x14ac:dyDescent="0.3">
      <c r="A314" s="235"/>
      <c r="B314" s="218"/>
      <c r="C314" s="225">
        <v>8</v>
      </c>
      <c r="D314" s="59" t="s">
        <v>2505</v>
      </c>
      <c r="E314" s="59" t="s">
        <v>2502</v>
      </c>
      <c r="F314" s="397" t="str">
        <f ca="1">IF(BC314&lt;2025, "Extinct&lt; 6Yrs?",BA314)</f>
        <v>Widespread</v>
      </c>
      <c r="G314" s="363" t="s">
        <v>525</v>
      </c>
      <c r="H314" s="363" t="s">
        <v>679</v>
      </c>
      <c r="I314" s="366" t="s">
        <v>485</v>
      </c>
      <c r="J314" s="365" t="s">
        <v>3325</v>
      </c>
      <c r="K314" s="365" t="s">
        <v>952</v>
      </c>
      <c r="L314" s="10" t="s">
        <v>1412</v>
      </c>
      <c r="M314" s="8" t="s">
        <v>4393</v>
      </c>
      <c r="N314" s="8" t="s">
        <v>5287</v>
      </c>
      <c r="O314" s="8" t="s">
        <v>6184</v>
      </c>
      <c r="P314" s="9" t="s">
        <v>486</v>
      </c>
      <c r="Q314" s="59" t="s">
        <v>2552</v>
      </c>
      <c r="R314" s="9" t="s">
        <v>2498</v>
      </c>
      <c r="S314" s="9" t="s">
        <v>2495</v>
      </c>
      <c r="T314" s="123" t="str">
        <f>IF(R314="Bogs Ponds Streams","20",IF(R314="Coastal Areas","26",IF(R314="Meadows Dry Open","10",IF(R314="Forest &amp; Understory","14",IF(R314="Moist Open","12",IF(R314="Moist Shady","10",IF(R314="Sub-Alpine Slopes","0")))))))</f>
        <v>10</v>
      </c>
      <c r="U314" s="123" t="str">
        <f>IF(R314="Bogs Ponds Streams","52",IF(R314="Coastal Areas","51",IF(R314="Meadows Dry Open","53",IF(R314="Forest &amp; Understory","52",IF(R314="Moist Open","50",IF(R314="Moist Shady","46",IF(R314="Sub-Alpine Slopes","40")))))))</f>
        <v>46</v>
      </c>
      <c r="V314" s="123" t="str">
        <f>IF(R314="Bogs Ponds Streams","84",IF(R314="Coastal Areas","76",IF(R314="Meadows Dry Open","96", IF(R314="Forest &amp; Understory","90", IF(R314="Moist Open","88", IF(R314="Moist Shady","82", IF(R314="Sub-Alpine Slopes","80")))))))</f>
        <v>82</v>
      </c>
      <c r="W314" s="59">
        <v>1</v>
      </c>
      <c r="X314" s="59">
        <v>0</v>
      </c>
      <c r="Y314" s="59">
        <v>3500</v>
      </c>
      <c r="Z314" s="59" t="s">
        <v>2519</v>
      </c>
      <c r="AA314" s="59" t="s">
        <v>2518</v>
      </c>
      <c r="AB314" s="59">
        <v>6.8</v>
      </c>
      <c r="AC314" s="45">
        <f>C314+AK314+(0.1)*AL314</f>
        <v>33.299999999999997</v>
      </c>
      <c r="AD314" s="77">
        <v>206</v>
      </c>
      <c r="AE314" s="59">
        <v>5</v>
      </c>
      <c r="AF314" s="59">
        <v>5</v>
      </c>
      <c r="AG314" s="59">
        <v>1900</v>
      </c>
      <c r="AH314" s="77">
        <v>0</v>
      </c>
      <c r="AI314" s="59">
        <f ca="1">AJ314</f>
        <v>2019</v>
      </c>
      <c r="AJ314" s="18">
        <f ca="1">YEAR(TODAY())</f>
        <v>2019</v>
      </c>
      <c r="AK314" s="18">
        <v>22</v>
      </c>
      <c r="AL314" s="18">
        <v>33</v>
      </c>
      <c r="AM314" s="18">
        <v>1</v>
      </c>
      <c r="AN314" s="18">
        <v>1</v>
      </c>
      <c r="AO314" s="25">
        <v>0</v>
      </c>
      <c r="AP314" s="24">
        <v>0</v>
      </c>
      <c r="AQ314" s="18">
        <v>0</v>
      </c>
      <c r="AR314" s="18">
        <v>0</v>
      </c>
      <c r="AS314" s="18">
        <v>0</v>
      </c>
      <c r="AT314" s="18">
        <v>0</v>
      </c>
      <c r="AU314" s="18">
        <v>0</v>
      </c>
      <c r="AV314" s="18">
        <v>0</v>
      </c>
      <c r="AW314" s="18">
        <v>0</v>
      </c>
      <c r="AX314" s="18">
        <v>0</v>
      </c>
      <c r="AY314" s="233"/>
      <c r="AZ314" s="4"/>
      <c r="BA314" s="35" t="str">
        <f>IF(OR(S314="North America",S314="Rocky Mountain"), "Widespread",BC314)</f>
        <v>Widespread</v>
      </c>
      <c r="BB314" s="4"/>
      <c r="BC314" s="35" t="str">
        <f ca="1">IF(BE314&gt;2046, "Abundant",BE314)</f>
        <v>Abundant</v>
      </c>
      <c r="BD314" s="4"/>
      <c r="BE314" s="81">
        <f ca="1">YEAR($C$13)+(BG314*80)</f>
        <v>2105.4883137254901</v>
      </c>
      <c r="BF314" s="4"/>
      <c r="BG314" s="137">
        <f ca="1">BH314*$BH$14</f>
        <v>1.0811039215686273</v>
      </c>
      <c r="BH314" s="137">
        <f ca="1">(((BJ314+BK314+BM314+BN314)/4)*$BM$11)+(((BP314+BQ314)/2)*$BQ$11)+(((BU314+BV314+BW314)/3)*$BU$11)+(((BY314+BZ314+CA314+CB314+CC314)/5)*$CA$11)</f>
        <v>1.0811039215686273</v>
      </c>
      <c r="BI314" s="4"/>
      <c r="BJ314" s="33">
        <f>AP314/(AM314+AO314)</f>
        <v>0</v>
      </c>
      <c r="BK314" s="33">
        <f>(AN314+AO314)/(AM314+AO314)</f>
        <v>1</v>
      </c>
      <c r="BL314" s="4"/>
      <c r="BM314" s="127">
        <f>CF314/102</f>
        <v>0.32647058823529407</v>
      </c>
      <c r="BN314" s="127">
        <f>C314/2</f>
        <v>4</v>
      </c>
      <c r="BO314" s="4"/>
      <c r="BP314" s="127">
        <f>(AK314)/($AW$6)</f>
        <v>0.22222222222222221</v>
      </c>
      <c r="BQ314" s="127">
        <f ca="1">(CH314-$AW$4)/((YEAR($C$13))-$AW$4)</f>
        <v>1</v>
      </c>
      <c r="BR314" s="127">
        <f>(AL314)/($AW$6)</f>
        <v>0.33333333333333331</v>
      </c>
      <c r="BS314" s="4"/>
      <c r="BT314" s="127"/>
      <c r="BU314" s="127">
        <f ca="1">(CG314-$AW$4)/((YEAR($C$13))-$AW$4)</f>
        <v>1</v>
      </c>
      <c r="BV314" s="127">
        <f>AE314/5</f>
        <v>1</v>
      </c>
      <c r="BW314" s="127">
        <f>AF314/5</f>
        <v>1</v>
      </c>
      <c r="BX314" s="4"/>
      <c r="BY314" s="148" t="str">
        <f>IF(E314="A",".98",IF(E314="B",".99",IF(E314="C","1.00",IF(E314="D","1.00" ))))</f>
        <v>.98</v>
      </c>
      <c r="BZ314" s="127">
        <f>(CE314+7)/10</f>
        <v>0.8</v>
      </c>
      <c r="CA314" s="76" t="str">
        <f>IF(D314="Fern",".97",IF(D314="Grass",".99",IF(D314="Herb",".97",IF(D314="Shrub",".99",IF(D314="Tree","1.00",IF(D314="Vine",".98"))))))</f>
        <v>.97</v>
      </c>
      <c r="CB314" s="149" t="str">
        <f>IF(R314="Bogs Ponds Streams",".96", IF(R314="Coastal Areas",".97",IF(R314="Meadows Dry Open",".96",IF(R314="Forest &amp; Understory",".97",IF(R314="Moist Open",".98",IF(R314="Moist Shady",".96",IF(R314="Sub-Alpine","1.0")))))))</f>
        <v>.96</v>
      </c>
      <c r="CC314" s="76" t="str">
        <f>IF(S314="Local Endemic",".50",IF(S314="Regional Endemic",".70",IF(S314="Cascadia",".90",IF(S314="Rocky Mountain",".95",IF(S314="North America",".99")))))</f>
        <v>.99</v>
      </c>
      <c r="CD314" s="4"/>
      <c r="CE314" s="21">
        <f>IF(W314&gt;3,3,W314)</f>
        <v>1</v>
      </c>
      <c r="CF314" s="21">
        <f>IF(AC314&gt;102,102,AC314)</f>
        <v>33.299999999999997</v>
      </c>
      <c r="CG314" s="34">
        <f ca="1">IF(AI314&lt;$AW$4,$AW$4,AI314)</f>
        <v>2019</v>
      </c>
      <c r="CH314" s="34">
        <f ca="1">IF(AJ314&lt;$AW$4,$AW$4,AJ314)</f>
        <v>2019</v>
      </c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</row>
    <row r="315" spans="1:115" s="13" customFormat="1" ht="15" customHeight="1" x14ac:dyDescent="0.3">
      <c r="A315" s="235"/>
      <c r="B315" s="218"/>
      <c r="C315" s="226">
        <v>2</v>
      </c>
      <c r="D315" s="104" t="s">
        <v>2505</v>
      </c>
      <c r="E315" s="104" t="s">
        <v>2502</v>
      </c>
      <c r="F315" s="400" t="str">
        <f ca="1">IF(BC315&lt;2025, "Extinct&lt; 6Yrs?",BA315)</f>
        <v>Widespread</v>
      </c>
      <c r="G315" s="369" t="s">
        <v>525</v>
      </c>
      <c r="H315" s="369" t="s">
        <v>4028</v>
      </c>
      <c r="I315" s="370" t="s">
        <v>3061</v>
      </c>
      <c r="J315" s="371" t="s">
        <v>3783</v>
      </c>
      <c r="K315" s="371" t="s">
        <v>953</v>
      </c>
      <c r="L315" s="106" t="s">
        <v>1413</v>
      </c>
      <c r="M315" s="111" t="s">
        <v>4394</v>
      </c>
      <c r="N315" s="111" t="s">
        <v>5288</v>
      </c>
      <c r="O315" s="111" t="s">
        <v>6185</v>
      </c>
      <c r="P315" s="105" t="s">
        <v>486</v>
      </c>
      <c r="Q315" s="104" t="s">
        <v>2552</v>
      </c>
      <c r="R315" s="105" t="s">
        <v>2499</v>
      </c>
      <c r="S315" s="105" t="s">
        <v>2495</v>
      </c>
      <c r="T315" s="133" t="str">
        <f>IF(R315="Bogs Ponds Streams","20",IF(R315="Coastal Areas","26",IF(R315="Meadows Dry Open","10",IF(R315="Forest &amp; Understory","14",IF(R315="Moist Open","12",IF(R315="Moist Shady","10",IF(R315="Sub-Alpine Slopes","0")))))))</f>
        <v>20</v>
      </c>
      <c r="U315" s="133" t="str">
        <f>IF(R315="Bogs Ponds Streams","52",IF(R315="Coastal Areas","51",IF(R315="Meadows Dry Open","53",IF(R315="Forest &amp; Understory","52",IF(R315="Moist Open","50",IF(R315="Moist Shady","46",IF(R315="Sub-Alpine Slopes","40")))))))</f>
        <v>52</v>
      </c>
      <c r="V315" s="133" t="str">
        <f>IF(R315="Bogs Ponds Streams","84",IF(R315="Coastal Areas","76",IF(R315="Meadows Dry Open","96", IF(R315="Forest &amp; Understory","90", IF(R315="Moist Open","88", IF(R315="Moist Shady","82", IF(R315="Sub-Alpine Slopes","80")))))))</f>
        <v>84</v>
      </c>
      <c r="W315" s="104">
        <v>1</v>
      </c>
      <c r="X315" s="104">
        <v>0</v>
      </c>
      <c r="Y315" s="104">
        <v>3500</v>
      </c>
      <c r="Z315" s="104" t="s">
        <v>2519</v>
      </c>
      <c r="AA315" s="104" t="s">
        <v>2518</v>
      </c>
      <c r="AB315" s="104">
        <v>6.8</v>
      </c>
      <c r="AC315" s="107">
        <f>C315+AK315+(0.1)*AL315</f>
        <v>48.2</v>
      </c>
      <c r="AD315" s="113">
        <v>93</v>
      </c>
      <c r="AE315" s="104">
        <v>5</v>
      </c>
      <c r="AF315" s="104">
        <v>5</v>
      </c>
      <c r="AG315" s="104">
        <v>1900</v>
      </c>
      <c r="AH315" s="113">
        <v>0</v>
      </c>
      <c r="AI315" s="104">
        <f>AJ315</f>
        <v>2004</v>
      </c>
      <c r="AJ315" s="108">
        <v>2004</v>
      </c>
      <c r="AK315" s="108">
        <v>44</v>
      </c>
      <c r="AL315" s="108">
        <v>22</v>
      </c>
      <c r="AM315" s="109">
        <v>5</v>
      </c>
      <c r="AN315" s="109">
        <v>1</v>
      </c>
      <c r="AO315" s="110">
        <v>0</v>
      </c>
      <c r="AP315" s="109">
        <v>0</v>
      </c>
      <c r="AQ315" s="109">
        <v>0</v>
      </c>
      <c r="AR315" s="109">
        <v>0</v>
      </c>
      <c r="AS315" s="110">
        <v>0</v>
      </c>
      <c r="AT315" s="109">
        <v>0</v>
      </c>
      <c r="AU315" s="109">
        <v>0</v>
      </c>
      <c r="AV315" s="109">
        <v>0</v>
      </c>
      <c r="AW315" s="110">
        <v>0</v>
      </c>
      <c r="AX315" s="109">
        <v>0</v>
      </c>
      <c r="AY315" s="233"/>
      <c r="AZ315" s="4"/>
      <c r="BA315" s="35" t="str">
        <f>IF(OR(S315="North America",S315="Rocky Mountain"), "Widespread",BC315)</f>
        <v>Widespread</v>
      </c>
      <c r="BB315" s="4"/>
      <c r="BC315" s="35" t="str">
        <f ca="1">IF(BE315&gt;2046, "Abundant",BE315)</f>
        <v>Abundant</v>
      </c>
      <c r="BD315" s="4"/>
      <c r="BE315" s="81">
        <f ca="1">YEAR($C$13)+(BG315*80)</f>
        <v>2050.1745882352943</v>
      </c>
      <c r="BF315" s="4"/>
      <c r="BG315" s="137">
        <f ca="1">BH315*$BH$14</f>
        <v>0.38968235294117642</v>
      </c>
      <c r="BH315" s="137">
        <f ca="1">(((BJ315+BK315+BM315+BN315)/4)*$BM$11)+(((BP315+BQ315)/2)*$BQ$11)+(((BU315+BV315+BW315)/3)*$BU$11)+(((BY315+BZ315+CA315+CB315+CC315)/5)*$CA$11)</f>
        <v>0.38968235294117642</v>
      </c>
      <c r="BI315" s="4"/>
      <c r="BJ315" s="33">
        <f>AP315/(AM315+AO315)</f>
        <v>0</v>
      </c>
      <c r="BK315" s="33">
        <f>(AN315+AO315)/(AM315+AO315)</f>
        <v>0.2</v>
      </c>
      <c r="BL315" s="4"/>
      <c r="BM315" s="127">
        <f>CF315/102</f>
        <v>0.47254901960784318</v>
      </c>
      <c r="BN315" s="127">
        <f>C315/2</f>
        <v>1</v>
      </c>
      <c r="BO315" s="4"/>
      <c r="BP315" s="127">
        <f>(AK315)/($AW$6)</f>
        <v>0.44444444444444442</v>
      </c>
      <c r="BQ315" s="127">
        <f ca="1">(CH315-$AW$4)/((YEAR($C$13))-$AW$4)</f>
        <v>0</v>
      </c>
      <c r="BR315" s="127">
        <f>(AL315)/($AW$6)</f>
        <v>0.22222222222222221</v>
      </c>
      <c r="BS315" s="4"/>
      <c r="BT315" s="127"/>
      <c r="BU315" s="127">
        <f ca="1">(CG315-$AW$4)/((YEAR($C$13))-$AW$4)</f>
        <v>0</v>
      </c>
      <c r="BV315" s="127">
        <f>AE315/5</f>
        <v>1</v>
      </c>
      <c r="BW315" s="127">
        <f>AF315/5</f>
        <v>1</v>
      </c>
      <c r="BX315" s="4"/>
      <c r="BY315" s="148" t="str">
        <f>IF(E315="A",".98",IF(E315="B",".99",IF(E315="C","1.00",IF(E315="D","1.00" ))))</f>
        <v>.98</v>
      </c>
      <c r="BZ315" s="127">
        <f>(CE315+7)/10</f>
        <v>0.8</v>
      </c>
      <c r="CA315" s="76" t="str">
        <f>IF(D315="Fern",".97",IF(D315="Grass",".99",IF(D315="Herb",".97",IF(D315="Shrub",".99",IF(D315="Tree","1.00",IF(D315="Vine",".98"))))))</f>
        <v>.97</v>
      </c>
      <c r="CB315" s="149" t="str">
        <f>IF(R315="Bogs Ponds Streams",".96", IF(R315="Coastal Areas",".97",IF(R315="Meadows Dry Open",".96",IF(R315="Forest &amp; Understory",".97",IF(R315="Moist Open",".98",IF(R315="Moist Shady",".96",IF(R315="Sub-Alpine","1.0")))))))</f>
        <v>.96</v>
      </c>
      <c r="CC315" s="76" t="str">
        <f>IF(S315="Local Endemic",".50",IF(S315="Regional Endemic",".70",IF(S315="Cascadia",".90",IF(S315="Rocky Mountain",".95",IF(S315="North America",".99")))))</f>
        <v>.99</v>
      </c>
      <c r="CD315" s="4"/>
      <c r="CE315" s="21">
        <f>IF(W315&gt;3,3,W315)</f>
        <v>1</v>
      </c>
      <c r="CF315" s="21">
        <f>IF(AC315&gt;102,102,AC315)</f>
        <v>48.2</v>
      </c>
      <c r="CG315" s="34">
        <f>IF(AI315&lt;$AW$4,$AW$4,AI315)</f>
        <v>2004</v>
      </c>
      <c r="CH315" s="34">
        <f>IF(AJ315&lt;$AW$4,$AW$4,AJ315)</f>
        <v>2004</v>
      </c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12"/>
    </row>
    <row r="316" spans="1:115" s="13" customFormat="1" ht="15" customHeight="1" x14ac:dyDescent="0.3">
      <c r="A316" s="235"/>
      <c r="B316" s="218"/>
      <c r="C316" s="225">
        <v>8</v>
      </c>
      <c r="D316" s="59" t="s">
        <v>2505</v>
      </c>
      <c r="E316" s="59" t="s">
        <v>2502</v>
      </c>
      <c r="F316" s="397" t="str">
        <f ca="1">IF(BC316&lt;2025, "Extinct&lt; 6Yrs?",BA316)</f>
        <v>Widespread</v>
      </c>
      <c r="G316" s="363" t="s">
        <v>525</v>
      </c>
      <c r="H316" s="363" t="s">
        <v>682</v>
      </c>
      <c r="I316" s="366" t="s">
        <v>489</v>
      </c>
      <c r="J316" s="365" t="s">
        <v>3324</v>
      </c>
      <c r="K316" s="365" t="s">
        <v>338</v>
      </c>
      <c r="L316" s="10" t="s">
        <v>1414</v>
      </c>
      <c r="M316" s="8" t="s">
        <v>4395</v>
      </c>
      <c r="N316" s="8" t="s">
        <v>5289</v>
      </c>
      <c r="O316" s="8" t="s">
        <v>6186</v>
      </c>
      <c r="P316" s="9" t="s">
        <v>486</v>
      </c>
      <c r="Q316" s="59" t="s">
        <v>2552</v>
      </c>
      <c r="R316" s="9" t="s">
        <v>2498</v>
      </c>
      <c r="S316" s="9" t="s">
        <v>2495</v>
      </c>
      <c r="T316" s="123" t="str">
        <f>IF(R316="Bogs Ponds Streams","20",IF(R316="Coastal Areas","26",IF(R316="Meadows Dry Open","10",IF(R316="Forest &amp; Understory","14",IF(R316="Moist Open","12",IF(R316="Moist Shady","10",IF(R316="Sub-Alpine Slopes","0")))))))</f>
        <v>10</v>
      </c>
      <c r="U316" s="123" t="str">
        <f>IF(R316="Bogs Ponds Streams","52",IF(R316="Coastal Areas","51",IF(R316="Meadows Dry Open","53",IF(R316="Forest &amp; Understory","52",IF(R316="Moist Open","50",IF(R316="Moist Shady","46",IF(R316="Sub-Alpine Slopes","40")))))))</f>
        <v>46</v>
      </c>
      <c r="V316" s="123" t="str">
        <f>IF(R316="Bogs Ponds Streams","84",IF(R316="Coastal Areas","76",IF(R316="Meadows Dry Open","96", IF(R316="Forest &amp; Understory","90", IF(R316="Moist Open","88", IF(R316="Moist Shady","82", IF(R316="Sub-Alpine Slopes","80")))))))</f>
        <v>82</v>
      </c>
      <c r="W316" s="59">
        <v>1</v>
      </c>
      <c r="X316" s="59">
        <v>0</v>
      </c>
      <c r="Y316" s="59">
        <v>3500</v>
      </c>
      <c r="Z316" s="59" t="s">
        <v>2519</v>
      </c>
      <c r="AA316" s="59" t="s">
        <v>2518</v>
      </c>
      <c r="AB316" s="59">
        <v>6.8</v>
      </c>
      <c r="AC316" s="45">
        <f>C316+AK316+(0.1)*AL316</f>
        <v>44.3</v>
      </c>
      <c r="AD316" s="77">
        <v>135</v>
      </c>
      <c r="AE316" s="59">
        <v>5</v>
      </c>
      <c r="AF316" s="59">
        <v>5</v>
      </c>
      <c r="AG316" s="59">
        <v>1900</v>
      </c>
      <c r="AH316" s="77">
        <v>0</v>
      </c>
      <c r="AI316" s="59">
        <f ca="1">AJ316</f>
        <v>2019</v>
      </c>
      <c r="AJ316" s="18">
        <f ca="1">YEAR(TODAY())</f>
        <v>2019</v>
      </c>
      <c r="AK316" s="18">
        <v>33</v>
      </c>
      <c r="AL316" s="18">
        <v>33</v>
      </c>
      <c r="AM316" s="18">
        <v>1</v>
      </c>
      <c r="AN316" s="18">
        <v>1</v>
      </c>
      <c r="AO316" s="18">
        <v>5</v>
      </c>
      <c r="AP316" s="18">
        <v>1</v>
      </c>
      <c r="AQ316" s="18">
        <v>0</v>
      </c>
      <c r="AR316" s="18">
        <v>0</v>
      </c>
      <c r="AS316" s="18">
        <v>0</v>
      </c>
      <c r="AT316" s="18">
        <v>0</v>
      </c>
      <c r="AU316" s="18">
        <v>0</v>
      </c>
      <c r="AV316" s="18">
        <v>0</v>
      </c>
      <c r="AW316" s="18">
        <v>0</v>
      </c>
      <c r="AX316" s="18">
        <v>0</v>
      </c>
      <c r="AY316" s="233"/>
      <c r="AZ316" s="4"/>
      <c r="BA316" s="35" t="str">
        <f>IF(OR(S316="North America",S316="Rocky Mountain"), "Widespread",BC316)</f>
        <v>Widespread</v>
      </c>
      <c r="BB316" s="4"/>
      <c r="BC316" s="35" t="str">
        <f ca="1">IF(BE316&gt;2046, "Abundant",BE316)</f>
        <v>Abundant</v>
      </c>
      <c r="BD316" s="4"/>
      <c r="BE316" s="81">
        <f ca="1">YEAR($C$13)+(BG316*80)</f>
        <v>2110.1157647058822</v>
      </c>
      <c r="BF316" s="4"/>
      <c r="BG316" s="137">
        <f ca="1">BH316*$BH$14</f>
        <v>1.1389470588235295</v>
      </c>
      <c r="BH316" s="137">
        <f ca="1">(((BJ316+BK316+BM316+BN316)/4)*$BM$11)+(((BP316+BQ316)/2)*$BQ$11)+(((BU316+BV316+BW316)/3)*$BU$11)+(((BY316+BZ316+CA316+CB316+CC316)/5)*$CA$11)</f>
        <v>1.1389470588235295</v>
      </c>
      <c r="BI316" s="4"/>
      <c r="BJ316" s="33">
        <f>AP316/(AM316+AO316)</f>
        <v>0.16666666666666666</v>
      </c>
      <c r="BK316" s="33">
        <f>(AN316+AO316)/(AM316+AO316)</f>
        <v>1</v>
      </c>
      <c r="BL316" s="4"/>
      <c r="BM316" s="127">
        <f>CF316/102</f>
        <v>0.43431372549019603</v>
      </c>
      <c r="BN316" s="127">
        <f>C316/2</f>
        <v>4</v>
      </c>
      <c r="BO316" s="4"/>
      <c r="BP316" s="127">
        <f>(AK316)/($AW$6)</f>
        <v>0.33333333333333331</v>
      </c>
      <c r="BQ316" s="127">
        <f ca="1">(CH316-$AW$4)/((YEAR($C$13))-$AW$4)</f>
        <v>1</v>
      </c>
      <c r="BR316" s="127">
        <f>(AL316)/($AW$6)</f>
        <v>0.33333333333333331</v>
      </c>
      <c r="BS316" s="4"/>
      <c r="BT316" s="127"/>
      <c r="BU316" s="127">
        <f ca="1">(CG316-$AW$4)/((YEAR($C$13))-$AW$4)</f>
        <v>1</v>
      </c>
      <c r="BV316" s="127">
        <f>AE316/5</f>
        <v>1</v>
      </c>
      <c r="BW316" s="127">
        <f>AF316/5</f>
        <v>1</v>
      </c>
      <c r="BX316" s="4"/>
      <c r="BY316" s="148" t="str">
        <f>IF(E316="A",".98",IF(E316="B",".99",IF(E316="C","1.00",IF(E316="D","1.00" ))))</f>
        <v>.98</v>
      </c>
      <c r="BZ316" s="127">
        <f>(CE316+7)/10</f>
        <v>0.8</v>
      </c>
      <c r="CA316" s="76" t="str">
        <f>IF(D316="Fern",".97",IF(D316="Grass",".99",IF(D316="Herb",".97",IF(D316="Shrub",".99",IF(D316="Tree","1.00",IF(D316="Vine",".98"))))))</f>
        <v>.97</v>
      </c>
      <c r="CB316" s="149" t="str">
        <f>IF(R316="Bogs Ponds Streams",".96", IF(R316="Coastal Areas",".97",IF(R316="Meadows Dry Open",".96",IF(R316="Forest &amp; Understory",".97",IF(R316="Moist Open",".98",IF(R316="Moist Shady",".96",IF(R316="Sub-Alpine","1.0")))))))</f>
        <v>.96</v>
      </c>
      <c r="CC316" s="76" t="str">
        <f>IF(S316="Local Endemic",".50",IF(S316="Regional Endemic",".70",IF(S316="Cascadia",".90",IF(S316="Rocky Mountain",".95",IF(S316="North America",".99")))))</f>
        <v>.99</v>
      </c>
      <c r="CD316" s="4"/>
      <c r="CE316" s="21">
        <f>IF(W316&gt;3,3,W316)</f>
        <v>1</v>
      </c>
      <c r="CF316" s="21">
        <f>IF(AC316&gt;102,102,AC316)</f>
        <v>44.3</v>
      </c>
      <c r="CG316" s="34">
        <f ca="1">IF(AI316&lt;$AW$4,$AW$4,AI316)</f>
        <v>2019</v>
      </c>
      <c r="CH316" s="34">
        <f ca="1">IF(AJ316&lt;$AW$4,$AW$4,AJ316)</f>
        <v>2019</v>
      </c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</row>
    <row r="317" spans="1:115" s="13" customFormat="1" ht="15" customHeight="1" x14ac:dyDescent="0.3">
      <c r="A317" s="235"/>
      <c r="B317" s="218"/>
      <c r="C317" s="375">
        <v>1</v>
      </c>
      <c r="D317" s="67" t="s">
        <v>2505</v>
      </c>
      <c r="E317" s="67" t="s">
        <v>2502</v>
      </c>
      <c r="F317" s="403" t="str">
        <f ca="1">IF(BC317&lt;2025, "Extinct&lt; 6Yrs?",BA317)</f>
        <v>Widespread</v>
      </c>
      <c r="G317" s="376" t="s">
        <v>525</v>
      </c>
      <c r="H317" s="376" t="s">
        <v>4028</v>
      </c>
      <c r="I317" s="379" t="s">
        <v>488</v>
      </c>
      <c r="J317" s="378" t="s">
        <v>3618</v>
      </c>
      <c r="K317" s="378" t="s">
        <v>487</v>
      </c>
      <c r="L317" s="63" t="s">
        <v>1415</v>
      </c>
      <c r="M317" s="64" t="s">
        <v>4396</v>
      </c>
      <c r="N317" s="64" t="s">
        <v>5290</v>
      </c>
      <c r="O317" s="64" t="s">
        <v>6187</v>
      </c>
      <c r="P317" s="61" t="s">
        <v>486</v>
      </c>
      <c r="Q317" s="67" t="s">
        <v>2552</v>
      </c>
      <c r="R317" s="61" t="s">
        <v>2497</v>
      </c>
      <c r="S317" s="61" t="s">
        <v>2495</v>
      </c>
      <c r="T317" s="134" t="str">
        <f>IF(R317="Bogs Ponds Streams","20",IF(R317="Coastal Areas","26",IF(R317="Meadows Dry Open","10",IF(R317="Forest &amp; Understory","14",IF(R317="Moist Open","12",IF(R317="Moist Shady","10",IF(R317="Sub-Alpine Slopes","0")))))))</f>
        <v>12</v>
      </c>
      <c r="U317" s="134" t="str">
        <f>IF(R317="Bogs Ponds Streams","52",IF(R317="Coastal Areas","51",IF(R317="Meadows Dry Open","53",IF(R317="Forest &amp; Understory","52",IF(R317="Moist Open","50",IF(R317="Moist Shady","46",IF(R317="Sub-Alpine Slopes","40")))))))</f>
        <v>50</v>
      </c>
      <c r="V317" s="134" t="str">
        <f>IF(R317="Bogs Ponds Streams","84",IF(R317="Coastal Areas","76",IF(R317="Meadows Dry Open","96", IF(R317="Forest &amp; Understory","90", IF(R317="Moist Open","88", IF(R317="Moist Shady","82", IF(R317="Sub-Alpine Slopes","80")))))))</f>
        <v>88</v>
      </c>
      <c r="W317" s="67">
        <v>1</v>
      </c>
      <c r="X317" s="67">
        <v>0</v>
      </c>
      <c r="Y317" s="67">
        <v>3500</v>
      </c>
      <c r="Z317" s="67" t="s">
        <v>2519</v>
      </c>
      <c r="AA317" s="67" t="s">
        <v>2518</v>
      </c>
      <c r="AB317" s="67">
        <v>6.8</v>
      </c>
      <c r="AC317" s="85">
        <f>C317+AK317+(0.1)*AL317</f>
        <v>27.5</v>
      </c>
      <c r="AD317" s="78">
        <v>41</v>
      </c>
      <c r="AE317" s="67">
        <v>5</v>
      </c>
      <c r="AF317" s="67">
        <v>5</v>
      </c>
      <c r="AG317" s="67">
        <v>1900</v>
      </c>
      <c r="AH317" s="78">
        <v>0</v>
      </c>
      <c r="AI317" s="67">
        <f>AJ317</f>
        <v>2004</v>
      </c>
      <c r="AJ317" s="69">
        <v>2004</v>
      </c>
      <c r="AK317" s="69">
        <v>26</v>
      </c>
      <c r="AL317" s="69">
        <v>5</v>
      </c>
      <c r="AM317" s="70">
        <v>5</v>
      </c>
      <c r="AN317" s="70">
        <v>0</v>
      </c>
      <c r="AO317" s="86">
        <v>0</v>
      </c>
      <c r="AP317" s="70">
        <v>0</v>
      </c>
      <c r="AQ317" s="70">
        <v>0</v>
      </c>
      <c r="AR317" s="70">
        <v>0</v>
      </c>
      <c r="AS317" s="86">
        <v>0</v>
      </c>
      <c r="AT317" s="70">
        <v>0</v>
      </c>
      <c r="AU317" s="70">
        <v>0</v>
      </c>
      <c r="AV317" s="70">
        <v>0</v>
      </c>
      <c r="AW317" s="86">
        <v>0</v>
      </c>
      <c r="AX317" s="70">
        <v>0</v>
      </c>
      <c r="AY317" s="233"/>
      <c r="AZ317" s="4"/>
      <c r="BA317" s="35" t="str">
        <f>IF(OR(S317="North America",S317="Rocky Mountain"), "Widespread",BC317)</f>
        <v>Widespread</v>
      </c>
      <c r="BB317" s="4"/>
      <c r="BC317" s="35">
        <f ca="1">IF(BE317&gt;2046, "Abundant",BE317)</f>
        <v>2037.1638759358289</v>
      </c>
      <c r="BD317" s="4"/>
      <c r="BE317" s="81">
        <f ca="1">YEAR($C$13)+(BG317*80)</f>
        <v>2037.1638759358289</v>
      </c>
      <c r="BF317" s="4"/>
      <c r="BG317" s="137">
        <f ca="1">BH317*$BH$14</f>
        <v>0.22704844919786094</v>
      </c>
      <c r="BH317" s="137">
        <f ca="1">(((BJ317+BK317+BM317+BN317)/4)*$BM$11)+(((BP317+BQ317)/2)*$BQ$11)+(((BU317+BV317+BW317)/3)*$BU$11)+(((BY317+BZ317+CA317+CB317+CC317)/5)*$CA$11)</f>
        <v>0.22704844919786094</v>
      </c>
      <c r="BI317" s="4"/>
      <c r="BJ317" s="33">
        <f>AP317/(AM317+AO317)</f>
        <v>0</v>
      </c>
      <c r="BK317" s="33">
        <f>(AN317+AO317)/(AM317+AO317)</f>
        <v>0</v>
      </c>
      <c r="BL317" s="4"/>
      <c r="BM317" s="127">
        <f>CF317/102</f>
        <v>0.26960784313725489</v>
      </c>
      <c r="BN317" s="127">
        <f>C317/2</f>
        <v>0.5</v>
      </c>
      <c r="BO317" s="4"/>
      <c r="BP317" s="127">
        <f>(AK317)/($AW$6)</f>
        <v>0.26262626262626265</v>
      </c>
      <c r="BQ317" s="127">
        <f ca="1">(CH317-$AW$4)/((YEAR($C$13))-$AW$4)</f>
        <v>0</v>
      </c>
      <c r="BR317" s="127">
        <f>(AL317)/($AW$6)</f>
        <v>5.0505050505050504E-2</v>
      </c>
      <c r="BS317" s="4"/>
      <c r="BT317" s="127"/>
      <c r="BU317" s="127">
        <f ca="1">(CG317-$AW$4)/((YEAR($C$13))-$AW$4)</f>
        <v>0</v>
      </c>
      <c r="BV317" s="127">
        <f>AE317/5</f>
        <v>1</v>
      </c>
      <c r="BW317" s="127">
        <f>AF317/5</f>
        <v>1</v>
      </c>
      <c r="BX317" s="4"/>
      <c r="BY317" s="148" t="str">
        <f>IF(E317="A",".98",IF(E317="B",".99",IF(E317="C","1.00",IF(E317="D","1.00" ))))</f>
        <v>.98</v>
      </c>
      <c r="BZ317" s="127">
        <f>(CE317+7)/10</f>
        <v>0.8</v>
      </c>
      <c r="CA317" s="76" t="str">
        <f>IF(D317="Fern",".97",IF(D317="Grass",".99",IF(D317="Herb",".97",IF(D317="Shrub",".99",IF(D317="Tree","1.00",IF(D317="Vine",".98"))))))</f>
        <v>.97</v>
      </c>
      <c r="CB317" s="149" t="str">
        <f>IF(R317="Bogs Ponds Streams",".96", IF(R317="Coastal Areas",".97",IF(R317="Meadows Dry Open",".96",IF(R317="Forest &amp; Understory",".97",IF(R317="Moist Open",".98",IF(R317="Moist Shady",".96",IF(R317="Sub-Alpine","1.0")))))))</f>
        <v>.98</v>
      </c>
      <c r="CC317" s="76" t="str">
        <f>IF(S317="Local Endemic",".50",IF(S317="Regional Endemic",".70",IF(S317="Cascadia",".90",IF(S317="Rocky Mountain",".95",IF(S317="North America",".99")))))</f>
        <v>.99</v>
      </c>
      <c r="CD317" s="4"/>
      <c r="CE317" s="21">
        <f>IF(W317&gt;3,3,W317)</f>
        <v>1</v>
      </c>
      <c r="CF317" s="21">
        <f>IF(AC317&gt;102,102,AC317)</f>
        <v>27.5</v>
      </c>
      <c r="CG317" s="34">
        <f>IF(AI317&lt;$AW$4,$AW$4,AI317)</f>
        <v>2004</v>
      </c>
      <c r="CH317" s="34">
        <f>IF(AJ317&lt;$AW$4,$AW$4,AJ317)</f>
        <v>2004</v>
      </c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12"/>
    </row>
    <row r="318" spans="1:115" s="13" customFormat="1" ht="15" customHeight="1" x14ac:dyDescent="0.3">
      <c r="A318" s="235"/>
      <c r="B318" s="218"/>
      <c r="C318" s="225">
        <v>8</v>
      </c>
      <c r="D318" s="59" t="s">
        <v>2505</v>
      </c>
      <c r="E318" s="59" t="s">
        <v>2502</v>
      </c>
      <c r="F318" s="397" t="str">
        <f ca="1">IF(BC318&lt;2025, "Extinct&lt; 6Yrs?",BA318)</f>
        <v>Abundant</v>
      </c>
      <c r="G318" s="363" t="s">
        <v>525</v>
      </c>
      <c r="H318" s="363" t="s">
        <v>679</v>
      </c>
      <c r="I318" s="366" t="s">
        <v>3062</v>
      </c>
      <c r="J318" s="365" t="s">
        <v>3323</v>
      </c>
      <c r="K318" s="365" t="s">
        <v>339</v>
      </c>
      <c r="L318" s="10" t="s">
        <v>1416</v>
      </c>
      <c r="M318" s="8" t="s">
        <v>4397</v>
      </c>
      <c r="N318" s="8" t="s">
        <v>5291</v>
      </c>
      <c r="O318" s="8" t="s">
        <v>6188</v>
      </c>
      <c r="P318" s="9" t="s">
        <v>486</v>
      </c>
      <c r="Q318" s="59" t="s">
        <v>2552</v>
      </c>
      <c r="R318" s="9" t="s">
        <v>2498</v>
      </c>
      <c r="S318" s="9" t="s">
        <v>2459</v>
      </c>
      <c r="T318" s="123" t="str">
        <f>IF(R318="Bogs Ponds Streams","20",IF(R318="Coastal Areas","26",IF(R318="Meadows Dry Open","10",IF(R318="Forest &amp; Understory","14",IF(R318="Moist Open","12",IF(R318="Moist Shady","10",IF(R318="Sub-Alpine Slopes","0")))))))</f>
        <v>10</v>
      </c>
      <c r="U318" s="123" t="str">
        <f>IF(R318="Bogs Ponds Streams","52",IF(R318="Coastal Areas","51",IF(R318="Meadows Dry Open","53",IF(R318="Forest &amp; Understory","52",IF(R318="Moist Open","50",IF(R318="Moist Shady","46",IF(R318="Sub-Alpine Slopes","40")))))))</f>
        <v>46</v>
      </c>
      <c r="V318" s="123" t="str">
        <f>IF(R318="Bogs Ponds Streams","84",IF(R318="Coastal Areas","76",IF(R318="Meadows Dry Open","96", IF(R318="Forest &amp; Understory","90", IF(R318="Moist Open","88", IF(R318="Moist Shady","82", IF(R318="Sub-Alpine Slopes","80")))))))</f>
        <v>82</v>
      </c>
      <c r="W318" s="59">
        <v>1</v>
      </c>
      <c r="X318" s="59">
        <v>0</v>
      </c>
      <c r="Y318" s="59">
        <v>3500</v>
      </c>
      <c r="Z318" s="59" t="s">
        <v>2519</v>
      </c>
      <c r="AA318" s="59" t="s">
        <v>2518</v>
      </c>
      <c r="AB318" s="59">
        <v>6.8</v>
      </c>
      <c r="AC318" s="45">
        <f>C318+AK318+(0.1)*AL318</f>
        <v>53.1</v>
      </c>
      <c r="AD318" s="77">
        <v>75</v>
      </c>
      <c r="AE318" s="59">
        <v>5</v>
      </c>
      <c r="AF318" s="59">
        <v>5</v>
      </c>
      <c r="AG318" s="59">
        <v>1900</v>
      </c>
      <c r="AH318" s="77">
        <v>0</v>
      </c>
      <c r="AI318" s="59">
        <f ca="1">AJ318</f>
        <v>2019</v>
      </c>
      <c r="AJ318" s="18">
        <f ca="1">YEAR(TODAY())</f>
        <v>2019</v>
      </c>
      <c r="AK318" s="18">
        <v>44</v>
      </c>
      <c r="AL318" s="18">
        <v>11</v>
      </c>
      <c r="AM318" s="18">
        <v>1</v>
      </c>
      <c r="AN318" s="18">
        <v>1</v>
      </c>
      <c r="AO318" s="18">
        <v>5</v>
      </c>
      <c r="AP318" s="18">
        <v>1</v>
      </c>
      <c r="AQ318" s="18">
        <v>0</v>
      </c>
      <c r="AR318" s="18">
        <v>0</v>
      </c>
      <c r="AS318" s="18">
        <v>0</v>
      </c>
      <c r="AT318" s="18">
        <v>0</v>
      </c>
      <c r="AU318" s="18">
        <v>0</v>
      </c>
      <c r="AV318" s="18">
        <v>0</v>
      </c>
      <c r="AW318" s="18">
        <v>0</v>
      </c>
      <c r="AX318" s="18">
        <v>0</v>
      </c>
      <c r="AY318" s="233"/>
      <c r="AZ318" s="4"/>
      <c r="BA318" s="35" t="str">
        <f ca="1">IF(OR(S318="North America",S318="Rocky Mountain"), "Widespread",BC318)</f>
        <v>Abundant</v>
      </c>
      <c r="BB318" s="4"/>
      <c r="BC318" s="35" t="str">
        <f ca="1">IF(BE318&gt;2046, "Abundant",BE318)</f>
        <v>Abundant</v>
      </c>
      <c r="BD318" s="4"/>
      <c r="BE318" s="81">
        <f ca="1">YEAR($C$13)+(BG318*80)</f>
        <v>2112.4555921568626</v>
      </c>
      <c r="BF318" s="4"/>
      <c r="BG318" s="137">
        <f ca="1">BH318*$BH$14</f>
        <v>1.1681949019607845</v>
      </c>
      <c r="BH318" s="137">
        <f ca="1">(((BJ318+BK318+BM318+BN318)/4)*$BM$11)+(((BP318+BQ318)/2)*$BQ$11)+(((BU318+BV318+BW318)/3)*$BU$11)+(((BY318+BZ318+CA318+CB318+CC318)/5)*$CA$11)</f>
        <v>1.1681949019607845</v>
      </c>
      <c r="BI318" s="4"/>
      <c r="BJ318" s="33">
        <f>AP318/(AM318+AO318)</f>
        <v>0.16666666666666666</v>
      </c>
      <c r="BK318" s="33">
        <f>(AN318+AO318)/(AM318+AO318)</f>
        <v>1</v>
      </c>
      <c r="BL318" s="4"/>
      <c r="BM318" s="127">
        <f>CF318/102</f>
        <v>0.52058823529411768</v>
      </c>
      <c r="BN318" s="127">
        <f>C318/2</f>
        <v>4</v>
      </c>
      <c r="BO318" s="4"/>
      <c r="BP318" s="127">
        <f>(AK318)/($AW$6)</f>
        <v>0.44444444444444442</v>
      </c>
      <c r="BQ318" s="127">
        <f ca="1">(CH318-$AW$4)/((YEAR($C$13))-$AW$4)</f>
        <v>1</v>
      </c>
      <c r="BR318" s="127">
        <f>(AL318)/($AW$6)</f>
        <v>0.1111111111111111</v>
      </c>
      <c r="BS318" s="4"/>
      <c r="BT318" s="127"/>
      <c r="BU318" s="127">
        <f ca="1">(CG318-$AW$4)/((YEAR($C$13))-$AW$4)</f>
        <v>1</v>
      </c>
      <c r="BV318" s="127">
        <f>AE318/5</f>
        <v>1</v>
      </c>
      <c r="BW318" s="127">
        <f>AF318/5</f>
        <v>1</v>
      </c>
      <c r="BX318" s="4"/>
      <c r="BY318" s="148" t="str">
        <f>IF(E318="A",".98",IF(E318="B",".99",IF(E318="C","1.00",IF(E318="D","1.00" ))))</f>
        <v>.98</v>
      </c>
      <c r="BZ318" s="127">
        <f>(CE318+7)/10</f>
        <v>0.8</v>
      </c>
      <c r="CA318" s="76" t="str">
        <f>IF(D318="Fern",".97",IF(D318="Grass",".99",IF(D318="Herb",".97",IF(D318="Shrub",".99",IF(D318="Tree","1.00",IF(D318="Vine",".98"))))))</f>
        <v>.97</v>
      </c>
      <c r="CB318" s="149" t="str">
        <f>IF(R318="Bogs Ponds Streams",".96", IF(R318="Coastal Areas",".97",IF(R318="Meadows Dry Open",".96",IF(R318="Forest &amp; Understory",".97",IF(R318="Moist Open",".98",IF(R318="Moist Shady",".96",IF(R318="Sub-Alpine","1.0")))))))</f>
        <v>.96</v>
      </c>
      <c r="CC318" s="76" t="str">
        <f>IF(S318="Local Endemic",".50",IF(S318="Regional Endemic",".70",IF(S318="Cascadia",".90",IF(S318="Rocky Mountain",".95",IF(S318="North America",".99")))))</f>
        <v>.90</v>
      </c>
      <c r="CD318" s="4"/>
      <c r="CE318" s="21">
        <f>IF(W318&gt;3,3,W318)</f>
        <v>1</v>
      </c>
      <c r="CF318" s="21">
        <f>IF(AC318&gt;102,102,AC318)</f>
        <v>53.1</v>
      </c>
      <c r="CG318" s="34">
        <f ca="1">IF(AI318&lt;$AW$4,$AW$4,AI318)</f>
        <v>2019</v>
      </c>
      <c r="CH318" s="34">
        <f ca="1">IF(AJ318&lt;$AW$4,$AW$4,AJ318)</f>
        <v>2019</v>
      </c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</row>
    <row r="319" spans="1:115" s="13" customFormat="1" ht="15" customHeight="1" x14ac:dyDescent="0.3">
      <c r="A319" s="235"/>
      <c r="B319" s="218"/>
      <c r="C319" s="226">
        <v>2</v>
      </c>
      <c r="D319" s="104" t="s">
        <v>2505</v>
      </c>
      <c r="E319" s="104" t="s">
        <v>2502</v>
      </c>
      <c r="F319" s="400" t="str">
        <f ca="1">IF(BC319&lt;2025, "Extinct&lt; 6Yrs?",BA319)</f>
        <v>Widespread</v>
      </c>
      <c r="G319" s="369" t="s">
        <v>525</v>
      </c>
      <c r="H319" s="369" t="s">
        <v>4028</v>
      </c>
      <c r="I319" s="370" t="s">
        <v>1324</v>
      </c>
      <c r="J319" s="371" t="s">
        <v>3782</v>
      </c>
      <c r="K319" s="371" t="s">
        <v>1323</v>
      </c>
      <c r="L319" s="106" t="s">
        <v>1417</v>
      </c>
      <c r="M319" s="111" t="s">
        <v>4398</v>
      </c>
      <c r="N319" s="111" t="s">
        <v>5292</v>
      </c>
      <c r="O319" s="111" t="s">
        <v>6189</v>
      </c>
      <c r="P319" s="103" t="s">
        <v>486</v>
      </c>
      <c r="Q319" s="104" t="s">
        <v>2552</v>
      </c>
      <c r="R319" s="105" t="s">
        <v>2498</v>
      </c>
      <c r="S319" s="105" t="s">
        <v>2495</v>
      </c>
      <c r="T319" s="133" t="str">
        <f>IF(R319="Bogs Ponds Streams","20",IF(R319="Coastal Areas","26",IF(R319="Meadows Dry Open","10",IF(R319="Forest &amp; Understory","14",IF(R319="Moist Open","12",IF(R319="Moist Shady","10",IF(R319="Sub-Alpine Slopes","0")))))))</f>
        <v>10</v>
      </c>
      <c r="U319" s="133" t="str">
        <f>IF(R319="Bogs Ponds Streams","52",IF(R319="Coastal Areas","51",IF(R319="Meadows Dry Open","53",IF(R319="Forest &amp; Understory","52",IF(R319="Moist Open","50",IF(R319="Moist Shady","46",IF(R319="Sub-Alpine Slopes","40")))))))</f>
        <v>46</v>
      </c>
      <c r="V319" s="133" t="str">
        <f>IF(R319="Bogs Ponds Streams","84",IF(R319="Coastal Areas","76",IF(R319="Meadows Dry Open","96", IF(R319="Forest &amp; Understory","90", IF(R319="Moist Open","88", IF(R319="Moist Shady","82", IF(R319="Sub-Alpine Slopes","80")))))))</f>
        <v>82</v>
      </c>
      <c r="W319" s="104">
        <v>1</v>
      </c>
      <c r="X319" s="104">
        <v>0</v>
      </c>
      <c r="Y319" s="104">
        <v>3500</v>
      </c>
      <c r="Z319" s="104" t="s">
        <v>2519</v>
      </c>
      <c r="AA319" s="104" t="s">
        <v>2518</v>
      </c>
      <c r="AB319" s="104">
        <v>6.8</v>
      </c>
      <c r="AC319" s="107">
        <f>C319+AK319+(0.1)*AL319</f>
        <v>4.5</v>
      </c>
      <c r="AD319" s="113">
        <v>39</v>
      </c>
      <c r="AE319" s="104">
        <v>5</v>
      </c>
      <c r="AF319" s="104">
        <v>5</v>
      </c>
      <c r="AG319" s="104">
        <v>1900</v>
      </c>
      <c r="AH319" s="113">
        <v>0</v>
      </c>
      <c r="AI319" s="104">
        <f>AJ319</f>
        <v>2004</v>
      </c>
      <c r="AJ319" s="108">
        <v>2004</v>
      </c>
      <c r="AK319" s="108">
        <v>2</v>
      </c>
      <c r="AL319" s="108">
        <v>5</v>
      </c>
      <c r="AM319" s="109">
        <v>5</v>
      </c>
      <c r="AN319" s="109">
        <v>1</v>
      </c>
      <c r="AO319" s="110">
        <v>0</v>
      </c>
      <c r="AP319" s="109">
        <v>0</v>
      </c>
      <c r="AQ319" s="109">
        <v>0</v>
      </c>
      <c r="AR319" s="109">
        <v>0</v>
      </c>
      <c r="AS319" s="110">
        <v>0</v>
      </c>
      <c r="AT319" s="109">
        <v>0</v>
      </c>
      <c r="AU319" s="109">
        <v>0</v>
      </c>
      <c r="AV319" s="109">
        <v>0</v>
      </c>
      <c r="AW319" s="110">
        <v>0</v>
      </c>
      <c r="AX319" s="109">
        <v>0</v>
      </c>
      <c r="AY319" s="233"/>
      <c r="AZ319" s="4"/>
      <c r="BA319" s="35" t="str">
        <f>IF(OR(S319="North America",S319="Rocky Mountain"), "Widespread",BC319)</f>
        <v>Widespread</v>
      </c>
      <c r="BB319" s="4"/>
      <c r="BC319" s="35">
        <f ca="1">IF(BE319&gt;2046, "Abundant",BE319)</f>
        <v>2039.9425026737968</v>
      </c>
      <c r="BD319" s="4"/>
      <c r="BE319" s="81">
        <f ca="1">YEAR($C$13)+(BG319*80)</f>
        <v>2039.9425026737968</v>
      </c>
      <c r="BF319" s="4"/>
      <c r="BG319" s="137">
        <f ca="1">BH319*$BH$14</f>
        <v>0.26178128342245988</v>
      </c>
      <c r="BH319" s="137">
        <f ca="1">(((BJ319+BK319+BM319+BN319)/4)*$BM$11)+(((BP319+BQ319)/2)*$BQ$11)+(((BU319+BV319+BW319)/3)*$BU$11)+(((BY319+BZ319+CA319+CB319+CC319)/5)*$CA$11)</f>
        <v>0.26178128342245988</v>
      </c>
      <c r="BI319" s="4"/>
      <c r="BJ319" s="33">
        <f>AP319/(AM319+AO319)</f>
        <v>0</v>
      </c>
      <c r="BK319" s="33">
        <f>(AN319+AO319)/(AM319+AO319)</f>
        <v>0.2</v>
      </c>
      <c r="BL319" s="4"/>
      <c r="BM319" s="127">
        <f>CF319/102</f>
        <v>4.4117647058823532E-2</v>
      </c>
      <c r="BN319" s="127">
        <f>C319/2</f>
        <v>1</v>
      </c>
      <c r="BO319" s="4"/>
      <c r="BP319" s="127">
        <f>(AK319)/($AW$6)</f>
        <v>2.0202020202020204E-2</v>
      </c>
      <c r="BQ319" s="127">
        <f ca="1">(CH319-$AW$4)/((YEAR($C$13))-$AW$4)</f>
        <v>0</v>
      </c>
      <c r="BR319" s="127">
        <f>(AL319)/($AW$6)</f>
        <v>5.0505050505050504E-2</v>
      </c>
      <c r="BS319" s="4"/>
      <c r="BT319" s="127"/>
      <c r="BU319" s="127">
        <f ca="1">(CG319-$AW$4)/((YEAR($C$13))-$AW$4)</f>
        <v>0</v>
      </c>
      <c r="BV319" s="127">
        <f>AE319/5</f>
        <v>1</v>
      </c>
      <c r="BW319" s="127">
        <f>AF319/5</f>
        <v>1</v>
      </c>
      <c r="BX319" s="4"/>
      <c r="BY319" s="148" t="str">
        <f>IF(E319="A",".98",IF(E319="B",".99",IF(E319="C","1.00",IF(E319="D","1.00" ))))</f>
        <v>.98</v>
      </c>
      <c r="BZ319" s="127">
        <f>(CE319+7)/10</f>
        <v>0.8</v>
      </c>
      <c r="CA319" s="76" t="str">
        <f>IF(D319="Fern",".97",IF(D319="Grass",".99",IF(D319="Herb",".97",IF(D319="Shrub",".99",IF(D319="Tree","1.00",IF(D319="Vine",".98"))))))</f>
        <v>.97</v>
      </c>
      <c r="CB319" s="149" t="str">
        <f>IF(R319="Bogs Ponds Streams",".96", IF(R319="Coastal Areas",".97",IF(R319="Meadows Dry Open",".96",IF(R319="Forest &amp; Understory",".97",IF(R319="Moist Open",".98",IF(R319="Moist Shady",".96",IF(R319="Sub-Alpine","1.0")))))))</f>
        <v>.96</v>
      </c>
      <c r="CC319" s="76" t="str">
        <f>IF(S319="Local Endemic",".50",IF(S319="Regional Endemic",".70",IF(S319="Cascadia",".90",IF(S319="Rocky Mountain",".95",IF(S319="North America",".99")))))</f>
        <v>.99</v>
      </c>
      <c r="CD319" s="4"/>
      <c r="CE319" s="21">
        <f>IF(W319&gt;3,3,W319)</f>
        <v>1</v>
      </c>
      <c r="CF319" s="21">
        <f>IF(AC319&gt;102,102,AC319)</f>
        <v>4.5</v>
      </c>
      <c r="CG319" s="34">
        <f>IF(AI319&lt;$AW$4,$AW$4,AI319)</f>
        <v>2004</v>
      </c>
      <c r="CH319" s="34">
        <f>IF(AJ319&lt;$AW$4,$AW$4,AJ319)</f>
        <v>2004</v>
      </c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</row>
    <row r="320" spans="1:115" s="13" customFormat="1" ht="15" customHeight="1" x14ac:dyDescent="0.3">
      <c r="A320" s="235"/>
      <c r="B320" s="218"/>
      <c r="C320" s="225">
        <v>8</v>
      </c>
      <c r="D320" s="59" t="s">
        <v>2505</v>
      </c>
      <c r="E320" s="59" t="s">
        <v>2501</v>
      </c>
      <c r="F320" s="397" t="str">
        <f ca="1">IF(BC320&lt;2025, "Extinct&lt; 6Yrs?",BA320)</f>
        <v>Widespread</v>
      </c>
      <c r="G320" s="363" t="s">
        <v>525</v>
      </c>
      <c r="H320" s="363" t="s">
        <v>677</v>
      </c>
      <c r="I320" s="364" t="s">
        <v>2635</v>
      </c>
      <c r="J320" s="365" t="s">
        <v>3322</v>
      </c>
      <c r="K320" s="365" t="s">
        <v>958</v>
      </c>
      <c r="L320" s="17" t="s">
        <v>1418</v>
      </c>
      <c r="M320" s="8" t="s">
        <v>4399</v>
      </c>
      <c r="N320" s="8" t="s">
        <v>5293</v>
      </c>
      <c r="O320" s="8" t="s">
        <v>6190</v>
      </c>
      <c r="P320" s="398" t="s">
        <v>51</v>
      </c>
      <c r="Q320" s="59" t="s">
        <v>2552</v>
      </c>
      <c r="R320" s="9" t="s">
        <v>2497</v>
      </c>
      <c r="S320" s="9" t="s">
        <v>2479</v>
      </c>
      <c r="T320" s="123" t="str">
        <f>IF(R320="Bogs Ponds Streams","20",IF(R320="Coastal Areas","26",IF(R320="Meadows Dry Open","10",IF(R320="Forest &amp; Understory","14",IF(R320="Moist Open","12",IF(R320="Moist Shady","10",IF(R320="Sub-Alpine Slopes","0")))))))</f>
        <v>12</v>
      </c>
      <c r="U320" s="123" t="str">
        <f>IF(R320="Bogs Ponds Streams","52",IF(R320="Coastal Areas","51",IF(R320="Meadows Dry Open","53",IF(R320="Forest &amp; Understory","52",IF(R320="Moist Open","50",IF(R320="Moist Shady","46",IF(R320="Sub-Alpine Slopes","40")))))))</f>
        <v>50</v>
      </c>
      <c r="V320" s="123" t="str">
        <f>IF(R320="Bogs Ponds Streams","84",IF(R320="Coastal Areas","76",IF(R320="Meadows Dry Open","96", IF(R320="Forest &amp; Understory","90", IF(R320="Moist Open","88", IF(R320="Moist Shady","82", IF(R320="Sub-Alpine Slopes","80")))))))</f>
        <v>88</v>
      </c>
      <c r="W320" s="59">
        <v>20</v>
      </c>
      <c r="X320" s="59">
        <v>0</v>
      </c>
      <c r="Y320" s="59">
        <v>3500</v>
      </c>
      <c r="Z320" s="59" t="s">
        <v>2519</v>
      </c>
      <c r="AA320" s="59" t="s">
        <v>2518</v>
      </c>
      <c r="AB320" s="59">
        <v>6.8</v>
      </c>
      <c r="AC320" s="45">
        <f>C320+AK320+(0.1)*AL320</f>
        <v>27.4</v>
      </c>
      <c r="AD320" s="77">
        <v>273</v>
      </c>
      <c r="AE320" s="59">
        <v>5</v>
      </c>
      <c r="AF320" s="59">
        <v>5</v>
      </c>
      <c r="AG320" s="59">
        <v>1900</v>
      </c>
      <c r="AH320" s="77">
        <v>0</v>
      </c>
      <c r="AI320" s="59">
        <f ca="1">AJ320</f>
        <v>2019</v>
      </c>
      <c r="AJ320" s="18">
        <f ca="1">YEAR(TODAY())</f>
        <v>2019</v>
      </c>
      <c r="AK320" s="18">
        <v>15</v>
      </c>
      <c r="AL320" s="18">
        <v>44</v>
      </c>
      <c r="AM320" s="18">
        <v>1</v>
      </c>
      <c r="AN320" s="18">
        <v>1</v>
      </c>
      <c r="AO320" s="24">
        <v>1</v>
      </c>
      <c r="AP320" s="24">
        <v>0</v>
      </c>
      <c r="AQ320" s="18">
        <v>0</v>
      </c>
      <c r="AR320" s="18">
        <v>0</v>
      </c>
      <c r="AS320" s="18">
        <v>0</v>
      </c>
      <c r="AT320" s="18">
        <v>0</v>
      </c>
      <c r="AU320" s="18">
        <v>0</v>
      </c>
      <c r="AV320" s="18">
        <v>0</v>
      </c>
      <c r="AW320" s="18">
        <v>0</v>
      </c>
      <c r="AX320" s="18">
        <v>0</v>
      </c>
      <c r="AY320" s="233"/>
      <c r="AZ320" s="4"/>
      <c r="BA320" s="35" t="str">
        <f>IF(OR(S320="North America",S320="Rocky Mountain"), "Widespread",BC320)</f>
        <v>Widespread</v>
      </c>
      <c r="BB320" s="4"/>
      <c r="BC320" s="35" t="str">
        <f ca="1">IF(BE320&gt;2046, "Abundant",BE320)</f>
        <v>Abundant</v>
      </c>
      <c r="BD320" s="4"/>
      <c r="BE320" s="81">
        <f ca="1">YEAR($C$13)+(BG320*80)</f>
        <v>2104.0097112299463</v>
      </c>
      <c r="BF320" s="4"/>
      <c r="BG320" s="137">
        <f ca="1">BH320*$BH$14</f>
        <v>1.0626213903743316</v>
      </c>
      <c r="BH320" s="137">
        <f ca="1">(((BJ320+BK320+BM320+BN320)/4)*$BM$11)+(((BP320+BQ320)/2)*$BQ$11)+(((BU320+BV320+BW320)/3)*$BU$11)+(((BY320+BZ320+CA320+CB320+CC320)/5)*$CA$11)</f>
        <v>1.0626213903743316</v>
      </c>
      <c r="BI320" s="4"/>
      <c r="BJ320" s="33">
        <f>AP320/(AM320+AO320)</f>
        <v>0</v>
      </c>
      <c r="BK320" s="33">
        <f>(AN320+AO320)/(AM320+AO320)</f>
        <v>1</v>
      </c>
      <c r="BL320" s="4"/>
      <c r="BM320" s="127">
        <f>CF320/102</f>
        <v>0.26862745098039215</v>
      </c>
      <c r="BN320" s="127">
        <f>C320/2</f>
        <v>4</v>
      </c>
      <c r="BO320" s="4"/>
      <c r="BP320" s="127">
        <f>(AK320)/($AW$6)</f>
        <v>0.15151515151515152</v>
      </c>
      <c r="BQ320" s="127">
        <f ca="1">(CH320-$AW$4)/((YEAR($C$13))-$AW$4)</f>
        <v>1</v>
      </c>
      <c r="BR320" s="127">
        <f>(AL320)/($AW$6)</f>
        <v>0.44444444444444442</v>
      </c>
      <c r="BS320" s="4"/>
      <c r="BT320" s="127"/>
      <c r="BU320" s="127">
        <f ca="1">(CG320-$AW$4)/((YEAR($C$13))-$AW$4)</f>
        <v>1</v>
      </c>
      <c r="BV320" s="127">
        <f>AE320/5</f>
        <v>1</v>
      </c>
      <c r="BW320" s="127">
        <f>AF320/5</f>
        <v>1</v>
      </c>
      <c r="BX320" s="4"/>
      <c r="BY320" s="148" t="str">
        <f>IF(E320="A",".98",IF(E320="B",".99",IF(E320="C","1.00",IF(E320="D","1.00" ))))</f>
        <v>1.00</v>
      </c>
      <c r="BZ320" s="127">
        <f>(CE320+7)/10</f>
        <v>1</v>
      </c>
      <c r="CA320" s="76" t="str">
        <f>IF(D320="Fern",".97",IF(D320="Grass",".99",IF(D320="Herb",".97",IF(D320="Shrub",".99",IF(D320="Tree","1.00",IF(D320="Vine",".98"))))))</f>
        <v>.97</v>
      </c>
      <c r="CB320" s="149" t="str">
        <f>IF(R320="Bogs Ponds Streams",".96", IF(R320="Coastal Areas",".97",IF(R320="Meadows Dry Open",".96",IF(R320="Forest &amp; Understory",".97",IF(R320="Moist Open",".98",IF(R320="Moist Shady",".96",IF(R320="Sub-Alpine","1.0")))))))</f>
        <v>.98</v>
      </c>
      <c r="CC320" s="76" t="str">
        <f>IF(S320="Local Endemic",".50",IF(S320="Regional Endemic",".70",IF(S320="Cascadia",".90",IF(S320="Rocky Mountain",".95",IF(S320="North America",".99")))))</f>
        <v>.95</v>
      </c>
      <c r="CD320" s="4"/>
      <c r="CE320" s="21">
        <f>IF(W320&gt;3,3,W320)</f>
        <v>3</v>
      </c>
      <c r="CF320" s="21">
        <f>IF(AC320&gt;102,102,AC320)</f>
        <v>27.4</v>
      </c>
      <c r="CG320" s="34">
        <f ca="1">IF(AI320&lt;$AW$4,$AW$4,AI320)</f>
        <v>2019</v>
      </c>
      <c r="CH320" s="34">
        <f ca="1">IF(AJ320&lt;$AW$4,$AW$4,AJ320)</f>
        <v>2019</v>
      </c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</row>
    <row r="321" spans="1:116" s="13" customFormat="1" ht="15" customHeight="1" x14ac:dyDescent="0.3">
      <c r="A321" s="235"/>
      <c r="B321" s="218"/>
      <c r="C321" s="225">
        <v>8</v>
      </c>
      <c r="D321" s="59" t="s">
        <v>2505</v>
      </c>
      <c r="E321" s="59" t="s">
        <v>2503</v>
      </c>
      <c r="F321" s="397" t="str">
        <f ca="1">IF(BC321&lt;2025, "Extinct&lt; 6Yrs?",BA321)</f>
        <v>Widespread</v>
      </c>
      <c r="G321" s="363" t="s">
        <v>525</v>
      </c>
      <c r="H321" s="363" t="s">
        <v>686</v>
      </c>
      <c r="I321" s="366" t="s">
        <v>416</v>
      </c>
      <c r="J321" s="365" t="s">
        <v>3321</v>
      </c>
      <c r="K321" s="365" t="s">
        <v>955</v>
      </c>
      <c r="L321" s="10" t="s">
        <v>1419</v>
      </c>
      <c r="M321" s="8" t="s">
        <v>4400</v>
      </c>
      <c r="N321" s="8" t="s">
        <v>5294</v>
      </c>
      <c r="O321" s="8" t="s">
        <v>6191</v>
      </c>
      <c r="P321" s="398" t="s">
        <v>51</v>
      </c>
      <c r="Q321" s="59" t="s">
        <v>2552</v>
      </c>
      <c r="R321" s="9" t="s">
        <v>2498</v>
      </c>
      <c r="S321" s="9" t="s">
        <v>2495</v>
      </c>
      <c r="T321" s="123" t="str">
        <f>IF(R321="Bogs Ponds Streams","20",IF(R321="Coastal Areas","26",IF(R321="Meadows Dry Open","10",IF(R321="Forest &amp; Understory","14",IF(R321="Moist Open","12",IF(R321="Moist Shady","10",IF(R321="Sub-Alpine Slopes","0")))))))</f>
        <v>10</v>
      </c>
      <c r="U321" s="123" t="str">
        <f>IF(R321="Bogs Ponds Streams","52",IF(R321="Coastal Areas","51",IF(R321="Meadows Dry Open","53",IF(R321="Forest &amp; Understory","52",IF(R321="Moist Open","50",IF(R321="Moist Shady","46",IF(R321="Sub-Alpine Slopes","40")))))))</f>
        <v>46</v>
      </c>
      <c r="V321" s="123" t="str">
        <f>IF(R321="Bogs Ponds Streams","84",IF(R321="Coastal Areas","76",IF(R321="Meadows Dry Open","96", IF(R321="Forest &amp; Understory","90", IF(R321="Moist Open","88", IF(R321="Moist Shady","82", IF(R321="Sub-Alpine Slopes","80")))))))</f>
        <v>82</v>
      </c>
      <c r="W321" s="59">
        <v>2</v>
      </c>
      <c r="X321" s="59">
        <v>0</v>
      </c>
      <c r="Y321" s="59">
        <v>3500</v>
      </c>
      <c r="Z321" s="59" t="s">
        <v>2519</v>
      </c>
      <c r="AA321" s="59" t="s">
        <v>2518</v>
      </c>
      <c r="AB321" s="59">
        <v>6.8</v>
      </c>
      <c r="AC321" s="45">
        <f>C321+AK321+(0.1)*AL321</f>
        <v>18</v>
      </c>
      <c r="AD321" s="77">
        <v>76</v>
      </c>
      <c r="AE321" s="59">
        <v>5</v>
      </c>
      <c r="AF321" s="59">
        <v>5</v>
      </c>
      <c r="AG321" s="59">
        <v>1900</v>
      </c>
      <c r="AH321" s="77">
        <v>0</v>
      </c>
      <c r="AI321" s="59">
        <f ca="1">AJ321</f>
        <v>2019</v>
      </c>
      <c r="AJ321" s="18">
        <f ca="1">YEAR(TODAY())</f>
        <v>2019</v>
      </c>
      <c r="AK321" s="18">
        <v>10</v>
      </c>
      <c r="AL321" s="18">
        <v>0</v>
      </c>
      <c r="AM321" s="18">
        <v>1</v>
      </c>
      <c r="AN321" s="18">
        <v>1</v>
      </c>
      <c r="AO321" s="18">
        <v>5</v>
      </c>
      <c r="AP321" s="18">
        <v>1</v>
      </c>
      <c r="AQ321" s="18">
        <v>0</v>
      </c>
      <c r="AR321" s="18">
        <v>0</v>
      </c>
      <c r="AS321" s="18">
        <v>0</v>
      </c>
      <c r="AT321" s="18">
        <v>0</v>
      </c>
      <c r="AU321" s="18">
        <v>0</v>
      </c>
      <c r="AV321" s="18">
        <v>0</v>
      </c>
      <c r="AW321" s="18">
        <v>0</v>
      </c>
      <c r="AX321" s="18">
        <v>0</v>
      </c>
      <c r="AY321" s="233"/>
      <c r="AZ321" s="4"/>
      <c r="BA321" s="35" t="str">
        <f>IF(OR(S321="North America",S321="Rocky Mountain"), "Widespread",BC321)</f>
        <v>Widespread</v>
      </c>
      <c r="BB321" s="4"/>
      <c r="BC321" s="35" t="str">
        <f ca="1">IF(BE321&gt;2046, "Abundant",BE321)</f>
        <v>Abundant</v>
      </c>
      <c r="BD321" s="4"/>
      <c r="BE321" s="81">
        <f ca="1">YEAR($C$13)+(BG321*80)</f>
        <v>2104.2689682709447</v>
      </c>
      <c r="BF321" s="4"/>
      <c r="BG321" s="137">
        <f ca="1">BH321*$BH$14</f>
        <v>1.0658621033868092</v>
      </c>
      <c r="BH321" s="137">
        <f ca="1">(((BJ321+BK321+BM321+BN321)/4)*$BM$11)+(((BP321+BQ321)/2)*$BQ$11)+(((BU321+BV321+BW321)/3)*$BU$11)+(((BY321+BZ321+CA321+CB321+CC321)/5)*$CA$11)</f>
        <v>1.0658621033868092</v>
      </c>
      <c r="BI321" s="4"/>
      <c r="BJ321" s="33">
        <f>AP321/(AM321+AO321)</f>
        <v>0.16666666666666666</v>
      </c>
      <c r="BK321" s="33">
        <f>(AN321+AO321)/(AM321+AO321)</f>
        <v>1</v>
      </c>
      <c r="BL321" s="4"/>
      <c r="BM321" s="127">
        <f>CF321/102</f>
        <v>0.17647058823529413</v>
      </c>
      <c r="BN321" s="127">
        <f>C321/2</f>
        <v>4</v>
      </c>
      <c r="BO321" s="4"/>
      <c r="BP321" s="127">
        <f>(AK321)/($AW$6)</f>
        <v>0.10101010101010101</v>
      </c>
      <c r="BQ321" s="127">
        <f ca="1">(CH321-$AW$4)/((YEAR($C$13))-$AW$4)</f>
        <v>1</v>
      </c>
      <c r="BR321" s="127">
        <f>(AL321)/($AW$6)</f>
        <v>0</v>
      </c>
      <c r="BS321" s="4"/>
      <c r="BT321" s="127"/>
      <c r="BU321" s="127">
        <f ca="1">(CG321-$AW$4)/((YEAR($C$13))-$AW$4)</f>
        <v>1</v>
      </c>
      <c r="BV321" s="127">
        <f>AE321/5</f>
        <v>1</v>
      </c>
      <c r="BW321" s="127">
        <f>AF321/5</f>
        <v>1</v>
      </c>
      <c r="BX321" s="4"/>
      <c r="BY321" s="148" t="str">
        <f>IF(E321="A",".98",IF(E321="B",".99",IF(E321="C","1.00",IF(E321="D","1.00" ))))</f>
        <v>.99</v>
      </c>
      <c r="BZ321" s="127">
        <f>(CE321+7)/10</f>
        <v>0.9</v>
      </c>
      <c r="CA321" s="76" t="str">
        <f>IF(D321="Fern",".97",IF(D321="Grass",".99",IF(D321="Herb",".97",IF(D321="Shrub",".99",IF(D321="Tree","1.00",IF(D321="Vine",".98"))))))</f>
        <v>.97</v>
      </c>
      <c r="CB321" s="149" t="str">
        <f>IF(R321="Bogs Ponds Streams",".96", IF(R321="Coastal Areas",".97",IF(R321="Meadows Dry Open",".96",IF(R321="Forest &amp; Understory",".97",IF(R321="Moist Open",".98",IF(R321="Moist Shady",".96",IF(R321="Sub-Alpine","1.0")))))))</f>
        <v>.96</v>
      </c>
      <c r="CC321" s="76" t="str">
        <f>IF(S321="Local Endemic",".50",IF(S321="Regional Endemic",".70",IF(S321="Cascadia",".90",IF(S321="Rocky Mountain",".95",IF(S321="North America",".99")))))</f>
        <v>.99</v>
      </c>
      <c r="CD321" s="4"/>
      <c r="CE321" s="21">
        <f>IF(W321&gt;3,3,W321)</f>
        <v>2</v>
      </c>
      <c r="CF321" s="21">
        <f>IF(AC321&gt;102,102,AC321)</f>
        <v>18</v>
      </c>
      <c r="CG321" s="34">
        <f ca="1">IF(AI321&lt;$AW$4,$AW$4,AI321)</f>
        <v>2019</v>
      </c>
      <c r="CH321" s="34">
        <f ca="1">IF(AJ321&lt;$AW$4,$AW$4,AJ321)</f>
        <v>2019</v>
      </c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</row>
    <row r="322" spans="1:116" s="13" customFormat="1" ht="15" customHeight="1" x14ac:dyDescent="0.3">
      <c r="A322" s="235"/>
      <c r="B322" s="218"/>
      <c r="C322" s="225">
        <v>8</v>
      </c>
      <c r="D322" s="59" t="s">
        <v>2505</v>
      </c>
      <c r="E322" s="59" t="s">
        <v>2501</v>
      </c>
      <c r="F322" s="397" t="str">
        <f ca="1">IF(BC322&lt;2025, "Extinct&lt; 6Yrs?",BA322)</f>
        <v>Widespread</v>
      </c>
      <c r="G322" s="363" t="s">
        <v>525</v>
      </c>
      <c r="H322" s="363" t="s">
        <v>688</v>
      </c>
      <c r="I322" s="366" t="s">
        <v>3063</v>
      </c>
      <c r="J322" s="365" t="s">
        <v>3320</v>
      </c>
      <c r="K322" s="365" t="s">
        <v>956</v>
      </c>
      <c r="L322" s="10" t="s">
        <v>1420</v>
      </c>
      <c r="M322" s="8" t="s">
        <v>4401</v>
      </c>
      <c r="N322" s="8" t="s">
        <v>5295</v>
      </c>
      <c r="O322" s="8" t="s">
        <v>6192</v>
      </c>
      <c r="P322" s="398" t="s">
        <v>51</v>
      </c>
      <c r="Q322" s="59" t="s">
        <v>2552</v>
      </c>
      <c r="R322" s="9" t="s">
        <v>2500</v>
      </c>
      <c r="S322" s="9" t="s">
        <v>2479</v>
      </c>
      <c r="T322" s="123" t="str">
        <f>IF(R322="Bogs Ponds Streams","20",IF(R322="Coastal Areas","26",IF(R322="Meadows Dry Open","10",IF(R322="Forest &amp; Understory","14",IF(R322="Moist Open","12",IF(R322="Moist Shady","10",IF(R322="Sub-Alpine Slopes","0")))))))</f>
        <v>10</v>
      </c>
      <c r="U322" s="123" t="str">
        <f>IF(R322="Bogs Ponds Streams","52",IF(R322="Coastal Areas","51",IF(R322="Meadows Dry Open","53",IF(R322="Forest &amp; Understory","52",IF(R322="Moist Open","50",IF(R322="Moist Shady","46",IF(R322="Sub-Alpine Slopes","40")))))))</f>
        <v>53</v>
      </c>
      <c r="V322" s="123" t="str">
        <f>IF(R322="Bogs Ponds Streams","84",IF(R322="Coastal Areas","76",IF(R322="Meadows Dry Open","96", IF(R322="Forest &amp; Understory","90", IF(R322="Moist Open","88", IF(R322="Moist Shady","82", IF(R322="Sub-Alpine Slopes","80")))))))</f>
        <v>96</v>
      </c>
      <c r="W322" s="59">
        <v>20</v>
      </c>
      <c r="X322" s="59">
        <v>0</v>
      </c>
      <c r="Y322" s="59">
        <v>3500</v>
      </c>
      <c r="Z322" s="59" t="s">
        <v>2519</v>
      </c>
      <c r="AA322" s="59" t="s">
        <v>2518</v>
      </c>
      <c r="AB322" s="59">
        <v>6.8</v>
      </c>
      <c r="AC322" s="45">
        <f>C322+AK322+(0.1)*AL322</f>
        <v>21.3</v>
      </c>
      <c r="AD322" s="77">
        <v>211</v>
      </c>
      <c r="AE322" s="59">
        <v>5</v>
      </c>
      <c r="AF322" s="59">
        <v>5</v>
      </c>
      <c r="AG322" s="59">
        <v>1900</v>
      </c>
      <c r="AH322" s="77">
        <v>0</v>
      </c>
      <c r="AI322" s="59">
        <f ca="1">AJ322</f>
        <v>2019</v>
      </c>
      <c r="AJ322" s="18">
        <f ca="1">YEAR(TODAY())</f>
        <v>2019</v>
      </c>
      <c r="AK322" s="18">
        <v>10</v>
      </c>
      <c r="AL322" s="18">
        <v>33</v>
      </c>
      <c r="AM322" s="18">
        <v>1</v>
      </c>
      <c r="AN322" s="18">
        <v>1</v>
      </c>
      <c r="AO322" s="18">
        <v>5</v>
      </c>
      <c r="AP322" s="18">
        <v>1</v>
      </c>
      <c r="AQ322" s="18">
        <v>0</v>
      </c>
      <c r="AR322" s="18">
        <v>0</v>
      </c>
      <c r="AS322" s="18">
        <v>0</v>
      </c>
      <c r="AT322" s="18">
        <v>0</v>
      </c>
      <c r="AU322" s="18">
        <v>0</v>
      </c>
      <c r="AV322" s="18">
        <v>0</v>
      </c>
      <c r="AW322" s="18">
        <v>0</v>
      </c>
      <c r="AX322" s="18">
        <v>0</v>
      </c>
      <c r="AY322" s="233"/>
      <c r="AZ322" s="4"/>
      <c r="BA322" s="35" t="str">
        <f>IF(OR(S322="North America",S322="Rocky Mountain"), "Widespread",BC322)</f>
        <v>Widespread</v>
      </c>
      <c r="BB322" s="4"/>
      <c r="BC322" s="35" t="str">
        <f ca="1">IF(BE322&gt;2046, "Abundant",BE322)</f>
        <v>Abundant</v>
      </c>
      <c r="BD322" s="4"/>
      <c r="BE322" s="81">
        <f ca="1">YEAR($C$13)+(BG322*80)</f>
        <v>2104.6796035650623</v>
      </c>
      <c r="BF322" s="4"/>
      <c r="BG322" s="137">
        <f ca="1">BH322*$BH$14</f>
        <v>1.0709950445632799</v>
      </c>
      <c r="BH322" s="137">
        <f ca="1">(((BJ322+BK322+BM322+BN322)/4)*$BM$11)+(((BP322+BQ322)/2)*$BQ$11)+(((BU322+BV322+BW322)/3)*$BU$11)+(((BY322+BZ322+CA322+CB322+CC322)/5)*$CA$11)</f>
        <v>1.0709950445632799</v>
      </c>
      <c r="BI322" s="4"/>
      <c r="BJ322" s="33">
        <f>AP322/(AM322+AO322)</f>
        <v>0.16666666666666666</v>
      </c>
      <c r="BK322" s="33">
        <f>(AN322+AO322)/(AM322+AO322)</f>
        <v>1</v>
      </c>
      <c r="BL322" s="4"/>
      <c r="BM322" s="127">
        <f>CF322/102</f>
        <v>0.20882352941176471</v>
      </c>
      <c r="BN322" s="127">
        <f>C322/2</f>
        <v>4</v>
      </c>
      <c r="BO322" s="4"/>
      <c r="BP322" s="127">
        <f>(AK322)/($AW$6)</f>
        <v>0.10101010101010101</v>
      </c>
      <c r="BQ322" s="127">
        <f ca="1">(CH322-$AW$4)/((YEAR($C$13))-$AW$4)</f>
        <v>1</v>
      </c>
      <c r="BR322" s="127">
        <f>(AL322)/($AW$6)</f>
        <v>0.33333333333333331</v>
      </c>
      <c r="BS322" s="4"/>
      <c r="BT322" s="127"/>
      <c r="BU322" s="127">
        <f ca="1">(CG322-$AW$4)/((YEAR($C$13))-$AW$4)</f>
        <v>1</v>
      </c>
      <c r="BV322" s="127">
        <f>AE322/5</f>
        <v>1</v>
      </c>
      <c r="BW322" s="127">
        <f>AF322/5</f>
        <v>1</v>
      </c>
      <c r="BX322" s="4"/>
      <c r="BY322" s="148" t="str">
        <f>IF(E322="A",".98",IF(E322="B",".99",IF(E322="C","1.00",IF(E322="D","1.00" ))))</f>
        <v>1.00</v>
      </c>
      <c r="BZ322" s="127">
        <f>(CE322+7)/10</f>
        <v>1</v>
      </c>
      <c r="CA322" s="76" t="str">
        <f>IF(D322="Fern",".97",IF(D322="Grass",".99",IF(D322="Herb",".97",IF(D322="Shrub",".99",IF(D322="Tree","1.00",IF(D322="Vine",".98"))))))</f>
        <v>.97</v>
      </c>
      <c r="CB322" s="149" t="str">
        <f>IF(R322="Bogs Ponds Streams",".96", IF(R322="Coastal Areas",".97",IF(R322="Meadows Dry Open",".96",IF(R322="Forest &amp; Understory",".97",IF(R322="Moist Open",".98",IF(R322="Moist Shady",".96",IF(R322="Sub-Alpine","1.0")))))))</f>
        <v>.96</v>
      </c>
      <c r="CC322" s="76" t="str">
        <f>IF(S322="Local Endemic",".50",IF(S322="Regional Endemic",".70",IF(S322="Cascadia",".90",IF(S322="Rocky Mountain",".95",IF(S322="North America",".99")))))</f>
        <v>.95</v>
      </c>
      <c r="CD322" s="4"/>
      <c r="CE322" s="21">
        <f>IF(W322&gt;3,3,W322)</f>
        <v>3</v>
      </c>
      <c r="CF322" s="21">
        <f>IF(AC322&gt;102,102,AC322)</f>
        <v>21.3</v>
      </c>
      <c r="CG322" s="34">
        <f ca="1">IF(AI322&lt;$AW$4,$AW$4,AI322)</f>
        <v>2019</v>
      </c>
      <c r="CH322" s="34">
        <f ca="1">IF(AJ322&lt;$AW$4,$AW$4,AJ322)</f>
        <v>2019</v>
      </c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</row>
    <row r="323" spans="1:116" s="13" customFormat="1" ht="15" customHeight="1" x14ac:dyDescent="0.3">
      <c r="A323" s="235"/>
      <c r="B323" s="218"/>
      <c r="C323" s="225">
        <v>8</v>
      </c>
      <c r="D323" s="59" t="s">
        <v>2505</v>
      </c>
      <c r="E323" s="59" t="s">
        <v>2502</v>
      </c>
      <c r="F323" s="397" t="str">
        <f ca="1">IF(BC323&lt;2025, "Extinct&lt; 6Yrs?",BA323)</f>
        <v>Widespread</v>
      </c>
      <c r="G323" s="363" t="s">
        <v>525</v>
      </c>
      <c r="H323" s="363" t="s">
        <v>686</v>
      </c>
      <c r="I323" s="364" t="s">
        <v>88</v>
      </c>
      <c r="J323" s="365" t="s">
        <v>3319</v>
      </c>
      <c r="K323" s="365" t="s">
        <v>957</v>
      </c>
      <c r="L323" s="10" t="s">
        <v>1421</v>
      </c>
      <c r="M323" s="8" t="s">
        <v>4402</v>
      </c>
      <c r="N323" s="8" t="s">
        <v>5296</v>
      </c>
      <c r="O323" s="8" t="s">
        <v>6193</v>
      </c>
      <c r="P323" s="398" t="s">
        <v>51</v>
      </c>
      <c r="Q323" s="59" t="s">
        <v>2552</v>
      </c>
      <c r="R323" s="9" t="s">
        <v>2500</v>
      </c>
      <c r="S323" s="9" t="s">
        <v>2495</v>
      </c>
      <c r="T323" s="123" t="str">
        <f>IF(R323="Bogs Ponds Streams","20",IF(R323="Coastal Areas","26",IF(R323="Meadows Dry Open","10",IF(R323="Forest &amp; Understory","14",IF(R323="Moist Open","12",IF(R323="Moist Shady","10",IF(R323="Sub-Alpine Slopes","0")))))))</f>
        <v>10</v>
      </c>
      <c r="U323" s="123" t="str">
        <f>IF(R323="Bogs Ponds Streams","52",IF(R323="Coastal Areas","51",IF(R323="Meadows Dry Open","53",IF(R323="Forest &amp; Understory","52",IF(R323="Moist Open","50",IF(R323="Moist Shady","46",IF(R323="Sub-Alpine Slopes","40")))))))</f>
        <v>53</v>
      </c>
      <c r="V323" s="123" t="str">
        <f>IF(R323="Bogs Ponds Streams","84",IF(R323="Coastal Areas","76",IF(R323="Meadows Dry Open","96", IF(R323="Forest &amp; Understory","90", IF(R323="Moist Open","88", IF(R323="Moist Shady","82", IF(R323="Sub-Alpine Slopes","80")))))))</f>
        <v>96</v>
      </c>
      <c r="W323" s="59">
        <v>1</v>
      </c>
      <c r="X323" s="59">
        <v>0</v>
      </c>
      <c r="Y323" s="59">
        <v>3500</v>
      </c>
      <c r="Z323" s="59" t="s">
        <v>2519</v>
      </c>
      <c r="AA323" s="59" t="s">
        <v>2518</v>
      </c>
      <c r="AB323" s="59">
        <v>6.8</v>
      </c>
      <c r="AC323" s="45">
        <f>C323+AK323+(0.1)*AL323</f>
        <v>17.2</v>
      </c>
      <c r="AD323" s="77">
        <v>51</v>
      </c>
      <c r="AE323" s="59">
        <v>5</v>
      </c>
      <c r="AF323" s="59">
        <v>5</v>
      </c>
      <c r="AG323" s="59">
        <v>1900</v>
      </c>
      <c r="AH323" s="77">
        <v>0</v>
      </c>
      <c r="AI323" s="59">
        <f ca="1">AJ323</f>
        <v>2019</v>
      </c>
      <c r="AJ323" s="18">
        <f ca="1">YEAR(TODAY())</f>
        <v>2019</v>
      </c>
      <c r="AK323" s="18">
        <v>8</v>
      </c>
      <c r="AL323" s="18">
        <v>12</v>
      </c>
      <c r="AM323" s="18">
        <v>1</v>
      </c>
      <c r="AN323" s="18">
        <v>1</v>
      </c>
      <c r="AO323" s="18">
        <v>5</v>
      </c>
      <c r="AP323" s="18">
        <v>1</v>
      </c>
      <c r="AQ323" s="18">
        <v>0</v>
      </c>
      <c r="AR323" s="18">
        <v>0</v>
      </c>
      <c r="AS323" s="18">
        <v>0</v>
      </c>
      <c r="AT323" s="18">
        <v>0</v>
      </c>
      <c r="AU323" s="18">
        <v>0</v>
      </c>
      <c r="AV323" s="18">
        <v>0</v>
      </c>
      <c r="AW323" s="18">
        <v>0</v>
      </c>
      <c r="AX323" s="18">
        <v>0</v>
      </c>
      <c r="AY323" s="233"/>
      <c r="AZ323" s="4"/>
      <c r="BA323" s="35" t="str">
        <f>IF(OR(S323="North America",S323="Rocky Mountain"), "Widespread",BC323)</f>
        <v>Widespread</v>
      </c>
      <c r="BB323" s="4"/>
      <c r="BC323" s="35" t="str">
        <f ca="1">IF(BE323&gt;2046, "Abundant",BE323)</f>
        <v>Abundant</v>
      </c>
      <c r="BD323" s="4"/>
      <c r="BE323" s="81">
        <f ca="1">YEAR($C$13)+(BG323*80)</f>
        <v>2103.8972263814617</v>
      </c>
      <c r="BF323" s="4"/>
      <c r="BG323" s="137">
        <f ca="1">BH323*$BH$14</f>
        <v>1.0612153297682709</v>
      </c>
      <c r="BH323" s="137">
        <f ca="1">(((BJ323+BK323+BM323+BN323)/4)*$BM$11)+(((BP323+BQ323)/2)*$BQ$11)+(((BU323+BV323+BW323)/3)*$BU$11)+(((BY323+BZ323+CA323+CB323+CC323)/5)*$CA$11)</f>
        <v>1.0612153297682709</v>
      </c>
      <c r="BI323" s="4"/>
      <c r="BJ323" s="33">
        <f>AP323/(AM323+AO323)</f>
        <v>0.16666666666666666</v>
      </c>
      <c r="BK323" s="33">
        <f>(AN323+AO323)/(AM323+AO323)</f>
        <v>1</v>
      </c>
      <c r="BL323" s="4"/>
      <c r="BM323" s="127">
        <f>CF323/102</f>
        <v>0.16862745098039214</v>
      </c>
      <c r="BN323" s="127">
        <f>C323/2</f>
        <v>4</v>
      </c>
      <c r="BO323" s="4"/>
      <c r="BP323" s="127">
        <f>(AK323)/($AW$6)</f>
        <v>8.0808080808080815E-2</v>
      </c>
      <c r="BQ323" s="127">
        <f ca="1">(CH323-$AW$4)/((YEAR($C$13))-$AW$4)</f>
        <v>1</v>
      </c>
      <c r="BR323" s="127">
        <f>(AL323)/($AW$6)</f>
        <v>0.12121212121212122</v>
      </c>
      <c r="BS323" s="4"/>
      <c r="BT323" s="127"/>
      <c r="BU323" s="127">
        <f ca="1">(CG323-$AW$4)/((YEAR($C$13))-$AW$4)</f>
        <v>1</v>
      </c>
      <c r="BV323" s="127">
        <f>AE323/5</f>
        <v>1</v>
      </c>
      <c r="BW323" s="127">
        <f>AF323/5</f>
        <v>1</v>
      </c>
      <c r="BX323" s="4"/>
      <c r="BY323" s="148" t="str">
        <f>IF(E323="A",".98",IF(E323="B",".99",IF(E323="C","1.00",IF(E323="D","1.00" ))))</f>
        <v>.98</v>
      </c>
      <c r="BZ323" s="127">
        <f>(CE323+7)/10</f>
        <v>0.8</v>
      </c>
      <c r="CA323" s="76" t="str">
        <f>IF(D323="Fern",".97",IF(D323="Grass",".99",IF(D323="Herb",".97",IF(D323="Shrub",".99",IF(D323="Tree","1.00",IF(D323="Vine",".98"))))))</f>
        <v>.97</v>
      </c>
      <c r="CB323" s="149" t="str">
        <f>IF(R323="Bogs Ponds Streams",".96", IF(R323="Coastal Areas",".97",IF(R323="Meadows Dry Open",".96",IF(R323="Forest &amp; Understory",".97",IF(R323="Moist Open",".98",IF(R323="Moist Shady",".96",IF(R323="Sub-Alpine","1.0")))))))</f>
        <v>.96</v>
      </c>
      <c r="CC323" s="76" t="str">
        <f>IF(S323="Local Endemic",".50",IF(S323="Regional Endemic",".70",IF(S323="Cascadia",".90",IF(S323="Rocky Mountain",".95",IF(S323="North America",".99")))))</f>
        <v>.99</v>
      </c>
      <c r="CD323" s="4"/>
      <c r="CE323" s="21">
        <f>IF(W323&gt;3,3,W323)</f>
        <v>1</v>
      </c>
      <c r="CF323" s="21">
        <f>IF(AC323&gt;102,102,AC323)</f>
        <v>17.2</v>
      </c>
      <c r="CG323" s="34">
        <f ca="1">IF(AI323&lt;$AW$4,$AW$4,AI323)</f>
        <v>2019</v>
      </c>
      <c r="CH323" s="34">
        <f ca="1">IF(AJ323&lt;$AW$4,$AW$4,AJ323)</f>
        <v>2019</v>
      </c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</row>
    <row r="324" spans="1:116" s="13" customFormat="1" ht="15" customHeight="1" x14ac:dyDescent="0.3">
      <c r="A324" s="235"/>
      <c r="B324" s="218"/>
      <c r="C324" s="225">
        <v>8</v>
      </c>
      <c r="D324" s="59" t="s">
        <v>2505</v>
      </c>
      <c r="E324" s="59" t="s">
        <v>2501</v>
      </c>
      <c r="F324" s="397" t="str">
        <f ca="1">IF(BC324&lt;2025, "Extinct&lt; 6Yrs?",BA324)</f>
        <v>Widespread</v>
      </c>
      <c r="G324" s="363" t="s">
        <v>525</v>
      </c>
      <c r="H324" s="363" t="s">
        <v>691</v>
      </c>
      <c r="I324" s="365" t="s">
        <v>2583</v>
      </c>
      <c r="J324" s="365" t="s">
        <v>2091</v>
      </c>
      <c r="K324" s="365" t="s">
        <v>1347</v>
      </c>
      <c r="L324" s="10" t="s">
        <v>2834</v>
      </c>
      <c r="M324" s="8" t="s">
        <v>4403</v>
      </c>
      <c r="N324" s="8" t="s">
        <v>5297</v>
      </c>
      <c r="O324" s="8" t="s">
        <v>6194</v>
      </c>
      <c r="P324" s="9" t="s">
        <v>1347</v>
      </c>
      <c r="Q324" s="59" t="s">
        <v>2552</v>
      </c>
      <c r="R324" s="9" t="s">
        <v>2498</v>
      </c>
      <c r="S324" s="17" t="s">
        <v>2479</v>
      </c>
      <c r="T324" s="123" t="str">
        <f>IF(R324="Bogs Ponds Streams","20",IF(R324="Coastal Areas","26",IF(R324="Meadows Dry Open","10",IF(R324="Forest &amp; Understory","14",IF(R324="Moist Open","12",IF(R324="Moist Shady","10",IF(R324="Sub-Alpine Slopes","0")))))))</f>
        <v>10</v>
      </c>
      <c r="U324" s="123" t="str">
        <f>IF(R324="Bogs Ponds Streams","52",IF(R324="Coastal Areas","51",IF(R324="Meadows Dry Open","53",IF(R324="Forest &amp; Understory","52",IF(R324="Moist Open","50",IF(R324="Moist Shady","46",IF(R324="Sub-Alpine Slopes","40")))))))</f>
        <v>46</v>
      </c>
      <c r="V324" s="123" t="str">
        <f>IF(R324="Bogs Ponds Streams","84",IF(R324="Coastal Areas","76",IF(R324="Meadows Dry Open","96", IF(R324="Forest &amp; Understory","90", IF(R324="Moist Open","88", IF(R324="Moist Shady","82", IF(R324="Sub-Alpine Slopes","80")))))))</f>
        <v>82</v>
      </c>
      <c r="W324" s="59">
        <v>20</v>
      </c>
      <c r="X324" s="59">
        <v>0</v>
      </c>
      <c r="Y324" s="59">
        <v>3500</v>
      </c>
      <c r="Z324" s="59" t="s">
        <v>2519</v>
      </c>
      <c r="AA324" s="59" t="s">
        <v>2518</v>
      </c>
      <c r="AB324" s="59">
        <v>6.8</v>
      </c>
      <c r="AC324" s="45">
        <f>C324+AK324+(0.1)*AL324</f>
        <v>14.3</v>
      </c>
      <c r="AD324" s="77">
        <v>404</v>
      </c>
      <c r="AE324" s="59">
        <v>5</v>
      </c>
      <c r="AF324" s="59">
        <v>5</v>
      </c>
      <c r="AG324" s="59">
        <v>1900</v>
      </c>
      <c r="AH324" s="77">
        <v>0</v>
      </c>
      <c r="AI324" s="59">
        <f ca="1">AJ324</f>
        <v>2019</v>
      </c>
      <c r="AJ324" s="18">
        <f ca="1">YEAR(TODAY())</f>
        <v>2019</v>
      </c>
      <c r="AK324" s="18">
        <v>3</v>
      </c>
      <c r="AL324" s="18">
        <v>33</v>
      </c>
      <c r="AM324" s="18">
        <v>1</v>
      </c>
      <c r="AN324" s="18">
        <v>1</v>
      </c>
      <c r="AO324" s="24">
        <v>1</v>
      </c>
      <c r="AP324" s="24">
        <v>1</v>
      </c>
      <c r="AQ324" s="18">
        <v>0</v>
      </c>
      <c r="AR324" s="18">
        <v>0</v>
      </c>
      <c r="AS324" s="18">
        <v>0</v>
      </c>
      <c r="AT324" s="18">
        <v>0</v>
      </c>
      <c r="AU324" s="18">
        <v>0</v>
      </c>
      <c r="AV324" s="18">
        <v>0</v>
      </c>
      <c r="AW324" s="18">
        <v>0</v>
      </c>
      <c r="AX324" s="18">
        <v>0</v>
      </c>
      <c r="AY324" s="233"/>
      <c r="AZ324" s="4"/>
      <c r="BA324" s="35" t="str">
        <f>IF(OR(S324="North America",S324="Rocky Mountain"), "Widespread",BC324)</f>
        <v>Widespread</v>
      </c>
      <c r="BB324" s="4"/>
      <c r="BC324" s="35" t="str">
        <f ca="1">IF(BE324&gt;2046, "Abundant",BE324)</f>
        <v>Abundant</v>
      </c>
      <c r="BD324" s="4"/>
      <c r="BE324" s="81">
        <f ca="1">YEAR($C$13)+(BG324*80)</f>
        <v>2107.0075893048129</v>
      </c>
      <c r="BF324" s="4"/>
      <c r="BG324" s="137">
        <f ca="1">BH324*$BH$14</f>
        <v>1.1000948663101604</v>
      </c>
      <c r="BH324" s="137">
        <f ca="1">(((BJ324+BK324+BM324+BN324)/4)*$BM$11)+(((BP324+BQ324)/2)*$BQ$11)+(((BU324+BV324+BW324)/3)*$BU$11)+(((BY324+BZ324+CA324+CB324+CC324)/5)*$CA$11)</f>
        <v>1.1000948663101604</v>
      </c>
      <c r="BI324" s="4"/>
      <c r="BJ324" s="33">
        <f>AP324/(AM324+AO324)</f>
        <v>0.5</v>
      </c>
      <c r="BK324" s="33">
        <f>(AN324+AO324)/(AM324+AO324)</f>
        <v>1</v>
      </c>
      <c r="BL324" s="4"/>
      <c r="BM324" s="127">
        <f>CF324/102</f>
        <v>0.14019607843137255</v>
      </c>
      <c r="BN324" s="127">
        <f>C324/2</f>
        <v>4</v>
      </c>
      <c r="BO324" s="4"/>
      <c r="BP324" s="127">
        <f>(AK324)/($AW$6)</f>
        <v>3.0303030303030304E-2</v>
      </c>
      <c r="BQ324" s="127">
        <f ca="1">(CH324-$AW$4)/((YEAR($C$13))-$AW$4)</f>
        <v>1</v>
      </c>
      <c r="BR324" s="127">
        <f>(AL324)/($AW$6)</f>
        <v>0.33333333333333331</v>
      </c>
      <c r="BS324" s="4"/>
      <c r="BT324" s="127"/>
      <c r="BU324" s="127">
        <f ca="1">(CG324-$AW$4)/((YEAR($C$13))-$AW$4)</f>
        <v>1</v>
      </c>
      <c r="BV324" s="127">
        <f>AE324/5</f>
        <v>1</v>
      </c>
      <c r="BW324" s="127">
        <f>AF324/5</f>
        <v>1</v>
      </c>
      <c r="BX324" s="4"/>
      <c r="BY324" s="148" t="str">
        <f>IF(E324="A",".98",IF(E324="B",".99",IF(E324="C","1.00",IF(E324="D","1.00" ))))</f>
        <v>1.00</v>
      </c>
      <c r="BZ324" s="127">
        <f>(CE324+7)/10</f>
        <v>1</v>
      </c>
      <c r="CA324" s="76" t="str">
        <f>IF(D324="Fern",".97",IF(D324="Grass",".99",IF(D324="Herb",".97",IF(D324="Shrub",".99",IF(D324="Tree","1.00",IF(D324="Vine",".98"))))))</f>
        <v>.97</v>
      </c>
      <c r="CB324" s="149" t="str">
        <f>IF(R324="Bogs Ponds Streams",".96", IF(R324="Coastal Areas",".97",IF(R324="Meadows Dry Open",".96",IF(R324="Forest &amp; Understory",".97",IF(R324="Moist Open",".98",IF(R324="Moist Shady",".96",IF(R324="Sub-Alpine","1.0")))))))</f>
        <v>.96</v>
      </c>
      <c r="CC324" s="76" t="str">
        <f>IF(S324="Local Endemic",".50",IF(S324="Regional Endemic",".70",IF(S324="Cascadia",".90",IF(S324="Rocky Mountain",".95",IF(S324="North America",".99")))))</f>
        <v>.95</v>
      </c>
      <c r="CD324" s="4"/>
      <c r="CE324" s="21">
        <f>IF(W324&gt;3,3,W324)</f>
        <v>3</v>
      </c>
      <c r="CF324" s="21">
        <f>IF(AC324&gt;102,102,AC324)</f>
        <v>14.3</v>
      </c>
      <c r="CG324" s="34">
        <f ca="1">IF(AI324&lt;$AW$4,$AW$4,AI324)</f>
        <v>2019</v>
      </c>
      <c r="CH324" s="34">
        <f ca="1">IF(AJ324&lt;$AW$4,$AW$4,AJ324)</f>
        <v>2019</v>
      </c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</row>
    <row r="325" spans="1:116" s="13" customFormat="1" ht="15" customHeight="1" x14ac:dyDescent="0.3">
      <c r="A325" s="235"/>
      <c r="B325" s="218"/>
      <c r="C325" s="225">
        <v>8</v>
      </c>
      <c r="D325" s="94" t="s">
        <v>1155</v>
      </c>
      <c r="E325" s="59" t="s">
        <v>2501</v>
      </c>
      <c r="F325" s="397" t="str">
        <f ca="1">IF(BC325&lt;2025, "Extinct&lt; 6Yrs?",BA325)</f>
        <v>Widespread</v>
      </c>
      <c r="G325" s="363" t="s">
        <v>525</v>
      </c>
      <c r="H325" s="363" t="s">
        <v>677</v>
      </c>
      <c r="I325" s="366" t="s">
        <v>3064</v>
      </c>
      <c r="J325" s="365" t="s">
        <v>3318</v>
      </c>
      <c r="K325" s="365" t="s">
        <v>330</v>
      </c>
      <c r="L325" s="10" t="s">
        <v>1422</v>
      </c>
      <c r="M325" s="8" t="s">
        <v>4404</v>
      </c>
      <c r="N325" s="8" t="s">
        <v>5298</v>
      </c>
      <c r="O325" s="8" t="s">
        <v>6195</v>
      </c>
      <c r="P325" s="9" t="s">
        <v>403</v>
      </c>
      <c r="Q325" s="59" t="s">
        <v>2552</v>
      </c>
      <c r="R325" s="9" t="s">
        <v>2499</v>
      </c>
      <c r="S325" s="9" t="s">
        <v>2479</v>
      </c>
      <c r="T325" s="123" t="str">
        <f>IF(R325="Bogs Ponds Streams","20",IF(R325="Coastal Areas","26",IF(R325="Meadows Dry Open","10",IF(R325="Forest &amp; Understory","14",IF(R325="Moist Open","12",IF(R325="Moist Shady","10",IF(R325="Sub-Alpine Slopes","0")))))))</f>
        <v>20</v>
      </c>
      <c r="U325" s="123" t="str">
        <f>IF(R325="Bogs Ponds Streams","52",IF(R325="Coastal Areas","51",IF(R325="Meadows Dry Open","53",IF(R325="Forest &amp; Understory","52",IF(R325="Moist Open","50",IF(R325="Moist Shady","46",IF(R325="Sub-Alpine Slopes","40")))))))</f>
        <v>52</v>
      </c>
      <c r="V325" s="123" t="str">
        <f>IF(R325="Bogs Ponds Streams","84",IF(R325="Coastal Areas","76",IF(R325="Meadows Dry Open","96", IF(R325="Forest &amp; Understory","90", IF(R325="Moist Open","88", IF(R325="Moist Shady","82", IF(R325="Sub-Alpine Slopes","80")))))))</f>
        <v>84</v>
      </c>
      <c r="W325" s="59">
        <v>20</v>
      </c>
      <c r="X325" s="59">
        <v>0</v>
      </c>
      <c r="Y325" s="59">
        <v>3500</v>
      </c>
      <c r="Z325" s="59" t="s">
        <v>2519</v>
      </c>
      <c r="AA325" s="59" t="s">
        <v>2518</v>
      </c>
      <c r="AB325" s="59">
        <v>6.8</v>
      </c>
      <c r="AC325" s="45">
        <f>C325+AK325+(0.1)*AL325</f>
        <v>30.3</v>
      </c>
      <c r="AD325" s="77">
        <v>64</v>
      </c>
      <c r="AE325" s="59">
        <v>5</v>
      </c>
      <c r="AF325" s="59">
        <v>5</v>
      </c>
      <c r="AG325" s="59">
        <v>1900</v>
      </c>
      <c r="AH325" s="77">
        <v>0</v>
      </c>
      <c r="AI325" s="59">
        <f>AJ325</f>
        <v>2004</v>
      </c>
      <c r="AJ325" s="18">
        <v>2004</v>
      </c>
      <c r="AK325" s="18">
        <v>22</v>
      </c>
      <c r="AL325" s="18">
        <v>3</v>
      </c>
      <c r="AM325" s="18">
        <v>1</v>
      </c>
      <c r="AN325" s="18">
        <v>1</v>
      </c>
      <c r="AO325" s="25">
        <v>0</v>
      </c>
      <c r="AP325" s="24">
        <v>0</v>
      </c>
      <c r="AQ325" s="18">
        <v>0</v>
      </c>
      <c r="AR325" s="18">
        <v>0</v>
      </c>
      <c r="AS325" s="18">
        <v>0</v>
      </c>
      <c r="AT325" s="18">
        <v>0</v>
      </c>
      <c r="AU325" s="18">
        <v>0</v>
      </c>
      <c r="AV325" s="18">
        <v>0</v>
      </c>
      <c r="AW325" s="18">
        <v>0</v>
      </c>
      <c r="AX325" s="18">
        <v>0</v>
      </c>
      <c r="AY325" s="233"/>
      <c r="AZ325" s="4"/>
      <c r="BA325" s="35" t="str">
        <f>IF(OR(S325="North America",S325="Rocky Mountain"), "Widespread",BC325)</f>
        <v>Widespread</v>
      </c>
      <c r="BB325" s="4"/>
      <c r="BC325" s="35" t="str">
        <f ca="1">IF(BE325&gt;2046, "Abundant",BE325)</f>
        <v>Abundant</v>
      </c>
      <c r="BD325" s="4"/>
      <c r="BE325" s="81">
        <f ca="1">YEAR($C$13)+(BG325*80)</f>
        <v>2091.0660392156865</v>
      </c>
      <c r="BF325" s="4"/>
      <c r="BG325" s="137">
        <f ca="1">BH325*$BH$14</f>
        <v>0.90082549019607838</v>
      </c>
      <c r="BH325" s="137">
        <f ca="1">(((BJ325+BK325+BM325+BN325)/4)*$BM$11)+(((BP325+BQ325)/2)*$BQ$11)+(((BU325+BV325+BW325)/3)*$BU$11)+(((BY325+BZ325+CA325+CB325+CC325)/5)*$CA$11)</f>
        <v>0.90082549019607838</v>
      </c>
      <c r="BI325" s="4"/>
      <c r="BJ325" s="33">
        <f>AP325/(AM325+AO325)</f>
        <v>0</v>
      </c>
      <c r="BK325" s="33">
        <f>(AN325+AO325)/(AM325+AO325)</f>
        <v>1</v>
      </c>
      <c r="BL325" s="4"/>
      <c r="BM325" s="127">
        <f>CF325/102</f>
        <v>0.29705882352941176</v>
      </c>
      <c r="BN325" s="127">
        <f>C325/2</f>
        <v>4</v>
      </c>
      <c r="BO325" s="4"/>
      <c r="BP325" s="127">
        <f>(AK325)/($AW$6)</f>
        <v>0.22222222222222221</v>
      </c>
      <c r="BQ325" s="127">
        <f ca="1">(CH325-$AW$4)/((YEAR($C$13))-$AW$4)</f>
        <v>0</v>
      </c>
      <c r="BR325" s="127">
        <f>(AL325)/($AW$6)</f>
        <v>3.0303030303030304E-2</v>
      </c>
      <c r="BS325" s="4"/>
      <c r="BT325" s="127"/>
      <c r="BU325" s="127">
        <f ca="1">(CG325-$AW$4)/((YEAR($C$13))-$AW$4)</f>
        <v>0</v>
      </c>
      <c r="BV325" s="127">
        <f>AE325/5</f>
        <v>1</v>
      </c>
      <c r="BW325" s="127">
        <f>AF325/5</f>
        <v>1</v>
      </c>
      <c r="BX325" s="4"/>
      <c r="BY325" s="148" t="str">
        <f>IF(E325="A",".98",IF(E325="B",".99",IF(E325="C","1.00",IF(E325="D","1.00" ))))</f>
        <v>1.00</v>
      </c>
      <c r="BZ325" s="127">
        <f>(CE325+7)/10</f>
        <v>1</v>
      </c>
      <c r="CA325" s="76" t="str">
        <f>IF(D325="Fern",".97",IF(D325="Grass",".99",IF(D325="Herb",".97",IF(D325="Shrub",".99",IF(D325="Tree","1.00",IF(D325="Vine",".98"))))))</f>
        <v>.99</v>
      </c>
      <c r="CB325" s="149" t="str">
        <f>IF(R325="Bogs Ponds Streams",".96", IF(R325="Coastal Areas",".97",IF(R325="Meadows Dry Open",".96",IF(R325="Forest &amp; Understory",".97",IF(R325="Moist Open",".98",IF(R325="Moist Shady",".96",IF(R325="Sub-Alpine","1.0")))))))</f>
        <v>.96</v>
      </c>
      <c r="CC325" s="76" t="str">
        <f>IF(S325="Local Endemic",".50",IF(S325="Regional Endemic",".70",IF(S325="Cascadia",".90",IF(S325="Rocky Mountain",".95",IF(S325="North America",".99")))))</f>
        <v>.95</v>
      </c>
      <c r="CD325" s="4"/>
      <c r="CE325" s="21">
        <f>IF(W325&gt;3,3,W325)</f>
        <v>3</v>
      </c>
      <c r="CF325" s="21">
        <f>IF(AC325&gt;102,102,AC325)</f>
        <v>30.3</v>
      </c>
      <c r="CG325" s="34">
        <f>IF(AI325&lt;$AW$4,$AW$4,AI325)</f>
        <v>2004</v>
      </c>
      <c r="CH325" s="34">
        <f>IF(AJ325&lt;$AW$4,$AW$4,AJ325)</f>
        <v>2004</v>
      </c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</row>
    <row r="326" spans="1:116" s="13" customFormat="1" ht="15" customHeight="1" x14ac:dyDescent="0.3">
      <c r="A326" s="235"/>
      <c r="B326" s="218"/>
      <c r="C326" s="375">
        <v>1</v>
      </c>
      <c r="D326" s="95" t="s">
        <v>1155</v>
      </c>
      <c r="E326" s="67" t="s">
        <v>2501</v>
      </c>
      <c r="F326" s="403" t="str">
        <f ca="1">IF(BC326&lt;2025, "Extinct&lt; 6Yrs?",BA326)</f>
        <v>Widespread</v>
      </c>
      <c r="G326" s="376" t="s">
        <v>525</v>
      </c>
      <c r="H326" s="376" t="s">
        <v>4028</v>
      </c>
      <c r="I326" s="380" t="s">
        <v>129</v>
      </c>
      <c r="J326" s="378" t="s">
        <v>3617</v>
      </c>
      <c r="K326" s="378" t="s">
        <v>128</v>
      </c>
      <c r="L326" s="63" t="s">
        <v>1423</v>
      </c>
      <c r="M326" s="64" t="s">
        <v>4405</v>
      </c>
      <c r="N326" s="64" t="s">
        <v>5299</v>
      </c>
      <c r="O326" s="64" t="s">
        <v>6196</v>
      </c>
      <c r="P326" s="61" t="s">
        <v>403</v>
      </c>
      <c r="Q326" s="67" t="s">
        <v>2552</v>
      </c>
      <c r="R326" s="61" t="s">
        <v>2498</v>
      </c>
      <c r="S326" s="61" t="s">
        <v>2495</v>
      </c>
      <c r="T326" s="134" t="str">
        <f>IF(R326="Bogs Ponds Streams","20",IF(R326="Coastal Areas","26",IF(R326="Meadows Dry Open","10",IF(R326="Forest &amp; Understory","14",IF(R326="Moist Open","12",IF(R326="Moist Shady","10",IF(R326="Sub-Alpine Slopes","0")))))))</f>
        <v>10</v>
      </c>
      <c r="U326" s="134" t="str">
        <f>IF(R326="Bogs Ponds Streams","52",IF(R326="Coastal Areas","51",IF(R326="Meadows Dry Open","53",IF(R326="Forest &amp; Understory","52",IF(R326="Moist Open","50",IF(R326="Moist Shady","46",IF(R326="Sub-Alpine Slopes","40")))))))</f>
        <v>46</v>
      </c>
      <c r="V326" s="134" t="str">
        <f>IF(R326="Bogs Ponds Streams","84",IF(R326="Coastal Areas","76",IF(R326="Meadows Dry Open","96", IF(R326="Forest &amp; Understory","90", IF(R326="Moist Open","88", IF(R326="Moist Shady","82", IF(R326="Sub-Alpine Slopes","80")))))))</f>
        <v>82</v>
      </c>
      <c r="W326" s="67">
        <v>20</v>
      </c>
      <c r="X326" s="67">
        <v>0</v>
      </c>
      <c r="Y326" s="67">
        <v>3500</v>
      </c>
      <c r="Z326" s="67" t="s">
        <v>2519</v>
      </c>
      <c r="AA326" s="67" t="s">
        <v>2518</v>
      </c>
      <c r="AB326" s="67">
        <v>6.8</v>
      </c>
      <c r="AC326" s="85">
        <f>C326+AK326+(0.1)*AL326</f>
        <v>5.3</v>
      </c>
      <c r="AD326" s="78">
        <v>22</v>
      </c>
      <c r="AE326" s="67">
        <v>5</v>
      </c>
      <c r="AF326" s="67">
        <v>5</v>
      </c>
      <c r="AG326" s="67">
        <v>1900</v>
      </c>
      <c r="AH326" s="78">
        <v>0</v>
      </c>
      <c r="AI326" s="67">
        <f>AJ326</f>
        <v>2004</v>
      </c>
      <c r="AJ326" s="69">
        <v>2004</v>
      </c>
      <c r="AK326" s="69">
        <v>4</v>
      </c>
      <c r="AL326" s="69">
        <v>3</v>
      </c>
      <c r="AM326" s="70">
        <v>5</v>
      </c>
      <c r="AN326" s="70">
        <v>0</v>
      </c>
      <c r="AO326" s="86">
        <v>0</v>
      </c>
      <c r="AP326" s="70">
        <v>0</v>
      </c>
      <c r="AQ326" s="70">
        <v>0</v>
      </c>
      <c r="AR326" s="70">
        <v>0</v>
      </c>
      <c r="AS326" s="86">
        <v>0</v>
      </c>
      <c r="AT326" s="70">
        <v>0</v>
      </c>
      <c r="AU326" s="70">
        <v>0</v>
      </c>
      <c r="AV326" s="70">
        <v>0</v>
      </c>
      <c r="AW326" s="86">
        <v>0</v>
      </c>
      <c r="AX326" s="70">
        <v>0</v>
      </c>
      <c r="AY326" s="233"/>
      <c r="AZ326" s="4"/>
      <c r="BA326" s="35" t="str">
        <f>IF(OR(S326="North America",S326="Rocky Mountain"), "Widespread",BC326)</f>
        <v>Widespread</v>
      </c>
      <c r="BB326" s="4"/>
      <c r="BC326" s="35">
        <f ca="1">IF(BE326&gt;2046, "Abundant",BE326)</f>
        <v>2031.9558445632799</v>
      </c>
      <c r="BD326" s="4"/>
      <c r="BE326" s="81">
        <f ca="1">YEAR($C$13)+(BG326*80)</f>
        <v>2031.9558445632799</v>
      </c>
      <c r="BF326" s="4"/>
      <c r="BG326" s="137">
        <f ca="1">BH326*$BH$14</f>
        <v>0.16194805704099821</v>
      </c>
      <c r="BH326" s="137">
        <f ca="1">(((BJ326+BK326+BM326+BN326)/4)*$BM$11)+(((BP326+BQ326)/2)*$BQ$11)+(((BU326+BV326+BW326)/3)*$BU$11)+(((BY326+BZ326+CA326+CB326+CC326)/5)*$CA$11)</f>
        <v>0.16194805704099821</v>
      </c>
      <c r="BI326" s="4"/>
      <c r="BJ326" s="33">
        <f>AP326/(AM326+AO326)</f>
        <v>0</v>
      </c>
      <c r="BK326" s="33">
        <f>(AN326+AO326)/(AM326+AO326)</f>
        <v>0</v>
      </c>
      <c r="BL326" s="4"/>
      <c r="BM326" s="127">
        <f>CF326/102</f>
        <v>5.1960784313725486E-2</v>
      </c>
      <c r="BN326" s="127">
        <f>C326/2</f>
        <v>0.5</v>
      </c>
      <c r="BO326" s="4"/>
      <c r="BP326" s="127">
        <f>(AK326)/($AW$6)</f>
        <v>4.0404040404040407E-2</v>
      </c>
      <c r="BQ326" s="127">
        <f ca="1">(CH326-$AW$4)/((YEAR($C$13))-$AW$4)</f>
        <v>0</v>
      </c>
      <c r="BR326" s="127">
        <f>(AL326)/($AW$6)</f>
        <v>3.0303030303030304E-2</v>
      </c>
      <c r="BS326" s="4"/>
      <c r="BT326" s="127"/>
      <c r="BU326" s="127">
        <f ca="1">(CG326-$AW$4)/((YEAR($C$13))-$AW$4)</f>
        <v>0</v>
      </c>
      <c r="BV326" s="127">
        <f>AE326/5</f>
        <v>1</v>
      </c>
      <c r="BW326" s="127">
        <f>AF326/5</f>
        <v>1</v>
      </c>
      <c r="BX326" s="4"/>
      <c r="BY326" s="148" t="str">
        <f>IF(E326="A",".98",IF(E326="B",".99",IF(E326="C","1.00",IF(E326="D","1.00" ))))</f>
        <v>1.00</v>
      </c>
      <c r="BZ326" s="127">
        <f>(CE326+7)/10</f>
        <v>1</v>
      </c>
      <c r="CA326" s="76" t="str">
        <f>IF(D326="Fern",".97",IF(D326="Grass",".99",IF(D326="Herb",".97",IF(D326="Shrub",".99",IF(D326="Tree","1.00",IF(D326="Vine",".98"))))))</f>
        <v>.99</v>
      </c>
      <c r="CB326" s="149" t="str">
        <f>IF(R326="Bogs Ponds Streams",".96", IF(R326="Coastal Areas",".97",IF(R326="Meadows Dry Open",".96",IF(R326="Forest &amp; Understory",".97",IF(R326="Moist Open",".98",IF(R326="Moist Shady",".96",IF(R326="Sub-Alpine","1.0")))))))</f>
        <v>.96</v>
      </c>
      <c r="CC326" s="76" t="str">
        <f>IF(S326="Local Endemic",".50",IF(S326="Regional Endemic",".70",IF(S326="Cascadia",".90",IF(S326="Rocky Mountain",".95",IF(S326="North America",".99")))))</f>
        <v>.99</v>
      </c>
      <c r="CD326" s="4"/>
      <c r="CE326" s="21">
        <f>IF(W326&gt;3,3,W326)</f>
        <v>3</v>
      </c>
      <c r="CF326" s="21">
        <f>IF(AC326&gt;102,102,AC326)</f>
        <v>5.3</v>
      </c>
      <c r="CG326" s="34">
        <f>IF(AI326&lt;$AW$4,$AW$4,AI326)</f>
        <v>2004</v>
      </c>
      <c r="CH326" s="34">
        <f>IF(AJ326&lt;$AW$4,$AW$4,AJ326)</f>
        <v>2004</v>
      </c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</row>
    <row r="327" spans="1:116" s="13" customFormat="1" ht="15" customHeight="1" x14ac:dyDescent="0.3">
      <c r="A327" s="235"/>
      <c r="B327" s="218"/>
      <c r="C327" s="225">
        <v>8</v>
      </c>
      <c r="D327" s="59" t="s">
        <v>2505</v>
      </c>
      <c r="E327" s="59" t="s">
        <v>2501</v>
      </c>
      <c r="F327" s="397" t="str">
        <f ca="1">IF(BC327&lt;2025, "Extinct&lt; 6Yrs?",BA327)</f>
        <v>Widespread</v>
      </c>
      <c r="G327" s="363" t="s">
        <v>525</v>
      </c>
      <c r="H327" s="363" t="s">
        <v>691</v>
      </c>
      <c r="I327" s="366" t="s">
        <v>89</v>
      </c>
      <c r="J327" s="365" t="s">
        <v>3317</v>
      </c>
      <c r="K327" s="365" t="s">
        <v>959</v>
      </c>
      <c r="L327" s="10" t="s">
        <v>1424</v>
      </c>
      <c r="M327" s="8" t="s">
        <v>4406</v>
      </c>
      <c r="N327" s="8" t="s">
        <v>5300</v>
      </c>
      <c r="O327" s="8" t="s">
        <v>6197</v>
      </c>
      <c r="P327" s="9" t="s">
        <v>51</v>
      </c>
      <c r="Q327" s="59" t="s">
        <v>2552</v>
      </c>
      <c r="R327" s="9" t="s">
        <v>2500</v>
      </c>
      <c r="S327" s="9" t="s">
        <v>2479</v>
      </c>
      <c r="T327" s="123" t="str">
        <f>IF(R327="Bogs Ponds Streams","20",IF(R327="Coastal Areas","26",IF(R327="Meadows Dry Open","10",IF(R327="Forest &amp; Understory","14",IF(R327="Moist Open","12",IF(R327="Moist Shady","10",IF(R327="Sub-Alpine Slopes","0")))))))</f>
        <v>10</v>
      </c>
      <c r="U327" s="123" t="str">
        <f>IF(R327="Bogs Ponds Streams","52",IF(R327="Coastal Areas","51",IF(R327="Meadows Dry Open","53",IF(R327="Forest &amp; Understory","52",IF(R327="Moist Open","50",IF(R327="Moist Shady","46",IF(R327="Sub-Alpine Slopes","40")))))))</f>
        <v>53</v>
      </c>
      <c r="V327" s="123" t="str">
        <f>IF(R327="Bogs Ponds Streams","84",IF(R327="Coastal Areas","76",IF(R327="Meadows Dry Open","96", IF(R327="Forest &amp; Understory","90", IF(R327="Moist Open","88", IF(R327="Moist Shady","82", IF(R327="Sub-Alpine Slopes","80")))))))</f>
        <v>96</v>
      </c>
      <c r="W327" s="59">
        <v>20</v>
      </c>
      <c r="X327" s="59">
        <v>0</v>
      </c>
      <c r="Y327" s="59">
        <v>3500</v>
      </c>
      <c r="Z327" s="59" t="s">
        <v>2519</v>
      </c>
      <c r="AA327" s="59" t="s">
        <v>2518</v>
      </c>
      <c r="AB327" s="59">
        <v>6.8</v>
      </c>
      <c r="AC327" s="45">
        <f>C327+AK327+(0.1)*AL327</f>
        <v>45.4</v>
      </c>
      <c r="AD327" s="77">
        <v>15</v>
      </c>
      <c r="AE327" s="59">
        <v>5</v>
      </c>
      <c r="AF327" s="59">
        <v>5</v>
      </c>
      <c r="AG327" s="59">
        <v>1900</v>
      </c>
      <c r="AH327" s="77">
        <v>0</v>
      </c>
      <c r="AI327" s="59">
        <f ca="1">AJ327</f>
        <v>2019</v>
      </c>
      <c r="AJ327" s="18">
        <f ca="1">YEAR(TODAY())</f>
        <v>2019</v>
      </c>
      <c r="AK327" s="18">
        <v>33</v>
      </c>
      <c r="AL327" s="18">
        <v>44</v>
      </c>
      <c r="AM327" s="18">
        <v>1</v>
      </c>
      <c r="AN327" s="18">
        <v>1</v>
      </c>
      <c r="AO327" s="24">
        <v>1</v>
      </c>
      <c r="AP327" s="24">
        <v>0</v>
      </c>
      <c r="AQ327" s="18">
        <v>0</v>
      </c>
      <c r="AR327" s="18">
        <v>0</v>
      </c>
      <c r="AS327" s="18">
        <v>0</v>
      </c>
      <c r="AT327" s="18">
        <v>0</v>
      </c>
      <c r="AU327" s="18">
        <v>0</v>
      </c>
      <c r="AV327" s="18">
        <v>0</v>
      </c>
      <c r="AW327" s="18">
        <v>0</v>
      </c>
      <c r="AX327" s="18">
        <v>0</v>
      </c>
      <c r="AY327" s="233"/>
      <c r="AZ327" s="4"/>
      <c r="BA327" s="35" t="str">
        <f>IF(OR(S327="North America",S327="Rocky Mountain"), "Widespread",BC327)</f>
        <v>Widespread</v>
      </c>
      <c r="BB327" s="4"/>
      <c r="BC327" s="35" t="str">
        <f ca="1">IF(BE327&gt;2046, "Abundant",BE327)</f>
        <v>Abundant</v>
      </c>
      <c r="BD327" s="4"/>
      <c r="BE327" s="81">
        <f ca="1">YEAR($C$13)+(BG327*80)</f>
        <v>2108.3027764705885</v>
      </c>
      <c r="BF327" s="4"/>
      <c r="BG327" s="137">
        <f ca="1">BH327*$BH$14</f>
        <v>1.1162847058823531</v>
      </c>
      <c r="BH327" s="137">
        <f ca="1">(((BJ327+BK327+BM327+BN327)/4)*$BM$11)+(((BP327+BQ327)/2)*$BQ$11)+(((BU327+BV327+BW327)/3)*$BU$11)+(((BY327+BZ327+CA327+CB327+CC327)/5)*$CA$11)</f>
        <v>1.1162847058823531</v>
      </c>
      <c r="BI327" s="4"/>
      <c r="BJ327" s="33">
        <f>AP327/(AM327+AO327)</f>
        <v>0</v>
      </c>
      <c r="BK327" s="33">
        <f>(AN327+AO327)/(AM327+AO327)</f>
        <v>1</v>
      </c>
      <c r="BL327" s="4"/>
      <c r="BM327" s="127">
        <f>CF327/102</f>
        <v>0.44509803921568625</v>
      </c>
      <c r="BN327" s="127">
        <f>C327/2</f>
        <v>4</v>
      </c>
      <c r="BO327" s="4"/>
      <c r="BP327" s="127">
        <f>(AK327)/($AW$6)</f>
        <v>0.33333333333333331</v>
      </c>
      <c r="BQ327" s="127">
        <f ca="1">(CH327-$AW$4)/((YEAR($C$13))-$AW$4)</f>
        <v>1</v>
      </c>
      <c r="BR327" s="127">
        <f>(AL327)/($AW$6)</f>
        <v>0.44444444444444442</v>
      </c>
      <c r="BS327" s="4"/>
      <c r="BT327" s="127"/>
      <c r="BU327" s="127">
        <f ca="1">(CG327-$AW$4)/((YEAR($C$13))-$AW$4)</f>
        <v>1</v>
      </c>
      <c r="BV327" s="127">
        <f>AE327/5</f>
        <v>1</v>
      </c>
      <c r="BW327" s="127">
        <f>AF327/5</f>
        <v>1</v>
      </c>
      <c r="BX327" s="4"/>
      <c r="BY327" s="148" t="str">
        <f>IF(E327="A",".98",IF(E327="B",".99",IF(E327="C","1.00",IF(E327="D","1.00" ))))</f>
        <v>1.00</v>
      </c>
      <c r="BZ327" s="127">
        <f>(CE327+7)/10</f>
        <v>1</v>
      </c>
      <c r="CA327" s="76" t="str">
        <f>IF(D327="Fern",".97",IF(D327="Grass",".99",IF(D327="Herb",".97",IF(D327="Shrub",".99",IF(D327="Tree","1.00",IF(D327="Vine",".98"))))))</f>
        <v>.97</v>
      </c>
      <c r="CB327" s="149" t="str">
        <f>IF(R327="Bogs Ponds Streams",".96", IF(R327="Coastal Areas",".97",IF(R327="Meadows Dry Open",".96",IF(R327="Forest &amp; Understory",".97",IF(R327="Moist Open",".98",IF(R327="Moist Shady",".96",IF(R327="Sub-Alpine","1.0")))))))</f>
        <v>.96</v>
      </c>
      <c r="CC327" s="76" t="str">
        <f>IF(S327="Local Endemic",".50",IF(S327="Regional Endemic",".70",IF(S327="Cascadia",".90",IF(S327="Rocky Mountain",".95",IF(S327="North America",".99")))))</f>
        <v>.95</v>
      </c>
      <c r="CD327" s="4"/>
      <c r="CE327" s="21">
        <f>IF(W327&gt;3,3,W327)</f>
        <v>3</v>
      </c>
      <c r="CF327" s="21">
        <f>IF(AC327&gt;102,102,AC327)</f>
        <v>45.4</v>
      </c>
      <c r="CG327" s="34">
        <f ca="1">IF(AI327&lt;$AW$4,$AW$4,AI327)</f>
        <v>2019</v>
      </c>
      <c r="CH327" s="34">
        <f ca="1">IF(AJ327&lt;$AW$4,$AW$4,AJ327)</f>
        <v>2019</v>
      </c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</row>
    <row r="328" spans="1:116" s="13" customFormat="1" ht="15" customHeight="1" x14ac:dyDescent="0.3">
      <c r="A328" s="235"/>
      <c r="B328" s="218"/>
      <c r="C328" s="375">
        <v>1</v>
      </c>
      <c r="D328" s="67" t="s">
        <v>2505</v>
      </c>
      <c r="E328" s="67" t="s">
        <v>2501</v>
      </c>
      <c r="F328" s="403">
        <f ca="1">IF(BC328&lt;2025, "Extinct&lt; 6Yrs?",BA328)</f>
        <v>2033.0009820558525</v>
      </c>
      <c r="G328" s="376" t="s">
        <v>525</v>
      </c>
      <c r="H328" s="376" t="s">
        <v>4028</v>
      </c>
      <c r="I328" s="378" t="s">
        <v>2354</v>
      </c>
      <c r="J328" s="378" t="s">
        <v>2398</v>
      </c>
      <c r="K328" s="378" t="s">
        <v>2353</v>
      </c>
      <c r="L328" s="64" t="s">
        <v>2397</v>
      </c>
      <c r="M328" s="64" t="s">
        <v>4407</v>
      </c>
      <c r="N328" s="64" t="s">
        <v>5301</v>
      </c>
      <c r="O328" s="64" t="s">
        <v>6198</v>
      </c>
      <c r="P328" s="61" t="s">
        <v>558</v>
      </c>
      <c r="Q328" s="67" t="s">
        <v>2552</v>
      </c>
      <c r="R328" s="61" t="s">
        <v>2500</v>
      </c>
      <c r="S328" s="164" t="s">
        <v>2309</v>
      </c>
      <c r="T328" s="134" t="str">
        <f>IF(R328="Bogs Ponds Streams","20",IF(R328="Coastal Areas","26",IF(R328="Meadows Dry Open","10",IF(R328="Forest &amp; Understory","14",IF(R328="Moist Open","12",IF(R328="Moist Shady","10",IF(R328="Sub-Alpine Slopes","0")))))))</f>
        <v>10</v>
      </c>
      <c r="U328" s="134" t="str">
        <f>IF(R328="Bogs Ponds Streams","52",IF(R328="Coastal Areas","51",IF(R328="Meadows Dry Open","53",IF(R328="Forest &amp; Understory","52",IF(R328="Moist Open","50",IF(R328="Moist Shady","46",IF(R328="Sub-Alpine Slopes","40")))))))</f>
        <v>53</v>
      </c>
      <c r="V328" s="134" t="str">
        <f>IF(R328="Bogs Ponds Streams","84",IF(R328="Coastal Areas","76",IF(R328="Meadows Dry Open","96", IF(R328="Forest &amp; Understory","90", IF(R328="Moist Open","88", IF(R328="Moist Shady","82", IF(R328="Sub-Alpine Slopes","80")))))))</f>
        <v>96</v>
      </c>
      <c r="W328" s="67">
        <v>20</v>
      </c>
      <c r="X328" s="67">
        <v>0</v>
      </c>
      <c r="Y328" s="67">
        <v>3500</v>
      </c>
      <c r="Z328" s="67" t="s">
        <v>2519</v>
      </c>
      <c r="AA328" s="67" t="s">
        <v>2518</v>
      </c>
      <c r="AB328" s="67">
        <v>6.8</v>
      </c>
      <c r="AC328" s="85">
        <f>C328+AK328+(0.1)*AL328</f>
        <v>2.1</v>
      </c>
      <c r="AD328" s="78">
        <v>15</v>
      </c>
      <c r="AE328" s="68">
        <v>2</v>
      </c>
      <c r="AF328" s="68">
        <v>4</v>
      </c>
      <c r="AG328" s="78">
        <v>1882</v>
      </c>
      <c r="AH328" s="78">
        <v>0</v>
      </c>
      <c r="AI328" s="78">
        <v>2018</v>
      </c>
      <c r="AJ328" s="67">
        <v>2006</v>
      </c>
      <c r="AK328" s="67">
        <v>1</v>
      </c>
      <c r="AL328" s="67">
        <v>1</v>
      </c>
      <c r="AM328" s="70">
        <v>5</v>
      </c>
      <c r="AN328" s="70">
        <v>0</v>
      </c>
      <c r="AO328" s="86">
        <v>0</v>
      </c>
      <c r="AP328" s="70">
        <v>0</v>
      </c>
      <c r="AQ328" s="70">
        <v>0</v>
      </c>
      <c r="AR328" s="70">
        <v>0</v>
      </c>
      <c r="AS328" s="86">
        <v>0</v>
      </c>
      <c r="AT328" s="70">
        <v>0</v>
      </c>
      <c r="AU328" s="70">
        <v>0</v>
      </c>
      <c r="AV328" s="70">
        <v>0</v>
      </c>
      <c r="AW328" s="86">
        <v>0</v>
      </c>
      <c r="AX328" s="70">
        <v>0</v>
      </c>
      <c r="AY328" s="233"/>
      <c r="AZ328" s="11"/>
      <c r="BA328" s="35">
        <f ca="1">IF(OR(S328="North America",S328="Rocky Mountain"), "Widespread",BC328)</f>
        <v>2033.0009820558525</v>
      </c>
      <c r="BB328" s="11"/>
      <c r="BC328" s="35">
        <f ca="1">IF(BE328&gt;2046, "Abundant",BE328)</f>
        <v>2033.0009820558525</v>
      </c>
      <c r="BD328" s="11"/>
      <c r="BE328" s="81">
        <f ca="1">YEAR($C$13)+(BG328*80)</f>
        <v>2033.0009820558525</v>
      </c>
      <c r="BF328" s="11"/>
      <c r="BG328" s="137">
        <f ca="1">BH328*$BH$14</f>
        <v>0.17501227569815808</v>
      </c>
      <c r="BH328" s="137">
        <f ca="1">(((BJ328+BK328+BM328+BN328)/4)*$BM$11)+(((BP328+BQ328)/2)*$BQ$11)+(((BU328+BV328+BW328)/3)*$BU$11)+(((BY328+BZ328+CA328+CB328+CC328)/5)*$CA$11)</f>
        <v>0.17501227569815808</v>
      </c>
      <c r="BI328" s="11"/>
      <c r="BJ328" s="33">
        <f>AP328/(AM328+AO328)</f>
        <v>0</v>
      </c>
      <c r="BK328" s="33">
        <f>(AN328+AO328)/(AM328+AO328)</f>
        <v>0</v>
      </c>
      <c r="BL328" s="11"/>
      <c r="BM328" s="127">
        <f>CF328/102</f>
        <v>2.0588235294117647E-2</v>
      </c>
      <c r="BN328" s="127">
        <f>C328/2</f>
        <v>0.5</v>
      </c>
      <c r="BO328" s="11"/>
      <c r="BP328" s="127">
        <f>(AK328)/($AW$6)</f>
        <v>1.0101010101010102E-2</v>
      </c>
      <c r="BQ328" s="127">
        <f ca="1">(CH328-$AW$4)/((YEAR($C$13))-$AW$4)</f>
        <v>0.13333333333333333</v>
      </c>
      <c r="BR328" s="127">
        <f>(AL328)/($AW$6)</f>
        <v>1.0101010101010102E-2</v>
      </c>
      <c r="BS328" s="11"/>
      <c r="BT328" s="127"/>
      <c r="BU328" s="127">
        <f ca="1">(CG328-$AW$4)/((YEAR($C$13))-$AW$4)</f>
        <v>0.93333333333333335</v>
      </c>
      <c r="BV328" s="127">
        <f>AE328/5</f>
        <v>0.4</v>
      </c>
      <c r="BW328" s="127">
        <f>AF328/5</f>
        <v>0.8</v>
      </c>
      <c r="BX328" s="11"/>
      <c r="BY328" s="148" t="str">
        <f>IF(E328="A",".98",IF(E328="B",".99",IF(E328="C","1.00",IF(E328="D","1.00" ))))</f>
        <v>1.00</v>
      </c>
      <c r="BZ328" s="127">
        <f>(CE328+7)/10</f>
        <v>1</v>
      </c>
      <c r="CA328" s="76" t="str">
        <f>IF(D328="Fern",".97",IF(D328="Grass",".99",IF(D328="Herb",".97",IF(D328="Shrub",".99",IF(D328="Tree","1.00",IF(D328="Vine",".98"))))))</f>
        <v>.97</v>
      </c>
      <c r="CB328" s="149" t="str">
        <f>IF(R328="Bogs Ponds Streams",".96", IF(R328="Coastal Areas",".97",IF(R328="Meadows Dry Open",".96",IF(R328="Forest &amp; Understory",".97",IF(R328="Moist Open",".98",IF(R328="Moist Shady",".96",IF(R328="Sub-Alpine","1.0")))))))</f>
        <v>.96</v>
      </c>
      <c r="CC328" s="76" t="str">
        <f>IF(S328="Local Endemic",".50",IF(S328="Regional Endemic",".70",IF(S328="Cascadia",".90",IF(S328="Rocky Mountain",".95",IF(S328="North America",".99")))))</f>
        <v>.70</v>
      </c>
      <c r="CD328" s="11"/>
      <c r="CE328" s="21">
        <f>IF(W328&gt;3,3,W328)</f>
        <v>3</v>
      </c>
      <c r="CF328" s="21">
        <f>IF(AC328&gt;102,102,AC328)</f>
        <v>2.1</v>
      </c>
      <c r="CG328" s="34">
        <f>IF(AI328&lt;$AW$4,$AW$4,AI328)</f>
        <v>2018</v>
      </c>
      <c r="CH328" s="34">
        <f>IF(AJ328&lt;$AW$4,$AW$4,AJ328)</f>
        <v>2006</v>
      </c>
      <c r="CI328" s="11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11"/>
      <c r="DC328" s="11"/>
      <c r="DD328" s="11"/>
      <c r="DE328" s="11"/>
      <c r="DF328" s="11"/>
      <c r="DG328" s="11"/>
      <c r="DH328" s="11"/>
      <c r="DI328" s="11"/>
      <c r="DJ328" s="11"/>
      <c r="DK328" s="12"/>
    </row>
    <row r="329" spans="1:116" s="13" customFormat="1" ht="15" customHeight="1" x14ac:dyDescent="0.3">
      <c r="A329" s="235"/>
      <c r="B329" s="218"/>
      <c r="C329" s="225">
        <v>8</v>
      </c>
      <c r="D329" s="59" t="s">
        <v>2505</v>
      </c>
      <c r="E329" s="59" t="s">
        <v>2503</v>
      </c>
      <c r="F329" s="397" t="str">
        <f ca="1">IF(BC329&lt;2025, "Extinct&lt; 6Yrs?",BA329)</f>
        <v>Widespread</v>
      </c>
      <c r="G329" s="363" t="s">
        <v>525</v>
      </c>
      <c r="H329" s="363" t="s">
        <v>685</v>
      </c>
      <c r="I329" s="364" t="s">
        <v>3065</v>
      </c>
      <c r="J329" s="365" t="s">
        <v>3316</v>
      </c>
      <c r="K329" s="365" t="s">
        <v>960</v>
      </c>
      <c r="L329" s="10" t="s">
        <v>1425</v>
      </c>
      <c r="M329" s="8" t="s">
        <v>4408</v>
      </c>
      <c r="N329" s="8" t="s">
        <v>5302</v>
      </c>
      <c r="O329" s="8" t="s">
        <v>6199</v>
      </c>
      <c r="P329" s="9" t="s">
        <v>144</v>
      </c>
      <c r="Q329" s="59" t="s">
        <v>2552</v>
      </c>
      <c r="R329" s="9" t="s">
        <v>2497</v>
      </c>
      <c r="S329" s="17" t="s">
        <v>2479</v>
      </c>
      <c r="T329" s="123" t="str">
        <f>IF(R329="Bogs Ponds Streams","20",IF(R329="Coastal Areas","26",IF(R329="Meadows Dry Open","10",IF(R329="Forest &amp; Understory","14",IF(R329="Moist Open","12",IF(R329="Moist Shady","10",IF(R329="Sub-Alpine Slopes","0")))))))</f>
        <v>12</v>
      </c>
      <c r="U329" s="123" t="str">
        <f>IF(R329="Bogs Ponds Streams","52",IF(R329="Coastal Areas","51",IF(R329="Meadows Dry Open","53",IF(R329="Forest &amp; Understory","52",IF(R329="Moist Open","50",IF(R329="Moist Shady","46",IF(R329="Sub-Alpine Slopes","40")))))))</f>
        <v>50</v>
      </c>
      <c r="V329" s="123" t="str">
        <f>IF(R329="Bogs Ponds Streams","84",IF(R329="Coastal Areas","76",IF(R329="Meadows Dry Open","96", IF(R329="Forest &amp; Understory","90", IF(R329="Moist Open","88", IF(R329="Moist Shady","82", IF(R329="Sub-Alpine Slopes","80")))))))</f>
        <v>88</v>
      </c>
      <c r="W329" s="59">
        <v>2</v>
      </c>
      <c r="X329" s="59">
        <v>0</v>
      </c>
      <c r="Y329" s="59">
        <v>3500</v>
      </c>
      <c r="Z329" s="59" t="s">
        <v>2519</v>
      </c>
      <c r="AA329" s="59" t="s">
        <v>2518</v>
      </c>
      <c r="AB329" s="59">
        <v>6.8</v>
      </c>
      <c r="AC329" s="45">
        <f>C329+AK329+(0.1)*AL329</f>
        <v>35.5</v>
      </c>
      <c r="AD329" s="77">
        <v>181</v>
      </c>
      <c r="AE329" s="59">
        <v>5</v>
      </c>
      <c r="AF329" s="59">
        <v>5</v>
      </c>
      <c r="AG329" s="59">
        <v>1900</v>
      </c>
      <c r="AH329" s="77">
        <v>0</v>
      </c>
      <c r="AI329" s="59">
        <f ca="1">AJ329</f>
        <v>2019</v>
      </c>
      <c r="AJ329" s="18">
        <f ca="1">YEAR(TODAY())</f>
        <v>2019</v>
      </c>
      <c r="AK329" s="18">
        <v>22</v>
      </c>
      <c r="AL329" s="18">
        <v>55</v>
      </c>
      <c r="AM329" s="18">
        <v>1</v>
      </c>
      <c r="AN329" s="18">
        <v>1</v>
      </c>
      <c r="AO329" s="18">
        <v>5</v>
      </c>
      <c r="AP329" s="18">
        <v>1</v>
      </c>
      <c r="AQ329" s="18">
        <v>0</v>
      </c>
      <c r="AR329" s="18">
        <v>0</v>
      </c>
      <c r="AS329" s="18">
        <v>0</v>
      </c>
      <c r="AT329" s="18">
        <v>0</v>
      </c>
      <c r="AU329" s="18">
        <v>0</v>
      </c>
      <c r="AV329" s="18">
        <v>0</v>
      </c>
      <c r="AW329" s="18">
        <v>0</v>
      </c>
      <c r="AX329" s="18">
        <v>0</v>
      </c>
      <c r="AY329" s="233"/>
      <c r="AZ329" s="4"/>
      <c r="BA329" s="35" t="str">
        <f>IF(OR(S329="North America",S329="Rocky Mountain"), "Widespread",BC329)</f>
        <v>Widespread</v>
      </c>
      <c r="BB329" s="4"/>
      <c r="BC329" s="35" t="str">
        <f ca="1">IF(BE329&gt;2046, "Abundant",BE329)</f>
        <v>Abundant</v>
      </c>
      <c r="BD329" s="4"/>
      <c r="BE329" s="81">
        <f ca="1">YEAR($C$13)+(BG329*80)</f>
        <v>2107.7759372549021</v>
      </c>
      <c r="BF329" s="4"/>
      <c r="BG329" s="137">
        <f ca="1">BH329*$BH$14</f>
        <v>1.1096992156862746</v>
      </c>
      <c r="BH329" s="137">
        <f ca="1">(((BJ329+BK329+BM329+BN329)/4)*$BM$11)+(((BP329+BQ329)/2)*$BQ$11)+(((BU329+BV329+BW329)/3)*$BU$11)+(((BY329+BZ329+CA329+CB329+CC329)/5)*$CA$11)</f>
        <v>1.1096992156862746</v>
      </c>
      <c r="BI329" s="4"/>
      <c r="BJ329" s="33">
        <f>AP329/(AM329+AO329)</f>
        <v>0.16666666666666666</v>
      </c>
      <c r="BK329" s="33">
        <f>(AN329+AO329)/(AM329+AO329)</f>
        <v>1</v>
      </c>
      <c r="BL329" s="4"/>
      <c r="BM329" s="127">
        <f>CF329/102</f>
        <v>0.34803921568627449</v>
      </c>
      <c r="BN329" s="127">
        <f>C329/2</f>
        <v>4</v>
      </c>
      <c r="BO329" s="4"/>
      <c r="BP329" s="127">
        <f>(AK329)/($AW$6)</f>
        <v>0.22222222222222221</v>
      </c>
      <c r="BQ329" s="127">
        <f ca="1">(CH329-$AW$4)/((YEAR($C$13))-$AW$4)</f>
        <v>1</v>
      </c>
      <c r="BR329" s="127">
        <f>(AL329)/($AW$6)</f>
        <v>0.55555555555555558</v>
      </c>
      <c r="BS329" s="4"/>
      <c r="BT329" s="127"/>
      <c r="BU329" s="127">
        <f ca="1">(CG329-$AW$4)/((YEAR($C$13))-$AW$4)</f>
        <v>1</v>
      </c>
      <c r="BV329" s="127">
        <f>AE329/5</f>
        <v>1</v>
      </c>
      <c r="BW329" s="127">
        <f>AF329/5</f>
        <v>1</v>
      </c>
      <c r="BX329" s="4"/>
      <c r="BY329" s="148" t="str">
        <f>IF(E329="A",".98",IF(E329="B",".99",IF(E329="C","1.00",IF(E329="D","1.00" ))))</f>
        <v>.99</v>
      </c>
      <c r="BZ329" s="127">
        <f>(CE329+7)/10</f>
        <v>0.9</v>
      </c>
      <c r="CA329" s="76" t="str">
        <f>IF(D329="Fern",".97",IF(D329="Grass",".99",IF(D329="Herb",".97",IF(D329="Shrub",".99",IF(D329="Tree","1.00",IF(D329="Vine",".98"))))))</f>
        <v>.97</v>
      </c>
      <c r="CB329" s="149" t="str">
        <f>IF(R329="Bogs Ponds Streams",".96", IF(R329="Coastal Areas",".97",IF(R329="Meadows Dry Open",".96",IF(R329="Forest &amp; Understory",".97",IF(R329="Moist Open",".98",IF(R329="Moist Shady",".96",IF(R329="Sub-Alpine","1.0")))))))</f>
        <v>.98</v>
      </c>
      <c r="CC329" s="76" t="str">
        <f>IF(S329="Local Endemic",".50",IF(S329="Regional Endemic",".70",IF(S329="Cascadia",".90",IF(S329="Rocky Mountain",".95",IF(S329="North America",".99")))))</f>
        <v>.95</v>
      </c>
      <c r="CD329" s="4"/>
      <c r="CE329" s="21">
        <f>IF(W329&gt;3,3,W329)</f>
        <v>2</v>
      </c>
      <c r="CF329" s="21">
        <f>IF(AC329&gt;102,102,AC329)</f>
        <v>35.5</v>
      </c>
      <c r="CG329" s="34">
        <f ca="1">IF(AI329&lt;$AW$4,$AW$4,AI329)</f>
        <v>2019</v>
      </c>
      <c r="CH329" s="34">
        <f ca="1">IF(AJ329&lt;$AW$4,$AW$4,AJ329)</f>
        <v>2019</v>
      </c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</row>
    <row r="330" spans="1:116" s="13" customFormat="1" ht="15" customHeight="1" x14ac:dyDescent="0.3">
      <c r="A330" s="235"/>
      <c r="B330" s="218"/>
      <c r="C330" s="226">
        <v>2</v>
      </c>
      <c r="D330" s="104" t="s">
        <v>2505</v>
      </c>
      <c r="E330" s="104" t="s">
        <v>2502</v>
      </c>
      <c r="F330" s="400" t="str">
        <f ca="1">IF(BC330&lt;2025, "Extinct&lt; 6Yrs?",BA330)</f>
        <v>Abundant</v>
      </c>
      <c r="G330" s="369" t="s">
        <v>525</v>
      </c>
      <c r="H330" s="369" t="s">
        <v>4028</v>
      </c>
      <c r="I330" s="372" t="s">
        <v>2636</v>
      </c>
      <c r="J330" s="371" t="s">
        <v>3781</v>
      </c>
      <c r="K330" s="371" t="s">
        <v>961</v>
      </c>
      <c r="L330" s="106" t="s">
        <v>1426</v>
      </c>
      <c r="M330" s="111" t="s">
        <v>4409</v>
      </c>
      <c r="N330" s="111" t="s">
        <v>5303</v>
      </c>
      <c r="O330" s="111" t="s">
        <v>6200</v>
      </c>
      <c r="P330" s="105" t="s">
        <v>1318</v>
      </c>
      <c r="Q330" s="104" t="s">
        <v>2552</v>
      </c>
      <c r="R330" s="161" t="s">
        <v>2497</v>
      </c>
      <c r="S330" s="114" t="s">
        <v>2459</v>
      </c>
      <c r="T330" s="133" t="str">
        <f>IF(R330="Bogs Ponds Streams","20",IF(R330="Coastal Areas","26",IF(R330="Meadows Dry Open","10",IF(R330="Forest &amp; Understory","14",IF(R330="Moist Open","12",IF(R330="Moist Shady","10",IF(R330="Sub-Alpine Slopes","0")))))))</f>
        <v>12</v>
      </c>
      <c r="U330" s="133" t="str">
        <f>IF(R330="Bogs Ponds Streams","52",IF(R330="Coastal Areas","51",IF(R330="Meadows Dry Open","53",IF(R330="Forest &amp; Understory","52",IF(R330="Moist Open","50",IF(R330="Moist Shady","46",IF(R330="Sub-Alpine Slopes","40")))))))</f>
        <v>50</v>
      </c>
      <c r="V330" s="133" t="str">
        <f>IF(R330="Bogs Ponds Streams","84",IF(R330="Coastal Areas","76",IF(R330="Meadows Dry Open","96", IF(R330="Forest &amp; Understory","90", IF(R330="Moist Open","88", IF(R330="Moist Shady","82", IF(R330="Sub-Alpine Slopes","80")))))))</f>
        <v>88</v>
      </c>
      <c r="W330" s="104">
        <v>1</v>
      </c>
      <c r="X330" s="104">
        <v>0</v>
      </c>
      <c r="Y330" s="104">
        <v>3500</v>
      </c>
      <c r="Z330" s="104" t="s">
        <v>2519</v>
      </c>
      <c r="AA330" s="104" t="s">
        <v>2518</v>
      </c>
      <c r="AB330" s="104">
        <v>6.8</v>
      </c>
      <c r="AC330" s="107">
        <f>C330+AK330+(0.1)*AL330</f>
        <v>35.200000000000003</v>
      </c>
      <c r="AD330" s="113">
        <v>58</v>
      </c>
      <c r="AE330" s="104">
        <v>5</v>
      </c>
      <c r="AF330" s="104">
        <v>5</v>
      </c>
      <c r="AG330" s="104">
        <v>1900</v>
      </c>
      <c r="AH330" s="113">
        <v>0</v>
      </c>
      <c r="AI330" s="104">
        <f>AJ330</f>
        <v>2004</v>
      </c>
      <c r="AJ330" s="108">
        <v>2004</v>
      </c>
      <c r="AK330" s="108">
        <v>33</v>
      </c>
      <c r="AL330" s="108">
        <v>2</v>
      </c>
      <c r="AM330" s="109">
        <v>5</v>
      </c>
      <c r="AN330" s="109">
        <v>1</v>
      </c>
      <c r="AO330" s="110">
        <v>0</v>
      </c>
      <c r="AP330" s="109">
        <v>0</v>
      </c>
      <c r="AQ330" s="109">
        <v>0</v>
      </c>
      <c r="AR330" s="109">
        <v>0</v>
      </c>
      <c r="AS330" s="110">
        <v>0</v>
      </c>
      <c r="AT330" s="109">
        <v>0</v>
      </c>
      <c r="AU330" s="109">
        <v>0</v>
      </c>
      <c r="AV330" s="109">
        <v>0</v>
      </c>
      <c r="AW330" s="110">
        <v>0</v>
      </c>
      <c r="AX330" s="109">
        <v>0</v>
      </c>
      <c r="AY330" s="233"/>
      <c r="AZ330" s="4"/>
      <c r="BA330" s="35" t="str">
        <f ca="1">IF(OR(S330="North America",S330="Rocky Mountain"), "Widespread",BC330)</f>
        <v>Abundant</v>
      </c>
      <c r="BB330" s="4"/>
      <c r="BC330" s="35" t="str">
        <f ca="1">IF(BE330&gt;2046, "Abundant",BE330)</f>
        <v>Abundant</v>
      </c>
      <c r="BD330" s="4"/>
      <c r="BE330" s="81">
        <f ca="1">YEAR($C$13)+(BG330*80)</f>
        <v>2047.2894431372549</v>
      </c>
      <c r="BF330" s="4"/>
      <c r="BG330" s="137">
        <f ca="1">BH330*$BH$14</f>
        <v>0.35361803921568624</v>
      </c>
      <c r="BH330" s="137">
        <f ca="1">(((BJ330+BK330+BM330+BN330)/4)*$BM$11)+(((BP330+BQ330)/2)*$BQ$11)+(((BU330+BV330+BW330)/3)*$BU$11)+(((BY330+BZ330+CA330+CB330+CC330)/5)*$CA$11)</f>
        <v>0.35361803921568624</v>
      </c>
      <c r="BI330" s="4"/>
      <c r="BJ330" s="33">
        <f>AP330/(AM330+AO330)</f>
        <v>0</v>
      </c>
      <c r="BK330" s="33">
        <f>(AN330+AO330)/(AM330+AO330)</f>
        <v>0.2</v>
      </c>
      <c r="BL330" s="4"/>
      <c r="BM330" s="127">
        <f>CF330/102</f>
        <v>0.34509803921568633</v>
      </c>
      <c r="BN330" s="127">
        <f>C330/2</f>
        <v>1</v>
      </c>
      <c r="BO330" s="4"/>
      <c r="BP330" s="127">
        <f>(AK330)/($AW$6)</f>
        <v>0.33333333333333331</v>
      </c>
      <c r="BQ330" s="127">
        <f ca="1">(CH330-$AW$4)/((YEAR($C$13))-$AW$4)</f>
        <v>0</v>
      </c>
      <c r="BR330" s="127">
        <f>(AL330)/($AW$6)</f>
        <v>2.0202020202020204E-2</v>
      </c>
      <c r="BS330" s="4"/>
      <c r="BT330" s="127"/>
      <c r="BU330" s="127">
        <f ca="1">(CG330-$AW$4)/((YEAR($C$13))-$AW$4)</f>
        <v>0</v>
      </c>
      <c r="BV330" s="127">
        <f>AE330/5</f>
        <v>1</v>
      </c>
      <c r="BW330" s="127">
        <f>AF330/5</f>
        <v>1</v>
      </c>
      <c r="BX330" s="4"/>
      <c r="BY330" s="148" t="str">
        <f>IF(E330="A",".98",IF(E330="B",".99",IF(E330="C","1.00",IF(E330="D","1.00" ))))</f>
        <v>.98</v>
      </c>
      <c r="BZ330" s="127">
        <f>(CE330+7)/10</f>
        <v>0.8</v>
      </c>
      <c r="CA330" s="76" t="str">
        <f>IF(D330="Fern",".97",IF(D330="Grass",".99",IF(D330="Herb",".97",IF(D330="Shrub",".99",IF(D330="Tree","1.00",IF(D330="Vine",".98"))))))</f>
        <v>.97</v>
      </c>
      <c r="CB330" s="149" t="str">
        <f>IF(R330="Bogs Ponds Streams",".96", IF(R330="Coastal Areas",".97",IF(R330="Meadows Dry Open",".96",IF(R330="Forest &amp; Understory",".97",IF(R330="Moist Open",".98",IF(R330="Moist Shady",".96",IF(R330="Sub-Alpine","1.0")))))))</f>
        <v>.98</v>
      </c>
      <c r="CC330" s="76" t="str">
        <f>IF(S330="Local Endemic",".50",IF(S330="Regional Endemic",".70",IF(S330="Cascadia",".90",IF(S330="Rocky Mountain",".95",IF(S330="North America",".99")))))</f>
        <v>.90</v>
      </c>
      <c r="CD330" s="4"/>
      <c r="CE330" s="21">
        <f>IF(W330&gt;3,3,W330)</f>
        <v>1</v>
      </c>
      <c r="CF330" s="21">
        <f>IF(AC330&gt;102,102,AC330)</f>
        <v>35.200000000000003</v>
      </c>
      <c r="CG330" s="34">
        <f>IF(AI330&lt;$AW$4,$AW$4,AI330)</f>
        <v>2004</v>
      </c>
      <c r="CH330" s="34">
        <f>IF(AJ330&lt;$AW$4,$AW$4,AJ330)</f>
        <v>2004</v>
      </c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12"/>
    </row>
    <row r="331" spans="1:116" s="13" customFormat="1" ht="15" customHeight="1" x14ac:dyDescent="0.3">
      <c r="A331" s="235"/>
      <c r="B331" s="218"/>
      <c r="C331" s="225">
        <v>8</v>
      </c>
      <c r="D331" s="59" t="s">
        <v>2505</v>
      </c>
      <c r="E331" s="59" t="s">
        <v>2501</v>
      </c>
      <c r="F331" s="397" t="str">
        <f ca="1">IF(BC331&lt;2025, "Extinct&lt; 6Yrs?",BA331)</f>
        <v>Abundant</v>
      </c>
      <c r="G331" s="363" t="s">
        <v>525</v>
      </c>
      <c r="H331" s="363" t="s">
        <v>677</v>
      </c>
      <c r="I331" s="364" t="s">
        <v>1332</v>
      </c>
      <c r="J331" s="365" t="s">
        <v>3315</v>
      </c>
      <c r="K331" s="365" t="s">
        <v>1331</v>
      </c>
      <c r="L331" s="10" t="s">
        <v>2174</v>
      </c>
      <c r="M331" s="8" t="s">
        <v>4410</v>
      </c>
      <c r="N331" s="8" t="s">
        <v>5304</v>
      </c>
      <c r="O331" s="8" t="s">
        <v>6201</v>
      </c>
      <c r="P331" s="9" t="s">
        <v>1318</v>
      </c>
      <c r="Q331" s="59" t="s">
        <v>2552</v>
      </c>
      <c r="R331" s="160" t="s">
        <v>2497</v>
      </c>
      <c r="S331" s="17" t="s">
        <v>2459</v>
      </c>
      <c r="T331" s="123" t="str">
        <f>IF(R331="Bogs Ponds Streams","20",IF(R331="Coastal Areas","26",IF(R331="Meadows Dry Open","10",IF(R331="Forest &amp; Understory","14",IF(R331="Moist Open","12",IF(R331="Moist Shady","10",IF(R331="Sub-Alpine Slopes","0")))))))</f>
        <v>12</v>
      </c>
      <c r="U331" s="123" t="str">
        <f>IF(R331="Bogs Ponds Streams","52",IF(R331="Coastal Areas","51",IF(R331="Meadows Dry Open","53",IF(R331="Forest &amp; Understory","52",IF(R331="Moist Open","50",IF(R331="Moist Shady","46",IF(R331="Sub-Alpine Slopes","40")))))))</f>
        <v>50</v>
      </c>
      <c r="V331" s="123" t="str">
        <f>IF(R331="Bogs Ponds Streams","84",IF(R331="Coastal Areas","76",IF(R331="Meadows Dry Open","96", IF(R331="Forest &amp; Understory","90", IF(R331="Moist Open","88", IF(R331="Moist Shady","82", IF(R331="Sub-Alpine Slopes","80")))))))</f>
        <v>88</v>
      </c>
      <c r="W331" s="59">
        <v>20</v>
      </c>
      <c r="X331" s="59">
        <v>0</v>
      </c>
      <c r="Y331" s="59">
        <v>3500</v>
      </c>
      <c r="Z331" s="59" t="s">
        <v>2519</v>
      </c>
      <c r="AA331" s="59" t="s">
        <v>2518</v>
      </c>
      <c r="AB331" s="59">
        <v>6.8</v>
      </c>
      <c r="AC331" s="45">
        <f>C331+AK331+(0.1)*AL331</f>
        <v>10.3</v>
      </c>
      <c r="AD331" s="77">
        <v>15</v>
      </c>
      <c r="AE331" s="59">
        <v>5</v>
      </c>
      <c r="AF331" s="59">
        <v>5</v>
      </c>
      <c r="AG331" s="59">
        <v>1900</v>
      </c>
      <c r="AH331" s="77">
        <v>0</v>
      </c>
      <c r="AI331" s="59">
        <f>AJ331</f>
        <v>2004</v>
      </c>
      <c r="AJ331" s="18">
        <v>2004</v>
      </c>
      <c r="AK331" s="18">
        <v>2</v>
      </c>
      <c r="AL331" s="18">
        <v>3</v>
      </c>
      <c r="AM331" s="24">
        <v>5</v>
      </c>
      <c r="AN331" s="24">
        <v>0</v>
      </c>
      <c r="AO331" s="25">
        <v>0</v>
      </c>
      <c r="AP331" s="24">
        <v>0</v>
      </c>
      <c r="AQ331" s="24">
        <v>0</v>
      </c>
      <c r="AR331" s="24">
        <v>0</v>
      </c>
      <c r="AS331" s="25">
        <v>0</v>
      </c>
      <c r="AT331" s="24">
        <v>0</v>
      </c>
      <c r="AU331" s="24">
        <v>0</v>
      </c>
      <c r="AV331" s="24">
        <v>0</v>
      </c>
      <c r="AW331" s="25">
        <v>0</v>
      </c>
      <c r="AX331" s="24">
        <v>0</v>
      </c>
      <c r="AY331" s="233"/>
      <c r="AZ331" s="4"/>
      <c r="BA331" s="35" t="str">
        <f ca="1">IF(OR(S331="North America",S331="Rocky Mountain"), "Widespread",BC331)</f>
        <v>Abundant</v>
      </c>
      <c r="BB331" s="4"/>
      <c r="BC331" s="35" t="str">
        <f ca="1">IF(BE331&gt;2046, "Abundant",BE331)</f>
        <v>Abundant</v>
      </c>
      <c r="BD331" s="4"/>
      <c r="BE331" s="81">
        <f ca="1">YEAR($C$13)+(BG331*80)</f>
        <v>2074.2728556149732</v>
      </c>
      <c r="BF331" s="4"/>
      <c r="BG331" s="137">
        <f ca="1">BH331*$BH$14</f>
        <v>0.69091069518716575</v>
      </c>
      <c r="BH331" s="137">
        <f ca="1">(((BJ331+BK331+BM331+BN331)/4)*$BM$11)+(((BP331+BQ331)/2)*$BQ$11)+(((BU331+BV331+BW331)/3)*$BU$11)+(((BY331+BZ331+CA331+CB331+CC331)/5)*$CA$11)</f>
        <v>0.69091069518716575</v>
      </c>
      <c r="BI331" s="4"/>
      <c r="BJ331" s="33">
        <f>AP331/(AM331+AO331)</f>
        <v>0</v>
      </c>
      <c r="BK331" s="33">
        <f>(AN331+AO331)/(AM331+AO331)</f>
        <v>0</v>
      </c>
      <c r="BL331" s="4"/>
      <c r="BM331" s="127">
        <f>CF331/102</f>
        <v>0.10098039215686275</v>
      </c>
      <c r="BN331" s="127">
        <f>C331/2</f>
        <v>4</v>
      </c>
      <c r="BO331" s="4"/>
      <c r="BP331" s="127">
        <f>(AK331)/($AW$6)</f>
        <v>2.0202020202020204E-2</v>
      </c>
      <c r="BQ331" s="127">
        <f ca="1">(CH331-$AW$4)/((YEAR($C$13))-$AW$4)</f>
        <v>0</v>
      </c>
      <c r="BR331" s="127">
        <f>(AL331)/($AW$6)</f>
        <v>3.0303030303030304E-2</v>
      </c>
      <c r="BS331" s="4"/>
      <c r="BT331" s="127"/>
      <c r="BU331" s="127">
        <f ca="1">(CG331-$AW$4)/((YEAR($C$13))-$AW$4)</f>
        <v>0</v>
      </c>
      <c r="BV331" s="127">
        <f>AE331/5</f>
        <v>1</v>
      </c>
      <c r="BW331" s="127">
        <f>AF331/5</f>
        <v>1</v>
      </c>
      <c r="BX331" s="4"/>
      <c r="BY331" s="148" t="str">
        <f>IF(E331="A",".98",IF(E331="B",".99",IF(E331="C","1.00",IF(E331="D","1.00" ))))</f>
        <v>1.00</v>
      </c>
      <c r="BZ331" s="127">
        <f>(CE331+7)/10</f>
        <v>1</v>
      </c>
      <c r="CA331" s="76" t="str">
        <f>IF(D331="Fern",".97",IF(D331="Grass",".99",IF(D331="Herb",".97",IF(D331="Shrub",".99",IF(D331="Tree","1.00",IF(D331="Vine",".98"))))))</f>
        <v>.97</v>
      </c>
      <c r="CB331" s="149" t="str">
        <f>IF(R331="Bogs Ponds Streams",".96", IF(R331="Coastal Areas",".97",IF(R331="Meadows Dry Open",".96",IF(R331="Forest &amp; Understory",".97",IF(R331="Moist Open",".98",IF(R331="Moist Shady",".96",IF(R331="Sub-Alpine","1.0")))))))</f>
        <v>.98</v>
      </c>
      <c r="CC331" s="76" t="str">
        <f>IF(S331="Local Endemic",".50",IF(S331="Regional Endemic",".70",IF(S331="Cascadia",".90",IF(S331="Rocky Mountain",".95",IF(S331="North America",".99")))))</f>
        <v>.90</v>
      </c>
      <c r="CD331" s="4"/>
      <c r="CE331" s="21">
        <f>IF(W331&gt;3,3,W331)</f>
        <v>3</v>
      </c>
      <c r="CF331" s="21">
        <f>IF(AC331&gt;102,102,AC331)</f>
        <v>10.3</v>
      </c>
      <c r="CG331" s="34">
        <f>IF(AI331&lt;$AW$4,$AW$4,AI331)</f>
        <v>2004</v>
      </c>
      <c r="CH331" s="34">
        <f>IF(AJ331&lt;$AW$4,$AW$4,AJ331)</f>
        <v>2004</v>
      </c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</row>
    <row r="332" spans="1:116" s="13" customFormat="1" ht="15" customHeight="1" x14ac:dyDescent="0.3">
      <c r="A332" s="235"/>
      <c r="B332" s="218"/>
      <c r="C332" s="375">
        <v>1</v>
      </c>
      <c r="D332" s="67" t="s">
        <v>2505</v>
      </c>
      <c r="E332" s="67" t="s">
        <v>2501</v>
      </c>
      <c r="F332" s="403">
        <f ca="1">IF(BC332&lt;2025, "Extinct&lt; 6Yrs?",BA332)</f>
        <v>2033.0860463458112</v>
      </c>
      <c r="G332" s="376" t="s">
        <v>525</v>
      </c>
      <c r="H332" s="376" t="s">
        <v>4028</v>
      </c>
      <c r="I332" s="379" t="s">
        <v>2637</v>
      </c>
      <c r="J332" s="378" t="s">
        <v>3616</v>
      </c>
      <c r="K332" s="378" t="s">
        <v>1269</v>
      </c>
      <c r="L332" s="63" t="s">
        <v>1427</v>
      </c>
      <c r="M332" s="64" t="s">
        <v>4411</v>
      </c>
      <c r="N332" s="64" t="s">
        <v>5305</v>
      </c>
      <c r="O332" s="64" t="s">
        <v>6202</v>
      </c>
      <c r="P332" s="61" t="s">
        <v>1318</v>
      </c>
      <c r="Q332" s="67" t="s">
        <v>2552</v>
      </c>
      <c r="R332" s="163" t="s">
        <v>2497</v>
      </c>
      <c r="S332" s="63" t="s">
        <v>2459</v>
      </c>
      <c r="T332" s="134" t="str">
        <f>IF(R332="Bogs Ponds Streams","20",IF(R332="Coastal Areas","26",IF(R332="Meadows Dry Open","10",IF(R332="Forest &amp; Understory","14",IF(R332="Moist Open","12",IF(R332="Moist Shady","10",IF(R332="Sub-Alpine Slopes","0")))))))</f>
        <v>12</v>
      </c>
      <c r="U332" s="134" t="str">
        <f>IF(R332="Bogs Ponds Streams","52",IF(R332="Coastal Areas","51",IF(R332="Meadows Dry Open","53",IF(R332="Forest &amp; Understory","52",IF(R332="Moist Open","50",IF(R332="Moist Shady","46",IF(R332="Sub-Alpine Slopes","40")))))))</f>
        <v>50</v>
      </c>
      <c r="V332" s="134" t="str">
        <f>IF(R332="Bogs Ponds Streams","84",IF(R332="Coastal Areas","76",IF(R332="Meadows Dry Open","96", IF(R332="Forest &amp; Understory","90", IF(R332="Moist Open","88", IF(R332="Moist Shady","82", IF(R332="Sub-Alpine Slopes","80")))))))</f>
        <v>88</v>
      </c>
      <c r="W332" s="67">
        <v>20</v>
      </c>
      <c r="X332" s="67">
        <v>0</v>
      </c>
      <c r="Y332" s="67">
        <v>3500</v>
      </c>
      <c r="Z332" s="67" t="s">
        <v>2519</v>
      </c>
      <c r="AA332" s="67" t="s">
        <v>2518</v>
      </c>
      <c r="AB332" s="67">
        <v>6.8</v>
      </c>
      <c r="AC332" s="85">
        <f>C332+AK332+(0.1)*AL332</f>
        <v>10</v>
      </c>
      <c r="AD332" s="78">
        <v>35</v>
      </c>
      <c r="AE332" s="67">
        <v>5</v>
      </c>
      <c r="AF332" s="67">
        <v>5</v>
      </c>
      <c r="AG332" s="67">
        <v>1900</v>
      </c>
      <c r="AH332" s="78">
        <v>0</v>
      </c>
      <c r="AI332" s="67">
        <f>AJ332</f>
        <v>2004</v>
      </c>
      <c r="AJ332" s="69">
        <v>2004</v>
      </c>
      <c r="AK332" s="69">
        <v>9</v>
      </c>
      <c r="AL332" s="69">
        <v>0</v>
      </c>
      <c r="AM332" s="70">
        <v>5</v>
      </c>
      <c r="AN332" s="70">
        <v>0</v>
      </c>
      <c r="AO332" s="86">
        <v>0</v>
      </c>
      <c r="AP332" s="70">
        <v>0</v>
      </c>
      <c r="AQ332" s="70">
        <v>0</v>
      </c>
      <c r="AR332" s="70">
        <v>0</v>
      </c>
      <c r="AS332" s="86">
        <v>0</v>
      </c>
      <c r="AT332" s="70">
        <v>0</v>
      </c>
      <c r="AU332" s="70">
        <v>0</v>
      </c>
      <c r="AV332" s="70">
        <v>0</v>
      </c>
      <c r="AW332" s="86">
        <v>0</v>
      </c>
      <c r="AX332" s="70">
        <v>0</v>
      </c>
      <c r="AY332" s="233"/>
      <c r="AZ332" s="4"/>
      <c r="BA332" s="35">
        <f ca="1">IF(OR(S332="North America",S332="Rocky Mountain"), "Widespread",BC332)</f>
        <v>2033.0860463458112</v>
      </c>
      <c r="BB332" s="4"/>
      <c r="BC332" s="35">
        <f ca="1">IF(BE332&gt;2046, "Abundant",BE332)</f>
        <v>2033.0860463458112</v>
      </c>
      <c r="BD332" s="4"/>
      <c r="BE332" s="81">
        <f ca="1">YEAR($C$13)+(BG332*80)</f>
        <v>2033.0860463458112</v>
      </c>
      <c r="BF332" s="4"/>
      <c r="BG332" s="137">
        <f ca="1">BH332*$BH$14</f>
        <v>0.17607557932263815</v>
      </c>
      <c r="BH332" s="137">
        <f ca="1">(((BJ332+BK332+BM332+BN332)/4)*$BM$11)+(((BP332+BQ332)/2)*$BQ$11)+(((BU332+BV332+BW332)/3)*$BU$11)+(((BY332+BZ332+CA332+CB332+CC332)/5)*$CA$11)</f>
        <v>0.17607557932263815</v>
      </c>
      <c r="BI332" s="4"/>
      <c r="BJ332" s="33">
        <f>AP332/(AM332+AO332)</f>
        <v>0</v>
      </c>
      <c r="BK332" s="33">
        <f>(AN332+AO332)/(AM332+AO332)</f>
        <v>0</v>
      </c>
      <c r="BL332" s="4"/>
      <c r="BM332" s="127">
        <f>CF332/102</f>
        <v>9.8039215686274508E-2</v>
      </c>
      <c r="BN332" s="127">
        <f>C332/2</f>
        <v>0.5</v>
      </c>
      <c r="BO332" s="4"/>
      <c r="BP332" s="127">
        <f>(AK332)/($AW$6)</f>
        <v>9.0909090909090912E-2</v>
      </c>
      <c r="BQ332" s="127">
        <f ca="1">(CH332-$AW$4)/((YEAR($C$13))-$AW$4)</f>
        <v>0</v>
      </c>
      <c r="BR332" s="127">
        <f>(AL332)/($AW$6)</f>
        <v>0</v>
      </c>
      <c r="BS332" s="4"/>
      <c r="BT332" s="127"/>
      <c r="BU332" s="127">
        <f ca="1">(CG332-$AW$4)/((YEAR($C$13))-$AW$4)</f>
        <v>0</v>
      </c>
      <c r="BV332" s="127">
        <f>AE332/5</f>
        <v>1</v>
      </c>
      <c r="BW332" s="127">
        <f>AF332/5</f>
        <v>1</v>
      </c>
      <c r="BX332" s="4"/>
      <c r="BY332" s="148" t="str">
        <f>IF(E332="A",".98",IF(E332="B",".99",IF(E332="C","1.00",IF(E332="D","1.00" ))))</f>
        <v>1.00</v>
      </c>
      <c r="BZ332" s="127">
        <f>(CE332+7)/10</f>
        <v>1</v>
      </c>
      <c r="CA332" s="76" t="str">
        <f>IF(D332="Fern",".97",IF(D332="Grass",".99",IF(D332="Herb",".97",IF(D332="Shrub",".99",IF(D332="Tree","1.00",IF(D332="Vine",".98"))))))</f>
        <v>.97</v>
      </c>
      <c r="CB332" s="149" t="str">
        <f>IF(R332="Bogs Ponds Streams",".96", IF(R332="Coastal Areas",".97",IF(R332="Meadows Dry Open",".96",IF(R332="Forest &amp; Understory",".97",IF(R332="Moist Open",".98",IF(R332="Moist Shady",".96",IF(R332="Sub-Alpine","1.0")))))))</f>
        <v>.98</v>
      </c>
      <c r="CC332" s="76" t="str">
        <f>IF(S332="Local Endemic",".50",IF(S332="Regional Endemic",".70",IF(S332="Cascadia",".90",IF(S332="Rocky Mountain",".95",IF(S332="North America",".99")))))</f>
        <v>.90</v>
      </c>
      <c r="CD332" s="4"/>
      <c r="CE332" s="21">
        <f>IF(W332&gt;3,3,W332)</f>
        <v>3</v>
      </c>
      <c r="CF332" s="21">
        <f>IF(AC332&gt;102,102,AC332)</f>
        <v>10</v>
      </c>
      <c r="CG332" s="34">
        <f>IF(AI332&lt;$AW$4,$AW$4,AI332)</f>
        <v>2004</v>
      </c>
      <c r="CH332" s="34">
        <f>IF(AJ332&lt;$AW$4,$AW$4,AJ332)</f>
        <v>2004</v>
      </c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12"/>
    </row>
    <row r="333" spans="1:116" s="14" customFormat="1" ht="15" customHeight="1" x14ac:dyDescent="0.3">
      <c r="A333" s="235"/>
      <c r="B333" s="218"/>
      <c r="C333" s="225">
        <v>8</v>
      </c>
      <c r="D333" s="59" t="s">
        <v>2505</v>
      </c>
      <c r="E333" s="59" t="s">
        <v>2501</v>
      </c>
      <c r="F333" s="397" t="str">
        <f ca="1">IF(BC333&lt;2025, "Extinct&lt; 6Yrs?",BA333)</f>
        <v>Widespread</v>
      </c>
      <c r="G333" s="363" t="s">
        <v>525</v>
      </c>
      <c r="H333" s="363" t="s">
        <v>677</v>
      </c>
      <c r="I333" s="364" t="s">
        <v>756</v>
      </c>
      <c r="J333" s="365" t="s">
        <v>3314</v>
      </c>
      <c r="K333" s="365" t="s">
        <v>962</v>
      </c>
      <c r="L333" s="17" t="s">
        <v>1428</v>
      </c>
      <c r="M333" s="8" t="s">
        <v>4404</v>
      </c>
      <c r="N333" s="8" t="s">
        <v>5306</v>
      </c>
      <c r="O333" s="8" t="s">
        <v>6203</v>
      </c>
      <c r="P333" s="9" t="s">
        <v>1318</v>
      </c>
      <c r="Q333" s="59" t="s">
        <v>2552</v>
      </c>
      <c r="R333" s="9" t="s">
        <v>2500</v>
      </c>
      <c r="S333" s="17" t="s">
        <v>2479</v>
      </c>
      <c r="T333" s="123" t="str">
        <f>IF(R333="Bogs Ponds Streams","20",IF(R333="Coastal Areas","26",IF(R333="Meadows Dry Open","10",IF(R333="Forest &amp; Understory","14",IF(R333="Moist Open","12",IF(R333="Moist Shady","10",IF(R333="Sub-Alpine Slopes","0")))))))</f>
        <v>10</v>
      </c>
      <c r="U333" s="123" t="str">
        <f>IF(R333="Bogs Ponds Streams","52",IF(R333="Coastal Areas","51",IF(R333="Meadows Dry Open","53",IF(R333="Forest &amp; Understory","52",IF(R333="Moist Open","50",IF(R333="Moist Shady","46",IF(R333="Sub-Alpine Slopes","40")))))))</f>
        <v>53</v>
      </c>
      <c r="V333" s="123" t="str">
        <f>IF(R333="Bogs Ponds Streams","84",IF(R333="Coastal Areas","76",IF(R333="Meadows Dry Open","96", IF(R333="Forest &amp; Understory","90", IF(R333="Moist Open","88", IF(R333="Moist Shady","82", IF(R333="Sub-Alpine Slopes","80")))))))</f>
        <v>96</v>
      </c>
      <c r="W333" s="59">
        <v>20</v>
      </c>
      <c r="X333" s="59">
        <v>0</v>
      </c>
      <c r="Y333" s="59">
        <v>3500</v>
      </c>
      <c r="Z333" s="59" t="s">
        <v>2519</v>
      </c>
      <c r="AA333" s="59" t="s">
        <v>2518</v>
      </c>
      <c r="AB333" s="59">
        <v>6.8</v>
      </c>
      <c r="AC333" s="45">
        <f>C333+AK333+(0.1)*AL333</f>
        <v>67.400000000000006</v>
      </c>
      <c r="AD333" s="77">
        <v>314</v>
      </c>
      <c r="AE333" s="59">
        <v>5</v>
      </c>
      <c r="AF333" s="59">
        <v>5</v>
      </c>
      <c r="AG333" s="59">
        <v>1900</v>
      </c>
      <c r="AH333" s="77">
        <v>0</v>
      </c>
      <c r="AI333" s="59">
        <f ca="1">AJ333</f>
        <v>2019</v>
      </c>
      <c r="AJ333" s="18">
        <f ca="1">YEAR(TODAY())</f>
        <v>2019</v>
      </c>
      <c r="AK333" s="18">
        <v>55</v>
      </c>
      <c r="AL333" s="18">
        <v>44</v>
      </c>
      <c r="AM333" s="18">
        <v>1</v>
      </c>
      <c r="AN333" s="18">
        <v>1</v>
      </c>
      <c r="AO333" s="18">
        <v>5</v>
      </c>
      <c r="AP333" s="18">
        <v>1</v>
      </c>
      <c r="AQ333" s="18">
        <v>0</v>
      </c>
      <c r="AR333" s="18">
        <v>0</v>
      </c>
      <c r="AS333" s="18">
        <v>0</v>
      </c>
      <c r="AT333" s="18">
        <v>0</v>
      </c>
      <c r="AU333" s="18">
        <v>0</v>
      </c>
      <c r="AV333" s="18">
        <v>0</v>
      </c>
      <c r="AW333" s="18">
        <v>0</v>
      </c>
      <c r="AX333" s="18">
        <v>0</v>
      </c>
      <c r="AY333" s="233"/>
      <c r="AZ333" s="4"/>
      <c r="BA333" s="35" t="str">
        <f>IF(OR(S333="North America",S333="Rocky Mountain"), "Widespread",BC333)</f>
        <v>Widespread</v>
      </c>
      <c r="BB333" s="4"/>
      <c r="BC333" s="35" t="str">
        <f ca="1">IF(BE333&gt;2046, "Abundant",BE333)</f>
        <v>Abundant</v>
      </c>
      <c r="BD333" s="4"/>
      <c r="BE333" s="81">
        <f ca="1">YEAR($C$13)+(BG333*80)</f>
        <v>2115.5576784313726</v>
      </c>
      <c r="BF333" s="4"/>
      <c r="BG333" s="137">
        <f ca="1">BH333*$BH$14</f>
        <v>1.2069709803921569</v>
      </c>
      <c r="BH333" s="137">
        <f ca="1">(((BJ333+BK333+BM333+BN333)/4)*$BM$11)+(((BP333+BQ333)/2)*$BQ$11)+(((BU333+BV333+BW333)/3)*$BU$11)+(((BY333+BZ333+CA333+CB333+CC333)/5)*$CA$11)</f>
        <v>1.2069709803921569</v>
      </c>
      <c r="BI333" s="4"/>
      <c r="BJ333" s="33">
        <f>AP333/(AM333+AO333)</f>
        <v>0.16666666666666666</v>
      </c>
      <c r="BK333" s="33">
        <f>(AN333+AO333)/(AM333+AO333)</f>
        <v>1</v>
      </c>
      <c r="BL333" s="4"/>
      <c r="BM333" s="127">
        <f>CF333/102</f>
        <v>0.66078431372549029</v>
      </c>
      <c r="BN333" s="127">
        <f>C333/2</f>
        <v>4</v>
      </c>
      <c r="BO333" s="4"/>
      <c r="BP333" s="127">
        <f>(AK333)/($AW$6)</f>
        <v>0.55555555555555558</v>
      </c>
      <c r="BQ333" s="127">
        <f ca="1">(CH333-$AW$4)/((YEAR($C$13))-$AW$4)</f>
        <v>1</v>
      </c>
      <c r="BR333" s="127">
        <f>(AL333)/($AW$6)</f>
        <v>0.44444444444444442</v>
      </c>
      <c r="BS333" s="4"/>
      <c r="BT333" s="127"/>
      <c r="BU333" s="127">
        <f ca="1">(CG333-$AW$4)/((YEAR($C$13))-$AW$4)</f>
        <v>1</v>
      </c>
      <c r="BV333" s="127">
        <f>AE333/5</f>
        <v>1</v>
      </c>
      <c r="BW333" s="127">
        <f>AF333/5</f>
        <v>1</v>
      </c>
      <c r="BX333" s="4"/>
      <c r="BY333" s="148" t="str">
        <f>IF(E333="A",".98",IF(E333="B",".99",IF(E333="C","1.00",IF(E333="D","1.00" ))))</f>
        <v>1.00</v>
      </c>
      <c r="BZ333" s="127">
        <f>(CE333+7)/10</f>
        <v>1</v>
      </c>
      <c r="CA333" s="76" t="str">
        <f>IF(D333="Fern",".97",IF(D333="Grass",".99",IF(D333="Herb",".97",IF(D333="Shrub",".99",IF(D333="Tree","1.00",IF(D333="Vine",".98"))))))</f>
        <v>.97</v>
      </c>
      <c r="CB333" s="149" t="str">
        <f>IF(R333="Bogs Ponds Streams",".96", IF(R333="Coastal Areas",".97",IF(R333="Meadows Dry Open",".96",IF(R333="Forest &amp; Understory",".97",IF(R333="Moist Open",".98",IF(R333="Moist Shady",".96",IF(R333="Sub-Alpine","1.0")))))))</f>
        <v>.96</v>
      </c>
      <c r="CC333" s="76" t="str">
        <f>IF(S333="Local Endemic",".50",IF(S333="Regional Endemic",".70",IF(S333="Cascadia",".90",IF(S333="Rocky Mountain",".95",IF(S333="North America",".99")))))</f>
        <v>.95</v>
      </c>
      <c r="CD333" s="4"/>
      <c r="CE333" s="21">
        <f>IF(W333&gt;3,3,W333)</f>
        <v>3</v>
      </c>
      <c r="CF333" s="21">
        <f>IF(AC333&gt;102,102,AC333)</f>
        <v>67.400000000000006</v>
      </c>
      <c r="CG333" s="34">
        <f ca="1">IF(AI333&lt;$AW$4,$AW$4,AI333)</f>
        <v>2019</v>
      </c>
      <c r="CH333" s="34">
        <f ca="1">IF(AJ333&lt;$AW$4,$AW$4,AJ333)</f>
        <v>2019</v>
      </c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13"/>
      <c r="DL333" s="13"/>
    </row>
    <row r="334" spans="1:116" s="13" customFormat="1" ht="15" customHeight="1" x14ac:dyDescent="0.3">
      <c r="A334" s="235"/>
      <c r="B334" s="218"/>
      <c r="C334" s="225">
        <v>8</v>
      </c>
      <c r="D334" s="59" t="s">
        <v>2505</v>
      </c>
      <c r="E334" s="59" t="s">
        <v>2501</v>
      </c>
      <c r="F334" s="397" t="str">
        <f ca="1">IF(BC334&lt;2025, "Extinct&lt; 6Yrs?",BA334)</f>
        <v>Widespread</v>
      </c>
      <c r="G334" s="363" t="s">
        <v>525</v>
      </c>
      <c r="H334" s="363" t="s">
        <v>677</v>
      </c>
      <c r="I334" s="364" t="s">
        <v>2638</v>
      </c>
      <c r="J334" s="365" t="s">
        <v>3313</v>
      </c>
      <c r="K334" s="365" t="s">
        <v>2764</v>
      </c>
      <c r="L334" s="17" t="s">
        <v>2175</v>
      </c>
      <c r="M334" s="8" t="s">
        <v>4412</v>
      </c>
      <c r="N334" s="8" t="s">
        <v>5307</v>
      </c>
      <c r="O334" s="8" t="s">
        <v>6204</v>
      </c>
      <c r="P334" s="9" t="s">
        <v>1318</v>
      </c>
      <c r="Q334" s="59" t="s">
        <v>2552</v>
      </c>
      <c r="R334" s="160" t="s">
        <v>2497</v>
      </c>
      <c r="S334" s="17" t="s">
        <v>2479</v>
      </c>
      <c r="T334" s="123" t="str">
        <f>IF(R334="Bogs Ponds Streams","20",IF(R334="Coastal Areas","26",IF(R334="Meadows Dry Open","10",IF(R334="Forest &amp; Understory","14",IF(R334="Moist Open","12",IF(R334="Moist Shady","10",IF(R334="Sub-Alpine Slopes","0")))))))</f>
        <v>12</v>
      </c>
      <c r="U334" s="123" t="str">
        <f>IF(R334="Bogs Ponds Streams","52",IF(R334="Coastal Areas","51",IF(R334="Meadows Dry Open","53",IF(R334="Forest &amp; Understory","52",IF(R334="Moist Open","50",IF(R334="Moist Shady","46",IF(R334="Sub-Alpine Slopes","40")))))))</f>
        <v>50</v>
      </c>
      <c r="V334" s="123" t="str">
        <f>IF(R334="Bogs Ponds Streams","84",IF(R334="Coastal Areas","76",IF(R334="Meadows Dry Open","96", IF(R334="Forest &amp; Understory","90", IF(R334="Moist Open","88", IF(R334="Moist Shady","82", IF(R334="Sub-Alpine Slopes","80")))))))</f>
        <v>88</v>
      </c>
      <c r="W334" s="59">
        <v>20</v>
      </c>
      <c r="X334" s="59">
        <v>0</v>
      </c>
      <c r="Y334" s="59">
        <v>3500</v>
      </c>
      <c r="Z334" s="59" t="s">
        <v>2519</v>
      </c>
      <c r="AA334" s="59" t="s">
        <v>2518</v>
      </c>
      <c r="AB334" s="59">
        <v>6.8</v>
      </c>
      <c r="AC334" s="45">
        <f>C334+AK334+(0.1)*AL334</f>
        <v>43.2</v>
      </c>
      <c r="AD334" s="77">
        <v>214</v>
      </c>
      <c r="AE334" s="59">
        <v>5</v>
      </c>
      <c r="AF334" s="59">
        <v>5</v>
      </c>
      <c r="AG334" s="59">
        <v>1900</v>
      </c>
      <c r="AH334" s="77">
        <v>0</v>
      </c>
      <c r="AI334" s="59">
        <f ca="1">AJ334</f>
        <v>2019</v>
      </c>
      <c r="AJ334" s="18">
        <f ca="1">YEAR(TODAY())</f>
        <v>2019</v>
      </c>
      <c r="AK334" s="18">
        <v>33</v>
      </c>
      <c r="AL334" s="18">
        <v>22</v>
      </c>
      <c r="AM334" s="18">
        <v>1</v>
      </c>
      <c r="AN334" s="18">
        <v>1</v>
      </c>
      <c r="AO334" s="18">
        <v>5</v>
      </c>
      <c r="AP334" s="18">
        <v>1</v>
      </c>
      <c r="AQ334" s="18">
        <v>0</v>
      </c>
      <c r="AR334" s="18">
        <v>0</v>
      </c>
      <c r="AS334" s="18">
        <v>0</v>
      </c>
      <c r="AT334" s="18">
        <v>0</v>
      </c>
      <c r="AU334" s="18">
        <v>0</v>
      </c>
      <c r="AV334" s="18">
        <v>0</v>
      </c>
      <c r="AW334" s="18">
        <v>0</v>
      </c>
      <c r="AX334" s="18">
        <v>0</v>
      </c>
      <c r="AY334" s="233"/>
      <c r="AZ334" s="4"/>
      <c r="BA334" s="35" t="str">
        <f>IF(OR(S334="North America",S334="Rocky Mountain"), "Widespread",BC334)</f>
        <v>Widespread</v>
      </c>
      <c r="BB334" s="4"/>
      <c r="BC334" s="35" t="str">
        <f ca="1">IF(BE334&gt;2046, "Abundant",BE334)</f>
        <v>Abundant</v>
      </c>
      <c r="BD334" s="4"/>
      <c r="BE334" s="81">
        <f ca="1">YEAR($C$13)+(BG334*80)</f>
        <v>2110.0503529411767</v>
      </c>
      <c r="BF334" s="4"/>
      <c r="BG334" s="137">
        <f ca="1">BH334*$BH$14</f>
        <v>1.1381294117647061</v>
      </c>
      <c r="BH334" s="137">
        <f ca="1">(((BJ334+BK334+BM334+BN334)/4)*$BM$11)+(((BP334+BQ334)/2)*$BQ$11)+(((BU334+BV334+BW334)/3)*$BU$11)+(((BY334+BZ334+CA334+CB334+CC334)/5)*$CA$11)</f>
        <v>1.1381294117647061</v>
      </c>
      <c r="BI334" s="4"/>
      <c r="BJ334" s="33">
        <f>AP334/(AM334+AO334)</f>
        <v>0.16666666666666666</v>
      </c>
      <c r="BK334" s="33">
        <f>(AN334+AO334)/(AM334+AO334)</f>
        <v>1</v>
      </c>
      <c r="BL334" s="4"/>
      <c r="BM334" s="127">
        <f>CF334/102</f>
        <v>0.42352941176470593</v>
      </c>
      <c r="BN334" s="127">
        <f>C334/2</f>
        <v>4</v>
      </c>
      <c r="BO334" s="4"/>
      <c r="BP334" s="127">
        <f>(AK334)/($AW$6)</f>
        <v>0.33333333333333331</v>
      </c>
      <c r="BQ334" s="127">
        <f ca="1">(CH334-$AW$4)/((YEAR($C$13))-$AW$4)</f>
        <v>1</v>
      </c>
      <c r="BR334" s="127">
        <f>(AL334)/($AW$6)</f>
        <v>0.22222222222222221</v>
      </c>
      <c r="BS334" s="4"/>
      <c r="BT334" s="127"/>
      <c r="BU334" s="127">
        <f ca="1">(CG334-$AW$4)/((YEAR($C$13))-$AW$4)</f>
        <v>1</v>
      </c>
      <c r="BV334" s="127">
        <f>AE334/5</f>
        <v>1</v>
      </c>
      <c r="BW334" s="127">
        <f>AF334/5</f>
        <v>1</v>
      </c>
      <c r="BX334" s="4"/>
      <c r="BY334" s="148" t="str">
        <f>IF(E334="A",".98",IF(E334="B",".99",IF(E334="C","1.00",IF(E334="D","1.00" ))))</f>
        <v>1.00</v>
      </c>
      <c r="BZ334" s="127">
        <f>(CE334+7)/10</f>
        <v>1</v>
      </c>
      <c r="CA334" s="76" t="str">
        <f>IF(D334="Fern",".97",IF(D334="Grass",".99",IF(D334="Herb",".97",IF(D334="Shrub",".99",IF(D334="Tree","1.00",IF(D334="Vine",".98"))))))</f>
        <v>.97</v>
      </c>
      <c r="CB334" s="149" t="str">
        <f>IF(R334="Bogs Ponds Streams",".96", IF(R334="Coastal Areas",".97",IF(R334="Meadows Dry Open",".96",IF(R334="Forest &amp; Understory",".97",IF(R334="Moist Open",".98",IF(R334="Moist Shady",".96",IF(R334="Sub-Alpine","1.0")))))))</f>
        <v>.98</v>
      </c>
      <c r="CC334" s="76" t="str">
        <f>IF(S334="Local Endemic",".50",IF(S334="Regional Endemic",".70",IF(S334="Cascadia",".90",IF(S334="Rocky Mountain",".95",IF(S334="North America",".99")))))</f>
        <v>.95</v>
      </c>
      <c r="CD334" s="4"/>
      <c r="CE334" s="21">
        <f>IF(W334&gt;3,3,W334)</f>
        <v>3</v>
      </c>
      <c r="CF334" s="21">
        <f>IF(AC334&gt;102,102,AC334)</f>
        <v>43.2</v>
      </c>
      <c r="CG334" s="34">
        <f ca="1">IF(AI334&lt;$AW$4,$AW$4,AI334)</f>
        <v>2019</v>
      </c>
      <c r="CH334" s="34">
        <f ca="1">IF(AJ334&lt;$AW$4,$AW$4,AJ334)</f>
        <v>2019</v>
      </c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L334" s="14"/>
    </row>
    <row r="335" spans="1:116" s="13" customFormat="1" ht="15" customHeight="1" x14ac:dyDescent="0.3">
      <c r="A335" s="235"/>
      <c r="B335" s="218"/>
      <c r="C335" s="225">
        <v>8</v>
      </c>
      <c r="D335" s="59" t="s">
        <v>2505</v>
      </c>
      <c r="E335" s="59" t="s">
        <v>2501</v>
      </c>
      <c r="F335" s="397" t="str">
        <f ca="1">IF(BC335&lt;2025, "Extinct&lt; 6Yrs?",BA335)</f>
        <v>Widespread</v>
      </c>
      <c r="G335" s="363" t="s">
        <v>525</v>
      </c>
      <c r="H335" s="363" t="s">
        <v>677</v>
      </c>
      <c r="I335" s="364" t="s">
        <v>2639</v>
      </c>
      <c r="J335" s="365" t="s">
        <v>3312</v>
      </c>
      <c r="K335" s="365" t="s">
        <v>1051</v>
      </c>
      <c r="L335" s="10" t="s">
        <v>2175</v>
      </c>
      <c r="M335" s="8" t="s">
        <v>4413</v>
      </c>
      <c r="N335" s="8" t="s">
        <v>5308</v>
      </c>
      <c r="O335" s="8" t="s">
        <v>6205</v>
      </c>
      <c r="P335" s="9" t="s">
        <v>1318</v>
      </c>
      <c r="Q335" s="59" t="s">
        <v>2552</v>
      </c>
      <c r="R335" s="9" t="s">
        <v>2497</v>
      </c>
      <c r="S335" s="9" t="s">
        <v>2495</v>
      </c>
      <c r="T335" s="123" t="str">
        <f>IF(R335="Bogs Ponds Streams","20",IF(R335="Coastal Areas","26",IF(R335="Meadows Dry Open","10",IF(R335="Forest &amp; Understory","14",IF(R335="Moist Open","12",IF(R335="Moist Shady","10",IF(R335="Sub-Alpine Slopes","0")))))))</f>
        <v>12</v>
      </c>
      <c r="U335" s="123" t="str">
        <f>IF(R335="Bogs Ponds Streams","52",IF(R335="Coastal Areas","51",IF(R335="Meadows Dry Open","53",IF(R335="Forest &amp; Understory","52",IF(R335="Moist Open","50",IF(R335="Moist Shady","46",IF(R335="Sub-Alpine Slopes","40")))))))</f>
        <v>50</v>
      </c>
      <c r="V335" s="123" t="str">
        <f>IF(R335="Bogs Ponds Streams","84",IF(R335="Coastal Areas","76",IF(R335="Meadows Dry Open","96", IF(R335="Forest &amp; Understory","90", IF(R335="Moist Open","88", IF(R335="Moist Shady","82", IF(R335="Sub-Alpine Slopes","80")))))))</f>
        <v>88</v>
      </c>
      <c r="W335" s="59">
        <v>20</v>
      </c>
      <c r="X335" s="59">
        <v>0</v>
      </c>
      <c r="Y335" s="59">
        <v>3500</v>
      </c>
      <c r="Z335" s="59" t="s">
        <v>2519</v>
      </c>
      <c r="AA335" s="59" t="s">
        <v>2518</v>
      </c>
      <c r="AB335" s="59">
        <v>6.8</v>
      </c>
      <c r="AC335" s="45">
        <f>C335+AK335+(0.1)*AL335</f>
        <v>32.200000000000003</v>
      </c>
      <c r="AD335" s="77">
        <v>121</v>
      </c>
      <c r="AE335" s="59">
        <v>5</v>
      </c>
      <c r="AF335" s="59">
        <v>5</v>
      </c>
      <c r="AG335" s="59">
        <v>1900</v>
      </c>
      <c r="AH335" s="77">
        <v>0</v>
      </c>
      <c r="AI335" s="59">
        <f ca="1">AJ335</f>
        <v>2019</v>
      </c>
      <c r="AJ335" s="18">
        <f ca="1">YEAR(TODAY())</f>
        <v>2019</v>
      </c>
      <c r="AK335" s="18">
        <v>22</v>
      </c>
      <c r="AL335" s="18">
        <v>22</v>
      </c>
      <c r="AM335" s="18">
        <v>1</v>
      </c>
      <c r="AN335" s="18">
        <v>1</v>
      </c>
      <c r="AO335" s="18">
        <v>5</v>
      </c>
      <c r="AP335" s="18">
        <v>1</v>
      </c>
      <c r="AQ335" s="18">
        <v>0</v>
      </c>
      <c r="AR335" s="18">
        <v>0</v>
      </c>
      <c r="AS335" s="18">
        <v>0</v>
      </c>
      <c r="AT335" s="18">
        <v>0</v>
      </c>
      <c r="AU335" s="18">
        <v>0</v>
      </c>
      <c r="AV335" s="18">
        <v>0</v>
      </c>
      <c r="AW335" s="18">
        <v>0</v>
      </c>
      <c r="AX335" s="18">
        <v>0</v>
      </c>
      <c r="AY335" s="233"/>
      <c r="AZ335" s="4"/>
      <c r="BA335" s="35" t="str">
        <f>IF(OR(S335="North America",S335="Rocky Mountain"), "Widespread",BC335)</f>
        <v>Widespread</v>
      </c>
      <c r="BB335" s="4"/>
      <c r="BC335" s="35" t="str">
        <f ca="1">IF(BE335&gt;2046, "Abundant",BE335)</f>
        <v>Abundant</v>
      </c>
      <c r="BD335" s="4"/>
      <c r="BE335" s="81">
        <f ca="1">YEAR($C$13)+(BG335*80)</f>
        <v>2107.4357019607842</v>
      </c>
      <c r="BF335" s="4"/>
      <c r="BG335" s="137">
        <f ca="1">BH335*$BH$14</f>
        <v>1.1054462745098041</v>
      </c>
      <c r="BH335" s="137">
        <f ca="1">(((BJ335+BK335+BM335+BN335)/4)*$BM$11)+(((BP335+BQ335)/2)*$BQ$11)+(((BU335+BV335+BW335)/3)*$BU$11)+(((BY335+BZ335+CA335+CB335+CC335)/5)*$CA$11)</f>
        <v>1.1054462745098041</v>
      </c>
      <c r="BI335" s="4"/>
      <c r="BJ335" s="33">
        <f>AP335/(AM335+AO335)</f>
        <v>0.16666666666666666</v>
      </c>
      <c r="BK335" s="33">
        <f>(AN335+AO335)/(AM335+AO335)</f>
        <v>1</v>
      </c>
      <c r="BL335" s="4"/>
      <c r="BM335" s="127">
        <f>CF335/102</f>
        <v>0.31568627450980397</v>
      </c>
      <c r="BN335" s="127">
        <f>C335/2</f>
        <v>4</v>
      </c>
      <c r="BO335" s="4"/>
      <c r="BP335" s="127">
        <f>(AK335)/($AW$6)</f>
        <v>0.22222222222222221</v>
      </c>
      <c r="BQ335" s="127">
        <f ca="1">(CH335-$AW$4)/((YEAR($C$13))-$AW$4)</f>
        <v>1</v>
      </c>
      <c r="BR335" s="127">
        <f>(AL335)/($AW$6)</f>
        <v>0.22222222222222221</v>
      </c>
      <c r="BS335" s="4"/>
      <c r="BT335" s="127"/>
      <c r="BU335" s="127">
        <f ca="1">(CG335-$AW$4)/((YEAR($C$13))-$AW$4)</f>
        <v>1</v>
      </c>
      <c r="BV335" s="127">
        <f>AE335/5</f>
        <v>1</v>
      </c>
      <c r="BW335" s="127">
        <f>AF335/5</f>
        <v>1</v>
      </c>
      <c r="BX335" s="4"/>
      <c r="BY335" s="148" t="str">
        <f>IF(E335="A",".98",IF(E335="B",".99",IF(E335="C","1.00",IF(E335="D","1.00" ))))</f>
        <v>1.00</v>
      </c>
      <c r="BZ335" s="127">
        <f>(CE335+7)/10</f>
        <v>1</v>
      </c>
      <c r="CA335" s="76" t="str">
        <f>IF(D335="Fern",".97",IF(D335="Grass",".99",IF(D335="Herb",".97",IF(D335="Shrub",".99",IF(D335="Tree","1.00",IF(D335="Vine",".98"))))))</f>
        <v>.97</v>
      </c>
      <c r="CB335" s="149" t="str">
        <f>IF(R335="Bogs Ponds Streams",".96", IF(R335="Coastal Areas",".97",IF(R335="Meadows Dry Open",".96",IF(R335="Forest &amp; Understory",".97",IF(R335="Moist Open",".98",IF(R335="Moist Shady",".96",IF(R335="Sub-Alpine","1.0")))))))</f>
        <v>.98</v>
      </c>
      <c r="CC335" s="76" t="str">
        <f>IF(S335="Local Endemic",".50",IF(S335="Regional Endemic",".70",IF(S335="Cascadia",".90",IF(S335="Rocky Mountain",".95",IF(S335="North America",".99")))))</f>
        <v>.99</v>
      </c>
      <c r="CD335" s="4"/>
      <c r="CE335" s="21">
        <f>IF(W335&gt;3,3,W335)</f>
        <v>3</v>
      </c>
      <c r="CF335" s="21">
        <f>IF(AC335&gt;102,102,AC335)</f>
        <v>32.200000000000003</v>
      </c>
      <c r="CG335" s="34">
        <f ca="1">IF(AI335&lt;$AW$4,$AW$4,AI335)</f>
        <v>2019</v>
      </c>
      <c r="CH335" s="34">
        <f ca="1">IF(AJ335&lt;$AW$4,$AW$4,AJ335)</f>
        <v>2019</v>
      </c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</row>
    <row r="336" spans="1:116" s="13" customFormat="1" ht="15" customHeight="1" x14ac:dyDescent="0.3">
      <c r="A336" s="235"/>
      <c r="B336" s="218"/>
      <c r="C336" s="225">
        <v>8</v>
      </c>
      <c r="D336" s="59" t="s">
        <v>2505</v>
      </c>
      <c r="E336" s="59" t="s">
        <v>2501</v>
      </c>
      <c r="F336" s="397" t="str">
        <f ca="1">IF(BC336&lt;2025, "Extinct&lt; 6Yrs?",BA336)</f>
        <v>Abundant</v>
      </c>
      <c r="G336" s="363" t="s">
        <v>525</v>
      </c>
      <c r="H336" s="363" t="s">
        <v>687</v>
      </c>
      <c r="I336" s="366" t="s">
        <v>445</v>
      </c>
      <c r="J336" s="365" t="s">
        <v>3311</v>
      </c>
      <c r="K336" s="365" t="s">
        <v>963</v>
      </c>
      <c r="L336" s="10" t="s">
        <v>1429</v>
      </c>
      <c r="M336" s="8" t="s">
        <v>4414</v>
      </c>
      <c r="N336" s="8" t="s">
        <v>5309</v>
      </c>
      <c r="O336" s="8" t="s">
        <v>6206</v>
      </c>
      <c r="P336" s="9" t="s">
        <v>440</v>
      </c>
      <c r="Q336" s="59" t="s">
        <v>2552</v>
      </c>
      <c r="R336" s="9" t="s">
        <v>2500</v>
      </c>
      <c r="S336" s="9" t="s">
        <v>2309</v>
      </c>
      <c r="T336" s="123" t="str">
        <f>IF(R336="Bogs Ponds Streams","20",IF(R336="Coastal Areas","26",IF(R336="Meadows Dry Open","10",IF(R336="Forest &amp; Understory","14",IF(R336="Moist Open","12",IF(R336="Moist Shady","10",IF(R336="Sub-Alpine Slopes","0")))))))</f>
        <v>10</v>
      </c>
      <c r="U336" s="123" t="str">
        <f>IF(R336="Bogs Ponds Streams","52",IF(R336="Coastal Areas","51",IF(R336="Meadows Dry Open","53",IF(R336="Forest &amp; Understory","52",IF(R336="Moist Open","50",IF(R336="Moist Shady","46",IF(R336="Sub-Alpine Slopes","40")))))))</f>
        <v>53</v>
      </c>
      <c r="V336" s="123" t="str">
        <f>IF(R336="Bogs Ponds Streams","84",IF(R336="Coastal Areas","76",IF(R336="Meadows Dry Open","96", IF(R336="Forest &amp; Understory","90", IF(R336="Moist Open","88", IF(R336="Moist Shady","82", IF(R336="Sub-Alpine Slopes","80")))))))</f>
        <v>96</v>
      </c>
      <c r="W336" s="59">
        <v>20</v>
      </c>
      <c r="X336" s="59">
        <v>0</v>
      </c>
      <c r="Y336" s="59">
        <v>3500</v>
      </c>
      <c r="Z336" s="59" t="s">
        <v>2519</v>
      </c>
      <c r="AA336" s="59" t="s">
        <v>2518</v>
      </c>
      <c r="AB336" s="59">
        <v>6.8</v>
      </c>
      <c r="AC336" s="45">
        <f>C336+AK336+(0.1)*AL336</f>
        <v>33.299999999999997</v>
      </c>
      <c r="AD336" s="77">
        <v>256</v>
      </c>
      <c r="AE336" s="59">
        <v>5</v>
      </c>
      <c r="AF336" s="59">
        <v>5</v>
      </c>
      <c r="AG336" s="59">
        <v>1900</v>
      </c>
      <c r="AH336" s="77">
        <v>0</v>
      </c>
      <c r="AI336" s="59">
        <f ca="1">AJ336</f>
        <v>2019</v>
      </c>
      <c r="AJ336" s="18">
        <f ca="1">YEAR(TODAY())</f>
        <v>2019</v>
      </c>
      <c r="AK336" s="18">
        <v>22</v>
      </c>
      <c r="AL336" s="18">
        <v>33</v>
      </c>
      <c r="AM336" s="18">
        <v>1</v>
      </c>
      <c r="AN336" s="18">
        <v>1</v>
      </c>
      <c r="AO336" s="24">
        <v>1</v>
      </c>
      <c r="AP336" s="24">
        <v>0</v>
      </c>
      <c r="AQ336" s="18">
        <v>0</v>
      </c>
      <c r="AR336" s="18">
        <v>0</v>
      </c>
      <c r="AS336" s="18">
        <v>0</v>
      </c>
      <c r="AT336" s="18">
        <v>0</v>
      </c>
      <c r="AU336" s="18">
        <v>0</v>
      </c>
      <c r="AV336" s="18">
        <v>0</v>
      </c>
      <c r="AW336" s="18">
        <v>0</v>
      </c>
      <c r="AX336" s="18">
        <v>0</v>
      </c>
      <c r="AY336" s="233"/>
      <c r="AZ336" s="4"/>
      <c r="BA336" s="35" t="str">
        <f ca="1">IF(OR(S336="North America",S336="Rocky Mountain"), "Widespread",BC336)</f>
        <v>Abundant</v>
      </c>
      <c r="BB336" s="4"/>
      <c r="BC336" s="35" t="str">
        <f ca="1">IF(BE336&gt;2046, "Abundant",BE336)</f>
        <v>Abundant</v>
      </c>
      <c r="BD336" s="4"/>
      <c r="BE336" s="81">
        <f ca="1">YEAR($C$13)+(BG336*80)</f>
        <v>2105.4659137254903</v>
      </c>
      <c r="BF336" s="4"/>
      <c r="BG336" s="137">
        <f ca="1">BH336*$BH$14</f>
        <v>1.0808239215686275</v>
      </c>
      <c r="BH336" s="137">
        <f ca="1">(((BJ336+BK336+BM336+BN336)/4)*$BM$11)+(((BP336+BQ336)/2)*$BQ$11)+(((BU336+BV336+BW336)/3)*$BU$11)+(((BY336+BZ336+CA336+CB336+CC336)/5)*$CA$11)</f>
        <v>1.0808239215686275</v>
      </c>
      <c r="BI336" s="4"/>
      <c r="BJ336" s="33">
        <f>AP336/(AM336+AO336)</f>
        <v>0</v>
      </c>
      <c r="BK336" s="33">
        <f>(AN336+AO336)/(AM336+AO336)</f>
        <v>1</v>
      </c>
      <c r="BL336" s="4"/>
      <c r="BM336" s="127">
        <f>CF336/102</f>
        <v>0.32647058823529407</v>
      </c>
      <c r="BN336" s="127">
        <f>C336/2</f>
        <v>4</v>
      </c>
      <c r="BO336" s="4"/>
      <c r="BP336" s="127">
        <f>(AK336)/($AW$6)</f>
        <v>0.22222222222222221</v>
      </c>
      <c r="BQ336" s="127">
        <f ca="1">(CH336-$AW$4)/((YEAR($C$13))-$AW$4)</f>
        <v>1</v>
      </c>
      <c r="BR336" s="127">
        <f>(AL336)/($AW$6)</f>
        <v>0.33333333333333331</v>
      </c>
      <c r="BS336" s="4"/>
      <c r="BT336" s="127"/>
      <c r="BU336" s="127">
        <f ca="1">(CG336-$AW$4)/((YEAR($C$13))-$AW$4)</f>
        <v>1</v>
      </c>
      <c r="BV336" s="127">
        <f>AE336/5</f>
        <v>1</v>
      </c>
      <c r="BW336" s="127">
        <f>AF336/5</f>
        <v>1</v>
      </c>
      <c r="BX336" s="4"/>
      <c r="BY336" s="148" t="str">
        <f>IF(E336="A",".98",IF(E336="B",".99",IF(E336="C","1.00",IF(E336="D","1.00" ))))</f>
        <v>1.00</v>
      </c>
      <c r="BZ336" s="127">
        <f>(CE336+7)/10</f>
        <v>1</v>
      </c>
      <c r="CA336" s="76" t="str">
        <f>IF(D336="Fern",".97",IF(D336="Grass",".99",IF(D336="Herb",".97",IF(D336="Shrub",".99",IF(D336="Tree","1.00",IF(D336="Vine",".98"))))))</f>
        <v>.97</v>
      </c>
      <c r="CB336" s="149" t="str">
        <f>IF(R336="Bogs Ponds Streams",".96", IF(R336="Coastal Areas",".97",IF(R336="Meadows Dry Open",".96",IF(R336="Forest &amp; Understory",".97",IF(R336="Moist Open",".98",IF(R336="Moist Shady",".96",IF(R336="Sub-Alpine","1.0")))))))</f>
        <v>.96</v>
      </c>
      <c r="CC336" s="76" t="str">
        <f>IF(S336="Local Endemic",".50",IF(S336="Regional Endemic",".70",IF(S336="Cascadia",".90",IF(S336="Rocky Mountain",".95",IF(S336="North America",".99")))))</f>
        <v>.70</v>
      </c>
      <c r="CD336" s="4"/>
      <c r="CE336" s="21">
        <f>IF(W336&gt;3,3,W336)</f>
        <v>3</v>
      </c>
      <c r="CF336" s="21">
        <f>IF(AC336&gt;102,102,AC336)</f>
        <v>33.299999999999997</v>
      </c>
      <c r="CG336" s="34">
        <f ca="1">IF(AI336&lt;$AW$4,$AW$4,AI336)</f>
        <v>2019</v>
      </c>
      <c r="CH336" s="34">
        <f ca="1">IF(AJ336&lt;$AW$4,$AW$4,AJ336)</f>
        <v>2019</v>
      </c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</row>
    <row r="337" spans="1:115" s="13" customFormat="1" ht="15" customHeight="1" x14ac:dyDescent="0.3">
      <c r="A337" s="235"/>
      <c r="B337" s="218"/>
      <c r="C337" s="225">
        <v>8</v>
      </c>
      <c r="D337" s="59" t="s">
        <v>2505</v>
      </c>
      <c r="E337" s="59" t="s">
        <v>2501</v>
      </c>
      <c r="F337" s="397" t="str">
        <f ca="1">IF(BC337&lt;2025, "Extinct&lt; 6Yrs?",BA337)</f>
        <v>Abundant</v>
      </c>
      <c r="G337" s="363" t="s">
        <v>525</v>
      </c>
      <c r="H337" s="363" t="s">
        <v>686</v>
      </c>
      <c r="I337" s="366" t="s">
        <v>3066</v>
      </c>
      <c r="J337" s="365" t="s">
        <v>3310</v>
      </c>
      <c r="K337" s="365" t="s">
        <v>964</v>
      </c>
      <c r="L337" s="10" t="s">
        <v>2176</v>
      </c>
      <c r="M337" s="8" t="s">
        <v>4415</v>
      </c>
      <c r="N337" s="8" t="s">
        <v>5310</v>
      </c>
      <c r="O337" s="8" t="s">
        <v>6207</v>
      </c>
      <c r="P337" s="9" t="s">
        <v>437</v>
      </c>
      <c r="Q337" s="59" t="s">
        <v>2552</v>
      </c>
      <c r="R337" s="160" t="s">
        <v>2497</v>
      </c>
      <c r="S337" s="17" t="s">
        <v>2459</v>
      </c>
      <c r="T337" s="123" t="str">
        <f>IF(R337="Bogs Ponds Streams","20",IF(R337="Coastal Areas","26",IF(R337="Meadows Dry Open","10",IF(R337="Forest &amp; Understory","14",IF(R337="Moist Open","12",IF(R337="Moist Shady","10",IF(R337="Sub-Alpine Slopes","0")))))))</f>
        <v>12</v>
      </c>
      <c r="U337" s="123" t="str">
        <f>IF(R337="Bogs Ponds Streams","52",IF(R337="Coastal Areas","51",IF(R337="Meadows Dry Open","53",IF(R337="Forest &amp; Understory","52",IF(R337="Moist Open","50",IF(R337="Moist Shady","46",IF(R337="Sub-Alpine Slopes","40")))))))</f>
        <v>50</v>
      </c>
      <c r="V337" s="123" t="str">
        <f>IF(R337="Bogs Ponds Streams","84",IF(R337="Coastal Areas","76",IF(R337="Meadows Dry Open","96", IF(R337="Forest &amp; Understory","90", IF(R337="Moist Open","88", IF(R337="Moist Shady","82", IF(R337="Sub-Alpine Slopes","80")))))))</f>
        <v>88</v>
      </c>
      <c r="W337" s="59">
        <v>20</v>
      </c>
      <c r="X337" s="59">
        <v>0</v>
      </c>
      <c r="Y337" s="59">
        <v>3500</v>
      </c>
      <c r="Z337" s="59" t="s">
        <v>2519</v>
      </c>
      <c r="AA337" s="59" t="s">
        <v>2518</v>
      </c>
      <c r="AB337" s="59">
        <v>6.8</v>
      </c>
      <c r="AC337" s="45">
        <f>C337+AK337+(0.1)*AL337</f>
        <v>41</v>
      </c>
      <c r="AD337" s="77">
        <v>88</v>
      </c>
      <c r="AE337" s="59">
        <v>5</v>
      </c>
      <c r="AF337" s="59">
        <v>5</v>
      </c>
      <c r="AG337" s="59">
        <v>1900</v>
      </c>
      <c r="AH337" s="77">
        <v>0</v>
      </c>
      <c r="AI337" s="59">
        <f ca="1">AJ337</f>
        <v>2019</v>
      </c>
      <c r="AJ337" s="18">
        <f ca="1">YEAR(TODAY())</f>
        <v>2019</v>
      </c>
      <c r="AK337" s="18">
        <v>33</v>
      </c>
      <c r="AL337" s="18">
        <v>0</v>
      </c>
      <c r="AM337" s="18">
        <v>1</v>
      </c>
      <c r="AN337" s="18">
        <v>1</v>
      </c>
      <c r="AO337" s="25">
        <v>0</v>
      </c>
      <c r="AP337" s="24">
        <v>0</v>
      </c>
      <c r="AQ337" s="18">
        <v>0</v>
      </c>
      <c r="AR337" s="18">
        <v>0</v>
      </c>
      <c r="AS337" s="18">
        <v>0</v>
      </c>
      <c r="AT337" s="18">
        <v>0</v>
      </c>
      <c r="AU337" s="18">
        <v>0</v>
      </c>
      <c r="AV337" s="18">
        <v>0</v>
      </c>
      <c r="AW337" s="18">
        <v>0</v>
      </c>
      <c r="AX337" s="18">
        <v>0</v>
      </c>
      <c r="AY337" s="233"/>
      <c r="AZ337" s="4"/>
      <c r="BA337" s="35" t="str">
        <f ca="1">IF(OR(S337="North America",S337="Rocky Mountain"), "Widespread",BC337)</f>
        <v>Abundant</v>
      </c>
      <c r="BB337" s="4"/>
      <c r="BC337" s="35" t="str">
        <f ca="1">IF(BE337&gt;2046, "Abundant",BE337)</f>
        <v>Abundant</v>
      </c>
      <c r="BD337" s="4"/>
      <c r="BE337" s="81">
        <f ca="1">YEAR($C$13)+(BG337*80)</f>
        <v>2107.7755294117646</v>
      </c>
      <c r="BF337" s="4"/>
      <c r="BG337" s="137">
        <f ca="1">BH337*$BH$14</f>
        <v>1.1096941176470589</v>
      </c>
      <c r="BH337" s="137">
        <f ca="1">(((BJ337+BK337+BM337+BN337)/4)*$BM$11)+(((BP337+BQ337)/2)*$BQ$11)+(((BU337+BV337+BW337)/3)*$BU$11)+(((BY337+BZ337+CA337+CB337+CC337)/5)*$CA$11)</f>
        <v>1.1096941176470589</v>
      </c>
      <c r="BI337" s="4"/>
      <c r="BJ337" s="33">
        <f>AP337/(AM337+AO337)</f>
        <v>0</v>
      </c>
      <c r="BK337" s="33">
        <f>(AN337+AO337)/(AM337+AO337)</f>
        <v>1</v>
      </c>
      <c r="BL337" s="4"/>
      <c r="BM337" s="127">
        <f>CF337/102</f>
        <v>0.40196078431372551</v>
      </c>
      <c r="BN337" s="127">
        <f>C337/2</f>
        <v>4</v>
      </c>
      <c r="BO337" s="4"/>
      <c r="BP337" s="127">
        <f>(AK337)/($AW$6)</f>
        <v>0.33333333333333331</v>
      </c>
      <c r="BQ337" s="127">
        <f ca="1">(CH337-$AW$4)/((YEAR($C$13))-$AW$4)</f>
        <v>1</v>
      </c>
      <c r="BR337" s="127">
        <f>(AL337)/($AW$6)</f>
        <v>0</v>
      </c>
      <c r="BS337" s="4"/>
      <c r="BT337" s="127"/>
      <c r="BU337" s="127">
        <f ca="1">(CG337-$AW$4)/((YEAR($C$13))-$AW$4)</f>
        <v>1</v>
      </c>
      <c r="BV337" s="127">
        <f>AE337/5</f>
        <v>1</v>
      </c>
      <c r="BW337" s="127">
        <f>AF337/5</f>
        <v>1</v>
      </c>
      <c r="BX337" s="4"/>
      <c r="BY337" s="148" t="str">
        <f>IF(E337="A",".98",IF(E337="B",".99",IF(E337="C","1.00",IF(E337="D","1.00" ))))</f>
        <v>1.00</v>
      </c>
      <c r="BZ337" s="127">
        <f>(CE337+7)/10</f>
        <v>1</v>
      </c>
      <c r="CA337" s="76" t="str">
        <f>IF(D337="Fern",".97",IF(D337="Grass",".99",IF(D337="Herb",".97",IF(D337="Shrub",".99",IF(D337="Tree","1.00",IF(D337="Vine",".98"))))))</f>
        <v>.97</v>
      </c>
      <c r="CB337" s="149" t="str">
        <f>IF(R337="Bogs Ponds Streams",".96", IF(R337="Coastal Areas",".97",IF(R337="Meadows Dry Open",".96",IF(R337="Forest &amp; Understory",".97",IF(R337="Moist Open",".98",IF(R337="Moist Shady",".96",IF(R337="Sub-Alpine","1.0")))))))</f>
        <v>.98</v>
      </c>
      <c r="CC337" s="76" t="str">
        <f>IF(S337="Local Endemic",".50",IF(S337="Regional Endemic",".70",IF(S337="Cascadia",".90",IF(S337="Rocky Mountain",".95",IF(S337="North America",".99")))))</f>
        <v>.90</v>
      </c>
      <c r="CD337" s="4"/>
      <c r="CE337" s="21">
        <f>IF(W337&gt;3,3,W337)</f>
        <v>3</v>
      </c>
      <c r="CF337" s="21">
        <f>IF(AC337&gt;102,102,AC337)</f>
        <v>41</v>
      </c>
      <c r="CG337" s="34">
        <f ca="1">IF(AI337&lt;$AW$4,$AW$4,AI337)</f>
        <v>2019</v>
      </c>
      <c r="CH337" s="34">
        <f ca="1">IF(AJ337&lt;$AW$4,$AW$4,AJ337)</f>
        <v>2019</v>
      </c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</row>
    <row r="338" spans="1:115" s="13" customFormat="1" ht="15" customHeight="1" x14ac:dyDescent="0.3">
      <c r="A338" s="235"/>
      <c r="B338" s="218"/>
      <c r="C338" s="375">
        <v>1</v>
      </c>
      <c r="D338" s="78" t="s">
        <v>2505</v>
      </c>
      <c r="E338" s="67" t="s">
        <v>2501</v>
      </c>
      <c r="F338" s="403">
        <f ca="1">IF(BC338&lt;2025, "Extinct&lt; 6Yrs?",BA338)</f>
        <v>2035.9761654188949</v>
      </c>
      <c r="G338" s="376" t="s">
        <v>525</v>
      </c>
      <c r="H338" s="376" t="s">
        <v>4028</v>
      </c>
      <c r="I338" s="377" t="s">
        <v>2342</v>
      </c>
      <c r="J338" s="378" t="s">
        <v>2400</v>
      </c>
      <c r="K338" s="378" t="s">
        <v>2341</v>
      </c>
      <c r="L338" s="64" t="s">
        <v>2399</v>
      </c>
      <c r="M338" s="64" t="s">
        <v>4416</v>
      </c>
      <c r="N338" s="64" t="s">
        <v>5311</v>
      </c>
      <c r="O338" s="64" t="s">
        <v>6208</v>
      </c>
      <c r="P338" s="61" t="s">
        <v>440</v>
      </c>
      <c r="Q338" s="67" t="s">
        <v>2552</v>
      </c>
      <c r="R338" s="163" t="s">
        <v>2530</v>
      </c>
      <c r="S338" s="164" t="s">
        <v>2316</v>
      </c>
      <c r="T338" s="134" t="str">
        <f>IF(R338="Bogs Ponds Streams","20",IF(R338="Coastal Areas","26",IF(R338="Meadows Dry Open","10",IF(R338="Forest &amp; Understory","14",IF(R338="Moist Open","12",IF(R338="Moist Shady","10",IF(R338="Sub-Alpine Slopes","0")))))))</f>
        <v>14</v>
      </c>
      <c r="U338" s="134" t="str">
        <f>IF(R338="Bogs Ponds Streams","52",IF(R338="Coastal Areas","51",IF(R338="Meadows Dry Open","53",IF(R338="Forest &amp; Understory","52",IF(R338="Moist Open","50",IF(R338="Moist Shady","46",IF(R338="Sub-Alpine Slopes","40")))))))</f>
        <v>52</v>
      </c>
      <c r="V338" s="134" t="str">
        <f>IF(R338="Bogs Ponds Streams","84",IF(R338="Coastal Areas","76",IF(R338="Meadows Dry Open","96", IF(R338="Forest &amp; Understory","90", IF(R338="Moist Open","88", IF(R338="Moist Shady","82", IF(R338="Sub-Alpine Slopes","80")))))))</f>
        <v>90</v>
      </c>
      <c r="W338" s="67">
        <v>20</v>
      </c>
      <c r="X338" s="67">
        <v>0</v>
      </c>
      <c r="Y338" s="67">
        <v>3500</v>
      </c>
      <c r="Z338" s="67" t="s">
        <v>2519</v>
      </c>
      <c r="AA338" s="67" t="s">
        <v>2518</v>
      </c>
      <c r="AB338" s="67">
        <v>6.8</v>
      </c>
      <c r="AC338" s="85">
        <f>C338+AK338+(0.1)*AL338</f>
        <v>3</v>
      </c>
      <c r="AD338" s="78">
        <v>2</v>
      </c>
      <c r="AE338" s="68">
        <v>2</v>
      </c>
      <c r="AF338" s="68">
        <v>1</v>
      </c>
      <c r="AG338" s="78">
        <v>1983</v>
      </c>
      <c r="AH338" s="78">
        <v>0</v>
      </c>
      <c r="AI338" s="78">
        <v>2013</v>
      </c>
      <c r="AJ338" s="67">
        <v>2012</v>
      </c>
      <c r="AK338" s="67">
        <v>2</v>
      </c>
      <c r="AL338" s="67">
        <v>0</v>
      </c>
      <c r="AM338" s="70">
        <v>5</v>
      </c>
      <c r="AN338" s="70">
        <v>0</v>
      </c>
      <c r="AO338" s="86">
        <v>0</v>
      </c>
      <c r="AP338" s="70">
        <v>0</v>
      </c>
      <c r="AQ338" s="70">
        <v>0</v>
      </c>
      <c r="AR338" s="70">
        <v>0</v>
      </c>
      <c r="AS338" s="86">
        <v>0</v>
      </c>
      <c r="AT338" s="70">
        <v>0</v>
      </c>
      <c r="AU338" s="70">
        <v>0</v>
      </c>
      <c r="AV338" s="70">
        <v>0</v>
      </c>
      <c r="AW338" s="86">
        <v>0</v>
      </c>
      <c r="AX338" s="70">
        <v>0</v>
      </c>
      <c r="AY338" s="233"/>
      <c r="AZ338" s="11"/>
      <c r="BA338" s="35">
        <f ca="1">IF(OR(S338="North America",S338="Rocky Mountain"), "Widespread",BC338)</f>
        <v>2035.9761654188949</v>
      </c>
      <c r="BB338" s="11"/>
      <c r="BC338" s="35">
        <f ca="1">IF(BE338&gt;2046, "Abundant",BE338)</f>
        <v>2035.9761654188949</v>
      </c>
      <c r="BD338" s="11"/>
      <c r="BE338" s="81">
        <f ca="1">YEAR($C$13)+(BG338*80)</f>
        <v>2035.9761654188949</v>
      </c>
      <c r="BF338" s="11"/>
      <c r="BG338" s="137">
        <f ca="1">BH338*$BH$14</f>
        <v>0.21220206773618536</v>
      </c>
      <c r="BH338" s="137">
        <f ca="1">(((BJ338+BK338+BM338+BN338)/4)*$BM$11)+(((BP338+BQ338)/2)*$BQ$11)+(((BU338+BV338+BW338)/3)*$BU$11)+(((BY338+BZ338+CA338+CB338+CC338)/5)*$CA$11)</f>
        <v>0.21220206773618536</v>
      </c>
      <c r="BI338" s="11"/>
      <c r="BJ338" s="33">
        <f>AP338/(AM338+AO338)</f>
        <v>0</v>
      </c>
      <c r="BK338" s="33">
        <f>(AN338+AO338)/(AM338+AO338)</f>
        <v>0</v>
      </c>
      <c r="BL338" s="11"/>
      <c r="BM338" s="127">
        <f>CF338/102</f>
        <v>2.9411764705882353E-2</v>
      </c>
      <c r="BN338" s="127">
        <f>C338/2</f>
        <v>0.5</v>
      </c>
      <c r="BO338" s="11"/>
      <c r="BP338" s="127">
        <f>(AK338)/($AW$6)</f>
        <v>2.0202020202020204E-2</v>
      </c>
      <c r="BQ338" s="127">
        <f ca="1">(CH338-$AW$4)/((YEAR($C$13))-$AW$4)</f>
        <v>0.53333333333333333</v>
      </c>
      <c r="BR338" s="127">
        <f>(AL338)/($AW$6)</f>
        <v>0</v>
      </c>
      <c r="BS338" s="11"/>
      <c r="BT338" s="127"/>
      <c r="BU338" s="127">
        <f ca="1">(CG338-$AW$4)/((YEAR($C$13))-$AW$4)</f>
        <v>0.6</v>
      </c>
      <c r="BV338" s="127">
        <f>AE338/5</f>
        <v>0.4</v>
      </c>
      <c r="BW338" s="127">
        <f>AF338/5</f>
        <v>0.2</v>
      </c>
      <c r="BX338" s="11"/>
      <c r="BY338" s="148" t="str">
        <f>IF(E338="A",".98",IF(E338="B",".99",IF(E338="C","1.00",IF(E338="D","1.00" ))))</f>
        <v>1.00</v>
      </c>
      <c r="BZ338" s="127">
        <f>(CE338+7)/10</f>
        <v>1</v>
      </c>
      <c r="CA338" s="76" t="str">
        <f>IF(D338="Fern",".97",IF(D338="Grass",".99",IF(D338="Herb",".97",IF(D338="Shrub",".99",IF(D338="Tree","1.00",IF(D338="Vine",".98"))))))</f>
        <v>.97</v>
      </c>
      <c r="CB338" s="149" t="str">
        <f>IF(R338="Bogs Ponds Streams",".96", IF(R338="Coastal Areas",".97",IF(R338="Meadows Dry Open",".96",IF(R338="Forest &amp; Understory",".97",IF(R338="Moist Open",".98",IF(R338="Moist Shady",".96",IF(R338="Sub-Alpine","1.0")))))))</f>
        <v>.97</v>
      </c>
      <c r="CC338" s="76" t="str">
        <f>IF(S338="Local Endemic",".50",IF(S338="Regional Endemic",".70",IF(S338="Cascadia",".90",IF(S338="Rocky Mountain",".95",IF(S338="North America",".99")))))</f>
        <v>.50</v>
      </c>
      <c r="CD338" s="11"/>
      <c r="CE338" s="21">
        <f>IF(W338&gt;3,3,W338)</f>
        <v>3</v>
      </c>
      <c r="CF338" s="21">
        <f>IF(AC338&gt;102,102,AC338)</f>
        <v>3</v>
      </c>
      <c r="CG338" s="34">
        <f>IF(AI338&lt;$AW$4,$AW$4,AI338)</f>
        <v>2013</v>
      </c>
      <c r="CH338" s="34">
        <f>IF(AJ338&lt;$AW$4,$AW$4,AJ338)</f>
        <v>2012</v>
      </c>
      <c r="CI338" s="11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11"/>
      <c r="DC338" s="11"/>
      <c r="DD338" s="11"/>
      <c r="DE338" s="11"/>
      <c r="DF338" s="11"/>
      <c r="DG338" s="11"/>
      <c r="DH338" s="11"/>
      <c r="DI338" s="11"/>
      <c r="DJ338" s="11"/>
      <c r="DK338" s="12"/>
    </row>
    <row r="339" spans="1:115" s="13" customFormat="1" ht="15" customHeight="1" x14ac:dyDescent="0.3">
      <c r="A339" s="235"/>
      <c r="B339" s="218"/>
      <c r="C339" s="375">
        <v>1</v>
      </c>
      <c r="D339" s="67" t="s">
        <v>2505</v>
      </c>
      <c r="E339" s="67" t="s">
        <v>2501</v>
      </c>
      <c r="F339" s="403" t="str">
        <f ca="1">IF(BC339&lt;2025, "Extinct&lt; 6Yrs?",BA339)</f>
        <v>Abundant</v>
      </c>
      <c r="G339" s="376" t="s">
        <v>525</v>
      </c>
      <c r="H339" s="376" t="s">
        <v>4028</v>
      </c>
      <c r="I339" s="380" t="s">
        <v>446</v>
      </c>
      <c r="J339" s="378" t="s">
        <v>3780</v>
      </c>
      <c r="K339" s="378" t="s">
        <v>965</v>
      </c>
      <c r="L339" s="63" t="s">
        <v>1430</v>
      </c>
      <c r="M339" s="64" t="s">
        <v>4417</v>
      </c>
      <c r="N339" s="64" t="s">
        <v>5312</v>
      </c>
      <c r="O339" s="64" t="s">
        <v>6209</v>
      </c>
      <c r="P339" s="61" t="s">
        <v>437</v>
      </c>
      <c r="Q339" s="67" t="s">
        <v>2552</v>
      </c>
      <c r="R339" s="61" t="s">
        <v>2497</v>
      </c>
      <c r="S339" s="61" t="s">
        <v>2459</v>
      </c>
      <c r="T339" s="134" t="str">
        <f>IF(R339="Bogs Ponds Streams","20",IF(R339="Coastal Areas","26",IF(R339="Meadows Dry Open","10",IF(R339="Forest &amp; Understory","14",IF(R339="Moist Open","12",IF(R339="Moist Shady","10",IF(R339="Sub-Alpine Slopes","0")))))))</f>
        <v>12</v>
      </c>
      <c r="U339" s="134" t="str">
        <f>IF(R339="Bogs Ponds Streams","52",IF(R339="Coastal Areas","51",IF(R339="Meadows Dry Open","53",IF(R339="Forest &amp; Understory","52",IF(R339="Moist Open","50",IF(R339="Moist Shady","46",IF(R339="Sub-Alpine Slopes","40")))))))</f>
        <v>50</v>
      </c>
      <c r="V339" s="134" t="str">
        <f>IF(R339="Bogs Ponds Streams","84",IF(R339="Coastal Areas","76",IF(R339="Meadows Dry Open","96", IF(R339="Forest &amp; Understory","90", IF(R339="Moist Open","88", IF(R339="Moist Shady","82", IF(R339="Sub-Alpine Slopes","80")))))))</f>
        <v>88</v>
      </c>
      <c r="W339" s="67">
        <v>20</v>
      </c>
      <c r="X339" s="67">
        <v>0</v>
      </c>
      <c r="Y339" s="67">
        <v>3500</v>
      </c>
      <c r="Z339" s="67" t="s">
        <v>2519</v>
      </c>
      <c r="AA339" s="67" t="s">
        <v>2518</v>
      </c>
      <c r="AB339" s="67">
        <v>6.8</v>
      </c>
      <c r="AC339" s="85">
        <f>C339+AK339+(0.1)*AL339</f>
        <v>5</v>
      </c>
      <c r="AD339" s="78">
        <v>325</v>
      </c>
      <c r="AE339" s="68">
        <v>3</v>
      </c>
      <c r="AF339" s="68">
        <v>4</v>
      </c>
      <c r="AG339" s="78">
        <v>1925</v>
      </c>
      <c r="AH339" s="78">
        <v>0</v>
      </c>
      <c r="AI339" s="78">
        <v>2011</v>
      </c>
      <c r="AJ339" s="69">
        <f ca="1">YEAR(TODAY())</f>
        <v>2019</v>
      </c>
      <c r="AK339" s="69">
        <v>4</v>
      </c>
      <c r="AL339" s="69">
        <v>0</v>
      </c>
      <c r="AM339" s="69">
        <v>1</v>
      </c>
      <c r="AN339" s="69">
        <v>1</v>
      </c>
      <c r="AO339" s="69">
        <v>5</v>
      </c>
      <c r="AP339" s="69">
        <v>1</v>
      </c>
      <c r="AQ339" s="69">
        <v>0</v>
      </c>
      <c r="AR339" s="69">
        <v>0</v>
      </c>
      <c r="AS339" s="69">
        <v>0</v>
      </c>
      <c r="AT339" s="69">
        <v>0</v>
      </c>
      <c r="AU339" s="69">
        <v>0</v>
      </c>
      <c r="AV339" s="69">
        <v>0</v>
      </c>
      <c r="AW339" s="69">
        <v>0</v>
      </c>
      <c r="AX339" s="69">
        <v>0</v>
      </c>
      <c r="AY339" s="233"/>
      <c r="AZ339" s="4"/>
      <c r="BA339" s="35" t="str">
        <f ca="1">IF(OR(S339="North America",S339="Rocky Mountain"), "Widespread",BC339)</f>
        <v>Abundant</v>
      </c>
      <c r="BB339" s="4"/>
      <c r="BC339" s="35" t="str">
        <f ca="1">IF(BE339&gt;2046, "Abundant",BE339)</f>
        <v>Abundant</v>
      </c>
      <c r="BD339" s="4"/>
      <c r="BE339" s="81">
        <f ca="1">YEAR($C$13)+(BG339*80)</f>
        <v>2057.6073060011881</v>
      </c>
      <c r="BF339" s="4"/>
      <c r="BG339" s="137">
        <f ca="1">BH339*$BH$14</f>
        <v>0.48259132501485447</v>
      </c>
      <c r="BH339" s="137">
        <f ca="1">(((BJ339+BK339+BM339+BN339)/4)*$BM$11)+(((BP339+BQ339)/2)*$BQ$11)+(((BU339+BV339+BW339)/3)*$BU$11)+(((BY339+BZ339+CA339+CB339+CC339)/5)*$CA$11)</f>
        <v>0.48259132501485447</v>
      </c>
      <c r="BI339" s="4"/>
      <c r="BJ339" s="33">
        <f>AP339/(AM339+AO339)</f>
        <v>0.16666666666666666</v>
      </c>
      <c r="BK339" s="33">
        <f>(AN339+AO339)/(AM339+AO339)</f>
        <v>1</v>
      </c>
      <c r="BL339" s="4"/>
      <c r="BM339" s="127">
        <f>CF339/102</f>
        <v>4.9019607843137254E-2</v>
      </c>
      <c r="BN339" s="127">
        <f>C339/2</f>
        <v>0.5</v>
      </c>
      <c r="BO339" s="4"/>
      <c r="BP339" s="127">
        <f>(AK339)/($AW$6)</f>
        <v>4.0404040404040407E-2</v>
      </c>
      <c r="BQ339" s="127">
        <f ca="1">(CH339-$AW$4)/((YEAR($C$13))-$AW$4)</f>
        <v>1</v>
      </c>
      <c r="BR339" s="127">
        <f>(AL339)/($AW$6)</f>
        <v>0</v>
      </c>
      <c r="BS339" s="4"/>
      <c r="BT339" s="127"/>
      <c r="BU339" s="127">
        <f ca="1">(CG339-$AW$4)/((YEAR($C$13))-$AW$4)</f>
        <v>0.46666666666666667</v>
      </c>
      <c r="BV339" s="127">
        <f>AE339/5</f>
        <v>0.6</v>
      </c>
      <c r="BW339" s="127">
        <f>AF339/5</f>
        <v>0.8</v>
      </c>
      <c r="BX339" s="4"/>
      <c r="BY339" s="148" t="str">
        <f>IF(E339="A",".98",IF(E339="B",".99",IF(E339="C","1.00",IF(E339="D","1.00" ))))</f>
        <v>1.00</v>
      </c>
      <c r="BZ339" s="127">
        <f>(CE339+7)/10</f>
        <v>1</v>
      </c>
      <c r="CA339" s="76" t="str">
        <f>IF(D339="Fern",".97",IF(D339="Grass",".99",IF(D339="Herb",".97",IF(D339="Shrub",".99",IF(D339="Tree","1.00",IF(D339="Vine",".98"))))))</f>
        <v>.97</v>
      </c>
      <c r="CB339" s="149" t="str">
        <f>IF(R339="Bogs Ponds Streams",".96", IF(R339="Coastal Areas",".97",IF(R339="Meadows Dry Open",".96",IF(R339="Forest &amp; Understory",".97",IF(R339="Moist Open",".98",IF(R339="Moist Shady",".96",IF(R339="Sub-Alpine","1.0")))))))</f>
        <v>.98</v>
      </c>
      <c r="CC339" s="76" t="str">
        <f>IF(S339="Local Endemic",".50",IF(S339="Regional Endemic",".70",IF(S339="Cascadia",".90",IF(S339="Rocky Mountain",".95",IF(S339="North America",".99")))))</f>
        <v>.90</v>
      </c>
      <c r="CD339" s="4"/>
      <c r="CE339" s="21">
        <f>IF(W339&gt;3,3,W339)</f>
        <v>3</v>
      </c>
      <c r="CF339" s="21">
        <f>IF(AC339&gt;102,102,AC339)</f>
        <v>5</v>
      </c>
      <c r="CG339" s="34">
        <f>IF(AI339&lt;$AW$4,$AW$4,AI339)</f>
        <v>2011</v>
      </c>
      <c r="CH339" s="34">
        <f ca="1">IF(AJ339&lt;$AW$4,$AW$4,AJ339)</f>
        <v>2019</v>
      </c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</row>
    <row r="340" spans="1:115" s="13" customFormat="1" ht="15" customHeight="1" x14ac:dyDescent="0.3">
      <c r="A340" s="235"/>
      <c r="B340" s="218"/>
      <c r="C340" s="225">
        <v>8</v>
      </c>
      <c r="D340" s="59" t="s">
        <v>2505</v>
      </c>
      <c r="E340" s="59" t="s">
        <v>2501</v>
      </c>
      <c r="F340" s="397" t="str">
        <f ca="1">IF(BC340&lt;2025, "Extinct&lt; 6Yrs?",BA340)</f>
        <v>Widespread</v>
      </c>
      <c r="G340" s="363" t="s">
        <v>525</v>
      </c>
      <c r="H340" s="363" t="s">
        <v>689</v>
      </c>
      <c r="I340" s="364" t="s">
        <v>2640</v>
      </c>
      <c r="J340" s="365" t="s">
        <v>3309</v>
      </c>
      <c r="K340" s="365" t="s">
        <v>2765</v>
      </c>
      <c r="L340" s="17" t="s">
        <v>1431</v>
      </c>
      <c r="M340" s="8" t="s">
        <v>4418</v>
      </c>
      <c r="N340" s="8" t="s">
        <v>5313</v>
      </c>
      <c r="O340" s="8" t="s">
        <v>6210</v>
      </c>
      <c r="P340" s="398" t="s">
        <v>51</v>
      </c>
      <c r="Q340" s="59" t="s">
        <v>2552</v>
      </c>
      <c r="R340" s="9" t="s">
        <v>2500</v>
      </c>
      <c r="S340" s="9" t="s">
        <v>2479</v>
      </c>
      <c r="T340" s="123" t="str">
        <f>IF(R340="Bogs Ponds Streams","20",IF(R340="Coastal Areas","26",IF(R340="Meadows Dry Open","10",IF(R340="Forest &amp; Understory","14",IF(R340="Moist Open","12",IF(R340="Moist Shady","10",IF(R340="Sub-Alpine Slopes","0")))))))</f>
        <v>10</v>
      </c>
      <c r="U340" s="123" t="str">
        <f>IF(R340="Bogs Ponds Streams","52",IF(R340="Coastal Areas","51",IF(R340="Meadows Dry Open","53",IF(R340="Forest &amp; Understory","52",IF(R340="Moist Open","50",IF(R340="Moist Shady","46",IF(R340="Sub-Alpine Slopes","40")))))))</f>
        <v>53</v>
      </c>
      <c r="V340" s="123" t="str">
        <f>IF(R340="Bogs Ponds Streams","84",IF(R340="Coastal Areas","76",IF(R340="Meadows Dry Open","96", IF(R340="Forest &amp; Understory","90", IF(R340="Moist Open","88", IF(R340="Moist Shady","82", IF(R340="Sub-Alpine Slopes","80")))))))</f>
        <v>96</v>
      </c>
      <c r="W340" s="59">
        <v>20</v>
      </c>
      <c r="X340" s="59">
        <v>0</v>
      </c>
      <c r="Y340" s="59">
        <v>3500</v>
      </c>
      <c r="Z340" s="59" t="s">
        <v>2519</v>
      </c>
      <c r="AA340" s="59" t="s">
        <v>2518</v>
      </c>
      <c r="AB340" s="59">
        <v>6.8</v>
      </c>
      <c r="AC340" s="45">
        <f>C340+AK340+(0.1)*AL340</f>
        <v>14.2</v>
      </c>
      <c r="AD340" s="77">
        <v>55</v>
      </c>
      <c r="AE340" s="59">
        <v>5</v>
      </c>
      <c r="AF340" s="59">
        <v>5</v>
      </c>
      <c r="AG340" s="59">
        <v>1900</v>
      </c>
      <c r="AH340" s="77">
        <v>0</v>
      </c>
      <c r="AI340" s="59">
        <f>AJ340</f>
        <v>2004</v>
      </c>
      <c r="AJ340" s="18">
        <v>2004</v>
      </c>
      <c r="AK340" s="18">
        <v>4</v>
      </c>
      <c r="AL340" s="18">
        <v>22</v>
      </c>
      <c r="AM340" s="24">
        <v>5</v>
      </c>
      <c r="AN340" s="24">
        <v>1</v>
      </c>
      <c r="AO340" s="25">
        <v>0</v>
      </c>
      <c r="AP340" s="24">
        <v>0</v>
      </c>
      <c r="AQ340" s="24">
        <v>0</v>
      </c>
      <c r="AR340" s="24">
        <v>0</v>
      </c>
      <c r="AS340" s="25">
        <v>0</v>
      </c>
      <c r="AT340" s="24">
        <v>0</v>
      </c>
      <c r="AU340" s="24">
        <v>0</v>
      </c>
      <c r="AV340" s="24">
        <v>0</v>
      </c>
      <c r="AW340" s="25">
        <v>0</v>
      </c>
      <c r="AX340" s="24">
        <v>0</v>
      </c>
      <c r="AY340" s="233"/>
      <c r="AZ340" s="4"/>
      <c r="BA340" s="35" t="str">
        <f>IF(OR(S340="North America",S340="Rocky Mountain"), "Widespread",BC340)</f>
        <v>Widespread</v>
      </c>
      <c r="BB340" s="4"/>
      <c r="BC340" s="35" t="str">
        <f ca="1">IF(BE340&gt;2046, "Abundant",BE340)</f>
        <v>Abundant</v>
      </c>
      <c r="BD340" s="4"/>
      <c r="BE340" s="81">
        <f ca="1">YEAR($C$13)+(BG340*80)</f>
        <v>2077.3837033868094</v>
      </c>
      <c r="BF340" s="4"/>
      <c r="BG340" s="137">
        <f ca="1">BH340*$BH$14</f>
        <v>0.72979629233511578</v>
      </c>
      <c r="BH340" s="137">
        <f ca="1">(((BJ340+BK340+BM340+BN340)/4)*$BM$11)+(((BP340+BQ340)/2)*$BQ$11)+(((BU340+BV340+BW340)/3)*$BU$11)+(((BY340+BZ340+CA340+CB340+CC340)/5)*$CA$11)</f>
        <v>0.72979629233511578</v>
      </c>
      <c r="BI340" s="4"/>
      <c r="BJ340" s="33">
        <f>AP340/(AM340+AO340)</f>
        <v>0</v>
      </c>
      <c r="BK340" s="33">
        <f>(AN340+AO340)/(AM340+AO340)</f>
        <v>0.2</v>
      </c>
      <c r="BL340" s="4"/>
      <c r="BM340" s="127">
        <f>CF340/102</f>
        <v>0.13921568627450981</v>
      </c>
      <c r="BN340" s="127">
        <f>C340/2</f>
        <v>4</v>
      </c>
      <c r="BO340" s="4"/>
      <c r="BP340" s="127">
        <f>(AK340)/($AW$6)</f>
        <v>4.0404040404040407E-2</v>
      </c>
      <c r="BQ340" s="127">
        <f ca="1">(CH340-$AW$4)/((YEAR($C$13))-$AW$4)</f>
        <v>0</v>
      </c>
      <c r="BR340" s="127">
        <f>(AL340)/($AW$6)</f>
        <v>0.22222222222222221</v>
      </c>
      <c r="BS340" s="4"/>
      <c r="BT340" s="127"/>
      <c r="BU340" s="127">
        <f ca="1">(CG340-$AW$4)/((YEAR($C$13))-$AW$4)</f>
        <v>0</v>
      </c>
      <c r="BV340" s="127">
        <f>AE340/5</f>
        <v>1</v>
      </c>
      <c r="BW340" s="127">
        <f>AF340/5</f>
        <v>1</v>
      </c>
      <c r="BX340" s="4"/>
      <c r="BY340" s="148" t="str">
        <f>IF(E340="A",".98",IF(E340="B",".99",IF(E340="C","1.00",IF(E340="D","1.00" ))))</f>
        <v>1.00</v>
      </c>
      <c r="BZ340" s="127">
        <f>(CE340+7)/10</f>
        <v>1</v>
      </c>
      <c r="CA340" s="76" t="str">
        <f>IF(D340="Fern",".97",IF(D340="Grass",".99",IF(D340="Herb",".97",IF(D340="Shrub",".99",IF(D340="Tree","1.00",IF(D340="Vine",".98"))))))</f>
        <v>.97</v>
      </c>
      <c r="CB340" s="149" t="str">
        <f>IF(R340="Bogs Ponds Streams",".96", IF(R340="Coastal Areas",".97",IF(R340="Meadows Dry Open",".96",IF(R340="Forest &amp; Understory",".97",IF(R340="Moist Open",".98",IF(R340="Moist Shady",".96",IF(R340="Sub-Alpine","1.0")))))))</f>
        <v>.96</v>
      </c>
      <c r="CC340" s="76" t="str">
        <f>IF(S340="Local Endemic",".50",IF(S340="Regional Endemic",".70",IF(S340="Cascadia",".90",IF(S340="Rocky Mountain",".95",IF(S340="North America",".99")))))</f>
        <v>.95</v>
      </c>
      <c r="CD340" s="4"/>
      <c r="CE340" s="21">
        <f>IF(W340&gt;3,3,W340)</f>
        <v>3</v>
      </c>
      <c r="CF340" s="21">
        <f>IF(AC340&gt;102,102,AC340)</f>
        <v>14.2</v>
      </c>
      <c r="CG340" s="34">
        <f>IF(AI340&lt;$AW$4,$AW$4,AI340)</f>
        <v>2004</v>
      </c>
      <c r="CH340" s="34">
        <f>IF(AJ340&lt;$AW$4,$AW$4,AJ340)</f>
        <v>2004</v>
      </c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</row>
    <row r="341" spans="1:115" s="13" customFormat="1" ht="15" customHeight="1" x14ac:dyDescent="0.3">
      <c r="A341" s="235"/>
      <c r="B341" s="218"/>
      <c r="C341" s="225">
        <v>8</v>
      </c>
      <c r="D341" s="59" t="s">
        <v>2506</v>
      </c>
      <c r="E341" s="60" t="s">
        <v>2501</v>
      </c>
      <c r="F341" s="397" t="str">
        <f ca="1">IF(BC341&lt;2025, "Extinct&lt; 6Yrs?",BA341)</f>
        <v>Abundant</v>
      </c>
      <c r="G341" s="363" t="s">
        <v>525</v>
      </c>
      <c r="H341" s="363" t="s">
        <v>691</v>
      </c>
      <c r="I341" s="366" t="s">
        <v>182</v>
      </c>
      <c r="J341" s="365" t="s">
        <v>3308</v>
      </c>
      <c r="K341" s="365" t="s">
        <v>181</v>
      </c>
      <c r="L341" s="10" t="s">
        <v>1432</v>
      </c>
      <c r="M341" s="8" t="s">
        <v>4419</v>
      </c>
      <c r="N341" s="8" t="s">
        <v>5314</v>
      </c>
      <c r="O341" s="8" t="s">
        <v>6211</v>
      </c>
      <c r="P341" s="9" t="s">
        <v>180</v>
      </c>
      <c r="Q341" s="59" t="s">
        <v>2552</v>
      </c>
      <c r="R341" s="9" t="s">
        <v>2498</v>
      </c>
      <c r="S341" s="9" t="s">
        <v>2459</v>
      </c>
      <c r="T341" s="123" t="str">
        <f>IF(R341="Bogs Ponds Streams","20",IF(R341="Coastal Areas","26",IF(R341="Meadows Dry Open","10",IF(R341="Forest &amp; Understory","14",IF(R341="Moist Open","12",IF(R341="Moist Shady","10",IF(R341="Sub-Alpine Slopes","0")))))))</f>
        <v>10</v>
      </c>
      <c r="U341" s="123" t="str">
        <f>IF(R341="Bogs Ponds Streams","52",IF(R341="Coastal Areas","51",IF(R341="Meadows Dry Open","53",IF(R341="Forest &amp; Understory","52",IF(R341="Moist Open","50",IF(R341="Moist Shady","46",IF(R341="Sub-Alpine Slopes","40")))))))</f>
        <v>46</v>
      </c>
      <c r="V341" s="123" t="str">
        <f>IF(R341="Bogs Ponds Streams","84",IF(R341="Coastal Areas","76",IF(R341="Meadows Dry Open","96", IF(R341="Forest &amp; Understory","90", IF(R341="Moist Open","88", IF(R341="Moist Shady","82", IF(R341="Sub-Alpine Slopes","80")))))))</f>
        <v>82</v>
      </c>
      <c r="W341" s="59">
        <v>20</v>
      </c>
      <c r="X341" s="59">
        <v>0</v>
      </c>
      <c r="Y341" s="59">
        <v>3500</v>
      </c>
      <c r="Z341" s="59" t="s">
        <v>2519</v>
      </c>
      <c r="AA341" s="59" t="s">
        <v>2518</v>
      </c>
      <c r="AB341" s="59">
        <v>6.8</v>
      </c>
      <c r="AC341" s="45">
        <f>C341+AK341+(0.1)*AL341</f>
        <v>13</v>
      </c>
      <c r="AD341" s="77">
        <v>12</v>
      </c>
      <c r="AE341" s="60">
        <v>3</v>
      </c>
      <c r="AF341" s="60">
        <v>5</v>
      </c>
      <c r="AG341" s="77">
        <v>1925</v>
      </c>
      <c r="AH341" s="77">
        <v>0</v>
      </c>
      <c r="AI341" s="77">
        <v>2013</v>
      </c>
      <c r="AJ341" s="18">
        <f ca="1">YEAR(TODAY())</f>
        <v>2019</v>
      </c>
      <c r="AK341" s="18">
        <v>5</v>
      </c>
      <c r="AL341" s="18">
        <v>0</v>
      </c>
      <c r="AM341" s="18">
        <v>1</v>
      </c>
      <c r="AN341" s="18">
        <v>1</v>
      </c>
      <c r="AO341" s="18">
        <v>5</v>
      </c>
      <c r="AP341" s="18">
        <v>1</v>
      </c>
      <c r="AQ341" s="18">
        <v>0</v>
      </c>
      <c r="AR341" s="18">
        <v>0</v>
      </c>
      <c r="AS341" s="18">
        <v>0</v>
      </c>
      <c r="AT341" s="18">
        <v>0</v>
      </c>
      <c r="AU341" s="18">
        <v>0</v>
      </c>
      <c r="AV341" s="18">
        <v>0</v>
      </c>
      <c r="AW341" s="18">
        <v>0</v>
      </c>
      <c r="AX341" s="18">
        <v>0</v>
      </c>
      <c r="AY341" s="233"/>
      <c r="AZ341" s="4"/>
      <c r="BA341" s="35" t="str">
        <f ca="1">IF(OR(S341="North America",S341="Rocky Mountain"), "Widespread",BC341)</f>
        <v>Abundant</v>
      </c>
      <c r="BB341" s="4"/>
      <c r="BC341" s="35" t="str">
        <f ca="1">IF(BE341&gt;2046, "Abundant",BE341)</f>
        <v>Abundant</v>
      </c>
      <c r="BD341" s="4"/>
      <c r="BE341" s="81">
        <f ca="1">YEAR($C$13)+(BG341*80)</f>
        <v>2101.3808057040997</v>
      </c>
      <c r="BF341" s="4"/>
      <c r="BG341" s="137">
        <f ca="1">BH341*$BH$14</f>
        <v>1.0297600713012478</v>
      </c>
      <c r="BH341" s="137">
        <f ca="1">(((BJ341+BK341+BM341+BN341)/4)*$BM$11)+(((BP341+BQ341)/2)*$BQ$11)+(((BU341+BV341+BW341)/3)*$BU$11)+(((BY341+BZ341+CA341+CB341+CC341)/5)*$CA$11)</f>
        <v>1.0297600713012478</v>
      </c>
      <c r="BI341" s="4"/>
      <c r="BJ341" s="33">
        <f>AP341/(AM341+AO341)</f>
        <v>0.16666666666666666</v>
      </c>
      <c r="BK341" s="33">
        <f>(AN341+AO341)/(AM341+AO341)</f>
        <v>1</v>
      </c>
      <c r="BL341" s="4"/>
      <c r="BM341" s="127">
        <f>CF341/102</f>
        <v>0.12745098039215685</v>
      </c>
      <c r="BN341" s="127">
        <f>C341/2</f>
        <v>4</v>
      </c>
      <c r="BO341" s="4"/>
      <c r="BP341" s="127">
        <f>(AK341)/($AW$6)</f>
        <v>5.0505050505050504E-2</v>
      </c>
      <c r="BQ341" s="127">
        <f ca="1">(CH341-$AW$4)/((YEAR($C$13))-$AW$4)</f>
        <v>1</v>
      </c>
      <c r="BR341" s="127">
        <f>(AL341)/($AW$6)</f>
        <v>0</v>
      </c>
      <c r="BS341" s="4"/>
      <c r="BT341" s="127"/>
      <c r="BU341" s="127">
        <f ca="1">(CG341-$AW$4)/((YEAR($C$13))-$AW$4)</f>
        <v>0.6</v>
      </c>
      <c r="BV341" s="127">
        <f>AE341/5</f>
        <v>0.6</v>
      </c>
      <c r="BW341" s="127">
        <f>AF341/5</f>
        <v>1</v>
      </c>
      <c r="BX341" s="4"/>
      <c r="BY341" s="148" t="str">
        <f>IF(E341="A",".98",IF(E341="B",".99",IF(E341="C","1.00",IF(E341="D","1.00" ))))</f>
        <v>1.00</v>
      </c>
      <c r="BZ341" s="127">
        <f>(CE341+7)/10</f>
        <v>1</v>
      </c>
      <c r="CA341" s="76" t="str">
        <f>IF(D341="Fern",".97",IF(D341="Grass",".99",IF(D341="Herb",".97",IF(D341="Shrub",".99",IF(D341="Tree","1.00",IF(D341="Vine",".98"))))))</f>
        <v>.99</v>
      </c>
      <c r="CB341" s="149" t="str">
        <f>IF(R341="Bogs Ponds Streams",".96", IF(R341="Coastal Areas",".97",IF(R341="Meadows Dry Open",".96",IF(R341="Forest &amp; Understory",".97",IF(R341="Moist Open",".98",IF(R341="Moist Shady",".96",IF(R341="Sub-Alpine","1.0")))))))</f>
        <v>.96</v>
      </c>
      <c r="CC341" s="76" t="str">
        <f>IF(S341="Local Endemic",".50",IF(S341="Regional Endemic",".70",IF(S341="Cascadia",".90",IF(S341="Rocky Mountain",".95",IF(S341="North America",".99")))))</f>
        <v>.90</v>
      </c>
      <c r="CD341" s="4"/>
      <c r="CE341" s="21">
        <f>IF(W341&gt;3,3,W341)</f>
        <v>3</v>
      </c>
      <c r="CF341" s="21">
        <f>IF(AC341&gt;102,102,AC341)</f>
        <v>13</v>
      </c>
      <c r="CG341" s="34">
        <f>IF(AI341&lt;$AW$4,$AW$4,AI341)</f>
        <v>2013</v>
      </c>
      <c r="CH341" s="34">
        <f ca="1">IF(AJ341&lt;$AW$4,$AW$4,AJ341)</f>
        <v>2019</v>
      </c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12"/>
    </row>
    <row r="342" spans="1:115" s="13" customFormat="1" ht="15" customHeight="1" x14ac:dyDescent="0.3">
      <c r="A342" s="235"/>
      <c r="B342" s="218"/>
      <c r="C342" s="225">
        <v>8</v>
      </c>
      <c r="D342" s="59" t="s">
        <v>2505</v>
      </c>
      <c r="E342" s="59" t="s">
        <v>2501</v>
      </c>
      <c r="F342" s="397" t="str">
        <f ca="1">IF(BC342&lt;2025, "Extinct&lt; 6Yrs?",BA342)</f>
        <v>Widespread</v>
      </c>
      <c r="G342" s="363" t="s">
        <v>525</v>
      </c>
      <c r="H342" s="363" t="s">
        <v>681</v>
      </c>
      <c r="I342" s="366" t="s">
        <v>1163</v>
      </c>
      <c r="J342" s="365" t="s">
        <v>3307</v>
      </c>
      <c r="K342" s="365" t="s">
        <v>0</v>
      </c>
      <c r="L342" s="10" t="s">
        <v>1433</v>
      </c>
      <c r="M342" s="8" t="s">
        <v>4420</v>
      </c>
      <c r="N342" s="8" t="s">
        <v>5315</v>
      </c>
      <c r="O342" s="8" t="s">
        <v>6212</v>
      </c>
      <c r="P342" s="398" t="s">
        <v>468</v>
      </c>
      <c r="Q342" s="59" t="s">
        <v>2552</v>
      </c>
      <c r="R342" s="160" t="s">
        <v>2497</v>
      </c>
      <c r="S342" s="17" t="s">
        <v>2479</v>
      </c>
      <c r="T342" s="123" t="str">
        <f>IF(R342="Bogs Ponds Streams","20",IF(R342="Coastal Areas","26",IF(R342="Meadows Dry Open","10",IF(R342="Forest &amp; Understory","14",IF(R342="Moist Open","12",IF(R342="Moist Shady","10",IF(R342="Sub-Alpine Slopes","0")))))))</f>
        <v>12</v>
      </c>
      <c r="U342" s="123" t="str">
        <f>IF(R342="Bogs Ponds Streams","52",IF(R342="Coastal Areas","51",IF(R342="Meadows Dry Open","53",IF(R342="Forest &amp; Understory","52",IF(R342="Moist Open","50",IF(R342="Moist Shady","46",IF(R342="Sub-Alpine Slopes","40")))))))</f>
        <v>50</v>
      </c>
      <c r="V342" s="123" t="str">
        <f>IF(R342="Bogs Ponds Streams","84",IF(R342="Coastal Areas","76",IF(R342="Meadows Dry Open","96", IF(R342="Forest &amp; Understory","90", IF(R342="Moist Open","88", IF(R342="Moist Shady","82", IF(R342="Sub-Alpine Slopes","80")))))))</f>
        <v>88</v>
      </c>
      <c r="W342" s="59">
        <v>20</v>
      </c>
      <c r="X342" s="59">
        <v>0</v>
      </c>
      <c r="Y342" s="59">
        <v>3500</v>
      </c>
      <c r="Z342" s="59" t="s">
        <v>2519</v>
      </c>
      <c r="AA342" s="59" t="s">
        <v>2518</v>
      </c>
      <c r="AB342" s="59">
        <v>6.8</v>
      </c>
      <c r="AC342" s="45">
        <f>C342+AK342+(0.1)*AL342</f>
        <v>20.2</v>
      </c>
      <c r="AD342" s="77">
        <v>54</v>
      </c>
      <c r="AE342" s="59">
        <v>5</v>
      </c>
      <c r="AF342" s="59">
        <v>5</v>
      </c>
      <c r="AG342" s="59">
        <v>1900</v>
      </c>
      <c r="AH342" s="77">
        <v>0</v>
      </c>
      <c r="AI342" s="59">
        <f ca="1">AJ342</f>
        <v>2019</v>
      </c>
      <c r="AJ342" s="18">
        <f ca="1">YEAR(TODAY())</f>
        <v>2019</v>
      </c>
      <c r="AK342" s="18">
        <v>10</v>
      </c>
      <c r="AL342" s="18">
        <v>22</v>
      </c>
      <c r="AM342" s="18">
        <v>1</v>
      </c>
      <c r="AN342" s="18">
        <v>1</v>
      </c>
      <c r="AO342" s="18">
        <v>5</v>
      </c>
      <c r="AP342" s="18">
        <v>1</v>
      </c>
      <c r="AQ342" s="18">
        <v>0</v>
      </c>
      <c r="AR342" s="18">
        <v>0</v>
      </c>
      <c r="AS342" s="18">
        <v>0</v>
      </c>
      <c r="AT342" s="18">
        <v>0</v>
      </c>
      <c r="AU342" s="18">
        <v>0</v>
      </c>
      <c r="AV342" s="18">
        <v>0</v>
      </c>
      <c r="AW342" s="18">
        <v>0</v>
      </c>
      <c r="AX342" s="18">
        <v>0</v>
      </c>
      <c r="AY342" s="233"/>
      <c r="AZ342" s="4"/>
      <c r="BA342" s="35" t="str">
        <f>IF(OR(S342="North America",S342="Rocky Mountain"), "Widespread",BC342)</f>
        <v>Widespread</v>
      </c>
      <c r="BB342" s="4"/>
      <c r="BC342" s="35" t="str">
        <f ca="1">IF(BE342&gt;2046, "Abundant",BE342)</f>
        <v>Abundant</v>
      </c>
      <c r="BD342" s="4"/>
      <c r="BE342" s="81">
        <f ca="1">YEAR($C$13)+(BG342*80)</f>
        <v>2104.5565918003567</v>
      </c>
      <c r="BF342" s="4"/>
      <c r="BG342" s="137">
        <f ca="1">BH342*$BH$14</f>
        <v>1.0694573975044566</v>
      </c>
      <c r="BH342" s="137">
        <f ca="1">(((BJ342+BK342+BM342+BN342)/4)*$BM$11)+(((BP342+BQ342)/2)*$BQ$11)+(((BU342+BV342+BW342)/3)*$BU$11)+(((BY342+BZ342+CA342+CB342+CC342)/5)*$CA$11)</f>
        <v>1.0694573975044566</v>
      </c>
      <c r="BI342" s="4"/>
      <c r="BJ342" s="33">
        <f>AP342/(AM342+AO342)</f>
        <v>0.16666666666666666</v>
      </c>
      <c r="BK342" s="33">
        <f>(AN342+AO342)/(AM342+AO342)</f>
        <v>1</v>
      </c>
      <c r="BL342" s="4"/>
      <c r="BM342" s="127">
        <f>CF342/102</f>
        <v>0.1980392156862745</v>
      </c>
      <c r="BN342" s="127">
        <f>C342/2</f>
        <v>4</v>
      </c>
      <c r="BO342" s="4"/>
      <c r="BP342" s="127">
        <f>(AK342)/($AW$6)</f>
        <v>0.10101010101010101</v>
      </c>
      <c r="BQ342" s="127">
        <f ca="1">(CH342-$AW$4)/((YEAR($C$13))-$AW$4)</f>
        <v>1</v>
      </c>
      <c r="BR342" s="127">
        <f>(AL342)/($AW$6)</f>
        <v>0.22222222222222221</v>
      </c>
      <c r="BS342" s="4"/>
      <c r="BT342" s="127"/>
      <c r="BU342" s="127">
        <f ca="1">(CG342-$AW$4)/((YEAR($C$13))-$AW$4)</f>
        <v>1</v>
      </c>
      <c r="BV342" s="127">
        <f>AE342/5</f>
        <v>1</v>
      </c>
      <c r="BW342" s="127">
        <f>AF342/5</f>
        <v>1</v>
      </c>
      <c r="BX342" s="4"/>
      <c r="BY342" s="148" t="str">
        <f>IF(E342="A",".98",IF(E342="B",".99",IF(E342="C","1.00",IF(E342="D","1.00" ))))</f>
        <v>1.00</v>
      </c>
      <c r="BZ342" s="127">
        <f>(CE342+7)/10</f>
        <v>1</v>
      </c>
      <c r="CA342" s="76" t="str">
        <f>IF(D342="Fern",".97",IF(D342="Grass",".99",IF(D342="Herb",".97",IF(D342="Shrub",".99",IF(D342="Tree","1.00",IF(D342="Vine",".98"))))))</f>
        <v>.97</v>
      </c>
      <c r="CB342" s="149" t="str">
        <f>IF(R342="Bogs Ponds Streams",".96", IF(R342="Coastal Areas",".97",IF(R342="Meadows Dry Open",".96",IF(R342="Forest &amp; Understory",".97",IF(R342="Moist Open",".98",IF(R342="Moist Shady",".96",IF(R342="Sub-Alpine","1.0")))))))</f>
        <v>.98</v>
      </c>
      <c r="CC342" s="76" t="str">
        <f>IF(S342="Local Endemic",".50",IF(S342="Regional Endemic",".70",IF(S342="Cascadia",".90",IF(S342="Rocky Mountain",".95",IF(S342="North America",".99")))))</f>
        <v>.95</v>
      </c>
      <c r="CD342" s="4"/>
      <c r="CE342" s="21">
        <f>IF(W342&gt;3,3,W342)</f>
        <v>3</v>
      </c>
      <c r="CF342" s="21">
        <f>IF(AC342&gt;102,102,AC342)</f>
        <v>20.2</v>
      </c>
      <c r="CG342" s="34">
        <f ca="1">IF(AI342&lt;$AW$4,$AW$4,AI342)</f>
        <v>2019</v>
      </c>
      <c r="CH342" s="34">
        <f ca="1">IF(AJ342&lt;$AW$4,$AW$4,AJ342)</f>
        <v>2019</v>
      </c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</row>
    <row r="343" spans="1:115" s="13" customFormat="1" ht="15" customHeight="1" x14ac:dyDescent="0.3">
      <c r="A343" s="235"/>
      <c r="B343" s="218"/>
      <c r="C343" s="226">
        <v>2</v>
      </c>
      <c r="D343" s="104" t="s">
        <v>2505</v>
      </c>
      <c r="E343" s="104" t="s">
        <v>2502</v>
      </c>
      <c r="F343" s="400" t="str">
        <f ca="1">IF(BC343&lt;2025, "Extinct&lt; 6Yrs?",BA343)</f>
        <v>Widespread</v>
      </c>
      <c r="G343" s="369" t="s">
        <v>525</v>
      </c>
      <c r="H343" s="369" t="s">
        <v>4028</v>
      </c>
      <c r="I343" s="372" t="s">
        <v>2641</v>
      </c>
      <c r="J343" s="371" t="s">
        <v>2766</v>
      </c>
      <c r="K343" s="371" t="s">
        <v>2177</v>
      </c>
      <c r="L343" s="114" t="s">
        <v>1434</v>
      </c>
      <c r="M343" s="111" t="s">
        <v>4421</v>
      </c>
      <c r="N343" s="111" t="s">
        <v>5316</v>
      </c>
      <c r="O343" s="111" t="s">
        <v>6213</v>
      </c>
      <c r="P343" s="401" t="s">
        <v>51</v>
      </c>
      <c r="Q343" s="104" t="s">
        <v>2552</v>
      </c>
      <c r="R343" s="105" t="s">
        <v>2499</v>
      </c>
      <c r="S343" s="103" t="s">
        <v>2495</v>
      </c>
      <c r="T343" s="133" t="str">
        <f>IF(R343="Bogs Ponds Streams","20",IF(R343="Coastal Areas","26",IF(R343="Meadows Dry Open","10",IF(R343="Forest &amp; Understory","14",IF(R343="Moist Open","12",IF(R343="Moist Shady","10",IF(R343="Sub-Alpine Slopes","0")))))))</f>
        <v>20</v>
      </c>
      <c r="U343" s="133" t="str">
        <f>IF(R343="Bogs Ponds Streams","52",IF(R343="Coastal Areas","51",IF(R343="Meadows Dry Open","53",IF(R343="Forest &amp; Understory","52",IF(R343="Moist Open","50",IF(R343="Moist Shady","46",IF(R343="Sub-Alpine Slopes","40")))))))</f>
        <v>52</v>
      </c>
      <c r="V343" s="133" t="str">
        <f>IF(R343="Bogs Ponds Streams","84",IF(R343="Coastal Areas","76",IF(R343="Meadows Dry Open","96", IF(R343="Forest &amp; Understory","90", IF(R343="Moist Open","88", IF(R343="Moist Shady","82", IF(R343="Sub-Alpine Slopes","80")))))))</f>
        <v>84</v>
      </c>
      <c r="W343" s="104">
        <v>1</v>
      </c>
      <c r="X343" s="104">
        <v>0</v>
      </c>
      <c r="Y343" s="104">
        <v>3500</v>
      </c>
      <c r="Z343" s="104" t="s">
        <v>2519</v>
      </c>
      <c r="AA343" s="104" t="s">
        <v>2518</v>
      </c>
      <c r="AB343" s="104">
        <v>6.8</v>
      </c>
      <c r="AC343" s="107">
        <f>C343+AK343+(0.1)*AL343</f>
        <v>5</v>
      </c>
      <c r="AD343" s="113">
        <v>5</v>
      </c>
      <c r="AE343" s="104">
        <v>5</v>
      </c>
      <c r="AF343" s="104">
        <v>5</v>
      </c>
      <c r="AG343" s="104">
        <v>1900</v>
      </c>
      <c r="AH343" s="113">
        <v>0</v>
      </c>
      <c r="AI343" s="104">
        <f>AJ343</f>
        <v>2004</v>
      </c>
      <c r="AJ343" s="108">
        <v>2004</v>
      </c>
      <c r="AK343" s="108">
        <v>3</v>
      </c>
      <c r="AL343" s="108">
        <v>0</v>
      </c>
      <c r="AM343" s="109">
        <v>5</v>
      </c>
      <c r="AN343" s="109">
        <v>1</v>
      </c>
      <c r="AO343" s="109">
        <v>1</v>
      </c>
      <c r="AP343" s="109">
        <v>0</v>
      </c>
      <c r="AQ343" s="109">
        <v>0</v>
      </c>
      <c r="AR343" s="109">
        <v>0</v>
      </c>
      <c r="AS343" s="110">
        <v>0</v>
      </c>
      <c r="AT343" s="109">
        <v>0</v>
      </c>
      <c r="AU343" s="109">
        <v>0</v>
      </c>
      <c r="AV343" s="109">
        <v>0</v>
      </c>
      <c r="AW343" s="110">
        <v>0</v>
      </c>
      <c r="AX343" s="109">
        <v>0</v>
      </c>
      <c r="AY343" s="233"/>
      <c r="AZ343" s="4"/>
      <c r="BA343" s="35" t="str">
        <f>IF(OR(S343="North America",S343="Rocky Mountain"), "Widespread",BC343)</f>
        <v>Widespread</v>
      </c>
      <c r="BB343" s="4"/>
      <c r="BC343" s="35">
        <f ca="1">IF(BE343&gt;2046, "Abundant",BE343)</f>
        <v>2041.7225383244206</v>
      </c>
      <c r="BD343" s="4"/>
      <c r="BE343" s="81">
        <f ca="1">YEAR($C$13)+(BG343*80)</f>
        <v>2041.7225383244206</v>
      </c>
      <c r="BF343" s="4"/>
      <c r="BG343" s="137">
        <f ca="1">BH343*$BH$14</f>
        <v>0.28403172905525842</v>
      </c>
      <c r="BH343" s="137">
        <f ca="1">(((BJ343+BK343+BM343+BN343)/4)*$BM$11)+(((BP343+BQ343)/2)*$BQ$11)+(((BU343+BV343+BW343)/3)*$BU$11)+(((BY343+BZ343+CA343+CB343+CC343)/5)*$CA$11)</f>
        <v>0.28403172905525842</v>
      </c>
      <c r="BI343" s="4"/>
      <c r="BJ343" s="33">
        <f>AP343/(AM343+AO343)</f>
        <v>0</v>
      </c>
      <c r="BK343" s="33">
        <f>(AN343+AO343)/(AM343+AO343)</f>
        <v>0.33333333333333331</v>
      </c>
      <c r="BL343" s="4"/>
      <c r="BM343" s="127">
        <f>CF343/102</f>
        <v>4.9019607843137254E-2</v>
      </c>
      <c r="BN343" s="127">
        <f>C343/2</f>
        <v>1</v>
      </c>
      <c r="BO343" s="4"/>
      <c r="BP343" s="127">
        <f>(AK343)/($AW$6)</f>
        <v>3.0303030303030304E-2</v>
      </c>
      <c r="BQ343" s="127">
        <f ca="1">(CH343-$AW$4)/((YEAR($C$13))-$AW$4)</f>
        <v>0</v>
      </c>
      <c r="BR343" s="127">
        <f>(AL343)/($AW$6)</f>
        <v>0</v>
      </c>
      <c r="BS343" s="4"/>
      <c r="BT343" s="127"/>
      <c r="BU343" s="127">
        <f ca="1">(CG343-$AW$4)/((YEAR($C$13))-$AW$4)</f>
        <v>0</v>
      </c>
      <c r="BV343" s="127">
        <f>AE343/5</f>
        <v>1</v>
      </c>
      <c r="BW343" s="127">
        <f>AF343/5</f>
        <v>1</v>
      </c>
      <c r="BX343" s="4"/>
      <c r="BY343" s="148" t="str">
        <f>IF(E343="A",".98",IF(E343="B",".99",IF(E343="C","1.00",IF(E343="D","1.00" ))))</f>
        <v>.98</v>
      </c>
      <c r="BZ343" s="127">
        <f>(CE343+7)/10</f>
        <v>0.8</v>
      </c>
      <c r="CA343" s="76" t="str">
        <f>IF(D343="Fern",".97",IF(D343="Grass",".99",IF(D343="Herb",".97",IF(D343="Shrub",".99",IF(D343="Tree","1.00",IF(D343="Vine",".98"))))))</f>
        <v>.97</v>
      </c>
      <c r="CB343" s="149" t="str">
        <f>IF(R343="Bogs Ponds Streams",".96", IF(R343="Coastal Areas",".97",IF(R343="Meadows Dry Open",".96",IF(R343="Forest &amp; Understory",".97",IF(R343="Moist Open",".98",IF(R343="Moist Shady",".96",IF(R343="Sub-Alpine","1.0")))))))</f>
        <v>.96</v>
      </c>
      <c r="CC343" s="76" t="str">
        <f>IF(S343="Local Endemic",".50",IF(S343="Regional Endemic",".70",IF(S343="Cascadia",".90",IF(S343="Rocky Mountain",".95",IF(S343="North America",".99")))))</f>
        <v>.99</v>
      </c>
      <c r="CD343" s="4"/>
      <c r="CE343" s="21">
        <f>IF(W343&gt;3,3,W343)</f>
        <v>1</v>
      </c>
      <c r="CF343" s="21">
        <f>IF(AC343&gt;102,102,AC343)</f>
        <v>5</v>
      </c>
      <c r="CG343" s="34">
        <f>IF(AI343&lt;$AW$4,$AW$4,AI343)</f>
        <v>2004</v>
      </c>
      <c r="CH343" s="34">
        <f>IF(AJ343&lt;$AW$4,$AW$4,AJ343)</f>
        <v>2004</v>
      </c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12"/>
    </row>
    <row r="344" spans="1:115" s="13" customFormat="1" ht="15" customHeight="1" x14ac:dyDescent="0.3">
      <c r="A344" s="235"/>
      <c r="B344" s="218"/>
      <c r="C344" s="225">
        <v>8</v>
      </c>
      <c r="D344" s="94" t="s">
        <v>1155</v>
      </c>
      <c r="E344" s="59" t="s">
        <v>2501</v>
      </c>
      <c r="F344" s="397" t="str">
        <f ca="1">IF(BC344&lt;2025, "Extinct&lt; 6Yrs?",BA344)</f>
        <v>Widespread</v>
      </c>
      <c r="G344" s="363" t="s">
        <v>525</v>
      </c>
      <c r="H344" s="363" t="s">
        <v>684</v>
      </c>
      <c r="I344" s="366" t="s">
        <v>258</v>
      </c>
      <c r="J344" s="365" t="s">
        <v>3341</v>
      </c>
      <c r="K344" s="365" t="s">
        <v>3</v>
      </c>
      <c r="L344" s="10" t="s">
        <v>1435</v>
      </c>
      <c r="M344" s="8" t="s">
        <v>4422</v>
      </c>
      <c r="N344" s="8" t="s">
        <v>5317</v>
      </c>
      <c r="O344" s="8" t="s">
        <v>6214</v>
      </c>
      <c r="P344" s="9" t="s">
        <v>468</v>
      </c>
      <c r="Q344" s="59" t="s">
        <v>2552</v>
      </c>
      <c r="R344" s="9" t="s">
        <v>2500</v>
      </c>
      <c r="S344" s="9" t="s">
        <v>2479</v>
      </c>
      <c r="T344" s="123" t="str">
        <f>IF(R344="Bogs Ponds Streams","20",IF(R344="Coastal Areas","26",IF(R344="Meadows Dry Open","10",IF(R344="Forest &amp; Understory","14",IF(R344="Moist Open","12",IF(R344="Moist Shady","10",IF(R344="Sub-Alpine Slopes","0")))))))</f>
        <v>10</v>
      </c>
      <c r="U344" s="123" t="str">
        <f>IF(R344="Bogs Ponds Streams","52",IF(R344="Coastal Areas","51",IF(R344="Meadows Dry Open","53",IF(R344="Forest &amp; Understory","52",IF(R344="Moist Open","50",IF(R344="Moist Shady","46",IF(R344="Sub-Alpine Slopes","40")))))))</f>
        <v>53</v>
      </c>
      <c r="V344" s="123" t="str">
        <f>IF(R344="Bogs Ponds Streams","84",IF(R344="Coastal Areas","76",IF(R344="Meadows Dry Open","96", IF(R344="Forest &amp; Understory","90", IF(R344="Moist Open","88", IF(R344="Moist Shady","82", IF(R344="Sub-Alpine Slopes","80")))))))</f>
        <v>96</v>
      </c>
      <c r="W344" s="59">
        <v>20</v>
      </c>
      <c r="X344" s="59">
        <v>0</v>
      </c>
      <c r="Y344" s="59">
        <v>3500</v>
      </c>
      <c r="Z344" s="59" t="s">
        <v>2519</v>
      </c>
      <c r="AA344" s="59" t="s">
        <v>2518</v>
      </c>
      <c r="AB344" s="59">
        <v>6.8</v>
      </c>
      <c r="AC344" s="45">
        <f>C344+AK344+(0.1)*AL344</f>
        <v>21.3</v>
      </c>
      <c r="AD344" s="77">
        <v>234</v>
      </c>
      <c r="AE344" s="59">
        <v>5</v>
      </c>
      <c r="AF344" s="59">
        <v>5</v>
      </c>
      <c r="AG344" s="59">
        <v>1900</v>
      </c>
      <c r="AH344" s="77">
        <v>0</v>
      </c>
      <c r="AI344" s="59">
        <f ca="1">AJ344</f>
        <v>2019</v>
      </c>
      <c r="AJ344" s="18">
        <f ca="1">YEAR(TODAY())</f>
        <v>2019</v>
      </c>
      <c r="AK344" s="18">
        <v>10</v>
      </c>
      <c r="AL344" s="18">
        <v>33</v>
      </c>
      <c r="AM344" s="18">
        <v>1</v>
      </c>
      <c r="AN344" s="18">
        <v>1</v>
      </c>
      <c r="AO344" s="24">
        <v>1</v>
      </c>
      <c r="AP344" s="24">
        <v>0</v>
      </c>
      <c r="AQ344" s="18">
        <v>0</v>
      </c>
      <c r="AR344" s="18">
        <v>0</v>
      </c>
      <c r="AS344" s="18">
        <v>0</v>
      </c>
      <c r="AT344" s="18">
        <v>0</v>
      </c>
      <c r="AU344" s="18">
        <v>0</v>
      </c>
      <c r="AV344" s="18">
        <v>0</v>
      </c>
      <c r="AW344" s="18">
        <v>0</v>
      </c>
      <c r="AX344" s="18">
        <v>0</v>
      </c>
      <c r="AY344" s="233"/>
      <c r="AZ344" s="4"/>
      <c r="BA344" s="35" t="str">
        <f>IF(OR(S344="North America",S344="Rocky Mountain"), "Widespread",BC344)</f>
        <v>Widespread</v>
      </c>
      <c r="BB344" s="4"/>
      <c r="BC344" s="35" t="str">
        <f ca="1">IF(BE344&gt;2046, "Abundant",BE344)</f>
        <v>Abundant</v>
      </c>
      <c r="BD344" s="4"/>
      <c r="BE344" s="81">
        <f ca="1">YEAR($C$13)+(BG344*80)</f>
        <v>2102.6860035650625</v>
      </c>
      <c r="BF344" s="4"/>
      <c r="BG344" s="137">
        <f ca="1">BH344*$BH$14</f>
        <v>1.04607504456328</v>
      </c>
      <c r="BH344" s="137">
        <f ca="1">(((BJ344+BK344+BM344+BN344)/4)*$BM$11)+(((BP344+BQ344)/2)*$BQ$11)+(((BU344+BV344+BW344)/3)*$BU$11)+(((BY344+BZ344+CA344+CB344+CC344)/5)*$CA$11)</f>
        <v>1.04607504456328</v>
      </c>
      <c r="BI344" s="4"/>
      <c r="BJ344" s="33">
        <f>AP344/(AM344+AO344)</f>
        <v>0</v>
      </c>
      <c r="BK344" s="33">
        <f>(AN344+AO344)/(AM344+AO344)</f>
        <v>1</v>
      </c>
      <c r="BL344" s="4"/>
      <c r="BM344" s="127">
        <f>CF344/102</f>
        <v>0.20882352941176471</v>
      </c>
      <c r="BN344" s="127">
        <f>C344/2</f>
        <v>4</v>
      </c>
      <c r="BO344" s="4"/>
      <c r="BP344" s="127">
        <f>(AK344)/($AW$6)</f>
        <v>0.10101010101010101</v>
      </c>
      <c r="BQ344" s="127">
        <f ca="1">(CH344-$AW$4)/((YEAR($C$13))-$AW$4)</f>
        <v>1</v>
      </c>
      <c r="BR344" s="127">
        <f>(AL344)/($AW$6)</f>
        <v>0.33333333333333331</v>
      </c>
      <c r="BS344" s="4"/>
      <c r="BT344" s="127"/>
      <c r="BU344" s="127">
        <f ca="1">(CG344-$AW$4)/((YEAR($C$13))-$AW$4)</f>
        <v>1</v>
      </c>
      <c r="BV344" s="127">
        <f>AE344/5</f>
        <v>1</v>
      </c>
      <c r="BW344" s="127">
        <f>AF344/5</f>
        <v>1</v>
      </c>
      <c r="BX344" s="4"/>
      <c r="BY344" s="148" t="str">
        <f>IF(E344="A",".98",IF(E344="B",".99",IF(E344="C","1.00",IF(E344="D","1.00" ))))</f>
        <v>1.00</v>
      </c>
      <c r="BZ344" s="127">
        <f>(CE344+7)/10</f>
        <v>1</v>
      </c>
      <c r="CA344" s="76" t="str">
        <f>IF(D344="Fern",".97",IF(D344="Grass",".99",IF(D344="Herb",".97",IF(D344="Shrub",".99",IF(D344="Tree","1.00",IF(D344="Vine",".98"))))))</f>
        <v>.99</v>
      </c>
      <c r="CB344" s="149" t="str">
        <f>IF(R344="Bogs Ponds Streams",".96", IF(R344="Coastal Areas",".97",IF(R344="Meadows Dry Open",".96",IF(R344="Forest &amp; Understory",".97",IF(R344="Moist Open",".98",IF(R344="Moist Shady",".96",IF(R344="Sub-Alpine","1.0")))))))</f>
        <v>.96</v>
      </c>
      <c r="CC344" s="76" t="str">
        <f>IF(S344="Local Endemic",".50",IF(S344="Regional Endemic",".70",IF(S344="Cascadia",".90",IF(S344="Rocky Mountain",".95",IF(S344="North America",".99")))))</f>
        <v>.95</v>
      </c>
      <c r="CD344" s="4"/>
      <c r="CE344" s="21">
        <f>IF(W344&gt;3,3,W344)</f>
        <v>3</v>
      </c>
      <c r="CF344" s="21">
        <f>IF(AC344&gt;102,102,AC344)</f>
        <v>21.3</v>
      </c>
      <c r="CG344" s="34">
        <f ca="1">IF(AI344&lt;$AW$4,$AW$4,AI344)</f>
        <v>2019</v>
      </c>
      <c r="CH344" s="34">
        <f ca="1">IF(AJ344&lt;$AW$4,$AW$4,AJ344)</f>
        <v>2019</v>
      </c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</row>
    <row r="345" spans="1:115" s="13" customFormat="1" ht="15" customHeight="1" x14ac:dyDescent="0.3">
      <c r="A345" s="235"/>
      <c r="B345" s="218"/>
      <c r="C345" s="375">
        <v>1</v>
      </c>
      <c r="D345" s="95" t="s">
        <v>1155</v>
      </c>
      <c r="E345" s="67" t="s">
        <v>2501</v>
      </c>
      <c r="F345" s="403" t="str">
        <f ca="1">IF(BC345&lt;2025, "Extinct&lt; 6Yrs?",BA345)</f>
        <v>Widespread</v>
      </c>
      <c r="G345" s="376" t="s">
        <v>525</v>
      </c>
      <c r="H345" s="376" t="s">
        <v>4028</v>
      </c>
      <c r="I345" s="380" t="s">
        <v>222</v>
      </c>
      <c r="J345" s="378" t="s">
        <v>3343</v>
      </c>
      <c r="K345" s="378" t="s">
        <v>334</v>
      </c>
      <c r="L345" s="63" t="s">
        <v>1436</v>
      </c>
      <c r="M345" s="64" t="s">
        <v>4423</v>
      </c>
      <c r="N345" s="64" t="s">
        <v>5318</v>
      </c>
      <c r="O345" s="64" t="s">
        <v>6215</v>
      </c>
      <c r="P345" s="61" t="s">
        <v>468</v>
      </c>
      <c r="Q345" s="67" t="s">
        <v>2552</v>
      </c>
      <c r="R345" s="163" t="s">
        <v>2497</v>
      </c>
      <c r="S345" s="65" t="s">
        <v>2479</v>
      </c>
      <c r="T345" s="134" t="str">
        <f>IF(R345="Bogs Ponds Streams","20",IF(R345="Coastal Areas","26",IF(R345="Meadows Dry Open","10",IF(R345="Forest &amp; Understory","14",IF(R345="Moist Open","12",IF(R345="Moist Shady","10",IF(R345="Sub-Alpine Slopes","0")))))))</f>
        <v>12</v>
      </c>
      <c r="U345" s="134" t="str">
        <f>IF(R345="Bogs Ponds Streams","52",IF(R345="Coastal Areas","51",IF(R345="Meadows Dry Open","53",IF(R345="Forest &amp; Understory","52",IF(R345="Moist Open","50",IF(R345="Moist Shady","46",IF(R345="Sub-Alpine Slopes","40")))))))</f>
        <v>50</v>
      </c>
      <c r="V345" s="134" t="str">
        <f>IF(R345="Bogs Ponds Streams","84",IF(R345="Coastal Areas","76",IF(R345="Meadows Dry Open","96", IF(R345="Forest &amp; Understory","90", IF(R345="Moist Open","88", IF(R345="Moist Shady","82", IF(R345="Sub-Alpine Slopes","80")))))))</f>
        <v>88</v>
      </c>
      <c r="W345" s="67">
        <v>20</v>
      </c>
      <c r="X345" s="67">
        <v>0</v>
      </c>
      <c r="Y345" s="67">
        <v>3500</v>
      </c>
      <c r="Z345" s="67" t="s">
        <v>2519</v>
      </c>
      <c r="AA345" s="67" t="s">
        <v>2518</v>
      </c>
      <c r="AB345" s="67">
        <v>6.8</v>
      </c>
      <c r="AC345" s="85">
        <f>C345+AK345+(0.1)*AL345</f>
        <v>28.5</v>
      </c>
      <c r="AD345" s="78">
        <v>135</v>
      </c>
      <c r="AE345" s="67">
        <v>5</v>
      </c>
      <c r="AF345" s="67">
        <v>5</v>
      </c>
      <c r="AG345" s="67">
        <v>1900</v>
      </c>
      <c r="AH345" s="78">
        <v>0</v>
      </c>
      <c r="AI345" s="67">
        <f>AJ345</f>
        <v>2004</v>
      </c>
      <c r="AJ345" s="69">
        <v>2004</v>
      </c>
      <c r="AK345" s="69">
        <v>22</v>
      </c>
      <c r="AL345" s="69">
        <v>55</v>
      </c>
      <c r="AM345" s="70">
        <v>5</v>
      </c>
      <c r="AN345" s="70">
        <v>0</v>
      </c>
      <c r="AO345" s="86">
        <v>0</v>
      </c>
      <c r="AP345" s="70">
        <v>0</v>
      </c>
      <c r="AQ345" s="70">
        <v>0</v>
      </c>
      <c r="AR345" s="70">
        <v>0</v>
      </c>
      <c r="AS345" s="86">
        <v>0</v>
      </c>
      <c r="AT345" s="70">
        <v>0</v>
      </c>
      <c r="AU345" s="70">
        <v>0</v>
      </c>
      <c r="AV345" s="70">
        <v>0</v>
      </c>
      <c r="AW345" s="86">
        <v>0</v>
      </c>
      <c r="AX345" s="70">
        <v>0</v>
      </c>
      <c r="AY345" s="233"/>
      <c r="AZ345" s="4"/>
      <c r="BA345" s="35" t="str">
        <f>IF(OR(S345="North America",S345="Rocky Mountain"), "Widespread",BC345)</f>
        <v>Widespread</v>
      </c>
      <c r="BB345" s="4"/>
      <c r="BC345" s="35">
        <f ca="1">IF(BE345&gt;2046, "Abundant",BE345)</f>
        <v>2036.8606745098039</v>
      </c>
      <c r="BD345" s="4"/>
      <c r="BE345" s="81">
        <f ca="1">YEAR($C$13)+(BG345*80)</f>
        <v>2036.8606745098039</v>
      </c>
      <c r="BF345" s="4"/>
      <c r="BG345" s="137">
        <f ca="1">BH345*$BH$14</f>
        <v>0.223258431372549</v>
      </c>
      <c r="BH345" s="137">
        <f ca="1">(((BJ345+BK345+BM345+BN345)/4)*$BM$11)+(((BP345+BQ345)/2)*$BQ$11)+(((BU345+BV345+BW345)/3)*$BU$11)+(((BY345+BZ345+CA345+CB345+CC345)/5)*$CA$11)</f>
        <v>0.223258431372549</v>
      </c>
      <c r="BI345" s="4"/>
      <c r="BJ345" s="33">
        <f>AP345/(AM345+AO345)</f>
        <v>0</v>
      </c>
      <c r="BK345" s="33">
        <f>(AN345+AO345)/(AM345+AO345)</f>
        <v>0</v>
      </c>
      <c r="BL345" s="4"/>
      <c r="BM345" s="127">
        <f>CF345/102</f>
        <v>0.27941176470588236</v>
      </c>
      <c r="BN345" s="127">
        <f>C345/2</f>
        <v>0.5</v>
      </c>
      <c r="BO345" s="4"/>
      <c r="BP345" s="127">
        <f>(AK345)/($AW$6)</f>
        <v>0.22222222222222221</v>
      </c>
      <c r="BQ345" s="127">
        <f ca="1">(CH345-$AW$4)/((YEAR($C$13))-$AW$4)</f>
        <v>0</v>
      </c>
      <c r="BR345" s="127">
        <f>(AL345)/($AW$6)</f>
        <v>0.55555555555555558</v>
      </c>
      <c r="BS345" s="4"/>
      <c r="BT345" s="127"/>
      <c r="BU345" s="127">
        <f ca="1">(CG345-$AW$4)/((YEAR($C$13))-$AW$4)</f>
        <v>0</v>
      </c>
      <c r="BV345" s="127">
        <f>AE345/5</f>
        <v>1</v>
      </c>
      <c r="BW345" s="127">
        <f>AF345/5</f>
        <v>1</v>
      </c>
      <c r="BX345" s="4"/>
      <c r="BY345" s="148" t="str">
        <f>IF(E345="A",".98",IF(E345="B",".99",IF(E345="C","1.00",IF(E345="D","1.00" ))))</f>
        <v>1.00</v>
      </c>
      <c r="BZ345" s="127">
        <f>(CE345+7)/10</f>
        <v>1</v>
      </c>
      <c r="CA345" s="76" t="str">
        <f>IF(D345="Fern",".97",IF(D345="Grass",".99",IF(D345="Herb",".97",IF(D345="Shrub",".99",IF(D345="Tree","1.00",IF(D345="Vine",".98"))))))</f>
        <v>.99</v>
      </c>
      <c r="CB345" s="149" t="str">
        <f>IF(R345="Bogs Ponds Streams",".96", IF(R345="Coastal Areas",".97",IF(R345="Meadows Dry Open",".96",IF(R345="Forest &amp; Understory",".97",IF(R345="Moist Open",".98",IF(R345="Moist Shady",".96",IF(R345="Sub-Alpine","1.0")))))))</f>
        <v>.98</v>
      </c>
      <c r="CC345" s="76" t="str">
        <f>IF(S345="Local Endemic",".50",IF(S345="Regional Endemic",".70",IF(S345="Cascadia",".90",IF(S345="Rocky Mountain",".95",IF(S345="North America",".99")))))</f>
        <v>.95</v>
      </c>
      <c r="CD345" s="4"/>
      <c r="CE345" s="21">
        <f>IF(W345&gt;3,3,W345)</f>
        <v>3</v>
      </c>
      <c r="CF345" s="21">
        <f>IF(AC345&gt;102,102,AC345)</f>
        <v>28.5</v>
      </c>
      <c r="CG345" s="34">
        <f>IF(AI345&lt;$AW$4,$AW$4,AI345)</f>
        <v>2004</v>
      </c>
      <c r="CH345" s="34">
        <f>IF(AJ345&lt;$AW$4,$AW$4,AJ345)</f>
        <v>2004</v>
      </c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</row>
    <row r="346" spans="1:115" s="13" customFormat="1" ht="15" customHeight="1" x14ac:dyDescent="0.3">
      <c r="A346" s="235"/>
      <c r="B346" s="218"/>
      <c r="C346" s="225">
        <v>8</v>
      </c>
      <c r="D346" s="94" t="s">
        <v>1155</v>
      </c>
      <c r="E346" s="59" t="s">
        <v>2501</v>
      </c>
      <c r="F346" s="397" t="str">
        <f ca="1">IF(BC346&lt;2025, "Extinct&lt; 6Yrs?",BA346)</f>
        <v>Abundant</v>
      </c>
      <c r="G346" s="363" t="s">
        <v>525</v>
      </c>
      <c r="H346" s="363" t="s">
        <v>681</v>
      </c>
      <c r="I346" s="364" t="s">
        <v>2642</v>
      </c>
      <c r="J346" s="365" t="s">
        <v>3342</v>
      </c>
      <c r="K346" s="365" t="s">
        <v>2767</v>
      </c>
      <c r="L346" s="17" t="s">
        <v>2768</v>
      </c>
      <c r="M346" s="8" t="s">
        <v>4424</v>
      </c>
      <c r="N346" s="8" t="s">
        <v>5319</v>
      </c>
      <c r="O346" s="8" t="s">
        <v>6216</v>
      </c>
      <c r="P346" s="398" t="s">
        <v>468</v>
      </c>
      <c r="Q346" s="59" t="s">
        <v>2552</v>
      </c>
      <c r="R346" s="9" t="s">
        <v>2497</v>
      </c>
      <c r="S346" s="9" t="s">
        <v>2459</v>
      </c>
      <c r="T346" s="123" t="str">
        <f>IF(R346="Bogs Ponds Streams","20",IF(R346="Coastal Areas","26",IF(R346="Meadows Dry Open","10",IF(R346="Forest &amp; Understory","14",IF(R346="Moist Open","12",IF(R346="Moist Shady","10",IF(R346="Sub-Alpine Slopes","0")))))))</f>
        <v>12</v>
      </c>
      <c r="U346" s="123" t="str">
        <f>IF(R346="Bogs Ponds Streams","52",IF(R346="Coastal Areas","51",IF(R346="Meadows Dry Open","53",IF(R346="Forest &amp; Understory","52",IF(R346="Moist Open","50",IF(R346="Moist Shady","46",IF(R346="Sub-Alpine Slopes","40")))))))</f>
        <v>50</v>
      </c>
      <c r="V346" s="123" t="str">
        <f>IF(R346="Bogs Ponds Streams","84",IF(R346="Coastal Areas","76",IF(R346="Meadows Dry Open","96", IF(R346="Forest &amp; Understory","90", IF(R346="Moist Open","88", IF(R346="Moist Shady","82", IF(R346="Sub-Alpine Slopes","80")))))))</f>
        <v>88</v>
      </c>
      <c r="W346" s="59">
        <v>20</v>
      </c>
      <c r="X346" s="59">
        <v>0</v>
      </c>
      <c r="Y346" s="59">
        <v>3500</v>
      </c>
      <c r="Z346" s="59" t="s">
        <v>2519</v>
      </c>
      <c r="AA346" s="59" t="s">
        <v>2518</v>
      </c>
      <c r="AB346" s="59">
        <v>6.8</v>
      </c>
      <c r="AC346" s="45">
        <f>C346+AK346+(0.1)*AL346</f>
        <v>30</v>
      </c>
      <c r="AD346" s="77">
        <v>65</v>
      </c>
      <c r="AE346" s="59">
        <v>5</v>
      </c>
      <c r="AF346" s="59">
        <v>5</v>
      </c>
      <c r="AG346" s="59">
        <v>1900</v>
      </c>
      <c r="AH346" s="77">
        <v>0</v>
      </c>
      <c r="AI346" s="59">
        <f ca="1">AJ346</f>
        <v>2019</v>
      </c>
      <c r="AJ346" s="18">
        <f ca="1">YEAR(TODAY())</f>
        <v>2019</v>
      </c>
      <c r="AK346" s="18">
        <v>22</v>
      </c>
      <c r="AL346" s="18">
        <v>0</v>
      </c>
      <c r="AM346" s="18">
        <v>1</v>
      </c>
      <c r="AN346" s="18">
        <v>1</v>
      </c>
      <c r="AO346" s="25">
        <v>0</v>
      </c>
      <c r="AP346" s="24">
        <v>0</v>
      </c>
      <c r="AQ346" s="18">
        <v>0</v>
      </c>
      <c r="AR346" s="18">
        <v>0</v>
      </c>
      <c r="AS346" s="18">
        <v>0</v>
      </c>
      <c r="AT346" s="18">
        <v>0</v>
      </c>
      <c r="AU346" s="18">
        <v>0</v>
      </c>
      <c r="AV346" s="18">
        <v>0</v>
      </c>
      <c r="AW346" s="18">
        <v>0</v>
      </c>
      <c r="AX346" s="18">
        <v>0</v>
      </c>
      <c r="AY346" s="233"/>
      <c r="AZ346" s="4"/>
      <c r="BA346" s="35" t="str">
        <f ca="1">IF(OR(S346="North America",S346="Rocky Mountain"), "Widespread",BC346)</f>
        <v>Abundant</v>
      </c>
      <c r="BB346" s="4"/>
      <c r="BC346" s="35" t="str">
        <f ca="1">IF(BE346&gt;2046, "Abundant",BE346)</f>
        <v>Abundant</v>
      </c>
      <c r="BD346" s="4"/>
      <c r="BE346" s="81">
        <f ca="1">YEAR($C$13)+(BG346*80)</f>
        <v>2105.1544784313724</v>
      </c>
      <c r="BF346" s="4"/>
      <c r="BG346" s="137">
        <f ca="1">BH346*$BH$14</f>
        <v>1.0769309803921567</v>
      </c>
      <c r="BH346" s="137">
        <f ca="1">(((BJ346+BK346+BM346+BN346)/4)*$BM$11)+(((BP346+BQ346)/2)*$BQ$11)+(((BU346+BV346+BW346)/3)*$BU$11)+(((BY346+BZ346+CA346+CB346+CC346)/5)*$CA$11)</f>
        <v>1.0769309803921567</v>
      </c>
      <c r="BI346" s="4"/>
      <c r="BJ346" s="33">
        <f>AP346/(AM346+AO346)</f>
        <v>0</v>
      </c>
      <c r="BK346" s="33">
        <f>(AN346+AO346)/(AM346+AO346)</f>
        <v>1</v>
      </c>
      <c r="BL346" s="4"/>
      <c r="BM346" s="127">
        <f>CF346/102</f>
        <v>0.29411764705882354</v>
      </c>
      <c r="BN346" s="127">
        <f>C346/2</f>
        <v>4</v>
      </c>
      <c r="BO346" s="4"/>
      <c r="BP346" s="127">
        <f>(AK346)/($AW$6)</f>
        <v>0.22222222222222221</v>
      </c>
      <c r="BQ346" s="127">
        <f ca="1">(CH346-$AW$4)/((YEAR($C$13))-$AW$4)</f>
        <v>1</v>
      </c>
      <c r="BR346" s="127">
        <f>(AL346)/($AW$6)</f>
        <v>0</v>
      </c>
      <c r="BS346" s="4"/>
      <c r="BT346" s="127"/>
      <c r="BU346" s="127">
        <f ca="1">(CG346-$AW$4)/((YEAR($C$13))-$AW$4)</f>
        <v>1</v>
      </c>
      <c r="BV346" s="127">
        <f>AE346/5</f>
        <v>1</v>
      </c>
      <c r="BW346" s="127">
        <f>AF346/5</f>
        <v>1</v>
      </c>
      <c r="BX346" s="4"/>
      <c r="BY346" s="148" t="str">
        <f>IF(E346="A",".98",IF(E346="B",".99",IF(E346="C","1.00",IF(E346="D","1.00" ))))</f>
        <v>1.00</v>
      </c>
      <c r="BZ346" s="127">
        <f>(CE346+7)/10</f>
        <v>1</v>
      </c>
      <c r="CA346" s="76" t="str">
        <f>IF(D346="Fern",".97",IF(D346="Grass",".99",IF(D346="Herb",".97",IF(D346="Shrub",".99",IF(D346="Tree","1.00",IF(D346="Vine",".98"))))))</f>
        <v>.99</v>
      </c>
      <c r="CB346" s="149" t="str">
        <f>IF(R346="Bogs Ponds Streams",".96", IF(R346="Coastal Areas",".97",IF(R346="Meadows Dry Open",".96",IF(R346="Forest &amp; Understory",".97",IF(R346="Moist Open",".98",IF(R346="Moist Shady",".96",IF(R346="Sub-Alpine","1.0")))))))</f>
        <v>.98</v>
      </c>
      <c r="CC346" s="76" t="str">
        <f>IF(S346="Local Endemic",".50",IF(S346="Regional Endemic",".70",IF(S346="Cascadia",".90",IF(S346="Rocky Mountain",".95",IF(S346="North America",".99")))))</f>
        <v>.90</v>
      </c>
      <c r="CD346" s="4"/>
      <c r="CE346" s="21">
        <f>IF(W346&gt;3,3,W346)</f>
        <v>3</v>
      </c>
      <c r="CF346" s="21">
        <f>IF(AC346&gt;102,102,AC346)</f>
        <v>30</v>
      </c>
      <c r="CG346" s="34">
        <f ca="1">IF(AI346&lt;$AW$4,$AW$4,AI346)</f>
        <v>2019</v>
      </c>
      <c r="CH346" s="34">
        <f ca="1">IF(AJ346&lt;$AW$4,$AW$4,AJ346)</f>
        <v>2019</v>
      </c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</row>
    <row r="347" spans="1:115" s="13" customFormat="1" ht="15" customHeight="1" x14ac:dyDescent="0.3">
      <c r="A347" s="235"/>
      <c r="B347" s="218"/>
      <c r="C347" s="225">
        <v>8</v>
      </c>
      <c r="D347" s="94" t="s">
        <v>1155</v>
      </c>
      <c r="E347" s="59" t="s">
        <v>2501</v>
      </c>
      <c r="F347" s="397" t="str">
        <f ca="1">IF(BC347&lt;2025, "Extinct&lt; 6Yrs?",BA347)</f>
        <v>Widespread</v>
      </c>
      <c r="G347" s="363" t="s">
        <v>525</v>
      </c>
      <c r="H347" s="363" t="s">
        <v>680</v>
      </c>
      <c r="I347" s="366" t="s">
        <v>223</v>
      </c>
      <c r="J347" s="365" t="s">
        <v>3343</v>
      </c>
      <c r="K347" s="365" t="s">
        <v>335</v>
      </c>
      <c r="L347" s="10" t="s">
        <v>1437</v>
      </c>
      <c r="M347" s="8" t="s">
        <v>4425</v>
      </c>
      <c r="N347" s="8" t="s">
        <v>5320</v>
      </c>
      <c r="O347" s="8" t="s">
        <v>6217</v>
      </c>
      <c r="P347" s="9" t="s">
        <v>468</v>
      </c>
      <c r="Q347" s="59" t="s">
        <v>2552</v>
      </c>
      <c r="R347" s="160" t="s">
        <v>2497</v>
      </c>
      <c r="S347" s="17" t="s">
        <v>2495</v>
      </c>
      <c r="T347" s="123" t="str">
        <f>IF(R347="Bogs Ponds Streams","20",IF(R347="Coastal Areas","26",IF(R347="Meadows Dry Open","10",IF(R347="Forest &amp; Understory","14",IF(R347="Moist Open","12",IF(R347="Moist Shady","10",IF(R347="Sub-Alpine Slopes","0")))))))</f>
        <v>12</v>
      </c>
      <c r="U347" s="123" t="str">
        <f>IF(R347="Bogs Ponds Streams","52",IF(R347="Coastal Areas","51",IF(R347="Meadows Dry Open","53",IF(R347="Forest &amp; Understory","52",IF(R347="Moist Open","50",IF(R347="Moist Shady","46",IF(R347="Sub-Alpine Slopes","40")))))))</f>
        <v>50</v>
      </c>
      <c r="V347" s="123" t="str">
        <f>IF(R347="Bogs Ponds Streams","84",IF(R347="Coastal Areas","76",IF(R347="Meadows Dry Open","96", IF(R347="Forest &amp; Understory","90", IF(R347="Moist Open","88", IF(R347="Moist Shady","82", IF(R347="Sub-Alpine Slopes","80")))))))</f>
        <v>88</v>
      </c>
      <c r="W347" s="59">
        <v>20</v>
      </c>
      <c r="X347" s="59">
        <v>0</v>
      </c>
      <c r="Y347" s="59">
        <v>3500</v>
      </c>
      <c r="Z347" s="59" t="s">
        <v>2519</v>
      </c>
      <c r="AA347" s="59" t="s">
        <v>2518</v>
      </c>
      <c r="AB347" s="59">
        <v>6.8</v>
      </c>
      <c r="AC347" s="45">
        <f>C347+AK347+(0.1)*AL347</f>
        <v>65.2</v>
      </c>
      <c r="AD347" s="77">
        <v>346</v>
      </c>
      <c r="AE347" s="59">
        <v>5</v>
      </c>
      <c r="AF347" s="59">
        <v>5</v>
      </c>
      <c r="AG347" s="59">
        <v>1900</v>
      </c>
      <c r="AH347" s="77">
        <v>0</v>
      </c>
      <c r="AI347" s="59">
        <f ca="1">AJ347</f>
        <v>2019</v>
      </c>
      <c r="AJ347" s="18">
        <f ca="1">YEAR(TODAY())</f>
        <v>2019</v>
      </c>
      <c r="AK347" s="18">
        <v>55</v>
      </c>
      <c r="AL347" s="18">
        <v>22</v>
      </c>
      <c r="AM347" s="18">
        <v>1</v>
      </c>
      <c r="AN347" s="18">
        <v>1</v>
      </c>
      <c r="AO347" s="25">
        <v>0</v>
      </c>
      <c r="AP347" s="24">
        <v>0</v>
      </c>
      <c r="AQ347" s="18">
        <v>0</v>
      </c>
      <c r="AR347" s="18">
        <v>0</v>
      </c>
      <c r="AS347" s="18">
        <v>0</v>
      </c>
      <c r="AT347" s="18">
        <v>0</v>
      </c>
      <c r="AU347" s="18">
        <v>0</v>
      </c>
      <c r="AV347" s="18">
        <v>0</v>
      </c>
      <c r="AW347" s="18">
        <v>0</v>
      </c>
      <c r="AX347" s="18">
        <v>0</v>
      </c>
      <c r="AY347" s="233"/>
      <c r="AZ347" s="4"/>
      <c r="BA347" s="35" t="str">
        <f>IF(OR(S347="North America",S347="Rocky Mountain"), "Widespread",BC347)</f>
        <v>Widespread</v>
      </c>
      <c r="BB347" s="4"/>
      <c r="BC347" s="35" t="str">
        <f ca="1">IF(BE347&gt;2046, "Abundant",BE347)</f>
        <v>Abundant</v>
      </c>
      <c r="BD347" s="4"/>
      <c r="BE347" s="81">
        <f ca="1">YEAR($C$13)+(BG347*80)</f>
        <v>2113.324454901961</v>
      </c>
      <c r="BF347" s="4"/>
      <c r="BG347" s="137">
        <f ca="1">BH347*$BH$14</f>
        <v>1.1790556862745099</v>
      </c>
      <c r="BH347" s="137">
        <f ca="1">(((BJ347+BK347+BM347+BN347)/4)*$BM$11)+(((BP347+BQ347)/2)*$BQ$11)+(((BU347+BV347+BW347)/3)*$BU$11)+(((BY347+BZ347+CA347+CB347+CC347)/5)*$CA$11)</f>
        <v>1.1790556862745099</v>
      </c>
      <c r="BI347" s="4"/>
      <c r="BJ347" s="33">
        <f>AP347/(AM347+AO347)</f>
        <v>0</v>
      </c>
      <c r="BK347" s="33">
        <f>(AN347+AO347)/(AM347+AO347)</f>
        <v>1</v>
      </c>
      <c r="BL347" s="4"/>
      <c r="BM347" s="127">
        <f>CF347/102</f>
        <v>0.63921568627450986</v>
      </c>
      <c r="BN347" s="127">
        <f>C347/2</f>
        <v>4</v>
      </c>
      <c r="BO347" s="4"/>
      <c r="BP347" s="127">
        <f>(AK347)/($AW$6)</f>
        <v>0.55555555555555558</v>
      </c>
      <c r="BQ347" s="127">
        <f ca="1">(CH347-$AW$4)/((YEAR($C$13))-$AW$4)</f>
        <v>1</v>
      </c>
      <c r="BR347" s="127">
        <f>(AL347)/($AW$6)</f>
        <v>0.22222222222222221</v>
      </c>
      <c r="BS347" s="4"/>
      <c r="BT347" s="127"/>
      <c r="BU347" s="127">
        <f ca="1">(CG347-$AW$4)/((YEAR($C$13))-$AW$4)</f>
        <v>1</v>
      </c>
      <c r="BV347" s="127">
        <f>AE347/5</f>
        <v>1</v>
      </c>
      <c r="BW347" s="127">
        <f>AF347/5</f>
        <v>1</v>
      </c>
      <c r="BX347" s="4"/>
      <c r="BY347" s="148" t="str">
        <f>IF(E347="A",".98",IF(E347="B",".99",IF(E347="C","1.00",IF(E347="D","1.00" ))))</f>
        <v>1.00</v>
      </c>
      <c r="BZ347" s="127">
        <f>(CE347+7)/10</f>
        <v>1</v>
      </c>
      <c r="CA347" s="76" t="str">
        <f>IF(D347="Fern",".97",IF(D347="Grass",".99",IF(D347="Herb",".97",IF(D347="Shrub",".99",IF(D347="Tree","1.00",IF(D347="Vine",".98"))))))</f>
        <v>.99</v>
      </c>
      <c r="CB347" s="149" t="str">
        <f>IF(R347="Bogs Ponds Streams",".96", IF(R347="Coastal Areas",".97",IF(R347="Meadows Dry Open",".96",IF(R347="Forest &amp; Understory",".97",IF(R347="Moist Open",".98",IF(R347="Moist Shady",".96",IF(R347="Sub-Alpine","1.0")))))))</f>
        <v>.98</v>
      </c>
      <c r="CC347" s="76" t="str">
        <f>IF(S347="Local Endemic",".50",IF(S347="Regional Endemic",".70",IF(S347="Cascadia",".90",IF(S347="Rocky Mountain",".95",IF(S347="North America",".99")))))</f>
        <v>.99</v>
      </c>
      <c r="CD347" s="4"/>
      <c r="CE347" s="21">
        <f>IF(W347&gt;3,3,W347)</f>
        <v>3</v>
      </c>
      <c r="CF347" s="21">
        <f>IF(AC347&gt;102,102,AC347)</f>
        <v>65.2</v>
      </c>
      <c r="CG347" s="34">
        <f ca="1">IF(AI347&lt;$AW$4,$AW$4,AI347)</f>
        <v>2019</v>
      </c>
      <c r="CH347" s="34">
        <f ca="1">IF(AJ347&lt;$AW$4,$AW$4,AJ347)</f>
        <v>2019</v>
      </c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</row>
    <row r="348" spans="1:115" s="13" customFormat="1" ht="15" customHeight="1" x14ac:dyDescent="0.3">
      <c r="A348" s="235"/>
      <c r="B348" s="218"/>
      <c r="C348" s="375">
        <v>1</v>
      </c>
      <c r="D348" s="98" t="s">
        <v>2505</v>
      </c>
      <c r="E348" s="67" t="s">
        <v>2501</v>
      </c>
      <c r="F348" s="403">
        <f ca="1">IF(BC348&lt;2025, "Extinct&lt; 6Yrs?",BA348)</f>
        <v>2038.3936617944148</v>
      </c>
      <c r="G348" s="376" t="s">
        <v>525</v>
      </c>
      <c r="H348" s="376" t="s">
        <v>4028</v>
      </c>
      <c r="I348" s="377" t="s">
        <v>2346</v>
      </c>
      <c r="J348" s="378" t="s">
        <v>2402</v>
      </c>
      <c r="K348" s="378" t="s">
        <v>2345</v>
      </c>
      <c r="L348" s="64" t="s">
        <v>2401</v>
      </c>
      <c r="M348" s="64" t="s">
        <v>4426</v>
      </c>
      <c r="N348" s="64" t="s">
        <v>5321</v>
      </c>
      <c r="O348" s="64" t="s">
        <v>6218</v>
      </c>
      <c r="P348" s="61" t="s">
        <v>303</v>
      </c>
      <c r="Q348" s="67" t="s">
        <v>2552</v>
      </c>
      <c r="R348" s="61" t="s">
        <v>2498</v>
      </c>
      <c r="S348" s="164" t="s">
        <v>2309</v>
      </c>
      <c r="T348" s="134" t="str">
        <f>IF(R348="Bogs Ponds Streams","20",IF(R348="Coastal Areas","26",IF(R348="Meadows Dry Open","10",IF(R348="Forest &amp; Understory","14",IF(R348="Moist Open","12",IF(R348="Moist Shady","10",IF(R348="Sub-Alpine Slopes","0")))))))</f>
        <v>10</v>
      </c>
      <c r="U348" s="134" t="str">
        <f>IF(R348="Bogs Ponds Streams","52",IF(R348="Coastal Areas","51",IF(R348="Meadows Dry Open","53",IF(R348="Forest &amp; Understory","52",IF(R348="Moist Open","50",IF(R348="Moist Shady","46",IF(R348="Sub-Alpine Slopes","40")))))))</f>
        <v>46</v>
      </c>
      <c r="V348" s="134" t="str">
        <f>IF(R348="Bogs Ponds Streams","84",IF(R348="Coastal Areas","76",IF(R348="Meadows Dry Open","96", IF(R348="Forest &amp; Understory","90", IF(R348="Moist Open","88", IF(R348="Moist Shady","82", IF(R348="Sub-Alpine Slopes","80")))))))</f>
        <v>82</v>
      </c>
      <c r="W348" s="67">
        <v>20</v>
      </c>
      <c r="X348" s="67">
        <v>0</v>
      </c>
      <c r="Y348" s="67">
        <v>3500</v>
      </c>
      <c r="Z348" s="67" t="s">
        <v>2519</v>
      </c>
      <c r="AA348" s="67" t="s">
        <v>2518</v>
      </c>
      <c r="AB348" s="67">
        <v>6.8</v>
      </c>
      <c r="AC348" s="85">
        <f>C348+AK348+(0.1)*AL348</f>
        <v>2</v>
      </c>
      <c r="AD348" s="78">
        <v>14</v>
      </c>
      <c r="AE348" s="68">
        <v>3</v>
      </c>
      <c r="AF348" s="68">
        <v>2</v>
      </c>
      <c r="AG348" s="78">
        <v>1983</v>
      </c>
      <c r="AH348" s="78">
        <v>0</v>
      </c>
      <c r="AI348" s="78">
        <v>2014</v>
      </c>
      <c r="AJ348" s="67">
        <v>2014</v>
      </c>
      <c r="AK348" s="67">
        <v>1</v>
      </c>
      <c r="AL348" s="67">
        <v>0</v>
      </c>
      <c r="AM348" s="70">
        <v>5</v>
      </c>
      <c r="AN348" s="70">
        <v>0</v>
      </c>
      <c r="AO348" s="86">
        <v>0</v>
      </c>
      <c r="AP348" s="70">
        <v>0</v>
      </c>
      <c r="AQ348" s="70">
        <v>0</v>
      </c>
      <c r="AR348" s="70">
        <v>0</v>
      </c>
      <c r="AS348" s="86">
        <v>0</v>
      </c>
      <c r="AT348" s="70">
        <v>0</v>
      </c>
      <c r="AU348" s="70">
        <v>0</v>
      </c>
      <c r="AV348" s="70">
        <v>0</v>
      </c>
      <c r="AW348" s="86">
        <v>0</v>
      </c>
      <c r="AX348" s="70">
        <v>0</v>
      </c>
      <c r="AY348" s="233"/>
      <c r="AZ348" s="11"/>
      <c r="BA348" s="35">
        <f ca="1">IF(OR(S348="North America",S348="Rocky Mountain"), "Widespread",BC348)</f>
        <v>2038.3936617944148</v>
      </c>
      <c r="BB348" s="11"/>
      <c r="BC348" s="35">
        <f ca="1">IF(BE348&gt;2046, "Abundant",BE348)</f>
        <v>2038.3936617944148</v>
      </c>
      <c r="BD348" s="11"/>
      <c r="BE348" s="81">
        <f ca="1">YEAR($C$13)+(BG348*80)</f>
        <v>2038.3936617944148</v>
      </c>
      <c r="BF348" s="11"/>
      <c r="BG348" s="137">
        <f ca="1">BH348*$BH$14</f>
        <v>0.2424207724301842</v>
      </c>
      <c r="BH348" s="137">
        <f ca="1">(((BJ348+BK348+BM348+BN348)/4)*$BM$11)+(((BP348+BQ348)/2)*$BQ$11)+(((BU348+BV348+BW348)/3)*$BU$11)+(((BY348+BZ348+CA348+CB348+CC348)/5)*$CA$11)</f>
        <v>0.2424207724301842</v>
      </c>
      <c r="BI348" s="11"/>
      <c r="BJ348" s="33">
        <f>AP348/(AM348+AO348)</f>
        <v>0</v>
      </c>
      <c r="BK348" s="33">
        <f>(AN348+AO348)/(AM348+AO348)</f>
        <v>0</v>
      </c>
      <c r="BL348" s="11"/>
      <c r="BM348" s="127">
        <f>CF348/102</f>
        <v>1.9607843137254902E-2</v>
      </c>
      <c r="BN348" s="127">
        <f>C348/2</f>
        <v>0.5</v>
      </c>
      <c r="BO348" s="11"/>
      <c r="BP348" s="127">
        <f>(AK348)/($AW$6)</f>
        <v>1.0101010101010102E-2</v>
      </c>
      <c r="BQ348" s="127">
        <f ca="1">(CH348-$AW$4)/((YEAR($C$13))-$AW$4)</f>
        <v>0.66666666666666663</v>
      </c>
      <c r="BR348" s="127">
        <f>(AL348)/($AW$6)</f>
        <v>0</v>
      </c>
      <c r="BS348" s="11"/>
      <c r="BT348" s="127"/>
      <c r="BU348" s="127">
        <f ca="1">(CG348-$AW$4)/((YEAR($C$13))-$AW$4)</f>
        <v>0.66666666666666663</v>
      </c>
      <c r="BV348" s="127">
        <f>AE348/5</f>
        <v>0.6</v>
      </c>
      <c r="BW348" s="127">
        <f>AF348/5</f>
        <v>0.4</v>
      </c>
      <c r="BX348" s="11"/>
      <c r="BY348" s="148" t="str">
        <f>IF(E348="A",".98",IF(E348="B",".99",IF(E348="C","1.00",IF(E348="D","1.00" ))))</f>
        <v>1.00</v>
      </c>
      <c r="BZ348" s="127">
        <f>(CE348+7)/10</f>
        <v>1</v>
      </c>
      <c r="CA348" s="76" t="str">
        <f>IF(D348="Fern",".97",IF(D348="Grass",".99",IF(D348="Herb",".97",IF(D348="Shrub",".99",IF(D348="Tree","1.00",IF(D348="Vine",".98"))))))</f>
        <v>.97</v>
      </c>
      <c r="CB348" s="149" t="str">
        <f>IF(R348="Bogs Ponds Streams",".96", IF(R348="Coastal Areas",".97",IF(R348="Meadows Dry Open",".96",IF(R348="Forest &amp; Understory",".97",IF(R348="Moist Open",".98",IF(R348="Moist Shady",".96",IF(R348="Sub-Alpine","1.0")))))))</f>
        <v>.96</v>
      </c>
      <c r="CC348" s="76" t="str">
        <f>IF(S348="Local Endemic",".50",IF(S348="Regional Endemic",".70",IF(S348="Cascadia",".90",IF(S348="Rocky Mountain",".95",IF(S348="North America",".99")))))</f>
        <v>.70</v>
      </c>
      <c r="CD348" s="11"/>
      <c r="CE348" s="21">
        <f>IF(W348&gt;3,3,W348)</f>
        <v>3</v>
      </c>
      <c r="CF348" s="21">
        <f>IF(AC348&gt;102,102,AC348)</f>
        <v>2</v>
      </c>
      <c r="CG348" s="34">
        <f>IF(AI348&lt;$AW$4,$AW$4,AI348)</f>
        <v>2014</v>
      </c>
      <c r="CH348" s="34">
        <f>IF(AJ348&lt;$AW$4,$AW$4,AJ348)</f>
        <v>2014</v>
      </c>
      <c r="CI348" s="11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11"/>
      <c r="DC348" s="11"/>
      <c r="DD348" s="11"/>
      <c r="DE348" s="11"/>
      <c r="DF348" s="11"/>
      <c r="DG348" s="11"/>
      <c r="DH348" s="11"/>
      <c r="DI348" s="11"/>
      <c r="DJ348" s="11"/>
      <c r="DK348" s="12"/>
    </row>
    <row r="349" spans="1:115" s="13" customFormat="1" ht="15" customHeight="1" x14ac:dyDescent="0.3">
      <c r="A349" s="235"/>
      <c r="B349" s="218"/>
      <c r="C349" s="225">
        <v>8</v>
      </c>
      <c r="D349" s="59" t="s">
        <v>2505</v>
      </c>
      <c r="E349" s="59" t="s">
        <v>2501</v>
      </c>
      <c r="F349" s="397" t="str">
        <f ca="1">IF(BC349&lt;2025, "Extinct&lt; 6Yrs?",BA349)</f>
        <v>Abundant</v>
      </c>
      <c r="G349" s="363" t="s">
        <v>525</v>
      </c>
      <c r="H349" s="363" t="s">
        <v>685</v>
      </c>
      <c r="I349" s="366" t="s">
        <v>310</v>
      </c>
      <c r="J349" s="365" t="s">
        <v>3344</v>
      </c>
      <c r="K349" s="365" t="s">
        <v>966</v>
      </c>
      <c r="L349" s="10" t="s">
        <v>1438</v>
      </c>
      <c r="M349" s="8" t="s">
        <v>4427</v>
      </c>
      <c r="N349" s="8" t="s">
        <v>5322</v>
      </c>
      <c r="O349" s="8" t="s">
        <v>6219</v>
      </c>
      <c r="P349" s="9" t="s">
        <v>303</v>
      </c>
      <c r="Q349" s="59" t="s">
        <v>2552</v>
      </c>
      <c r="R349" s="9" t="s">
        <v>2453</v>
      </c>
      <c r="S349" s="9" t="s">
        <v>2309</v>
      </c>
      <c r="T349" s="123" t="str">
        <f>IF(R349="Bogs Ponds Streams","20",IF(R349="Coastal Areas","26",IF(R349="Meadows Dry Open","10",IF(R349="Forest &amp; Understory","14",IF(R349="Moist Open","12",IF(R349="Moist Shady","10",IF(R349="Sub-Alpine Slopes","0")))))))</f>
        <v>26</v>
      </c>
      <c r="U349" s="123" t="str">
        <f>IF(R349="Bogs Ponds Streams","52",IF(R349="Coastal Areas","51",IF(R349="Meadows Dry Open","53",IF(R349="Forest &amp; Understory","52",IF(R349="Moist Open","50",IF(R349="Moist Shady","46",IF(R349="Sub-Alpine Slopes","40")))))))</f>
        <v>51</v>
      </c>
      <c r="V349" s="123" t="str">
        <f>IF(R349="Bogs Ponds Streams","84",IF(R349="Coastal Areas","76",IF(R349="Meadows Dry Open","96", IF(R349="Forest &amp; Understory","90", IF(R349="Moist Open","88", IF(R349="Moist Shady","82", IF(R349="Sub-Alpine Slopes","80")))))))</f>
        <v>76</v>
      </c>
      <c r="W349" s="59">
        <v>20</v>
      </c>
      <c r="X349" s="59">
        <v>0</v>
      </c>
      <c r="Y349" s="59">
        <v>3500</v>
      </c>
      <c r="Z349" s="59" t="s">
        <v>2519</v>
      </c>
      <c r="AA349" s="59" t="s">
        <v>2518</v>
      </c>
      <c r="AB349" s="59">
        <v>6.8</v>
      </c>
      <c r="AC349" s="45">
        <f>C349+AK349+(0.1)*AL349</f>
        <v>30</v>
      </c>
      <c r="AD349" s="77">
        <v>42</v>
      </c>
      <c r="AE349" s="59">
        <v>5</v>
      </c>
      <c r="AF349" s="59">
        <v>5</v>
      </c>
      <c r="AG349" s="59">
        <v>1900</v>
      </c>
      <c r="AH349" s="77">
        <v>0</v>
      </c>
      <c r="AI349" s="59">
        <f ca="1">AJ349</f>
        <v>2019</v>
      </c>
      <c r="AJ349" s="18">
        <f ca="1">YEAR(TODAY())</f>
        <v>2019</v>
      </c>
      <c r="AK349" s="18">
        <v>22</v>
      </c>
      <c r="AL349" s="18">
        <v>0</v>
      </c>
      <c r="AM349" s="18">
        <v>1</v>
      </c>
      <c r="AN349" s="18">
        <v>1</v>
      </c>
      <c r="AO349" s="18">
        <v>5</v>
      </c>
      <c r="AP349" s="18">
        <v>1</v>
      </c>
      <c r="AQ349" s="18">
        <v>0</v>
      </c>
      <c r="AR349" s="18">
        <v>0</v>
      </c>
      <c r="AS349" s="18">
        <v>0</v>
      </c>
      <c r="AT349" s="18">
        <v>0</v>
      </c>
      <c r="AU349" s="18">
        <v>0</v>
      </c>
      <c r="AV349" s="18">
        <v>0</v>
      </c>
      <c r="AW349" s="18">
        <v>0</v>
      </c>
      <c r="AX349" s="18">
        <v>0</v>
      </c>
      <c r="AY349" s="233"/>
      <c r="AZ349" s="4"/>
      <c r="BA349" s="35" t="str">
        <f ca="1">IF(OR(S349="North America",S349="Rocky Mountain"), "Widespread",BC349)</f>
        <v>Abundant</v>
      </c>
      <c r="BB349" s="4"/>
      <c r="BC349" s="35" t="str">
        <f ca="1">IF(BE349&gt;2046, "Abundant",BE349)</f>
        <v>Abundant</v>
      </c>
      <c r="BD349" s="4"/>
      <c r="BE349" s="81">
        <f ca="1">YEAR($C$13)+(BG349*80)</f>
        <v>2107.0808784313726</v>
      </c>
      <c r="BF349" s="4"/>
      <c r="BG349" s="137">
        <f ca="1">BH349*$BH$14</f>
        <v>1.1010109803921568</v>
      </c>
      <c r="BH349" s="137">
        <f ca="1">(((BJ349+BK349+BM349+BN349)/4)*$BM$11)+(((BP349+BQ349)/2)*$BQ$11)+(((BU349+BV349+BW349)/3)*$BU$11)+(((BY349+BZ349+CA349+CB349+CC349)/5)*$CA$11)</f>
        <v>1.1010109803921568</v>
      </c>
      <c r="BI349" s="4"/>
      <c r="BJ349" s="33">
        <f>AP349/(AM349+AO349)</f>
        <v>0.16666666666666666</v>
      </c>
      <c r="BK349" s="33">
        <f>(AN349+AO349)/(AM349+AO349)</f>
        <v>1</v>
      </c>
      <c r="BL349" s="4"/>
      <c r="BM349" s="127">
        <f>CF349/102</f>
        <v>0.29411764705882354</v>
      </c>
      <c r="BN349" s="127">
        <f>C349/2</f>
        <v>4</v>
      </c>
      <c r="BO349" s="4"/>
      <c r="BP349" s="127">
        <f>(AK349)/($AW$6)</f>
        <v>0.22222222222222221</v>
      </c>
      <c r="BQ349" s="127">
        <f ca="1">(CH349-$AW$4)/((YEAR($C$13))-$AW$4)</f>
        <v>1</v>
      </c>
      <c r="BR349" s="127">
        <f>(AL349)/($AW$6)</f>
        <v>0</v>
      </c>
      <c r="BS349" s="4"/>
      <c r="BT349" s="127"/>
      <c r="BU349" s="127">
        <f ca="1">(CG349-$AW$4)/((YEAR($C$13))-$AW$4)</f>
        <v>1</v>
      </c>
      <c r="BV349" s="127">
        <f>AE349/5</f>
        <v>1</v>
      </c>
      <c r="BW349" s="127">
        <f>AF349/5</f>
        <v>1</v>
      </c>
      <c r="BX349" s="4"/>
      <c r="BY349" s="148" t="str">
        <f>IF(E349="A",".98",IF(E349="B",".99",IF(E349="C","1.00",IF(E349="D","1.00" ))))</f>
        <v>1.00</v>
      </c>
      <c r="BZ349" s="127">
        <f>(CE349+7)/10</f>
        <v>1</v>
      </c>
      <c r="CA349" s="76" t="str">
        <f>IF(D349="Fern",".97",IF(D349="Grass",".99",IF(D349="Herb",".97",IF(D349="Shrub",".99",IF(D349="Tree","1.00",IF(D349="Vine",".98"))))))</f>
        <v>.97</v>
      </c>
      <c r="CB349" s="149" t="str">
        <f>IF(R349="Bogs Ponds Streams",".96", IF(R349="Coastal Areas",".97",IF(R349="Meadows Dry Open",".96",IF(R349="Forest &amp; Understory",".97",IF(R349="Moist Open",".98",IF(R349="Moist Shady",".96",IF(R349="Sub-Alpine","1.0")))))))</f>
        <v>.97</v>
      </c>
      <c r="CC349" s="76" t="str">
        <f>IF(S349="Local Endemic",".50",IF(S349="Regional Endemic",".70",IF(S349="Cascadia",".90",IF(S349="Rocky Mountain",".95",IF(S349="North America",".99")))))</f>
        <v>.70</v>
      </c>
      <c r="CD349" s="4"/>
      <c r="CE349" s="21">
        <f>IF(W349&gt;3,3,W349)</f>
        <v>3</v>
      </c>
      <c r="CF349" s="21">
        <f>IF(AC349&gt;102,102,AC349)</f>
        <v>30</v>
      </c>
      <c r="CG349" s="34">
        <f ca="1">IF(AI349&lt;$AW$4,$AW$4,AI349)</f>
        <v>2019</v>
      </c>
      <c r="CH349" s="34">
        <f ca="1">IF(AJ349&lt;$AW$4,$AW$4,AJ349)</f>
        <v>2019</v>
      </c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</row>
    <row r="350" spans="1:115" s="13" customFormat="1" ht="15" customHeight="1" x14ac:dyDescent="0.3">
      <c r="A350" s="235"/>
      <c r="B350" s="218"/>
      <c r="C350" s="225">
        <v>8</v>
      </c>
      <c r="D350" s="59" t="s">
        <v>2505</v>
      </c>
      <c r="E350" s="59" t="s">
        <v>2501</v>
      </c>
      <c r="F350" s="397" t="str">
        <f ca="1">IF(BC350&lt;2025, "Extinct&lt; 6Yrs?",BA350)</f>
        <v>Widespread</v>
      </c>
      <c r="G350" s="363" t="s">
        <v>525</v>
      </c>
      <c r="H350" s="363" t="s">
        <v>682</v>
      </c>
      <c r="I350" s="366" t="s">
        <v>311</v>
      </c>
      <c r="J350" s="365" t="s">
        <v>3345</v>
      </c>
      <c r="K350" s="365" t="s">
        <v>967</v>
      </c>
      <c r="L350" s="10" t="s">
        <v>1439</v>
      </c>
      <c r="M350" s="8" t="s">
        <v>4428</v>
      </c>
      <c r="N350" s="8" t="s">
        <v>5323</v>
      </c>
      <c r="O350" s="8" t="s">
        <v>6220</v>
      </c>
      <c r="P350" s="9" t="s">
        <v>303</v>
      </c>
      <c r="Q350" s="59" t="s">
        <v>2552</v>
      </c>
      <c r="R350" s="9" t="s">
        <v>2498</v>
      </c>
      <c r="S350" s="9" t="s">
        <v>2495</v>
      </c>
      <c r="T350" s="123" t="str">
        <f>IF(R350="Bogs Ponds Streams","20",IF(R350="Coastal Areas","26",IF(R350="Meadows Dry Open","10",IF(R350="Forest &amp; Understory","14",IF(R350="Moist Open","12",IF(R350="Moist Shady","10",IF(R350="Sub-Alpine Slopes","0")))))))</f>
        <v>10</v>
      </c>
      <c r="U350" s="123" t="str">
        <f>IF(R350="Bogs Ponds Streams","52",IF(R350="Coastal Areas","51",IF(R350="Meadows Dry Open","53",IF(R350="Forest &amp; Understory","52",IF(R350="Moist Open","50",IF(R350="Moist Shady","46",IF(R350="Sub-Alpine Slopes","40")))))))</f>
        <v>46</v>
      </c>
      <c r="V350" s="123" t="str">
        <f>IF(R350="Bogs Ponds Streams","84",IF(R350="Coastal Areas","76",IF(R350="Meadows Dry Open","96", IF(R350="Forest &amp; Understory","90", IF(R350="Moist Open","88", IF(R350="Moist Shady","82", IF(R350="Sub-Alpine Slopes","80")))))))</f>
        <v>82</v>
      </c>
      <c r="W350" s="59">
        <v>20</v>
      </c>
      <c r="X350" s="59">
        <v>0</v>
      </c>
      <c r="Y350" s="59">
        <v>3500</v>
      </c>
      <c r="Z350" s="59" t="s">
        <v>2519</v>
      </c>
      <c r="AA350" s="59" t="s">
        <v>2518</v>
      </c>
      <c r="AB350" s="59">
        <v>6.8</v>
      </c>
      <c r="AC350" s="45">
        <f>C350+AK350+(0.1)*AL350</f>
        <v>56.4</v>
      </c>
      <c r="AD350" s="77">
        <v>198</v>
      </c>
      <c r="AE350" s="59">
        <v>5</v>
      </c>
      <c r="AF350" s="59">
        <v>5</v>
      </c>
      <c r="AG350" s="59">
        <v>1900</v>
      </c>
      <c r="AH350" s="77">
        <v>0</v>
      </c>
      <c r="AI350" s="59">
        <f ca="1">AJ350</f>
        <v>2019</v>
      </c>
      <c r="AJ350" s="18">
        <f ca="1">YEAR(TODAY())</f>
        <v>2019</v>
      </c>
      <c r="AK350" s="18">
        <v>44</v>
      </c>
      <c r="AL350" s="18">
        <v>44</v>
      </c>
      <c r="AM350" s="18">
        <v>1</v>
      </c>
      <c r="AN350" s="18">
        <v>1</v>
      </c>
      <c r="AO350" s="18">
        <v>5</v>
      </c>
      <c r="AP350" s="18">
        <v>1</v>
      </c>
      <c r="AQ350" s="18">
        <v>0</v>
      </c>
      <c r="AR350" s="18">
        <v>0</v>
      </c>
      <c r="AS350" s="18">
        <v>0</v>
      </c>
      <c r="AT350" s="18">
        <v>0</v>
      </c>
      <c r="AU350" s="18">
        <v>0</v>
      </c>
      <c r="AV350" s="18">
        <v>0</v>
      </c>
      <c r="AW350" s="18">
        <v>0</v>
      </c>
      <c r="AX350" s="18">
        <v>0</v>
      </c>
      <c r="AY350" s="233"/>
      <c r="AZ350" s="4"/>
      <c r="BA350" s="35" t="str">
        <f>IF(OR(S350="North America",S350="Rocky Mountain"), "Widespread",BC350)</f>
        <v>Widespread</v>
      </c>
      <c r="BB350" s="4"/>
      <c r="BC350" s="35" t="str">
        <f ca="1">IF(BE350&gt;2046, "Abundant",BE350)</f>
        <v>Abundant</v>
      </c>
      <c r="BD350" s="4"/>
      <c r="BE350" s="81">
        <f ca="1">YEAR($C$13)+(BG350*80)</f>
        <v>2112.9430274509805</v>
      </c>
      <c r="BF350" s="4"/>
      <c r="BG350" s="137">
        <f ca="1">BH350*$BH$14</f>
        <v>1.1742878431372548</v>
      </c>
      <c r="BH350" s="137">
        <f ca="1">(((BJ350+BK350+BM350+BN350)/4)*$BM$11)+(((BP350+BQ350)/2)*$BQ$11)+(((BU350+BV350+BW350)/3)*$BU$11)+(((BY350+BZ350+CA350+CB350+CC350)/5)*$CA$11)</f>
        <v>1.1742878431372548</v>
      </c>
      <c r="BI350" s="4"/>
      <c r="BJ350" s="33">
        <f>AP350/(AM350+AO350)</f>
        <v>0.16666666666666666</v>
      </c>
      <c r="BK350" s="33">
        <f>(AN350+AO350)/(AM350+AO350)</f>
        <v>1</v>
      </c>
      <c r="BL350" s="4"/>
      <c r="BM350" s="127">
        <f>CF350/102</f>
        <v>0.55294117647058827</v>
      </c>
      <c r="BN350" s="127">
        <f>C350/2</f>
        <v>4</v>
      </c>
      <c r="BO350" s="4"/>
      <c r="BP350" s="127">
        <f>(AK350)/($AW$6)</f>
        <v>0.44444444444444442</v>
      </c>
      <c r="BQ350" s="127">
        <f ca="1">(CH350-$AW$4)/((YEAR($C$13))-$AW$4)</f>
        <v>1</v>
      </c>
      <c r="BR350" s="127">
        <f>(AL350)/($AW$6)</f>
        <v>0.44444444444444442</v>
      </c>
      <c r="BS350" s="4"/>
      <c r="BT350" s="127"/>
      <c r="BU350" s="127">
        <f ca="1">(CG350-$AW$4)/((YEAR($C$13))-$AW$4)</f>
        <v>1</v>
      </c>
      <c r="BV350" s="127">
        <f>AE350/5</f>
        <v>1</v>
      </c>
      <c r="BW350" s="127">
        <f>AF350/5</f>
        <v>1</v>
      </c>
      <c r="BX350" s="4"/>
      <c r="BY350" s="148" t="str">
        <f>IF(E350="A",".98",IF(E350="B",".99",IF(E350="C","1.00",IF(E350="D","1.00" ))))</f>
        <v>1.00</v>
      </c>
      <c r="BZ350" s="127">
        <f>(CE350+7)/10</f>
        <v>1</v>
      </c>
      <c r="CA350" s="76" t="str">
        <f>IF(D350="Fern",".97",IF(D350="Grass",".99",IF(D350="Herb",".97",IF(D350="Shrub",".99",IF(D350="Tree","1.00",IF(D350="Vine",".98"))))))</f>
        <v>.97</v>
      </c>
      <c r="CB350" s="149" t="str">
        <f>IF(R350="Bogs Ponds Streams",".96", IF(R350="Coastal Areas",".97",IF(R350="Meadows Dry Open",".96",IF(R350="Forest &amp; Understory",".97",IF(R350="Moist Open",".98",IF(R350="Moist Shady",".96",IF(R350="Sub-Alpine","1.0")))))))</f>
        <v>.96</v>
      </c>
      <c r="CC350" s="76" t="str">
        <f>IF(S350="Local Endemic",".50",IF(S350="Regional Endemic",".70",IF(S350="Cascadia",".90",IF(S350="Rocky Mountain",".95",IF(S350="North America",".99")))))</f>
        <v>.99</v>
      </c>
      <c r="CD350" s="4"/>
      <c r="CE350" s="21">
        <f>IF(W350&gt;3,3,W350)</f>
        <v>3</v>
      </c>
      <c r="CF350" s="21">
        <f>IF(AC350&gt;102,102,AC350)</f>
        <v>56.4</v>
      </c>
      <c r="CG350" s="34">
        <f ca="1">IF(AI350&lt;$AW$4,$AW$4,AI350)</f>
        <v>2019</v>
      </c>
      <c r="CH350" s="34">
        <f ca="1">IF(AJ350&lt;$AW$4,$AW$4,AJ350)</f>
        <v>2019</v>
      </c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</row>
    <row r="351" spans="1:115" s="13" customFormat="1" ht="15" customHeight="1" x14ac:dyDescent="0.3">
      <c r="A351" s="235"/>
      <c r="B351" s="218"/>
      <c r="C351" s="225">
        <v>8</v>
      </c>
      <c r="D351" s="59" t="s">
        <v>2505</v>
      </c>
      <c r="E351" s="59" t="s">
        <v>2501</v>
      </c>
      <c r="F351" s="397" t="str">
        <f ca="1">IF(BC351&lt;2025, "Extinct&lt; 6Yrs?",BA351)</f>
        <v>Widespread</v>
      </c>
      <c r="G351" s="363" t="s">
        <v>525</v>
      </c>
      <c r="H351" s="363" t="s">
        <v>682</v>
      </c>
      <c r="I351" s="366" t="s">
        <v>3067</v>
      </c>
      <c r="J351" s="365" t="s">
        <v>3346</v>
      </c>
      <c r="K351" s="365" t="s">
        <v>968</v>
      </c>
      <c r="L351" s="10" t="s">
        <v>1440</v>
      </c>
      <c r="M351" s="8" t="s">
        <v>4429</v>
      </c>
      <c r="N351" s="8" t="s">
        <v>5324</v>
      </c>
      <c r="O351" s="8" t="s">
        <v>6221</v>
      </c>
      <c r="P351" s="9" t="s">
        <v>303</v>
      </c>
      <c r="Q351" s="59" t="s">
        <v>2552</v>
      </c>
      <c r="R351" s="9" t="s">
        <v>2500</v>
      </c>
      <c r="S351" s="9" t="s">
        <v>2495</v>
      </c>
      <c r="T351" s="123" t="str">
        <f>IF(R351="Bogs Ponds Streams","20",IF(R351="Coastal Areas","26",IF(R351="Meadows Dry Open","10",IF(R351="Forest &amp; Understory","14",IF(R351="Moist Open","12",IF(R351="Moist Shady","10",IF(R351="Sub-Alpine Slopes","0")))))))</f>
        <v>10</v>
      </c>
      <c r="U351" s="123" t="str">
        <f>IF(R351="Bogs Ponds Streams","52",IF(R351="Coastal Areas","51",IF(R351="Meadows Dry Open","53",IF(R351="Forest &amp; Understory","52",IF(R351="Moist Open","50",IF(R351="Moist Shady","46",IF(R351="Sub-Alpine Slopes","40")))))))</f>
        <v>53</v>
      </c>
      <c r="V351" s="123" t="str">
        <f>IF(R351="Bogs Ponds Streams","84",IF(R351="Coastal Areas","76",IF(R351="Meadows Dry Open","96", IF(R351="Forest &amp; Understory","90", IF(R351="Moist Open","88", IF(R351="Moist Shady","82", IF(R351="Sub-Alpine Slopes","80")))))))</f>
        <v>96</v>
      </c>
      <c r="W351" s="59">
        <v>20</v>
      </c>
      <c r="X351" s="59">
        <v>0</v>
      </c>
      <c r="Y351" s="59">
        <v>3500</v>
      </c>
      <c r="Z351" s="59" t="s">
        <v>2519</v>
      </c>
      <c r="AA351" s="59" t="s">
        <v>2518</v>
      </c>
      <c r="AB351" s="59">
        <v>6.8</v>
      </c>
      <c r="AC351" s="45">
        <f>C351+AK351+(0.1)*AL351</f>
        <v>55.3</v>
      </c>
      <c r="AD351" s="77">
        <v>196</v>
      </c>
      <c r="AE351" s="59">
        <v>5</v>
      </c>
      <c r="AF351" s="59">
        <v>5</v>
      </c>
      <c r="AG351" s="59">
        <v>1900</v>
      </c>
      <c r="AH351" s="77">
        <v>0</v>
      </c>
      <c r="AI351" s="59">
        <f ca="1">AJ351</f>
        <v>2019</v>
      </c>
      <c r="AJ351" s="18">
        <f ca="1">YEAR(TODAY())</f>
        <v>2019</v>
      </c>
      <c r="AK351" s="18">
        <v>44</v>
      </c>
      <c r="AL351" s="18">
        <v>33</v>
      </c>
      <c r="AM351" s="18">
        <v>1</v>
      </c>
      <c r="AN351" s="18">
        <v>1</v>
      </c>
      <c r="AO351" s="18">
        <v>5</v>
      </c>
      <c r="AP351" s="18">
        <v>1</v>
      </c>
      <c r="AQ351" s="18">
        <v>0</v>
      </c>
      <c r="AR351" s="18">
        <v>0</v>
      </c>
      <c r="AS351" s="18">
        <v>0</v>
      </c>
      <c r="AT351" s="18">
        <v>0</v>
      </c>
      <c r="AU351" s="18">
        <v>0</v>
      </c>
      <c r="AV351" s="18">
        <v>0</v>
      </c>
      <c r="AW351" s="18">
        <v>0</v>
      </c>
      <c r="AX351" s="18">
        <v>0</v>
      </c>
      <c r="AY351" s="233"/>
      <c r="AZ351" s="4"/>
      <c r="BA351" s="35" t="str">
        <f>IF(OR(S351="North America",S351="Rocky Mountain"), "Widespread",BC351)</f>
        <v>Widespread</v>
      </c>
      <c r="BB351" s="4"/>
      <c r="BC351" s="35" t="str">
        <f ca="1">IF(BE351&gt;2046, "Abundant",BE351)</f>
        <v>Abundant</v>
      </c>
      <c r="BD351" s="4"/>
      <c r="BE351" s="81">
        <f ca="1">YEAR($C$13)+(BG351*80)</f>
        <v>2112.8136156862747</v>
      </c>
      <c r="BF351" s="4"/>
      <c r="BG351" s="137">
        <f ca="1">BH351*$BH$14</f>
        <v>1.1726701960784314</v>
      </c>
      <c r="BH351" s="137">
        <f ca="1">(((BJ351+BK351+BM351+BN351)/4)*$BM$11)+(((BP351+BQ351)/2)*$BQ$11)+(((BU351+BV351+BW351)/3)*$BU$11)+(((BY351+BZ351+CA351+CB351+CC351)/5)*$CA$11)</f>
        <v>1.1726701960784314</v>
      </c>
      <c r="BI351" s="4"/>
      <c r="BJ351" s="33">
        <f>AP351/(AM351+AO351)</f>
        <v>0.16666666666666666</v>
      </c>
      <c r="BK351" s="33">
        <f>(AN351+AO351)/(AM351+AO351)</f>
        <v>1</v>
      </c>
      <c r="BL351" s="4"/>
      <c r="BM351" s="127">
        <f>CF351/102</f>
        <v>0.542156862745098</v>
      </c>
      <c r="BN351" s="127">
        <f>C351/2</f>
        <v>4</v>
      </c>
      <c r="BO351" s="4"/>
      <c r="BP351" s="127">
        <f>(AK351)/($AW$6)</f>
        <v>0.44444444444444442</v>
      </c>
      <c r="BQ351" s="127">
        <f ca="1">(CH351-$AW$4)/((YEAR($C$13))-$AW$4)</f>
        <v>1</v>
      </c>
      <c r="BR351" s="127">
        <f>(AL351)/($AW$6)</f>
        <v>0.33333333333333331</v>
      </c>
      <c r="BS351" s="4"/>
      <c r="BT351" s="127"/>
      <c r="BU351" s="127">
        <f ca="1">(CG351-$AW$4)/((YEAR($C$13))-$AW$4)</f>
        <v>1</v>
      </c>
      <c r="BV351" s="127">
        <f>AE351/5</f>
        <v>1</v>
      </c>
      <c r="BW351" s="127">
        <f>AF351/5</f>
        <v>1</v>
      </c>
      <c r="BX351" s="4"/>
      <c r="BY351" s="148" t="str">
        <f>IF(E351="A",".98",IF(E351="B",".99",IF(E351="C","1.00",IF(E351="D","1.00" ))))</f>
        <v>1.00</v>
      </c>
      <c r="BZ351" s="127">
        <f>(CE351+7)/10</f>
        <v>1</v>
      </c>
      <c r="CA351" s="76" t="str">
        <f>IF(D351="Fern",".97",IF(D351="Grass",".99",IF(D351="Herb",".97",IF(D351="Shrub",".99",IF(D351="Tree","1.00",IF(D351="Vine",".98"))))))</f>
        <v>.97</v>
      </c>
      <c r="CB351" s="149" t="str">
        <f>IF(R351="Bogs Ponds Streams",".96", IF(R351="Coastal Areas",".97",IF(R351="Meadows Dry Open",".96",IF(R351="Forest &amp; Understory",".97",IF(R351="Moist Open",".98",IF(R351="Moist Shady",".96",IF(R351="Sub-Alpine","1.0")))))))</f>
        <v>.96</v>
      </c>
      <c r="CC351" s="76" t="str">
        <f>IF(S351="Local Endemic",".50",IF(S351="Regional Endemic",".70",IF(S351="Cascadia",".90",IF(S351="Rocky Mountain",".95",IF(S351="North America",".99")))))</f>
        <v>.99</v>
      </c>
      <c r="CD351" s="4"/>
      <c r="CE351" s="21">
        <f>IF(W351&gt;3,3,W351)</f>
        <v>3</v>
      </c>
      <c r="CF351" s="21">
        <f>IF(AC351&gt;102,102,AC351)</f>
        <v>55.3</v>
      </c>
      <c r="CG351" s="34">
        <f ca="1">IF(AI351&lt;$AW$4,$AW$4,AI351)</f>
        <v>2019</v>
      </c>
      <c r="CH351" s="34">
        <f ca="1">IF(AJ351&lt;$AW$4,$AW$4,AJ351)</f>
        <v>2019</v>
      </c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</row>
    <row r="352" spans="1:115" s="13" customFormat="1" ht="15" customHeight="1" x14ac:dyDescent="0.3">
      <c r="A352" s="235"/>
      <c r="B352" s="218"/>
      <c r="C352" s="225">
        <v>8</v>
      </c>
      <c r="D352" s="59" t="s">
        <v>2507</v>
      </c>
      <c r="E352" s="59" t="s">
        <v>2501</v>
      </c>
      <c r="F352" s="397" t="str">
        <f ca="1">IF(BC352&lt;2025, "Extinct&lt; 6Yrs?",BA352)</f>
        <v>Abundant</v>
      </c>
      <c r="G352" s="363" t="s">
        <v>525</v>
      </c>
      <c r="H352" s="363" t="s">
        <v>683</v>
      </c>
      <c r="I352" s="366" t="s">
        <v>3068</v>
      </c>
      <c r="J352" s="365" t="s">
        <v>3347</v>
      </c>
      <c r="K352" s="365" t="s">
        <v>256</v>
      </c>
      <c r="L352" s="10" t="s">
        <v>1441</v>
      </c>
      <c r="M352" s="8" t="s">
        <v>4430</v>
      </c>
      <c r="N352" s="8" t="s">
        <v>5325</v>
      </c>
      <c r="O352" s="8" t="s">
        <v>6222</v>
      </c>
      <c r="P352" s="9" t="s">
        <v>257</v>
      </c>
      <c r="Q352" s="59" t="s">
        <v>2552</v>
      </c>
      <c r="R352" s="9" t="s">
        <v>2498</v>
      </c>
      <c r="S352" s="9" t="s">
        <v>2459</v>
      </c>
      <c r="T352" s="123" t="str">
        <f>IF(R352="Bogs Ponds Streams","20",IF(R352="Coastal Areas","26",IF(R352="Meadows Dry Open","10",IF(R352="Forest &amp; Understory","14",IF(R352="Moist Open","12",IF(R352="Moist Shady","10",IF(R352="Sub-Alpine Slopes","0")))))))</f>
        <v>10</v>
      </c>
      <c r="U352" s="123" t="str">
        <f>IF(R352="Bogs Ponds Streams","52",IF(R352="Coastal Areas","51",IF(R352="Meadows Dry Open","53",IF(R352="Forest &amp; Understory","52",IF(R352="Moist Open","50",IF(R352="Moist Shady","46",IF(R352="Sub-Alpine Slopes","40")))))))</f>
        <v>46</v>
      </c>
      <c r="V352" s="123" t="str">
        <f>IF(R352="Bogs Ponds Streams","84",IF(R352="Coastal Areas","76",IF(R352="Meadows Dry Open","96", IF(R352="Forest &amp; Understory","90", IF(R352="Moist Open","88", IF(R352="Moist Shady","82", IF(R352="Sub-Alpine Slopes","80")))))))</f>
        <v>82</v>
      </c>
      <c r="W352" s="59">
        <v>20</v>
      </c>
      <c r="X352" s="59">
        <v>0</v>
      </c>
      <c r="Y352" s="59">
        <v>3500</v>
      </c>
      <c r="Z352" s="59" t="s">
        <v>2519</v>
      </c>
      <c r="AA352" s="59" t="s">
        <v>2518</v>
      </c>
      <c r="AB352" s="59">
        <v>6.8</v>
      </c>
      <c r="AC352" s="45">
        <f>C352+AK352+(0.1)*AL352</f>
        <v>30</v>
      </c>
      <c r="AD352" s="77">
        <v>42</v>
      </c>
      <c r="AE352" s="59">
        <v>5</v>
      </c>
      <c r="AF352" s="59">
        <v>5</v>
      </c>
      <c r="AG352" s="59">
        <v>1900</v>
      </c>
      <c r="AH352" s="77">
        <v>0</v>
      </c>
      <c r="AI352" s="59">
        <f ca="1">AJ352</f>
        <v>2019</v>
      </c>
      <c r="AJ352" s="18">
        <f ca="1">YEAR(TODAY())</f>
        <v>2019</v>
      </c>
      <c r="AK352" s="18">
        <v>22</v>
      </c>
      <c r="AL352" s="18">
        <v>0</v>
      </c>
      <c r="AM352" s="18">
        <v>1</v>
      </c>
      <c r="AN352" s="18">
        <v>1</v>
      </c>
      <c r="AO352" s="18">
        <v>5</v>
      </c>
      <c r="AP352" s="18">
        <v>1</v>
      </c>
      <c r="AQ352" s="18">
        <v>0</v>
      </c>
      <c r="AR352" s="18">
        <v>0</v>
      </c>
      <c r="AS352" s="18">
        <v>0</v>
      </c>
      <c r="AT352" s="18">
        <v>0</v>
      </c>
      <c r="AU352" s="18">
        <v>0</v>
      </c>
      <c r="AV352" s="18">
        <v>0</v>
      </c>
      <c r="AW352" s="18">
        <v>0</v>
      </c>
      <c r="AX352" s="18">
        <v>0</v>
      </c>
      <c r="AY352" s="233"/>
      <c r="AZ352" s="4"/>
      <c r="BA352" s="35" t="str">
        <f ca="1">IF(OR(S352="North America",S352="Rocky Mountain"), "Widespread",BC352)</f>
        <v>Abundant</v>
      </c>
      <c r="BB352" s="4"/>
      <c r="BC352" s="35" t="str">
        <f ca="1">IF(BE352&gt;2046, "Abundant",BE352)</f>
        <v>Abundant</v>
      </c>
      <c r="BD352" s="4"/>
      <c r="BE352" s="81">
        <f ca="1">YEAR($C$13)+(BG352*80)</f>
        <v>2107.1512784313727</v>
      </c>
      <c r="BF352" s="4"/>
      <c r="BG352" s="137">
        <f ca="1">BH352*$BH$14</f>
        <v>1.1018909803921568</v>
      </c>
      <c r="BH352" s="137">
        <f ca="1">(((BJ352+BK352+BM352+BN352)/4)*$BM$11)+(((BP352+BQ352)/2)*$BQ$11)+(((BU352+BV352+BW352)/3)*$BU$11)+(((BY352+BZ352+CA352+CB352+CC352)/5)*$CA$11)</f>
        <v>1.1018909803921568</v>
      </c>
      <c r="BI352" s="4"/>
      <c r="BJ352" s="33">
        <f>AP352/(AM352+AO352)</f>
        <v>0.16666666666666666</v>
      </c>
      <c r="BK352" s="33">
        <f>(AN352+AO352)/(AM352+AO352)</f>
        <v>1</v>
      </c>
      <c r="BL352" s="4"/>
      <c r="BM352" s="127">
        <f>CF352/102</f>
        <v>0.29411764705882354</v>
      </c>
      <c r="BN352" s="127">
        <f>C352/2</f>
        <v>4</v>
      </c>
      <c r="BO352" s="4"/>
      <c r="BP352" s="127">
        <f>(AK352)/($AW$6)</f>
        <v>0.22222222222222221</v>
      </c>
      <c r="BQ352" s="127">
        <f ca="1">(CH352-$AW$4)/((YEAR($C$13))-$AW$4)</f>
        <v>1</v>
      </c>
      <c r="BR352" s="127">
        <f>(AL352)/($AW$6)</f>
        <v>0</v>
      </c>
      <c r="BS352" s="4"/>
      <c r="BT352" s="127"/>
      <c r="BU352" s="127">
        <f ca="1">(CG352-$AW$4)/((YEAR($C$13))-$AW$4)</f>
        <v>1</v>
      </c>
      <c r="BV352" s="127">
        <f>AE352/5</f>
        <v>1</v>
      </c>
      <c r="BW352" s="127">
        <f>AF352/5</f>
        <v>1</v>
      </c>
      <c r="BX352" s="4"/>
      <c r="BY352" s="148" t="str">
        <f>IF(E352="A",".98",IF(E352="B",".99",IF(E352="C","1.00",IF(E352="D","1.00" ))))</f>
        <v>1.00</v>
      </c>
      <c r="BZ352" s="127">
        <f>(CE352+7)/10</f>
        <v>1</v>
      </c>
      <c r="CA352" s="76" t="str">
        <f>IF(D352="Fern",".97",IF(D352="Grass",".99",IF(D352="Herb",".97",IF(D352="Shrub",".99",IF(D352="Tree","1.00",IF(D352="Vine",".98"))))))</f>
        <v>1.00</v>
      </c>
      <c r="CB352" s="149" t="str">
        <f>IF(R352="Bogs Ponds Streams",".96", IF(R352="Coastal Areas",".97",IF(R352="Meadows Dry Open",".96",IF(R352="Forest &amp; Understory",".97",IF(R352="Moist Open",".98",IF(R352="Moist Shady",".96",IF(R352="Sub-Alpine","1.0")))))))</f>
        <v>.96</v>
      </c>
      <c r="CC352" s="76" t="str">
        <f>IF(S352="Local Endemic",".50",IF(S352="Regional Endemic",".70",IF(S352="Cascadia",".90",IF(S352="Rocky Mountain",".95",IF(S352="North America",".99")))))</f>
        <v>.90</v>
      </c>
      <c r="CD352" s="4"/>
      <c r="CE352" s="21">
        <f>IF(W352&gt;3,3,W352)</f>
        <v>3</v>
      </c>
      <c r="CF352" s="21">
        <f>IF(AC352&gt;102,102,AC352)</f>
        <v>30</v>
      </c>
      <c r="CG352" s="34">
        <f ca="1">IF(AI352&lt;$AW$4,$AW$4,AI352)</f>
        <v>2019</v>
      </c>
      <c r="CH352" s="34">
        <f ca="1">IF(AJ352&lt;$AW$4,$AW$4,AJ352)</f>
        <v>2019</v>
      </c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12"/>
    </row>
    <row r="353" spans="1:115" s="13" customFormat="1" ht="15" customHeight="1" x14ac:dyDescent="0.3">
      <c r="A353" s="235"/>
      <c r="B353" s="218"/>
      <c r="C353" s="225">
        <v>8</v>
      </c>
      <c r="D353" s="59" t="s">
        <v>2505</v>
      </c>
      <c r="E353" s="59" t="s">
        <v>2501</v>
      </c>
      <c r="F353" s="397" t="str">
        <f ca="1">IF(BC353&lt;2025, "Extinct&lt; 6Yrs?",BA353)</f>
        <v>Abundant</v>
      </c>
      <c r="G353" s="363" t="s">
        <v>525</v>
      </c>
      <c r="H353" s="363" t="s">
        <v>690</v>
      </c>
      <c r="I353" s="366" t="s">
        <v>3069</v>
      </c>
      <c r="J353" s="365" t="s">
        <v>3349</v>
      </c>
      <c r="K353" s="365" t="s">
        <v>3348</v>
      </c>
      <c r="L353" s="10" t="s">
        <v>1442</v>
      </c>
      <c r="M353" s="8" t="s">
        <v>4431</v>
      </c>
      <c r="N353" s="8" t="s">
        <v>5326</v>
      </c>
      <c r="O353" s="8" t="s">
        <v>6223</v>
      </c>
      <c r="P353" s="9" t="s">
        <v>437</v>
      </c>
      <c r="Q353" s="59" t="s">
        <v>2552</v>
      </c>
      <c r="R353" s="9" t="s">
        <v>2500</v>
      </c>
      <c r="S353" s="9" t="s">
        <v>2459</v>
      </c>
      <c r="T353" s="123" t="str">
        <f>IF(R353="Bogs Ponds Streams","20",IF(R353="Coastal Areas","26",IF(R353="Meadows Dry Open","10",IF(R353="Forest &amp; Understory","14",IF(R353="Moist Open","12",IF(R353="Moist Shady","10",IF(R353="Sub-Alpine Slopes","0")))))))</f>
        <v>10</v>
      </c>
      <c r="U353" s="123" t="str">
        <f>IF(R353="Bogs Ponds Streams","52",IF(R353="Coastal Areas","51",IF(R353="Meadows Dry Open","53",IF(R353="Forest &amp; Understory","52",IF(R353="Moist Open","50",IF(R353="Moist Shady","46",IF(R353="Sub-Alpine Slopes","40")))))))</f>
        <v>53</v>
      </c>
      <c r="V353" s="123" t="str">
        <f>IF(R353="Bogs Ponds Streams","84",IF(R353="Coastal Areas","76",IF(R353="Meadows Dry Open","96", IF(R353="Forest &amp; Understory","90", IF(R353="Moist Open","88", IF(R353="Moist Shady","82", IF(R353="Sub-Alpine Slopes","80")))))))</f>
        <v>96</v>
      </c>
      <c r="W353" s="59">
        <v>20</v>
      </c>
      <c r="X353" s="59">
        <v>0</v>
      </c>
      <c r="Y353" s="59">
        <v>3500</v>
      </c>
      <c r="Z353" s="59" t="s">
        <v>2519</v>
      </c>
      <c r="AA353" s="59" t="s">
        <v>2518</v>
      </c>
      <c r="AB353" s="59">
        <v>6.8</v>
      </c>
      <c r="AC353" s="45">
        <f>C353+AK353+(0.1)*AL353</f>
        <v>32.6</v>
      </c>
      <c r="AD353" s="77">
        <v>146</v>
      </c>
      <c r="AE353" s="59">
        <v>5</v>
      </c>
      <c r="AF353" s="59">
        <v>5</v>
      </c>
      <c r="AG353" s="59">
        <v>1900</v>
      </c>
      <c r="AH353" s="77">
        <v>0</v>
      </c>
      <c r="AI353" s="59">
        <f ca="1">AJ353</f>
        <v>2019</v>
      </c>
      <c r="AJ353" s="18">
        <f ca="1">YEAR(TODAY())</f>
        <v>2019</v>
      </c>
      <c r="AK353" s="18">
        <v>22</v>
      </c>
      <c r="AL353" s="18">
        <v>26</v>
      </c>
      <c r="AM353" s="18">
        <v>1</v>
      </c>
      <c r="AN353" s="18">
        <v>1</v>
      </c>
      <c r="AO353" s="25">
        <v>0</v>
      </c>
      <c r="AP353" s="24">
        <v>0</v>
      </c>
      <c r="AQ353" s="18">
        <v>0</v>
      </c>
      <c r="AR353" s="18">
        <v>0</v>
      </c>
      <c r="AS353" s="18">
        <v>0</v>
      </c>
      <c r="AT353" s="18">
        <v>0</v>
      </c>
      <c r="AU353" s="18">
        <v>0</v>
      </c>
      <c r="AV353" s="18">
        <v>0</v>
      </c>
      <c r="AW353" s="18">
        <v>0</v>
      </c>
      <c r="AX353" s="18">
        <v>0</v>
      </c>
      <c r="AY353" s="233"/>
      <c r="AZ353" s="4"/>
      <c r="BA353" s="35" t="str">
        <f ca="1">IF(OR(S353="North America",S353="Rocky Mountain"), "Widespread",BC353)</f>
        <v>Abundant</v>
      </c>
      <c r="BB353" s="4"/>
      <c r="BC353" s="35" t="str">
        <f ca="1">IF(BE353&gt;2046, "Abundant",BE353)</f>
        <v>Abundant</v>
      </c>
      <c r="BD353" s="4"/>
      <c r="BE353" s="81">
        <f ca="1">YEAR($C$13)+(BG353*80)</f>
        <v>2105.4475607843137</v>
      </c>
      <c r="BF353" s="4"/>
      <c r="BG353" s="137">
        <f ca="1">BH353*$BH$14</f>
        <v>1.0805945098039216</v>
      </c>
      <c r="BH353" s="137">
        <f ca="1">(((BJ353+BK353+BM353+BN353)/4)*$BM$11)+(((BP353+BQ353)/2)*$BQ$11)+(((BU353+BV353+BW353)/3)*$BU$11)+(((BY353+BZ353+CA353+CB353+CC353)/5)*$CA$11)</f>
        <v>1.0805945098039216</v>
      </c>
      <c r="BI353" s="4"/>
      <c r="BJ353" s="33">
        <f>AP353/(AM353+AO353)</f>
        <v>0</v>
      </c>
      <c r="BK353" s="33">
        <f>(AN353+AO353)/(AM353+AO353)</f>
        <v>1</v>
      </c>
      <c r="BL353" s="4"/>
      <c r="BM353" s="127">
        <f>CF353/102</f>
        <v>0.31960784313725493</v>
      </c>
      <c r="BN353" s="127">
        <f>C353/2</f>
        <v>4</v>
      </c>
      <c r="BO353" s="4"/>
      <c r="BP353" s="127">
        <f>(AK353)/($AW$6)</f>
        <v>0.22222222222222221</v>
      </c>
      <c r="BQ353" s="127">
        <f ca="1">(CH353-$AW$4)/((YEAR($C$13))-$AW$4)</f>
        <v>1</v>
      </c>
      <c r="BR353" s="127">
        <f>(AL353)/($AW$6)</f>
        <v>0.26262626262626265</v>
      </c>
      <c r="BS353" s="4"/>
      <c r="BT353" s="127"/>
      <c r="BU353" s="127">
        <f ca="1">(CG353-$AW$4)/((YEAR($C$13))-$AW$4)</f>
        <v>1</v>
      </c>
      <c r="BV353" s="127">
        <f>AE353/5</f>
        <v>1</v>
      </c>
      <c r="BW353" s="127">
        <f>AF353/5</f>
        <v>1</v>
      </c>
      <c r="BX353" s="4"/>
      <c r="BY353" s="148" t="str">
        <f>IF(E353="A",".98",IF(E353="B",".99",IF(E353="C","1.00",IF(E353="D","1.00" ))))</f>
        <v>1.00</v>
      </c>
      <c r="BZ353" s="127">
        <f>(CE353+7)/10</f>
        <v>1</v>
      </c>
      <c r="CA353" s="76" t="str">
        <f>IF(D353="Fern",".97",IF(D353="Grass",".99",IF(D353="Herb",".97",IF(D353="Shrub",".99",IF(D353="Tree","1.00",IF(D353="Vine",".98"))))))</f>
        <v>.97</v>
      </c>
      <c r="CB353" s="149" t="str">
        <f>IF(R353="Bogs Ponds Streams",".96", IF(R353="Coastal Areas",".97",IF(R353="Meadows Dry Open",".96",IF(R353="Forest &amp; Understory",".97",IF(R353="Moist Open",".98",IF(R353="Moist Shady",".96",IF(R353="Sub-Alpine","1.0")))))))</f>
        <v>.96</v>
      </c>
      <c r="CC353" s="76" t="str">
        <f>IF(S353="Local Endemic",".50",IF(S353="Regional Endemic",".70",IF(S353="Cascadia",".90",IF(S353="Rocky Mountain",".95",IF(S353="North America",".99")))))</f>
        <v>.90</v>
      </c>
      <c r="CD353" s="4"/>
      <c r="CE353" s="21">
        <f>IF(W353&gt;3,3,W353)</f>
        <v>3</v>
      </c>
      <c r="CF353" s="21">
        <f>IF(AC353&gt;102,102,AC353)</f>
        <v>32.6</v>
      </c>
      <c r="CG353" s="34">
        <f ca="1">IF(AI353&lt;$AW$4,$AW$4,AI353)</f>
        <v>2019</v>
      </c>
      <c r="CH353" s="34">
        <f ca="1">IF(AJ353&lt;$AW$4,$AW$4,AJ353)</f>
        <v>2019</v>
      </c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</row>
    <row r="354" spans="1:115" s="13" customFormat="1" ht="15" customHeight="1" x14ac:dyDescent="0.3">
      <c r="A354" s="235"/>
      <c r="B354" s="218"/>
      <c r="C354" s="375">
        <v>1</v>
      </c>
      <c r="D354" s="67" t="s">
        <v>2505</v>
      </c>
      <c r="E354" s="67" t="s">
        <v>2501</v>
      </c>
      <c r="F354" s="403" t="str">
        <f ca="1">IF(BC354&lt;2025, "Extinct&lt; 6Yrs?",BA354)</f>
        <v>Abundant</v>
      </c>
      <c r="G354" s="376" t="s">
        <v>525</v>
      </c>
      <c r="H354" s="376" t="s">
        <v>4028</v>
      </c>
      <c r="I354" s="380" t="s">
        <v>447</v>
      </c>
      <c r="J354" s="378" t="s">
        <v>3349</v>
      </c>
      <c r="K354" s="378" t="s">
        <v>969</v>
      </c>
      <c r="L354" s="63" t="s">
        <v>1443</v>
      </c>
      <c r="M354" s="64" t="s">
        <v>4432</v>
      </c>
      <c r="N354" s="64" t="s">
        <v>5327</v>
      </c>
      <c r="O354" s="64" t="s">
        <v>6224</v>
      </c>
      <c r="P354" s="61" t="s">
        <v>437</v>
      </c>
      <c r="Q354" s="67" t="s">
        <v>2552</v>
      </c>
      <c r="R354" s="61" t="s">
        <v>2498</v>
      </c>
      <c r="S354" s="61" t="s">
        <v>2309</v>
      </c>
      <c r="T354" s="134" t="str">
        <f>IF(R354="Bogs Ponds Streams","20",IF(R354="Coastal Areas","26",IF(R354="Meadows Dry Open","10",IF(R354="Forest &amp; Understory","14",IF(R354="Moist Open","12",IF(R354="Moist Shady","10",IF(R354="Sub-Alpine Slopes","0")))))))</f>
        <v>10</v>
      </c>
      <c r="U354" s="134" t="str">
        <f>IF(R354="Bogs Ponds Streams","52",IF(R354="Coastal Areas","51",IF(R354="Meadows Dry Open","53",IF(R354="Forest &amp; Understory","52",IF(R354="Moist Open","50",IF(R354="Moist Shady","46",IF(R354="Sub-Alpine Slopes","40")))))))</f>
        <v>46</v>
      </c>
      <c r="V354" s="134" t="str">
        <f>IF(R354="Bogs Ponds Streams","84",IF(R354="Coastal Areas","76",IF(R354="Meadows Dry Open","96", IF(R354="Forest &amp; Understory","90", IF(R354="Moist Open","88", IF(R354="Moist Shady","82", IF(R354="Sub-Alpine Slopes","80")))))))</f>
        <v>82</v>
      </c>
      <c r="W354" s="67">
        <v>20</v>
      </c>
      <c r="X354" s="67">
        <v>0</v>
      </c>
      <c r="Y354" s="67">
        <v>3500</v>
      </c>
      <c r="Z354" s="67" t="s">
        <v>2519</v>
      </c>
      <c r="AA354" s="67" t="s">
        <v>2518</v>
      </c>
      <c r="AB354" s="67">
        <v>6.8</v>
      </c>
      <c r="AC354" s="85">
        <f>C354+AK354+(0.1)*AL354</f>
        <v>5</v>
      </c>
      <c r="AD354" s="78">
        <v>48</v>
      </c>
      <c r="AE354" s="68">
        <v>2</v>
      </c>
      <c r="AF354" s="68">
        <v>5</v>
      </c>
      <c r="AG354" s="78">
        <v>1895</v>
      </c>
      <c r="AH354" s="78">
        <v>0</v>
      </c>
      <c r="AI354" s="78">
        <v>2014</v>
      </c>
      <c r="AJ354" s="69">
        <f ca="1">YEAR(TODAY())</f>
        <v>2019</v>
      </c>
      <c r="AK354" s="69">
        <v>4</v>
      </c>
      <c r="AL354" s="69">
        <v>0</v>
      </c>
      <c r="AM354" s="69">
        <v>1</v>
      </c>
      <c r="AN354" s="69">
        <v>1</v>
      </c>
      <c r="AO354" s="69">
        <v>5</v>
      </c>
      <c r="AP354" s="69">
        <v>1</v>
      </c>
      <c r="AQ354" s="69">
        <v>0</v>
      </c>
      <c r="AR354" s="69">
        <v>0</v>
      </c>
      <c r="AS354" s="69">
        <v>0</v>
      </c>
      <c r="AT354" s="69">
        <v>0</v>
      </c>
      <c r="AU354" s="69">
        <v>0</v>
      </c>
      <c r="AV354" s="69">
        <v>0</v>
      </c>
      <c r="AW354" s="69">
        <v>0</v>
      </c>
      <c r="AX354" s="69">
        <v>0</v>
      </c>
      <c r="AY354" s="233"/>
      <c r="AZ354" s="4"/>
      <c r="BA354" s="35" t="str">
        <f ca="1">IF(OR(S354="North America",S354="Rocky Mountain"), "Widespread",BC354)</f>
        <v>Abundant</v>
      </c>
      <c r="BB354" s="4"/>
      <c r="BC354" s="35" t="str">
        <f ca="1">IF(BE354&gt;2046, "Abundant",BE354)</f>
        <v>Abundant</v>
      </c>
      <c r="BD354" s="4"/>
      <c r="BE354" s="81">
        <f ca="1">YEAR($C$13)+(BG354*80)</f>
        <v>2057.9635726678548</v>
      </c>
      <c r="BF354" s="4"/>
      <c r="BG354" s="137">
        <f ca="1">BH354*$BH$14</f>
        <v>0.48704465834818778</v>
      </c>
      <c r="BH354" s="137">
        <f ca="1">(((BJ354+BK354+BM354+BN354)/4)*$BM$11)+(((BP354+BQ354)/2)*$BQ$11)+(((BU354+BV354+BW354)/3)*$BU$11)+(((BY354+BZ354+CA354+CB354+CC354)/5)*$CA$11)</f>
        <v>0.48704465834818778</v>
      </c>
      <c r="BI354" s="4"/>
      <c r="BJ354" s="33">
        <f>AP354/(AM354+AO354)</f>
        <v>0.16666666666666666</v>
      </c>
      <c r="BK354" s="33">
        <f>(AN354+AO354)/(AM354+AO354)</f>
        <v>1</v>
      </c>
      <c r="BL354" s="4"/>
      <c r="BM354" s="127">
        <f>CF354/102</f>
        <v>4.9019607843137254E-2</v>
      </c>
      <c r="BN354" s="127">
        <f>C354/2</f>
        <v>0.5</v>
      </c>
      <c r="BO354" s="4"/>
      <c r="BP354" s="127">
        <f>(AK354)/($AW$6)</f>
        <v>4.0404040404040407E-2</v>
      </c>
      <c r="BQ354" s="127">
        <f ca="1">(CH354-$AW$4)/((YEAR($C$13))-$AW$4)</f>
        <v>1</v>
      </c>
      <c r="BR354" s="127">
        <f>(AL354)/($AW$6)</f>
        <v>0</v>
      </c>
      <c r="BS354" s="4"/>
      <c r="BT354" s="127"/>
      <c r="BU354" s="127">
        <f ca="1">(CG354-$AW$4)/((YEAR($C$13))-$AW$4)</f>
        <v>0.66666666666666663</v>
      </c>
      <c r="BV354" s="127">
        <f>AE354/5</f>
        <v>0.4</v>
      </c>
      <c r="BW354" s="127">
        <f>AF354/5</f>
        <v>1</v>
      </c>
      <c r="BX354" s="4"/>
      <c r="BY354" s="148" t="str">
        <f>IF(E354="A",".98",IF(E354="B",".99",IF(E354="C","1.00",IF(E354="D","1.00" ))))</f>
        <v>1.00</v>
      </c>
      <c r="BZ354" s="127">
        <f>(CE354+7)/10</f>
        <v>1</v>
      </c>
      <c r="CA354" s="76" t="str">
        <f>IF(D354="Fern",".97",IF(D354="Grass",".99",IF(D354="Herb",".97",IF(D354="Shrub",".99",IF(D354="Tree","1.00",IF(D354="Vine",".98"))))))</f>
        <v>.97</v>
      </c>
      <c r="CB354" s="149" t="str">
        <f>IF(R354="Bogs Ponds Streams",".96", IF(R354="Coastal Areas",".97",IF(R354="Meadows Dry Open",".96",IF(R354="Forest &amp; Understory",".97",IF(R354="Moist Open",".98",IF(R354="Moist Shady",".96",IF(R354="Sub-Alpine","1.0")))))))</f>
        <v>.96</v>
      </c>
      <c r="CC354" s="76" t="str">
        <f>IF(S354="Local Endemic",".50",IF(S354="Regional Endemic",".70",IF(S354="Cascadia",".90",IF(S354="Rocky Mountain",".95",IF(S354="North America",".99")))))</f>
        <v>.70</v>
      </c>
      <c r="CD354" s="4"/>
      <c r="CE354" s="21">
        <f>IF(W354&gt;3,3,W354)</f>
        <v>3</v>
      </c>
      <c r="CF354" s="21">
        <f>IF(AC354&gt;102,102,AC354)</f>
        <v>5</v>
      </c>
      <c r="CG354" s="34">
        <f>IF(AI354&lt;$AW$4,$AW$4,AI354)</f>
        <v>2014</v>
      </c>
      <c r="CH354" s="34">
        <f ca="1">IF(AJ354&lt;$AW$4,$AW$4,AJ354)</f>
        <v>2019</v>
      </c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</row>
    <row r="355" spans="1:115" s="13" customFormat="1" ht="15" customHeight="1" x14ac:dyDescent="0.3">
      <c r="A355" s="235"/>
      <c r="B355" s="218"/>
      <c r="C355" s="225">
        <v>8</v>
      </c>
      <c r="D355" s="59" t="s">
        <v>2505</v>
      </c>
      <c r="E355" s="59" t="s">
        <v>2501</v>
      </c>
      <c r="F355" s="397" t="str">
        <f ca="1">IF(BC355&lt;2025, "Extinct&lt; 6Yrs?",BA355)</f>
        <v>Widespread</v>
      </c>
      <c r="G355" s="363" t="s">
        <v>525</v>
      </c>
      <c r="H355" s="363" t="s">
        <v>696</v>
      </c>
      <c r="I355" s="364" t="s">
        <v>1356</v>
      </c>
      <c r="J355" s="365" t="s">
        <v>3350</v>
      </c>
      <c r="K355" s="365" t="s">
        <v>1355</v>
      </c>
      <c r="L355" s="10" t="s">
        <v>1442</v>
      </c>
      <c r="M355" s="8" t="s">
        <v>4433</v>
      </c>
      <c r="N355" s="8" t="s">
        <v>5328</v>
      </c>
      <c r="O355" s="8" t="s">
        <v>6225</v>
      </c>
      <c r="P355" s="9" t="s">
        <v>437</v>
      </c>
      <c r="Q355" s="59" t="s">
        <v>2552</v>
      </c>
      <c r="R355" s="160" t="s">
        <v>2497</v>
      </c>
      <c r="S355" s="17" t="s">
        <v>2479</v>
      </c>
      <c r="T355" s="123" t="str">
        <f>IF(R355="Bogs Ponds Streams","20",IF(R355="Coastal Areas","26",IF(R355="Meadows Dry Open","10",IF(R355="Forest &amp; Understory","14",IF(R355="Moist Open","12",IF(R355="Moist Shady","10",IF(R355="Sub-Alpine Slopes","0")))))))</f>
        <v>12</v>
      </c>
      <c r="U355" s="123" t="str">
        <f>IF(R355="Bogs Ponds Streams","52",IF(R355="Coastal Areas","51",IF(R355="Meadows Dry Open","53",IF(R355="Forest &amp; Understory","52",IF(R355="Moist Open","50",IF(R355="Moist Shady","46",IF(R355="Sub-Alpine Slopes","40")))))))</f>
        <v>50</v>
      </c>
      <c r="V355" s="123" t="str">
        <f>IF(R355="Bogs Ponds Streams","84",IF(R355="Coastal Areas","76",IF(R355="Meadows Dry Open","96", IF(R355="Forest &amp; Understory","90", IF(R355="Moist Open","88", IF(R355="Moist Shady","82", IF(R355="Sub-Alpine Slopes","80")))))))</f>
        <v>88</v>
      </c>
      <c r="W355" s="59">
        <v>20</v>
      </c>
      <c r="X355" s="59">
        <v>0</v>
      </c>
      <c r="Y355" s="59">
        <v>3500</v>
      </c>
      <c r="Z355" s="59" t="s">
        <v>2519</v>
      </c>
      <c r="AA355" s="59" t="s">
        <v>2518</v>
      </c>
      <c r="AB355" s="59">
        <v>6.8</v>
      </c>
      <c r="AC355" s="45">
        <f>C355+AK355+(0.1)*AL355</f>
        <v>32.1</v>
      </c>
      <c r="AD355" s="77">
        <v>123</v>
      </c>
      <c r="AE355" s="59">
        <v>5</v>
      </c>
      <c r="AF355" s="59">
        <v>5</v>
      </c>
      <c r="AG355" s="59">
        <v>1900</v>
      </c>
      <c r="AH355" s="77">
        <v>0</v>
      </c>
      <c r="AI355" s="59">
        <f ca="1">AJ355</f>
        <v>2019</v>
      </c>
      <c r="AJ355" s="18">
        <f ca="1">YEAR(TODAY())</f>
        <v>2019</v>
      </c>
      <c r="AK355" s="18">
        <v>22</v>
      </c>
      <c r="AL355" s="18">
        <v>21</v>
      </c>
      <c r="AM355" s="18">
        <v>1</v>
      </c>
      <c r="AN355" s="18">
        <v>1</v>
      </c>
      <c r="AO355" s="18">
        <v>5</v>
      </c>
      <c r="AP355" s="18">
        <v>1</v>
      </c>
      <c r="AQ355" s="18">
        <v>0</v>
      </c>
      <c r="AR355" s="18">
        <v>0</v>
      </c>
      <c r="AS355" s="18">
        <v>0</v>
      </c>
      <c r="AT355" s="18">
        <v>0</v>
      </c>
      <c r="AU355" s="18">
        <v>0</v>
      </c>
      <c r="AV355" s="18">
        <v>0</v>
      </c>
      <c r="AW355" s="18">
        <v>0</v>
      </c>
      <c r="AX355" s="18">
        <v>0</v>
      </c>
      <c r="AY355" s="233"/>
      <c r="AZ355" s="4"/>
      <c r="BA355" s="35" t="str">
        <f>IF(OR(S355="North America",S355="Rocky Mountain"), "Widespread",BC355)</f>
        <v>Widespread</v>
      </c>
      <c r="BB355" s="4"/>
      <c r="BC355" s="35" t="str">
        <f ca="1">IF(BE355&gt;2046, "Abundant",BE355)</f>
        <v>Abundant</v>
      </c>
      <c r="BD355" s="4"/>
      <c r="BE355" s="81">
        <f ca="1">YEAR($C$13)+(BG355*80)</f>
        <v>2107.4111372549019</v>
      </c>
      <c r="BF355" s="4"/>
      <c r="BG355" s="137">
        <f ca="1">BH355*$BH$14</f>
        <v>1.1051392156862745</v>
      </c>
      <c r="BH355" s="137">
        <f ca="1">(((BJ355+BK355+BM355+BN355)/4)*$BM$11)+(((BP355+BQ355)/2)*$BQ$11)+(((BU355+BV355+BW355)/3)*$BU$11)+(((BY355+BZ355+CA355+CB355+CC355)/5)*$CA$11)</f>
        <v>1.1051392156862745</v>
      </c>
      <c r="BI355" s="4"/>
      <c r="BJ355" s="33">
        <f>AP355/(AM355+AO355)</f>
        <v>0.16666666666666666</v>
      </c>
      <c r="BK355" s="33">
        <f>(AN355+AO355)/(AM355+AO355)</f>
        <v>1</v>
      </c>
      <c r="BL355" s="4"/>
      <c r="BM355" s="127">
        <f>CF355/102</f>
        <v>0.31470588235294117</v>
      </c>
      <c r="BN355" s="127">
        <f>C355/2</f>
        <v>4</v>
      </c>
      <c r="BO355" s="4"/>
      <c r="BP355" s="127">
        <f>(AK355)/($AW$6)</f>
        <v>0.22222222222222221</v>
      </c>
      <c r="BQ355" s="127">
        <f ca="1">(CH355-$AW$4)/((YEAR($C$13))-$AW$4)</f>
        <v>1</v>
      </c>
      <c r="BR355" s="127">
        <f>(AL355)/($AW$6)</f>
        <v>0.21212121212121213</v>
      </c>
      <c r="BS355" s="4"/>
      <c r="BT355" s="127"/>
      <c r="BU355" s="127">
        <f ca="1">(CG355-$AW$4)/((YEAR($C$13))-$AW$4)</f>
        <v>1</v>
      </c>
      <c r="BV355" s="127">
        <f>AE355/5</f>
        <v>1</v>
      </c>
      <c r="BW355" s="127">
        <f>AF355/5</f>
        <v>1</v>
      </c>
      <c r="BX355" s="4"/>
      <c r="BY355" s="148" t="str">
        <f>IF(E355="A",".98",IF(E355="B",".99",IF(E355="C","1.00",IF(E355="D","1.00" ))))</f>
        <v>1.00</v>
      </c>
      <c r="BZ355" s="127">
        <f>(CE355+7)/10</f>
        <v>1</v>
      </c>
      <c r="CA355" s="76" t="str">
        <f>IF(D355="Fern",".97",IF(D355="Grass",".99",IF(D355="Herb",".97",IF(D355="Shrub",".99",IF(D355="Tree","1.00",IF(D355="Vine",".98"))))))</f>
        <v>.97</v>
      </c>
      <c r="CB355" s="149" t="str">
        <f>IF(R355="Bogs Ponds Streams",".96", IF(R355="Coastal Areas",".97",IF(R355="Meadows Dry Open",".96",IF(R355="Forest &amp; Understory",".97",IF(R355="Moist Open",".98",IF(R355="Moist Shady",".96",IF(R355="Sub-Alpine","1.0")))))))</f>
        <v>.98</v>
      </c>
      <c r="CC355" s="76" t="str">
        <f>IF(S355="Local Endemic",".50",IF(S355="Regional Endemic",".70",IF(S355="Cascadia",".90",IF(S355="Rocky Mountain",".95",IF(S355="North America",".99")))))</f>
        <v>.95</v>
      </c>
      <c r="CD355" s="4"/>
      <c r="CE355" s="21">
        <f>IF(W355&gt;3,3,W355)</f>
        <v>3</v>
      </c>
      <c r="CF355" s="21">
        <f>IF(AC355&gt;102,102,AC355)</f>
        <v>32.1</v>
      </c>
      <c r="CG355" s="34">
        <f ca="1">IF(AI355&lt;$AW$4,$AW$4,AI355)</f>
        <v>2019</v>
      </c>
      <c r="CH355" s="34">
        <f ca="1">IF(AJ355&lt;$AW$4,$AW$4,AJ355)</f>
        <v>2019</v>
      </c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</row>
    <row r="356" spans="1:115" s="13" customFormat="1" ht="15" customHeight="1" x14ac:dyDescent="0.3">
      <c r="A356" s="235"/>
      <c r="B356" s="218"/>
      <c r="C356" s="225">
        <v>8</v>
      </c>
      <c r="D356" s="59" t="s">
        <v>2505</v>
      </c>
      <c r="E356" s="59" t="s">
        <v>2501</v>
      </c>
      <c r="F356" s="397" t="str">
        <f ca="1">IF(BC356&lt;2025, "Extinct&lt; 6Yrs?",BA356)</f>
        <v>Widespread</v>
      </c>
      <c r="G356" s="363" t="s">
        <v>525</v>
      </c>
      <c r="H356" s="363" t="s">
        <v>690</v>
      </c>
      <c r="I356" s="364" t="s">
        <v>2643</v>
      </c>
      <c r="J356" s="365" t="s">
        <v>3351</v>
      </c>
      <c r="K356" s="365" t="s">
        <v>970</v>
      </c>
      <c r="L356" s="17" t="s">
        <v>1444</v>
      </c>
      <c r="M356" s="8" t="s">
        <v>4434</v>
      </c>
      <c r="N356" s="8" t="s">
        <v>5329</v>
      </c>
      <c r="O356" s="8" t="s">
        <v>6226</v>
      </c>
      <c r="P356" s="398" t="s">
        <v>51</v>
      </c>
      <c r="Q356" s="59" t="s">
        <v>2552</v>
      </c>
      <c r="R356" s="9" t="s">
        <v>2500</v>
      </c>
      <c r="S356" s="9" t="s">
        <v>2495</v>
      </c>
      <c r="T356" s="123" t="str">
        <f>IF(R356="Bogs Ponds Streams","20",IF(R356="Coastal Areas","26",IF(R356="Meadows Dry Open","10",IF(R356="Forest &amp; Understory","14",IF(R356="Moist Open","12",IF(R356="Moist Shady","10",IF(R356="Sub-Alpine Slopes","0")))))))</f>
        <v>10</v>
      </c>
      <c r="U356" s="123" t="str">
        <f>IF(R356="Bogs Ponds Streams","52",IF(R356="Coastal Areas","51",IF(R356="Meadows Dry Open","53",IF(R356="Forest &amp; Understory","52",IF(R356="Moist Open","50",IF(R356="Moist Shady","46",IF(R356="Sub-Alpine Slopes","40")))))))</f>
        <v>53</v>
      </c>
      <c r="V356" s="123" t="str">
        <f>IF(R356="Bogs Ponds Streams","84",IF(R356="Coastal Areas","76",IF(R356="Meadows Dry Open","96", IF(R356="Forest &amp; Understory","90", IF(R356="Moist Open","88", IF(R356="Moist Shady","82", IF(R356="Sub-Alpine Slopes","80")))))))</f>
        <v>96</v>
      </c>
      <c r="W356" s="59">
        <v>20</v>
      </c>
      <c r="X356" s="59">
        <v>0</v>
      </c>
      <c r="Y356" s="59">
        <v>3500</v>
      </c>
      <c r="Z356" s="59" t="s">
        <v>2519</v>
      </c>
      <c r="AA356" s="59" t="s">
        <v>2518</v>
      </c>
      <c r="AB356" s="59">
        <v>6.8</v>
      </c>
      <c r="AC356" s="45">
        <f>C356+AK356+(0.1)*AL356</f>
        <v>17.7</v>
      </c>
      <c r="AD356" s="77">
        <v>157</v>
      </c>
      <c r="AE356" s="59">
        <v>5</v>
      </c>
      <c r="AF356" s="59">
        <v>5</v>
      </c>
      <c r="AG356" s="59">
        <v>1900</v>
      </c>
      <c r="AH356" s="77">
        <v>0</v>
      </c>
      <c r="AI356" s="59">
        <f ca="1">AJ356</f>
        <v>2019</v>
      </c>
      <c r="AJ356" s="18">
        <f ca="1">YEAR(TODAY())</f>
        <v>2019</v>
      </c>
      <c r="AK356" s="18">
        <v>2</v>
      </c>
      <c r="AL356" s="18">
        <v>77</v>
      </c>
      <c r="AM356" s="18">
        <v>1</v>
      </c>
      <c r="AN356" s="18">
        <v>1</v>
      </c>
      <c r="AO356" s="18">
        <v>5</v>
      </c>
      <c r="AP356" s="18">
        <v>1</v>
      </c>
      <c r="AQ356" s="18">
        <v>0</v>
      </c>
      <c r="AR356" s="18">
        <v>0</v>
      </c>
      <c r="AS356" s="18">
        <v>0</v>
      </c>
      <c r="AT356" s="18">
        <v>0</v>
      </c>
      <c r="AU356" s="18">
        <v>0</v>
      </c>
      <c r="AV356" s="18">
        <v>0</v>
      </c>
      <c r="AW356" s="18">
        <v>0</v>
      </c>
      <c r="AX356" s="18">
        <v>0</v>
      </c>
      <c r="AY356" s="233"/>
      <c r="AZ356" s="4"/>
      <c r="BA356" s="35" t="str">
        <f>IF(OR(S356="North America",S356="Rocky Mountain"), "Widespread",BC356)</f>
        <v>Widespread</v>
      </c>
      <c r="BB356" s="4"/>
      <c r="BC356" s="35" t="str">
        <f ca="1">IF(BE356&gt;2046, "Abundant",BE356)</f>
        <v>Abundant</v>
      </c>
      <c r="BD356" s="4"/>
      <c r="BE356" s="81">
        <f ca="1">YEAR($C$13)+(BG356*80)</f>
        <v>2103.2991771836005</v>
      </c>
      <c r="BF356" s="4"/>
      <c r="BG356" s="137">
        <f ca="1">BH356*$BH$14</f>
        <v>1.0537397147950087</v>
      </c>
      <c r="BH356" s="137">
        <f ca="1">(((BJ356+BK356+BM356+BN356)/4)*$BM$11)+(((BP356+BQ356)/2)*$BQ$11)+(((BU356+BV356+BW356)/3)*$BU$11)+(((BY356+BZ356+CA356+CB356+CC356)/5)*$CA$11)</f>
        <v>1.0537397147950087</v>
      </c>
      <c r="BI356" s="4"/>
      <c r="BJ356" s="33">
        <f>AP356/(AM356+AO356)</f>
        <v>0.16666666666666666</v>
      </c>
      <c r="BK356" s="33">
        <f>(AN356+AO356)/(AM356+AO356)</f>
        <v>1</v>
      </c>
      <c r="BL356" s="4"/>
      <c r="BM356" s="127">
        <f>CF356/102</f>
        <v>0.17352941176470588</v>
      </c>
      <c r="BN356" s="127">
        <f>C356/2</f>
        <v>4</v>
      </c>
      <c r="BO356" s="4"/>
      <c r="BP356" s="127">
        <f>(AK356)/($AW$6)</f>
        <v>2.0202020202020204E-2</v>
      </c>
      <c r="BQ356" s="127">
        <f ca="1">(CH356-$AW$4)/((YEAR($C$13))-$AW$4)</f>
        <v>1</v>
      </c>
      <c r="BR356" s="127">
        <f>(AL356)/($AW$6)</f>
        <v>0.77777777777777779</v>
      </c>
      <c r="BS356" s="4"/>
      <c r="BT356" s="127"/>
      <c r="BU356" s="127">
        <f ca="1">(CG356-$AW$4)/((YEAR($C$13))-$AW$4)</f>
        <v>1</v>
      </c>
      <c r="BV356" s="127">
        <f>AE356/5</f>
        <v>1</v>
      </c>
      <c r="BW356" s="127">
        <f>AF356/5</f>
        <v>1</v>
      </c>
      <c r="BX356" s="4"/>
      <c r="BY356" s="148" t="str">
        <f>IF(E356="A",".98",IF(E356="B",".99",IF(E356="C","1.00",IF(E356="D","1.00" ))))</f>
        <v>1.00</v>
      </c>
      <c r="BZ356" s="127">
        <f>(CE356+7)/10</f>
        <v>1</v>
      </c>
      <c r="CA356" s="76" t="str">
        <f>IF(D356="Fern",".97",IF(D356="Grass",".99",IF(D356="Herb",".97",IF(D356="Shrub",".99",IF(D356="Tree","1.00",IF(D356="Vine",".98"))))))</f>
        <v>.97</v>
      </c>
      <c r="CB356" s="149" t="str">
        <f>IF(R356="Bogs Ponds Streams",".96", IF(R356="Coastal Areas",".97",IF(R356="Meadows Dry Open",".96",IF(R356="Forest &amp; Understory",".97",IF(R356="Moist Open",".98",IF(R356="Moist Shady",".96",IF(R356="Sub-Alpine","1.0")))))))</f>
        <v>.96</v>
      </c>
      <c r="CC356" s="76" t="str">
        <f>IF(S356="Local Endemic",".50",IF(S356="Regional Endemic",".70",IF(S356="Cascadia",".90",IF(S356="Rocky Mountain",".95",IF(S356="North America",".99")))))</f>
        <v>.99</v>
      </c>
      <c r="CD356" s="4"/>
      <c r="CE356" s="21">
        <f>IF(W356&gt;3,3,W356)</f>
        <v>3</v>
      </c>
      <c r="CF356" s="21">
        <f>IF(AC356&gt;102,102,AC356)</f>
        <v>17.7</v>
      </c>
      <c r="CG356" s="34">
        <f ca="1">IF(AI356&lt;$AW$4,$AW$4,AI356)</f>
        <v>2019</v>
      </c>
      <c r="CH356" s="34">
        <f ca="1">IF(AJ356&lt;$AW$4,$AW$4,AJ356)</f>
        <v>2019</v>
      </c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</row>
    <row r="357" spans="1:115" s="13" customFormat="1" ht="15" customHeight="1" x14ac:dyDescent="0.3">
      <c r="A357" s="235"/>
      <c r="B357" s="218"/>
      <c r="C357" s="226">
        <v>2</v>
      </c>
      <c r="D357" s="104" t="s">
        <v>2505</v>
      </c>
      <c r="E357" s="104" t="s">
        <v>2502</v>
      </c>
      <c r="F357" s="400" t="str">
        <f ca="1">IF(BC357&lt;2025, "Extinct&lt; 6Yrs?",BA357)</f>
        <v>Widespread</v>
      </c>
      <c r="G357" s="369" t="s">
        <v>525</v>
      </c>
      <c r="H357" s="369" t="s">
        <v>4028</v>
      </c>
      <c r="I357" s="370" t="s">
        <v>349</v>
      </c>
      <c r="J357" s="371" t="s">
        <v>3779</v>
      </c>
      <c r="K357" s="371" t="s">
        <v>971</v>
      </c>
      <c r="L357" s="106" t="s">
        <v>1445</v>
      </c>
      <c r="M357" s="111" t="s">
        <v>4435</v>
      </c>
      <c r="N357" s="111" t="s">
        <v>5330</v>
      </c>
      <c r="O357" s="111" t="s">
        <v>6227</v>
      </c>
      <c r="P357" s="105" t="s">
        <v>350</v>
      </c>
      <c r="Q357" s="104" t="s">
        <v>2552</v>
      </c>
      <c r="R357" s="105" t="s">
        <v>2500</v>
      </c>
      <c r="S357" s="105" t="s">
        <v>2495</v>
      </c>
      <c r="T357" s="133" t="str">
        <f>IF(R357="Bogs Ponds Streams","20",IF(R357="Coastal Areas","26",IF(R357="Meadows Dry Open","10",IF(R357="Forest &amp; Understory","14",IF(R357="Moist Open","12",IF(R357="Moist Shady","10",IF(R357="Sub-Alpine Slopes","0")))))))</f>
        <v>10</v>
      </c>
      <c r="U357" s="133" t="str">
        <f>IF(R357="Bogs Ponds Streams","52",IF(R357="Coastal Areas","51",IF(R357="Meadows Dry Open","53",IF(R357="Forest &amp; Understory","52",IF(R357="Moist Open","50",IF(R357="Moist Shady","46",IF(R357="Sub-Alpine Slopes","40")))))))</f>
        <v>53</v>
      </c>
      <c r="V357" s="133" t="str">
        <f>IF(R357="Bogs Ponds Streams","84",IF(R357="Coastal Areas","76",IF(R357="Meadows Dry Open","96", IF(R357="Forest &amp; Understory","90", IF(R357="Moist Open","88", IF(R357="Moist Shady","82", IF(R357="Sub-Alpine Slopes","80")))))))</f>
        <v>96</v>
      </c>
      <c r="W357" s="104">
        <v>1</v>
      </c>
      <c r="X357" s="104">
        <v>0</v>
      </c>
      <c r="Y357" s="104">
        <v>3500</v>
      </c>
      <c r="Z357" s="104" t="s">
        <v>2519</v>
      </c>
      <c r="AA357" s="104" t="s">
        <v>2518</v>
      </c>
      <c r="AB357" s="104">
        <v>6.8</v>
      </c>
      <c r="AC357" s="107">
        <f>C357+AK357+(0.1)*AL357</f>
        <v>27.3</v>
      </c>
      <c r="AD357" s="113">
        <v>245</v>
      </c>
      <c r="AE357" s="104">
        <v>5</v>
      </c>
      <c r="AF357" s="104">
        <v>5</v>
      </c>
      <c r="AG357" s="104">
        <v>1900</v>
      </c>
      <c r="AH357" s="113">
        <v>0</v>
      </c>
      <c r="AI357" s="104">
        <f>AJ357</f>
        <v>2004</v>
      </c>
      <c r="AJ357" s="108">
        <v>2004</v>
      </c>
      <c r="AK357" s="108">
        <v>22</v>
      </c>
      <c r="AL357" s="108">
        <v>33</v>
      </c>
      <c r="AM357" s="109">
        <v>5</v>
      </c>
      <c r="AN357" s="109">
        <v>1</v>
      </c>
      <c r="AO357" s="110">
        <v>0</v>
      </c>
      <c r="AP357" s="109">
        <v>0</v>
      </c>
      <c r="AQ357" s="109">
        <v>0</v>
      </c>
      <c r="AR357" s="109">
        <v>0</v>
      </c>
      <c r="AS357" s="110">
        <v>0</v>
      </c>
      <c r="AT357" s="109">
        <v>0</v>
      </c>
      <c r="AU357" s="109">
        <v>0</v>
      </c>
      <c r="AV357" s="109">
        <v>0</v>
      </c>
      <c r="AW357" s="110">
        <v>0</v>
      </c>
      <c r="AX357" s="109">
        <v>0</v>
      </c>
      <c r="AY357" s="233"/>
      <c r="AZ357" s="4"/>
      <c r="BA357" s="35" t="str">
        <f>IF(OR(S357="North America",S357="Rocky Mountain"), "Widespread",BC357)</f>
        <v>Widespread</v>
      </c>
      <c r="BB357" s="4"/>
      <c r="BC357" s="35">
        <f ca="1">IF(BE357&gt;2046, "Abundant",BE357)</f>
        <v>2045.0490980392158</v>
      </c>
      <c r="BD357" s="4"/>
      <c r="BE357" s="81">
        <f ca="1">YEAR($C$13)+(BG357*80)</f>
        <v>2045.0490980392158</v>
      </c>
      <c r="BF357" s="4"/>
      <c r="BG357" s="137">
        <f ca="1">BH357*$BH$14</f>
        <v>0.32561372549019607</v>
      </c>
      <c r="BH357" s="137">
        <f ca="1">(((BJ357+BK357+BM357+BN357)/4)*$BM$11)+(((BP357+BQ357)/2)*$BQ$11)+(((BU357+BV357+BW357)/3)*$BU$11)+(((BY357+BZ357+CA357+CB357+CC357)/5)*$CA$11)</f>
        <v>0.32561372549019607</v>
      </c>
      <c r="BI357" s="4"/>
      <c r="BJ357" s="33">
        <f>AP357/(AM357+AO357)</f>
        <v>0</v>
      </c>
      <c r="BK357" s="33">
        <f>(AN357+AO357)/(AM357+AO357)</f>
        <v>0.2</v>
      </c>
      <c r="BL357" s="4"/>
      <c r="BM357" s="127">
        <f>CF357/102</f>
        <v>0.2676470588235294</v>
      </c>
      <c r="BN357" s="127">
        <f>C357/2</f>
        <v>1</v>
      </c>
      <c r="BO357" s="4"/>
      <c r="BP357" s="127">
        <f>(AK357)/($AW$6)</f>
        <v>0.22222222222222221</v>
      </c>
      <c r="BQ357" s="127">
        <f ca="1">(CH357-$AW$4)/((YEAR($C$13))-$AW$4)</f>
        <v>0</v>
      </c>
      <c r="BR357" s="127">
        <f>(AL357)/($AW$6)</f>
        <v>0.33333333333333331</v>
      </c>
      <c r="BS357" s="4"/>
      <c r="BT357" s="127"/>
      <c r="BU357" s="127">
        <f ca="1">(CG357-$AW$4)/((YEAR($C$13))-$AW$4)</f>
        <v>0</v>
      </c>
      <c r="BV357" s="127">
        <f>AE357/5</f>
        <v>1</v>
      </c>
      <c r="BW357" s="127">
        <f>AF357/5</f>
        <v>1</v>
      </c>
      <c r="BX357" s="4"/>
      <c r="BY357" s="148" t="str">
        <f>IF(E357="A",".98",IF(E357="B",".99",IF(E357="C","1.00",IF(E357="D","1.00" ))))</f>
        <v>.98</v>
      </c>
      <c r="BZ357" s="127">
        <f>(CE357+7)/10</f>
        <v>0.8</v>
      </c>
      <c r="CA357" s="76" t="str">
        <f>IF(D357="Fern",".97",IF(D357="Grass",".99",IF(D357="Herb",".97",IF(D357="Shrub",".99",IF(D357="Tree","1.00",IF(D357="Vine",".98"))))))</f>
        <v>.97</v>
      </c>
      <c r="CB357" s="149" t="str">
        <f>IF(R357="Bogs Ponds Streams",".96", IF(R357="Coastal Areas",".97",IF(R357="Meadows Dry Open",".96",IF(R357="Forest &amp; Understory",".97",IF(R357="Moist Open",".98",IF(R357="Moist Shady",".96",IF(R357="Sub-Alpine","1.0")))))))</f>
        <v>.96</v>
      </c>
      <c r="CC357" s="76" t="str">
        <f>IF(S357="Local Endemic",".50",IF(S357="Regional Endemic",".70",IF(S357="Cascadia",".90",IF(S357="Rocky Mountain",".95",IF(S357="North America",".99")))))</f>
        <v>.99</v>
      </c>
      <c r="CD357" s="4"/>
      <c r="CE357" s="21">
        <f>IF(W357&gt;3,3,W357)</f>
        <v>1</v>
      </c>
      <c r="CF357" s="21">
        <f>IF(AC357&gt;102,102,AC357)</f>
        <v>27.3</v>
      </c>
      <c r="CG357" s="34">
        <f>IF(AI357&lt;$AW$4,$AW$4,AI357)</f>
        <v>2004</v>
      </c>
      <c r="CH357" s="34">
        <f>IF(AJ357&lt;$AW$4,$AW$4,AJ357)</f>
        <v>2004</v>
      </c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</row>
    <row r="358" spans="1:115" s="13" customFormat="1" ht="15" customHeight="1" x14ac:dyDescent="0.3">
      <c r="A358" s="235"/>
      <c r="B358" s="218"/>
      <c r="C358" s="225">
        <v>8</v>
      </c>
      <c r="D358" s="59" t="s">
        <v>2505</v>
      </c>
      <c r="E358" s="59" t="s">
        <v>2501</v>
      </c>
      <c r="F358" s="397" t="str">
        <f ca="1">IF(BC358&lt;2025, "Extinct&lt; 6Yrs?",BA358)</f>
        <v>Widespread</v>
      </c>
      <c r="G358" s="363" t="s">
        <v>525</v>
      </c>
      <c r="H358" s="363" t="s">
        <v>690</v>
      </c>
      <c r="I358" s="364" t="s">
        <v>2644</v>
      </c>
      <c r="J358" s="365" t="s">
        <v>3352</v>
      </c>
      <c r="K358" s="365" t="s">
        <v>2769</v>
      </c>
      <c r="L358" s="17" t="s">
        <v>1446</v>
      </c>
      <c r="M358" s="8" t="s">
        <v>4436</v>
      </c>
      <c r="N358" s="8" t="s">
        <v>5331</v>
      </c>
      <c r="O358" s="8" t="s">
        <v>6228</v>
      </c>
      <c r="P358" s="398" t="s">
        <v>350</v>
      </c>
      <c r="Q358" s="59" t="s">
        <v>2552</v>
      </c>
      <c r="R358" s="9" t="s">
        <v>2500</v>
      </c>
      <c r="S358" s="9" t="s">
        <v>2495</v>
      </c>
      <c r="T358" s="123" t="str">
        <f>IF(R358="Bogs Ponds Streams","20",IF(R358="Coastal Areas","26",IF(R358="Meadows Dry Open","10",IF(R358="Forest &amp; Understory","14",IF(R358="Moist Open","12",IF(R358="Moist Shady","10",IF(R358="Sub-Alpine Slopes","0")))))))</f>
        <v>10</v>
      </c>
      <c r="U358" s="123" t="str">
        <f>IF(R358="Bogs Ponds Streams","52",IF(R358="Coastal Areas","51",IF(R358="Meadows Dry Open","53",IF(R358="Forest &amp; Understory","52",IF(R358="Moist Open","50",IF(R358="Moist Shady","46",IF(R358="Sub-Alpine Slopes","40")))))))</f>
        <v>53</v>
      </c>
      <c r="V358" s="123" t="str">
        <f>IF(R358="Bogs Ponds Streams","84",IF(R358="Coastal Areas","76",IF(R358="Meadows Dry Open","96", IF(R358="Forest &amp; Understory","90", IF(R358="Moist Open","88", IF(R358="Moist Shady","82", IF(R358="Sub-Alpine Slopes","80")))))))</f>
        <v>96</v>
      </c>
      <c r="W358" s="59">
        <v>20</v>
      </c>
      <c r="X358" s="59">
        <v>0</v>
      </c>
      <c r="Y358" s="59">
        <v>3500</v>
      </c>
      <c r="Z358" s="59" t="s">
        <v>2519</v>
      </c>
      <c r="AA358" s="59" t="s">
        <v>2518</v>
      </c>
      <c r="AB358" s="59">
        <v>6.8</v>
      </c>
      <c r="AC358" s="45">
        <f>C358+AK358+(0.1)*AL358</f>
        <v>23.3</v>
      </c>
      <c r="AD358" s="77">
        <v>230</v>
      </c>
      <c r="AE358" s="59">
        <v>5</v>
      </c>
      <c r="AF358" s="59">
        <v>5</v>
      </c>
      <c r="AG358" s="59">
        <v>1900</v>
      </c>
      <c r="AH358" s="77">
        <v>0</v>
      </c>
      <c r="AI358" s="59">
        <f ca="1">AJ358</f>
        <v>2019</v>
      </c>
      <c r="AJ358" s="18">
        <f ca="1">YEAR(TODAY())</f>
        <v>2019</v>
      </c>
      <c r="AK358" s="18">
        <v>12</v>
      </c>
      <c r="AL358" s="18">
        <v>33</v>
      </c>
      <c r="AM358" s="18">
        <v>1</v>
      </c>
      <c r="AN358" s="18">
        <v>1</v>
      </c>
      <c r="AO358" s="24">
        <v>1</v>
      </c>
      <c r="AP358" s="24">
        <v>0</v>
      </c>
      <c r="AQ358" s="18">
        <v>0</v>
      </c>
      <c r="AR358" s="18">
        <v>0</v>
      </c>
      <c r="AS358" s="18">
        <v>0</v>
      </c>
      <c r="AT358" s="18">
        <v>0</v>
      </c>
      <c r="AU358" s="18">
        <v>0</v>
      </c>
      <c r="AV358" s="18">
        <v>0</v>
      </c>
      <c r="AW358" s="18">
        <v>0</v>
      </c>
      <c r="AX358" s="18">
        <v>0</v>
      </c>
      <c r="AY358" s="233"/>
      <c r="AZ358" s="4"/>
      <c r="BA358" s="35" t="str">
        <f>IF(OR(S358="North America",S358="Rocky Mountain"), "Widespread",BC358)</f>
        <v>Widespread</v>
      </c>
      <c r="BB358" s="4"/>
      <c r="BC358" s="35" t="str">
        <f ca="1">IF(BE358&gt;2046, "Abundant",BE358)</f>
        <v>Abundant</v>
      </c>
      <c r="BD358" s="4"/>
      <c r="BE358" s="81">
        <f ca="1">YEAR($C$13)+(BG358*80)</f>
        <v>2103.1701219251336</v>
      </c>
      <c r="BF358" s="4"/>
      <c r="BG358" s="137">
        <f ca="1">BH358*$BH$14</f>
        <v>1.0521265240641711</v>
      </c>
      <c r="BH358" s="137">
        <f ca="1">(((BJ358+BK358+BM358+BN358)/4)*$BM$11)+(((BP358+BQ358)/2)*$BQ$11)+(((BU358+BV358+BW358)/3)*$BU$11)+(((BY358+BZ358+CA358+CB358+CC358)/5)*$CA$11)</f>
        <v>1.0521265240641711</v>
      </c>
      <c r="BI358" s="4"/>
      <c r="BJ358" s="33">
        <f>AP358/(AM358+AO358)</f>
        <v>0</v>
      </c>
      <c r="BK358" s="33">
        <f>(AN358+AO358)/(AM358+AO358)</f>
        <v>1</v>
      </c>
      <c r="BL358" s="4"/>
      <c r="BM358" s="127">
        <f>CF358/102</f>
        <v>0.2284313725490196</v>
      </c>
      <c r="BN358" s="127">
        <f>C358/2</f>
        <v>4</v>
      </c>
      <c r="BO358" s="4"/>
      <c r="BP358" s="127">
        <f>(AK358)/($AW$6)</f>
        <v>0.12121212121212122</v>
      </c>
      <c r="BQ358" s="127">
        <f ca="1">(CH358-$AW$4)/((YEAR($C$13))-$AW$4)</f>
        <v>1</v>
      </c>
      <c r="BR358" s="127">
        <f>(AL358)/($AW$6)</f>
        <v>0.33333333333333331</v>
      </c>
      <c r="BS358" s="4"/>
      <c r="BT358" s="127"/>
      <c r="BU358" s="127">
        <f ca="1">(CG358-$AW$4)/((YEAR($C$13))-$AW$4)</f>
        <v>1</v>
      </c>
      <c r="BV358" s="127">
        <f>AE358/5</f>
        <v>1</v>
      </c>
      <c r="BW358" s="127">
        <f>AF358/5</f>
        <v>1</v>
      </c>
      <c r="BX358" s="4"/>
      <c r="BY358" s="148" t="str">
        <f>IF(E358="A",".98",IF(E358="B",".99",IF(E358="C","1.00",IF(E358="D","1.00" ))))</f>
        <v>1.00</v>
      </c>
      <c r="BZ358" s="127">
        <f>(CE358+7)/10</f>
        <v>1</v>
      </c>
      <c r="CA358" s="76" t="str">
        <f>IF(D358="Fern",".97",IF(D358="Grass",".99",IF(D358="Herb",".97",IF(D358="Shrub",".99",IF(D358="Tree","1.00",IF(D358="Vine",".98"))))))</f>
        <v>.97</v>
      </c>
      <c r="CB358" s="149" t="str">
        <f>IF(R358="Bogs Ponds Streams",".96", IF(R358="Coastal Areas",".97",IF(R358="Meadows Dry Open",".96",IF(R358="Forest &amp; Understory",".97",IF(R358="Moist Open",".98",IF(R358="Moist Shady",".96",IF(R358="Sub-Alpine","1.0")))))))</f>
        <v>.96</v>
      </c>
      <c r="CC358" s="76" t="str">
        <f>IF(S358="Local Endemic",".50",IF(S358="Regional Endemic",".70",IF(S358="Cascadia",".90",IF(S358="Rocky Mountain",".95",IF(S358="North America",".99")))))</f>
        <v>.99</v>
      </c>
      <c r="CD358" s="4"/>
      <c r="CE358" s="21">
        <f>IF(W358&gt;3,3,W358)</f>
        <v>3</v>
      </c>
      <c r="CF358" s="21">
        <f>IF(AC358&gt;102,102,AC358)</f>
        <v>23.3</v>
      </c>
      <c r="CG358" s="34">
        <f ca="1">IF(AI358&lt;$AW$4,$AW$4,AI358)</f>
        <v>2019</v>
      </c>
      <c r="CH358" s="34">
        <f ca="1">IF(AJ358&lt;$AW$4,$AW$4,AJ358)</f>
        <v>2019</v>
      </c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</row>
    <row r="359" spans="1:115" s="13" customFormat="1" ht="15" customHeight="1" x14ac:dyDescent="0.3">
      <c r="A359" s="235"/>
      <c r="B359" s="218"/>
      <c r="C359" s="375">
        <v>1</v>
      </c>
      <c r="D359" s="67" t="s">
        <v>2505</v>
      </c>
      <c r="E359" s="67" t="s">
        <v>2501</v>
      </c>
      <c r="F359" s="403">
        <f ca="1">IF(BC359&lt;2025, "Extinct&lt; 6Yrs?",BA359)</f>
        <v>2036.1848156862745</v>
      </c>
      <c r="G359" s="376" t="s">
        <v>525</v>
      </c>
      <c r="H359" s="376" t="s">
        <v>4028</v>
      </c>
      <c r="I359" s="380" t="s">
        <v>351</v>
      </c>
      <c r="J359" s="378" t="s">
        <v>3615</v>
      </c>
      <c r="K359" s="378" t="s">
        <v>80</v>
      </c>
      <c r="L359" s="63" t="s">
        <v>1447</v>
      </c>
      <c r="M359" s="64" t="s">
        <v>4437</v>
      </c>
      <c r="N359" s="64" t="s">
        <v>5332</v>
      </c>
      <c r="O359" s="64" t="s">
        <v>6229</v>
      </c>
      <c r="P359" s="61" t="s">
        <v>350</v>
      </c>
      <c r="Q359" s="67" t="s">
        <v>2552</v>
      </c>
      <c r="R359" s="61" t="s">
        <v>2498</v>
      </c>
      <c r="S359" s="61" t="s">
        <v>2459</v>
      </c>
      <c r="T359" s="134" t="str">
        <f>IF(R359="Bogs Ponds Streams","20",IF(R359="Coastal Areas","26",IF(R359="Meadows Dry Open","10",IF(R359="Forest &amp; Understory","14",IF(R359="Moist Open","12",IF(R359="Moist Shady","10",IF(R359="Sub-Alpine Slopes","0")))))))</f>
        <v>10</v>
      </c>
      <c r="U359" s="134" t="str">
        <f>IF(R359="Bogs Ponds Streams","52",IF(R359="Coastal Areas","51",IF(R359="Meadows Dry Open","53",IF(R359="Forest &amp; Understory","52",IF(R359="Moist Open","50",IF(R359="Moist Shady","46",IF(R359="Sub-Alpine Slopes","40")))))))</f>
        <v>46</v>
      </c>
      <c r="V359" s="134" t="str">
        <f>IF(R359="Bogs Ponds Streams","84",IF(R359="Coastal Areas","76",IF(R359="Meadows Dry Open","96", IF(R359="Forest &amp; Understory","90", IF(R359="Moist Open","88", IF(R359="Moist Shady","82", IF(R359="Sub-Alpine Slopes","80")))))))</f>
        <v>82</v>
      </c>
      <c r="W359" s="67">
        <v>20</v>
      </c>
      <c r="X359" s="67">
        <v>0</v>
      </c>
      <c r="Y359" s="67">
        <v>3500</v>
      </c>
      <c r="Z359" s="67" t="s">
        <v>2519</v>
      </c>
      <c r="AA359" s="67" t="s">
        <v>2518</v>
      </c>
      <c r="AB359" s="67">
        <v>6.8</v>
      </c>
      <c r="AC359" s="85">
        <f>C359+AK359+(0.1)*AL359</f>
        <v>23</v>
      </c>
      <c r="AD359" s="78">
        <v>46</v>
      </c>
      <c r="AE359" s="67">
        <v>5</v>
      </c>
      <c r="AF359" s="67">
        <v>5</v>
      </c>
      <c r="AG359" s="67">
        <v>1900</v>
      </c>
      <c r="AH359" s="78">
        <v>0</v>
      </c>
      <c r="AI359" s="67">
        <f>AJ359</f>
        <v>2004</v>
      </c>
      <c r="AJ359" s="69">
        <v>2004</v>
      </c>
      <c r="AK359" s="69">
        <v>22</v>
      </c>
      <c r="AL359" s="69">
        <v>0</v>
      </c>
      <c r="AM359" s="70">
        <v>5</v>
      </c>
      <c r="AN359" s="70">
        <v>0</v>
      </c>
      <c r="AO359" s="86">
        <v>0</v>
      </c>
      <c r="AP359" s="70">
        <v>0</v>
      </c>
      <c r="AQ359" s="70">
        <v>0</v>
      </c>
      <c r="AR359" s="70">
        <v>0</v>
      </c>
      <c r="AS359" s="86">
        <v>0</v>
      </c>
      <c r="AT359" s="70">
        <v>0</v>
      </c>
      <c r="AU359" s="70">
        <v>0</v>
      </c>
      <c r="AV359" s="70">
        <v>0</v>
      </c>
      <c r="AW359" s="86">
        <v>0</v>
      </c>
      <c r="AX359" s="70">
        <v>0</v>
      </c>
      <c r="AY359" s="233"/>
      <c r="AZ359" s="4"/>
      <c r="BA359" s="35">
        <f ca="1">IF(OR(S359="North America",S359="Rocky Mountain"), "Widespread",BC359)</f>
        <v>2036.1848156862745</v>
      </c>
      <c r="BB359" s="4"/>
      <c r="BC359" s="35">
        <f ca="1">IF(BE359&gt;2046, "Abundant",BE359)</f>
        <v>2036.1848156862745</v>
      </c>
      <c r="BD359" s="4"/>
      <c r="BE359" s="81">
        <f ca="1">YEAR($C$13)+(BG359*80)</f>
        <v>2036.1848156862745</v>
      </c>
      <c r="BF359" s="4"/>
      <c r="BG359" s="137">
        <f ca="1">BH359*$BH$14</f>
        <v>0.21481019607843138</v>
      </c>
      <c r="BH359" s="137">
        <f ca="1">(((BJ359+BK359+BM359+BN359)/4)*$BM$11)+(((BP359+BQ359)/2)*$BQ$11)+(((BU359+BV359+BW359)/3)*$BU$11)+(((BY359+BZ359+CA359+CB359+CC359)/5)*$CA$11)</f>
        <v>0.21481019607843138</v>
      </c>
      <c r="BI359" s="4"/>
      <c r="BJ359" s="33">
        <f>AP359/(AM359+AO359)</f>
        <v>0</v>
      </c>
      <c r="BK359" s="33">
        <f>(AN359+AO359)/(AM359+AO359)</f>
        <v>0</v>
      </c>
      <c r="BL359" s="4"/>
      <c r="BM359" s="127">
        <f>CF359/102</f>
        <v>0.22549019607843138</v>
      </c>
      <c r="BN359" s="127">
        <f>C359/2</f>
        <v>0.5</v>
      </c>
      <c r="BO359" s="4"/>
      <c r="BP359" s="127">
        <f>(AK359)/($AW$6)</f>
        <v>0.22222222222222221</v>
      </c>
      <c r="BQ359" s="127">
        <f ca="1">(CH359-$AW$4)/((YEAR($C$13))-$AW$4)</f>
        <v>0</v>
      </c>
      <c r="BR359" s="127">
        <f>(AL359)/($AW$6)</f>
        <v>0</v>
      </c>
      <c r="BS359" s="4"/>
      <c r="BT359" s="127"/>
      <c r="BU359" s="127">
        <f ca="1">(CG359-$AW$4)/((YEAR($C$13))-$AW$4)</f>
        <v>0</v>
      </c>
      <c r="BV359" s="127">
        <f>AE359/5</f>
        <v>1</v>
      </c>
      <c r="BW359" s="127">
        <f>AF359/5</f>
        <v>1</v>
      </c>
      <c r="BX359" s="4"/>
      <c r="BY359" s="148" t="str">
        <f>IF(E359="A",".98",IF(E359="B",".99",IF(E359="C","1.00",IF(E359="D","1.00" ))))</f>
        <v>1.00</v>
      </c>
      <c r="BZ359" s="127">
        <f>(CE359+7)/10</f>
        <v>1</v>
      </c>
      <c r="CA359" s="76" t="str">
        <f>IF(D359="Fern",".97",IF(D359="Grass",".99",IF(D359="Herb",".97",IF(D359="Shrub",".99",IF(D359="Tree","1.00",IF(D359="Vine",".98"))))))</f>
        <v>.97</v>
      </c>
      <c r="CB359" s="149" t="str">
        <f>IF(R359="Bogs Ponds Streams",".96", IF(R359="Coastal Areas",".97",IF(R359="Meadows Dry Open",".96",IF(R359="Forest &amp; Understory",".97",IF(R359="Moist Open",".98",IF(R359="Moist Shady",".96",IF(R359="Sub-Alpine","1.0")))))))</f>
        <v>.96</v>
      </c>
      <c r="CC359" s="76" t="str">
        <f>IF(S359="Local Endemic",".50",IF(S359="Regional Endemic",".70",IF(S359="Cascadia",".90",IF(S359="Rocky Mountain",".95",IF(S359="North America",".99")))))</f>
        <v>.90</v>
      </c>
      <c r="CD359" s="4"/>
      <c r="CE359" s="21">
        <f>IF(W359&gt;3,3,W359)</f>
        <v>3</v>
      </c>
      <c r="CF359" s="21">
        <f>IF(AC359&gt;102,102,AC359)</f>
        <v>23</v>
      </c>
      <c r="CG359" s="34">
        <f>IF(AI359&lt;$AW$4,$AW$4,AI359)</f>
        <v>2004</v>
      </c>
      <c r="CH359" s="34">
        <f>IF(AJ359&lt;$AW$4,$AW$4,AJ359)</f>
        <v>2004</v>
      </c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12"/>
    </row>
    <row r="360" spans="1:115" s="13" customFormat="1" ht="15" customHeight="1" x14ac:dyDescent="0.3">
      <c r="A360" s="235"/>
      <c r="B360" s="218"/>
      <c r="C360" s="375">
        <v>1</v>
      </c>
      <c r="D360" s="67" t="s">
        <v>2505</v>
      </c>
      <c r="E360" s="67" t="s">
        <v>2501</v>
      </c>
      <c r="F360" s="403" t="str">
        <f ca="1">IF(BC360&lt;2025, "Extinct&lt; 6Yrs?",BA360)</f>
        <v>Widespread</v>
      </c>
      <c r="G360" s="376" t="s">
        <v>525</v>
      </c>
      <c r="H360" s="376" t="s">
        <v>4028</v>
      </c>
      <c r="I360" s="379" t="s">
        <v>2645</v>
      </c>
      <c r="J360" s="378" t="s">
        <v>3614</v>
      </c>
      <c r="K360" s="378" t="s">
        <v>2770</v>
      </c>
      <c r="L360" s="65" t="s">
        <v>1448</v>
      </c>
      <c r="M360" s="64" t="s">
        <v>4438</v>
      </c>
      <c r="N360" s="64" t="s">
        <v>5333</v>
      </c>
      <c r="O360" s="64" t="s">
        <v>6230</v>
      </c>
      <c r="P360" s="404" t="s">
        <v>350</v>
      </c>
      <c r="Q360" s="67" t="s">
        <v>2552</v>
      </c>
      <c r="R360" s="61" t="s">
        <v>2498</v>
      </c>
      <c r="S360" s="61" t="s">
        <v>2495</v>
      </c>
      <c r="T360" s="134" t="str">
        <f>IF(R360="Bogs Ponds Streams","20",IF(R360="Coastal Areas","26",IF(R360="Meadows Dry Open","10",IF(R360="Forest &amp; Understory","14",IF(R360="Moist Open","12",IF(R360="Moist Shady","10",IF(R360="Sub-Alpine Slopes","0")))))))</f>
        <v>10</v>
      </c>
      <c r="U360" s="134" t="str">
        <f>IF(R360="Bogs Ponds Streams","52",IF(R360="Coastal Areas","51",IF(R360="Meadows Dry Open","53",IF(R360="Forest &amp; Understory","52",IF(R360="Moist Open","50",IF(R360="Moist Shady","46",IF(R360="Sub-Alpine Slopes","40")))))))</f>
        <v>46</v>
      </c>
      <c r="V360" s="134" t="str">
        <f>IF(R360="Bogs Ponds Streams","84",IF(R360="Coastal Areas","76",IF(R360="Meadows Dry Open","96", IF(R360="Forest &amp; Understory","90", IF(R360="Moist Open","88", IF(R360="Moist Shady","82", IF(R360="Sub-Alpine Slopes","80")))))))</f>
        <v>82</v>
      </c>
      <c r="W360" s="67">
        <v>20</v>
      </c>
      <c r="X360" s="67">
        <v>0</v>
      </c>
      <c r="Y360" s="67">
        <v>3500</v>
      </c>
      <c r="Z360" s="67" t="s">
        <v>2519</v>
      </c>
      <c r="AA360" s="67" t="s">
        <v>2518</v>
      </c>
      <c r="AB360" s="67">
        <v>6.8</v>
      </c>
      <c r="AC360" s="85">
        <f>C360+AK360+(0.1)*AL360</f>
        <v>6.1</v>
      </c>
      <c r="AD360" s="78">
        <v>20</v>
      </c>
      <c r="AE360" s="67">
        <v>5</v>
      </c>
      <c r="AF360" s="67">
        <v>5</v>
      </c>
      <c r="AG360" s="67">
        <v>1900</v>
      </c>
      <c r="AH360" s="78">
        <v>0</v>
      </c>
      <c r="AI360" s="67">
        <f>AJ360</f>
        <v>2004</v>
      </c>
      <c r="AJ360" s="69">
        <v>2004</v>
      </c>
      <c r="AK360" s="69">
        <v>5</v>
      </c>
      <c r="AL360" s="69">
        <v>1</v>
      </c>
      <c r="AM360" s="70">
        <v>5</v>
      </c>
      <c r="AN360" s="70">
        <v>0</v>
      </c>
      <c r="AO360" s="86">
        <v>0</v>
      </c>
      <c r="AP360" s="70">
        <v>0</v>
      </c>
      <c r="AQ360" s="70">
        <v>0</v>
      </c>
      <c r="AR360" s="70">
        <v>0</v>
      </c>
      <c r="AS360" s="86">
        <v>0</v>
      </c>
      <c r="AT360" s="70">
        <v>0</v>
      </c>
      <c r="AU360" s="70">
        <v>0</v>
      </c>
      <c r="AV360" s="70">
        <v>0</v>
      </c>
      <c r="AW360" s="86">
        <v>0</v>
      </c>
      <c r="AX360" s="70">
        <v>0</v>
      </c>
      <c r="AY360" s="233"/>
      <c r="AZ360" s="4"/>
      <c r="BA360" s="35" t="str">
        <f>IF(OR(S360="North America",S360="Rocky Mountain"), "Widespread",BC360)</f>
        <v>Widespread</v>
      </c>
      <c r="BB360" s="4"/>
      <c r="BC360" s="35">
        <f ca="1">IF(BE360&gt;2046, "Abundant",BE360)</f>
        <v>2032.1647743315507</v>
      </c>
      <c r="BD360" s="4"/>
      <c r="BE360" s="81">
        <f ca="1">YEAR($C$13)+(BG360*80)</f>
        <v>2032.1647743315507</v>
      </c>
      <c r="BF360" s="4"/>
      <c r="BG360" s="137">
        <f ca="1">BH360*$BH$14</f>
        <v>0.16455967914438502</v>
      </c>
      <c r="BH360" s="137">
        <f ca="1">(((BJ360+BK360+BM360+BN360)/4)*$BM$11)+(((BP360+BQ360)/2)*$BQ$11)+(((BU360+BV360+BW360)/3)*$BU$11)+(((BY360+BZ360+CA360+CB360+CC360)/5)*$CA$11)</f>
        <v>0.16455967914438502</v>
      </c>
      <c r="BI360" s="4"/>
      <c r="BJ360" s="33">
        <f>AP360/(AM360+AO360)</f>
        <v>0</v>
      </c>
      <c r="BK360" s="33">
        <f>(AN360+AO360)/(AM360+AO360)</f>
        <v>0</v>
      </c>
      <c r="BL360" s="4"/>
      <c r="BM360" s="127">
        <f>CF360/102</f>
        <v>5.9803921568627447E-2</v>
      </c>
      <c r="BN360" s="127">
        <f>C360/2</f>
        <v>0.5</v>
      </c>
      <c r="BO360" s="4"/>
      <c r="BP360" s="127">
        <f>(AK360)/($AW$6)</f>
        <v>5.0505050505050504E-2</v>
      </c>
      <c r="BQ360" s="127">
        <f ca="1">(CH360-$AW$4)/((YEAR($C$13))-$AW$4)</f>
        <v>0</v>
      </c>
      <c r="BR360" s="127">
        <f>(AL360)/($AW$6)</f>
        <v>1.0101010101010102E-2</v>
      </c>
      <c r="BS360" s="4"/>
      <c r="BT360" s="127"/>
      <c r="BU360" s="127">
        <f ca="1">(CG360-$AW$4)/((YEAR($C$13))-$AW$4)</f>
        <v>0</v>
      </c>
      <c r="BV360" s="127">
        <f>AE360/5</f>
        <v>1</v>
      </c>
      <c r="BW360" s="127">
        <f>AF360/5</f>
        <v>1</v>
      </c>
      <c r="BX360" s="4"/>
      <c r="BY360" s="148" t="str">
        <f>IF(E360="A",".98",IF(E360="B",".99",IF(E360="C","1.00",IF(E360="D","1.00" ))))</f>
        <v>1.00</v>
      </c>
      <c r="BZ360" s="127">
        <f>(CE360+7)/10</f>
        <v>1</v>
      </c>
      <c r="CA360" s="76" t="str">
        <f>IF(D360="Fern",".97",IF(D360="Grass",".99",IF(D360="Herb",".97",IF(D360="Shrub",".99",IF(D360="Tree","1.00",IF(D360="Vine",".98"))))))</f>
        <v>.97</v>
      </c>
      <c r="CB360" s="149" t="str">
        <f>IF(R360="Bogs Ponds Streams",".96", IF(R360="Coastal Areas",".97",IF(R360="Meadows Dry Open",".96",IF(R360="Forest &amp; Understory",".97",IF(R360="Moist Open",".98",IF(R360="Moist Shady",".96",IF(R360="Sub-Alpine","1.0")))))))</f>
        <v>.96</v>
      </c>
      <c r="CC360" s="76" t="str">
        <f>IF(S360="Local Endemic",".50",IF(S360="Regional Endemic",".70",IF(S360="Cascadia",".90",IF(S360="Rocky Mountain",".95",IF(S360="North America",".99")))))</f>
        <v>.99</v>
      </c>
      <c r="CD360" s="4"/>
      <c r="CE360" s="21">
        <f>IF(W360&gt;3,3,W360)</f>
        <v>3</v>
      </c>
      <c r="CF360" s="21">
        <f>IF(AC360&gt;102,102,AC360)</f>
        <v>6.1</v>
      </c>
      <c r="CG360" s="34">
        <f>IF(AI360&lt;$AW$4,$AW$4,AI360)</f>
        <v>2004</v>
      </c>
      <c r="CH360" s="34">
        <f>IF(AJ360&lt;$AW$4,$AW$4,AJ360)</f>
        <v>2004</v>
      </c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12"/>
    </row>
    <row r="361" spans="1:115" s="13" customFormat="1" ht="15" customHeight="1" x14ac:dyDescent="0.3">
      <c r="A361" s="235"/>
      <c r="B361" s="218"/>
      <c r="C361" s="226">
        <v>2</v>
      </c>
      <c r="D361" s="104" t="s">
        <v>2505</v>
      </c>
      <c r="E361" s="104" t="s">
        <v>2501</v>
      </c>
      <c r="F361" s="400" t="str">
        <f ca="1">IF(BC361&lt;2025, "Extinct&lt; 6Yrs?",BA361)</f>
        <v>Widespread</v>
      </c>
      <c r="G361" s="369" t="s">
        <v>525</v>
      </c>
      <c r="H361" s="369" t="s">
        <v>4028</v>
      </c>
      <c r="I361" s="372" t="s">
        <v>2646</v>
      </c>
      <c r="J361" s="371" t="s">
        <v>3778</v>
      </c>
      <c r="K361" s="371" t="s">
        <v>2771</v>
      </c>
      <c r="L361" s="114" t="s">
        <v>1449</v>
      </c>
      <c r="M361" s="111" t="s">
        <v>4439</v>
      </c>
      <c r="N361" s="111" t="s">
        <v>5334</v>
      </c>
      <c r="O361" s="111" t="s">
        <v>6231</v>
      </c>
      <c r="P361" s="401" t="s">
        <v>350</v>
      </c>
      <c r="Q361" s="104" t="s">
        <v>2552</v>
      </c>
      <c r="R361" s="105" t="s">
        <v>2498</v>
      </c>
      <c r="S361" s="105" t="s">
        <v>2495</v>
      </c>
      <c r="T361" s="133" t="str">
        <f>IF(R361="Bogs Ponds Streams","20",IF(R361="Coastal Areas","26",IF(R361="Meadows Dry Open","10",IF(R361="Forest &amp; Understory","14",IF(R361="Moist Open","12",IF(R361="Moist Shady","10",IF(R361="Sub-Alpine Slopes","0")))))))</f>
        <v>10</v>
      </c>
      <c r="U361" s="133" t="str">
        <f>IF(R361="Bogs Ponds Streams","52",IF(R361="Coastal Areas","51",IF(R361="Meadows Dry Open","53",IF(R361="Forest &amp; Understory","52",IF(R361="Moist Open","50",IF(R361="Moist Shady","46",IF(R361="Sub-Alpine Slopes","40")))))))</f>
        <v>46</v>
      </c>
      <c r="V361" s="133" t="str">
        <f>IF(R361="Bogs Ponds Streams","84",IF(R361="Coastal Areas","76",IF(R361="Meadows Dry Open","96", IF(R361="Forest &amp; Understory","90", IF(R361="Moist Open","88", IF(R361="Moist Shady","82", IF(R361="Sub-Alpine Slopes","80")))))))</f>
        <v>82</v>
      </c>
      <c r="W361" s="104">
        <v>20</v>
      </c>
      <c r="X361" s="104">
        <v>0</v>
      </c>
      <c r="Y361" s="104">
        <v>3500</v>
      </c>
      <c r="Z361" s="104" t="s">
        <v>2519</v>
      </c>
      <c r="AA361" s="104" t="s">
        <v>2518</v>
      </c>
      <c r="AB361" s="104">
        <v>6.8</v>
      </c>
      <c r="AC361" s="107">
        <f>C361+AK361+(0.1)*AL361</f>
        <v>37.200000000000003</v>
      </c>
      <c r="AD361" s="113">
        <v>206</v>
      </c>
      <c r="AE361" s="104">
        <v>5</v>
      </c>
      <c r="AF361" s="104">
        <v>5</v>
      </c>
      <c r="AG361" s="104">
        <v>1900</v>
      </c>
      <c r="AH361" s="113">
        <v>0</v>
      </c>
      <c r="AI361" s="104">
        <f>AJ361</f>
        <v>2004</v>
      </c>
      <c r="AJ361" s="108">
        <v>2004</v>
      </c>
      <c r="AK361" s="108">
        <v>33</v>
      </c>
      <c r="AL361" s="108">
        <v>22</v>
      </c>
      <c r="AM361" s="109">
        <v>5</v>
      </c>
      <c r="AN361" s="109">
        <v>1</v>
      </c>
      <c r="AO361" s="110">
        <v>0</v>
      </c>
      <c r="AP361" s="109">
        <v>0</v>
      </c>
      <c r="AQ361" s="109">
        <v>0</v>
      </c>
      <c r="AR361" s="109">
        <v>0</v>
      </c>
      <c r="AS361" s="110">
        <v>0</v>
      </c>
      <c r="AT361" s="109">
        <v>0</v>
      </c>
      <c r="AU361" s="109">
        <v>0</v>
      </c>
      <c r="AV361" s="109">
        <v>0</v>
      </c>
      <c r="AW361" s="110">
        <v>0</v>
      </c>
      <c r="AX361" s="109">
        <v>0</v>
      </c>
      <c r="AY361" s="233"/>
      <c r="AZ361" s="4"/>
      <c r="BA361" s="35" t="str">
        <f>IF(OR(S361="North America",S361="Rocky Mountain"), "Widespread",BC361)</f>
        <v>Widespread</v>
      </c>
      <c r="BB361" s="4"/>
      <c r="BC361" s="35" t="str">
        <f ca="1">IF(BE361&gt;2046, "Abundant",BE361)</f>
        <v>Abundant</v>
      </c>
      <c r="BD361" s="4"/>
      <c r="BE361" s="81">
        <f ca="1">YEAR($C$13)+(BG361*80)</f>
        <v>2047.6175372549019</v>
      </c>
      <c r="BF361" s="4"/>
      <c r="BG361" s="137">
        <f ca="1">BH361*$BH$14</f>
        <v>0.35771921568627446</v>
      </c>
      <c r="BH361" s="137">
        <f ca="1">(((BJ361+BK361+BM361+BN361)/4)*$BM$11)+(((BP361+BQ361)/2)*$BQ$11)+(((BU361+BV361+BW361)/3)*$BU$11)+(((BY361+BZ361+CA361+CB361+CC361)/5)*$CA$11)</f>
        <v>0.35771921568627446</v>
      </c>
      <c r="BI361" s="4"/>
      <c r="BJ361" s="33">
        <f>AP361/(AM361+AO361)</f>
        <v>0</v>
      </c>
      <c r="BK361" s="33">
        <f>(AN361+AO361)/(AM361+AO361)</f>
        <v>0.2</v>
      </c>
      <c r="BL361" s="4"/>
      <c r="BM361" s="127">
        <f>CF361/102</f>
        <v>0.36470588235294121</v>
      </c>
      <c r="BN361" s="127">
        <f>C361/2</f>
        <v>1</v>
      </c>
      <c r="BO361" s="4"/>
      <c r="BP361" s="127">
        <f>(AK361)/($AW$6)</f>
        <v>0.33333333333333331</v>
      </c>
      <c r="BQ361" s="127">
        <f ca="1">(CH361-$AW$4)/((YEAR($C$13))-$AW$4)</f>
        <v>0</v>
      </c>
      <c r="BR361" s="127">
        <f>(AL361)/($AW$6)</f>
        <v>0.22222222222222221</v>
      </c>
      <c r="BS361" s="4"/>
      <c r="BT361" s="127"/>
      <c r="BU361" s="127">
        <f ca="1">(CG361-$AW$4)/((YEAR($C$13))-$AW$4)</f>
        <v>0</v>
      </c>
      <c r="BV361" s="127">
        <f>AE361/5</f>
        <v>1</v>
      </c>
      <c r="BW361" s="127">
        <f>AF361/5</f>
        <v>1</v>
      </c>
      <c r="BX361" s="4"/>
      <c r="BY361" s="148" t="str">
        <f>IF(E361="A",".98",IF(E361="B",".99",IF(E361="C","1.00",IF(E361="D","1.00" ))))</f>
        <v>1.00</v>
      </c>
      <c r="BZ361" s="127">
        <f>(CE361+7)/10</f>
        <v>1</v>
      </c>
      <c r="CA361" s="76" t="str">
        <f>IF(D361="Fern",".97",IF(D361="Grass",".99",IF(D361="Herb",".97",IF(D361="Shrub",".99",IF(D361="Tree","1.00",IF(D361="Vine",".98"))))))</f>
        <v>.97</v>
      </c>
      <c r="CB361" s="149" t="str">
        <f>IF(R361="Bogs Ponds Streams",".96", IF(R361="Coastal Areas",".97",IF(R361="Meadows Dry Open",".96",IF(R361="Forest &amp; Understory",".97",IF(R361="Moist Open",".98",IF(R361="Moist Shady",".96",IF(R361="Sub-Alpine","1.0")))))))</f>
        <v>.96</v>
      </c>
      <c r="CC361" s="76" t="str">
        <f>IF(S361="Local Endemic",".50",IF(S361="Regional Endemic",".70",IF(S361="Cascadia",".90",IF(S361="Rocky Mountain",".95",IF(S361="North America",".99")))))</f>
        <v>.99</v>
      </c>
      <c r="CD361" s="4"/>
      <c r="CE361" s="21">
        <f>IF(W361&gt;3,3,W361)</f>
        <v>3</v>
      </c>
      <c r="CF361" s="21">
        <f>IF(AC361&gt;102,102,AC361)</f>
        <v>37.200000000000003</v>
      </c>
      <c r="CG361" s="34">
        <f>IF(AI361&lt;$AW$4,$AW$4,AI361)</f>
        <v>2004</v>
      </c>
      <c r="CH361" s="34">
        <f>IF(AJ361&lt;$AW$4,$AW$4,AJ361)</f>
        <v>2004</v>
      </c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</row>
    <row r="362" spans="1:115" s="13" customFormat="1" ht="15" customHeight="1" x14ac:dyDescent="0.3">
      <c r="A362" s="235"/>
      <c r="B362" s="218"/>
      <c r="C362" s="226">
        <v>2</v>
      </c>
      <c r="D362" s="104" t="s">
        <v>2505</v>
      </c>
      <c r="E362" s="104" t="s">
        <v>2501</v>
      </c>
      <c r="F362" s="400" t="str">
        <f ca="1">IF(BC362&lt;2025, "Extinct&lt; 6Yrs?",BA362)</f>
        <v>Widespread</v>
      </c>
      <c r="G362" s="369" t="s">
        <v>525</v>
      </c>
      <c r="H362" s="369" t="s">
        <v>4028</v>
      </c>
      <c r="I362" s="370" t="s">
        <v>3070</v>
      </c>
      <c r="J362" s="371" t="s">
        <v>3777</v>
      </c>
      <c r="K362" s="371" t="s">
        <v>81</v>
      </c>
      <c r="L362" s="106" t="s">
        <v>1450</v>
      </c>
      <c r="M362" s="111" t="s">
        <v>4440</v>
      </c>
      <c r="N362" s="111" t="s">
        <v>5335</v>
      </c>
      <c r="O362" s="111" t="s">
        <v>6232</v>
      </c>
      <c r="P362" s="105" t="s">
        <v>350</v>
      </c>
      <c r="Q362" s="104" t="s">
        <v>2552</v>
      </c>
      <c r="R362" s="105" t="s">
        <v>2500</v>
      </c>
      <c r="S362" s="114" t="s">
        <v>2495</v>
      </c>
      <c r="T362" s="133" t="str">
        <f>IF(R362="Bogs Ponds Streams","20",IF(R362="Coastal Areas","26",IF(R362="Meadows Dry Open","10",IF(R362="Forest &amp; Understory","14",IF(R362="Moist Open","12",IF(R362="Moist Shady","10",IF(R362="Sub-Alpine Slopes","0")))))))</f>
        <v>10</v>
      </c>
      <c r="U362" s="133" t="str">
        <f>IF(R362="Bogs Ponds Streams","52",IF(R362="Coastal Areas","51",IF(R362="Meadows Dry Open","53",IF(R362="Forest &amp; Understory","52",IF(R362="Moist Open","50",IF(R362="Moist Shady","46",IF(R362="Sub-Alpine Slopes","40")))))))</f>
        <v>53</v>
      </c>
      <c r="V362" s="133" t="str">
        <f>IF(R362="Bogs Ponds Streams","84",IF(R362="Coastal Areas","76",IF(R362="Meadows Dry Open","96", IF(R362="Forest &amp; Understory","90", IF(R362="Moist Open","88", IF(R362="Moist Shady","82", IF(R362="Sub-Alpine Slopes","80")))))))</f>
        <v>96</v>
      </c>
      <c r="W362" s="104">
        <v>20</v>
      </c>
      <c r="X362" s="104">
        <v>0</v>
      </c>
      <c r="Y362" s="104">
        <v>3500</v>
      </c>
      <c r="Z362" s="104" t="s">
        <v>2519</v>
      </c>
      <c r="AA362" s="104" t="s">
        <v>2518</v>
      </c>
      <c r="AB362" s="104">
        <v>6.8</v>
      </c>
      <c r="AC362" s="107">
        <f>C362+AK362+(0.1)*AL362</f>
        <v>59.2</v>
      </c>
      <c r="AD362" s="113">
        <v>190</v>
      </c>
      <c r="AE362" s="104">
        <v>5</v>
      </c>
      <c r="AF362" s="104">
        <v>5</v>
      </c>
      <c r="AG362" s="104">
        <v>1900</v>
      </c>
      <c r="AH362" s="113">
        <v>0</v>
      </c>
      <c r="AI362" s="104">
        <f>AJ362</f>
        <v>2004</v>
      </c>
      <c r="AJ362" s="108">
        <v>2004</v>
      </c>
      <c r="AK362" s="108">
        <v>55</v>
      </c>
      <c r="AL362" s="108">
        <v>22</v>
      </c>
      <c r="AM362" s="109">
        <v>5</v>
      </c>
      <c r="AN362" s="109">
        <v>1</v>
      </c>
      <c r="AO362" s="110">
        <v>0</v>
      </c>
      <c r="AP362" s="109">
        <v>0</v>
      </c>
      <c r="AQ362" s="109">
        <v>0</v>
      </c>
      <c r="AR362" s="109">
        <v>0</v>
      </c>
      <c r="AS362" s="110">
        <v>0</v>
      </c>
      <c r="AT362" s="109">
        <v>0</v>
      </c>
      <c r="AU362" s="109">
        <v>0</v>
      </c>
      <c r="AV362" s="109">
        <v>0</v>
      </c>
      <c r="AW362" s="110">
        <v>0</v>
      </c>
      <c r="AX362" s="109">
        <v>0</v>
      </c>
      <c r="AY362" s="233"/>
      <c r="AZ362" s="4"/>
      <c r="BA362" s="35" t="str">
        <f>IF(OR(S362="North America",S362="Rocky Mountain"), "Widespread",BC362)</f>
        <v>Widespread</v>
      </c>
      <c r="BB362" s="4"/>
      <c r="BC362" s="35" t="str">
        <f ca="1">IF(BE362&gt;2046, "Abundant",BE362)</f>
        <v>Abundant</v>
      </c>
      <c r="BD362" s="4"/>
      <c r="BE362" s="81">
        <f ca="1">YEAR($C$13)+(BG362*80)</f>
        <v>2052.8724392156864</v>
      </c>
      <c r="BF362" s="4"/>
      <c r="BG362" s="137">
        <f ca="1">BH362*$BH$14</f>
        <v>0.42340549019607843</v>
      </c>
      <c r="BH362" s="137">
        <f ca="1">(((BJ362+BK362+BM362+BN362)/4)*$BM$11)+(((BP362+BQ362)/2)*$BQ$11)+(((BU362+BV362+BW362)/3)*$BU$11)+(((BY362+BZ362+CA362+CB362+CC362)/5)*$CA$11)</f>
        <v>0.42340549019607843</v>
      </c>
      <c r="BI362" s="4"/>
      <c r="BJ362" s="33">
        <f>AP362/(AM362+AO362)</f>
        <v>0</v>
      </c>
      <c r="BK362" s="33">
        <f>(AN362+AO362)/(AM362+AO362)</f>
        <v>0.2</v>
      </c>
      <c r="BL362" s="4"/>
      <c r="BM362" s="127">
        <f>CF362/102</f>
        <v>0.58039215686274515</v>
      </c>
      <c r="BN362" s="127">
        <f>C362/2</f>
        <v>1</v>
      </c>
      <c r="BO362" s="4"/>
      <c r="BP362" s="127">
        <f>(AK362)/($AW$6)</f>
        <v>0.55555555555555558</v>
      </c>
      <c r="BQ362" s="127">
        <f ca="1">(CH362-$AW$4)/((YEAR($C$13))-$AW$4)</f>
        <v>0</v>
      </c>
      <c r="BR362" s="127">
        <f>(AL362)/($AW$6)</f>
        <v>0.22222222222222221</v>
      </c>
      <c r="BS362" s="4"/>
      <c r="BT362" s="127"/>
      <c r="BU362" s="127">
        <f ca="1">(CG362-$AW$4)/((YEAR($C$13))-$AW$4)</f>
        <v>0</v>
      </c>
      <c r="BV362" s="127">
        <f>AE362/5</f>
        <v>1</v>
      </c>
      <c r="BW362" s="127">
        <f>AF362/5</f>
        <v>1</v>
      </c>
      <c r="BX362" s="4"/>
      <c r="BY362" s="148" t="str">
        <f>IF(E362="A",".98",IF(E362="B",".99",IF(E362="C","1.00",IF(E362="D","1.00" ))))</f>
        <v>1.00</v>
      </c>
      <c r="BZ362" s="127">
        <f>(CE362+7)/10</f>
        <v>1</v>
      </c>
      <c r="CA362" s="76" t="str">
        <f>IF(D362="Fern",".97",IF(D362="Grass",".99",IF(D362="Herb",".97",IF(D362="Shrub",".99",IF(D362="Tree","1.00",IF(D362="Vine",".98"))))))</f>
        <v>.97</v>
      </c>
      <c r="CB362" s="149" t="str">
        <f>IF(R362="Bogs Ponds Streams",".96", IF(R362="Coastal Areas",".97",IF(R362="Meadows Dry Open",".96",IF(R362="Forest &amp; Understory",".97",IF(R362="Moist Open",".98",IF(R362="Moist Shady",".96",IF(R362="Sub-Alpine","1.0")))))))</f>
        <v>.96</v>
      </c>
      <c r="CC362" s="76" t="str">
        <f>IF(S362="Local Endemic",".50",IF(S362="Regional Endemic",".70",IF(S362="Cascadia",".90",IF(S362="Rocky Mountain",".95",IF(S362="North America",".99")))))</f>
        <v>.99</v>
      </c>
      <c r="CD362" s="4"/>
      <c r="CE362" s="21">
        <f>IF(W362&gt;3,3,W362)</f>
        <v>3</v>
      </c>
      <c r="CF362" s="21">
        <f>IF(AC362&gt;102,102,AC362)</f>
        <v>59.2</v>
      </c>
      <c r="CG362" s="34">
        <f>IF(AI362&lt;$AW$4,$AW$4,AI362)</f>
        <v>2004</v>
      </c>
      <c r="CH362" s="34">
        <f>IF(AJ362&lt;$AW$4,$AW$4,AJ362)</f>
        <v>2004</v>
      </c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</row>
    <row r="363" spans="1:115" s="13" customFormat="1" ht="15" customHeight="1" x14ac:dyDescent="0.3">
      <c r="A363" s="235"/>
      <c r="B363" s="218"/>
      <c r="C363" s="375">
        <v>1</v>
      </c>
      <c r="D363" s="67" t="s">
        <v>2505</v>
      </c>
      <c r="E363" s="67" t="s">
        <v>2503</v>
      </c>
      <c r="F363" s="403">
        <f ca="1">IF(BC363&lt;2025, "Extinct&lt; 6Yrs?",BA363)</f>
        <v>2032.3278688057042</v>
      </c>
      <c r="G363" s="376" t="s">
        <v>525</v>
      </c>
      <c r="H363" s="376" t="s">
        <v>4028</v>
      </c>
      <c r="I363" s="379" t="s">
        <v>2647</v>
      </c>
      <c r="J363" s="378" t="s">
        <v>4066</v>
      </c>
      <c r="K363" s="378" t="s">
        <v>1270</v>
      </c>
      <c r="L363" s="65" t="s">
        <v>2178</v>
      </c>
      <c r="M363" s="64" t="s">
        <v>4441</v>
      </c>
      <c r="N363" s="64" t="s">
        <v>5336</v>
      </c>
      <c r="O363" s="64" t="s">
        <v>6233</v>
      </c>
      <c r="P363" s="404" t="s">
        <v>51</v>
      </c>
      <c r="Q363" s="67" t="s">
        <v>2552</v>
      </c>
      <c r="R363" s="61" t="s">
        <v>2500</v>
      </c>
      <c r="S363" s="61" t="s">
        <v>2459</v>
      </c>
      <c r="T363" s="134" t="str">
        <f>IF(R363="Bogs Ponds Streams","20",IF(R363="Coastal Areas","26",IF(R363="Meadows Dry Open","10",IF(R363="Forest &amp; Understory","14",IF(R363="Moist Open","12",IF(R363="Moist Shady","10",IF(R363="Sub-Alpine Slopes","0")))))))</f>
        <v>10</v>
      </c>
      <c r="U363" s="134" t="str">
        <f>IF(R363="Bogs Ponds Streams","52",IF(R363="Coastal Areas","51",IF(R363="Meadows Dry Open","53",IF(R363="Forest &amp; Understory","52",IF(R363="Moist Open","50",IF(R363="Moist Shady","46",IF(R363="Sub-Alpine Slopes","40")))))))</f>
        <v>53</v>
      </c>
      <c r="V363" s="134" t="str">
        <f>IF(R363="Bogs Ponds Streams","84",IF(R363="Coastal Areas","76",IF(R363="Meadows Dry Open","96", IF(R363="Forest &amp; Understory","90", IF(R363="Moist Open","88", IF(R363="Moist Shady","82", IF(R363="Sub-Alpine Slopes","80")))))))</f>
        <v>96</v>
      </c>
      <c r="W363" s="67">
        <v>2</v>
      </c>
      <c r="X363" s="67">
        <v>0</v>
      </c>
      <c r="Y363" s="67">
        <v>3500</v>
      </c>
      <c r="Z363" s="67" t="s">
        <v>2519</v>
      </c>
      <c r="AA363" s="67" t="s">
        <v>2518</v>
      </c>
      <c r="AB363" s="67">
        <v>6.8</v>
      </c>
      <c r="AC363" s="85">
        <f>C363+AK363+(0.1)*AL363</f>
        <v>7</v>
      </c>
      <c r="AD363" s="78">
        <v>13</v>
      </c>
      <c r="AE363" s="67">
        <v>5</v>
      </c>
      <c r="AF363" s="67">
        <v>5</v>
      </c>
      <c r="AG363" s="67">
        <v>1900</v>
      </c>
      <c r="AH363" s="78">
        <v>0</v>
      </c>
      <c r="AI363" s="67">
        <f>AJ363</f>
        <v>2004</v>
      </c>
      <c r="AJ363" s="69">
        <v>2004</v>
      </c>
      <c r="AK363" s="69">
        <v>6</v>
      </c>
      <c r="AL363" s="69">
        <v>0</v>
      </c>
      <c r="AM363" s="70">
        <v>5</v>
      </c>
      <c r="AN363" s="70">
        <v>0</v>
      </c>
      <c r="AO363" s="86">
        <v>0</v>
      </c>
      <c r="AP363" s="70">
        <v>0</v>
      </c>
      <c r="AQ363" s="70">
        <v>0</v>
      </c>
      <c r="AR363" s="70">
        <v>0</v>
      </c>
      <c r="AS363" s="86">
        <v>0</v>
      </c>
      <c r="AT363" s="70">
        <v>0</v>
      </c>
      <c r="AU363" s="70">
        <v>0</v>
      </c>
      <c r="AV363" s="70">
        <v>0</v>
      </c>
      <c r="AW363" s="86">
        <v>0</v>
      </c>
      <c r="AX363" s="70">
        <v>0</v>
      </c>
      <c r="AY363" s="233"/>
      <c r="AZ363" s="4"/>
      <c r="BA363" s="35">
        <f ca="1">IF(OR(S363="North America",S363="Rocky Mountain"), "Widespread",BC363)</f>
        <v>2032.3278688057042</v>
      </c>
      <c r="BB363" s="4"/>
      <c r="BC363" s="35">
        <f ca="1">IF(BE363&gt;2046, "Abundant",BE363)</f>
        <v>2032.3278688057042</v>
      </c>
      <c r="BD363" s="4"/>
      <c r="BE363" s="81">
        <f ca="1">YEAR($C$13)+(BG363*80)</f>
        <v>2032.3278688057042</v>
      </c>
      <c r="BF363" s="4"/>
      <c r="BG363" s="137">
        <f ca="1">BH363*$BH$14</f>
        <v>0.16659836007130124</v>
      </c>
      <c r="BH363" s="137">
        <f ca="1">(((BJ363+BK363+BM363+BN363)/4)*$BM$11)+(((BP363+BQ363)/2)*$BQ$11)+(((BU363+BV363+BW363)/3)*$BU$11)+(((BY363+BZ363+CA363+CB363+CC363)/5)*$CA$11)</f>
        <v>0.16659836007130124</v>
      </c>
      <c r="BI363" s="4"/>
      <c r="BJ363" s="33">
        <f>AP363/(AM363+AO363)</f>
        <v>0</v>
      </c>
      <c r="BK363" s="33">
        <f>(AN363+AO363)/(AM363+AO363)</f>
        <v>0</v>
      </c>
      <c r="BL363" s="4"/>
      <c r="BM363" s="127">
        <f>CF363/102</f>
        <v>6.8627450980392163E-2</v>
      </c>
      <c r="BN363" s="127">
        <f>C363/2</f>
        <v>0.5</v>
      </c>
      <c r="BO363" s="4"/>
      <c r="BP363" s="127">
        <f>(AK363)/($AW$6)</f>
        <v>6.0606060606060608E-2</v>
      </c>
      <c r="BQ363" s="127">
        <f ca="1">(CH363-$AW$4)/((YEAR($C$13))-$AW$4)</f>
        <v>0</v>
      </c>
      <c r="BR363" s="127">
        <f>(AL363)/($AW$6)</f>
        <v>0</v>
      </c>
      <c r="BS363" s="4"/>
      <c r="BT363" s="127"/>
      <c r="BU363" s="127">
        <f ca="1">(CG363-$AW$4)/((YEAR($C$13))-$AW$4)</f>
        <v>0</v>
      </c>
      <c r="BV363" s="127">
        <f>AE363/5</f>
        <v>1</v>
      </c>
      <c r="BW363" s="127">
        <f>AF363/5</f>
        <v>1</v>
      </c>
      <c r="BX363" s="4"/>
      <c r="BY363" s="148" t="str">
        <f>IF(E363="A",".98",IF(E363="B",".99",IF(E363="C","1.00",IF(E363="D","1.00" ))))</f>
        <v>.99</v>
      </c>
      <c r="BZ363" s="127">
        <f>(CE363+7)/10</f>
        <v>0.9</v>
      </c>
      <c r="CA363" s="76" t="str">
        <f>IF(D363="Fern",".97",IF(D363="Grass",".99",IF(D363="Herb",".97",IF(D363="Shrub",".99",IF(D363="Tree","1.00",IF(D363="Vine",".98"))))))</f>
        <v>.97</v>
      </c>
      <c r="CB363" s="149" t="str">
        <f>IF(R363="Bogs Ponds Streams",".96", IF(R363="Coastal Areas",".97",IF(R363="Meadows Dry Open",".96",IF(R363="Forest &amp; Understory",".97",IF(R363="Moist Open",".98",IF(R363="Moist Shady",".96",IF(R363="Sub-Alpine","1.0")))))))</f>
        <v>.96</v>
      </c>
      <c r="CC363" s="76" t="str">
        <f>IF(S363="Local Endemic",".50",IF(S363="Regional Endemic",".70",IF(S363="Cascadia",".90",IF(S363="Rocky Mountain",".95",IF(S363="North America",".99")))))</f>
        <v>.90</v>
      </c>
      <c r="CD363" s="4"/>
      <c r="CE363" s="21">
        <f>IF(W363&gt;3,3,W363)</f>
        <v>2</v>
      </c>
      <c r="CF363" s="21">
        <f>IF(AC363&gt;102,102,AC363)</f>
        <v>7</v>
      </c>
      <c r="CG363" s="34">
        <f>IF(AI363&lt;$AW$4,$AW$4,AI363)</f>
        <v>2004</v>
      </c>
      <c r="CH363" s="34">
        <f>IF(AJ363&lt;$AW$4,$AW$4,AJ363)</f>
        <v>2004</v>
      </c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12"/>
    </row>
    <row r="364" spans="1:115" s="13" customFormat="1" ht="15" customHeight="1" x14ac:dyDescent="0.3">
      <c r="A364" s="235"/>
      <c r="B364" s="218"/>
      <c r="C364" s="225">
        <v>8</v>
      </c>
      <c r="D364" s="59" t="s">
        <v>2506</v>
      </c>
      <c r="E364" s="60" t="s">
        <v>2501</v>
      </c>
      <c r="F364" s="397" t="str">
        <f ca="1">IF(BC364&lt;2025, "Extinct&lt; 6Yrs?",BA364)</f>
        <v>Abundant</v>
      </c>
      <c r="G364" s="363" t="s">
        <v>525</v>
      </c>
      <c r="H364" s="363" t="s">
        <v>678</v>
      </c>
      <c r="I364" s="364" t="s">
        <v>207</v>
      </c>
      <c r="J364" s="365" t="s">
        <v>3353</v>
      </c>
      <c r="K364" s="365" t="s">
        <v>206</v>
      </c>
      <c r="L364" s="10" t="s">
        <v>2772</v>
      </c>
      <c r="M364" s="8" t="s">
        <v>4442</v>
      </c>
      <c r="N364" s="8" t="s">
        <v>5337</v>
      </c>
      <c r="O364" s="8" t="s">
        <v>6234</v>
      </c>
      <c r="P364" s="9" t="s">
        <v>198</v>
      </c>
      <c r="Q364" s="59" t="s">
        <v>2552</v>
      </c>
      <c r="R364" s="9" t="s">
        <v>2530</v>
      </c>
      <c r="S364" s="9" t="s">
        <v>2316</v>
      </c>
      <c r="T364" s="123" t="str">
        <f>IF(R364="Bogs Ponds Streams","20",IF(R364="Coastal Areas","26",IF(R364="Meadows Dry Open","10",IF(R364="Forest &amp; Understory","14",IF(R364="Moist Open","12",IF(R364="Moist Shady","10",IF(R364="Sub-Alpine Slopes","0")))))))</f>
        <v>14</v>
      </c>
      <c r="U364" s="123" t="str">
        <f>IF(R364="Bogs Ponds Streams","52",IF(R364="Coastal Areas","51",IF(R364="Meadows Dry Open","53",IF(R364="Forest &amp; Understory","52",IF(R364="Moist Open","50",IF(R364="Moist Shady","46",IF(R364="Sub-Alpine Slopes","40")))))))</f>
        <v>52</v>
      </c>
      <c r="V364" s="123" t="str">
        <f>IF(R364="Bogs Ponds Streams","84",IF(R364="Coastal Areas","76",IF(R364="Meadows Dry Open","96", IF(R364="Forest &amp; Understory","90", IF(R364="Moist Open","88", IF(R364="Moist Shady","82", IF(R364="Sub-Alpine Slopes","80")))))))</f>
        <v>90</v>
      </c>
      <c r="W364" s="59">
        <v>20</v>
      </c>
      <c r="X364" s="59">
        <v>0</v>
      </c>
      <c r="Y364" s="59">
        <v>3500</v>
      </c>
      <c r="Z364" s="59" t="s">
        <v>2519</v>
      </c>
      <c r="AA364" s="59" t="s">
        <v>2518</v>
      </c>
      <c r="AB364" s="59">
        <v>6.8</v>
      </c>
      <c r="AC364" s="45">
        <f>C364+AK364+(0.1)*AL364</f>
        <v>107</v>
      </c>
      <c r="AD364" s="77">
        <v>73</v>
      </c>
      <c r="AE364" s="59">
        <v>5</v>
      </c>
      <c r="AF364" s="59">
        <v>5</v>
      </c>
      <c r="AG364" s="59">
        <v>1900</v>
      </c>
      <c r="AH364" s="77">
        <v>0</v>
      </c>
      <c r="AI364" s="59">
        <f ca="1">AJ364</f>
        <v>2019</v>
      </c>
      <c r="AJ364" s="18">
        <f ca="1">YEAR(TODAY())</f>
        <v>2019</v>
      </c>
      <c r="AK364" s="18">
        <v>99</v>
      </c>
      <c r="AL364" s="18">
        <v>0</v>
      </c>
      <c r="AM364" s="18">
        <v>1</v>
      </c>
      <c r="AN364" s="18">
        <v>1</v>
      </c>
      <c r="AO364" s="24">
        <v>1</v>
      </c>
      <c r="AP364" s="24">
        <v>1</v>
      </c>
      <c r="AQ364" s="18">
        <v>0</v>
      </c>
      <c r="AR364" s="18">
        <v>0</v>
      </c>
      <c r="AS364" s="18">
        <v>0</v>
      </c>
      <c r="AT364" s="18">
        <v>0</v>
      </c>
      <c r="AU364" s="18">
        <v>0</v>
      </c>
      <c r="AV364" s="18">
        <v>0</v>
      </c>
      <c r="AW364" s="18">
        <v>0</v>
      </c>
      <c r="AX364" s="18">
        <v>0</v>
      </c>
      <c r="AY364" s="233"/>
      <c r="AZ364" s="4"/>
      <c r="BA364" s="35" t="str">
        <f ca="1">IF(OR(S364="North America",S364="Rocky Mountain"), "Widespread",BC364)</f>
        <v>Abundant</v>
      </c>
      <c r="BB364" s="4"/>
      <c r="BC364" s="35" t="str">
        <f ca="1">IF(BE364&gt;2046, "Abundant",BE364)</f>
        <v>Abundant</v>
      </c>
      <c r="BD364" s="4"/>
      <c r="BE364" s="81">
        <f ca="1">YEAR($C$13)+(BG364*80)</f>
        <v>2128.8272000000002</v>
      </c>
      <c r="BF364" s="4"/>
      <c r="BG364" s="137">
        <f ca="1">BH364*$BH$14</f>
        <v>1.3728400000000001</v>
      </c>
      <c r="BH364" s="137">
        <f ca="1">(((BJ364+BK364+BM364+BN364)/4)*$BM$11)+(((BP364+BQ364)/2)*$BQ$11)+(((BU364+BV364+BW364)/3)*$BU$11)+(((BY364+BZ364+CA364+CB364+CC364)/5)*$CA$11)</f>
        <v>1.3728400000000001</v>
      </c>
      <c r="BI364" s="4"/>
      <c r="BJ364" s="33">
        <f>AP364/(AM364+AO364)</f>
        <v>0.5</v>
      </c>
      <c r="BK364" s="33">
        <f>(AN364+AO364)/(AM364+AO364)</f>
        <v>1</v>
      </c>
      <c r="BL364" s="4"/>
      <c r="BM364" s="127">
        <f>CF364/102</f>
        <v>1</v>
      </c>
      <c r="BN364" s="127">
        <f>C364/2</f>
        <v>4</v>
      </c>
      <c r="BO364" s="4"/>
      <c r="BP364" s="127">
        <f>(AK364)/($AW$6)</f>
        <v>1</v>
      </c>
      <c r="BQ364" s="127">
        <f ca="1">(CH364-$AW$4)/((YEAR($C$13))-$AW$4)</f>
        <v>1</v>
      </c>
      <c r="BR364" s="127">
        <f>(AL364)/($AW$6)</f>
        <v>0</v>
      </c>
      <c r="BS364" s="4"/>
      <c r="BT364" s="127"/>
      <c r="BU364" s="127">
        <f ca="1">(CG364-$AW$4)/((YEAR($C$13))-$AW$4)</f>
        <v>1</v>
      </c>
      <c r="BV364" s="127">
        <f>AE364/5</f>
        <v>1</v>
      </c>
      <c r="BW364" s="127">
        <f>AF364/5</f>
        <v>1</v>
      </c>
      <c r="BX364" s="4"/>
      <c r="BY364" s="148" t="str">
        <f>IF(E364="A",".98",IF(E364="B",".99",IF(E364="C","1.00",IF(E364="D","1.00" ))))</f>
        <v>1.00</v>
      </c>
      <c r="BZ364" s="127">
        <f>(CE364+7)/10</f>
        <v>1</v>
      </c>
      <c r="CA364" s="76" t="str">
        <f>IF(D364="Fern",".97",IF(D364="Grass",".99",IF(D364="Herb",".97",IF(D364="Shrub",".99",IF(D364="Tree","1.00",IF(D364="Vine",".98"))))))</f>
        <v>.99</v>
      </c>
      <c r="CB364" s="149" t="str">
        <f>IF(R364="Bogs Ponds Streams",".96", IF(R364="Coastal Areas",".97",IF(R364="Meadows Dry Open",".96",IF(R364="Forest &amp; Understory",".97",IF(R364="Moist Open",".98",IF(R364="Moist Shady",".96",IF(R364="Sub-Alpine","1.0")))))))</f>
        <v>.97</v>
      </c>
      <c r="CC364" s="76" t="str">
        <f>IF(S364="Local Endemic",".50",IF(S364="Regional Endemic",".70",IF(S364="Cascadia",".90",IF(S364="Rocky Mountain",".95",IF(S364="North America",".99")))))</f>
        <v>.50</v>
      </c>
      <c r="CD364" s="4"/>
      <c r="CE364" s="21">
        <f>IF(W364&gt;3,3,W364)</f>
        <v>3</v>
      </c>
      <c r="CF364" s="21">
        <f>IF(AC364&gt;102,102,AC364)</f>
        <v>102</v>
      </c>
      <c r="CG364" s="34">
        <f ca="1">IF(AI364&lt;$AW$4,$AW$4,AI364)</f>
        <v>2019</v>
      </c>
      <c r="CH364" s="34">
        <f ca="1">IF(AJ364&lt;$AW$4,$AW$4,AJ364)</f>
        <v>2019</v>
      </c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12"/>
    </row>
    <row r="365" spans="1:115" s="13" customFormat="1" ht="15" customHeight="1" x14ac:dyDescent="0.3">
      <c r="A365" s="235"/>
      <c r="B365" s="218"/>
      <c r="C365" s="226">
        <v>2</v>
      </c>
      <c r="D365" s="104" t="s">
        <v>2505</v>
      </c>
      <c r="E365" s="104" t="s">
        <v>2501</v>
      </c>
      <c r="F365" s="400" t="str">
        <f ca="1">IF(BC365&lt;2025, "Extinct&lt; 6Yrs?",BA365)</f>
        <v>Widespread</v>
      </c>
      <c r="G365" s="369" t="s">
        <v>525</v>
      </c>
      <c r="H365" s="369" t="s">
        <v>4028</v>
      </c>
      <c r="I365" s="371" t="s">
        <v>1738</v>
      </c>
      <c r="J365" s="371" t="s">
        <v>3776</v>
      </c>
      <c r="K365" s="371" t="s">
        <v>1384</v>
      </c>
      <c r="L365" s="106" t="s">
        <v>1739</v>
      </c>
      <c r="M365" s="111" t="s">
        <v>4443</v>
      </c>
      <c r="N365" s="111" t="s">
        <v>5338</v>
      </c>
      <c r="O365" s="111" t="s">
        <v>6235</v>
      </c>
      <c r="P365" s="105" t="s">
        <v>660</v>
      </c>
      <c r="Q365" s="104" t="s">
        <v>2552</v>
      </c>
      <c r="R365" s="105" t="s">
        <v>2500</v>
      </c>
      <c r="S365" s="114" t="s">
        <v>2479</v>
      </c>
      <c r="T365" s="133" t="str">
        <f>IF(R365="Bogs Ponds Streams","20",IF(R365="Coastal Areas","26",IF(R365="Meadows Dry Open","10",IF(R365="Forest &amp; Understory","14",IF(R365="Moist Open","12",IF(R365="Moist Shady","10",IF(R365="Sub-Alpine Slopes","0")))))))</f>
        <v>10</v>
      </c>
      <c r="U365" s="133" t="str">
        <f>IF(R365="Bogs Ponds Streams","52",IF(R365="Coastal Areas","51",IF(R365="Meadows Dry Open","53",IF(R365="Forest &amp; Understory","52",IF(R365="Moist Open","50",IF(R365="Moist Shady","46",IF(R365="Sub-Alpine Slopes","40")))))))</f>
        <v>53</v>
      </c>
      <c r="V365" s="133" t="str">
        <f>IF(R365="Bogs Ponds Streams","84",IF(R365="Coastal Areas","76",IF(R365="Meadows Dry Open","96", IF(R365="Forest &amp; Understory","90", IF(R365="Moist Open","88", IF(R365="Moist Shady","82", IF(R365="Sub-Alpine Slopes","80")))))))</f>
        <v>96</v>
      </c>
      <c r="W365" s="104">
        <v>20</v>
      </c>
      <c r="X365" s="104">
        <v>0</v>
      </c>
      <c r="Y365" s="104">
        <v>3500</v>
      </c>
      <c r="Z365" s="104" t="s">
        <v>2519</v>
      </c>
      <c r="AA365" s="104" t="s">
        <v>2518</v>
      </c>
      <c r="AB365" s="104">
        <v>6.8</v>
      </c>
      <c r="AC365" s="107">
        <f>C365+AK365+(0.1)*AL365</f>
        <v>7.3000000000000007</v>
      </c>
      <c r="AD365" s="113">
        <v>209</v>
      </c>
      <c r="AE365" s="104">
        <v>5</v>
      </c>
      <c r="AF365" s="104">
        <v>5</v>
      </c>
      <c r="AG365" s="104">
        <v>1900</v>
      </c>
      <c r="AH365" s="113">
        <v>0</v>
      </c>
      <c r="AI365" s="104">
        <f>AJ365</f>
        <v>2018</v>
      </c>
      <c r="AJ365" s="108">
        <v>2018</v>
      </c>
      <c r="AK365" s="108">
        <v>2</v>
      </c>
      <c r="AL365" s="108">
        <v>33</v>
      </c>
      <c r="AM365" s="109">
        <v>5</v>
      </c>
      <c r="AN365" s="109">
        <v>1</v>
      </c>
      <c r="AO365" s="109">
        <v>1</v>
      </c>
      <c r="AP365" s="109">
        <v>0</v>
      </c>
      <c r="AQ365" s="109">
        <v>0</v>
      </c>
      <c r="AR365" s="109">
        <v>0</v>
      </c>
      <c r="AS365" s="110">
        <v>0</v>
      </c>
      <c r="AT365" s="109">
        <v>0</v>
      </c>
      <c r="AU365" s="109">
        <v>0</v>
      </c>
      <c r="AV365" s="109">
        <v>0</v>
      </c>
      <c r="AW365" s="110">
        <v>0</v>
      </c>
      <c r="AX365" s="109">
        <v>0</v>
      </c>
      <c r="AY365" s="233"/>
      <c r="AZ365" s="4"/>
      <c r="BA365" s="35" t="str">
        <f>IF(OR(S365="North America",S365="Rocky Mountain"), "Widespread",BC365)</f>
        <v>Widespread</v>
      </c>
      <c r="BB365" s="4"/>
      <c r="BC365" s="35" t="str">
        <f ca="1">IF(BE365&gt;2046, "Abundant",BE365)</f>
        <v>Abundant</v>
      </c>
      <c r="BD365" s="4"/>
      <c r="BE365" s="81">
        <f ca="1">YEAR($C$13)+(BG365*80)</f>
        <v>2055.1206255496136</v>
      </c>
      <c r="BF365" s="4"/>
      <c r="BG365" s="137">
        <f ca="1">BH365*$BH$14</f>
        <v>0.45150781937017231</v>
      </c>
      <c r="BH365" s="137">
        <f ca="1">(((BJ365+BK365+BM365+BN365)/4)*$BM$11)+(((BP365+BQ365)/2)*$BQ$11)+(((BU365+BV365+BW365)/3)*$BU$11)+(((BY365+BZ365+CA365+CB365+CC365)/5)*$CA$11)</f>
        <v>0.45150781937017231</v>
      </c>
      <c r="BI365" s="4"/>
      <c r="BJ365" s="33">
        <f>AP365/(AM365+AO365)</f>
        <v>0</v>
      </c>
      <c r="BK365" s="33">
        <f>(AN365+AO365)/(AM365+AO365)</f>
        <v>0.33333333333333331</v>
      </c>
      <c r="BL365" s="4"/>
      <c r="BM365" s="127">
        <f>CF365/102</f>
        <v>7.1568627450980402E-2</v>
      </c>
      <c r="BN365" s="127">
        <f>C365/2</f>
        <v>1</v>
      </c>
      <c r="BO365" s="4"/>
      <c r="BP365" s="127">
        <f>(AK365)/($AW$6)</f>
        <v>2.0202020202020204E-2</v>
      </c>
      <c r="BQ365" s="127">
        <f ca="1">(CH365-$AW$4)/((YEAR($C$13))-$AW$4)</f>
        <v>0.93333333333333335</v>
      </c>
      <c r="BR365" s="127">
        <f>(AL365)/($AW$6)</f>
        <v>0.33333333333333331</v>
      </c>
      <c r="BS365" s="4"/>
      <c r="BT365" s="127"/>
      <c r="BU365" s="127">
        <f ca="1">(CG365-$AW$4)/((YEAR($C$13))-$AW$4)</f>
        <v>0.93333333333333335</v>
      </c>
      <c r="BV365" s="127">
        <f>AE365/5</f>
        <v>1</v>
      </c>
      <c r="BW365" s="127">
        <f>AF365/5</f>
        <v>1</v>
      </c>
      <c r="BX365" s="4"/>
      <c r="BY365" s="148" t="str">
        <f>IF(E365="A",".98",IF(E365="B",".99",IF(E365="C","1.00",IF(E365="D","1.00" ))))</f>
        <v>1.00</v>
      </c>
      <c r="BZ365" s="127">
        <f>(CE365+7)/10</f>
        <v>1</v>
      </c>
      <c r="CA365" s="76" t="str">
        <f>IF(D365="Fern",".97",IF(D365="Grass",".99",IF(D365="Herb",".97",IF(D365="Shrub",".99",IF(D365="Tree","1.00",IF(D365="Vine",".98"))))))</f>
        <v>.97</v>
      </c>
      <c r="CB365" s="149" t="str">
        <f>IF(R365="Bogs Ponds Streams",".96", IF(R365="Coastal Areas",".97",IF(R365="Meadows Dry Open",".96",IF(R365="Forest &amp; Understory",".97",IF(R365="Moist Open",".98",IF(R365="Moist Shady",".96",IF(R365="Sub-Alpine","1.0")))))))</f>
        <v>.96</v>
      </c>
      <c r="CC365" s="76" t="str">
        <f>IF(S365="Local Endemic",".50",IF(S365="Regional Endemic",".70",IF(S365="Cascadia",".90",IF(S365="Rocky Mountain",".95",IF(S365="North America",".99")))))</f>
        <v>.95</v>
      </c>
      <c r="CD365" s="4"/>
      <c r="CE365" s="21">
        <f>IF(W365&gt;3,3,W365)</f>
        <v>3</v>
      </c>
      <c r="CF365" s="21">
        <f>IF(AC365&gt;102,102,AC365)</f>
        <v>7.3000000000000007</v>
      </c>
      <c r="CG365" s="34">
        <f>IF(AI365&lt;$AW$4,$AW$4,AI365)</f>
        <v>2018</v>
      </c>
      <c r="CH365" s="34">
        <f>IF(AJ365&lt;$AW$4,$AW$4,AJ365)</f>
        <v>2018</v>
      </c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</row>
    <row r="366" spans="1:115" s="13" customFormat="1" ht="15" customHeight="1" x14ac:dyDescent="0.3">
      <c r="A366" s="235"/>
      <c r="B366" s="218"/>
      <c r="C366" s="225">
        <v>8</v>
      </c>
      <c r="D366" s="59" t="s">
        <v>2505</v>
      </c>
      <c r="E366" s="59" t="s">
        <v>2501</v>
      </c>
      <c r="F366" s="397" t="str">
        <f ca="1">IF(BC366&lt;2025, "Extinct&lt; 6Yrs?",BA366)</f>
        <v>Abundant</v>
      </c>
      <c r="G366" s="363" t="s">
        <v>525</v>
      </c>
      <c r="H366" s="363" t="s">
        <v>682</v>
      </c>
      <c r="I366" s="366" t="s">
        <v>605</v>
      </c>
      <c r="J366" s="365" t="s">
        <v>3354</v>
      </c>
      <c r="K366" s="365" t="s">
        <v>604</v>
      </c>
      <c r="L366" s="10" t="s">
        <v>1451</v>
      </c>
      <c r="M366" s="8" t="s">
        <v>4444</v>
      </c>
      <c r="N366" s="8" t="s">
        <v>5339</v>
      </c>
      <c r="O366" s="8" t="s">
        <v>6236</v>
      </c>
      <c r="P366" s="9" t="s">
        <v>603</v>
      </c>
      <c r="Q366" s="59" t="s">
        <v>2552</v>
      </c>
      <c r="R366" s="9" t="s">
        <v>2499</v>
      </c>
      <c r="S366" s="9" t="s">
        <v>2459</v>
      </c>
      <c r="T366" s="123" t="str">
        <f>IF(R366="Bogs Ponds Streams","20",IF(R366="Coastal Areas","26",IF(R366="Meadows Dry Open","10",IF(R366="Forest &amp; Understory","14",IF(R366="Moist Open","12",IF(R366="Moist Shady","10",IF(R366="Sub-Alpine Slopes","0")))))))</f>
        <v>20</v>
      </c>
      <c r="U366" s="123" t="str">
        <f>IF(R366="Bogs Ponds Streams","52",IF(R366="Coastal Areas","51",IF(R366="Meadows Dry Open","53",IF(R366="Forest &amp; Understory","52",IF(R366="Moist Open","50",IF(R366="Moist Shady","46",IF(R366="Sub-Alpine Slopes","40")))))))</f>
        <v>52</v>
      </c>
      <c r="V366" s="123" t="str">
        <f>IF(R366="Bogs Ponds Streams","84",IF(R366="Coastal Areas","76",IF(R366="Meadows Dry Open","96", IF(R366="Forest &amp; Understory","90", IF(R366="Moist Open","88", IF(R366="Moist Shady","82", IF(R366="Sub-Alpine Slopes","80")))))))</f>
        <v>84</v>
      </c>
      <c r="W366" s="59">
        <v>20</v>
      </c>
      <c r="X366" s="59">
        <v>0</v>
      </c>
      <c r="Y366" s="59">
        <v>3500</v>
      </c>
      <c r="Z366" s="59" t="s">
        <v>2519</v>
      </c>
      <c r="AA366" s="59" t="s">
        <v>2518</v>
      </c>
      <c r="AB366" s="59">
        <v>6.8</v>
      </c>
      <c r="AC366" s="45">
        <f>C366+AK366+(0.1)*AL366</f>
        <v>30</v>
      </c>
      <c r="AD366" s="77">
        <v>39</v>
      </c>
      <c r="AE366" s="59">
        <v>5</v>
      </c>
      <c r="AF366" s="59">
        <v>5</v>
      </c>
      <c r="AG366" s="59">
        <v>1900</v>
      </c>
      <c r="AH366" s="77">
        <v>0</v>
      </c>
      <c r="AI366" s="59">
        <f>AJ366</f>
        <v>2004</v>
      </c>
      <c r="AJ366" s="18">
        <v>2004</v>
      </c>
      <c r="AK366" s="18">
        <v>22</v>
      </c>
      <c r="AL366" s="18">
        <v>0</v>
      </c>
      <c r="AM366" s="18">
        <v>1</v>
      </c>
      <c r="AN366" s="18">
        <v>1</v>
      </c>
      <c r="AO366" s="25">
        <v>0</v>
      </c>
      <c r="AP366" s="24">
        <v>0</v>
      </c>
      <c r="AQ366" s="18">
        <v>0</v>
      </c>
      <c r="AR366" s="18">
        <v>0</v>
      </c>
      <c r="AS366" s="18">
        <v>0</v>
      </c>
      <c r="AT366" s="18">
        <v>0</v>
      </c>
      <c r="AU366" s="18">
        <v>0</v>
      </c>
      <c r="AV366" s="18">
        <v>0</v>
      </c>
      <c r="AW366" s="18">
        <v>0</v>
      </c>
      <c r="AX366" s="18">
        <v>0</v>
      </c>
      <c r="AY366" s="233"/>
      <c r="AZ366" s="4"/>
      <c r="BA366" s="35" t="str">
        <f ca="1">IF(OR(S366="North America",S366="Rocky Mountain"), "Widespread",BC366)</f>
        <v>Abundant</v>
      </c>
      <c r="BB366" s="4"/>
      <c r="BC366" s="35" t="str">
        <f ca="1">IF(BE366&gt;2046, "Abundant",BE366)</f>
        <v>Abundant</v>
      </c>
      <c r="BD366" s="4"/>
      <c r="BE366" s="81">
        <f ca="1">YEAR($C$13)+(BG366*80)</f>
        <v>2091.0083450980392</v>
      </c>
      <c r="BF366" s="4"/>
      <c r="BG366" s="137">
        <f ca="1">BH366*$BH$14</f>
        <v>0.90010431372549016</v>
      </c>
      <c r="BH366" s="137">
        <f ca="1">(((BJ366+BK366+BM366+BN366)/4)*$BM$11)+(((BP366+BQ366)/2)*$BQ$11)+(((BU366+BV366+BW366)/3)*$BU$11)+(((BY366+BZ366+CA366+CB366+CC366)/5)*$CA$11)</f>
        <v>0.90010431372549016</v>
      </c>
      <c r="BI366" s="4"/>
      <c r="BJ366" s="33">
        <f>AP366/(AM366+AO366)</f>
        <v>0</v>
      </c>
      <c r="BK366" s="33">
        <f>(AN366+AO366)/(AM366+AO366)</f>
        <v>1</v>
      </c>
      <c r="BL366" s="4"/>
      <c r="BM366" s="127">
        <f>CF366/102</f>
        <v>0.29411764705882354</v>
      </c>
      <c r="BN366" s="127">
        <f>C366/2</f>
        <v>4</v>
      </c>
      <c r="BO366" s="4"/>
      <c r="BP366" s="127">
        <f>(AK366)/($AW$6)</f>
        <v>0.22222222222222221</v>
      </c>
      <c r="BQ366" s="127">
        <f ca="1">(CH366-$AW$4)/((YEAR($C$13))-$AW$4)</f>
        <v>0</v>
      </c>
      <c r="BR366" s="127">
        <f>(AL366)/($AW$6)</f>
        <v>0</v>
      </c>
      <c r="BS366" s="4"/>
      <c r="BT366" s="127"/>
      <c r="BU366" s="127">
        <f ca="1">(CG366-$AW$4)/((YEAR($C$13))-$AW$4)</f>
        <v>0</v>
      </c>
      <c r="BV366" s="127">
        <f>AE366/5</f>
        <v>1</v>
      </c>
      <c r="BW366" s="127">
        <f>AF366/5</f>
        <v>1</v>
      </c>
      <c r="BX366" s="4"/>
      <c r="BY366" s="148" t="str">
        <f>IF(E366="A",".98",IF(E366="B",".99",IF(E366="C","1.00",IF(E366="D","1.00" ))))</f>
        <v>1.00</v>
      </c>
      <c r="BZ366" s="127">
        <f>(CE366+7)/10</f>
        <v>1</v>
      </c>
      <c r="CA366" s="76" t="str">
        <f>IF(D366="Fern",".97",IF(D366="Grass",".99",IF(D366="Herb",".97",IF(D366="Shrub",".99",IF(D366="Tree","1.00",IF(D366="Vine",".98"))))))</f>
        <v>.97</v>
      </c>
      <c r="CB366" s="149" t="str">
        <f>IF(R366="Bogs Ponds Streams",".96", IF(R366="Coastal Areas",".97",IF(R366="Meadows Dry Open",".96",IF(R366="Forest &amp; Understory",".97",IF(R366="Moist Open",".98",IF(R366="Moist Shady",".96",IF(R366="Sub-Alpine","1.0")))))))</f>
        <v>.96</v>
      </c>
      <c r="CC366" s="76" t="str">
        <f>IF(S366="Local Endemic",".50",IF(S366="Regional Endemic",".70",IF(S366="Cascadia",".90",IF(S366="Rocky Mountain",".95",IF(S366="North America",".99")))))</f>
        <v>.90</v>
      </c>
      <c r="CD366" s="4"/>
      <c r="CE366" s="21">
        <f>IF(W366&gt;3,3,W366)</f>
        <v>3</v>
      </c>
      <c r="CF366" s="21">
        <f>IF(AC366&gt;102,102,AC366)</f>
        <v>30</v>
      </c>
      <c r="CG366" s="34">
        <f>IF(AI366&lt;$AW$4,$AW$4,AI366)</f>
        <v>2004</v>
      </c>
      <c r="CH366" s="34">
        <f>IF(AJ366&lt;$AW$4,$AW$4,AJ366)</f>
        <v>2004</v>
      </c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</row>
    <row r="367" spans="1:115" s="13" customFormat="1" ht="15" customHeight="1" x14ac:dyDescent="0.3">
      <c r="A367" s="235"/>
      <c r="B367" s="218"/>
      <c r="C367" s="226">
        <v>2</v>
      </c>
      <c r="D367" s="104" t="s">
        <v>2505</v>
      </c>
      <c r="E367" s="104" t="s">
        <v>2502</v>
      </c>
      <c r="F367" s="400" t="str">
        <f ca="1">IF(BC367&lt;2025, "Extinct&lt; 6Yrs?",BA367)</f>
        <v>Widespread</v>
      </c>
      <c r="G367" s="369" t="s">
        <v>525</v>
      </c>
      <c r="H367" s="369" t="s">
        <v>4028</v>
      </c>
      <c r="I367" s="370" t="s">
        <v>606</v>
      </c>
      <c r="J367" s="371" t="s">
        <v>3775</v>
      </c>
      <c r="K367" s="371" t="s">
        <v>972</v>
      </c>
      <c r="L367" s="106" t="s">
        <v>1452</v>
      </c>
      <c r="M367" s="111" t="s">
        <v>4445</v>
      </c>
      <c r="N367" s="111" t="s">
        <v>5340</v>
      </c>
      <c r="O367" s="111" t="s">
        <v>6237</v>
      </c>
      <c r="P367" s="105" t="s">
        <v>603</v>
      </c>
      <c r="Q367" s="104" t="s">
        <v>2552</v>
      </c>
      <c r="R367" s="105" t="s">
        <v>2498</v>
      </c>
      <c r="S367" s="105" t="s">
        <v>2495</v>
      </c>
      <c r="T367" s="133" t="str">
        <f>IF(R367="Bogs Ponds Streams","20",IF(R367="Coastal Areas","26",IF(R367="Meadows Dry Open","10",IF(R367="Forest &amp; Understory","14",IF(R367="Moist Open","12",IF(R367="Moist Shady","10",IF(R367="Sub-Alpine Slopes","0")))))))</f>
        <v>10</v>
      </c>
      <c r="U367" s="133" t="str">
        <f>IF(R367="Bogs Ponds Streams","52",IF(R367="Coastal Areas","51",IF(R367="Meadows Dry Open","53",IF(R367="Forest &amp; Understory","52",IF(R367="Moist Open","50",IF(R367="Moist Shady","46",IF(R367="Sub-Alpine Slopes","40")))))))</f>
        <v>46</v>
      </c>
      <c r="V367" s="133" t="str">
        <f>IF(R367="Bogs Ponds Streams","84",IF(R367="Coastal Areas","76",IF(R367="Meadows Dry Open","96", IF(R367="Forest &amp; Understory","90", IF(R367="Moist Open","88", IF(R367="Moist Shady","82", IF(R367="Sub-Alpine Slopes","80")))))))</f>
        <v>82</v>
      </c>
      <c r="W367" s="104">
        <v>1</v>
      </c>
      <c r="X367" s="104">
        <v>0</v>
      </c>
      <c r="Y367" s="104">
        <v>3500</v>
      </c>
      <c r="Z367" s="104" t="s">
        <v>2519</v>
      </c>
      <c r="AA367" s="104" t="s">
        <v>2518</v>
      </c>
      <c r="AB367" s="104">
        <v>6.8</v>
      </c>
      <c r="AC367" s="107">
        <f>C367+AK367+(0.1)*AL367</f>
        <v>12.2</v>
      </c>
      <c r="AD367" s="113">
        <v>135</v>
      </c>
      <c r="AE367" s="104">
        <v>5</v>
      </c>
      <c r="AF367" s="104">
        <v>5</v>
      </c>
      <c r="AG367" s="104">
        <v>1900</v>
      </c>
      <c r="AH367" s="113">
        <v>0</v>
      </c>
      <c r="AI367" s="104">
        <f>AJ367</f>
        <v>2004</v>
      </c>
      <c r="AJ367" s="108">
        <v>2004</v>
      </c>
      <c r="AK367" s="108">
        <v>8</v>
      </c>
      <c r="AL367" s="108">
        <v>22</v>
      </c>
      <c r="AM367" s="109">
        <v>5</v>
      </c>
      <c r="AN367" s="109">
        <v>1</v>
      </c>
      <c r="AO367" s="110">
        <v>0</v>
      </c>
      <c r="AP367" s="109">
        <v>0</v>
      </c>
      <c r="AQ367" s="109">
        <v>0</v>
      </c>
      <c r="AR367" s="109">
        <v>0</v>
      </c>
      <c r="AS367" s="110">
        <v>0</v>
      </c>
      <c r="AT367" s="109">
        <v>0</v>
      </c>
      <c r="AU367" s="109">
        <v>0</v>
      </c>
      <c r="AV367" s="109">
        <v>0</v>
      </c>
      <c r="AW367" s="110">
        <v>0</v>
      </c>
      <c r="AX367" s="109">
        <v>0</v>
      </c>
      <c r="AY367" s="233"/>
      <c r="AZ367" s="4"/>
      <c r="BA367" s="35" t="str">
        <f>IF(OR(S367="North America",S367="Rocky Mountain"), "Widespread",BC367)</f>
        <v>Widespread</v>
      </c>
      <c r="BB367" s="4"/>
      <c r="BC367" s="35">
        <f ca="1">IF(BE367&gt;2046, "Abundant",BE367)</f>
        <v>2041.5756577540108</v>
      </c>
      <c r="BD367" s="4"/>
      <c r="BE367" s="81">
        <f ca="1">YEAR($C$13)+(BG367*80)</f>
        <v>2041.5756577540108</v>
      </c>
      <c r="BF367" s="4"/>
      <c r="BG367" s="137">
        <f ca="1">BH367*$BH$14</f>
        <v>0.28219572192513365</v>
      </c>
      <c r="BH367" s="137">
        <f ca="1">(((BJ367+BK367+BM367+BN367)/4)*$BM$11)+(((BP367+BQ367)/2)*$BQ$11)+(((BU367+BV367+BW367)/3)*$BU$11)+(((BY367+BZ367+CA367+CB367+CC367)/5)*$CA$11)</f>
        <v>0.28219572192513365</v>
      </c>
      <c r="BI367" s="4"/>
      <c r="BJ367" s="33">
        <f>AP367/(AM367+AO367)</f>
        <v>0</v>
      </c>
      <c r="BK367" s="33">
        <f>(AN367+AO367)/(AM367+AO367)</f>
        <v>0.2</v>
      </c>
      <c r="BL367" s="4"/>
      <c r="BM367" s="127">
        <f>CF367/102</f>
        <v>0.11960784313725489</v>
      </c>
      <c r="BN367" s="127">
        <f>C367/2</f>
        <v>1</v>
      </c>
      <c r="BO367" s="4"/>
      <c r="BP367" s="127">
        <f>(AK367)/($AW$6)</f>
        <v>8.0808080808080815E-2</v>
      </c>
      <c r="BQ367" s="127">
        <f ca="1">(CH367-$AW$4)/((YEAR($C$13))-$AW$4)</f>
        <v>0</v>
      </c>
      <c r="BR367" s="127">
        <f>(AL367)/($AW$6)</f>
        <v>0.22222222222222221</v>
      </c>
      <c r="BS367" s="4"/>
      <c r="BT367" s="127"/>
      <c r="BU367" s="127">
        <f ca="1">(CG367-$AW$4)/((YEAR($C$13))-$AW$4)</f>
        <v>0</v>
      </c>
      <c r="BV367" s="127">
        <f>AE367/5</f>
        <v>1</v>
      </c>
      <c r="BW367" s="127">
        <f>AF367/5</f>
        <v>1</v>
      </c>
      <c r="BX367" s="4"/>
      <c r="BY367" s="148" t="str">
        <f>IF(E367="A",".98",IF(E367="B",".99",IF(E367="C","1.00",IF(E367="D","1.00" ))))</f>
        <v>.98</v>
      </c>
      <c r="BZ367" s="127">
        <f>(CE367+7)/10</f>
        <v>0.8</v>
      </c>
      <c r="CA367" s="76" t="str">
        <f>IF(D367="Fern",".97",IF(D367="Grass",".99",IF(D367="Herb",".97",IF(D367="Shrub",".99",IF(D367="Tree","1.00",IF(D367="Vine",".98"))))))</f>
        <v>.97</v>
      </c>
      <c r="CB367" s="149" t="str">
        <f>IF(R367="Bogs Ponds Streams",".96", IF(R367="Coastal Areas",".97",IF(R367="Meadows Dry Open",".96",IF(R367="Forest &amp; Understory",".97",IF(R367="Moist Open",".98",IF(R367="Moist Shady",".96",IF(R367="Sub-Alpine","1.0")))))))</f>
        <v>.96</v>
      </c>
      <c r="CC367" s="76" t="str">
        <f>IF(S367="Local Endemic",".50",IF(S367="Regional Endemic",".70",IF(S367="Cascadia",".90",IF(S367="Rocky Mountain",".95",IF(S367="North America",".99")))))</f>
        <v>.99</v>
      </c>
      <c r="CD367" s="4"/>
      <c r="CE367" s="21">
        <f>IF(W367&gt;3,3,W367)</f>
        <v>1</v>
      </c>
      <c r="CF367" s="21">
        <f>IF(AC367&gt;102,102,AC367)</f>
        <v>12.2</v>
      </c>
      <c r="CG367" s="34">
        <f>IF(AI367&lt;$AW$4,$AW$4,AI367)</f>
        <v>2004</v>
      </c>
      <c r="CH367" s="34">
        <f>IF(AJ367&lt;$AW$4,$AW$4,AJ367)</f>
        <v>2004</v>
      </c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</row>
    <row r="368" spans="1:115" s="13" customFormat="1" ht="15" customHeight="1" x14ac:dyDescent="0.3">
      <c r="A368" s="235"/>
      <c r="B368" s="218"/>
      <c r="C368" s="375">
        <v>1</v>
      </c>
      <c r="D368" s="67" t="s">
        <v>2505</v>
      </c>
      <c r="E368" s="67" t="s">
        <v>2502</v>
      </c>
      <c r="F368" s="403" t="str">
        <f ca="1">IF(BC368&lt;2025, "Extinct&lt; 6Yrs?",BA368)</f>
        <v>Widespread</v>
      </c>
      <c r="G368" s="376" t="s">
        <v>525</v>
      </c>
      <c r="H368" s="376" t="s">
        <v>4028</v>
      </c>
      <c r="I368" s="380" t="s">
        <v>3071</v>
      </c>
      <c r="J368" s="378" t="s">
        <v>3613</v>
      </c>
      <c r="K368" s="378" t="s">
        <v>973</v>
      </c>
      <c r="L368" s="63" t="s">
        <v>1453</v>
      </c>
      <c r="M368" s="64" t="s">
        <v>4446</v>
      </c>
      <c r="N368" s="64" t="s">
        <v>5341</v>
      </c>
      <c r="O368" s="64" t="s">
        <v>6238</v>
      </c>
      <c r="P368" s="61" t="s">
        <v>607</v>
      </c>
      <c r="Q368" s="67" t="s">
        <v>2552</v>
      </c>
      <c r="R368" s="61" t="s">
        <v>2500</v>
      </c>
      <c r="S368" s="61" t="s">
        <v>2495</v>
      </c>
      <c r="T368" s="134" t="str">
        <f>IF(R368="Bogs Ponds Streams","20",IF(R368="Coastal Areas","26",IF(R368="Meadows Dry Open","10",IF(R368="Forest &amp; Understory","14",IF(R368="Moist Open","12",IF(R368="Moist Shady","10",IF(R368="Sub-Alpine Slopes","0")))))))</f>
        <v>10</v>
      </c>
      <c r="U368" s="134" t="str">
        <f>IF(R368="Bogs Ponds Streams","52",IF(R368="Coastal Areas","51",IF(R368="Meadows Dry Open","53",IF(R368="Forest &amp; Understory","52",IF(R368="Moist Open","50",IF(R368="Moist Shady","46",IF(R368="Sub-Alpine Slopes","40")))))))</f>
        <v>53</v>
      </c>
      <c r="V368" s="134" t="str">
        <f>IF(R368="Bogs Ponds Streams","84",IF(R368="Coastal Areas","76",IF(R368="Meadows Dry Open","96", IF(R368="Forest &amp; Understory","90", IF(R368="Moist Open","88", IF(R368="Moist Shady","82", IF(R368="Sub-Alpine Slopes","80")))))))</f>
        <v>96</v>
      </c>
      <c r="W368" s="67">
        <v>1</v>
      </c>
      <c r="X368" s="67">
        <v>0</v>
      </c>
      <c r="Y368" s="67">
        <v>3500</v>
      </c>
      <c r="Z368" s="67" t="s">
        <v>2519</v>
      </c>
      <c r="AA368" s="67" t="s">
        <v>2518</v>
      </c>
      <c r="AB368" s="67">
        <v>6.8</v>
      </c>
      <c r="AC368" s="85">
        <f>C368+AK368+(0.1)*AL368</f>
        <v>5.0999999999999996</v>
      </c>
      <c r="AD368" s="78">
        <v>34</v>
      </c>
      <c r="AE368" s="67">
        <v>5</v>
      </c>
      <c r="AF368" s="67">
        <v>5</v>
      </c>
      <c r="AG368" s="67">
        <v>1900</v>
      </c>
      <c r="AH368" s="78">
        <v>0</v>
      </c>
      <c r="AI368" s="67">
        <f>AJ368</f>
        <v>2004</v>
      </c>
      <c r="AJ368" s="69">
        <v>2004</v>
      </c>
      <c r="AK368" s="69">
        <v>3</v>
      </c>
      <c r="AL368" s="69">
        <v>11</v>
      </c>
      <c r="AM368" s="70">
        <v>5</v>
      </c>
      <c r="AN368" s="70">
        <v>0</v>
      </c>
      <c r="AO368" s="86">
        <v>0</v>
      </c>
      <c r="AP368" s="70">
        <v>0</v>
      </c>
      <c r="AQ368" s="70">
        <v>0</v>
      </c>
      <c r="AR368" s="70">
        <v>0</v>
      </c>
      <c r="AS368" s="86">
        <v>0</v>
      </c>
      <c r="AT368" s="70">
        <v>0</v>
      </c>
      <c r="AU368" s="70">
        <v>0</v>
      </c>
      <c r="AV368" s="70">
        <v>0</v>
      </c>
      <c r="AW368" s="86">
        <v>0</v>
      </c>
      <c r="AX368" s="70">
        <v>0</v>
      </c>
      <c r="AY368" s="233"/>
      <c r="AZ368" s="4"/>
      <c r="BA368" s="35" t="str">
        <f>IF(OR(S368="North America",S368="Rocky Mountain"), "Widespread",BC368)</f>
        <v>Widespread</v>
      </c>
      <c r="BB368" s="4"/>
      <c r="BC368" s="35">
        <f ca="1">IF(BE368&gt;2046, "Abundant",BE368)</f>
        <v>2031.734303030303</v>
      </c>
      <c r="BD368" s="4"/>
      <c r="BE368" s="81">
        <f ca="1">YEAR($C$13)+(BG368*80)</f>
        <v>2031.734303030303</v>
      </c>
      <c r="BF368" s="4"/>
      <c r="BG368" s="137">
        <f ca="1">BH368*$BH$14</f>
        <v>0.15917878787878789</v>
      </c>
      <c r="BH368" s="137">
        <f ca="1">(((BJ368+BK368+BM368+BN368)/4)*$BM$11)+(((BP368+BQ368)/2)*$BQ$11)+(((BU368+BV368+BW368)/3)*$BU$11)+(((BY368+BZ368+CA368+CB368+CC368)/5)*$CA$11)</f>
        <v>0.15917878787878789</v>
      </c>
      <c r="BI368" s="4"/>
      <c r="BJ368" s="33">
        <f>AP368/(AM368+AO368)</f>
        <v>0</v>
      </c>
      <c r="BK368" s="33">
        <f>(AN368+AO368)/(AM368+AO368)</f>
        <v>0</v>
      </c>
      <c r="BL368" s="4"/>
      <c r="BM368" s="127">
        <f>CF368/102</f>
        <v>4.9999999999999996E-2</v>
      </c>
      <c r="BN368" s="127">
        <f>C368/2</f>
        <v>0.5</v>
      </c>
      <c r="BO368" s="4"/>
      <c r="BP368" s="127">
        <f>(AK368)/($AW$6)</f>
        <v>3.0303030303030304E-2</v>
      </c>
      <c r="BQ368" s="127">
        <f ca="1">(CH368-$AW$4)/((YEAR($C$13))-$AW$4)</f>
        <v>0</v>
      </c>
      <c r="BR368" s="127">
        <f>(AL368)/($AW$6)</f>
        <v>0.1111111111111111</v>
      </c>
      <c r="BS368" s="4"/>
      <c r="BT368" s="127"/>
      <c r="BU368" s="127">
        <f ca="1">(CG368-$AW$4)/((YEAR($C$13))-$AW$4)</f>
        <v>0</v>
      </c>
      <c r="BV368" s="127">
        <f>AE368/5</f>
        <v>1</v>
      </c>
      <c r="BW368" s="127">
        <f>AF368/5</f>
        <v>1</v>
      </c>
      <c r="BX368" s="4"/>
      <c r="BY368" s="148" t="str">
        <f>IF(E368="A",".98",IF(E368="B",".99",IF(E368="C","1.00",IF(E368="D","1.00" ))))</f>
        <v>.98</v>
      </c>
      <c r="BZ368" s="127">
        <f>(CE368+7)/10</f>
        <v>0.8</v>
      </c>
      <c r="CA368" s="76" t="str">
        <f>IF(D368="Fern",".97",IF(D368="Grass",".99",IF(D368="Herb",".97",IF(D368="Shrub",".99",IF(D368="Tree","1.00",IF(D368="Vine",".98"))))))</f>
        <v>.97</v>
      </c>
      <c r="CB368" s="149" t="str">
        <f>IF(R368="Bogs Ponds Streams",".96", IF(R368="Coastal Areas",".97",IF(R368="Meadows Dry Open",".96",IF(R368="Forest &amp; Understory",".97",IF(R368="Moist Open",".98",IF(R368="Moist Shady",".96",IF(R368="Sub-Alpine","1.0")))))))</f>
        <v>.96</v>
      </c>
      <c r="CC368" s="76" t="str">
        <f>IF(S368="Local Endemic",".50",IF(S368="Regional Endemic",".70",IF(S368="Cascadia",".90",IF(S368="Rocky Mountain",".95",IF(S368="North America",".99")))))</f>
        <v>.99</v>
      </c>
      <c r="CD368" s="4"/>
      <c r="CE368" s="21">
        <f>IF(W368&gt;3,3,W368)</f>
        <v>1</v>
      </c>
      <c r="CF368" s="21">
        <f>IF(AC368&gt;102,102,AC368)</f>
        <v>5.0999999999999996</v>
      </c>
      <c r="CG368" s="34">
        <f>IF(AI368&lt;$AW$4,$AW$4,AI368)</f>
        <v>2004</v>
      </c>
      <c r="CH368" s="34">
        <f>IF(AJ368&lt;$AW$4,$AW$4,AJ368)</f>
        <v>2004</v>
      </c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12"/>
    </row>
    <row r="369" spans="1:116" s="13" customFormat="1" ht="15" customHeight="1" x14ac:dyDescent="0.3">
      <c r="A369" s="235"/>
      <c r="B369" s="218"/>
      <c r="C369" s="375">
        <v>1</v>
      </c>
      <c r="D369" s="67" t="s">
        <v>2505</v>
      </c>
      <c r="E369" s="67" t="s">
        <v>2502</v>
      </c>
      <c r="F369" s="403" t="str">
        <f ca="1">IF(BC369&lt;2025, "Extinct&lt; 6Yrs?",BA369)</f>
        <v>Widespread</v>
      </c>
      <c r="G369" s="376" t="s">
        <v>525</v>
      </c>
      <c r="H369" s="376" t="s">
        <v>4028</v>
      </c>
      <c r="I369" s="380" t="s">
        <v>608</v>
      </c>
      <c r="J369" s="378" t="s">
        <v>3612</v>
      </c>
      <c r="K369" s="378" t="s">
        <v>974</v>
      </c>
      <c r="L369" s="63" t="s">
        <v>1454</v>
      </c>
      <c r="M369" s="64" t="s">
        <v>4447</v>
      </c>
      <c r="N369" s="64" t="s">
        <v>5342</v>
      </c>
      <c r="O369" s="64" t="s">
        <v>6239</v>
      </c>
      <c r="P369" s="61" t="s">
        <v>607</v>
      </c>
      <c r="Q369" s="67" t="s">
        <v>2552</v>
      </c>
      <c r="R369" s="61" t="s">
        <v>2530</v>
      </c>
      <c r="S369" s="61" t="s">
        <v>2495</v>
      </c>
      <c r="T369" s="134" t="str">
        <f>IF(R369="Bogs Ponds Streams","20",IF(R369="Coastal Areas","26",IF(R369="Meadows Dry Open","10",IF(R369="Forest &amp; Understory","14",IF(R369="Moist Open","12",IF(R369="Moist Shady","10",IF(R369="Sub-Alpine Slopes","0")))))))</f>
        <v>14</v>
      </c>
      <c r="U369" s="134" t="str">
        <f>IF(R369="Bogs Ponds Streams","52",IF(R369="Coastal Areas","51",IF(R369="Meadows Dry Open","53",IF(R369="Forest &amp; Understory","52",IF(R369="Moist Open","50",IF(R369="Moist Shady","46",IF(R369="Sub-Alpine Slopes","40")))))))</f>
        <v>52</v>
      </c>
      <c r="V369" s="134" t="str">
        <f>IF(R369="Bogs Ponds Streams","84",IF(R369="Coastal Areas","76",IF(R369="Meadows Dry Open","96", IF(R369="Forest &amp; Understory","90", IF(R369="Moist Open","88", IF(R369="Moist Shady","82", IF(R369="Sub-Alpine Slopes","80")))))))</f>
        <v>90</v>
      </c>
      <c r="W369" s="67">
        <v>1</v>
      </c>
      <c r="X369" s="67">
        <v>0</v>
      </c>
      <c r="Y369" s="67">
        <v>3500</v>
      </c>
      <c r="Z369" s="67" t="s">
        <v>2519</v>
      </c>
      <c r="AA369" s="67" t="s">
        <v>2518</v>
      </c>
      <c r="AB369" s="67">
        <v>6.8</v>
      </c>
      <c r="AC369" s="85">
        <f>C369+AK369+(0.1)*AL369</f>
        <v>12.2</v>
      </c>
      <c r="AD369" s="78">
        <v>39</v>
      </c>
      <c r="AE369" s="67">
        <v>5</v>
      </c>
      <c r="AF369" s="67">
        <v>5</v>
      </c>
      <c r="AG369" s="67">
        <v>1900</v>
      </c>
      <c r="AH369" s="78">
        <v>0</v>
      </c>
      <c r="AI369" s="67">
        <f>AJ369</f>
        <v>2004</v>
      </c>
      <c r="AJ369" s="69">
        <v>2004</v>
      </c>
      <c r="AK369" s="69">
        <v>9</v>
      </c>
      <c r="AL369" s="69">
        <v>22</v>
      </c>
      <c r="AM369" s="70">
        <v>5</v>
      </c>
      <c r="AN369" s="70">
        <v>0</v>
      </c>
      <c r="AO369" s="86">
        <v>0</v>
      </c>
      <c r="AP369" s="70">
        <v>0</v>
      </c>
      <c r="AQ369" s="70">
        <v>0</v>
      </c>
      <c r="AR369" s="70">
        <v>0</v>
      </c>
      <c r="AS369" s="86">
        <v>0</v>
      </c>
      <c r="AT369" s="70">
        <v>0</v>
      </c>
      <c r="AU369" s="70">
        <v>0</v>
      </c>
      <c r="AV369" s="70">
        <v>0</v>
      </c>
      <c r="AW369" s="86">
        <v>0</v>
      </c>
      <c r="AX369" s="70">
        <v>0</v>
      </c>
      <c r="AY369" s="233"/>
      <c r="AZ369" s="4"/>
      <c r="BA369" s="35" t="str">
        <f>IF(OR(S369="North America",S369="Rocky Mountain"), "Widespread",BC369)</f>
        <v>Widespread</v>
      </c>
      <c r="BB369" s="4"/>
      <c r="BC369" s="35">
        <f ca="1">IF(BE369&gt;2046, "Abundant",BE369)</f>
        <v>2033.3000698752228</v>
      </c>
      <c r="BD369" s="4"/>
      <c r="BE369" s="81">
        <f ca="1">YEAR($C$13)+(BG369*80)</f>
        <v>2033.3000698752228</v>
      </c>
      <c r="BF369" s="4"/>
      <c r="BG369" s="137">
        <f ca="1">BH369*$BH$14</f>
        <v>0.1787508734402852</v>
      </c>
      <c r="BH369" s="137">
        <f ca="1">(((BJ369+BK369+BM369+BN369)/4)*$BM$11)+(((BP369+BQ369)/2)*$BQ$11)+(((BU369+BV369+BW369)/3)*$BU$11)+(((BY369+BZ369+CA369+CB369+CC369)/5)*$CA$11)</f>
        <v>0.1787508734402852</v>
      </c>
      <c r="BI369" s="4"/>
      <c r="BJ369" s="33">
        <f>AP369/(AM369+AO369)</f>
        <v>0</v>
      </c>
      <c r="BK369" s="33">
        <f>(AN369+AO369)/(AM369+AO369)</f>
        <v>0</v>
      </c>
      <c r="BL369" s="4"/>
      <c r="BM369" s="127">
        <f>CF369/102</f>
        <v>0.11960784313725489</v>
      </c>
      <c r="BN369" s="127">
        <f>C369/2</f>
        <v>0.5</v>
      </c>
      <c r="BO369" s="4"/>
      <c r="BP369" s="127">
        <f>(AK369)/($AW$6)</f>
        <v>9.0909090909090912E-2</v>
      </c>
      <c r="BQ369" s="127">
        <f ca="1">(CH369-$AW$4)/((YEAR($C$13))-$AW$4)</f>
        <v>0</v>
      </c>
      <c r="BR369" s="127">
        <f>(AL369)/($AW$6)</f>
        <v>0.22222222222222221</v>
      </c>
      <c r="BS369" s="4"/>
      <c r="BT369" s="127"/>
      <c r="BU369" s="127">
        <f ca="1">(CG369-$AW$4)/((YEAR($C$13))-$AW$4)</f>
        <v>0</v>
      </c>
      <c r="BV369" s="127">
        <f>AE369/5</f>
        <v>1</v>
      </c>
      <c r="BW369" s="127">
        <f>AF369/5</f>
        <v>1</v>
      </c>
      <c r="BX369" s="4"/>
      <c r="BY369" s="148" t="str">
        <f>IF(E369="A",".98",IF(E369="B",".99",IF(E369="C","1.00",IF(E369="D","1.00" ))))</f>
        <v>.98</v>
      </c>
      <c r="BZ369" s="127">
        <f>(CE369+7)/10</f>
        <v>0.8</v>
      </c>
      <c r="CA369" s="76" t="str">
        <f>IF(D369="Fern",".97",IF(D369="Grass",".99",IF(D369="Herb",".97",IF(D369="Shrub",".99",IF(D369="Tree","1.00",IF(D369="Vine",".98"))))))</f>
        <v>.97</v>
      </c>
      <c r="CB369" s="149" t="str">
        <f>IF(R369="Bogs Ponds Streams",".96", IF(R369="Coastal Areas",".97",IF(R369="Meadows Dry Open",".96",IF(R369="Forest &amp; Understory",".97",IF(R369="Moist Open",".98",IF(R369="Moist Shady",".96",IF(R369="Sub-Alpine","1.0")))))))</f>
        <v>.97</v>
      </c>
      <c r="CC369" s="76" t="str">
        <f>IF(S369="Local Endemic",".50",IF(S369="Regional Endemic",".70",IF(S369="Cascadia",".90",IF(S369="Rocky Mountain",".95",IF(S369="North America",".99")))))</f>
        <v>.99</v>
      </c>
      <c r="CD369" s="4"/>
      <c r="CE369" s="21">
        <f>IF(W369&gt;3,3,W369)</f>
        <v>1</v>
      </c>
      <c r="CF369" s="21">
        <f>IF(AC369&gt;102,102,AC369)</f>
        <v>12.2</v>
      </c>
      <c r="CG369" s="34">
        <f>IF(AI369&lt;$AW$4,$AW$4,AI369)</f>
        <v>2004</v>
      </c>
      <c r="CH369" s="34">
        <f>IF(AJ369&lt;$AW$4,$AW$4,AJ369)</f>
        <v>2004</v>
      </c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12"/>
    </row>
    <row r="370" spans="1:116" s="13" customFormat="1" ht="15" customHeight="1" x14ac:dyDescent="0.3">
      <c r="A370" s="235"/>
      <c r="B370" s="218"/>
      <c r="C370" s="375">
        <v>1</v>
      </c>
      <c r="D370" s="67" t="s">
        <v>2505</v>
      </c>
      <c r="E370" s="67" t="s">
        <v>2501</v>
      </c>
      <c r="F370" s="403">
        <f ca="1">IF(BC370&lt;2025, "Extinct&lt; 6Yrs?",BA370)</f>
        <v>2041.2102987522283</v>
      </c>
      <c r="G370" s="376" t="s">
        <v>525</v>
      </c>
      <c r="H370" s="376" t="s">
        <v>4028</v>
      </c>
      <c r="I370" s="380" t="s">
        <v>610</v>
      </c>
      <c r="J370" s="378" t="s">
        <v>3774</v>
      </c>
      <c r="K370" s="378" t="s">
        <v>609</v>
      </c>
      <c r="L370" s="63" t="s">
        <v>1455</v>
      </c>
      <c r="M370" s="64" t="s">
        <v>4448</v>
      </c>
      <c r="N370" s="64" t="s">
        <v>5343</v>
      </c>
      <c r="O370" s="64" t="s">
        <v>6240</v>
      </c>
      <c r="P370" s="61" t="s">
        <v>607</v>
      </c>
      <c r="Q370" s="67" t="s">
        <v>2552</v>
      </c>
      <c r="R370" s="61" t="s">
        <v>2498</v>
      </c>
      <c r="S370" s="61" t="s">
        <v>2309</v>
      </c>
      <c r="T370" s="134" t="str">
        <f>IF(R370="Bogs Ponds Streams","20",IF(R370="Coastal Areas","26",IF(R370="Meadows Dry Open","10",IF(R370="Forest &amp; Understory","14",IF(R370="Moist Open","12",IF(R370="Moist Shady","10",IF(R370="Sub-Alpine Slopes","0")))))))</f>
        <v>10</v>
      </c>
      <c r="U370" s="134" t="str">
        <f>IF(R370="Bogs Ponds Streams","52",IF(R370="Coastal Areas","51",IF(R370="Meadows Dry Open","53",IF(R370="Forest &amp; Understory","52",IF(R370="Moist Open","50",IF(R370="Moist Shady","46",IF(R370="Sub-Alpine Slopes","40")))))))</f>
        <v>46</v>
      </c>
      <c r="V370" s="134" t="str">
        <f>IF(R370="Bogs Ponds Streams","84",IF(R370="Coastal Areas","76",IF(R370="Meadows Dry Open","96", IF(R370="Forest &amp; Understory","90", IF(R370="Moist Open","88", IF(R370="Moist Shady","82", IF(R370="Sub-Alpine Slopes","80")))))))</f>
        <v>82</v>
      </c>
      <c r="W370" s="67">
        <v>20</v>
      </c>
      <c r="X370" s="67">
        <v>0</v>
      </c>
      <c r="Y370" s="67">
        <v>3500</v>
      </c>
      <c r="Z370" s="67" t="s">
        <v>2519</v>
      </c>
      <c r="AA370" s="67" t="s">
        <v>2518</v>
      </c>
      <c r="AB370" s="67">
        <v>6.8</v>
      </c>
      <c r="AC370" s="85">
        <f>C370+AK370+(0.1)*AL370</f>
        <v>3</v>
      </c>
      <c r="AD370" s="78">
        <v>18</v>
      </c>
      <c r="AE370" s="68">
        <v>1</v>
      </c>
      <c r="AF370" s="68">
        <v>4</v>
      </c>
      <c r="AG370" s="78">
        <v>1936</v>
      </c>
      <c r="AH370" s="78">
        <v>0</v>
      </c>
      <c r="AI370" s="78">
        <v>2004</v>
      </c>
      <c r="AJ370" s="69">
        <v>2004</v>
      </c>
      <c r="AK370" s="69">
        <v>2</v>
      </c>
      <c r="AL370" s="69">
        <v>0</v>
      </c>
      <c r="AM370" s="69">
        <v>1</v>
      </c>
      <c r="AN370" s="69">
        <v>1</v>
      </c>
      <c r="AO370" s="86">
        <v>0</v>
      </c>
      <c r="AP370" s="70">
        <v>0</v>
      </c>
      <c r="AQ370" s="69">
        <v>0</v>
      </c>
      <c r="AR370" s="69">
        <v>0</v>
      </c>
      <c r="AS370" s="69">
        <v>0</v>
      </c>
      <c r="AT370" s="69">
        <v>0</v>
      </c>
      <c r="AU370" s="69">
        <v>0</v>
      </c>
      <c r="AV370" s="69">
        <v>0</v>
      </c>
      <c r="AW370" s="69">
        <v>0</v>
      </c>
      <c r="AX370" s="69">
        <v>0</v>
      </c>
      <c r="AY370" s="233"/>
      <c r="AZ370" s="4"/>
      <c r="BA370" s="35">
        <f ca="1">IF(OR(S370="North America",S370="Rocky Mountain"), "Widespread",BC370)</f>
        <v>2041.2102987522283</v>
      </c>
      <c r="BB370" s="4"/>
      <c r="BC370" s="35">
        <f ca="1">IF(BE370&gt;2046, "Abundant",BE370)</f>
        <v>2041.2102987522283</v>
      </c>
      <c r="BD370" s="4"/>
      <c r="BE370" s="81">
        <f ca="1">YEAR($C$13)+(BG370*80)</f>
        <v>2041.2102987522283</v>
      </c>
      <c r="BF370" s="4"/>
      <c r="BG370" s="137">
        <f ca="1">BH370*$BH$14</f>
        <v>0.27762873440285196</v>
      </c>
      <c r="BH370" s="137">
        <f ca="1">(((BJ370+BK370+BM370+BN370)/4)*$BM$11)+(((BP370+BQ370)/2)*$BQ$11)+(((BU370+BV370+BW370)/3)*$BU$11)+(((BY370+BZ370+CA370+CB370+CC370)/5)*$CA$11)</f>
        <v>0.27762873440285196</v>
      </c>
      <c r="BI370" s="4"/>
      <c r="BJ370" s="33">
        <f>AP370/(AM370+AO370)</f>
        <v>0</v>
      </c>
      <c r="BK370" s="33">
        <f>(AN370+AO370)/(AM370+AO370)</f>
        <v>1</v>
      </c>
      <c r="BL370" s="4"/>
      <c r="BM370" s="127">
        <f>CF370/102</f>
        <v>2.9411764705882353E-2</v>
      </c>
      <c r="BN370" s="127">
        <f>C370/2</f>
        <v>0.5</v>
      </c>
      <c r="BO370" s="4"/>
      <c r="BP370" s="127">
        <f>(AK370)/($AW$6)</f>
        <v>2.0202020202020204E-2</v>
      </c>
      <c r="BQ370" s="127">
        <f ca="1">(CH370-$AW$4)/((YEAR($C$13))-$AW$4)</f>
        <v>0</v>
      </c>
      <c r="BR370" s="127">
        <f>(AL370)/($AW$6)</f>
        <v>0</v>
      </c>
      <c r="BS370" s="4"/>
      <c r="BT370" s="127"/>
      <c r="BU370" s="127">
        <f ca="1">(CG370-$AW$4)/((YEAR($C$13))-$AW$4)</f>
        <v>0</v>
      </c>
      <c r="BV370" s="127">
        <f>AE370/5</f>
        <v>0.2</v>
      </c>
      <c r="BW370" s="127">
        <f>AF370/5</f>
        <v>0.8</v>
      </c>
      <c r="BX370" s="4"/>
      <c r="BY370" s="148" t="str">
        <f>IF(E370="A",".98",IF(E370="B",".99",IF(E370="C","1.00",IF(E370="D","1.00" ))))</f>
        <v>1.00</v>
      </c>
      <c r="BZ370" s="127">
        <f>(CE370+7)/10</f>
        <v>1</v>
      </c>
      <c r="CA370" s="76" t="str">
        <f>IF(D370="Fern",".97",IF(D370="Grass",".99",IF(D370="Herb",".97",IF(D370="Shrub",".99",IF(D370="Tree","1.00",IF(D370="Vine",".98"))))))</f>
        <v>.97</v>
      </c>
      <c r="CB370" s="149" t="str">
        <f>IF(R370="Bogs Ponds Streams",".96", IF(R370="Coastal Areas",".97",IF(R370="Meadows Dry Open",".96",IF(R370="Forest &amp; Understory",".97",IF(R370="Moist Open",".98",IF(R370="Moist Shady",".96",IF(R370="Sub-Alpine","1.0")))))))</f>
        <v>.96</v>
      </c>
      <c r="CC370" s="76" t="str">
        <f>IF(S370="Local Endemic",".50",IF(S370="Regional Endemic",".70",IF(S370="Cascadia",".90",IF(S370="Rocky Mountain",".95",IF(S370="North America",".99")))))</f>
        <v>.70</v>
      </c>
      <c r="CD370" s="4"/>
      <c r="CE370" s="21">
        <f>IF(W370&gt;3,3,W370)</f>
        <v>3</v>
      </c>
      <c r="CF370" s="21">
        <f>IF(AC370&gt;102,102,AC370)</f>
        <v>3</v>
      </c>
      <c r="CG370" s="34">
        <f>IF(AI370&lt;$AW$4,$AW$4,AI370)</f>
        <v>2004</v>
      </c>
      <c r="CH370" s="34">
        <f>IF(AJ370&lt;$AW$4,$AW$4,AJ370)</f>
        <v>2004</v>
      </c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</row>
    <row r="371" spans="1:116" s="14" customFormat="1" ht="15" customHeight="1" x14ac:dyDescent="0.3">
      <c r="A371" s="235"/>
      <c r="B371" s="218"/>
      <c r="C371" s="225">
        <v>8</v>
      </c>
      <c r="D371" s="59" t="s">
        <v>2505</v>
      </c>
      <c r="E371" s="59" t="s">
        <v>2501</v>
      </c>
      <c r="F371" s="397" t="str">
        <f ca="1">IF(BC371&lt;2025, "Extinct&lt; 6Yrs?",BA371)</f>
        <v>Widespread</v>
      </c>
      <c r="G371" s="363" t="s">
        <v>525</v>
      </c>
      <c r="H371" s="363" t="s">
        <v>689</v>
      </c>
      <c r="I371" s="366" t="s">
        <v>3072</v>
      </c>
      <c r="J371" s="365" t="s">
        <v>3355</v>
      </c>
      <c r="K371" s="365" t="s">
        <v>975</v>
      </c>
      <c r="L371" s="17" t="s">
        <v>1456</v>
      </c>
      <c r="M371" s="8" t="s">
        <v>4449</v>
      </c>
      <c r="N371" s="8" t="s">
        <v>5344</v>
      </c>
      <c r="O371" s="8" t="s">
        <v>6241</v>
      </c>
      <c r="P371" s="398" t="s">
        <v>303</v>
      </c>
      <c r="Q371" s="59" t="s">
        <v>2552</v>
      </c>
      <c r="R371" s="9" t="s">
        <v>2500</v>
      </c>
      <c r="S371" s="9" t="s">
        <v>2495</v>
      </c>
      <c r="T371" s="123" t="str">
        <f>IF(R371="Bogs Ponds Streams","20",IF(R371="Coastal Areas","26",IF(R371="Meadows Dry Open","10",IF(R371="Forest &amp; Understory","14",IF(R371="Moist Open","12",IF(R371="Moist Shady","10",IF(R371="Sub-Alpine Slopes","0")))))))</f>
        <v>10</v>
      </c>
      <c r="U371" s="123" t="str">
        <f>IF(R371="Bogs Ponds Streams","52",IF(R371="Coastal Areas","51",IF(R371="Meadows Dry Open","53",IF(R371="Forest &amp; Understory","52",IF(R371="Moist Open","50",IF(R371="Moist Shady","46",IF(R371="Sub-Alpine Slopes","40")))))))</f>
        <v>53</v>
      </c>
      <c r="V371" s="123" t="str">
        <f>IF(R371="Bogs Ponds Streams","84",IF(R371="Coastal Areas","76",IF(R371="Meadows Dry Open","96", IF(R371="Forest &amp; Understory","90", IF(R371="Moist Open","88", IF(R371="Moist Shady","82", IF(R371="Sub-Alpine Slopes","80")))))))</f>
        <v>96</v>
      </c>
      <c r="W371" s="59">
        <v>20</v>
      </c>
      <c r="X371" s="59">
        <v>0</v>
      </c>
      <c r="Y371" s="59">
        <v>3500</v>
      </c>
      <c r="Z371" s="59" t="s">
        <v>2519</v>
      </c>
      <c r="AA371" s="59" t="s">
        <v>2518</v>
      </c>
      <c r="AB371" s="59">
        <v>6.8</v>
      </c>
      <c r="AC371" s="45">
        <f>C371+AK371+(0.1)*AL371</f>
        <v>31.1</v>
      </c>
      <c r="AD371" s="77">
        <v>223</v>
      </c>
      <c r="AE371" s="59">
        <v>5</v>
      </c>
      <c r="AF371" s="59">
        <v>5</v>
      </c>
      <c r="AG371" s="59">
        <v>1900</v>
      </c>
      <c r="AH371" s="77">
        <v>0</v>
      </c>
      <c r="AI371" s="59">
        <f ca="1">AJ371</f>
        <v>2019</v>
      </c>
      <c r="AJ371" s="18">
        <f ca="1">YEAR(TODAY())</f>
        <v>2019</v>
      </c>
      <c r="AK371" s="18">
        <v>22</v>
      </c>
      <c r="AL371" s="18">
        <v>11</v>
      </c>
      <c r="AM371" s="18">
        <v>1</v>
      </c>
      <c r="AN371" s="18">
        <v>1</v>
      </c>
      <c r="AO371" s="24">
        <v>1</v>
      </c>
      <c r="AP371" s="24">
        <v>0</v>
      </c>
      <c r="AQ371" s="18">
        <v>0</v>
      </c>
      <c r="AR371" s="18">
        <v>0</v>
      </c>
      <c r="AS371" s="18">
        <v>0</v>
      </c>
      <c r="AT371" s="18">
        <v>0</v>
      </c>
      <c r="AU371" s="18">
        <v>0</v>
      </c>
      <c r="AV371" s="18">
        <v>0</v>
      </c>
      <c r="AW371" s="18">
        <v>0</v>
      </c>
      <c r="AX371" s="18">
        <v>0</v>
      </c>
      <c r="AY371" s="233"/>
      <c r="AZ371" s="4"/>
      <c r="BA371" s="35" t="str">
        <f>IF(OR(S371="North America",S371="Rocky Mountain"), "Widespread",BC371)</f>
        <v>Widespread</v>
      </c>
      <c r="BB371" s="4"/>
      <c r="BC371" s="35" t="str">
        <f ca="1">IF(BE371&gt;2046, "Abundant",BE371)</f>
        <v>Abundant</v>
      </c>
      <c r="BD371" s="4"/>
      <c r="BE371" s="81">
        <f ca="1">YEAR($C$13)+(BG371*80)</f>
        <v>2105.2998901960782</v>
      </c>
      <c r="BF371" s="4"/>
      <c r="BG371" s="137">
        <f ca="1">BH371*$BH$14</f>
        <v>1.0787486274509803</v>
      </c>
      <c r="BH371" s="137">
        <f ca="1">(((BJ371+BK371+BM371+BN371)/4)*$BM$11)+(((BP371+BQ371)/2)*$BQ$11)+(((BU371+BV371+BW371)/3)*$BU$11)+(((BY371+BZ371+CA371+CB371+CC371)/5)*$CA$11)</f>
        <v>1.0787486274509803</v>
      </c>
      <c r="BI371" s="4"/>
      <c r="BJ371" s="33">
        <f>AP371/(AM371+AO371)</f>
        <v>0</v>
      </c>
      <c r="BK371" s="33">
        <f>(AN371+AO371)/(AM371+AO371)</f>
        <v>1</v>
      </c>
      <c r="BL371" s="4"/>
      <c r="BM371" s="127">
        <f>CF371/102</f>
        <v>0.30490196078431375</v>
      </c>
      <c r="BN371" s="127">
        <f>C371/2</f>
        <v>4</v>
      </c>
      <c r="BO371" s="4"/>
      <c r="BP371" s="127">
        <f>(AK371)/($AW$6)</f>
        <v>0.22222222222222221</v>
      </c>
      <c r="BQ371" s="127">
        <f ca="1">(CH371-$AW$4)/((YEAR($C$13))-$AW$4)</f>
        <v>1</v>
      </c>
      <c r="BR371" s="127">
        <f>(AL371)/($AW$6)</f>
        <v>0.1111111111111111</v>
      </c>
      <c r="BS371" s="4"/>
      <c r="BT371" s="127"/>
      <c r="BU371" s="127">
        <f ca="1">(CG371-$AW$4)/((YEAR($C$13))-$AW$4)</f>
        <v>1</v>
      </c>
      <c r="BV371" s="127">
        <f>AE371/5</f>
        <v>1</v>
      </c>
      <c r="BW371" s="127">
        <f>AF371/5</f>
        <v>1</v>
      </c>
      <c r="BX371" s="4"/>
      <c r="BY371" s="148" t="str">
        <f>IF(E371="A",".98",IF(E371="B",".99",IF(E371="C","1.00",IF(E371="D","1.00" ))))</f>
        <v>1.00</v>
      </c>
      <c r="BZ371" s="127">
        <f>(CE371+7)/10</f>
        <v>1</v>
      </c>
      <c r="CA371" s="76" t="str">
        <f>IF(D371="Fern",".97",IF(D371="Grass",".99",IF(D371="Herb",".97",IF(D371="Shrub",".99",IF(D371="Tree","1.00",IF(D371="Vine",".98"))))))</f>
        <v>.97</v>
      </c>
      <c r="CB371" s="149" t="str">
        <f>IF(R371="Bogs Ponds Streams",".96", IF(R371="Coastal Areas",".97",IF(R371="Meadows Dry Open",".96",IF(R371="Forest &amp; Understory",".97",IF(R371="Moist Open",".98",IF(R371="Moist Shady",".96",IF(R371="Sub-Alpine","1.0")))))))</f>
        <v>.96</v>
      </c>
      <c r="CC371" s="76" t="str">
        <f>IF(S371="Local Endemic",".50",IF(S371="Regional Endemic",".70",IF(S371="Cascadia",".90",IF(S371="Rocky Mountain",".95",IF(S371="North America",".99")))))</f>
        <v>.99</v>
      </c>
      <c r="CD371" s="4"/>
      <c r="CE371" s="21">
        <f>IF(W371&gt;3,3,W371)</f>
        <v>3</v>
      </c>
      <c r="CF371" s="21">
        <f>IF(AC371&gt;102,102,AC371)</f>
        <v>31.1</v>
      </c>
      <c r="CG371" s="34">
        <f ca="1">IF(AI371&lt;$AW$4,$AW$4,AI371)</f>
        <v>2019</v>
      </c>
      <c r="CH371" s="34">
        <f ca="1">IF(AJ371&lt;$AW$4,$AW$4,AJ371)</f>
        <v>2019</v>
      </c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13"/>
      <c r="DL371" s="13"/>
    </row>
    <row r="372" spans="1:116" s="13" customFormat="1" ht="15" customHeight="1" x14ac:dyDescent="0.3">
      <c r="A372" s="235"/>
      <c r="B372" s="218"/>
      <c r="C372" s="225">
        <v>8</v>
      </c>
      <c r="D372" s="59" t="s">
        <v>2505</v>
      </c>
      <c r="E372" s="59" t="s">
        <v>2501</v>
      </c>
      <c r="F372" s="397" t="str">
        <f ca="1">IF(BC372&lt;2025, "Extinct&lt; 6Yrs?",BA372)</f>
        <v>Widespread</v>
      </c>
      <c r="G372" s="363" t="s">
        <v>525</v>
      </c>
      <c r="H372" s="363" t="s">
        <v>689</v>
      </c>
      <c r="I372" s="366" t="s">
        <v>773</v>
      </c>
      <c r="J372" s="365" t="s">
        <v>3356</v>
      </c>
      <c r="K372" s="365" t="s">
        <v>771</v>
      </c>
      <c r="L372" s="10" t="s">
        <v>1457</v>
      </c>
      <c r="M372" s="8" t="s">
        <v>4450</v>
      </c>
      <c r="N372" s="8" t="s">
        <v>5345</v>
      </c>
      <c r="O372" s="8" t="s">
        <v>6242</v>
      </c>
      <c r="P372" s="398" t="s">
        <v>303</v>
      </c>
      <c r="Q372" s="59" t="s">
        <v>2552</v>
      </c>
      <c r="R372" s="9" t="s">
        <v>2498</v>
      </c>
      <c r="S372" s="9" t="s">
        <v>2495</v>
      </c>
      <c r="T372" s="123" t="str">
        <f>IF(R372="Bogs Ponds Streams","20",IF(R372="Coastal Areas","26",IF(R372="Meadows Dry Open","10",IF(R372="Forest &amp; Understory","14",IF(R372="Moist Open","12",IF(R372="Moist Shady","10",IF(R372="Sub-Alpine Slopes","0")))))))</f>
        <v>10</v>
      </c>
      <c r="U372" s="123" t="str">
        <f>IF(R372="Bogs Ponds Streams","52",IF(R372="Coastal Areas","51",IF(R372="Meadows Dry Open","53",IF(R372="Forest &amp; Understory","52",IF(R372="Moist Open","50",IF(R372="Moist Shady","46",IF(R372="Sub-Alpine Slopes","40")))))))</f>
        <v>46</v>
      </c>
      <c r="V372" s="123" t="str">
        <f>IF(R372="Bogs Ponds Streams","84",IF(R372="Coastal Areas","76",IF(R372="Meadows Dry Open","96", IF(R372="Forest &amp; Understory","90", IF(R372="Moist Open","88", IF(R372="Moist Shady","82", IF(R372="Sub-Alpine Slopes","80")))))))</f>
        <v>82</v>
      </c>
      <c r="W372" s="59">
        <v>20</v>
      </c>
      <c r="X372" s="59">
        <v>0</v>
      </c>
      <c r="Y372" s="59">
        <v>3500</v>
      </c>
      <c r="Z372" s="59" t="s">
        <v>2519</v>
      </c>
      <c r="AA372" s="59" t="s">
        <v>2518</v>
      </c>
      <c r="AB372" s="59">
        <v>6.8</v>
      </c>
      <c r="AC372" s="45">
        <f>C372+AK372+(0.1)*AL372</f>
        <v>19.3</v>
      </c>
      <c r="AD372" s="77">
        <v>241</v>
      </c>
      <c r="AE372" s="59">
        <v>5</v>
      </c>
      <c r="AF372" s="59">
        <v>5</v>
      </c>
      <c r="AG372" s="59">
        <v>1900</v>
      </c>
      <c r="AH372" s="77">
        <v>0</v>
      </c>
      <c r="AI372" s="59">
        <f ca="1">AJ372</f>
        <v>2019</v>
      </c>
      <c r="AJ372" s="18">
        <f ca="1">YEAR(TODAY())</f>
        <v>2019</v>
      </c>
      <c r="AK372" s="18">
        <v>8</v>
      </c>
      <c r="AL372" s="18">
        <v>33</v>
      </c>
      <c r="AM372" s="18">
        <v>1</v>
      </c>
      <c r="AN372" s="18">
        <v>1</v>
      </c>
      <c r="AO372" s="25">
        <v>0</v>
      </c>
      <c r="AP372" s="24">
        <v>0</v>
      </c>
      <c r="AQ372" s="18">
        <v>0</v>
      </c>
      <c r="AR372" s="18">
        <v>0</v>
      </c>
      <c r="AS372" s="18">
        <v>0</v>
      </c>
      <c r="AT372" s="18">
        <v>0</v>
      </c>
      <c r="AU372" s="18">
        <v>0</v>
      </c>
      <c r="AV372" s="18">
        <v>0</v>
      </c>
      <c r="AW372" s="18">
        <v>0</v>
      </c>
      <c r="AX372" s="18">
        <v>0</v>
      </c>
      <c r="AY372" s="233"/>
      <c r="AZ372" s="4"/>
      <c r="BA372" s="35" t="str">
        <f>IF(OR(S372="North America",S372="Rocky Mountain"), "Widespread",BC372)</f>
        <v>Widespread</v>
      </c>
      <c r="BB372" s="4"/>
      <c r="BC372" s="35" t="str">
        <f ca="1">IF(BE372&gt;2046, "Abundant",BE372)</f>
        <v>Abundant</v>
      </c>
      <c r="BD372" s="4"/>
      <c r="BE372" s="81">
        <f ca="1">YEAR($C$13)+(BG372*80)</f>
        <v>2102.2146852049909</v>
      </c>
      <c r="BF372" s="4"/>
      <c r="BG372" s="137">
        <f ca="1">BH372*$BH$14</f>
        <v>1.0401835650623885</v>
      </c>
      <c r="BH372" s="137">
        <f ca="1">(((BJ372+BK372+BM372+BN372)/4)*$BM$11)+(((BP372+BQ372)/2)*$BQ$11)+(((BU372+BV372+BW372)/3)*$BU$11)+(((BY372+BZ372+CA372+CB372+CC372)/5)*$CA$11)</f>
        <v>1.0401835650623885</v>
      </c>
      <c r="BI372" s="4"/>
      <c r="BJ372" s="33">
        <f>AP372/(AM372+AO372)</f>
        <v>0</v>
      </c>
      <c r="BK372" s="33">
        <f>(AN372+AO372)/(AM372+AO372)</f>
        <v>1</v>
      </c>
      <c r="BL372" s="4"/>
      <c r="BM372" s="127">
        <f>CF372/102</f>
        <v>0.1892156862745098</v>
      </c>
      <c r="BN372" s="127">
        <f>C372/2</f>
        <v>4</v>
      </c>
      <c r="BO372" s="4"/>
      <c r="BP372" s="127">
        <f>(AK372)/($AW$6)</f>
        <v>8.0808080808080815E-2</v>
      </c>
      <c r="BQ372" s="127">
        <f ca="1">(CH372-$AW$4)/((YEAR($C$13))-$AW$4)</f>
        <v>1</v>
      </c>
      <c r="BR372" s="127">
        <f>(AL372)/($AW$6)</f>
        <v>0.33333333333333331</v>
      </c>
      <c r="BS372" s="4"/>
      <c r="BT372" s="127"/>
      <c r="BU372" s="127">
        <f ca="1">(CG372-$AW$4)/((YEAR($C$13))-$AW$4)</f>
        <v>1</v>
      </c>
      <c r="BV372" s="127">
        <f>AE372/5</f>
        <v>1</v>
      </c>
      <c r="BW372" s="127">
        <f>AF372/5</f>
        <v>1</v>
      </c>
      <c r="BX372" s="4"/>
      <c r="BY372" s="148" t="str">
        <f>IF(E372="A",".98",IF(E372="B",".99",IF(E372="C","1.00",IF(E372="D","1.00" ))))</f>
        <v>1.00</v>
      </c>
      <c r="BZ372" s="127">
        <f>(CE372+7)/10</f>
        <v>1</v>
      </c>
      <c r="CA372" s="76" t="str">
        <f>IF(D372="Fern",".97",IF(D372="Grass",".99",IF(D372="Herb",".97",IF(D372="Shrub",".99",IF(D372="Tree","1.00",IF(D372="Vine",".98"))))))</f>
        <v>.97</v>
      </c>
      <c r="CB372" s="149" t="str">
        <f>IF(R372="Bogs Ponds Streams",".96", IF(R372="Coastal Areas",".97",IF(R372="Meadows Dry Open",".96",IF(R372="Forest &amp; Understory",".97",IF(R372="Moist Open",".98",IF(R372="Moist Shady",".96",IF(R372="Sub-Alpine","1.0")))))))</f>
        <v>.96</v>
      </c>
      <c r="CC372" s="76" t="str">
        <f>IF(S372="Local Endemic",".50",IF(S372="Regional Endemic",".70",IF(S372="Cascadia",".90",IF(S372="Rocky Mountain",".95",IF(S372="North America",".99")))))</f>
        <v>.99</v>
      </c>
      <c r="CD372" s="4"/>
      <c r="CE372" s="21">
        <f>IF(W372&gt;3,3,W372)</f>
        <v>3</v>
      </c>
      <c r="CF372" s="21">
        <f>IF(AC372&gt;102,102,AC372)</f>
        <v>19.3</v>
      </c>
      <c r="CG372" s="34">
        <f ca="1">IF(AI372&lt;$AW$4,$AW$4,AI372)</f>
        <v>2019</v>
      </c>
      <c r="CH372" s="34">
        <f ca="1">IF(AJ372&lt;$AW$4,$AW$4,AJ372)</f>
        <v>2019</v>
      </c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</row>
    <row r="373" spans="1:116" s="13" customFormat="1" ht="15" customHeight="1" x14ac:dyDescent="0.3">
      <c r="A373" s="235"/>
      <c r="B373" s="218"/>
      <c r="C373" s="225">
        <v>8</v>
      </c>
      <c r="D373" s="59" t="s">
        <v>2505</v>
      </c>
      <c r="E373" s="59" t="s">
        <v>2502</v>
      </c>
      <c r="F373" s="397" t="str">
        <f ca="1">IF(BC373&lt;2025, "Extinct&lt; 6Yrs?",BA373)</f>
        <v>Widespread</v>
      </c>
      <c r="G373" s="363" t="s">
        <v>525</v>
      </c>
      <c r="H373" s="363" t="s">
        <v>687</v>
      </c>
      <c r="I373" s="364" t="s">
        <v>676</v>
      </c>
      <c r="J373" s="365" t="s">
        <v>3357</v>
      </c>
      <c r="K373" s="365" t="s">
        <v>976</v>
      </c>
      <c r="L373" s="10" t="s">
        <v>3451</v>
      </c>
      <c r="M373" s="8" t="s">
        <v>4451</v>
      </c>
      <c r="N373" s="8" t="s">
        <v>5346</v>
      </c>
      <c r="O373" s="8" t="s">
        <v>6243</v>
      </c>
      <c r="P373" s="9" t="s">
        <v>674</v>
      </c>
      <c r="Q373" s="59" t="s">
        <v>2552</v>
      </c>
      <c r="R373" s="9" t="s">
        <v>2500</v>
      </c>
      <c r="S373" s="9" t="s">
        <v>2495</v>
      </c>
      <c r="T373" s="123" t="str">
        <f>IF(R373="Bogs Ponds Streams","20",IF(R373="Coastal Areas","26",IF(R373="Meadows Dry Open","10",IF(R373="Forest &amp; Understory","14",IF(R373="Moist Open","12",IF(R373="Moist Shady","10",IF(R373="Sub-Alpine Slopes","0")))))))</f>
        <v>10</v>
      </c>
      <c r="U373" s="123" t="str">
        <f>IF(R373="Bogs Ponds Streams","52",IF(R373="Coastal Areas","51",IF(R373="Meadows Dry Open","53",IF(R373="Forest &amp; Understory","52",IF(R373="Moist Open","50",IF(R373="Moist Shady","46",IF(R373="Sub-Alpine Slopes","40")))))))</f>
        <v>53</v>
      </c>
      <c r="V373" s="123" t="str">
        <f>IF(R373="Bogs Ponds Streams","84",IF(R373="Coastal Areas","76",IF(R373="Meadows Dry Open","96", IF(R373="Forest &amp; Understory","90", IF(R373="Moist Open","88", IF(R373="Moist Shady","82", IF(R373="Sub-Alpine Slopes","80")))))))</f>
        <v>96</v>
      </c>
      <c r="W373" s="59">
        <v>1</v>
      </c>
      <c r="X373" s="59">
        <v>0</v>
      </c>
      <c r="Y373" s="59">
        <v>3500</v>
      </c>
      <c r="Z373" s="59" t="s">
        <v>2519</v>
      </c>
      <c r="AA373" s="59" t="s">
        <v>2518</v>
      </c>
      <c r="AB373" s="59">
        <v>6.8</v>
      </c>
      <c r="AC373" s="45">
        <f>C373+AK373+(0.1)*AL373</f>
        <v>20.8</v>
      </c>
      <c r="AD373" s="77">
        <v>76</v>
      </c>
      <c r="AE373" s="59">
        <v>5</v>
      </c>
      <c r="AF373" s="59">
        <v>5</v>
      </c>
      <c r="AG373" s="59">
        <v>1900</v>
      </c>
      <c r="AH373" s="77">
        <v>0</v>
      </c>
      <c r="AI373" s="59">
        <f ca="1">AJ373</f>
        <v>2019</v>
      </c>
      <c r="AJ373" s="18">
        <f ca="1">YEAR(TODAY())</f>
        <v>2019</v>
      </c>
      <c r="AK373" s="18">
        <v>12</v>
      </c>
      <c r="AL373" s="18">
        <v>8</v>
      </c>
      <c r="AM373" s="18">
        <v>1</v>
      </c>
      <c r="AN373" s="18">
        <v>1</v>
      </c>
      <c r="AO373" s="18">
        <v>5</v>
      </c>
      <c r="AP373" s="18">
        <v>1</v>
      </c>
      <c r="AQ373" s="18">
        <v>0</v>
      </c>
      <c r="AR373" s="18">
        <v>0</v>
      </c>
      <c r="AS373" s="18">
        <v>0</v>
      </c>
      <c r="AT373" s="18">
        <v>0</v>
      </c>
      <c r="AU373" s="18">
        <v>0</v>
      </c>
      <c r="AV373" s="18">
        <v>0</v>
      </c>
      <c r="AW373" s="18">
        <v>0</v>
      </c>
      <c r="AX373" s="18">
        <v>0</v>
      </c>
      <c r="AY373" s="233"/>
      <c r="AZ373" s="4"/>
      <c r="BA373" s="35" t="str">
        <f>IF(OR(S373="North America",S373="Rocky Mountain"), "Widespread",BC373)</f>
        <v>Widespread</v>
      </c>
      <c r="BB373" s="4"/>
      <c r="BC373" s="35" t="str">
        <f ca="1">IF(BE373&gt;2046, "Abundant",BE373)</f>
        <v>Abundant</v>
      </c>
      <c r="BD373" s="4"/>
      <c r="BE373" s="81">
        <f ca="1">YEAR($C$13)+(BG373*80)</f>
        <v>2104.805604278075</v>
      </c>
      <c r="BF373" s="4"/>
      <c r="BG373" s="137">
        <f ca="1">BH373*$BH$14</f>
        <v>1.0725700534759359</v>
      </c>
      <c r="BH373" s="137">
        <f ca="1">(((BJ373+BK373+BM373+BN373)/4)*$BM$11)+(((BP373+BQ373)/2)*$BQ$11)+(((BU373+BV373+BW373)/3)*$BU$11)+(((BY373+BZ373+CA373+CB373+CC373)/5)*$CA$11)</f>
        <v>1.0725700534759359</v>
      </c>
      <c r="BI373" s="4"/>
      <c r="BJ373" s="33">
        <f>AP373/(AM373+AO373)</f>
        <v>0.16666666666666666</v>
      </c>
      <c r="BK373" s="33">
        <f>(AN373+AO373)/(AM373+AO373)</f>
        <v>1</v>
      </c>
      <c r="BL373" s="4"/>
      <c r="BM373" s="127">
        <f>CF373/102</f>
        <v>0.20392156862745098</v>
      </c>
      <c r="BN373" s="127">
        <f>C373/2</f>
        <v>4</v>
      </c>
      <c r="BO373" s="4"/>
      <c r="BP373" s="127">
        <f>(AK373)/($AW$6)</f>
        <v>0.12121212121212122</v>
      </c>
      <c r="BQ373" s="127">
        <f ca="1">(CH373-$AW$4)/((YEAR($C$13))-$AW$4)</f>
        <v>1</v>
      </c>
      <c r="BR373" s="127">
        <f>(AL373)/($AW$6)</f>
        <v>8.0808080808080815E-2</v>
      </c>
      <c r="BS373" s="4"/>
      <c r="BT373" s="127"/>
      <c r="BU373" s="127">
        <f ca="1">(CG373-$AW$4)/((YEAR($C$13))-$AW$4)</f>
        <v>1</v>
      </c>
      <c r="BV373" s="127">
        <f>AE373/5</f>
        <v>1</v>
      </c>
      <c r="BW373" s="127">
        <f>AF373/5</f>
        <v>1</v>
      </c>
      <c r="BX373" s="4"/>
      <c r="BY373" s="148" t="str">
        <f>IF(E373="A",".98",IF(E373="B",".99",IF(E373="C","1.00",IF(E373="D","1.00" ))))</f>
        <v>.98</v>
      </c>
      <c r="BZ373" s="127">
        <f>(CE373+7)/10</f>
        <v>0.8</v>
      </c>
      <c r="CA373" s="76" t="str">
        <f>IF(D373="Fern",".97",IF(D373="Grass",".99",IF(D373="Herb",".97",IF(D373="Shrub",".99",IF(D373="Tree","1.00",IF(D373="Vine",".98"))))))</f>
        <v>.97</v>
      </c>
      <c r="CB373" s="149" t="str">
        <f>IF(R373="Bogs Ponds Streams",".96", IF(R373="Coastal Areas",".97",IF(R373="Meadows Dry Open",".96",IF(R373="Forest &amp; Understory",".97",IF(R373="Moist Open",".98",IF(R373="Moist Shady",".96",IF(R373="Sub-Alpine","1.0")))))))</f>
        <v>.96</v>
      </c>
      <c r="CC373" s="76" t="str">
        <f>IF(S373="Local Endemic",".50",IF(S373="Regional Endemic",".70",IF(S373="Cascadia",".90",IF(S373="Rocky Mountain",".95",IF(S373="North America",".99")))))</f>
        <v>.99</v>
      </c>
      <c r="CD373" s="4"/>
      <c r="CE373" s="21">
        <f>IF(W373&gt;3,3,W373)</f>
        <v>1</v>
      </c>
      <c r="CF373" s="21">
        <f>IF(AC373&gt;102,102,AC373)</f>
        <v>20.8</v>
      </c>
      <c r="CG373" s="34">
        <f ca="1">IF(AI373&lt;$AW$4,$AW$4,AI373)</f>
        <v>2019</v>
      </c>
      <c r="CH373" s="34">
        <f ca="1">IF(AJ373&lt;$AW$4,$AW$4,AJ373)</f>
        <v>2019</v>
      </c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L373" s="14"/>
    </row>
    <row r="374" spans="1:116" s="13" customFormat="1" ht="15" customHeight="1" x14ac:dyDescent="0.3">
      <c r="A374" s="235"/>
      <c r="B374" s="218"/>
      <c r="C374" s="375">
        <v>1</v>
      </c>
      <c r="D374" s="67" t="s">
        <v>2505</v>
      </c>
      <c r="E374" s="67" t="s">
        <v>2502</v>
      </c>
      <c r="F374" s="403">
        <f ca="1">IF(BC374&lt;2025, "Extinct&lt; 6Yrs?",BA374)</f>
        <v>2032.1292225787286</v>
      </c>
      <c r="G374" s="376" t="s">
        <v>525</v>
      </c>
      <c r="H374" s="376" t="s">
        <v>4028</v>
      </c>
      <c r="I374" s="380" t="s">
        <v>156</v>
      </c>
      <c r="J374" s="378" t="s">
        <v>3611</v>
      </c>
      <c r="K374" s="378" t="s">
        <v>155</v>
      </c>
      <c r="L374" s="63" t="s">
        <v>1458</v>
      </c>
      <c r="M374" s="64" t="s">
        <v>4452</v>
      </c>
      <c r="N374" s="64" t="s">
        <v>5347</v>
      </c>
      <c r="O374" s="64" t="s">
        <v>6244</v>
      </c>
      <c r="P374" s="61" t="s">
        <v>154</v>
      </c>
      <c r="Q374" s="67" t="s">
        <v>2552</v>
      </c>
      <c r="R374" s="61" t="s">
        <v>2500</v>
      </c>
      <c r="S374" s="61" t="s">
        <v>2459</v>
      </c>
      <c r="T374" s="134" t="str">
        <f>IF(R374="Bogs Ponds Streams","20",IF(R374="Coastal Areas","26",IF(R374="Meadows Dry Open","10",IF(R374="Forest &amp; Understory","14",IF(R374="Moist Open","12",IF(R374="Moist Shady","10",IF(R374="Sub-Alpine Slopes","0")))))))</f>
        <v>10</v>
      </c>
      <c r="U374" s="134" t="str">
        <f>IF(R374="Bogs Ponds Streams","52",IF(R374="Coastal Areas","51",IF(R374="Meadows Dry Open","53",IF(R374="Forest &amp; Understory","52",IF(R374="Moist Open","50",IF(R374="Moist Shady","46",IF(R374="Sub-Alpine Slopes","40")))))))</f>
        <v>53</v>
      </c>
      <c r="V374" s="134" t="str">
        <f>IF(R374="Bogs Ponds Streams","84",IF(R374="Coastal Areas","76",IF(R374="Meadows Dry Open","96", IF(R374="Forest &amp; Understory","90", IF(R374="Moist Open","88", IF(R374="Moist Shady","82", IF(R374="Sub-Alpine Slopes","80")))))))</f>
        <v>96</v>
      </c>
      <c r="W374" s="67">
        <v>1</v>
      </c>
      <c r="X374" s="67">
        <v>0</v>
      </c>
      <c r="Y374" s="67">
        <v>3500</v>
      </c>
      <c r="Z374" s="67" t="s">
        <v>2519</v>
      </c>
      <c r="AA374" s="67" t="s">
        <v>2518</v>
      </c>
      <c r="AB374" s="67">
        <v>6.8</v>
      </c>
      <c r="AC374" s="85">
        <f>C374+AK374+(0.1)*AL374</f>
        <v>2.2999999999999998</v>
      </c>
      <c r="AD374" s="78">
        <v>15</v>
      </c>
      <c r="AE374" s="68">
        <v>3</v>
      </c>
      <c r="AF374" s="68">
        <v>5</v>
      </c>
      <c r="AG374" s="78">
        <v>1880</v>
      </c>
      <c r="AH374" s="78">
        <v>0</v>
      </c>
      <c r="AI374" s="78">
        <v>2017</v>
      </c>
      <c r="AJ374" s="69">
        <v>2004</v>
      </c>
      <c r="AK374" s="69">
        <v>1</v>
      </c>
      <c r="AL374" s="69">
        <v>3</v>
      </c>
      <c r="AM374" s="70">
        <v>5</v>
      </c>
      <c r="AN374" s="70">
        <v>0</v>
      </c>
      <c r="AO374" s="86">
        <v>0</v>
      </c>
      <c r="AP374" s="70">
        <v>0</v>
      </c>
      <c r="AQ374" s="70">
        <v>0</v>
      </c>
      <c r="AR374" s="70">
        <v>0</v>
      </c>
      <c r="AS374" s="86">
        <v>0</v>
      </c>
      <c r="AT374" s="70">
        <v>0</v>
      </c>
      <c r="AU374" s="70">
        <v>0</v>
      </c>
      <c r="AV374" s="70">
        <v>0</v>
      </c>
      <c r="AW374" s="86">
        <v>0</v>
      </c>
      <c r="AX374" s="70">
        <v>0</v>
      </c>
      <c r="AY374" s="233"/>
      <c r="AZ374" s="4"/>
      <c r="BA374" s="35">
        <f ca="1">IF(OR(S374="North America",S374="Rocky Mountain"), "Widespread",BC374)</f>
        <v>2032.1292225787286</v>
      </c>
      <c r="BB374" s="4"/>
      <c r="BC374" s="35">
        <f ca="1">IF(BE374&gt;2046, "Abundant",BE374)</f>
        <v>2032.1292225787286</v>
      </c>
      <c r="BD374" s="4"/>
      <c r="BE374" s="81">
        <f ca="1">YEAR($C$13)+(BG374*80)</f>
        <v>2032.1292225787286</v>
      </c>
      <c r="BF374" s="4"/>
      <c r="BG374" s="137">
        <f ca="1">BH374*$BH$14</f>
        <v>0.16411528223410576</v>
      </c>
      <c r="BH374" s="137">
        <f ca="1">(((BJ374+BK374+BM374+BN374)/4)*$BM$11)+(((BP374+BQ374)/2)*$BQ$11)+(((BU374+BV374+BW374)/3)*$BU$11)+(((BY374+BZ374+CA374+CB374+CC374)/5)*$CA$11)</f>
        <v>0.16411528223410576</v>
      </c>
      <c r="BI374" s="4"/>
      <c r="BJ374" s="33">
        <f>AP374/(AM374+AO374)</f>
        <v>0</v>
      </c>
      <c r="BK374" s="33">
        <f>(AN374+AO374)/(AM374+AO374)</f>
        <v>0</v>
      </c>
      <c r="BL374" s="4"/>
      <c r="BM374" s="127">
        <f>CF374/102</f>
        <v>2.2549019607843137E-2</v>
      </c>
      <c r="BN374" s="127">
        <f>C374/2</f>
        <v>0.5</v>
      </c>
      <c r="BO374" s="4"/>
      <c r="BP374" s="127">
        <f>(AK374)/($AW$6)</f>
        <v>1.0101010101010102E-2</v>
      </c>
      <c r="BQ374" s="127">
        <f ca="1">(CH374-$AW$4)/((YEAR($C$13))-$AW$4)</f>
        <v>0</v>
      </c>
      <c r="BR374" s="127">
        <f>(AL374)/($AW$6)</f>
        <v>3.0303030303030304E-2</v>
      </c>
      <c r="BS374" s="4"/>
      <c r="BT374" s="127"/>
      <c r="BU374" s="127">
        <f ca="1">(CG374-$AW$4)/((YEAR($C$13))-$AW$4)</f>
        <v>0.8666666666666667</v>
      </c>
      <c r="BV374" s="127">
        <f>AE374/5</f>
        <v>0.6</v>
      </c>
      <c r="BW374" s="127">
        <f>AF374/5</f>
        <v>1</v>
      </c>
      <c r="BX374" s="4"/>
      <c r="BY374" s="148" t="str">
        <f>IF(E374="A",".98",IF(E374="B",".99",IF(E374="C","1.00",IF(E374="D","1.00" ))))</f>
        <v>.98</v>
      </c>
      <c r="BZ374" s="127">
        <f>(CE374+7)/10</f>
        <v>0.8</v>
      </c>
      <c r="CA374" s="76" t="str">
        <f>IF(D374="Fern",".97",IF(D374="Grass",".99",IF(D374="Herb",".97",IF(D374="Shrub",".99",IF(D374="Tree","1.00",IF(D374="Vine",".98"))))))</f>
        <v>.97</v>
      </c>
      <c r="CB374" s="149" t="str">
        <f>IF(R374="Bogs Ponds Streams",".96", IF(R374="Coastal Areas",".97",IF(R374="Meadows Dry Open",".96",IF(R374="Forest &amp; Understory",".97",IF(R374="Moist Open",".98",IF(R374="Moist Shady",".96",IF(R374="Sub-Alpine","1.0")))))))</f>
        <v>.96</v>
      </c>
      <c r="CC374" s="76" t="str">
        <f>IF(S374="Local Endemic",".50",IF(S374="Regional Endemic",".70",IF(S374="Cascadia",".90",IF(S374="Rocky Mountain",".95",IF(S374="North America",".99")))))</f>
        <v>.90</v>
      </c>
      <c r="CD374" s="4"/>
      <c r="CE374" s="21">
        <f>IF(W374&gt;3,3,W374)</f>
        <v>1</v>
      </c>
      <c r="CF374" s="21">
        <f>IF(AC374&gt;102,102,AC374)</f>
        <v>2.2999999999999998</v>
      </c>
      <c r="CG374" s="34">
        <f>IF(AI374&lt;$AW$4,$AW$4,AI374)</f>
        <v>2017</v>
      </c>
      <c r="CH374" s="34">
        <f>IF(AJ374&lt;$AW$4,$AW$4,AJ374)</f>
        <v>2004</v>
      </c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12"/>
    </row>
    <row r="375" spans="1:116" s="13" customFormat="1" ht="15" customHeight="1" x14ac:dyDescent="0.3">
      <c r="A375" s="235"/>
      <c r="B375" s="218"/>
      <c r="C375" s="226">
        <v>2</v>
      </c>
      <c r="D375" s="104" t="s">
        <v>2505</v>
      </c>
      <c r="E375" s="104" t="s">
        <v>2502</v>
      </c>
      <c r="F375" s="400" t="str">
        <f ca="1">IF(BC375&lt;2025, "Extinct&lt; 6Yrs?",BA375)</f>
        <v>Abundant</v>
      </c>
      <c r="G375" s="369" t="s">
        <v>525</v>
      </c>
      <c r="H375" s="369" t="s">
        <v>4028</v>
      </c>
      <c r="I375" s="370" t="s">
        <v>3186</v>
      </c>
      <c r="J375" s="371" t="s">
        <v>977</v>
      </c>
      <c r="K375" s="371" t="s">
        <v>3187</v>
      </c>
      <c r="L375" s="106" t="s">
        <v>2403</v>
      </c>
      <c r="M375" s="111" t="s">
        <v>4453</v>
      </c>
      <c r="N375" s="111" t="s">
        <v>5348</v>
      </c>
      <c r="O375" s="111" t="s">
        <v>6245</v>
      </c>
      <c r="P375" s="105" t="s">
        <v>558</v>
      </c>
      <c r="Q375" s="104" t="s">
        <v>2552</v>
      </c>
      <c r="R375" s="105" t="s">
        <v>2453</v>
      </c>
      <c r="S375" s="105" t="s">
        <v>2459</v>
      </c>
      <c r="T375" s="133" t="str">
        <f>IF(R375="Bogs Ponds Streams","20",IF(R375="Coastal Areas","26",IF(R375="Meadows Dry Open","10",IF(R375="Forest &amp; Understory","14",IF(R375="Moist Open","12",IF(R375="Moist Shady","10",IF(R375="Sub-Alpine Slopes","0")))))))</f>
        <v>26</v>
      </c>
      <c r="U375" s="133" t="str">
        <f>IF(R375="Bogs Ponds Streams","52",IF(R375="Coastal Areas","51",IF(R375="Meadows Dry Open","53",IF(R375="Forest &amp; Understory","52",IF(R375="Moist Open","50",IF(R375="Moist Shady","46",IF(R375="Sub-Alpine Slopes","40")))))))</f>
        <v>51</v>
      </c>
      <c r="V375" s="133" t="str">
        <f>IF(R375="Bogs Ponds Streams","84",IF(R375="Coastal Areas","76",IF(R375="Meadows Dry Open","96", IF(R375="Forest &amp; Understory","90", IF(R375="Moist Open","88", IF(R375="Moist Shady","82", IF(R375="Sub-Alpine Slopes","80")))))))</f>
        <v>76</v>
      </c>
      <c r="W375" s="104">
        <v>1</v>
      </c>
      <c r="X375" s="104">
        <v>0</v>
      </c>
      <c r="Y375" s="104">
        <v>3500</v>
      </c>
      <c r="Z375" s="104" t="s">
        <v>2519</v>
      </c>
      <c r="AA375" s="104" t="s">
        <v>2518</v>
      </c>
      <c r="AB375" s="104">
        <v>6.8</v>
      </c>
      <c r="AC375" s="107">
        <f>C375+AK375+(0.1)*AL375</f>
        <v>13</v>
      </c>
      <c r="AD375" s="113">
        <v>6</v>
      </c>
      <c r="AE375" s="104">
        <v>5</v>
      </c>
      <c r="AF375" s="104">
        <v>5</v>
      </c>
      <c r="AG375" s="104">
        <v>1900</v>
      </c>
      <c r="AH375" s="113">
        <v>0</v>
      </c>
      <c r="AI375" s="104">
        <f>AJ375</f>
        <v>2004</v>
      </c>
      <c r="AJ375" s="108">
        <v>2004</v>
      </c>
      <c r="AK375" s="108">
        <v>11</v>
      </c>
      <c r="AL375" s="108">
        <v>0</v>
      </c>
      <c r="AM375" s="108">
        <v>1</v>
      </c>
      <c r="AN375" s="108">
        <v>1</v>
      </c>
      <c r="AO375" s="110">
        <v>0</v>
      </c>
      <c r="AP375" s="109">
        <v>0</v>
      </c>
      <c r="AQ375" s="108">
        <v>0</v>
      </c>
      <c r="AR375" s="108">
        <v>0</v>
      </c>
      <c r="AS375" s="108">
        <v>0</v>
      </c>
      <c r="AT375" s="108">
        <v>0</v>
      </c>
      <c r="AU375" s="108">
        <v>0</v>
      </c>
      <c r="AV375" s="108">
        <v>0</v>
      </c>
      <c r="AW375" s="108">
        <v>0</v>
      </c>
      <c r="AX375" s="108">
        <v>0</v>
      </c>
      <c r="AY375" s="233"/>
      <c r="AZ375" s="4"/>
      <c r="BA375" s="35" t="str">
        <f ca="1">IF(OR(S375="North America",S375="Rocky Mountain"), "Widespread",BC375)</f>
        <v>Abundant</v>
      </c>
      <c r="BB375" s="4"/>
      <c r="BC375" s="35" t="str">
        <f ca="1">IF(BE375&gt;2046, "Abundant",BE375)</f>
        <v>Abundant</v>
      </c>
      <c r="BD375" s="4"/>
      <c r="BE375" s="81">
        <f ca="1">YEAR($C$13)+(BG375*80)</f>
        <v>2051.6078117647057</v>
      </c>
      <c r="BF375" s="4"/>
      <c r="BG375" s="137">
        <f ca="1">BH375*$BH$14</f>
        <v>0.40759764705882351</v>
      </c>
      <c r="BH375" s="137">
        <f ca="1">(((BJ375+BK375+BM375+BN375)/4)*$BM$11)+(((BP375+BQ375)/2)*$BQ$11)+(((BU375+BV375+BW375)/3)*$BU$11)+(((BY375+BZ375+CA375+CB375+CC375)/5)*$CA$11)</f>
        <v>0.40759764705882351</v>
      </c>
      <c r="BI375" s="4"/>
      <c r="BJ375" s="33">
        <f>AP375/(AM375+AO375)</f>
        <v>0</v>
      </c>
      <c r="BK375" s="33">
        <f>(AN375+AO375)/(AM375+AO375)</f>
        <v>1</v>
      </c>
      <c r="BL375" s="4"/>
      <c r="BM375" s="127">
        <f>CF375/102</f>
        <v>0.12745098039215685</v>
      </c>
      <c r="BN375" s="127">
        <f>C375/2</f>
        <v>1</v>
      </c>
      <c r="BO375" s="4"/>
      <c r="BP375" s="127">
        <f>(AK375)/($AW$6)</f>
        <v>0.1111111111111111</v>
      </c>
      <c r="BQ375" s="127">
        <f ca="1">(CH375-$AW$4)/((YEAR($C$13))-$AW$4)</f>
        <v>0</v>
      </c>
      <c r="BR375" s="127">
        <f>(AL375)/($AW$6)</f>
        <v>0</v>
      </c>
      <c r="BS375" s="4"/>
      <c r="BT375" s="127"/>
      <c r="BU375" s="127">
        <f ca="1">(CG375-$AW$4)/((YEAR($C$13))-$AW$4)</f>
        <v>0</v>
      </c>
      <c r="BV375" s="127">
        <f>AE375/5</f>
        <v>1</v>
      </c>
      <c r="BW375" s="127">
        <f>AF375/5</f>
        <v>1</v>
      </c>
      <c r="BX375" s="4"/>
      <c r="BY375" s="148" t="str">
        <f>IF(E375="A",".98",IF(E375="B",".99",IF(E375="C","1.00",IF(E375="D","1.00" ))))</f>
        <v>.98</v>
      </c>
      <c r="BZ375" s="127">
        <f>(CE375+7)/10</f>
        <v>0.8</v>
      </c>
      <c r="CA375" s="76" t="str">
        <f>IF(D375="Fern",".97",IF(D375="Grass",".99",IF(D375="Herb",".97",IF(D375="Shrub",".99",IF(D375="Tree","1.00",IF(D375="Vine",".98"))))))</f>
        <v>.97</v>
      </c>
      <c r="CB375" s="149" t="str">
        <f>IF(R375="Bogs Ponds Streams",".96", IF(R375="Coastal Areas",".97",IF(R375="Meadows Dry Open",".96",IF(R375="Forest &amp; Understory",".97",IF(R375="Moist Open",".98",IF(R375="Moist Shady",".96",IF(R375="Sub-Alpine","1.0")))))))</f>
        <v>.97</v>
      </c>
      <c r="CC375" s="76" t="str">
        <f>IF(S375="Local Endemic",".50",IF(S375="Regional Endemic",".70",IF(S375="Cascadia",".90",IF(S375="Rocky Mountain",".95",IF(S375="North America",".99")))))</f>
        <v>.90</v>
      </c>
      <c r="CD375" s="4"/>
      <c r="CE375" s="21">
        <f>IF(W375&gt;3,3,W375)</f>
        <v>1</v>
      </c>
      <c r="CF375" s="21">
        <f>IF(AC375&gt;102,102,AC375)</f>
        <v>13</v>
      </c>
      <c r="CG375" s="34">
        <f>IF(AI375&lt;$AW$4,$AW$4,AI375)</f>
        <v>2004</v>
      </c>
      <c r="CH375" s="34">
        <f>IF(AJ375&lt;$AW$4,$AW$4,AJ375)</f>
        <v>2004</v>
      </c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</row>
    <row r="376" spans="1:116" s="13" customFormat="1" ht="15" customHeight="1" x14ac:dyDescent="0.3">
      <c r="A376" s="235"/>
      <c r="B376" s="218"/>
      <c r="C376" s="225">
        <v>8</v>
      </c>
      <c r="D376" s="94" t="s">
        <v>1155</v>
      </c>
      <c r="E376" s="59" t="s">
        <v>2501</v>
      </c>
      <c r="F376" s="397" t="str">
        <f ca="1">IF(BC376&lt;2025, "Extinct&lt; 6Yrs?",BA376)</f>
        <v>Widespread</v>
      </c>
      <c r="G376" s="363" t="s">
        <v>525</v>
      </c>
      <c r="H376" s="363" t="s">
        <v>686</v>
      </c>
      <c r="I376" s="364" t="s">
        <v>2648</v>
      </c>
      <c r="J376" s="365" t="s">
        <v>3359</v>
      </c>
      <c r="K376" s="365" t="s">
        <v>2773</v>
      </c>
      <c r="L376" s="17" t="s">
        <v>1459</v>
      </c>
      <c r="M376" s="8" t="s">
        <v>4454</v>
      </c>
      <c r="N376" s="8" t="s">
        <v>5349</v>
      </c>
      <c r="O376" s="8" t="s">
        <v>6246</v>
      </c>
      <c r="P376" s="398" t="s">
        <v>468</v>
      </c>
      <c r="Q376" s="59" t="s">
        <v>2552</v>
      </c>
      <c r="R376" s="9" t="s">
        <v>2499</v>
      </c>
      <c r="S376" s="9" t="s">
        <v>2495</v>
      </c>
      <c r="T376" s="123" t="str">
        <f>IF(R376="Bogs Ponds Streams","20",IF(R376="Coastal Areas","26",IF(R376="Meadows Dry Open","10",IF(R376="Forest &amp; Understory","14",IF(R376="Moist Open","12",IF(R376="Moist Shady","10",IF(R376="Sub-Alpine Slopes","0")))))))</f>
        <v>20</v>
      </c>
      <c r="U376" s="123" t="str">
        <f>IF(R376="Bogs Ponds Streams","52",IF(R376="Coastal Areas","51",IF(R376="Meadows Dry Open","53",IF(R376="Forest &amp; Understory","52",IF(R376="Moist Open","50",IF(R376="Moist Shady","46",IF(R376="Sub-Alpine Slopes","40")))))))</f>
        <v>52</v>
      </c>
      <c r="V376" s="123" t="str">
        <f>IF(R376="Bogs Ponds Streams","84",IF(R376="Coastal Areas","76",IF(R376="Meadows Dry Open","96", IF(R376="Forest &amp; Understory","90", IF(R376="Moist Open","88", IF(R376="Moist Shady","82", IF(R376="Sub-Alpine Slopes","80")))))))</f>
        <v>84</v>
      </c>
      <c r="W376" s="59">
        <v>20</v>
      </c>
      <c r="X376" s="59">
        <v>0</v>
      </c>
      <c r="Y376" s="59">
        <v>3500</v>
      </c>
      <c r="Z376" s="59" t="s">
        <v>2519</v>
      </c>
      <c r="AA376" s="59" t="s">
        <v>2518</v>
      </c>
      <c r="AB376" s="59">
        <v>6.8</v>
      </c>
      <c r="AC376" s="45">
        <f>C376+AK376+(0.1)*AL376</f>
        <v>23.2</v>
      </c>
      <c r="AD376" s="77">
        <v>117</v>
      </c>
      <c r="AE376" s="59">
        <v>5</v>
      </c>
      <c r="AF376" s="59">
        <v>5</v>
      </c>
      <c r="AG376" s="59">
        <v>1900</v>
      </c>
      <c r="AH376" s="77">
        <v>0</v>
      </c>
      <c r="AI376" s="59">
        <f>AJ376</f>
        <v>2004</v>
      </c>
      <c r="AJ376" s="18">
        <v>2004</v>
      </c>
      <c r="AK376" s="18">
        <v>14</v>
      </c>
      <c r="AL376" s="18">
        <v>12</v>
      </c>
      <c r="AM376" s="18">
        <v>1</v>
      </c>
      <c r="AN376" s="18">
        <v>1</v>
      </c>
      <c r="AO376" s="25">
        <v>0</v>
      </c>
      <c r="AP376" s="24">
        <v>0</v>
      </c>
      <c r="AQ376" s="18">
        <v>0</v>
      </c>
      <c r="AR376" s="18">
        <v>0</v>
      </c>
      <c r="AS376" s="18">
        <v>0</v>
      </c>
      <c r="AT376" s="18">
        <v>0</v>
      </c>
      <c r="AU376" s="18">
        <v>0</v>
      </c>
      <c r="AV376" s="18">
        <v>0</v>
      </c>
      <c r="AW376" s="18">
        <v>0</v>
      </c>
      <c r="AX376" s="18">
        <v>0</v>
      </c>
      <c r="AY376" s="233"/>
      <c r="AZ376" s="4"/>
      <c r="BA376" s="35" t="str">
        <f>IF(OR(S376="North America",S376="Rocky Mountain"), "Widespread",BC376)</f>
        <v>Widespread</v>
      </c>
      <c r="BB376" s="4"/>
      <c r="BC376" s="35" t="str">
        <f ca="1">IF(BE376&gt;2046, "Abundant",BE376)</f>
        <v>Abundant</v>
      </c>
      <c r="BD376" s="4"/>
      <c r="BE376" s="81">
        <f ca="1">YEAR($C$13)+(BG376*80)</f>
        <v>2089.2738481283423</v>
      </c>
      <c r="BF376" s="4"/>
      <c r="BG376" s="137">
        <f ca="1">BH376*$BH$14</f>
        <v>0.87842310160427806</v>
      </c>
      <c r="BH376" s="137">
        <f ca="1">(((BJ376+BK376+BM376+BN376)/4)*$BM$11)+(((BP376+BQ376)/2)*$BQ$11)+(((BU376+BV376+BW376)/3)*$BU$11)+(((BY376+BZ376+CA376+CB376+CC376)/5)*$CA$11)</f>
        <v>0.87842310160427806</v>
      </c>
      <c r="BI376" s="4"/>
      <c r="BJ376" s="33">
        <f>AP376/(AM376+AO376)</f>
        <v>0</v>
      </c>
      <c r="BK376" s="33">
        <f>(AN376+AO376)/(AM376+AO376)</f>
        <v>1</v>
      </c>
      <c r="BL376" s="4"/>
      <c r="BM376" s="127">
        <f>CF376/102</f>
        <v>0.22745098039215686</v>
      </c>
      <c r="BN376" s="127">
        <f>C376/2</f>
        <v>4</v>
      </c>
      <c r="BO376" s="4"/>
      <c r="BP376" s="127">
        <f>(AK376)/($AW$6)</f>
        <v>0.14141414141414141</v>
      </c>
      <c r="BQ376" s="127">
        <f ca="1">(CH376-$AW$4)/((YEAR($C$13))-$AW$4)</f>
        <v>0</v>
      </c>
      <c r="BR376" s="127">
        <f>(AL376)/($AW$6)</f>
        <v>0.12121212121212122</v>
      </c>
      <c r="BS376" s="4"/>
      <c r="BT376" s="127"/>
      <c r="BU376" s="127">
        <f ca="1">(CG376-$AW$4)/((YEAR($C$13))-$AW$4)</f>
        <v>0</v>
      </c>
      <c r="BV376" s="127">
        <f>AE376/5</f>
        <v>1</v>
      </c>
      <c r="BW376" s="127">
        <f>AF376/5</f>
        <v>1</v>
      </c>
      <c r="BX376" s="4"/>
      <c r="BY376" s="148" t="str">
        <f>IF(E376="A",".98",IF(E376="B",".99",IF(E376="C","1.00",IF(E376="D","1.00" ))))</f>
        <v>1.00</v>
      </c>
      <c r="BZ376" s="127">
        <f>(CE376+7)/10</f>
        <v>1</v>
      </c>
      <c r="CA376" s="76" t="str">
        <f>IF(D376="Fern",".97",IF(D376="Grass",".99",IF(D376="Herb",".97",IF(D376="Shrub",".99",IF(D376="Tree","1.00",IF(D376="Vine",".98"))))))</f>
        <v>.99</v>
      </c>
      <c r="CB376" s="149" t="str">
        <f>IF(R376="Bogs Ponds Streams",".96", IF(R376="Coastal Areas",".97",IF(R376="Meadows Dry Open",".96",IF(R376="Forest &amp; Understory",".97",IF(R376="Moist Open",".98",IF(R376="Moist Shady",".96",IF(R376="Sub-Alpine","1.0")))))))</f>
        <v>.96</v>
      </c>
      <c r="CC376" s="76" t="str">
        <f>IF(S376="Local Endemic",".50",IF(S376="Regional Endemic",".70",IF(S376="Cascadia",".90",IF(S376="Rocky Mountain",".95",IF(S376="North America",".99")))))</f>
        <v>.99</v>
      </c>
      <c r="CD376" s="4"/>
      <c r="CE376" s="21">
        <f>IF(W376&gt;3,3,W376)</f>
        <v>3</v>
      </c>
      <c r="CF376" s="21">
        <f>IF(AC376&gt;102,102,AC376)</f>
        <v>23.2</v>
      </c>
      <c r="CG376" s="34">
        <f>IF(AI376&lt;$AW$4,$AW$4,AI376)</f>
        <v>2004</v>
      </c>
      <c r="CH376" s="34">
        <f>IF(AJ376&lt;$AW$4,$AW$4,AJ376)</f>
        <v>2004</v>
      </c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</row>
    <row r="377" spans="1:116" s="13" customFormat="1" ht="15" customHeight="1" x14ac:dyDescent="0.3">
      <c r="A377" s="235"/>
      <c r="B377" s="218"/>
      <c r="C377" s="226">
        <v>2</v>
      </c>
      <c r="D377" s="119" t="s">
        <v>1155</v>
      </c>
      <c r="E377" s="104" t="s">
        <v>2501</v>
      </c>
      <c r="F377" s="400" t="str">
        <f ca="1">IF(BC377&lt;2025, "Extinct&lt; 6Yrs?",BA377)</f>
        <v>Widespread</v>
      </c>
      <c r="G377" s="369" t="s">
        <v>525</v>
      </c>
      <c r="H377" s="369" t="s">
        <v>4028</v>
      </c>
      <c r="I377" s="370" t="s">
        <v>224</v>
      </c>
      <c r="J377" s="371" t="s">
        <v>3773</v>
      </c>
      <c r="K377" s="371" t="s">
        <v>978</v>
      </c>
      <c r="L377" s="106" t="s">
        <v>1460</v>
      </c>
      <c r="M377" s="111" t="s">
        <v>4455</v>
      </c>
      <c r="N377" s="111" t="s">
        <v>5350</v>
      </c>
      <c r="O377" s="111" t="s">
        <v>6247</v>
      </c>
      <c r="P377" s="105" t="s">
        <v>468</v>
      </c>
      <c r="Q377" s="104" t="s">
        <v>2552</v>
      </c>
      <c r="R377" s="105" t="s">
        <v>2499</v>
      </c>
      <c r="S377" s="105" t="s">
        <v>2495</v>
      </c>
      <c r="T377" s="133" t="str">
        <f>IF(R377="Bogs Ponds Streams","20",IF(R377="Coastal Areas","26",IF(R377="Meadows Dry Open","10",IF(R377="Forest &amp; Understory","14",IF(R377="Moist Open","12",IF(R377="Moist Shady","10",IF(R377="Sub-Alpine Slopes","0")))))))</f>
        <v>20</v>
      </c>
      <c r="U377" s="133" t="str">
        <f>IF(R377="Bogs Ponds Streams","52",IF(R377="Coastal Areas","51",IF(R377="Meadows Dry Open","53",IF(R377="Forest &amp; Understory","52",IF(R377="Moist Open","50",IF(R377="Moist Shady","46",IF(R377="Sub-Alpine Slopes","40")))))))</f>
        <v>52</v>
      </c>
      <c r="V377" s="133" t="str">
        <f>IF(R377="Bogs Ponds Streams","84",IF(R377="Coastal Areas","76",IF(R377="Meadows Dry Open","96", IF(R377="Forest &amp; Understory","90", IF(R377="Moist Open","88", IF(R377="Moist Shady","82", IF(R377="Sub-Alpine Slopes","80")))))))</f>
        <v>84</v>
      </c>
      <c r="W377" s="104">
        <v>20</v>
      </c>
      <c r="X377" s="104">
        <v>0</v>
      </c>
      <c r="Y377" s="104">
        <v>3500</v>
      </c>
      <c r="Z377" s="104" t="s">
        <v>2519</v>
      </c>
      <c r="AA377" s="104" t="s">
        <v>2518</v>
      </c>
      <c r="AB377" s="104">
        <v>6.8</v>
      </c>
      <c r="AC377" s="107">
        <f>C377+AK377+(0.1)*AL377</f>
        <v>9.1999999999999993</v>
      </c>
      <c r="AD377" s="113">
        <v>60</v>
      </c>
      <c r="AE377" s="104">
        <v>5</v>
      </c>
      <c r="AF377" s="104">
        <v>5</v>
      </c>
      <c r="AG377" s="104">
        <v>1900</v>
      </c>
      <c r="AH377" s="113">
        <v>0</v>
      </c>
      <c r="AI377" s="104">
        <f>AJ377</f>
        <v>2004</v>
      </c>
      <c r="AJ377" s="108">
        <v>2004</v>
      </c>
      <c r="AK377" s="108">
        <v>6</v>
      </c>
      <c r="AL377" s="108">
        <v>12</v>
      </c>
      <c r="AM377" s="109">
        <v>5</v>
      </c>
      <c r="AN377" s="109">
        <v>1</v>
      </c>
      <c r="AO377" s="110">
        <v>0</v>
      </c>
      <c r="AP377" s="109">
        <v>0</v>
      </c>
      <c r="AQ377" s="109">
        <v>0</v>
      </c>
      <c r="AR377" s="109">
        <v>0</v>
      </c>
      <c r="AS377" s="110">
        <v>0</v>
      </c>
      <c r="AT377" s="109">
        <v>0</v>
      </c>
      <c r="AU377" s="109">
        <v>0</v>
      </c>
      <c r="AV377" s="109">
        <v>0</v>
      </c>
      <c r="AW377" s="110">
        <v>0</v>
      </c>
      <c r="AX377" s="109">
        <v>0</v>
      </c>
      <c r="AY377" s="233"/>
      <c r="AZ377" s="4"/>
      <c r="BA377" s="35" t="str">
        <f>IF(OR(S377="North America",S377="Rocky Mountain"), "Widespread",BC377)</f>
        <v>Widespread</v>
      </c>
      <c r="BB377" s="4"/>
      <c r="BC377" s="35">
        <f ca="1">IF(BE377&gt;2046, "Abundant",BE377)</f>
        <v>2041.0570923351158</v>
      </c>
      <c r="BD377" s="4"/>
      <c r="BE377" s="81">
        <f ca="1">YEAR($C$13)+(BG377*80)</f>
        <v>2041.0570923351158</v>
      </c>
      <c r="BF377" s="4"/>
      <c r="BG377" s="137">
        <f ca="1">BH377*$BH$14</f>
        <v>0.27571365418894833</v>
      </c>
      <c r="BH377" s="137">
        <f ca="1">(((BJ377+BK377+BM377+BN377)/4)*$BM$11)+(((BP377+BQ377)/2)*$BQ$11)+(((BU377+BV377+BW377)/3)*$BU$11)+(((BY377+BZ377+CA377+CB377+CC377)/5)*$CA$11)</f>
        <v>0.27571365418894833</v>
      </c>
      <c r="BI377" s="4"/>
      <c r="BJ377" s="33">
        <f>AP377/(AM377+AO377)</f>
        <v>0</v>
      </c>
      <c r="BK377" s="33">
        <f>(AN377+AO377)/(AM377+AO377)</f>
        <v>0.2</v>
      </c>
      <c r="BL377" s="4"/>
      <c r="BM377" s="127">
        <f>CF377/102</f>
        <v>9.0196078431372548E-2</v>
      </c>
      <c r="BN377" s="127">
        <f>C377/2</f>
        <v>1</v>
      </c>
      <c r="BO377" s="4"/>
      <c r="BP377" s="127">
        <f>(AK377)/($AW$6)</f>
        <v>6.0606060606060608E-2</v>
      </c>
      <c r="BQ377" s="127">
        <f ca="1">(CH377-$AW$4)/((YEAR($C$13))-$AW$4)</f>
        <v>0</v>
      </c>
      <c r="BR377" s="127">
        <f>(AL377)/($AW$6)</f>
        <v>0.12121212121212122</v>
      </c>
      <c r="BS377" s="4"/>
      <c r="BT377" s="127"/>
      <c r="BU377" s="127">
        <f ca="1">(CG377-$AW$4)/((YEAR($C$13))-$AW$4)</f>
        <v>0</v>
      </c>
      <c r="BV377" s="127">
        <f>AE377/5</f>
        <v>1</v>
      </c>
      <c r="BW377" s="127">
        <f>AF377/5</f>
        <v>1</v>
      </c>
      <c r="BX377" s="4"/>
      <c r="BY377" s="148" t="str">
        <f>IF(E377="A",".98",IF(E377="B",".99",IF(E377="C","1.00",IF(E377="D","1.00" ))))</f>
        <v>1.00</v>
      </c>
      <c r="BZ377" s="127">
        <f>(CE377+7)/10</f>
        <v>1</v>
      </c>
      <c r="CA377" s="76" t="str">
        <f>IF(D377="Fern",".97",IF(D377="Grass",".99",IF(D377="Herb",".97",IF(D377="Shrub",".99",IF(D377="Tree","1.00",IF(D377="Vine",".98"))))))</f>
        <v>.99</v>
      </c>
      <c r="CB377" s="149" t="str">
        <f>IF(R377="Bogs Ponds Streams",".96", IF(R377="Coastal Areas",".97",IF(R377="Meadows Dry Open",".96",IF(R377="Forest &amp; Understory",".97",IF(R377="Moist Open",".98",IF(R377="Moist Shady",".96",IF(R377="Sub-Alpine","1.0")))))))</f>
        <v>.96</v>
      </c>
      <c r="CC377" s="76" t="str">
        <f>IF(S377="Local Endemic",".50",IF(S377="Regional Endemic",".70",IF(S377="Cascadia",".90",IF(S377="Rocky Mountain",".95",IF(S377="North America",".99")))))</f>
        <v>.99</v>
      </c>
      <c r="CD377" s="4"/>
      <c r="CE377" s="21">
        <f>IF(W377&gt;3,3,W377)</f>
        <v>3</v>
      </c>
      <c r="CF377" s="21">
        <f>IF(AC377&gt;102,102,AC377)</f>
        <v>9.1999999999999993</v>
      </c>
      <c r="CG377" s="34">
        <f>IF(AI377&lt;$AW$4,$AW$4,AI377)</f>
        <v>2004</v>
      </c>
      <c r="CH377" s="34">
        <f>IF(AJ377&lt;$AW$4,$AW$4,AJ377)</f>
        <v>2004</v>
      </c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</row>
    <row r="378" spans="1:116" s="13" customFormat="1" ht="15" customHeight="1" x14ac:dyDescent="0.3">
      <c r="A378" s="235"/>
      <c r="B378" s="218"/>
      <c r="C378" s="225">
        <v>8</v>
      </c>
      <c r="D378" s="94" t="s">
        <v>1155</v>
      </c>
      <c r="E378" s="59" t="s">
        <v>2501</v>
      </c>
      <c r="F378" s="397" t="str">
        <f ca="1">IF(BC378&lt;2025, "Extinct&lt; 6Yrs?",BA378)</f>
        <v>Widespread</v>
      </c>
      <c r="G378" s="363" t="s">
        <v>525</v>
      </c>
      <c r="H378" s="363" t="s">
        <v>681</v>
      </c>
      <c r="I378" s="366" t="s">
        <v>225</v>
      </c>
      <c r="J378" s="365" t="s">
        <v>3358</v>
      </c>
      <c r="K378" s="365" t="s">
        <v>327</v>
      </c>
      <c r="L378" s="10" t="s">
        <v>1461</v>
      </c>
      <c r="M378" s="8" t="s">
        <v>4454</v>
      </c>
      <c r="N378" s="8" t="s">
        <v>5351</v>
      </c>
      <c r="O378" s="8" t="s">
        <v>6248</v>
      </c>
      <c r="P378" s="9" t="s">
        <v>468</v>
      </c>
      <c r="Q378" s="59" t="s">
        <v>2552</v>
      </c>
      <c r="R378" s="9" t="s">
        <v>2498</v>
      </c>
      <c r="S378" s="9" t="s">
        <v>2495</v>
      </c>
      <c r="T378" s="123" t="str">
        <f>IF(R378="Bogs Ponds Streams","20",IF(R378="Coastal Areas","26",IF(R378="Meadows Dry Open","10",IF(R378="Forest &amp; Understory","14",IF(R378="Moist Open","12",IF(R378="Moist Shady","10",IF(R378="Sub-Alpine Slopes","0")))))))</f>
        <v>10</v>
      </c>
      <c r="U378" s="123" t="str">
        <f>IF(R378="Bogs Ponds Streams","52",IF(R378="Coastal Areas","51",IF(R378="Meadows Dry Open","53",IF(R378="Forest &amp; Understory","52",IF(R378="Moist Open","50",IF(R378="Moist Shady","46",IF(R378="Sub-Alpine Slopes","40")))))))</f>
        <v>46</v>
      </c>
      <c r="V378" s="123" t="str">
        <f>IF(R378="Bogs Ponds Streams","84",IF(R378="Coastal Areas","76",IF(R378="Meadows Dry Open","96", IF(R378="Forest &amp; Understory","90", IF(R378="Moist Open","88", IF(R378="Moist Shady","82", IF(R378="Sub-Alpine Slopes","80")))))))</f>
        <v>82</v>
      </c>
      <c r="W378" s="59">
        <v>20</v>
      </c>
      <c r="X378" s="59">
        <v>0</v>
      </c>
      <c r="Y378" s="59">
        <v>3500</v>
      </c>
      <c r="Z378" s="59" t="s">
        <v>2519</v>
      </c>
      <c r="AA378" s="59" t="s">
        <v>2518</v>
      </c>
      <c r="AB378" s="59">
        <v>6.8</v>
      </c>
      <c r="AC378" s="45">
        <f>C378+AK378+(0.1)*AL378</f>
        <v>11.2</v>
      </c>
      <c r="AD378" s="77">
        <v>82</v>
      </c>
      <c r="AE378" s="59">
        <v>5</v>
      </c>
      <c r="AF378" s="59">
        <v>5</v>
      </c>
      <c r="AG378" s="59">
        <v>1900</v>
      </c>
      <c r="AH378" s="77">
        <v>0</v>
      </c>
      <c r="AI378" s="59">
        <f ca="1">AJ378</f>
        <v>2019</v>
      </c>
      <c r="AJ378" s="18">
        <f ca="1">YEAR(TODAY())</f>
        <v>2019</v>
      </c>
      <c r="AK378" s="18">
        <v>2</v>
      </c>
      <c r="AL378" s="18">
        <v>12</v>
      </c>
      <c r="AM378" s="18">
        <v>1</v>
      </c>
      <c r="AN378" s="18">
        <v>1</v>
      </c>
      <c r="AO378" s="18">
        <v>5</v>
      </c>
      <c r="AP378" s="18">
        <v>1</v>
      </c>
      <c r="AQ378" s="18">
        <v>0</v>
      </c>
      <c r="AR378" s="18">
        <v>0</v>
      </c>
      <c r="AS378" s="18">
        <v>0</v>
      </c>
      <c r="AT378" s="18">
        <v>0</v>
      </c>
      <c r="AU378" s="18">
        <v>0</v>
      </c>
      <c r="AV378" s="18">
        <v>0</v>
      </c>
      <c r="AW378" s="18">
        <v>0</v>
      </c>
      <c r="AX378" s="18">
        <v>0</v>
      </c>
      <c r="AY378" s="233"/>
      <c r="AZ378" s="4"/>
      <c r="BA378" s="35" t="str">
        <f>IF(OR(S378="North America",S378="Rocky Mountain"), "Widespread",BC378)</f>
        <v>Widespread</v>
      </c>
      <c r="BB378" s="4"/>
      <c r="BC378" s="35" t="str">
        <f ca="1">IF(BE378&gt;2046, "Abundant",BE378)</f>
        <v>Abundant</v>
      </c>
      <c r="BD378" s="4"/>
      <c r="BE378" s="81">
        <f ca="1">YEAR($C$13)+(BG378*80)</f>
        <v>2102.5408713012475</v>
      </c>
      <c r="BF378" s="4"/>
      <c r="BG378" s="137">
        <f ca="1">BH378*$BH$14</f>
        <v>1.0442608912655971</v>
      </c>
      <c r="BH378" s="137">
        <f ca="1">(((BJ378+BK378+BM378+BN378)/4)*$BM$11)+(((BP378+BQ378)/2)*$BQ$11)+(((BU378+BV378+BW378)/3)*$BU$11)+(((BY378+BZ378+CA378+CB378+CC378)/5)*$CA$11)</f>
        <v>1.0442608912655971</v>
      </c>
      <c r="BI378" s="4"/>
      <c r="BJ378" s="33">
        <f>AP378/(AM378+AO378)</f>
        <v>0.16666666666666666</v>
      </c>
      <c r="BK378" s="33">
        <f>(AN378+AO378)/(AM378+AO378)</f>
        <v>1</v>
      </c>
      <c r="BL378" s="4"/>
      <c r="BM378" s="127">
        <f>CF378/102</f>
        <v>0.10980392156862745</v>
      </c>
      <c r="BN378" s="127">
        <f>C378/2</f>
        <v>4</v>
      </c>
      <c r="BO378" s="4"/>
      <c r="BP378" s="127">
        <f>(AK378)/($AW$6)</f>
        <v>2.0202020202020204E-2</v>
      </c>
      <c r="BQ378" s="127">
        <f ca="1">(CH378-$AW$4)/((YEAR($C$13))-$AW$4)</f>
        <v>1</v>
      </c>
      <c r="BR378" s="127">
        <f>(AL378)/($AW$6)</f>
        <v>0.12121212121212122</v>
      </c>
      <c r="BS378" s="4"/>
      <c r="BT378" s="127"/>
      <c r="BU378" s="127">
        <f ca="1">(CG378-$AW$4)/((YEAR($C$13))-$AW$4)</f>
        <v>1</v>
      </c>
      <c r="BV378" s="127">
        <f>AE378/5</f>
        <v>1</v>
      </c>
      <c r="BW378" s="127">
        <f>AF378/5</f>
        <v>1</v>
      </c>
      <c r="BX378" s="4"/>
      <c r="BY378" s="148" t="str">
        <f>IF(E378="A",".98",IF(E378="B",".99",IF(E378="C","1.00",IF(E378="D","1.00" ))))</f>
        <v>1.00</v>
      </c>
      <c r="BZ378" s="127">
        <f>(CE378+7)/10</f>
        <v>1</v>
      </c>
      <c r="CA378" s="76" t="str">
        <f>IF(D378="Fern",".97",IF(D378="Grass",".99",IF(D378="Herb",".97",IF(D378="Shrub",".99",IF(D378="Tree","1.00",IF(D378="Vine",".98"))))))</f>
        <v>.99</v>
      </c>
      <c r="CB378" s="149" t="str">
        <f>IF(R378="Bogs Ponds Streams",".96", IF(R378="Coastal Areas",".97",IF(R378="Meadows Dry Open",".96",IF(R378="Forest &amp; Understory",".97",IF(R378="Moist Open",".98",IF(R378="Moist Shady",".96",IF(R378="Sub-Alpine","1.0")))))))</f>
        <v>.96</v>
      </c>
      <c r="CC378" s="76" t="str">
        <f>IF(S378="Local Endemic",".50",IF(S378="Regional Endemic",".70",IF(S378="Cascadia",".90",IF(S378="Rocky Mountain",".95",IF(S378="North America",".99")))))</f>
        <v>.99</v>
      </c>
      <c r="CD378" s="4"/>
      <c r="CE378" s="21">
        <f>IF(W378&gt;3,3,W378)</f>
        <v>3</v>
      </c>
      <c r="CF378" s="21">
        <f>IF(AC378&gt;102,102,AC378)</f>
        <v>11.2</v>
      </c>
      <c r="CG378" s="34">
        <f ca="1">IF(AI378&lt;$AW$4,$AW$4,AI378)</f>
        <v>2019</v>
      </c>
      <c r="CH378" s="34">
        <f ca="1">IF(AJ378&lt;$AW$4,$AW$4,AJ378)</f>
        <v>2019</v>
      </c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</row>
    <row r="379" spans="1:116" s="13" customFormat="1" ht="15" customHeight="1" x14ac:dyDescent="0.3">
      <c r="A379" s="235"/>
      <c r="B379" s="218"/>
      <c r="C379" s="225">
        <v>8</v>
      </c>
      <c r="D379" s="59" t="s">
        <v>2505</v>
      </c>
      <c r="E379" s="59" t="s">
        <v>2501</v>
      </c>
      <c r="F379" s="397" t="str">
        <f ca="1">IF(BC379&lt;2025, "Extinct&lt; 6Yrs?",BA379)</f>
        <v>Widespread</v>
      </c>
      <c r="G379" s="363" t="s">
        <v>525</v>
      </c>
      <c r="H379" s="363" t="s">
        <v>681</v>
      </c>
      <c r="I379" s="366" t="s">
        <v>462</v>
      </c>
      <c r="J379" s="365" t="s">
        <v>3360</v>
      </c>
      <c r="K379" s="365" t="s">
        <v>461</v>
      </c>
      <c r="L379" s="10" t="s">
        <v>1462</v>
      </c>
      <c r="M379" s="8" t="s">
        <v>4456</v>
      </c>
      <c r="N379" s="8" t="s">
        <v>5352</v>
      </c>
      <c r="O379" s="8" t="s">
        <v>6249</v>
      </c>
      <c r="P379" s="9" t="s">
        <v>458</v>
      </c>
      <c r="Q379" s="59" t="s">
        <v>2552</v>
      </c>
      <c r="R379" s="9" t="s">
        <v>2500</v>
      </c>
      <c r="S379" s="9" t="s">
        <v>2495</v>
      </c>
      <c r="T379" s="123" t="str">
        <f>IF(R379="Bogs Ponds Streams","20",IF(R379="Coastal Areas","26",IF(R379="Meadows Dry Open","10",IF(R379="Forest &amp; Understory","14",IF(R379="Moist Open","12",IF(R379="Moist Shady","10",IF(R379="Sub-Alpine Slopes","0")))))))</f>
        <v>10</v>
      </c>
      <c r="U379" s="123" t="str">
        <f>IF(R379="Bogs Ponds Streams","52",IF(R379="Coastal Areas","51",IF(R379="Meadows Dry Open","53",IF(R379="Forest &amp; Understory","52",IF(R379="Moist Open","50",IF(R379="Moist Shady","46",IF(R379="Sub-Alpine Slopes","40")))))))</f>
        <v>53</v>
      </c>
      <c r="V379" s="123" t="str">
        <f>IF(R379="Bogs Ponds Streams","84",IF(R379="Coastal Areas","76",IF(R379="Meadows Dry Open","96", IF(R379="Forest &amp; Understory","90", IF(R379="Moist Open","88", IF(R379="Moist Shady","82", IF(R379="Sub-Alpine Slopes","80")))))))</f>
        <v>96</v>
      </c>
      <c r="W379" s="59">
        <v>20</v>
      </c>
      <c r="X379" s="59">
        <v>0</v>
      </c>
      <c r="Y379" s="59">
        <v>3500</v>
      </c>
      <c r="Z379" s="59" t="s">
        <v>2519</v>
      </c>
      <c r="AA379" s="59" t="s">
        <v>2518</v>
      </c>
      <c r="AB379" s="59">
        <v>6.8</v>
      </c>
      <c r="AC379" s="45">
        <f>C379+AK379+(0.1)*AL379</f>
        <v>22.2</v>
      </c>
      <c r="AD379" s="77">
        <v>86</v>
      </c>
      <c r="AE379" s="59">
        <v>5</v>
      </c>
      <c r="AF379" s="59">
        <v>5</v>
      </c>
      <c r="AG379" s="59">
        <v>1900</v>
      </c>
      <c r="AH379" s="77">
        <v>0</v>
      </c>
      <c r="AI379" s="59">
        <f ca="1">AJ379</f>
        <v>2019</v>
      </c>
      <c r="AJ379" s="18">
        <f ca="1">YEAR(TODAY())</f>
        <v>2019</v>
      </c>
      <c r="AK379" s="18">
        <v>12</v>
      </c>
      <c r="AL379" s="18">
        <v>22</v>
      </c>
      <c r="AM379" s="18">
        <v>1</v>
      </c>
      <c r="AN379" s="18">
        <v>1</v>
      </c>
      <c r="AO379" s="18">
        <v>5</v>
      </c>
      <c r="AP379" s="18">
        <v>1</v>
      </c>
      <c r="AQ379" s="18">
        <v>0</v>
      </c>
      <c r="AR379" s="18">
        <v>0</v>
      </c>
      <c r="AS379" s="18">
        <v>0</v>
      </c>
      <c r="AT379" s="18">
        <v>0</v>
      </c>
      <c r="AU379" s="18">
        <v>0</v>
      </c>
      <c r="AV379" s="18">
        <v>0</v>
      </c>
      <c r="AW379" s="18">
        <v>0</v>
      </c>
      <c r="AX379" s="18">
        <v>0</v>
      </c>
      <c r="AY379" s="233"/>
      <c r="AZ379" s="4"/>
      <c r="BA379" s="35" t="str">
        <f>IF(OR(S379="North America",S379="Rocky Mountain"), "Widespread",BC379)</f>
        <v>Widespread</v>
      </c>
      <c r="BB379" s="4"/>
      <c r="BC379" s="35" t="str">
        <f ca="1">IF(BE379&gt;2046, "Abundant",BE379)</f>
        <v>Abundant</v>
      </c>
      <c r="BD379" s="4"/>
      <c r="BE379" s="81">
        <f ca="1">YEAR($C$13)+(BG379*80)</f>
        <v>2105.0407101604278</v>
      </c>
      <c r="BF379" s="4"/>
      <c r="BG379" s="137">
        <f ca="1">BH379*$BH$14</f>
        <v>1.0755088770053476</v>
      </c>
      <c r="BH379" s="137">
        <f ca="1">(((BJ379+BK379+BM379+BN379)/4)*$BM$11)+(((BP379+BQ379)/2)*$BQ$11)+(((BU379+BV379+BW379)/3)*$BU$11)+(((BY379+BZ379+CA379+CB379+CC379)/5)*$CA$11)</f>
        <v>1.0755088770053476</v>
      </c>
      <c r="BI379" s="4"/>
      <c r="BJ379" s="33">
        <f>AP379/(AM379+AO379)</f>
        <v>0.16666666666666666</v>
      </c>
      <c r="BK379" s="33">
        <f>(AN379+AO379)/(AM379+AO379)</f>
        <v>1</v>
      </c>
      <c r="BL379" s="4"/>
      <c r="BM379" s="127">
        <f>CF379/102</f>
        <v>0.21764705882352942</v>
      </c>
      <c r="BN379" s="127">
        <f>C379/2</f>
        <v>4</v>
      </c>
      <c r="BO379" s="4"/>
      <c r="BP379" s="127">
        <f>(AK379)/($AW$6)</f>
        <v>0.12121212121212122</v>
      </c>
      <c r="BQ379" s="127">
        <f ca="1">(CH379-$AW$4)/((YEAR($C$13))-$AW$4)</f>
        <v>1</v>
      </c>
      <c r="BR379" s="127">
        <f>(AL379)/($AW$6)</f>
        <v>0.22222222222222221</v>
      </c>
      <c r="BS379" s="4"/>
      <c r="BT379" s="127"/>
      <c r="BU379" s="127">
        <f ca="1">(CG379-$AW$4)/((YEAR($C$13))-$AW$4)</f>
        <v>1</v>
      </c>
      <c r="BV379" s="127">
        <f>AE379/5</f>
        <v>1</v>
      </c>
      <c r="BW379" s="127">
        <f>AF379/5</f>
        <v>1</v>
      </c>
      <c r="BX379" s="4"/>
      <c r="BY379" s="148" t="str">
        <f>IF(E379="A",".98",IF(E379="B",".99",IF(E379="C","1.00",IF(E379="D","1.00" ))))</f>
        <v>1.00</v>
      </c>
      <c r="BZ379" s="127">
        <f>(CE379+7)/10</f>
        <v>1</v>
      </c>
      <c r="CA379" s="76" t="str">
        <f>IF(D379="Fern",".97",IF(D379="Grass",".99",IF(D379="Herb",".97",IF(D379="Shrub",".99",IF(D379="Tree","1.00",IF(D379="Vine",".98"))))))</f>
        <v>.97</v>
      </c>
      <c r="CB379" s="149" t="str">
        <f>IF(R379="Bogs Ponds Streams",".96", IF(R379="Coastal Areas",".97",IF(R379="Meadows Dry Open",".96",IF(R379="Forest &amp; Understory",".97",IF(R379="Moist Open",".98",IF(R379="Moist Shady",".96",IF(R379="Sub-Alpine","1.0")))))))</f>
        <v>.96</v>
      </c>
      <c r="CC379" s="76" t="str">
        <f>IF(S379="Local Endemic",".50",IF(S379="Regional Endemic",".70",IF(S379="Cascadia",".90",IF(S379="Rocky Mountain",".95",IF(S379="North America",".99")))))</f>
        <v>.99</v>
      </c>
      <c r="CD379" s="4"/>
      <c r="CE379" s="21">
        <f>IF(W379&gt;3,3,W379)</f>
        <v>3</v>
      </c>
      <c r="CF379" s="21">
        <f>IF(AC379&gt;102,102,AC379)</f>
        <v>22.2</v>
      </c>
      <c r="CG379" s="34">
        <f ca="1">IF(AI379&lt;$AW$4,$AW$4,AI379)</f>
        <v>2019</v>
      </c>
      <c r="CH379" s="34">
        <f ca="1">IF(AJ379&lt;$AW$4,$AW$4,AJ379)</f>
        <v>2019</v>
      </c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</row>
    <row r="380" spans="1:116" s="13" customFormat="1" ht="15" customHeight="1" x14ac:dyDescent="0.3">
      <c r="A380" s="235"/>
      <c r="B380" s="218"/>
      <c r="C380" s="375">
        <v>1</v>
      </c>
      <c r="D380" s="67" t="s">
        <v>2505</v>
      </c>
      <c r="E380" s="67" t="s">
        <v>2502</v>
      </c>
      <c r="F380" s="403">
        <f ca="1">IF(BC380&lt;2025, "Extinct&lt; 6Yrs?",BA380)</f>
        <v>2031.8620092691622</v>
      </c>
      <c r="G380" s="376" t="s">
        <v>525</v>
      </c>
      <c r="H380" s="376" t="s">
        <v>4028</v>
      </c>
      <c r="I380" s="380" t="s">
        <v>375</v>
      </c>
      <c r="J380" s="378" t="s">
        <v>3610</v>
      </c>
      <c r="K380" s="378" t="s">
        <v>374</v>
      </c>
      <c r="L380" s="63" t="s">
        <v>1463</v>
      </c>
      <c r="M380" s="64" t="s">
        <v>4457</v>
      </c>
      <c r="N380" s="64" t="s">
        <v>5353</v>
      </c>
      <c r="O380" s="64" t="s">
        <v>6250</v>
      </c>
      <c r="P380" s="61" t="s">
        <v>672</v>
      </c>
      <c r="Q380" s="67" t="s">
        <v>2552</v>
      </c>
      <c r="R380" s="61" t="s">
        <v>2499</v>
      </c>
      <c r="S380" s="61" t="s">
        <v>2459</v>
      </c>
      <c r="T380" s="134" t="str">
        <f>IF(R380="Bogs Ponds Streams","20",IF(R380="Coastal Areas","26",IF(R380="Meadows Dry Open","10",IF(R380="Forest &amp; Understory","14",IF(R380="Moist Open","12",IF(R380="Moist Shady","10",IF(R380="Sub-Alpine Slopes","0")))))))</f>
        <v>20</v>
      </c>
      <c r="U380" s="134" t="str">
        <f>IF(R380="Bogs Ponds Streams","52",IF(R380="Coastal Areas","51",IF(R380="Meadows Dry Open","53",IF(R380="Forest &amp; Understory","52",IF(R380="Moist Open","50",IF(R380="Moist Shady","46",IF(R380="Sub-Alpine Slopes","40")))))))</f>
        <v>52</v>
      </c>
      <c r="V380" s="134" t="str">
        <f>IF(R380="Bogs Ponds Streams","84",IF(R380="Coastal Areas","76",IF(R380="Meadows Dry Open","96", IF(R380="Forest &amp; Understory","90", IF(R380="Moist Open","88", IF(R380="Moist Shady","82", IF(R380="Sub-Alpine Slopes","80")))))))</f>
        <v>84</v>
      </c>
      <c r="W380" s="67">
        <v>1</v>
      </c>
      <c r="X380" s="67">
        <v>0</v>
      </c>
      <c r="Y380" s="67">
        <v>3500</v>
      </c>
      <c r="Z380" s="67" t="s">
        <v>2519</v>
      </c>
      <c r="AA380" s="67" t="s">
        <v>2518</v>
      </c>
      <c r="AB380" s="67">
        <v>6.8</v>
      </c>
      <c r="AC380" s="85">
        <f>C380+AK380+(0.1)*AL380</f>
        <v>5.4</v>
      </c>
      <c r="AD380" s="78">
        <v>29</v>
      </c>
      <c r="AE380" s="67">
        <v>5</v>
      </c>
      <c r="AF380" s="67">
        <v>5</v>
      </c>
      <c r="AG380" s="67">
        <v>1900</v>
      </c>
      <c r="AH380" s="78">
        <v>0</v>
      </c>
      <c r="AI380" s="67">
        <f>AJ380</f>
        <v>2004</v>
      </c>
      <c r="AJ380" s="69">
        <v>2004</v>
      </c>
      <c r="AK380" s="69">
        <v>4</v>
      </c>
      <c r="AL380" s="69">
        <v>4</v>
      </c>
      <c r="AM380" s="70">
        <v>5</v>
      </c>
      <c r="AN380" s="70">
        <v>0</v>
      </c>
      <c r="AO380" s="86">
        <v>0</v>
      </c>
      <c r="AP380" s="70">
        <v>0</v>
      </c>
      <c r="AQ380" s="70">
        <v>0</v>
      </c>
      <c r="AR380" s="70">
        <v>0</v>
      </c>
      <c r="AS380" s="86">
        <v>0</v>
      </c>
      <c r="AT380" s="70">
        <v>0</v>
      </c>
      <c r="AU380" s="70">
        <v>0</v>
      </c>
      <c r="AV380" s="70">
        <v>0</v>
      </c>
      <c r="AW380" s="86">
        <v>0</v>
      </c>
      <c r="AX380" s="70">
        <v>0</v>
      </c>
      <c r="AY380" s="233"/>
      <c r="AZ380" s="4"/>
      <c r="BA380" s="35">
        <f ca="1">IF(OR(S380="North America",S380="Rocky Mountain"), "Widespread",BC380)</f>
        <v>2031.8620092691622</v>
      </c>
      <c r="BB380" s="4"/>
      <c r="BC380" s="35">
        <f ca="1">IF(BE380&gt;2046, "Abundant",BE380)</f>
        <v>2031.8620092691622</v>
      </c>
      <c r="BD380" s="4"/>
      <c r="BE380" s="81">
        <f ca="1">YEAR($C$13)+(BG380*80)</f>
        <v>2031.8620092691622</v>
      </c>
      <c r="BF380" s="4"/>
      <c r="BG380" s="137">
        <f ca="1">BH380*$BH$14</f>
        <v>0.16077511586452764</v>
      </c>
      <c r="BH380" s="137">
        <f ca="1">(((BJ380+BK380+BM380+BN380)/4)*$BM$11)+(((BP380+BQ380)/2)*$BQ$11)+(((BU380+BV380+BW380)/3)*$BU$11)+(((BY380+BZ380+CA380+CB380+CC380)/5)*$CA$11)</f>
        <v>0.16077511586452764</v>
      </c>
      <c r="BI380" s="4"/>
      <c r="BJ380" s="33">
        <f>AP380/(AM380+AO380)</f>
        <v>0</v>
      </c>
      <c r="BK380" s="33">
        <f>(AN380+AO380)/(AM380+AO380)</f>
        <v>0</v>
      </c>
      <c r="BL380" s="4"/>
      <c r="BM380" s="127">
        <f>CF380/102</f>
        <v>5.2941176470588241E-2</v>
      </c>
      <c r="BN380" s="127">
        <f>C380/2</f>
        <v>0.5</v>
      </c>
      <c r="BO380" s="4"/>
      <c r="BP380" s="127">
        <f>(AK380)/($AW$6)</f>
        <v>4.0404040404040407E-2</v>
      </c>
      <c r="BQ380" s="127">
        <f ca="1">(CH380-$AW$4)/((YEAR($C$13))-$AW$4)</f>
        <v>0</v>
      </c>
      <c r="BR380" s="127">
        <f>(AL380)/($AW$6)</f>
        <v>4.0404040404040407E-2</v>
      </c>
      <c r="BS380" s="4"/>
      <c r="BT380" s="127"/>
      <c r="BU380" s="127">
        <f ca="1">(CG380-$AW$4)/((YEAR($C$13))-$AW$4)</f>
        <v>0</v>
      </c>
      <c r="BV380" s="127">
        <f>AE380/5</f>
        <v>1</v>
      </c>
      <c r="BW380" s="127">
        <f>AF380/5</f>
        <v>1</v>
      </c>
      <c r="BX380" s="4"/>
      <c r="BY380" s="148" t="str">
        <f>IF(E380="A",".98",IF(E380="B",".99",IF(E380="C","1.00",IF(E380="D","1.00" ))))</f>
        <v>.98</v>
      </c>
      <c r="BZ380" s="127">
        <f>(CE380+7)/10</f>
        <v>0.8</v>
      </c>
      <c r="CA380" s="76" t="str">
        <f>IF(D380="Fern",".97",IF(D380="Grass",".99",IF(D380="Herb",".97",IF(D380="Shrub",".99",IF(D380="Tree","1.00",IF(D380="Vine",".98"))))))</f>
        <v>.97</v>
      </c>
      <c r="CB380" s="149" t="str">
        <f>IF(R380="Bogs Ponds Streams",".96", IF(R380="Coastal Areas",".97",IF(R380="Meadows Dry Open",".96",IF(R380="Forest &amp; Understory",".97",IF(R380="Moist Open",".98",IF(R380="Moist Shady",".96",IF(R380="Sub-Alpine","1.0")))))))</f>
        <v>.96</v>
      </c>
      <c r="CC380" s="76" t="str">
        <f>IF(S380="Local Endemic",".50",IF(S380="Regional Endemic",".70",IF(S380="Cascadia",".90",IF(S380="Rocky Mountain",".95",IF(S380="North America",".99")))))</f>
        <v>.90</v>
      </c>
      <c r="CD380" s="4"/>
      <c r="CE380" s="21">
        <f>IF(W380&gt;3,3,W380)</f>
        <v>1</v>
      </c>
      <c r="CF380" s="21">
        <f>IF(AC380&gt;102,102,AC380)</f>
        <v>5.4</v>
      </c>
      <c r="CG380" s="34">
        <f>IF(AI380&lt;$AW$4,$AW$4,AI380)</f>
        <v>2004</v>
      </c>
      <c r="CH380" s="34">
        <f>IF(AJ380&lt;$AW$4,$AW$4,AJ380)</f>
        <v>2004</v>
      </c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12"/>
    </row>
    <row r="381" spans="1:116" s="13" customFormat="1" ht="15" customHeight="1" x14ac:dyDescent="0.3">
      <c r="A381" s="235"/>
      <c r="B381" s="218"/>
      <c r="C381" s="375">
        <v>1</v>
      </c>
      <c r="D381" s="67" t="s">
        <v>2505</v>
      </c>
      <c r="E381" s="67" t="s">
        <v>2502</v>
      </c>
      <c r="F381" s="403" t="str">
        <f ca="1">IF(BC381&lt;2025, "Extinct&lt; 6Yrs?",BA381)</f>
        <v>Widespread</v>
      </c>
      <c r="G381" s="376" t="s">
        <v>525</v>
      </c>
      <c r="H381" s="376" t="s">
        <v>4028</v>
      </c>
      <c r="I381" s="380" t="s">
        <v>3153</v>
      </c>
      <c r="J381" s="378" t="s">
        <v>3609</v>
      </c>
      <c r="K381" s="378" t="s">
        <v>979</v>
      </c>
      <c r="L381" s="63" t="s">
        <v>1464</v>
      </c>
      <c r="M381" s="64" t="s">
        <v>4458</v>
      </c>
      <c r="N381" s="64" t="s">
        <v>5354</v>
      </c>
      <c r="O381" s="64" t="s">
        <v>6251</v>
      </c>
      <c r="P381" s="61" t="s">
        <v>672</v>
      </c>
      <c r="Q381" s="67" t="s">
        <v>2552</v>
      </c>
      <c r="R381" s="61" t="s">
        <v>2499</v>
      </c>
      <c r="S381" s="61" t="s">
        <v>2495</v>
      </c>
      <c r="T381" s="134" t="str">
        <f>IF(R381="Bogs Ponds Streams","20",IF(R381="Coastal Areas","26",IF(R381="Meadows Dry Open","10",IF(R381="Forest &amp; Understory","14",IF(R381="Moist Open","12",IF(R381="Moist Shady","10",IF(R381="Sub-Alpine Slopes","0")))))))</f>
        <v>20</v>
      </c>
      <c r="U381" s="134" t="str">
        <f>IF(R381="Bogs Ponds Streams","52",IF(R381="Coastal Areas","51",IF(R381="Meadows Dry Open","53",IF(R381="Forest &amp; Understory","52",IF(R381="Moist Open","50",IF(R381="Moist Shady","46",IF(R381="Sub-Alpine Slopes","40")))))))</f>
        <v>52</v>
      </c>
      <c r="V381" s="134" t="str">
        <f>IF(R381="Bogs Ponds Streams","84",IF(R381="Coastal Areas","76",IF(R381="Meadows Dry Open","96", IF(R381="Forest &amp; Understory","90", IF(R381="Moist Open","88", IF(R381="Moist Shady","82", IF(R381="Sub-Alpine Slopes","80")))))))</f>
        <v>84</v>
      </c>
      <c r="W381" s="67">
        <v>1</v>
      </c>
      <c r="X381" s="67">
        <v>0</v>
      </c>
      <c r="Y381" s="67">
        <v>3500</v>
      </c>
      <c r="Z381" s="67" t="s">
        <v>2519</v>
      </c>
      <c r="AA381" s="67" t="s">
        <v>2518</v>
      </c>
      <c r="AB381" s="67">
        <v>6.8</v>
      </c>
      <c r="AC381" s="85">
        <f>C381+AK381+(0.1)*AL381</f>
        <v>7.2</v>
      </c>
      <c r="AD381" s="78">
        <v>44</v>
      </c>
      <c r="AE381" s="67">
        <v>5</v>
      </c>
      <c r="AF381" s="67">
        <v>5</v>
      </c>
      <c r="AG381" s="67">
        <v>1900</v>
      </c>
      <c r="AH381" s="78">
        <v>0</v>
      </c>
      <c r="AI381" s="67">
        <f>AJ381</f>
        <v>2004</v>
      </c>
      <c r="AJ381" s="69">
        <v>2004</v>
      </c>
      <c r="AK381" s="69">
        <v>4</v>
      </c>
      <c r="AL381" s="69">
        <v>22</v>
      </c>
      <c r="AM381" s="70">
        <v>5</v>
      </c>
      <c r="AN381" s="70">
        <v>0</v>
      </c>
      <c r="AO381" s="86">
        <v>0</v>
      </c>
      <c r="AP381" s="70">
        <v>0</v>
      </c>
      <c r="AQ381" s="70">
        <v>0</v>
      </c>
      <c r="AR381" s="70">
        <v>0</v>
      </c>
      <c r="AS381" s="86">
        <v>0</v>
      </c>
      <c r="AT381" s="70">
        <v>0</v>
      </c>
      <c r="AU381" s="70">
        <v>0</v>
      </c>
      <c r="AV381" s="70">
        <v>0</v>
      </c>
      <c r="AW381" s="86">
        <v>0</v>
      </c>
      <c r="AX381" s="70">
        <v>0</v>
      </c>
      <c r="AY381" s="233"/>
      <c r="AZ381" s="4"/>
      <c r="BA381" s="35" t="str">
        <f>IF(OR(S381="North America",S381="Rocky Mountain"), "Widespread",BC381)</f>
        <v>Widespread</v>
      </c>
      <c r="BB381" s="4"/>
      <c r="BC381" s="35">
        <f ca="1">IF(BE381&gt;2046, "Abundant",BE381)</f>
        <v>2032.1025739750446</v>
      </c>
      <c r="BD381" s="4"/>
      <c r="BE381" s="81">
        <f ca="1">YEAR($C$13)+(BG381*80)</f>
        <v>2032.1025739750446</v>
      </c>
      <c r="BF381" s="4"/>
      <c r="BG381" s="137">
        <f ca="1">BH381*$BH$14</f>
        <v>0.16378217468805703</v>
      </c>
      <c r="BH381" s="137">
        <f ca="1">(((BJ381+BK381+BM381+BN381)/4)*$BM$11)+(((BP381+BQ381)/2)*$BQ$11)+(((BU381+BV381+BW381)/3)*$BU$11)+(((BY381+BZ381+CA381+CB381+CC381)/5)*$CA$11)</f>
        <v>0.16378217468805703</v>
      </c>
      <c r="BI381" s="4"/>
      <c r="BJ381" s="33">
        <f>AP381/(AM381+AO381)</f>
        <v>0</v>
      </c>
      <c r="BK381" s="33">
        <f>(AN381+AO381)/(AM381+AO381)</f>
        <v>0</v>
      </c>
      <c r="BL381" s="4"/>
      <c r="BM381" s="127">
        <f>CF381/102</f>
        <v>7.0588235294117646E-2</v>
      </c>
      <c r="BN381" s="127">
        <f>C381/2</f>
        <v>0.5</v>
      </c>
      <c r="BO381" s="4"/>
      <c r="BP381" s="127">
        <f>(AK381)/($AW$6)</f>
        <v>4.0404040404040407E-2</v>
      </c>
      <c r="BQ381" s="127">
        <f ca="1">(CH381-$AW$4)/((YEAR($C$13))-$AW$4)</f>
        <v>0</v>
      </c>
      <c r="BR381" s="127">
        <f>(AL381)/($AW$6)</f>
        <v>0.22222222222222221</v>
      </c>
      <c r="BS381" s="4"/>
      <c r="BT381" s="127"/>
      <c r="BU381" s="127">
        <f ca="1">(CG381-$AW$4)/((YEAR($C$13))-$AW$4)</f>
        <v>0</v>
      </c>
      <c r="BV381" s="127">
        <f>AE381/5</f>
        <v>1</v>
      </c>
      <c r="BW381" s="127">
        <f>AF381/5</f>
        <v>1</v>
      </c>
      <c r="BX381" s="4"/>
      <c r="BY381" s="148" t="str">
        <f>IF(E381="A",".98",IF(E381="B",".99",IF(E381="C","1.00",IF(E381="D","1.00" ))))</f>
        <v>.98</v>
      </c>
      <c r="BZ381" s="127">
        <f>(CE381+7)/10</f>
        <v>0.8</v>
      </c>
      <c r="CA381" s="76" t="str">
        <f>IF(D381="Fern",".97",IF(D381="Grass",".99",IF(D381="Herb",".97",IF(D381="Shrub",".99",IF(D381="Tree","1.00",IF(D381="Vine",".98"))))))</f>
        <v>.97</v>
      </c>
      <c r="CB381" s="149" t="str">
        <f>IF(R381="Bogs Ponds Streams",".96", IF(R381="Coastal Areas",".97",IF(R381="Meadows Dry Open",".96",IF(R381="Forest &amp; Understory",".97",IF(R381="Moist Open",".98",IF(R381="Moist Shady",".96",IF(R381="Sub-Alpine","1.0")))))))</f>
        <v>.96</v>
      </c>
      <c r="CC381" s="76" t="str">
        <f>IF(S381="Local Endemic",".50",IF(S381="Regional Endemic",".70",IF(S381="Cascadia",".90",IF(S381="Rocky Mountain",".95",IF(S381="North America",".99")))))</f>
        <v>.99</v>
      </c>
      <c r="CD381" s="4"/>
      <c r="CE381" s="21">
        <f>IF(W381&gt;3,3,W381)</f>
        <v>1</v>
      </c>
      <c r="CF381" s="21">
        <f>IF(AC381&gt;102,102,AC381)</f>
        <v>7.2</v>
      </c>
      <c r="CG381" s="34">
        <f>IF(AI381&lt;$AW$4,$AW$4,AI381)</f>
        <v>2004</v>
      </c>
      <c r="CH381" s="34">
        <f>IF(AJ381&lt;$AW$4,$AW$4,AJ381)</f>
        <v>2004</v>
      </c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12"/>
    </row>
    <row r="382" spans="1:116" s="13" customFormat="1" ht="15" customHeight="1" x14ac:dyDescent="0.3">
      <c r="A382" s="235"/>
      <c r="B382" s="218"/>
      <c r="C382" s="225">
        <v>8</v>
      </c>
      <c r="D382" s="59" t="s">
        <v>2505</v>
      </c>
      <c r="E382" s="59" t="s">
        <v>2503</v>
      </c>
      <c r="F382" s="397" t="str">
        <f ca="1">IF(BC382&lt;2025, "Extinct&lt; 6Yrs?",BA382)</f>
        <v>Abundant</v>
      </c>
      <c r="G382" s="363" t="s">
        <v>525</v>
      </c>
      <c r="H382" s="363" t="s">
        <v>688</v>
      </c>
      <c r="I382" s="364" t="s">
        <v>2649</v>
      </c>
      <c r="J382" s="365" t="s">
        <v>3361</v>
      </c>
      <c r="K382" s="365" t="s">
        <v>2774</v>
      </c>
      <c r="L382" s="17" t="s">
        <v>1465</v>
      </c>
      <c r="M382" s="8" t="s">
        <v>4459</v>
      </c>
      <c r="N382" s="8" t="s">
        <v>5355</v>
      </c>
      <c r="O382" s="8" t="s">
        <v>6252</v>
      </c>
      <c r="P382" s="398" t="s">
        <v>51</v>
      </c>
      <c r="Q382" s="59" t="s">
        <v>2552</v>
      </c>
      <c r="R382" s="58" t="s">
        <v>2500</v>
      </c>
      <c r="S382" s="9" t="s">
        <v>2459</v>
      </c>
      <c r="T382" s="123" t="str">
        <f>IF(R382="Bogs Ponds Streams","20",IF(R382="Coastal Areas","26",IF(R382="Meadows Dry Open","10",IF(R382="Forest &amp; Understory","14",IF(R382="Moist Open","12",IF(R382="Moist Shady","10",IF(R382="Sub-Alpine Slopes","0")))))))</f>
        <v>10</v>
      </c>
      <c r="U382" s="123" t="str">
        <f>IF(R382="Bogs Ponds Streams","52",IF(R382="Coastal Areas","51",IF(R382="Meadows Dry Open","53",IF(R382="Forest &amp; Understory","52",IF(R382="Moist Open","50",IF(R382="Moist Shady","46",IF(R382="Sub-Alpine Slopes","40")))))))</f>
        <v>53</v>
      </c>
      <c r="V382" s="123" t="str">
        <f>IF(R382="Bogs Ponds Streams","84",IF(R382="Coastal Areas","76",IF(R382="Meadows Dry Open","96", IF(R382="Forest &amp; Understory","90", IF(R382="Moist Open","88", IF(R382="Moist Shady","82", IF(R382="Sub-Alpine Slopes","80")))))))</f>
        <v>96</v>
      </c>
      <c r="W382" s="59">
        <v>2</v>
      </c>
      <c r="X382" s="59">
        <v>0</v>
      </c>
      <c r="Y382" s="59">
        <v>3500</v>
      </c>
      <c r="Z382" s="59" t="s">
        <v>2519</v>
      </c>
      <c r="AA382" s="59" t="s">
        <v>2518</v>
      </c>
      <c r="AB382" s="59">
        <v>6.8</v>
      </c>
      <c r="AC382" s="45">
        <f>C382+AK382+(0.1)*AL382</f>
        <v>32.200000000000003</v>
      </c>
      <c r="AD382" s="77">
        <v>220</v>
      </c>
      <c r="AE382" s="59">
        <v>5</v>
      </c>
      <c r="AF382" s="59">
        <v>5</v>
      </c>
      <c r="AG382" s="59">
        <v>1900</v>
      </c>
      <c r="AH382" s="77">
        <v>0</v>
      </c>
      <c r="AI382" s="59">
        <f ca="1">AJ382</f>
        <v>2019</v>
      </c>
      <c r="AJ382" s="18">
        <f ca="1">YEAR(TODAY())</f>
        <v>2019</v>
      </c>
      <c r="AK382" s="18">
        <v>22</v>
      </c>
      <c r="AL382" s="18">
        <v>22</v>
      </c>
      <c r="AM382" s="18">
        <v>1</v>
      </c>
      <c r="AN382" s="18">
        <v>1</v>
      </c>
      <c r="AO382" s="24">
        <v>1</v>
      </c>
      <c r="AP382" s="24">
        <v>1</v>
      </c>
      <c r="AQ382" s="18">
        <v>0</v>
      </c>
      <c r="AR382" s="18">
        <v>0</v>
      </c>
      <c r="AS382" s="18">
        <v>0</v>
      </c>
      <c r="AT382" s="18">
        <v>0</v>
      </c>
      <c r="AU382" s="18">
        <v>0</v>
      </c>
      <c r="AV382" s="18">
        <v>0</v>
      </c>
      <c r="AW382" s="18">
        <v>0</v>
      </c>
      <c r="AX382" s="18">
        <v>0</v>
      </c>
      <c r="AY382" s="233"/>
      <c r="AZ382" s="4"/>
      <c r="BA382" s="35" t="str">
        <f ca="1">IF(OR(S382="North America",S382="Rocky Mountain"), "Widespread",BC382)</f>
        <v>Abundant</v>
      </c>
      <c r="BB382" s="4"/>
      <c r="BC382" s="35" t="str">
        <f ca="1">IF(BE382&gt;2046, "Abundant",BE382)</f>
        <v>Abundant</v>
      </c>
      <c r="BD382" s="4"/>
      <c r="BE382" s="81">
        <f ca="1">YEAR($C$13)+(BG382*80)</f>
        <v>2111.3653019607841</v>
      </c>
      <c r="BF382" s="4"/>
      <c r="BG382" s="137">
        <f ca="1">BH382*$BH$14</f>
        <v>1.154566274509804</v>
      </c>
      <c r="BH382" s="137">
        <f ca="1">(((BJ382+BK382+BM382+BN382)/4)*$BM$11)+(((BP382+BQ382)/2)*$BQ$11)+(((BU382+BV382+BW382)/3)*$BU$11)+(((BY382+BZ382+CA382+CB382+CC382)/5)*$CA$11)</f>
        <v>1.154566274509804</v>
      </c>
      <c r="BI382" s="4"/>
      <c r="BJ382" s="33">
        <f>AP382/(AM382+AO382)</f>
        <v>0.5</v>
      </c>
      <c r="BK382" s="33">
        <f>(AN382+AO382)/(AM382+AO382)</f>
        <v>1</v>
      </c>
      <c r="BL382" s="4"/>
      <c r="BM382" s="127">
        <f>CF382/102</f>
        <v>0.31568627450980397</v>
      </c>
      <c r="BN382" s="127">
        <f>C382/2</f>
        <v>4</v>
      </c>
      <c r="BO382" s="4"/>
      <c r="BP382" s="127">
        <f>(AK382)/($AW$6)</f>
        <v>0.22222222222222221</v>
      </c>
      <c r="BQ382" s="127">
        <f ca="1">(CH382-$AW$4)/((YEAR($C$13))-$AW$4)</f>
        <v>1</v>
      </c>
      <c r="BR382" s="127">
        <f>(AL382)/($AW$6)</f>
        <v>0.22222222222222221</v>
      </c>
      <c r="BS382" s="4"/>
      <c r="BT382" s="127"/>
      <c r="BU382" s="127">
        <f ca="1">(CG382-$AW$4)/((YEAR($C$13))-$AW$4)</f>
        <v>1</v>
      </c>
      <c r="BV382" s="127">
        <f>AE382/5</f>
        <v>1</v>
      </c>
      <c r="BW382" s="127">
        <f>AF382/5</f>
        <v>1</v>
      </c>
      <c r="BX382" s="4"/>
      <c r="BY382" s="148" t="str">
        <f>IF(E382="A",".98",IF(E382="B",".99",IF(E382="C","1.00",IF(E382="D","1.00" ))))</f>
        <v>.99</v>
      </c>
      <c r="BZ382" s="127">
        <f>(CE382+7)/10</f>
        <v>0.9</v>
      </c>
      <c r="CA382" s="76" t="str">
        <f>IF(D382="Fern",".97",IF(D382="Grass",".99",IF(D382="Herb",".97",IF(D382="Shrub",".99",IF(D382="Tree","1.00",IF(D382="Vine",".98"))))))</f>
        <v>.97</v>
      </c>
      <c r="CB382" s="149" t="str">
        <f>IF(R382="Bogs Ponds Streams",".96", IF(R382="Coastal Areas",".97",IF(R382="Meadows Dry Open",".96",IF(R382="Forest &amp; Understory",".97",IF(R382="Moist Open",".98",IF(R382="Moist Shady",".96",IF(R382="Sub-Alpine","1.0")))))))</f>
        <v>.96</v>
      </c>
      <c r="CC382" s="76" t="str">
        <f>IF(S382="Local Endemic",".50",IF(S382="Regional Endemic",".70",IF(S382="Cascadia",".90",IF(S382="Rocky Mountain",".95",IF(S382="North America",".99")))))</f>
        <v>.90</v>
      </c>
      <c r="CD382" s="4"/>
      <c r="CE382" s="21">
        <f>IF(W382&gt;3,3,W382)</f>
        <v>2</v>
      </c>
      <c r="CF382" s="21">
        <f>IF(AC382&gt;102,102,AC382)</f>
        <v>32.200000000000003</v>
      </c>
      <c r="CG382" s="34">
        <f ca="1">IF(AI382&lt;$AW$4,$AW$4,AI382)</f>
        <v>2019</v>
      </c>
      <c r="CH382" s="34">
        <f ca="1">IF(AJ382&lt;$AW$4,$AW$4,AJ382)</f>
        <v>2019</v>
      </c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</row>
    <row r="383" spans="1:116" s="13" customFormat="1" ht="15" customHeight="1" x14ac:dyDescent="0.3">
      <c r="A383" s="235"/>
      <c r="B383" s="218"/>
      <c r="C383" s="226">
        <v>2</v>
      </c>
      <c r="D383" s="104" t="s">
        <v>2505</v>
      </c>
      <c r="E383" s="104" t="s">
        <v>2501</v>
      </c>
      <c r="F383" s="400" t="str">
        <f ca="1">IF(BC383&lt;2025, "Extinct&lt; 6Yrs?",BA383)</f>
        <v>Abundant</v>
      </c>
      <c r="G383" s="369" t="s">
        <v>525</v>
      </c>
      <c r="H383" s="369" t="s">
        <v>4028</v>
      </c>
      <c r="I383" s="370" t="s">
        <v>90</v>
      </c>
      <c r="J383" s="371" t="s">
        <v>4067</v>
      </c>
      <c r="K383" s="371" t="s">
        <v>980</v>
      </c>
      <c r="L383" s="106" t="s">
        <v>1466</v>
      </c>
      <c r="M383" s="111" t="s">
        <v>4460</v>
      </c>
      <c r="N383" s="111" t="s">
        <v>5356</v>
      </c>
      <c r="O383" s="111" t="s">
        <v>6253</v>
      </c>
      <c r="P383" s="105" t="s">
        <v>51</v>
      </c>
      <c r="Q383" s="104" t="s">
        <v>2552</v>
      </c>
      <c r="R383" s="105" t="s">
        <v>2453</v>
      </c>
      <c r="S383" s="105" t="s">
        <v>2309</v>
      </c>
      <c r="T383" s="133" t="str">
        <f>IF(R383="Bogs Ponds Streams","20",IF(R383="Coastal Areas","26",IF(R383="Meadows Dry Open","10",IF(R383="Forest &amp; Understory","14",IF(R383="Moist Open","12",IF(R383="Moist Shady","10",IF(R383="Sub-Alpine Slopes","0")))))))</f>
        <v>26</v>
      </c>
      <c r="U383" s="133" t="str">
        <f>IF(R383="Bogs Ponds Streams","52",IF(R383="Coastal Areas","51",IF(R383="Meadows Dry Open","53",IF(R383="Forest &amp; Understory","52",IF(R383="Moist Open","50",IF(R383="Moist Shady","46",IF(R383="Sub-Alpine Slopes","40")))))))</f>
        <v>51</v>
      </c>
      <c r="V383" s="133" t="str">
        <f>IF(R383="Bogs Ponds Streams","84",IF(R383="Coastal Areas","76",IF(R383="Meadows Dry Open","96", IF(R383="Forest &amp; Understory","90", IF(R383="Moist Open","88", IF(R383="Moist Shady","82", IF(R383="Sub-Alpine Slopes","80")))))))</f>
        <v>76</v>
      </c>
      <c r="W383" s="104">
        <v>20</v>
      </c>
      <c r="X383" s="104">
        <v>0</v>
      </c>
      <c r="Y383" s="104">
        <v>3500</v>
      </c>
      <c r="Z383" s="104" t="s">
        <v>2519</v>
      </c>
      <c r="AA383" s="104" t="s">
        <v>2518</v>
      </c>
      <c r="AB383" s="104">
        <v>6.8</v>
      </c>
      <c r="AC383" s="107">
        <f>C383+AK383+(0.1)*AL383</f>
        <v>13</v>
      </c>
      <c r="AD383" s="113">
        <v>23</v>
      </c>
      <c r="AE383" s="104">
        <v>5</v>
      </c>
      <c r="AF383" s="104">
        <v>5</v>
      </c>
      <c r="AG383" s="104">
        <v>1900</v>
      </c>
      <c r="AH383" s="113">
        <v>0</v>
      </c>
      <c r="AI383" s="104">
        <f ca="1">AJ383</f>
        <v>2019</v>
      </c>
      <c r="AJ383" s="108">
        <f ca="1">YEAR(TODAY())</f>
        <v>2019</v>
      </c>
      <c r="AK383" s="108">
        <v>11</v>
      </c>
      <c r="AL383" s="108">
        <v>0</v>
      </c>
      <c r="AM383" s="108">
        <v>1</v>
      </c>
      <c r="AN383" s="108">
        <v>1</v>
      </c>
      <c r="AO383" s="108">
        <v>5</v>
      </c>
      <c r="AP383" s="108">
        <v>1</v>
      </c>
      <c r="AQ383" s="108">
        <v>0</v>
      </c>
      <c r="AR383" s="108">
        <v>0</v>
      </c>
      <c r="AS383" s="108">
        <v>0</v>
      </c>
      <c r="AT383" s="108">
        <v>0</v>
      </c>
      <c r="AU383" s="108">
        <v>0</v>
      </c>
      <c r="AV383" s="108">
        <v>0</v>
      </c>
      <c r="AW383" s="108">
        <v>0</v>
      </c>
      <c r="AX383" s="108">
        <v>0</v>
      </c>
      <c r="AY383" s="233"/>
      <c r="AZ383" s="4"/>
      <c r="BA383" s="35" t="str">
        <f ca="1">IF(OR(S383="North America",S383="Rocky Mountain"), "Widespread",BC383)</f>
        <v>Abundant</v>
      </c>
      <c r="BB383" s="4"/>
      <c r="BC383" s="35" t="str">
        <f ca="1">IF(BE383&gt;2046, "Abundant",BE383)</f>
        <v>Abundant</v>
      </c>
      <c r="BD383" s="4"/>
      <c r="BE383" s="81">
        <f ca="1">YEAR($C$13)+(BG383*80)</f>
        <v>2067.7475450980392</v>
      </c>
      <c r="BF383" s="4"/>
      <c r="BG383" s="137">
        <f ca="1">BH383*$BH$14</f>
        <v>0.60934431372549014</v>
      </c>
      <c r="BH383" s="137">
        <f ca="1">(((BJ383+BK383+BM383+BN383)/4)*$BM$11)+(((BP383+BQ383)/2)*$BQ$11)+(((BU383+BV383+BW383)/3)*$BU$11)+(((BY383+BZ383+CA383+CB383+CC383)/5)*$CA$11)</f>
        <v>0.60934431372549014</v>
      </c>
      <c r="BI383" s="4"/>
      <c r="BJ383" s="33">
        <f>AP383/(AM383+AO383)</f>
        <v>0.16666666666666666</v>
      </c>
      <c r="BK383" s="33">
        <f>(AN383+AO383)/(AM383+AO383)</f>
        <v>1</v>
      </c>
      <c r="BL383" s="4"/>
      <c r="BM383" s="127">
        <f>CF383/102</f>
        <v>0.12745098039215685</v>
      </c>
      <c r="BN383" s="127">
        <f>C383/2</f>
        <v>1</v>
      </c>
      <c r="BO383" s="4"/>
      <c r="BP383" s="127">
        <f>(AK383)/($AW$6)</f>
        <v>0.1111111111111111</v>
      </c>
      <c r="BQ383" s="127">
        <f ca="1">(CH383-$AW$4)/((YEAR($C$13))-$AW$4)</f>
        <v>1</v>
      </c>
      <c r="BR383" s="127">
        <f>(AL383)/($AW$6)</f>
        <v>0</v>
      </c>
      <c r="BS383" s="4"/>
      <c r="BT383" s="127"/>
      <c r="BU383" s="127">
        <f ca="1">(CG383-$AW$4)/((YEAR($C$13))-$AW$4)</f>
        <v>1</v>
      </c>
      <c r="BV383" s="127">
        <f>AE383/5</f>
        <v>1</v>
      </c>
      <c r="BW383" s="127">
        <f>AF383/5</f>
        <v>1</v>
      </c>
      <c r="BX383" s="4"/>
      <c r="BY383" s="148" t="str">
        <f>IF(E383="A",".98",IF(E383="B",".99",IF(E383="C","1.00",IF(E383="D","1.00" ))))</f>
        <v>1.00</v>
      </c>
      <c r="BZ383" s="127">
        <f>(CE383+7)/10</f>
        <v>1</v>
      </c>
      <c r="CA383" s="76" t="str">
        <f>IF(D383="Fern",".97",IF(D383="Grass",".99",IF(D383="Herb",".97",IF(D383="Shrub",".99",IF(D383="Tree","1.00",IF(D383="Vine",".98"))))))</f>
        <v>.97</v>
      </c>
      <c r="CB383" s="149" t="str">
        <f>IF(R383="Bogs Ponds Streams",".96", IF(R383="Coastal Areas",".97",IF(R383="Meadows Dry Open",".96",IF(R383="Forest &amp; Understory",".97",IF(R383="Moist Open",".98",IF(R383="Moist Shady",".96",IF(R383="Sub-Alpine","1.0")))))))</f>
        <v>.97</v>
      </c>
      <c r="CC383" s="76" t="str">
        <f>IF(S383="Local Endemic",".50",IF(S383="Regional Endemic",".70",IF(S383="Cascadia",".90",IF(S383="Rocky Mountain",".95",IF(S383="North America",".99")))))</f>
        <v>.70</v>
      </c>
      <c r="CD383" s="4"/>
      <c r="CE383" s="21">
        <f>IF(W383&gt;3,3,W383)</f>
        <v>3</v>
      </c>
      <c r="CF383" s="21">
        <f>IF(AC383&gt;102,102,AC383)</f>
        <v>13</v>
      </c>
      <c r="CG383" s="34">
        <f ca="1">IF(AI383&lt;$AW$4,$AW$4,AI383)</f>
        <v>2019</v>
      </c>
      <c r="CH383" s="34">
        <f ca="1">IF(AJ383&lt;$AW$4,$AW$4,AJ383)</f>
        <v>2019</v>
      </c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</row>
    <row r="384" spans="1:116" s="13" customFormat="1" ht="15" customHeight="1" x14ac:dyDescent="0.3">
      <c r="A384" s="235"/>
      <c r="B384" s="218"/>
      <c r="C384" s="225">
        <v>8</v>
      </c>
      <c r="D384" s="59" t="s">
        <v>1154</v>
      </c>
      <c r="E384" s="59" t="s">
        <v>2501</v>
      </c>
      <c r="F384" s="397" t="str">
        <f ca="1">IF(BC384&lt;2025, "Extinct&lt; 6Yrs?",BA384)</f>
        <v>Widespread</v>
      </c>
      <c r="G384" s="363" t="s">
        <v>525</v>
      </c>
      <c r="H384" s="363" t="s">
        <v>690</v>
      </c>
      <c r="I384" s="366" t="s">
        <v>504</v>
      </c>
      <c r="J384" s="365" t="s">
        <v>3362</v>
      </c>
      <c r="K384" s="365" t="s">
        <v>981</v>
      </c>
      <c r="L384" s="10" t="s">
        <v>1467</v>
      </c>
      <c r="M384" s="8" t="s">
        <v>4461</v>
      </c>
      <c r="N384" s="8" t="s">
        <v>5357</v>
      </c>
      <c r="O384" s="8" t="s">
        <v>6254</v>
      </c>
      <c r="P384" s="9" t="s">
        <v>741</v>
      </c>
      <c r="Q384" s="59" t="s">
        <v>2552</v>
      </c>
      <c r="R384" s="9" t="s">
        <v>2530</v>
      </c>
      <c r="S384" s="9" t="s">
        <v>2495</v>
      </c>
      <c r="T384" s="123" t="str">
        <f>IF(R384="Bogs Ponds Streams","20",IF(R384="Coastal Areas","26",IF(R384="Meadows Dry Open","10",IF(R384="Forest &amp; Understory","14",IF(R384="Moist Open","12",IF(R384="Moist Shady","10",IF(R384="Sub-Alpine Slopes","0")))))))</f>
        <v>14</v>
      </c>
      <c r="U384" s="123" t="str">
        <f>IF(R384="Bogs Ponds Streams","52",IF(R384="Coastal Areas","51",IF(R384="Meadows Dry Open","53",IF(R384="Forest &amp; Understory","52",IF(R384="Moist Open","50",IF(R384="Moist Shady","46",IF(R384="Sub-Alpine Slopes","40")))))))</f>
        <v>52</v>
      </c>
      <c r="V384" s="123" t="str">
        <f>IF(R384="Bogs Ponds Streams","84",IF(R384="Coastal Areas","76",IF(R384="Meadows Dry Open","96", IF(R384="Forest &amp; Understory","90", IF(R384="Moist Open","88", IF(R384="Moist Shady","82", IF(R384="Sub-Alpine Slopes","80")))))))</f>
        <v>90</v>
      </c>
      <c r="W384" s="59">
        <v>20</v>
      </c>
      <c r="X384" s="59">
        <v>0</v>
      </c>
      <c r="Y384" s="59">
        <v>3500</v>
      </c>
      <c r="Z384" s="59" t="s">
        <v>2519</v>
      </c>
      <c r="AA384" s="59" t="s">
        <v>2518</v>
      </c>
      <c r="AB384" s="59">
        <v>6.8</v>
      </c>
      <c r="AC384" s="45">
        <f>C384+AK384+(0.1)*AL384</f>
        <v>20.100000000000001</v>
      </c>
      <c r="AD384" s="77">
        <v>55</v>
      </c>
      <c r="AE384" s="59">
        <v>5</v>
      </c>
      <c r="AF384" s="59">
        <v>5</v>
      </c>
      <c r="AG384" s="59">
        <v>1900</v>
      </c>
      <c r="AH384" s="77">
        <v>0</v>
      </c>
      <c r="AI384" s="59">
        <f ca="1">AJ384</f>
        <v>2019</v>
      </c>
      <c r="AJ384" s="18">
        <f ca="1">YEAR(TODAY())</f>
        <v>2019</v>
      </c>
      <c r="AK384" s="18">
        <v>11</v>
      </c>
      <c r="AL384" s="18">
        <v>11</v>
      </c>
      <c r="AM384" s="18">
        <v>1</v>
      </c>
      <c r="AN384" s="18">
        <v>1</v>
      </c>
      <c r="AO384" s="18">
        <v>5</v>
      </c>
      <c r="AP384" s="18">
        <v>1</v>
      </c>
      <c r="AQ384" s="18">
        <v>0</v>
      </c>
      <c r="AR384" s="18">
        <v>0</v>
      </c>
      <c r="AS384" s="18">
        <v>0</v>
      </c>
      <c r="AT384" s="18">
        <v>0</v>
      </c>
      <c r="AU384" s="18">
        <v>0</v>
      </c>
      <c r="AV384" s="18">
        <v>0</v>
      </c>
      <c r="AW384" s="18">
        <v>0</v>
      </c>
      <c r="AX384" s="18">
        <v>0</v>
      </c>
      <c r="AY384" s="233"/>
      <c r="AZ384" s="4"/>
      <c r="BA384" s="35" t="str">
        <f>IF(OR(S384="North America",S384="Rocky Mountain"), "Widespread",BC384)</f>
        <v>Widespread</v>
      </c>
      <c r="BB384" s="4"/>
      <c r="BC384" s="35" t="str">
        <f ca="1">IF(BE384&gt;2046, "Abundant",BE384)</f>
        <v>Abundant</v>
      </c>
      <c r="BD384" s="4"/>
      <c r="BE384" s="81">
        <f ca="1">YEAR($C$13)+(BG384*80)</f>
        <v>2104.6756392156863</v>
      </c>
      <c r="BF384" s="4"/>
      <c r="BG384" s="137">
        <f ca="1">BH384*$BH$14</f>
        <v>1.0709454901960782</v>
      </c>
      <c r="BH384" s="137">
        <f ca="1">(((BJ384+BK384+BM384+BN384)/4)*$BM$11)+(((BP384+BQ384)/2)*$BQ$11)+(((BU384+BV384+BW384)/3)*$BU$11)+(((BY384+BZ384+CA384+CB384+CC384)/5)*$CA$11)</f>
        <v>1.0709454901960782</v>
      </c>
      <c r="BI384" s="4"/>
      <c r="BJ384" s="33">
        <f>AP384/(AM384+AO384)</f>
        <v>0.16666666666666666</v>
      </c>
      <c r="BK384" s="33">
        <f>(AN384+AO384)/(AM384+AO384)</f>
        <v>1</v>
      </c>
      <c r="BL384" s="4"/>
      <c r="BM384" s="127">
        <f>CF384/102</f>
        <v>0.19705882352941179</v>
      </c>
      <c r="BN384" s="127">
        <f>C384/2</f>
        <v>4</v>
      </c>
      <c r="BO384" s="4"/>
      <c r="BP384" s="127">
        <f>(AK384)/($AW$6)</f>
        <v>0.1111111111111111</v>
      </c>
      <c r="BQ384" s="127">
        <f ca="1">(CH384-$AW$4)/((YEAR($C$13))-$AW$4)</f>
        <v>1</v>
      </c>
      <c r="BR384" s="127">
        <f>(AL384)/($AW$6)</f>
        <v>0.1111111111111111</v>
      </c>
      <c r="BS384" s="4"/>
      <c r="BT384" s="127"/>
      <c r="BU384" s="127">
        <f ca="1">(CG384-$AW$4)/((YEAR($C$13))-$AW$4)</f>
        <v>1</v>
      </c>
      <c r="BV384" s="127">
        <f>AE384/5</f>
        <v>1</v>
      </c>
      <c r="BW384" s="127">
        <f>AF384/5</f>
        <v>1</v>
      </c>
      <c r="BX384" s="4"/>
      <c r="BY384" s="148" t="str">
        <f>IF(E384="A",".98",IF(E384="B",".99",IF(E384="C","1.00",IF(E384="D","1.00" ))))</f>
        <v>1.00</v>
      </c>
      <c r="BZ384" s="127">
        <f>(CE384+7)/10</f>
        <v>1</v>
      </c>
      <c r="CA384" s="76" t="str">
        <f>IF(D384="Fern",".97",IF(D384="Grass",".99",IF(D384="Herb",".97",IF(D384="Shrub",".99",IF(D384="Tree","1.00",IF(D384="Vine",".98"))))))</f>
        <v>.97</v>
      </c>
      <c r="CB384" s="149" t="str">
        <f>IF(R384="Bogs Ponds Streams",".96", IF(R384="Coastal Areas",".97",IF(R384="Meadows Dry Open",".96",IF(R384="Forest &amp; Understory",".97",IF(R384="Moist Open",".98",IF(R384="Moist Shady",".96",IF(R384="Sub-Alpine","1.0")))))))</f>
        <v>.97</v>
      </c>
      <c r="CC384" s="76" t="str">
        <f>IF(S384="Local Endemic",".50",IF(S384="Regional Endemic",".70",IF(S384="Cascadia",".90",IF(S384="Rocky Mountain",".95",IF(S384="North America",".99")))))</f>
        <v>.99</v>
      </c>
      <c r="CD384" s="4"/>
      <c r="CE384" s="21">
        <f>IF(W384&gt;3,3,W384)</f>
        <v>3</v>
      </c>
      <c r="CF384" s="21">
        <f>IF(AC384&gt;102,102,AC384)</f>
        <v>20.100000000000001</v>
      </c>
      <c r="CG384" s="34">
        <f ca="1">IF(AI384&lt;$AW$4,$AW$4,AI384)</f>
        <v>2019</v>
      </c>
      <c r="CH384" s="34">
        <f ca="1">IF(AJ384&lt;$AW$4,$AW$4,AJ384)</f>
        <v>2019</v>
      </c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</row>
    <row r="385" spans="1:115" s="13" customFormat="1" ht="15" customHeight="1" x14ac:dyDescent="0.3">
      <c r="A385" s="235"/>
      <c r="B385" s="218"/>
      <c r="C385" s="226">
        <v>2</v>
      </c>
      <c r="D385" s="104" t="s">
        <v>2505</v>
      </c>
      <c r="E385" s="104" t="s">
        <v>2501</v>
      </c>
      <c r="F385" s="400" t="str">
        <f ca="1">IF(BC385&lt;2025, "Extinct&lt; 6Yrs?",BA385)</f>
        <v>Widespread</v>
      </c>
      <c r="G385" s="369" t="s">
        <v>525</v>
      </c>
      <c r="H385" s="369" t="s">
        <v>4028</v>
      </c>
      <c r="I385" s="370" t="s">
        <v>2243</v>
      </c>
      <c r="J385" s="371" t="s">
        <v>3772</v>
      </c>
      <c r="K385" s="371" t="s">
        <v>1114</v>
      </c>
      <c r="L385" s="106" t="s">
        <v>4044</v>
      </c>
      <c r="M385" s="111" t="s">
        <v>4462</v>
      </c>
      <c r="N385" s="111" t="s">
        <v>5358</v>
      </c>
      <c r="O385" s="111" t="s">
        <v>6255</v>
      </c>
      <c r="P385" s="105" t="s">
        <v>285</v>
      </c>
      <c r="Q385" s="104" t="s">
        <v>2552</v>
      </c>
      <c r="R385" s="105" t="s">
        <v>2498</v>
      </c>
      <c r="S385" s="114" t="s">
        <v>2495</v>
      </c>
      <c r="T385" s="133" t="str">
        <f>IF(R385="Bogs Ponds Streams","20",IF(R385="Coastal Areas","26",IF(R385="Meadows Dry Open","10",IF(R385="Forest &amp; Understory","14",IF(R385="Moist Open","12",IF(R385="Moist Shady","10",IF(R385="Sub-Alpine Slopes","0")))))))</f>
        <v>10</v>
      </c>
      <c r="U385" s="133" t="str">
        <f>IF(R385="Bogs Ponds Streams","52",IF(R385="Coastal Areas","51",IF(R385="Meadows Dry Open","53",IF(R385="Forest &amp; Understory","52",IF(R385="Moist Open","50",IF(R385="Moist Shady","46",IF(R385="Sub-Alpine Slopes","40")))))))</f>
        <v>46</v>
      </c>
      <c r="V385" s="133" t="str">
        <f>IF(R385="Bogs Ponds Streams","84",IF(R385="Coastal Areas","76",IF(R385="Meadows Dry Open","96", IF(R385="Forest &amp; Understory","90", IF(R385="Moist Open","88", IF(R385="Moist Shady","82", IF(R385="Sub-Alpine Slopes","80")))))))</f>
        <v>82</v>
      </c>
      <c r="W385" s="104">
        <v>20</v>
      </c>
      <c r="X385" s="104">
        <v>0</v>
      </c>
      <c r="Y385" s="104">
        <v>3500</v>
      </c>
      <c r="Z385" s="104" t="s">
        <v>2519</v>
      </c>
      <c r="AA385" s="104" t="s">
        <v>2518</v>
      </c>
      <c r="AB385" s="104">
        <v>6.8</v>
      </c>
      <c r="AC385" s="107">
        <f>C384+AK385+(0.1)*AL385</f>
        <v>17.399999999999999</v>
      </c>
      <c r="AD385" s="113">
        <v>77</v>
      </c>
      <c r="AE385" s="104">
        <v>5</v>
      </c>
      <c r="AF385" s="104">
        <v>5</v>
      </c>
      <c r="AG385" s="104">
        <v>1900</v>
      </c>
      <c r="AH385" s="113">
        <v>0</v>
      </c>
      <c r="AI385" s="104">
        <f>AJ385</f>
        <v>2004</v>
      </c>
      <c r="AJ385" s="108">
        <v>2004</v>
      </c>
      <c r="AK385" s="108">
        <v>8</v>
      </c>
      <c r="AL385" s="108">
        <v>14</v>
      </c>
      <c r="AM385" s="109">
        <v>5</v>
      </c>
      <c r="AN385" s="109">
        <v>1</v>
      </c>
      <c r="AO385" s="110">
        <v>0</v>
      </c>
      <c r="AP385" s="109">
        <v>1</v>
      </c>
      <c r="AQ385" s="109">
        <v>0</v>
      </c>
      <c r="AR385" s="109">
        <v>0</v>
      </c>
      <c r="AS385" s="110">
        <v>0</v>
      </c>
      <c r="AT385" s="109">
        <v>0</v>
      </c>
      <c r="AU385" s="109">
        <v>0</v>
      </c>
      <c r="AV385" s="109">
        <v>0</v>
      </c>
      <c r="AW385" s="110">
        <v>0</v>
      </c>
      <c r="AX385" s="109">
        <v>0</v>
      </c>
      <c r="AY385" s="233"/>
      <c r="AZ385" s="4"/>
      <c r="BA385" s="35" t="str">
        <f>IF(OR(S385="North America",S385="Rocky Mountain"), "Widespread",BC385)</f>
        <v>Widespread</v>
      </c>
      <c r="BB385" s="4"/>
      <c r="BC385" s="35" t="str">
        <f ca="1">IF(BE385&gt;2046, "Abundant",BE385)</f>
        <v>Abundant</v>
      </c>
      <c r="BD385" s="4"/>
      <c r="BE385" s="81">
        <f ca="1">YEAR($C$13)+(BG385*80)</f>
        <v>2080.6578224598929</v>
      </c>
      <c r="BF385" s="4"/>
      <c r="BG385" s="137">
        <f ca="1">BH385*$BH$14</f>
        <v>0.77072278074866307</v>
      </c>
      <c r="BH385" s="137">
        <f ca="1">(((BJ385+BK385+BM385+BN385)/4)*$BM$11)+(((BP385+BQ385)/2)*$BQ$11)+(((BU385+BV385+BW385)/3)*$BU$11)+(((BY385+BZ385+CA385+CB385+CC385)/5)*$CA$11)</f>
        <v>0.77072278074866307</v>
      </c>
      <c r="BI385" s="4"/>
      <c r="BJ385" s="33">
        <f>AP385/(AM385+AO385)</f>
        <v>0.2</v>
      </c>
      <c r="BK385" s="33">
        <f>(AN385+AO385)/(AM385+AO385)</f>
        <v>0.2</v>
      </c>
      <c r="BL385" s="4"/>
      <c r="BM385" s="127">
        <f>CF385/102</f>
        <v>0.17058823529411762</v>
      </c>
      <c r="BN385" s="127">
        <f>C384/2</f>
        <v>4</v>
      </c>
      <c r="BO385" s="4"/>
      <c r="BP385" s="127">
        <f>(AK385)/($AW$6)</f>
        <v>8.0808080808080815E-2</v>
      </c>
      <c r="BQ385" s="127">
        <f ca="1">(CH385-$AW$4)/((YEAR($C$13))-$AW$4)</f>
        <v>0</v>
      </c>
      <c r="BR385" s="127">
        <f>(AL385)/($AW$6)</f>
        <v>0.14141414141414141</v>
      </c>
      <c r="BS385" s="4"/>
      <c r="BT385" s="127"/>
      <c r="BU385" s="127">
        <f ca="1">(CG385-$AW$4)/((YEAR($C$13))-$AW$4)</f>
        <v>0</v>
      </c>
      <c r="BV385" s="127">
        <f>AE385/5</f>
        <v>1</v>
      </c>
      <c r="BW385" s="127">
        <f>AF385/5</f>
        <v>1</v>
      </c>
      <c r="BX385" s="4"/>
      <c r="BY385" s="148" t="str">
        <f>IF(E385="A",".98",IF(E385="B",".99",IF(E385="C","1.00",IF(E385="D","1.00" ))))</f>
        <v>1.00</v>
      </c>
      <c r="BZ385" s="127">
        <f>(CE385+7)/10</f>
        <v>1</v>
      </c>
      <c r="CA385" s="76" t="str">
        <f>IF(D385="Fern",".97",IF(D385="Grass",".99",IF(D385="Herb",".97",IF(D385="Shrub",".99",IF(D385="Tree","1.00",IF(D385="Vine",".98"))))))</f>
        <v>.97</v>
      </c>
      <c r="CB385" s="149" t="str">
        <f>IF(R385="Bogs Ponds Streams",".96", IF(R385="Coastal Areas",".97",IF(R385="Meadows Dry Open",".96",IF(R385="Forest &amp; Understory",".97",IF(R385="Moist Open",".98",IF(R385="Moist Shady",".96",IF(R385="Sub-Alpine","1.0")))))))</f>
        <v>.96</v>
      </c>
      <c r="CC385" s="76" t="str">
        <f>IF(S385="Local Endemic",".50",IF(S385="Regional Endemic",".70",IF(S385="Cascadia",".90",IF(S385="Rocky Mountain",".95",IF(S385="North America",".99")))))</f>
        <v>.99</v>
      </c>
      <c r="CD385" s="4"/>
      <c r="CE385" s="21">
        <f>IF(W385&gt;3,3,W385)</f>
        <v>3</v>
      </c>
      <c r="CF385" s="21">
        <f>IF(AC385&gt;102,102,AC385)</f>
        <v>17.399999999999999</v>
      </c>
      <c r="CG385" s="34">
        <f>IF(AI385&lt;$AW$4,$AW$4,AI385)</f>
        <v>2004</v>
      </c>
      <c r="CH385" s="34">
        <f>IF(AJ385&lt;$AW$4,$AW$4,AJ385)</f>
        <v>2004</v>
      </c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</row>
    <row r="386" spans="1:115" s="13" customFormat="1" ht="15" customHeight="1" x14ac:dyDescent="0.3">
      <c r="A386" s="235"/>
      <c r="B386" s="218"/>
      <c r="C386" s="225">
        <v>8</v>
      </c>
      <c r="D386" s="59" t="s">
        <v>2505</v>
      </c>
      <c r="E386" s="59" t="s">
        <v>2501</v>
      </c>
      <c r="F386" s="397" t="str">
        <f ca="1">IF(BC386&lt;2025, "Extinct&lt; 6Yrs?",BA386)</f>
        <v>Widespread</v>
      </c>
      <c r="G386" s="363" t="s">
        <v>525</v>
      </c>
      <c r="H386" s="363" t="s">
        <v>691</v>
      </c>
      <c r="I386" s="366" t="s">
        <v>91</v>
      </c>
      <c r="J386" s="365" t="s">
        <v>3363</v>
      </c>
      <c r="K386" s="365" t="s">
        <v>982</v>
      </c>
      <c r="L386" s="10" t="s">
        <v>1468</v>
      </c>
      <c r="M386" s="8" t="s">
        <v>4463</v>
      </c>
      <c r="N386" s="8" t="s">
        <v>5359</v>
      </c>
      <c r="O386" s="8" t="s">
        <v>6256</v>
      </c>
      <c r="P386" s="9" t="s">
        <v>51</v>
      </c>
      <c r="Q386" s="59" t="s">
        <v>2552</v>
      </c>
      <c r="R386" s="9" t="s">
        <v>2497</v>
      </c>
      <c r="S386" s="9" t="s">
        <v>2495</v>
      </c>
      <c r="T386" s="123" t="str">
        <f>IF(R386="Bogs Ponds Streams","20",IF(R386="Coastal Areas","26",IF(R386="Meadows Dry Open","10",IF(R386="Forest &amp; Understory","14",IF(R386="Moist Open","12",IF(R386="Moist Shady","10",IF(R386="Sub-Alpine Slopes","0")))))))</f>
        <v>12</v>
      </c>
      <c r="U386" s="123" t="str">
        <f>IF(R386="Bogs Ponds Streams","52",IF(R386="Coastal Areas","51",IF(R386="Meadows Dry Open","53",IF(R386="Forest &amp; Understory","52",IF(R386="Moist Open","50",IF(R386="Moist Shady","46",IF(R386="Sub-Alpine Slopes","40")))))))</f>
        <v>50</v>
      </c>
      <c r="V386" s="123" t="str">
        <f>IF(R386="Bogs Ponds Streams","84",IF(R386="Coastal Areas","76",IF(R386="Meadows Dry Open","96", IF(R386="Forest &amp; Understory","90", IF(R386="Moist Open","88", IF(R386="Moist Shady","82", IF(R386="Sub-Alpine Slopes","80")))))))</f>
        <v>88</v>
      </c>
      <c r="W386" s="59">
        <v>20</v>
      </c>
      <c r="X386" s="59">
        <v>0</v>
      </c>
      <c r="Y386" s="59">
        <v>3500</v>
      </c>
      <c r="Z386" s="59" t="s">
        <v>2519</v>
      </c>
      <c r="AA386" s="59" t="s">
        <v>2518</v>
      </c>
      <c r="AB386" s="59">
        <v>6.8</v>
      </c>
      <c r="AC386" s="45">
        <f>C386+AK386+(0.1)*AL386</f>
        <v>18.600000000000001</v>
      </c>
      <c r="AD386" s="77">
        <v>46</v>
      </c>
      <c r="AE386" s="59">
        <v>5</v>
      </c>
      <c r="AF386" s="59">
        <v>5</v>
      </c>
      <c r="AG386" s="59">
        <v>1900</v>
      </c>
      <c r="AH386" s="77">
        <v>0</v>
      </c>
      <c r="AI386" s="59">
        <f ca="1">AJ386</f>
        <v>2019</v>
      </c>
      <c r="AJ386" s="18">
        <f ca="1">YEAR(TODAY())</f>
        <v>2019</v>
      </c>
      <c r="AK386" s="18">
        <v>10</v>
      </c>
      <c r="AL386" s="18">
        <v>6</v>
      </c>
      <c r="AM386" s="18">
        <v>1</v>
      </c>
      <c r="AN386" s="18">
        <v>1</v>
      </c>
      <c r="AO386" s="25">
        <v>0</v>
      </c>
      <c r="AP386" s="24">
        <v>0</v>
      </c>
      <c r="AQ386" s="18">
        <v>0</v>
      </c>
      <c r="AR386" s="18">
        <v>0</v>
      </c>
      <c r="AS386" s="18">
        <v>0</v>
      </c>
      <c r="AT386" s="18">
        <v>0</v>
      </c>
      <c r="AU386" s="18">
        <v>0</v>
      </c>
      <c r="AV386" s="18">
        <v>0</v>
      </c>
      <c r="AW386" s="18">
        <v>0</v>
      </c>
      <c r="AX386" s="18">
        <v>0</v>
      </c>
      <c r="AY386" s="233"/>
      <c r="AZ386" s="4"/>
      <c r="BA386" s="35" t="str">
        <f>IF(OR(S386="North America",S386="Rocky Mountain"), "Widespread",BC386)</f>
        <v>Widespread</v>
      </c>
      <c r="BB386" s="4"/>
      <c r="BC386" s="35" t="str">
        <f ca="1">IF(BE386&gt;2046, "Abundant",BE386)</f>
        <v>Abundant</v>
      </c>
      <c r="BD386" s="4"/>
      <c r="BE386" s="81">
        <f ca="1">YEAR($C$13)+(BG386*80)</f>
        <v>2102.3811565062388</v>
      </c>
      <c r="BF386" s="4"/>
      <c r="BG386" s="137">
        <f ca="1">BH386*$BH$14</f>
        <v>1.0422644563279857</v>
      </c>
      <c r="BH386" s="137">
        <f ca="1">(((BJ386+BK386+BM386+BN386)/4)*$BM$11)+(((BP386+BQ386)/2)*$BQ$11)+(((BU386+BV386+BW386)/3)*$BU$11)+(((BY386+BZ386+CA386+CB386+CC386)/5)*$CA$11)</f>
        <v>1.0422644563279857</v>
      </c>
      <c r="BI386" s="4"/>
      <c r="BJ386" s="33">
        <f>AP386/(AM386+AO386)</f>
        <v>0</v>
      </c>
      <c r="BK386" s="33">
        <f>(AN386+AO386)/(AM386+AO386)</f>
        <v>1</v>
      </c>
      <c r="BL386" s="4"/>
      <c r="BM386" s="127">
        <f>CF386/102</f>
        <v>0.18235294117647061</v>
      </c>
      <c r="BN386" s="127">
        <f>C386/2</f>
        <v>4</v>
      </c>
      <c r="BO386" s="4"/>
      <c r="BP386" s="127">
        <f>(AK386)/($AW$6)</f>
        <v>0.10101010101010101</v>
      </c>
      <c r="BQ386" s="127">
        <f ca="1">(CH386-$AW$4)/((YEAR($C$13))-$AW$4)</f>
        <v>1</v>
      </c>
      <c r="BR386" s="127">
        <f>(AL386)/($AW$6)</f>
        <v>6.0606060606060608E-2</v>
      </c>
      <c r="BS386" s="4"/>
      <c r="BT386" s="127"/>
      <c r="BU386" s="127">
        <f ca="1">(CG386-$AW$4)/((YEAR($C$13))-$AW$4)</f>
        <v>1</v>
      </c>
      <c r="BV386" s="127">
        <f>AE386/5</f>
        <v>1</v>
      </c>
      <c r="BW386" s="127">
        <f>AF386/5</f>
        <v>1</v>
      </c>
      <c r="BX386" s="4"/>
      <c r="BY386" s="148" t="str">
        <f>IF(E386="A",".98",IF(E386="B",".99",IF(E386="C","1.00",IF(E386="D","1.00" ))))</f>
        <v>1.00</v>
      </c>
      <c r="BZ386" s="127">
        <f>(CE386+7)/10</f>
        <v>1</v>
      </c>
      <c r="CA386" s="76" t="str">
        <f>IF(D386="Fern",".97",IF(D386="Grass",".99",IF(D386="Herb",".97",IF(D386="Shrub",".99",IF(D386="Tree","1.00",IF(D386="Vine",".98"))))))</f>
        <v>.97</v>
      </c>
      <c r="CB386" s="149" t="str">
        <f>IF(R386="Bogs Ponds Streams",".96", IF(R386="Coastal Areas",".97",IF(R386="Meadows Dry Open",".96",IF(R386="Forest &amp; Understory",".97",IF(R386="Moist Open",".98",IF(R386="Moist Shady",".96",IF(R386="Sub-Alpine","1.0")))))))</f>
        <v>.98</v>
      </c>
      <c r="CC386" s="76" t="str">
        <f>IF(S386="Local Endemic",".50",IF(S386="Regional Endemic",".70",IF(S386="Cascadia",".90",IF(S386="Rocky Mountain",".95",IF(S386="North America",".99")))))</f>
        <v>.99</v>
      </c>
      <c r="CD386" s="4"/>
      <c r="CE386" s="21">
        <f>IF(W386&gt;3,3,W386)</f>
        <v>3</v>
      </c>
      <c r="CF386" s="21">
        <f>IF(AC386&gt;102,102,AC386)</f>
        <v>18.600000000000001</v>
      </c>
      <c r="CG386" s="34">
        <f ca="1">IF(AI386&lt;$AW$4,$AW$4,AI386)</f>
        <v>2019</v>
      </c>
      <c r="CH386" s="34">
        <f ca="1">IF(AJ386&lt;$AW$4,$AW$4,AJ386)</f>
        <v>2019</v>
      </c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</row>
    <row r="387" spans="1:115" s="13" customFormat="1" ht="15" customHeight="1" x14ac:dyDescent="0.3">
      <c r="A387" s="235"/>
      <c r="B387" s="218"/>
      <c r="C387" s="226">
        <v>2</v>
      </c>
      <c r="D387" s="104" t="s">
        <v>2505</v>
      </c>
      <c r="E387" s="104" t="s">
        <v>2501</v>
      </c>
      <c r="F387" s="400" t="str">
        <f ca="1">IF(BC387&lt;2025, "Extinct&lt; 6Yrs?",BA387)</f>
        <v>Widespread</v>
      </c>
      <c r="G387" s="369" t="s">
        <v>525</v>
      </c>
      <c r="H387" s="369" t="s">
        <v>4028</v>
      </c>
      <c r="I387" s="370" t="s">
        <v>93</v>
      </c>
      <c r="J387" s="371" t="s">
        <v>3771</v>
      </c>
      <c r="K387" s="371" t="s">
        <v>92</v>
      </c>
      <c r="L387" s="106" t="s">
        <v>1469</v>
      </c>
      <c r="M387" s="111" t="s">
        <v>4464</v>
      </c>
      <c r="N387" s="111" t="s">
        <v>5360</v>
      </c>
      <c r="O387" s="111" t="s">
        <v>6257</v>
      </c>
      <c r="P387" s="105" t="s">
        <v>51</v>
      </c>
      <c r="Q387" s="104" t="s">
        <v>2552</v>
      </c>
      <c r="R387" s="105" t="s">
        <v>2497</v>
      </c>
      <c r="S387" s="114" t="s">
        <v>2495</v>
      </c>
      <c r="T387" s="133" t="str">
        <f>IF(R387="Bogs Ponds Streams","20",IF(R387="Coastal Areas","26",IF(R387="Meadows Dry Open","10",IF(R387="Forest &amp; Understory","14",IF(R387="Moist Open","12",IF(R387="Moist Shady","10",IF(R387="Sub-Alpine Slopes","0")))))))</f>
        <v>12</v>
      </c>
      <c r="U387" s="133" t="str">
        <f>IF(R387="Bogs Ponds Streams","52",IF(R387="Coastal Areas","51",IF(R387="Meadows Dry Open","53",IF(R387="Forest &amp; Understory","52",IF(R387="Moist Open","50",IF(R387="Moist Shady","46",IF(R387="Sub-Alpine Slopes","40")))))))</f>
        <v>50</v>
      </c>
      <c r="V387" s="133" t="str">
        <f>IF(R387="Bogs Ponds Streams","84",IF(R387="Coastal Areas","76",IF(R387="Meadows Dry Open","96", IF(R387="Forest &amp; Understory","90", IF(R387="Moist Open","88", IF(R387="Moist Shady","82", IF(R387="Sub-Alpine Slopes","80")))))))</f>
        <v>88</v>
      </c>
      <c r="W387" s="104">
        <v>20</v>
      </c>
      <c r="X387" s="104">
        <v>0</v>
      </c>
      <c r="Y387" s="104">
        <v>3500</v>
      </c>
      <c r="Z387" s="104" t="s">
        <v>2519</v>
      </c>
      <c r="AA387" s="104" t="s">
        <v>2518</v>
      </c>
      <c r="AB387" s="104">
        <v>6.8</v>
      </c>
      <c r="AC387" s="107">
        <f>C387+AK387+(0.1)*AL387</f>
        <v>7.2</v>
      </c>
      <c r="AD387" s="113">
        <v>47</v>
      </c>
      <c r="AE387" s="104">
        <v>5</v>
      </c>
      <c r="AF387" s="104">
        <v>5</v>
      </c>
      <c r="AG387" s="104">
        <v>1900</v>
      </c>
      <c r="AH387" s="113">
        <v>0</v>
      </c>
      <c r="AI387" s="104">
        <f>AJ387</f>
        <v>2004</v>
      </c>
      <c r="AJ387" s="108">
        <v>2004</v>
      </c>
      <c r="AK387" s="108">
        <v>3</v>
      </c>
      <c r="AL387" s="108">
        <v>22</v>
      </c>
      <c r="AM387" s="109">
        <v>5</v>
      </c>
      <c r="AN387" s="109">
        <v>1</v>
      </c>
      <c r="AO387" s="110">
        <v>0</v>
      </c>
      <c r="AP387" s="109">
        <v>0</v>
      </c>
      <c r="AQ387" s="109">
        <v>0</v>
      </c>
      <c r="AR387" s="109">
        <v>0</v>
      </c>
      <c r="AS387" s="110">
        <v>0</v>
      </c>
      <c r="AT387" s="109">
        <v>0</v>
      </c>
      <c r="AU387" s="109">
        <v>0</v>
      </c>
      <c r="AV387" s="109">
        <v>0</v>
      </c>
      <c r="AW387" s="110">
        <v>0</v>
      </c>
      <c r="AX387" s="109">
        <v>0</v>
      </c>
      <c r="AY387" s="233"/>
      <c r="AZ387" s="4"/>
      <c r="BA387" s="35" t="str">
        <f>IF(OR(S387="North America",S387="Rocky Mountain"), "Widespread",BC387)</f>
        <v>Widespread</v>
      </c>
      <c r="BB387" s="4"/>
      <c r="BC387" s="35">
        <f ca="1">IF(BE387&gt;2046, "Abundant",BE387)</f>
        <v>2040.4581618538325</v>
      </c>
      <c r="BD387" s="4"/>
      <c r="BE387" s="81">
        <f ca="1">YEAR($C$13)+(BG387*80)</f>
        <v>2040.4581618538325</v>
      </c>
      <c r="BF387" s="4"/>
      <c r="BG387" s="137">
        <f ca="1">BH387*$BH$14</f>
        <v>0.26822702317290553</v>
      </c>
      <c r="BH387" s="137">
        <f ca="1">(((BJ387+BK387+BM387+BN387)/4)*$BM$11)+(((BP387+BQ387)/2)*$BQ$11)+(((BU387+BV387+BW387)/3)*$BU$11)+(((BY387+BZ387+CA387+CB387+CC387)/5)*$CA$11)</f>
        <v>0.26822702317290553</v>
      </c>
      <c r="BI387" s="4"/>
      <c r="BJ387" s="33">
        <f>AP387/(AM387+AO387)</f>
        <v>0</v>
      </c>
      <c r="BK387" s="33">
        <f>(AN387+AO387)/(AM387+AO387)</f>
        <v>0.2</v>
      </c>
      <c r="BL387" s="4"/>
      <c r="BM387" s="127">
        <f>CF387/102</f>
        <v>7.0588235294117646E-2</v>
      </c>
      <c r="BN387" s="127">
        <f>C387/2</f>
        <v>1</v>
      </c>
      <c r="BO387" s="4"/>
      <c r="BP387" s="127">
        <f>(AK387)/($AW$6)</f>
        <v>3.0303030303030304E-2</v>
      </c>
      <c r="BQ387" s="127">
        <f ca="1">(CH387-$AW$4)/((YEAR($C$13))-$AW$4)</f>
        <v>0</v>
      </c>
      <c r="BR387" s="127">
        <f>(AL387)/($AW$6)</f>
        <v>0.22222222222222221</v>
      </c>
      <c r="BS387" s="4"/>
      <c r="BT387" s="127"/>
      <c r="BU387" s="127">
        <f ca="1">(CG387-$AW$4)/((YEAR($C$13))-$AW$4)</f>
        <v>0</v>
      </c>
      <c r="BV387" s="127">
        <f>AE387/5</f>
        <v>1</v>
      </c>
      <c r="BW387" s="127">
        <f>AF387/5</f>
        <v>1</v>
      </c>
      <c r="BX387" s="4"/>
      <c r="BY387" s="148" t="str">
        <f>IF(E387="A",".98",IF(E387="B",".99",IF(E387="C","1.00",IF(E387="D","1.00" ))))</f>
        <v>1.00</v>
      </c>
      <c r="BZ387" s="127">
        <f>(CE387+7)/10</f>
        <v>1</v>
      </c>
      <c r="CA387" s="76" t="str">
        <f>IF(D387="Fern",".97",IF(D387="Grass",".99",IF(D387="Herb",".97",IF(D387="Shrub",".99",IF(D387="Tree","1.00",IF(D387="Vine",".98"))))))</f>
        <v>.97</v>
      </c>
      <c r="CB387" s="149" t="str">
        <f>IF(R387="Bogs Ponds Streams",".96", IF(R387="Coastal Areas",".97",IF(R387="Meadows Dry Open",".96",IF(R387="Forest &amp; Understory",".97",IF(R387="Moist Open",".98",IF(R387="Moist Shady",".96",IF(R387="Sub-Alpine","1.0")))))))</f>
        <v>.98</v>
      </c>
      <c r="CC387" s="76" t="str">
        <f>IF(S387="Local Endemic",".50",IF(S387="Regional Endemic",".70",IF(S387="Cascadia",".90",IF(S387="Rocky Mountain",".95",IF(S387="North America",".99")))))</f>
        <v>.99</v>
      </c>
      <c r="CD387" s="4"/>
      <c r="CE387" s="21">
        <f>IF(W387&gt;3,3,W387)</f>
        <v>3</v>
      </c>
      <c r="CF387" s="21">
        <f>IF(AC387&gt;102,102,AC387)</f>
        <v>7.2</v>
      </c>
      <c r="CG387" s="34">
        <f>IF(AI387&lt;$AW$4,$AW$4,AI387)</f>
        <v>2004</v>
      </c>
      <c r="CH387" s="34">
        <f>IF(AJ387&lt;$AW$4,$AW$4,AJ387)</f>
        <v>2004</v>
      </c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12"/>
    </row>
    <row r="388" spans="1:115" s="13" customFormat="1" ht="15" customHeight="1" x14ac:dyDescent="0.3">
      <c r="A388" s="235"/>
      <c r="B388" s="218"/>
      <c r="C388" s="226">
        <v>2</v>
      </c>
      <c r="D388" s="104" t="s">
        <v>2505</v>
      </c>
      <c r="E388" s="104" t="s">
        <v>2501</v>
      </c>
      <c r="F388" s="400">
        <f ca="1">IF(BC388&lt;2025, "Extinct&lt; 6Yrs?",BA388)</f>
        <v>2042.3170709447415</v>
      </c>
      <c r="G388" s="369" t="s">
        <v>525</v>
      </c>
      <c r="H388" s="369" t="s">
        <v>4028</v>
      </c>
      <c r="I388" s="372" t="s">
        <v>199</v>
      </c>
      <c r="J388" s="371" t="s">
        <v>3770</v>
      </c>
      <c r="K388" s="371" t="s">
        <v>983</v>
      </c>
      <c r="L388" s="106" t="s">
        <v>1470</v>
      </c>
      <c r="M388" s="111" t="s">
        <v>4465</v>
      </c>
      <c r="N388" s="111" t="s">
        <v>5361</v>
      </c>
      <c r="O388" s="111" t="s">
        <v>6258</v>
      </c>
      <c r="P388" s="105" t="s">
        <v>198</v>
      </c>
      <c r="Q388" s="104" t="s">
        <v>2552</v>
      </c>
      <c r="R388" s="105" t="s">
        <v>2530</v>
      </c>
      <c r="S388" s="105" t="s">
        <v>2459</v>
      </c>
      <c r="T388" s="133" t="str">
        <f>IF(R388="Bogs Ponds Streams","20",IF(R388="Coastal Areas","26",IF(R388="Meadows Dry Open","10",IF(R388="Forest &amp; Understory","14",IF(R388="Moist Open","12",IF(R388="Moist Shady","10",IF(R388="Sub-Alpine Slopes","0")))))))</f>
        <v>14</v>
      </c>
      <c r="U388" s="133" t="str">
        <f>IF(R388="Bogs Ponds Streams","52",IF(R388="Coastal Areas","51",IF(R388="Meadows Dry Open","53",IF(R388="Forest &amp; Understory","52",IF(R388="Moist Open","50",IF(R388="Moist Shady","46",IF(R388="Sub-Alpine Slopes","40")))))))</f>
        <v>52</v>
      </c>
      <c r="V388" s="133" t="str">
        <f>IF(R388="Bogs Ponds Streams","84",IF(R388="Coastal Areas","76",IF(R388="Meadows Dry Open","96", IF(R388="Forest &amp; Understory","90", IF(R388="Moist Open","88", IF(R388="Moist Shady","82", IF(R388="Sub-Alpine Slopes","80")))))))</f>
        <v>90</v>
      </c>
      <c r="W388" s="104">
        <v>20</v>
      </c>
      <c r="X388" s="104">
        <v>0</v>
      </c>
      <c r="Y388" s="104">
        <v>3500</v>
      </c>
      <c r="Z388" s="104" t="s">
        <v>2519</v>
      </c>
      <c r="AA388" s="104" t="s">
        <v>2518</v>
      </c>
      <c r="AB388" s="104">
        <v>6.8</v>
      </c>
      <c r="AC388" s="107">
        <f>C388+AK388+(0.1)*AL388</f>
        <v>14</v>
      </c>
      <c r="AD388" s="113">
        <v>34</v>
      </c>
      <c r="AE388" s="104">
        <v>5</v>
      </c>
      <c r="AF388" s="104">
        <v>5</v>
      </c>
      <c r="AG388" s="104">
        <v>1900</v>
      </c>
      <c r="AH388" s="113">
        <v>0</v>
      </c>
      <c r="AI388" s="104">
        <f>AJ388</f>
        <v>2004</v>
      </c>
      <c r="AJ388" s="108">
        <v>2004</v>
      </c>
      <c r="AK388" s="108">
        <v>12</v>
      </c>
      <c r="AL388" s="108">
        <v>0</v>
      </c>
      <c r="AM388" s="109">
        <v>5</v>
      </c>
      <c r="AN388" s="109">
        <v>1</v>
      </c>
      <c r="AO388" s="110">
        <v>0</v>
      </c>
      <c r="AP388" s="109">
        <v>0</v>
      </c>
      <c r="AQ388" s="109">
        <v>0</v>
      </c>
      <c r="AR388" s="109">
        <v>0</v>
      </c>
      <c r="AS388" s="110">
        <v>0</v>
      </c>
      <c r="AT388" s="109">
        <v>0</v>
      </c>
      <c r="AU388" s="109">
        <v>0</v>
      </c>
      <c r="AV388" s="109">
        <v>0</v>
      </c>
      <c r="AW388" s="110">
        <v>0</v>
      </c>
      <c r="AX388" s="109">
        <v>0</v>
      </c>
      <c r="AY388" s="233"/>
      <c r="AZ388" s="4"/>
      <c r="BA388" s="35">
        <f ca="1">IF(OR(S388="North America",S388="Rocky Mountain"), "Widespread",BC388)</f>
        <v>2042.3170709447415</v>
      </c>
      <c r="BB388" s="4"/>
      <c r="BC388" s="35">
        <f ca="1">IF(BE388&gt;2046, "Abundant",BE388)</f>
        <v>2042.3170709447415</v>
      </c>
      <c r="BD388" s="4"/>
      <c r="BE388" s="81">
        <f ca="1">YEAR($C$13)+(BG388*80)</f>
        <v>2042.3170709447415</v>
      </c>
      <c r="BF388" s="4"/>
      <c r="BG388" s="137">
        <f ca="1">BH388*$BH$14</f>
        <v>0.29146338680926914</v>
      </c>
      <c r="BH388" s="137">
        <f ca="1">(((BJ388+BK388+BM388+BN388)/4)*$BM$11)+(((BP388+BQ388)/2)*$BQ$11)+(((BU388+BV388+BW388)/3)*$BU$11)+(((BY388+BZ388+CA388+CB388+CC388)/5)*$CA$11)</f>
        <v>0.29146338680926914</v>
      </c>
      <c r="BI388" s="4"/>
      <c r="BJ388" s="33">
        <f>AP388/(AM388+AO388)</f>
        <v>0</v>
      </c>
      <c r="BK388" s="33">
        <f>(AN388+AO388)/(AM388+AO388)</f>
        <v>0.2</v>
      </c>
      <c r="BL388" s="4"/>
      <c r="BM388" s="127">
        <f>CF388/102</f>
        <v>0.13725490196078433</v>
      </c>
      <c r="BN388" s="127">
        <f>C388/2</f>
        <v>1</v>
      </c>
      <c r="BO388" s="4"/>
      <c r="BP388" s="127">
        <f>(AK388)/($AW$6)</f>
        <v>0.12121212121212122</v>
      </c>
      <c r="BQ388" s="127">
        <f ca="1">(CH388-$AW$4)/((YEAR($C$13))-$AW$4)</f>
        <v>0</v>
      </c>
      <c r="BR388" s="127">
        <f>(AL388)/($AW$6)</f>
        <v>0</v>
      </c>
      <c r="BS388" s="4"/>
      <c r="BT388" s="127"/>
      <c r="BU388" s="127">
        <f ca="1">(CG388-$AW$4)/((YEAR($C$13))-$AW$4)</f>
        <v>0</v>
      </c>
      <c r="BV388" s="127">
        <f>AE388/5</f>
        <v>1</v>
      </c>
      <c r="BW388" s="127">
        <f>AF388/5</f>
        <v>1</v>
      </c>
      <c r="BX388" s="4"/>
      <c r="BY388" s="148" t="str">
        <f>IF(E388="A",".98",IF(E388="B",".99",IF(E388="C","1.00",IF(E388="D","1.00" ))))</f>
        <v>1.00</v>
      </c>
      <c r="BZ388" s="127">
        <f>(CE388+7)/10</f>
        <v>1</v>
      </c>
      <c r="CA388" s="76" t="str">
        <f>IF(D388="Fern",".97",IF(D388="Grass",".99",IF(D388="Herb",".97",IF(D388="Shrub",".99",IF(D388="Tree","1.00",IF(D388="Vine",".98"))))))</f>
        <v>.97</v>
      </c>
      <c r="CB388" s="149" t="str">
        <f>IF(R388="Bogs Ponds Streams",".96", IF(R388="Coastal Areas",".97",IF(R388="Meadows Dry Open",".96",IF(R388="Forest &amp; Understory",".97",IF(R388="Moist Open",".98",IF(R388="Moist Shady",".96",IF(R388="Sub-Alpine","1.0")))))))</f>
        <v>.97</v>
      </c>
      <c r="CC388" s="76" t="str">
        <f>IF(S388="Local Endemic",".50",IF(S388="Regional Endemic",".70",IF(S388="Cascadia",".90",IF(S388="Rocky Mountain",".95",IF(S388="North America",".99")))))</f>
        <v>.90</v>
      </c>
      <c r="CD388" s="4"/>
      <c r="CE388" s="21">
        <f>IF(W388&gt;3,3,W388)</f>
        <v>3</v>
      </c>
      <c r="CF388" s="21">
        <f>IF(AC388&gt;102,102,AC388)</f>
        <v>14</v>
      </c>
      <c r="CG388" s="34">
        <f>IF(AI388&lt;$AW$4,$AW$4,AI388)</f>
        <v>2004</v>
      </c>
      <c r="CH388" s="34">
        <f>IF(AJ388&lt;$AW$4,$AW$4,AJ388)</f>
        <v>2004</v>
      </c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12"/>
    </row>
    <row r="389" spans="1:115" s="13" customFormat="1" ht="15" customHeight="1" x14ac:dyDescent="0.3">
      <c r="A389" s="235"/>
      <c r="B389" s="218"/>
      <c r="C389" s="375">
        <v>1</v>
      </c>
      <c r="D389" s="67" t="s">
        <v>2505</v>
      </c>
      <c r="E389" s="67" t="s">
        <v>2502</v>
      </c>
      <c r="F389" s="403" t="str">
        <f ca="1">IF(BC389&lt;2025, "Extinct&lt; 6Yrs?",BA389)</f>
        <v>Widespread</v>
      </c>
      <c r="G389" s="376" t="s">
        <v>525</v>
      </c>
      <c r="H389" s="376" t="s">
        <v>4028</v>
      </c>
      <c r="I389" s="380" t="s">
        <v>97</v>
      </c>
      <c r="J389" s="378" t="s">
        <v>3608</v>
      </c>
      <c r="K389" s="378" t="s">
        <v>96</v>
      </c>
      <c r="L389" s="63" t="s">
        <v>1471</v>
      </c>
      <c r="M389" s="64" t="s">
        <v>4466</v>
      </c>
      <c r="N389" s="64" t="s">
        <v>5362</v>
      </c>
      <c r="O389" s="64" t="s">
        <v>6259</v>
      </c>
      <c r="P389" s="61" t="s">
        <v>51</v>
      </c>
      <c r="Q389" s="67" t="s">
        <v>2552</v>
      </c>
      <c r="R389" s="61" t="s">
        <v>2500</v>
      </c>
      <c r="S389" s="61" t="s">
        <v>2479</v>
      </c>
      <c r="T389" s="134" t="str">
        <f>IF(R389="Bogs Ponds Streams","20",IF(R389="Coastal Areas","26",IF(R389="Meadows Dry Open","10",IF(R389="Forest &amp; Understory","14",IF(R389="Moist Open","12",IF(R389="Moist Shady","10",IF(R389="Sub-Alpine Slopes","0")))))))</f>
        <v>10</v>
      </c>
      <c r="U389" s="134" t="str">
        <f>IF(R389="Bogs Ponds Streams","52",IF(R389="Coastal Areas","51",IF(R389="Meadows Dry Open","53",IF(R389="Forest &amp; Understory","52",IF(R389="Moist Open","50",IF(R389="Moist Shady","46",IF(R389="Sub-Alpine Slopes","40")))))))</f>
        <v>53</v>
      </c>
      <c r="V389" s="134" t="str">
        <f>IF(R389="Bogs Ponds Streams","84",IF(R389="Coastal Areas","76",IF(R389="Meadows Dry Open","96", IF(R389="Forest &amp; Understory","90", IF(R389="Moist Open","88", IF(R389="Moist Shady","82", IF(R389="Sub-Alpine Slopes","80")))))))</f>
        <v>96</v>
      </c>
      <c r="W389" s="67">
        <v>1</v>
      </c>
      <c r="X389" s="67">
        <v>0</v>
      </c>
      <c r="Y389" s="67">
        <v>3500</v>
      </c>
      <c r="Z389" s="67" t="s">
        <v>2519</v>
      </c>
      <c r="AA389" s="67" t="s">
        <v>2518</v>
      </c>
      <c r="AB389" s="67">
        <v>6.8</v>
      </c>
      <c r="AC389" s="85">
        <f>C389+AK389+(0.1)*AL389</f>
        <v>5.2</v>
      </c>
      <c r="AD389" s="78">
        <v>54</v>
      </c>
      <c r="AE389" s="67">
        <v>5</v>
      </c>
      <c r="AF389" s="67">
        <v>5</v>
      </c>
      <c r="AG389" s="67">
        <v>1900</v>
      </c>
      <c r="AH389" s="78">
        <v>0</v>
      </c>
      <c r="AI389" s="67">
        <f>AJ389</f>
        <v>2004</v>
      </c>
      <c r="AJ389" s="69">
        <v>2004</v>
      </c>
      <c r="AK389" s="69">
        <v>2</v>
      </c>
      <c r="AL389" s="69">
        <v>22</v>
      </c>
      <c r="AM389" s="70">
        <v>5</v>
      </c>
      <c r="AN389" s="70">
        <v>0</v>
      </c>
      <c r="AO389" s="86">
        <v>0</v>
      </c>
      <c r="AP389" s="70">
        <v>0</v>
      </c>
      <c r="AQ389" s="70">
        <v>0</v>
      </c>
      <c r="AR389" s="70">
        <v>0</v>
      </c>
      <c r="AS389" s="86">
        <v>0</v>
      </c>
      <c r="AT389" s="70">
        <v>0</v>
      </c>
      <c r="AU389" s="70">
        <v>0</v>
      </c>
      <c r="AV389" s="70">
        <v>0</v>
      </c>
      <c r="AW389" s="86">
        <v>0</v>
      </c>
      <c r="AX389" s="70">
        <v>0</v>
      </c>
      <c r="AY389" s="233"/>
      <c r="AZ389" s="4"/>
      <c r="BA389" s="35" t="str">
        <f>IF(OR(S389="North America",S389="Rocky Mountain"), "Widespread",BC389)</f>
        <v>Widespread</v>
      </c>
      <c r="BB389" s="4"/>
      <c r="BC389" s="35">
        <f ca="1">IF(BE389&gt;2046, "Abundant",BE389)</f>
        <v>2031.6120556149733</v>
      </c>
      <c r="BD389" s="4"/>
      <c r="BE389" s="81">
        <f ca="1">YEAR($C$13)+(BG389*80)</f>
        <v>2031.6120556149733</v>
      </c>
      <c r="BF389" s="4"/>
      <c r="BG389" s="137">
        <f ca="1">BH389*$BH$14</f>
        <v>0.15765069518716579</v>
      </c>
      <c r="BH389" s="137">
        <f ca="1">(((BJ389+BK389+BM389+BN389)/4)*$BM$11)+(((BP389+BQ389)/2)*$BQ$11)+(((BU389+BV389+BW389)/3)*$BU$11)+(((BY389+BZ389+CA389+CB389+CC389)/5)*$CA$11)</f>
        <v>0.15765069518716579</v>
      </c>
      <c r="BI389" s="4"/>
      <c r="BJ389" s="33">
        <f>AP389/(AM389+AO389)</f>
        <v>0</v>
      </c>
      <c r="BK389" s="33">
        <f>(AN389+AO389)/(AM389+AO389)</f>
        <v>0</v>
      </c>
      <c r="BL389" s="4"/>
      <c r="BM389" s="127">
        <f>CF389/102</f>
        <v>5.0980392156862744E-2</v>
      </c>
      <c r="BN389" s="127">
        <f>C389/2</f>
        <v>0.5</v>
      </c>
      <c r="BO389" s="4"/>
      <c r="BP389" s="127">
        <f>(AK389)/($AW$6)</f>
        <v>2.0202020202020204E-2</v>
      </c>
      <c r="BQ389" s="127">
        <f ca="1">(CH389-$AW$4)/((YEAR($C$13))-$AW$4)</f>
        <v>0</v>
      </c>
      <c r="BR389" s="127">
        <f>(AL389)/($AW$6)</f>
        <v>0.22222222222222221</v>
      </c>
      <c r="BS389" s="4"/>
      <c r="BT389" s="127"/>
      <c r="BU389" s="127">
        <f ca="1">(CG389-$AW$4)/((YEAR($C$13))-$AW$4)</f>
        <v>0</v>
      </c>
      <c r="BV389" s="127">
        <f>AE389/5</f>
        <v>1</v>
      </c>
      <c r="BW389" s="127">
        <f>AF389/5</f>
        <v>1</v>
      </c>
      <c r="BX389" s="4"/>
      <c r="BY389" s="148" t="str">
        <f>IF(E389="A",".98",IF(E389="B",".99",IF(E389="C","1.00",IF(E389="D","1.00" ))))</f>
        <v>.98</v>
      </c>
      <c r="BZ389" s="127">
        <f>(CE389+7)/10</f>
        <v>0.8</v>
      </c>
      <c r="CA389" s="76" t="str">
        <f>IF(D389="Fern",".97",IF(D389="Grass",".99",IF(D389="Herb",".97",IF(D389="Shrub",".99",IF(D389="Tree","1.00",IF(D389="Vine",".98"))))))</f>
        <v>.97</v>
      </c>
      <c r="CB389" s="149" t="str">
        <f>IF(R389="Bogs Ponds Streams",".96", IF(R389="Coastal Areas",".97",IF(R389="Meadows Dry Open",".96",IF(R389="Forest &amp; Understory",".97",IF(R389="Moist Open",".98",IF(R389="Moist Shady",".96",IF(R389="Sub-Alpine","1.0")))))))</f>
        <v>.96</v>
      </c>
      <c r="CC389" s="76" t="str">
        <f>IF(S389="Local Endemic",".50",IF(S389="Regional Endemic",".70",IF(S389="Cascadia",".90",IF(S389="Rocky Mountain",".95",IF(S389="North America",".99")))))</f>
        <v>.95</v>
      </c>
      <c r="CD389" s="4"/>
      <c r="CE389" s="21">
        <f>IF(W389&gt;3,3,W389)</f>
        <v>1</v>
      </c>
      <c r="CF389" s="21">
        <f>IF(AC389&gt;102,102,AC389)</f>
        <v>5.2</v>
      </c>
      <c r="CG389" s="34">
        <f>IF(AI389&lt;$AW$4,$AW$4,AI389)</f>
        <v>2004</v>
      </c>
      <c r="CH389" s="34">
        <f>IF(AJ389&lt;$AW$4,$AW$4,AJ389)</f>
        <v>2004</v>
      </c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12"/>
    </row>
    <row r="390" spans="1:115" s="13" customFormat="1" ht="15" customHeight="1" x14ac:dyDescent="0.3">
      <c r="A390" s="235"/>
      <c r="B390" s="218"/>
      <c r="C390" s="225">
        <v>8</v>
      </c>
      <c r="D390" s="59" t="s">
        <v>2505</v>
      </c>
      <c r="E390" s="59" t="s">
        <v>2501</v>
      </c>
      <c r="F390" s="397" t="str">
        <f ca="1">IF(BC390&lt;2025, "Extinct&lt; 6Yrs?",BA390)</f>
        <v>Widespread</v>
      </c>
      <c r="G390" s="363" t="s">
        <v>525</v>
      </c>
      <c r="H390" s="363" t="s">
        <v>686</v>
      </c>
      <c r="I390" s="366" t="s">
        <v>31</v>
      </c>
      <c r="J390" s="365" t="s">
        <v>3364</v>
      </c>
      <c r="K390" s="365" t="s">
        <v>987</v>
      </c>
      <c r="L390" s="10" t="s">
        <v>1472</v>
      </c>
      <c r="M390" s="8" t="s">
        <v>4467</v>
      </c>
      <c r="N390" s="8" t="s">
        <v>5363</v>
      </c>
      <c r="O390" s="8" t="s">
        <v>6260</v>
      </c>
      <c r="P390" s="9" t="s">
        <v>558</v>
      </c>
      <c r="Q390" s="59" t="s">
        <v>2552</v>
      </c>
      <c r="R390" s="160" t="s">
        <v>2497</v>
      </c>
      <c r="S390" s="17" t="s">
        <v>2495</v>
      </c>
      <c r="T390" s="123" t="str">
        <f>IF(R390="Bogs Ponds Streams","20",IF(R390="Coastal Areas","26",IF(R390="Meadows Dry Open","10",IF(R390="Forest &amp; Understory","14",IF(R390="Moist Open","12",IF(R390="Moist Shady","10",IF(R390="Sub-Alpine Slopes","0")))))))</f>
        <v>12</v>
      </c>
      <c r="U390" s="123" t="str">
        <f>IF(R390="Bogs Ponds Streams","52",IF(R390="Coastal Areas","51",IF(R390="Meadows Dry Open","53",IF(R390="Forest &amp; Understory","52",IF(R390="Moist Open","50",IF(R390="Moist Shady","46",IF(R390="Sub-Alpine Slopes","40")))))))</f>
        <v>50</v>
      </c>
      <c r="V390" s="123" t="str">
        <f>IF(R390="Bogs Ponds Streams","84",IF(R390="Coastal Areas","76",IF(R390="Meadows Dry Open","96", IF(R390="Forest &amp; Understory","90", IF(R390="Moist Open","88", IF(R390="Moist Shady","82", IF(R390="Sub-Alpine Slopes","80")))))))</f>
        <v>88</v>
      </c>
      <c r="W390" s="59">
        <v>20</v>
      </c>
      <c r="X390" s="59">
        <v>0</v>
      </c>
      <c r="Y390" s="59">
        <v>3500</v>
      </c>
      <c r="Z390" s="59" t="s">
        <v>2519</v>
      </c>
      <c r="AA390" s="59" t="s">
        <v>2518</v>
      </c>
      <c r="AB390" s="59">
        <v>6.8</v>
      </c>
      <c r="AC390" s="45">
        <f>C390+AK390+(0.1)*AL390</f>
        <v>18</v>
      </c>
      <c r="AD390" s="77">
        <v>132</v>
      </c>
      <c r="AE390" s="59">
        <v>5</v>
      </c>
      <c r="AF390" s="59">
        <v>5</v>
      </c>
      <c r="AG390" s="59">
        <v>1900</v>
      </c>
      <c r="AH390" s="77">
        <v>0</v>
      </c>
      <c r="AI390" s="59">
        <f ca="1">AJ390</f>
        <v>2019</v>
      </c>
      <c r="AJ390" s="18">
        <f ca="1">YEAR(TODAY())</f>
        <v>2019</v>
      </c>
      <c r="AK390" s="18">
        <v>10</v>
      </c>
      <c r="AL390" s="18">
        <v>0</v>
      </c>
      <c r="AM390" s="18">
        <v>1</v>
      </c>
      <c r="AN390" s="18">
        <v>1</v>
      </c>
      <c r="AO390" s="18">
        <v>5</v>
      </c>
      <c r="AP390" s="18">
        <v>1</v>
      </c>
      <c r="AQ390" s="18">
        <v>0</v>
      </c>
      <c r="AR390" s="18">
        <v>0</v>
      </c>
      <c r="AS390" s="18">
        <v>0</v>
      </c>
      <c r="AT390" s="18">
        <v>0</v>
      </c>
      <c r="AU390" s="18">
        <v>0</v>
      </c>
      <c r="AV390" s="18">
        <v>0</v>
      </c>
      <c r="AW390" s="18">
        <v>0</v>
      </c>
      <c r="AX390" s="18">
        <v>0</v>
      </c>
      <c r="AY390" s="233"/>
      <c r="AZ390" s="4"/>
      <c r="BA390" s="35" t="str">
        <f>IF(OR(S390="North America",S390="Rocky Mountain"), "Widespread",BC390)</f>
        <v>Widespread</v>
      </c>
      <c r="BB390" s="4"/>
      <c r="BC390" s="35" t="str">
        <f ca="1">IF(BE390&gt;2046, "Abundant",BE390)</f>
        <v>Abundant</v>
      </c>
      <c r="BD390" s="4"/>
      <c r="BE390" s="81">
        <f ca="1">YEAR($C$13)+(BG390*80)</f>
        <v>2104.3105682709447</v>
      </c>
      <c r="BF390" s="4"/>
      <c r="BG390" s="137">
        <f ca="1">BH390*$BH$14</f>
        <v>1.0663821033868093</v>
      </c>
      <c r="BH390" s="137">
        <f ca="1">(((BJ390+BK390+BM390+BN390)/4)*$BM$11)+(((BP390+BQ390)/2)*$BQ$11)+(((BU390+BV390+BW390)/3)*$BU$11)+(((BY390+BZ390+CA390+CB390+CC390)/5)*$CA$11)</f>
        <v>1.0663821033868093</v>
      </c>
      <c r="BI390" s="4"/>
      <c r="BJ390" s="33">
        <f>AP390/(AM390+AO390)</f>
        <v>0.16666666666666666</v>
      </c>
      <c r="BK390" s="33">
        <f>(AN390+AO390)/(AM390+AO390)</f>
        <v>1</v>
      </c>
      <c r="BL390" s="4"/>
      <c r="BM390" s="127">
        <f>CF390/102</f>
        <v>0.17647058823529413</v>
      </c>
      <c r="BN390" s="127">
        <f>C390/2</f>
        <v>4</v>
      </c>
      <c r="BO390" s="4"/>
      <c r="BP390" s="127">
        <f>(AK390)/($AW$6)</f>
        <v>0.10101010101010101</v>
      </c>
      <c r="BQ390" s="127">
        <f ca="1">(CH390-$AW$4)/((YEAR($C$13))-$AW$4)</f>
        <v>1</v>
      </c>
      <c r="BR390" s="127">
        <f>(AL390)/($AW$6)</f>
        <v>0</v>
      </c>
      <c r="BS390" s="4"/>
      <c r="BT390" s="127"/>
      <c r="BU390" s="127">
        <f ca="1">(CG390-$AW$4)/((YEAR($C$13))-$AW$4)</f>
        <v>1</v>
      </c>
      <c r="BV390" s="127">
        <f>AE390/5</f>
        <v>1</v>
      </c>
      <c r="BW390" s="127">
        <f>AF390/5</f>
        <v>1</v>
      </c>
      <c r="BX390" s="4"/>
      <c r="BY390" s="148" t="str">
        <f>IF(E390="A",".98",IF(E390="B",".99",IF(E390="C","1.00",IF(E390="D","1.00" ))))</f>
        <v>1.00</v>
      </c>
      <c r="BZ390" s="127">
        <f>(CE390+7)/10</f>
        <v>1</v>
      </c>
      <c r="CA390" s="76" t="str">
        <f>IF(D390="Fern",".97",IF(D390="Grass",".99",IF(D390="Herb",".97",IF(D390="Shrub",".99",IF(D390="Tree","1.00",IF(D390="Vine",".98"))))))</f>
        <v>.97</v>
      </c>
      <c r="CB390" s="149" t="str">
        <f>IF(R390="Bogs Ponds Streams",".96", IF(R390="Coastal Areas",".97",IF(R390="Meadows Dry Open",".96",IF(R390="Forest &amp; Understory",".97",IF(R390="Moist Open",".98",IF(R390="Moist Shady",".96",IF(R390="Sub-Alpine","1.0")))))))</f>
        <v>.98</v>
      </c>
      <c r="CC390" s="76" t="str">
        <f>IF(S390="Local Endemic",".50",IF(S390="Regional Endemic",".70",IF(S390="Cascadia",".90",IF(S390="Rocky Mountain",".95",IF(S390="North America",".99")))))</f>
        <v>.99</v>
      </c>
      <c r="CD390" s="4"/>
      <c r="CE390" s="21">
        <f>IF(W390&gt;3,3,W390)</f>
        <v>3</v>
      </c>
      <c r="CF390" s="21">
        <f>IF(AC390&gt;102,102,AC390)</f>
        <v>18</v>
      </c>
      <c r="CG390" s="34">
        <f ca="1">IF(AI390&lt;$AW$4,$AW$4,AI390)</f>
        <v>2019</v>
      </c>
      <c r="CH390" s="34">
        <f ca="1">IF(AJ390&lt;$AW$4,$AW$4,AJ390)</f>
        <v>2019</v>
      </c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</row>
    <row r="391" spans="1:115" s="13" customFormat="1" ht="15" customHeight="1" x14ac:dyDescent="0.3">
      <c r="A391" s="235"/>
      <c r="B391" s="218"/>
      <c r="C391" s="226">
        <v>2</v>
      </c>
      <c r="D391" s="104" t="s">
        <v>2505</v>
      </c>
      <c r="E391" s="104" t="s">
        <v>2501</v>
      </c>
      <c r="F391" s="400" t="str">
        <f ca="1">IF(BC391&lt;2025, "Extinct&lt; 6Yrs?",BA391)</f>
        <v>Abundant</v>
      </c>
      <c r="G391" s="369" t="s">
        <v>525</v>
      </c>
      <c r="H391" s="369" t="s">
        <v>4028</v>
      </c>
      <c r="I391" s="370" t="s">
        <v>55</v>
      </c>
      <c r="J391" s="371" t="s">
        <v>3769</v>
      </c>
      <c r="K391" s="371" t="s">
        <v>984</v>
      </c>
      <c r="L391" s="106" t="s">
        <v>1473</v>
      </c>
      <c r="M391" s="111" t="s">
        <v>4468</v>
      </c>
      <c r="N391" s="111" t="s">
        <v>5364</v>
      </c>
      <c r="O391" s="111" t="s">
        <v>6261</v>
      </c>
      <c r="P391" s="105" t="s">
        <v>51</v>
      </c>
      <c r="Q391" s="104" t="s">
        <v>2552</v>
      </c>
      <c r="R391" s="105" t="s">
        <v>2500</v>
      </c>
      <c r="S391" s="114" t="s">
        <v>2459</v>
      </c>
      <c r="T391" s="133" t="str">
        <f>IF(R391="Bogs Ponds Streams","20",IF(R391="Coastal Areas","26",IF(R391="Meadows Dry Open","10",IF(R391="Forest &amp; Understory","14",IF(R391="Moist Open","12",IF(R391="Moist Shady","10",IF(R391="Sub-Alpine Slopes","0")))))))</f>
        <v>10</v>
      </c>
      <c r="U391" s="133" t="str">
        <f>IF(R391="Bogs Ponds Streams","52",IF(R391="Coastal Areas","51",IF(R391="Meadows Dry Open","53",IF(R391="Forest &amp; Understory","52",IF(R391="Moist Open","50",IF(R391="Moist Shady","46",IF(R391="Sub-Alpine Slopes","40")))))))</f>
        <v>53</v>
      </c>
      <c r="V391" s="133" t="str">
        <f>IF(R391="Bogs Ponds Streams","84",IF(R391="Coastal Areas","76",IF(R391="Meadows Dry Open","96", IF(R391="Forest &amp; Understory","90", IF(R391="Moist Open","88", IF(R391="Moist Shady","82", IF(R391="Sub-Alpine Slopes","80")))))))</f>
        <v>96</v>
      </c>
      <c r="W391" s="104">
        <v>20</v>
      </c>
      <c r="X391" s="104">
        <v>0</v>
      </c>
      <c r="Y391" s="104">
        <v>3500</v>
      </c>
      <c r="Z391" s="104" t="s">
        <v>2519</v>
      </c>
      <c r="AA391" s="104" t="s">
        <v>2518</v>
      </c>
      <c r="AB391" s="104">
        <v>6.8</v>
      </c>
      <c r="AC391" s="107">
        <f>C391+AK391+(0.1)*AL391</f>
        <v>17.399999999999999</v>
      </c>
      <c r="AD391" s="113">
        <v>24</v>
      </c>
      <c r="AE391" s="104">
        <v>1</v>
      </c>
      <c r="AF391" s="104">
        <v>5</v>
      </c>
      <c r="AG391" s="104">
        <v>1900</v>
      </c>
      <c r="AH391" s="113">
        <v>0</v>
      </c>
      <c r="AI391" s="104">
        <f>AJ391</f>
        <v>2018</v>
      </c>
      <c r="AJ391" s="108">
        <v>2018</v>
      </c>
      <c r="AK391" s="108">
        <v>14</v>
      </c>
      <c r="AL391" s="108">
        <v>14</v>
      </c>
      <c r="AM391" s="109">
        <v>6</v>
      </c>
      <c r="AN391" s="109">
        <v>6</v>
      </c>
      <c r="AO391" s="110">
        <v>0</v>
      </c>
      <c r="AP391" s="109">
        <v>6</v>
      </c>
      <c r="AQ391" s="109">
        <v>0</v>
      </c>
      <c r="AR391" s="109">
        <v>0</v>
      </c>
      <c r="AS391" s="110">
        <v>0</v>
      </c>
      <c r="AT391" s="109">
        <v>0</v>
      </c>
      <c r="AU391" s="109">
        <v>0</v>
      </c>
      <c r="AV391" s="109">
        <v>0</v>
      </c>
      <c r="AW391" s="110">
        <v>0</v>
      </c>
      <c r="AX391" s="109">
        <v>0</v>
      </c>
      <c r="AY391" s="233"/>
      <c r="AZ391" s="4"/>
      <c r="BA391" s="35" t="str">
        <f ca="1">IF(OR(S391="North America",S391="Rocky Mountain"), "Widespread",BC391)</f>
        <v>Abundant</v>
      </c>
      <c r="BB391" s="4"/>
      <c r="BC391" s="35" t="str">
        <f ca="1">IF(BE391&gt;2046, "Abundant",BE391)</f>
        <v>Abundant</v>
      </c>
      <c r="BD391" s="4"/>
      <c r="BE391" s="81">
        <f ca="1">YEAR($C$13)+(BG391*80)</f>
        <v>2076.04073963161</v>
      </c>
      <c r="BF391" s="4"/>
      <c r="BG391" s="137">
        <f ca="1">BH391*$BH$14</f>
        <v>0.71300924539512767</v>
      </c>
      <c r="BH391" s="137">
        <f ca="1">(((BJ391+BK391+BM391+BN391)/4)*$BM$11)+(((BP391+BQ391)/2)*$BQ$11)+(((BU391+BV391+BW391)/3)*$BU$11)+(((BY391+BZ391+CA391+CB391+CC391)/5)*$CA$11)</f>
        <v>0.71300924539512767</v>
      </c>
      <c r="BI391" s="4"/>
      <c r="BJ391" s="33">
        <f>AP391/(AM391+AO391)</f>
        <v>1</v>
      </c>
      <c r="BK391" s="33">
        <f>(AN391+AO391)/(AM391+AO391)</f>
        <v>1</v>
      </c>
      <c r="BL391" s="4"/>
      <c r="BM391" s="127">
        <f>CF391/102</f>
        <v>0.17058823529411762</v>
      </c>
      <c r="BN391" s="127">
        <f>C391/2</f>
        <v>1</v>
      </c>
      <c r="BO391" s="4"/>
      <c r="BP391" s="127">
        <f>(AK391)/($AW$6)</f>
        <v>0.14141414141414141</v>
      </c>
      <c r="BQ391" s="127">
        <f ca="1">(CH391-$AW$4)/((YEAR($C$13))-$AW$4)</f>
        <v>0.93333333333333335</v>
      </c>
      <c r="BR391" s="127">
        <f>(AL391)/($AW$6)</f>
        <v>0.14141414141414141</v>
      </c>
      <c r="BS391" s="4"/>
      <c r="BT391" s="127"/>
      <c r="BU391" s="127">
        <f ca="1">(CG391-$AW$4)/((YEAR($C$13))-$AW$4)</f>
        <v>0.93333333333333335</v>
      </c>
      <c r="BV391" s="127">
        <f>AE391/5</f>
        <v>0.2</v>
      </c>
      <c r="BW391" s="127">
        <f>AF391/5</f>
        <v>1</v>
      </c>
      <c r="BX391" s="4"/>
      <c r="BY391" s="148" t="str">
        <f>IF(E391="A",".98",IF(E391="B",".99",IF(E391="C","1.00",IF(E391="D","1.00" ))))</f>
        <v>1.00</v>
      </c>
      <c r="BZ391" s="127">
        <f>(CE391+7)/10</f>
        <v>1</v>
      </c>
      <c r="CA391" s="76" t="str">
        <f>IF(D391="Fern",".97",IF(D391="Grass",".99",IF(D391="Herb",".97",IF(D391="Shrub",".99",IF(D391="Tree","1.00",IF(D391="Vine",".98"))))))</f>
        <v>.97</v>
      </c>
      <c r="CB391" s="149" t="str">
        <f>IF(R391="Bogs Ponds Streams",".96", IF(R391="Coastal Areas",".97",IF(R391="Meadows Dry Open",".96",IF(R391="Forest &amp; Understory",".97",IF(R391="Moist Open",".98",IF(R391="Moist Shady",".96",IF(R391="Sub-Alpine","1.0")))))))</f>
        <v>.96</v>
      </c>
      <c r="CC391" s="76" t="str">
        <f>IF(S391="Local Endemic",".50",IF(S391="Regional Endemic",".70",IF(S391="Cascadia",".90",IF(S391="Rocky Mountain",".95",IF(S391="North America",".99")))))</f>
        <v>.90</v>
      </c>
      <c r="CD391" s="4"/>
      <c r="CE391" s="21">
        <f>IF(W391&gt;3,3,W391)</f>
        <v>3</v>
      </c>
      <c r="CF391" s="21">
        <f>IF(AC391&gt;102,102,AC391)</f>
        <v>17.399999999999999</v>
      </c>
      <c r="CG391" s="34">
        <f>IF(AI391&lt;$AW$4,$AW$4,AI391)</f>
        <v>2018</v>
      </c>
      <c r="CH391" s="34">
        <f>IF(AJ391&lt;$AW$4,$AW$4,AJ391)</f>
        <v>2018</v>
      </c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</row>
    <row r="392" spans="1:115" s="13" customFormat="1" ht="15" customHeight="1" x14ac:dyDescent="0.3">
      <c r="A392" s="235"/>
      <c r="B392" s="218"/>
      <c r="C392" s="226">
        <v>2</v>
      </c>
      <c r="D392" s="104" t="s">
        <v>2505</v>
      </c>
      <c r="E392" s="104" t="s">
        <v>2501</v>
      </c>
      <c r="F392" s="400" t="str">
        <f ca="1">IF(BC392&lt;2025, "Extinct&lt; 6Yrs?",BA392)</f>
        <v>Widespread</v>
      </c>
      <c r="G392" s="369" t="s">
        <v>525</v>
      </c>
      <c r="H392" s="369" t="s">
        <v>4028</v>
      </c>
      <c r="I392" s="370" t="s">
        <v>57</v>
      </c>
      <c r="J392" s="371" t="s">
        <v>3768</v>
      </c>
      <c r="K392" s="371" t="s">
        <v>772</v>
      </c>
      <c r="L392" s="106" t="s">
        <v>1474</v>
      </c>
      <c r="M392" s="111" t="s">
        <v>4469</v>
      </c>
      <c r="N392" s="111" t="s">
        <v>5365</v>
      </c>
      <c r="O392" s="111" t="s">
        <v>6262</v>
      </c>
      <c r="P392" s="105" t="s">
        <v>51</v>
      </c>
      <c r="Q392" s="104" t="s">
        <v>2552</v>
      </c>
      <c r="R392" s="105" t="s">
        <v>2500</v>
      </c>
      <c r="S392" s="114" t="s">
        <v>2495</v>
      </c>
      <c r="T392" s="133" t="str">
        <f>IF(R392="Bogs Ponds Streams","20",IF(R392="Coastal Areas","26",IF(R392="Meadows Dry Open","10",IF(R392="Forest &amp; Understory","14",IF(R392="Moist Open","12",IF(R392="Moist Shady","10",IF(R392="Sub-Alpine Slopes","0")))))))</f>
        <v>10</v>
      </c>
      <c r="U392" s="133" t="str">
        <f>IF(R392="Bogs Ponds Streams","52",IF(R392="Coastal Areas","51",IF(R392="Meadows Dry Open","53",IF(R392="Forest &amp; Understory","52",IF(R392="Moist Open","50",IF(R392="Moist Shady","46",IF(R392="Sub-Alpine Slopes","40")))))))</f>
        <v>53</v>
      </c>
      <c r="V392" s="133" t="str">
        <f>IF(R392="Bogs Ponds Streams","84",IF(R392="Coastal Areas","76",IF(R392="Meadows Dry Open","96", IF(R392="Forest &amp; Understory","90", IF(R392="Moist Open","88", IF(R392="Moist Shady","82", IF(R392="Sub-Alpine Slopes","80")))))))</f>
        <v>96</v>
      </c>
      <c r="W392" s="104">
        <v>20</v>
      </c>
      <c r="X392" s="104">
        <v>0</v>
      </c>
      <c r="Y392" s="104">
        <v>3500</v>
      </c>
      <c r="Z392" s="104" t="s">
        <v>2519</v>
      </c>
      <c r="AA392" s="104" t="s">
        <v>2518</v>
      </c>
      <c r="AB392" s="104">
        <v>6.8</v>
      </c>
      <c r="AC392" s="107">
        <f>C392+AK392+(0.1)*AL392</f>
        <v>4.5</v>
      </c>
      <c r="AD392" s="113">
        <v>122</v>
      </c>
      <c r="AE392" s="104">
        <v>5</v>
      </c>
      <c r="AF392" s="104">
        <v>5</v>
      </c>
      <c r="AG392" s="104">
        <v>1900</v>
      </c>
      <c r="AH392" s="113">
        <v>0</v>
      </c>
      <c r="AI392" s="104">
        <f>AJ392</f>
        <v>2004</v>
      </c>
      <c r="AJ392" s="108">
        <v>2004</v>
      </c>
      <c r="AK392" s="108">
        <v>1</v>
      </c>
      <c r="AL392" s="108">
        <v>15</v>
      </c>
      <c r="AM392" s="109">
        <v>5</v>
      </c>
      <c r="AN392" s="109">
        <v>1</v>
      </c>
      <c r="AO392" s="110">
        <v>0</v>
      </c>
      <c r="AP392" s="109">
        <v>0</v>
      </c>
      <c r="AQ392" s="109">
        <v>0</v>
      </c>
      <c r="AR392" s="109">
        <v>0</v>
      </c>
      <c r="AS392" s="110">
        <v>0</v>
      </c>
      <c r="AT392" s="109">
        <v>0</v>
      </c>
      <c r="AU392" s="109">
        <v>0</v>
      </c>
      <c r="AV392" s="109">
        <v>0</v>
      </c>
      <c r="AW392" s="110">
        <v>0</v>
      </c>
      <c r="AX392" s="109">
        <v>0</v>
      </c>
      <c r="AY392" s="233"/>
      <c r="AZ392" s="4"/>
      <c r="BA392" s="35" t="str">
        <f>IF(OR(S392="North America",S392="Rocky Mountain"), "Widespread",BC392)</f>
        <v>Widespread</v>
      </c>
      <c r="BB392" s="4"/>
      <c r="BC392" s="35">
        <f ca="1">IF(BE392&gt;2046, "Abundant",BE392)</f>
        <v>2039.8916905525846</v>
      </c>
      <c r="BD392" s="4"/>
      <c r="BE392" s="81">
        <f ca="1">YEAR($C$13)+(BG392*80)</f>
        <v>2039.8916905525846</v>
      </c>
      <c r="BF392" s="4"/>
      <c r="BG392" s="137">
        <f ca="1">BH392*$BH$14</f>
        <v>0.26114613190730834</v>
      </c>
      <c r="BH392" s="137">
        <f ca="1">(((BJ392+BK392+BM392+BN392)/4)*$BM$11)+(((BP392+BQ392)/2)*$BQ$11)+(((BU392+BV392+BW392)/3)*$BU$11)+(((BY392+BZ392+CA392+CB392+CC392)/5)*$CA$11)</f>
        <v>0.26114613190730834</v>
      </c>
      <c r="BI392" s="4"/>
      <c r="BJ392" s="33">
        <f>AP392/(AM392+AO392)</f>
        <v>0</v>
      </c>
      <c r="BK392" s="33">
        <f>(AN392+AO392)/(AM392+AO392)</f>
        <v>0.2</v>
      </c>
      <c r="BL392" s="4"/>
      <c r="BM392" s="127">
        <f>CF392/102</f>
        <v>4.4117647058823532E-2</v>
      </c>
      <c r="BN392" s="127">
        <f>C392/2</f>
        <v>1</v>
      </c>
      <c r="BO392" s="4"/>
      <c r="BP392" s="127">
        <f>(AK392)/($AW$6)</f>
        <v>1.0101010101010102E-2</v>
      </c>
      <c r="BQ392" s="127">
        <f ca="1">(CH392-$AW$4)/((YEAR($C$13))-$AW$4)</f>
        <v>0</v>
      </c>
      <c r="BR392" s="127">
        <f>(AL392)/($AW$6)</f>
        <v>0.15151515151515152</v>
      </c>
      <c r="BS392" s="4"/>
      <c r="BT392" s="127"/>
      <c r="BU392" s="127">
        <f ca="1">(CG392-$AW$4)/((YEAR($C$13))-$AW$4)</f>
        <v>0</v>
      </c>
      <c r="BV392" s="127">
        <f>AE392/5</f>
        <v>1</v>
      </c>
      <c r="BW392" s="127">
        <f>AF392/5</f>
        <v>1</v>
      </c>
      <c r="BX392" s="4"/>
      <c r="BY392" s="148" t="str">
        <f>IF(E392="A",".98",IF(E392="B",".99",IF(E392="C","1.00",IF(E392="D","1.00" ))))</f>
        <v>1.00</v>
      </c>
      <c r="BZ392" s="127">
        <f>(CE392+7)/10</f>
        <v>1</v>
      </c>
      <c r="CA392" s="76" t="str">
        <f>IF(D392="Fern",".97",IF(D392="Grass",".99",IF(D392="Herb",".97",IF(D392="Shrub",".99",IF(D392="Tree","1.00",IF(D392="Vine",".98"))))))</f>
        <v>.97</v>
      </c>
      <c r="CB392" s="149" t="str">
        <f>IF(R392="Bogs Ponds Streams",".96", IF(R392="Coastal Areas",".97",IF(R392="Meadows Dry Open",".96",IF(R392="Forest &amp; Understory",".97",IF(R392="Moist Open",".98",IF(R392="Moist Shady",".96",IF(R392="Sub-Alpine","1.0")))))))</f>
        <v>.96</v>
      </c>
      <c r="CC392" s="76" t="str">
        <f>IF(S392="Local Endemic",".50",IF(S392="Regional Endemic",".70",IF(S392="Cascadia",".90",IF(S392="Rocky Mountain",".95",IF(S392="North America",".99")))))</f>
        <v>.99</v>
      </c>
      <c r="CD392" s="4"/>
      <c r="CE392" s="21">
        <f>IF(W392&gt;3,3,W392)</f>
        <v>3</v>
      </c>
      <c r="CF392" s="21">
        <f>IF(AC392&gt;102,102,AC392)</f>
        <v>4.5</v>
      </c>
      <c r="CG392" s="34">
        <f>IF(AI392&lt;$AW$4,$AW$4,AI392)</f>
        <v>2004</v>
      </c>
      <c r="CH392" s="34">
        <f>IF(AJ392&lt;$AW$4,$AW$4,AJ392)</f>
        <v>2004</v>
      </c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</row>
    <row r="393" spans="1:115" s="13" customFormat="1" ht="15" customHeight="1" x14ac:dyDescent="0.3">
      <c r="A393" s="235"/>
      <c r="B393" s="218"/>
      <c r="C393" s="225">
        <v>8</v>
      </c>
      <c r="D393" s="59" t="s">
        <v>2505</v>
      </c>
      <c r="E393" s="59" t="s">
        <v>2502</v>
      </c>
      <c r="F393" s="397" t="str">
        <f ca="1">IF(BC393&lt;2025, "Extinct&lt; 6Yrs?",BA393)</f>
        <v>Abundant</v>
      </c>
      <c r="G393" s="363" t="s">
        <v>525</v>
      </c>
      <c r="H393" s="363" t="s">
        <v>689</v>
      </c>
      <c r="I393" s="366" t="s">
        <v>3073</v>
      </c>
      <c r="J393" s="365" t="s">
        <v>3365</v>
      </c>
      <c r="K393" s="365" t="s">
        <v>985</v>
      </c>
      <c r="L393" s="10" t="s">
        <v>1475</v>
      </c>
      <c r="M393" s="8" t="s">
        <v>4470</v>
      </c>
      <c r="N393" s="8" t="s">
        <v>5366</v>
      </c>
      <c r="O393" s="8" t="s">
        <v>6263</v>
      </c>
      <c r="P393" s="9" t="s">
        <v>361</v>
      </c>
      <c r="Q393" s="59" t="s">
        <v>2552</v>
      </c>
      <c r="R393" s="9" t="s">
        <v>2500</v>
      </c>
      <c r="S393" s="9" t="s">
        <v>2459</v>
      </c>
      <c r="T393" s="123" t="str">
        <f>IF(R393="Bogs Ponds Streams","20",IF(R393="Coastal Areas","26",IF(R393="Meadows Dry Open","10",IF(R393="Forest &amp; Understory","14",IF(R393="Moist Open","12",IF(R393="Moist Shady","10",IF(R393="Sub-Alpine Slopes","0")))))))</f>
        <v>10</v>
      </c>
      <c r="U393" s="123" t="str">
        <f>IF(R393="Bogs Ponds Streams","52",IF(R393="Coastal Areas","51",IF(R393="Meadows Dry Open","53",IF(R393="Forest &amp; Understory","52",IF(R393="Moist Open","50",IF(R393="Moist Shady","46",IF(R393="Sub-Alpine Slopes","40")))))))</f>
        <v>53</v>
      </c>
      <c r="V393" s="123" t="str">
        <f>IF(R393="Bogs Ponds Streams","84",IF(R393="Coastal Areas","76",IF(R393="Meadows Dry Open","96", IF(R393="Forest &amp; Understory","90", IF(R393="Moist Open","88", IF(R393="Moist Shady","82", IF(R393="Sub-Alpine Slopes","80")))))))</f>
        <v>96</v>
      </c>
      <c r="W393" s="59">
        <v>1</v>
      </c>
      <c r="X393" s="59">
        <v>0</v>
      </c>
      <c r="Y393" s="59">
        <v>3500</v>
      </c>
      <c r="Z393" s="59" t="s">
        <v>2519</v>
      </c>
      <c r="AA393" s="59" t="s">
        <v>2518</v>
      </c>
      <c r="AB393" s="59">
        <v>6.8</v>
      </c>
      <c r="AC393" s="45">
        <f>C393+AK393+(0.1)*AL393</f>
        <v>11.3</v>
      </c>
      <c r="AD393" s="77">
        <v>18</v>
      </c>
      <c r="AE393" s="59">
        <v>5</v>
      </c>
      <c r="AF393" s="59">
        <v>5</v>
      </c>
      <c r="AG393" s="59">
        <v>1900</v>
      </c>
      <c r="AH393" s="77">
        <v>0</v>
      </c>
      <c r="AI393" s="59">
        <f ca="1">AJ393</f>
        <v>2019</v>
      </c>
      <c r="AJ393" s="18">
        <f ca="1">YEAR(TODAY())</f>
        <v>2019</v>
      </c>
      <c r="AK393" s="18">
        <v>3</v>
      </c>
      <c r="AL393" s="18">
        <v>3</v>
      </c>
      <c r="AM393" s="18">
        <v>1</v>
      </c>
      <c r="AN393" s="18">
        <v>1</v>
      </c>
      <c r="AO393" s="24">
        <v>1</v>
      </c>
      <c r="AP393" s="24">
        <v>0</v>
      </c>
      <c r="AQ393" s="18">
        <v>0</v>
      </c>
      <c r="AR393" s="18">
        <v>0</v>
      </c>
      <c r="AS393" s="18">
        <v>0</v>
      </c>
      <c r="AT393" s="18">
        <v>0</v>
      </c>
      <c r="AU393" s="18">
        <v>0</v>
      </c>
      <c r="AV393" s="18">
        <v>0</v>
      </c>
      <c r="AW393" s="18">
        <v>0</v>
      </c>
      <c r="AX393" s="18">
        <v>0</v>
      </c>
      <c r="AY393" s="233"/>
      <c r="AZ393" s="4"/>
      <c r="BA393" s="35" t="str">
        <f ca="1">IF(OR(S393="North America",S393="Rocky Mountain"), "Widespread",BC393)</f>
        <v>Abundant</v>
      </c>
      <c r="BB393" s="4"/>
      <c r="BC393" s="35" t="str">
        <f ca="1">IF(BE393&gt;2046, "Abundant",BE393)</f>
        <v>Abundant</v>
      </c>
      <c r="BD393" s="4"/>
      <c r="BE393" s="81">
        <f ca="1">YEAR($C$13)+(BG393*80)</f>
        <v>2100.568248128342</v>
      </c>
      <c r="BF393" s="4"/>
      <c r="BG393" s="137">
        <f ca="1">BH393*$BH$14</f>
        <v>1.0196031016042781</v>
      </c>
      <c r="BH393" s="137">
        <f ca="1">(((BJ393+BK393+BM393+BN393)/4)*$BM$11)+(((BP393+BQ393)/2)*$BQ$11)+(((BU393+BV393+BW393)/3)*$BU$11)+(((BY393+BZ393+CA393+CB393+CC393)/5)*$CA$11)</f>
        <v>1.0196031016042781</v>
      </c>
      <c r="BI393" s="4"/>
      <c r="BJ393" s="33">
        <f>AP393/(AM393+AO393)</f>
        <v>0</v>
      </c>
      <c r="BK393" s="33">
        <f>(AN393+AO393)/(AM393+AO393)</f>
        <v>1</v>
      </c>
      <c r="BL393" s="4"/>
      <c r="BM393" s="127">
        <f>CF393/102</f>
        <v>0.1107843137254902</v>
      </c>
      <c r="BN393" s="127">
        <f>C393/2</f>
        <v>4</v>
      </c>
      <c r="BO393" s="4"/>
      <c r="BP393" s="127">
        <f>(AK393)/($AW$6)</f>
        <v>3.0303030303030304E-2</v>
      </c>
      <c r="BQ393" s="127">
        <f ca="1">(CH393-$AW$4)/((YEAR($C$13))-$AW$4)</f>
        <v>1</v>
      </c>
      <c r="BR393" s="127">
        <f>(AL393)/($AW$6)</f>
        <v>3.0303030303030304E-2</v>
      </c>
      <c r="BS393" s="4"/>
      <c r="BT393" s="127"/>
      <c r="BU393" s="127">
        <f ca="1">(CG393-$AW$4)/((YEAR($C$13))-$AW$4)</f>
        <v>1</v>
      </c>
      <c r="BV393" s="127">
        <f>AE393/5</f>
        <v>1</v>
      </c>
      <c r="BW393" s="127">
        <f>AF393/5</f>
        <v>1</v>
      </c>
      <c r="BX393" s="4"/>
      <c r="BY393" s="148" t="str">
        <f>IF(E393="A",".98",IF(E393="B",".99",IF(E393="C","1.00",IF(E393="D","1.00" ))))</f>
        <v>.98</v>
      </c>
      <c r="BZ393" s="127">
        <f>(CE393+7)/10</f>
        <v>0.8</v>
      </c>
      <c r="CA393" s="76" t="str">
        <f>IF(D393="Fern",".97",IF(D393="Grass",".99",IF(D393="Herb",".97",IF(D393="Shrub",".99",IF(D393="Tree","1.00",IF(D393="Vine",".98"))))))</f>
        <v>.97</v>
      </c>
      <c r="CB393" s="149" t="str">
        <f>IF(R393="Bogs Ponds Streams",".96", IF(R393="Coastal Areas",".97",IF(R393="Meadows Dry Open",".96",IF(R393="Forest &amp; Understory",".97",IF(R393="Moist Open",".98",IF(R393="Moist Shady",".96",IF(R393="Sub-Alpine","1.0")))))))</f>
        <v>.96</v>
      </c>
      <c r="CC393" s="76" t="str">
        <f>IF(S393="Local Endemic",".50",IF(S393="Regional Endemic",".70",IF(S393="Cascadia",".90",IF(S393="Rocky Mountain",".95",IF(S393="North America",".99")))))</f>
        <v>.90</v>
      </c>
      <c r="CD393" s="4"/>
      <c r="CE393" s="21">
        <f>IF(W393&gt;3,3,W393)</f>
        <v>1</v>
      </c>
      <c r="CF393" s="21">
        <f>IF(AC393&gt;102,102,AC393)</f>
        <v>11.3</v>
      </c>
      <c r="CG393" s="34">
        <f ca="1">IF(AI393&lt;$AW$4,$AW$4,AI393)</f>
        <v>2019</v>
      </c>
      <c r="CH393" s="34">
        <f ca="1">IF(AJ393&lt;$AW$4,$AW$4,AJ393)</f>
        <v>2019</v>
      </c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</row>
    <row r="394" spans="1:115" s="13" customFormat="1" ht="15" customHeight="1" x14ac:dyDescent="0.3">
      <c r="A394" s="235"/>
      <c r="B394" s="218"/>
      <c r="C394" s="375">
        <v>1</v>
      </c>
      <c r="D394" s="67" t="s">
        <v>2505</v>
      </c>
      <c r="E394" s="67" t="s">
        <v>2501</v>
      </c>
      <c r="F394" s="403">
        <f ca="1">IF(BC394&lt;2025, "Extinct&lt; 6Yrs?",BA394)</f>
        <v>2031.7958673796791</v>
      </c>
      <c r="G394" s="376" t="s">
        <v>525</v>
      </c>
      <c r="H394" s="376" t="s">
        <v>4028</v>
      </c>
      <c r="I394" s="380" t="s">
        <v>1337</v>
      </c>
      <c r="J394" s="378" t="s">
        <v>1339</v>
      </c>
      <c r="K394" s="378" t="s">
        <v>1336</v>
      </c>
      <c r="L394" s="63" t="s">
        <v>2179</v>
      </c>
      <c r="M394" s="64" t="s">
        <v>4470</v>
      </c>
      <c r="N394" s="64" t="s">
        <v>5367</v>
      </c>
      <c r="O394" s="64" t="s">
        <v>6264</v>
      </c>
      <c r="P394" s="61" t="s">
        <v>361</v>
      </c>
      <c r="Q394" s="67" t="s">
        <v>2552</v>
      </c>
      <c r="R394" s="61" t="s">
        <v>2500</v>
      </c>
      <c r="S394" s="65" t="s">
        <v>2459</v>
      </c>
      <c r="T394" s="134" t="str">
        <f>IF(R394="Bogs Ponds Streams","20",IF(R394="Coastal Areas","26",IF(R394="Meadows Dry Open","10",IF(R394="Forest &amp; Understory","14",IF(R394="Moist Open","12",IF(R394="Moist Shady","10",IF(R394="Sub-Alpine Slopes","0")))))))</f>
        <v>10</v>
      </c>
      <c r="U394" s="134" t="str">
        <f>IF(R394="Bogs Ponds Streams","52",IF(R394="Coastal Areas","51",IF(R394="Meadows Dry Open","53",IF(R394="Forest &amp; Understory","52",IF(R394="Moist Open","50",IF(R394="Moist Shady","46",IF(R394="Sub-Alpine Slopes","40")))))))</f>
        <v>53</v>
      </c>
      <c r="V394" s="134" t="str">
        <f>IF(R394="Bogs Ponds Streams","84",IF(R394="Coastal Areas","76",IF(R394="Meadows Dry Open","96", IF(R394="Forest &amp; Understory","90", IF(R394="Moist Open","88", IF(R394="Moist Shady","82", IF(R394="Sub-Alpine Slopes","80")))))))</f>
        <v>96</v>
      </c>
      <c r="W394" s="67">
        <v>20</v>
      </c>
      <c r="X394" s="67">
        <v>0</v>
      </c>
      <c r="Y394" s="67">
        <v>3500</v>
      </c>
      <c r="Z394" s="67" t="s">
        <v>2519</v>
      </c>
      <c r="AA394" s="67" t="s">
        <v>2518</v>
      </c>
      <c r="AB394" s="67">
        <v>6.8</v>
      </c>
      <c r="AC394" s="85">
        <f>C394+AK394+(0.1)*AL394</f>
        <v>6.3000000000000007</v>
      </c>
      <c r="AD394" s="78">
        <v>375</v>
      </c>
      <c r="AE394" s="67">
        <v>5</v>
      </c>
      <c r="AF394" s="67">
        <v>5</v>
      </c>
      <c r="AG394" s="67">
        <v>1900</v>
      </c>
      <c r="AH394" s="78">
        <v>0</v>
      </c>
      <c r="AI394" s="67">
        <f>AJ394</f>
        <v>2004</v>
      </c>
      <c r="AJ394" s="69">
        <v>2004</v>
      </c>
      <c r="AK394" s="69">
        <v>2</v>
      </c>
      <c r="AL394" s="69">
        <v>33</v>
      </c>
      <c r="AM394" s="70">
        <v>5</v>
      </c>
      <c r="AN394" s="70">
        <v>0</v>
      </c>
      <c r="AO394" s="86">
        <v>0</v>
      </c>
      <c r="AP394" s="70">
        <v>0</v>
      </c>
      <c r="AQ394" s="70">
        <v>0</v>
      </c>
      <c r="AR394" s="70">
        <v>0</v>
      </c>
      <c r="AS394" s="86">
        <v>0</v>
      </c>
      <c r="AT394" s="70">
        <v>0</v>
      </c>
      <c r="AU394" s="70">
        <v>0</v>
      </c>
      <c r="AV394" s="70">
        <v>0</v>
      </c>
      <c r="AW394" s="86">
        <v>0</v>
      </c>
      <c r="AX394" s="70">
        <v>0</v>
      </c>
      <c r="AY394" s="233"/>
      <c r="AZ394" s="4"/>
      <c r="BA394" s="35">
        <f ca="1">IF(OR(S394="North America",S394="Rocky Mountain"), "Widespread",BC394)</f>
        <v>2031.7958673796791</v>
      </c>
      <c r="BB394" s="4"/>
      <c r="BC394" s="35">
        <f ca="1">IF(BE394&gt;2046, "Abundant",BE394)</f>
        <v>2031.7958673796791</v>
      </c>
      <c r="BD394" s="4"/>
      <c r="BE394" s="81">
        <f ca="1">YEAR($C$13)+(BG394*80)</f>
        <v>2031.7958673796791</v>
      </c>
      <c r="BF394" s="4"/>
      <c r="BG394" s="137">
        <f ca="1">BH394*$BH$14</f>
        <v>0.15994834224598931</v>
      </c>
      <c r="BH394" s="137">
        <f ca="1">(((BJ394+BK394+BM394+BN394)/4)*$BM$11)+(((BP394+BQ394)/2)*$BQ$11)+(((BU394+BV394+BW394)/3)*$BU$11)+(((BY394+BZ394+CA394+CB394+CC394)/5)*$CA$11)</f>
        <v>0.15994834224598931</v>
      </c>
      <c r="BI394" s="4"/>
      <c r="BJ394" s="33">
        <f>AP394/(AM394+AO394)</f>
        <v>0</v>
      </c>
      <c r="BK394" s="33">
        <f>(AN394+AO394)/(AM394+AO394)</f>
        <v>0</v>
      </c>
      <c r="BL394" s="4"/>
      <c r="BM394" s="127">
        <f>CF394/102</f>
        <v>6.1764705882352951E-2</v>
      </c>
      <c r="BN394" s="127">
        <f>C394/2</f>
        <v>0.5</v>
      </c>
      <c r="BO394" s="4"/>
      <c r="BP394" s="127">
        <f>(AK394)/($AW$6)</f>
        <v>2.0202020202020204E-2</v>
      </c>
      <c r="BQ394" s="127">
        <f ca="1">(CH394-$AW$4)/((YEAR($C$13))-$AW$4)</f>
        <v>0</v>
      </c>
      <c r="BR394" s="127">
        <f>(AL394)/($AW$6)</f>
        <v>0.33333333333333331</v>
      </c>
      <c r="BS394" s="4"/>
      <c r="BT394" s="127"/>
      <c r="BU394" s="127">
        <f ca="1">(CG394-$AW$4)/((YEAR($C$13))-$AW$4)</f>
        <v>0</v>
      </c>
      <c r="BV394" s="127">
        <f>AE394/5</f>
        <v>1</v>
      </c>
      <c r="BW394" s="127">
        <f>AF394/5</f>
        <v>1</v>
      </c>
      <c r="BX394" s="4"/>
      <c r="BY394" s="148" t="str">
        <f>IF(E394="A",".98",IF(E394="B",".99",IF(E394="C","1.00",IF(E394="D","1.00" ))))</f>
        <v>1.00</v>
      </c>
      <c r="BZ394" s="127">
        <f>(CE394+7)/10</f>
        <v>1</v>
      </c>
      <c r="CA394" s="76" t="str">
        <f>IF(D394="Fern",".97",IF(D394="Grass",".99",IF(D394="Herb",".97",IF(D394="Shrub",".99",IF(D394="Tree","1.00",IF(D394="Vine",".98"))))))</f>
        <v>.97</v>
      </c>
      <c r="CB394" s="149" t="str">
        <f>IF(R394="Bogs Ponds Streams",".96", IF(R394="Coastal Areas",".97",IF(R394="Meadows Dry Open",".96",IF(R394="Forest &amp; Understory",".97",IF(R394="Moist Open",".98",IF(R394="Moist Shady",".96",IF(R394="Sub-Alpine","1.0")))))))</f>
        <v>.96</v>
      </c>
      <c r="CC394" s="76" t="str">
        <f>IF(S394="Local Endemic",".50",IF(S394="Regional Endemic",".70",IF(S394="Cascadia",".90",IF(S394="Rocky Mountain",".95",IF(S394="North America",".99")))))</f>
        <v>.90</v>
      </c>
      <c r="CD394" s="4"/>
      <c r="CE394" s="21">
        <f>IF(W394&gt;3,3,W394)</f>
        <v>3</v>
      </c>
      <c r="CF394" s="21">
        <f>IF(AC394&gt;102,102,AC394)</f>
        <v>6.3000000000000007</v>
      </c>
      <c r="CG394" s="34">
        <f>IF(AI394&lt;$AW$4,$AW$4,AI394)</f>
        <v>2004</v>
      </c>
      <c r="CH394" s="34">
        <f>IF(AJ394&lt;$AW$4,$AW$4,AJ394)</f>
        <v>2004</v>
      </c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12"/>
    </row>
    <row r="395" spans="1:115" s="13" customFormat="1" ht="15" customHeight="1" x14ac:dyDescent="0.3">
      <c r="A395" s="235"/>
      <c r="B395" s="218"/>
      <c r="C395" s="225">
        <v>8</v>
      </c>
      <c r="D395" s="59" t="s">
        <v>2505</v>
      </c>
      <c r="E395" s="59" t="s">
        <v>2501</v>
      </c>
      <c r="F395" s="397" t="str">
        <f ca="1">IF(BC395&lt;2025, "Extinct&lt; 6Yrs?",BA395)</f>
        <v>Abundant</v>
      </c>
      <c r="G395" s="363" t="s">
        <v>525</v>
      </c>
      <c r="H395" s="363" t="s">
        <v>689</v>
      </c>
      <c r="I395" s="364" t="s">
        <v>1393</v>
      </c>
      <c r="J395" s="365" t="s">
        <v>3366</v>
      </c>
      <c r="K395" s="365" t="s">
        <v>1252</v>
      </c>
      <c r="L395" s="17" t="s">
        <v>1476</v>
      </c>
      <c r="M395" s="8" t="s">
        <v>4471</v>
      </c>
      <c r="N395" s="8" t="s">
        <v>5368</v>
      </c>
      <c r="O395" s="8" t="s">
        <v>6265</v>
      </c>
      <c r="P395" s="9" t="s">
        <v>361</v>
      </c>
      <c r="Q395" s="59" t="s">
        <v>2552</v>
      </c>
      <c r="R395" s="9" t="s">
        <v>2500</v>
      </c>
      <c r="S395" s="17" t="s">
        <v>2459</v>
      </c>
      <c r="T395" s="123" t="str">
        <f>IF(R395="Bogs Ponds Streams","20",IF(R395="Coastal Areas","26",IF(R395="Meadows Dry Open","10",IF(R395="Forest &amp; Understory","14",IF(R395="Moist Open","12",IF(R395="Moist Shady","10",IF(R395="Sub-Alpine Slopes","0")))))))</f>
        <v>10</v>
      </c>
      <c r="U395" s="123" t="str">
        <f>IF(R395="Bogs Ponds Streams","52",IF(R395="Coastal Areas","51",IF(R395="Meadows Dry Open","53",IF(R395="Forest &amp; Understory","52",IF(R395="Moist Open","50",IF(R395="Moist Shady","46",IF(R395="Sub-Alpine Slopes","40")))))))</f>
        <v>53</v>
      </c>
      <c r="V395" s="123" t="str">
        <f>IF(R395="Bogs Ponds Streams","84",IF(R395="Coastal Areas","76",IF(R395="Meadows Dry Open","96", IF(R395="Forest &amp; Understory","90", IF(R395="Moist Open","88", IF(R395="Moist Shady","82", IF(R395="Sub-Alpine Slopes","80")))))))</f>
        <v>96</v>
      </c>
      <c r="W395" s="59">
        <v>20</v>
      </c>
      <c r="X395" s="59">
        <v>0</v>
      </c>
      <c r="Y395" s="59">
        <v>3500</v>
      </c>
      <c r="Z395" s="59" t="s">
        <v>2519</v>
      </c>
      <c r="AA395" s="59" t="s">
        <v>2518</v>
      </c>
      <c r="AB395" s="59">
        <v>6.8</v>
      </c>
      <c r="AC395" s="45">
        <f>C395+AK395+(0.1)*AL395</f>
        <v>31.5</v>
      </c>
      <c r="AD395" s="77">
        <v>90</v>
      </c>
      <c r="AE395" s="59">
        <v>5</v>
      </c>
      <c r="AF395" s="59">
        <v>5</v>
      </c>
      <c r="AG395" s="59">
        <v>1900</v>
      </c>
      <c r="AH395" s="77">
        <v>0</v>
      </c>
      <c r="AI395" s="59">
        <f ca="1">AJ395</f>
        <v>2019</v>
      </c>
      <c r="AJ395" s="18">
        <f ca="1">YEAR(TODAY())</f>
        <v>2019</v>
      </c>
      <c r="AK395" s="18">
        <v>22</v>
      </c>
      <c r="AL395" s="18">
        <v>15</v>
      </c>
      <c r="AM395" s="18">
        <v>1</v>
      </c>
      <c r="AN395" s="18">
        <v>1</v>
      </c>
      <c r="AO395" s="25">
        <v>0</v>
      </c>
      <c r="AP395" s="24">
        <v>0</v>
      </c>
      <c r="AQ395" s="18">
        <v>0</v>
      </c>
      <c r="AR395" s="18">
        <v>0</v>
      </c>
      <c r="AS395" s="18">
        <v>0</v>
      </c>
      <c r="AT395" s="18">
        <v>0</v>
      </c>
      <c r="AU395" s="18">
        <v>0</v>
      </c>
      <c r="AV395" s="18">
        <v>0</v>
      </c>
      <c r="AW395" s="18">
        <v>0</v>
      </c>
      <c r="AX395" s="18">
        <v>0</v>
      </c>
      <c r="AY395" s="233"/>
      <c r="AZ395" s="4"/>
      <c r="BA395" s="35" t="str">
        <f ca="1">IF(OR(S395="North America",S395="Rocky Mountain"), "Widespread",BC395)</f>
        <v>Abundant</v>
      </c>
      <c r="BB395" s="4"/>
      <c r="BC395" s="35" t="str">
        <f ca="1">IF(BE395&gt;2046, "Abundant",BE395)</f>
        <v>Abundant</v>
      </c>
      <c r="BD395" s="4"/>
      <c r="BE395" s="81">
        <f ca="1">YEAR($C$13)+(BG395*80)</f>
        <v>2105.318149019608</v>
      </c>
      <c r="BF395" s="4"/>
      <c r="BG395" s="137">
        <f ca="1">BH395*$BH$14</f>
        <v>1.078976862745098</v>
      </c>
      <c r="BH395" s="137">
        <f ca="1">(((BJ395+BK395+BM395+BN395)/4)*$BM$11)+(((BP395+BQ395)/2)*$BQ$11)+(((BU395+BV395+BW395)/3)*$BU$11)+(((BY395+BZ395+CA395+CB395+CC395)/5)*$CA$11)</f>
        <v>1.078976862745098</v>
      </c>
      <c r="BI395" s="4"/>
      <c r="BJ395" s="33">
        <f>AP395/(AM395+AO395)</f>
        <v>0</v>
      </c>
      <c r="BK395" s="33">
        <f>(AN395+AO395)/(AM395+AO395)</f>
        <v>1</v>
      </c>
      <c r="BL395" s="4"/>
      <c r="BM395" s="127">
        <f>CF395/102</f>
        <v>0.30882352941176472</v>
      </c>
      <c r="BN395" s="127">
        <f>C395/2</f>
        <v>4</v>
      </c>
      <c r="BO395" s="4"/>
      <c r="BP395" s="127">
        <f>(AK395)/($AW$6)</f>
        <v>0.22222222222222221</v>
      </c>
      <c r="BQ395" s="127">
        <f ca="1">(CH395-$AW$4)/((YEAR($C$13))-$AW$4)</f>
        <v>1</v>
      </c>
      <c r="BR395" s="127">
        <f>(AL395)/($AW$6)</f>
        <v>0.15151515151515152</v>
      </c>
      <c r="BS395" s="4"/>
      <c r="BT395" s="127"/>
      <c r="BU395" s="127">
        <f ca="1">(CG395-$AW$4)/((YEAR($C$13))-$AW$4)</f>
        <v>1</v>
      </c>
      <c r="BV395" s="127">
        <f>AE395/5</f>
        <v>1</v>
      </c>
      <c r="BW395" s="127">
        <f>AF395/5</f>
        <v>1</v>
      </c>
      <c r="BX395" s="4"/>
      <c r="BY395" s="148" t="str">
        <f>IF(E395="A",".98",IF(E395="B",".99",IF(E395="C","1.00",IF(E395="D","1.00" ))))</f>
        <v>1.00</v>
      </c>
      <c r="BZ395" s="127">
        <f>(CE395+7)/10</f>
        <v>1</v>
      </c>
      <c r="CA395" s="76" t="str">
        <f>IF(D395="Fern",".97",IF(D395="Grass",".99",IF(D395="Herb",".97",IF(D395="Shrub",".99",IF(D395="Tree","1.00",IF(D395="Vine",".98"))))))</f>
        <v>.97</v>
      </c>
      <c r="CB395" s="149" t="str">
        <f>IF(R395="Bogs Ponds Streams",".96", IF(R395="Coastal Areas",".97",IF(R395="Meadows Dry Open",".96",IF(R395="Forest &amp; Understory",".97",IF(R395="Moist Open",".98",IF(R395="Moist Shady",".96",IF(R395="Sub-Alpine","1.0")))))))</f>
        <v>.96</v>
      </c>
      <c r="CC395" s="76" t="str">
        <f>IF(S395="Local Endemic",".50",IF(S395="Regional Endemic",".70",IF(S395="Cascadia",".90",IF(S395="Rocky Mountain",".95",IF(S395="North America",".99")))))</f>
        <v>.90</v>
      </c>
      <c r="CD395" s="4"/>
      <c r="CE395" s="21">
        <f>IF(W395&gt;3,3,W395)</f>
        <v>3</v>
      </c>
      <c r="CF395" s="21">
        <f>IF(AC395&gt;102,102,AC395)</f>
        <v>31.5</v>
      </c>
      <c r="CG395" s="34">
        <f ca="1">IF(AI395&lt;$AW$4,$AW$4,AI395)</f>
        <v>2019</v>
      </c>
      <c r="CH395" s="34">
        <f ca="1">IF(AJ395&lt;$AW$4,$AW$4,AJ395)</f>
        <v>2019</v>
      </c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</row>
    <row r="396" spans="1:115" s="13" customFormat="1" ht="15" customHeight="1" x14ac:dyDescent="0.3">
      <c r="A396" s="235"/>
      <c r="B396" s="218"/>
      <c r="C396" s="225">
        <v>8</v>
      </c>
      <c r="D396" s="59" t="s">
        <v>2505</v>
      </c>
      <c r="E396" s="59" t="s">
        <v>2502</v>
      </c>
      <c r="F396" s="397" t="str">
        <f ca="1">IF(BC396&lt;2025, "Extinct&lt; 6Yrs?",BA396)</f>
        <v>Abundant</v>
      </c>
      <c r="G396" s="363" t="s">
        <v>525</v>
      </c>
      <c r="H396" s="363" t="s">
        <v>685</v>
      </c>
      <c r="I396" s="366" t="s">
        <v>3074</v>
      </c>
      <c r="J396" s="365" t="s">
        <v>3367</v>
      </c>
      <c r="K396" s="365" t="s">
        <v>986</v>
      </c>
      <c r="L396" s="10" t="s">
        <v>1477</v>
      </c>
      <c r="M396" s="8" t="s">
        <v>4472</v>
      </c>
      <c r="N396" s="8" t="s">
        <v>5369</v>
      </c>
      <c r="O396" s="8" t="s">
        <v>6266</v>
      </c>
      <c r="P396" s="9" t="s">
        <v>361</v>
      </c>
      <c r="Q396" s="59" t="s">
        <v>2552</v>
      </c>
      <c r="R396" s="9" t="s">
        <v>2500</v>
      </c>
      <c r="S396" s="9" t="s">
        <v>2459</v>
      </c>
      <c r="T396" s="123" t="str">
        <f>IF(R396="Bogs Ponds Streams","20",IF(R396="Coastal Areas","26",IF(R396="Meadows Dry Open","10",IF(R396="Forest &amp; Understory","14",IF(R396="Moist Open","12",IF(R396="Moist Shady","10",IF(R396="Sub-Alpine Slopes","0")))))))</f>
        <v>10</v>
      </c>
      <c r="U396" s="123" t="str">
        <f>IF(R396="Bogs Ponds Streams","52",IF(R396="Coastal Areas","51",IF(R396="Meadows Dry Open","53",IF(R396="Forest &amp; Understory","52",IF(R396="Moist Open","50",IF(R396="Moist Shady","46",IF(R396="Sub-Alpine Slopes","40")))))))</f>
        <v>53</v>
      </c>
      <c r="V396" s="123" t="str">
        <f>IF(R396="Bogs Ponds Streams","84",IF(R396="Coastal Areas","76",IF(R396="Meadows Dry Open","96", IF(R396="Forest &amp; Understory","90", IF(R396="Moist Open","88", IF(R396="Moist Shady","82", IF(R396="Sub-Alpine Slopes","80")))))))</f>
        <v>96</v>
      </c>
      <c r="W396" s="59">
        <v>1</v>
      </c>
      <c r="X396" s="59">
        <v>0</v>
      </c>
      <c r="Y396" s="59">
        <v>3500</v>
      </c>
      <c r="Z396" s="59" t="s">
        <v>2519</v>
      </c>
      <c r="AA396" s="59" t="s">
        <v>2518</v>
      </c>
      <c r="AB396" s="59">
        <v>6.8</v>
      </c>
      <c r="AC396" s="45">
        <f>C396+AK396+(0.1)*AL396</f>
        <v>41.3</v>
      </c>
      <c r="AD396" s="77">
        <v>153</v>
      </c>
      <c r="AE396" s="59">
        <v>5</v>
      </c>
      <c r="AF396" s="59">
        <v>5</v>
      </c>
      <c r="AG396" s="59">
        <v>1900</v>
      </c>
      <c r="AH396" s="77">
        <v>0</v>
      </c>
      <c r="AI396" s="59">
        <f ca="1">AJ396</f>
        <v>2019</v>
      </c>
      <c r="AJ396" s="18">
        <f ca="1">YEAR(TODAY())</f>
        <v>2019</v>
      </c>
      <c r="AK396" s="18">
        <v>33</v>
      </c>
      <c r="AL396" s="18">
        <v>3</v>
      </c>
      <c r="AM396" s="18">
        <v>1</v>
      </c>
      <c r="AN396" s="18">
        <v>1</v>
      </c>
      <c r="AO396" s="18">
        <v>5</v>
      </c>
      <c r="AP396" s="18">
        <v>1</v>
      </c>
      <c r="AQ396" s="18">
        <v>0</v>
      </c>
      <c r="AR396" s="18">
        <v>0</v>
      </c>
      <c r="AS396" s="18">
        <v>0</v>
      </c>
      <c r="AT396" s="18">
        <v>0</v>
      </c>
      <c r="AU396" s="18">
        <v>0</v>
      </c>
      <c r="AV396" s="18">
        <v>0</v>
      </c>
      <c r="AW396" s="18">
        <v>0</v>
      </c>
      <c r="AX396" s="18">
        <v>0</v>
      </c>
      <c r="AY396" s="233"/>
      <c r="AZ396" s="4"/>
      <c r="BA396" s="35" t="str">
        <f ca="1">IF(OR(S396="North America",S396="Rocky Mountain"), "Widespread",BC396)</f>
        <v>Abundant</v>
      </c>
      <c r="BB396" s="4"/>
      <c r="BC396" s="35" t="str">
        <f ca="1">IF(BE396&gt;2046, "Abundant",BE396)</f>
        <v>Abundant</v>
      </c>
      <c r="BD396" s="4"/>
      <c r="BE396" s="81">
        <f ca="1">YEAR($C$13)+(BG396*80)</f>
        <v>2109.7340235294118</v>
      </c>
      <c r="BF396" s="4"/>
      <c r="BG396" s="137">
        <f ca="1">BH396*$BH$14</f>
        <v>1.1341752941176471</v>
      </c>
      <c r="BH396" s="137">
        <f ca="1">(((BJ396+BK396+BM396+BN396)/4)*$BM$11)+(((BP396+BQ396)/2)*$BQ$11)+(((BU396+BV396+BW396)/3)*$BU$11)+(((BY396+BZ396+CA396+CB396+CC396)/5)*$CA$11)</f>
        <v>1.1341752941176471</v>
      </c>
      <c r="BI396" s="4"/>
      <c r="BJ396" s="33">
        <f>AP396/(AM396+AO396)</f>
        <v>0.16666666666666666</v>
      </c>
      <c r="BK396" s="33">
        <f>(AN396+AO396)/(AM396+AO396)</f>
        <v>1</v>
      </c>
      <c r="BL396" s="4"/>
      <c r="BM396" s="127">
        <f>CF396/102</f>
        <v>0.40490196078431367</v>
      </c>
      <c r="BN396" s="127">
        <f>C396/2</f>
        <v>4</v>
      </c>
      <c r="BO396" s="4"/>
      <c r="BP396" s="127">
        <f>(AK396)/($AW$6)</f>
        <v>0.33333333333333331</v>
      </c>
      <c r="BQ396" s="127">
        <f ca="1">(CH396-$AW$4)/((YEAR($C$13))-$AW$4)</f>
        <v>1</v>
      </c>
      <c r="BR396" s="127">
        <f>(AL396)/($AW$6)</f>
        <v>3.0303030303030304E-2</v>
      </c>
      <c r="BS396" s="4"/>
      <c r="BT396" s="127"/>
      <c r="BU396" s="127">
        <f ca="1">(CG396-$AW$4)/((YEAR($C$13))-$AW$4)</f>
        <v>1</v>
      </c>
      <c r="BV396" s="127">
        <f>AE396/5</f>
        <v>1</v>
      </c>
      <c r="BW396" s="127">
        <f>AF396/5</f>
        <v>1</v>
      </c>
      <c r="BX396" s="4"/>
      <c r="BY396" s="148" t="str">
        <f>IF(E396="A",".98",IF(E396="B",".99",IF(E396="C","1.00",IF(E396="D","1.00" ))))</f>
        <v>.98</v>
      </c>
      <c r="BZ396" s="127">
        <f>(CE396+7)/10</f>
        <v>0.8</v>
      </c>
      <c r="CA396" s="76" t="str">
        <f>IF(D396="Fern",".97",IF(D396="Grass",".99",IF(D396="Herb",".97",IF(D396="Shrub",".99",IF(D396="Tree","1.00",IF(D396="Vine",".98"))))))</f>
        <v>.97</v>
      </c>
      <c r="CB396" s="149" t="str">
        <f>IF(R396="Bogs Ponds Streams",".96", IF(R396="Coastal Areas",".97",IF(R396="Meadows Dry Open",".96",IF(R396="Forest &amp; Understory",".97",IF(R396="Moist Open",".98",IF(R396="Moist Shady",".96",IF(R396="Sub-Alpine","1.0")))))))</f>
        <v>.96</v>
      </c>
      <c r="CC396" s="76" t="str">
        <f>IF(S396="Local Endemic",".50",IF(S396="Regional Endemic",".70",IF(S396="Cascadia",".90",IF(S396="Rocky Mountain",".95",IF(S396="North America",".99")))))</f>
        <v>.90</v>
      </c>
      <c r="CD396" s="4"/>
      <c r="CE396" s="21">
        <f>IF(W396&gt;3,3,W396)</f>
        <v>1</v>
      </c>
      <c r="CF396" s="21">
        <f>IF(AC396&gt;102,102,AC396)</f>
        <v>41.3</v>
      </c>
      <c r="CG396" s="34">
        <f ca="1">IF(AI396&lt;$AW$4,$AW$4,AI396)</f>
        <v>2019</v>
      </c>
      <c r="CH396" s="34">
        <f ca="1">IF(AJ396&lt;$AW$4,$AW$4,AJ396)</f>
        <v>2019</v>
      </c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</row>
    <row r="397" spans="1:115" s="13" customFormat="1" ht="15" customHeight="1" x14ac:dyDescent="0.3">
      <c r="A397" s="235"/>
      <c r="B397" s="218"/>
      <c r="C397" s="225">
        <v>8</v>
      </c>
      <c r="D397" s="59" t="s">
        <v>2505</v>
      </c>
      <c r="E397" s="59" t="s">
        <v>2501</v>
      </c>
      <c r="F397" s="397" t="str">
        <f ca="1">IF(BC397&lt;2025, "Extinct&lt; 6Yrs?",BA397)</f>
        <v>Widespread</v>
      </c>
      <c r="G397" s="363" t="s">
        <v>525</v>
      </c>
      <c r="H397" s="363" t="s">
        <v>689</v>
      </c>
      <c r="I397" s="366" t="s">
        <v>52</v>
      </c>
      <c r="J397" s="365" t="s">
        <v>3368</v>
      </c>
      <c r="K397" s="365" t="s">
        <v>992</v>
      </c>
      <c r="L397" s="10" t="s">
        <v>1478</v>
      </c>
      <c r="M397" s="8" t="s">
        <v>4473</v>
      </c>
      <c r="N397" s="8" t="s">
        <v>5370</v>
      </c>
      <c r="O397" s="8" t="s">
        <v>6267</v>
      </c>
      <c r="P397" s="9" t="s">
        <v>51</v>
      </c>
      <c r="Q397" s="59" t="s">
        <v>2552</v>
      </c>
      <c r="R397" s="9" t="s">
        <v>2500</v>
      </c>
      <c r="S397" s="9" t="s">
        <v>2495</v>
      </c>
      <c r="T397" s="123" t="str">
        <f>IF(R397="Bogs Ponds Streams","20",IF(R397="Coastal Areas","26",IF(R397="Meadows Dry Open","10",IF(R397="Forest &amp; Understory","14",IF(R397="Moist Open","12",IF(R397="Moist Shady","10",IF(R397="Sub-Alpine Slopes","0")))))))</f>
        <v>10</v>
      </c>
      <c r="U397" s="123" t="str">
        <f>IF(R397="Bogs Ponds Streams","52",IF(R397="Coastal Areas","51",IF(R397="Meadows Dry Open","53",IF(R397="Forest &amp; Understory","52",IF(R397="Moist Open","50",IF(R397="Moist Shady","46",IF(R397="Sub-Alpine Slopes","40")))))))</f>
        <v>53</v>
      </c>
      <c r="V397" s="123" t="str">
        <f>IF(R397="Bogs Ponds Streams","84",IF(R397="Coastal Areas","76",IF(R397="Meadows Dry Open","96", IF(R397="Forest &amp; Understory","90", IF(R397="Moist Open","88", IF(R397="Moist Shady","82", IF(R397="Sub-Alpine Slopes","80")))))))</f>
        <v>96</v>
      </c>
      <c r="W397" s="59">
        <v>20</v>
      </c>
      <c r="X397" s="59">
        <v>0</v>
      </c>
      <c r="Y397" s="59">
        <v>3500</v>
      </c>
      <c r="Z397" s="59" t="s">
        <v>2519</v>
      </c>
      <c r="AA397" s="59" t="s">
        <v>2518</v>
      </c>
      <c r="AB397" s="59">
        <v>6.8</v>
      </c>
      <c r="AC397" s="45">
        <f>C397+AK397+(0.1)*AL397</f>
        <v>55.3</v>
      </c>
      <c r="AD397" s="77">
        <v>205</v>
      </c>
      <c r="AE397" s="59">
        <v>5</v>
      </c>
      <c r="AF397" s="59">
        <v>5</v>
      </c>
      <c r="AG397" s="59">
        <v>1900</v>
      </c>
      <c r="AH397" s="77">
        <v>0</v>
      </c>
      <c r="AI397" s="59">
        <f ca="1">AJ397</f>
        <v>2019</v>
      </c>
      <c r="AJ397" s="18">
        <f ca="1">YEAR(TODAY())</f>
        <v>2019</v>
      </c>
      <c r="AK397" s="18">
        <v>44</v>
      </c>
      <c r="AL397" s="18">
        <v>33</v>
      </c>
      <c r="AM397" s="18">
        <v>1</v>
      </c>
      <c r="AN397" s="18">
        <v>1</v>
      </c>
      <c r="AO397" s="18">
        <v>5</v>
      </c>
      <c r="AP397" s="18">
        <v>1</v>
      </c>
      <c r="AQ397" s="18">
        <v>0</v>
      </c>
      <c r="AR397" s="18">
        <v>0</v>
      </c>
      <c r="AS397" s="18">
        <v>0</v>
      </c>
      <c r="AT397" s="18">
        <v>0</v>
      </c>
      <c r="AU397" s="18">
        <v>0</v>
      </c>
      <c r="AV397" s="18">
        <v>0</v>
      </c>
      <c r="AW397" s="18">
        <v>0</v>
      </c>
      <c r="AX397" s="18">
        <v>0</v>
      </c>
      <c r="AY397" s="233"/>
      <c r="AZ397" s="4"/>
      <c r="BA397" s="35" t="str">
        <f>IF(OR(S397="North America",S397="Rocky Mountain"), "Widespread",BC397)</f>
        <v>Widespread</v>
      </c>
      <c r="BB397" s="4"/>
      <c r="BC397" s="35" t="str">
        <f ca="1">IF(BE397&gt;2046, "Abundant",BE397)</f>
        <v>Abundant</v>
      </c>
      <c r="BD397" s="4"/>
      <c r="BE397" s="81">
        <f ca="1">YEAR($C$13)+(BG397*80)</f>
        <v>2112.8136156862747</v>
      </c>
      <c r="BF397" s="4"/>
      <c r="BG397" s="137">
        <f ca="1">BH397*$BH$14</f>
        <v>1.1726701960784314</v>
      </c>
      <c r="BH397" s="137">
        <f ca="1">(((BJ397+BK397+BM397+BN397)/4)*$BM$11)+(((BP397+BQ397)/2)*$BQ$11)+(((BU397+BV397+BW397)/3)*$BU$11)+(((BY397+BZ397+CA397+CB397+CC397)/5)*$CA$11)</f>
        <v>1.1726701960784314</v>
      </c>
      <c r="BI397" s="4"/>
      <c r="BJ397" s="33">
        <f>AP397/(AM397+AO397)</f>
        <v>0.16666666666666666</v>
      </c>
      <c r="BK397" s="33">
        <f>(AN397+AO397)/(AM397+AO397)</f>
        <v>1</v>
      </c>
      <c r="BL397" s="4"/>
      <c r="BM397" s="127">
        <f>CF397/102</f>
        <v>0.542156862745098</v>
      </c>
      <c r="BN397" s="127">
        <f>C397/2</f>
        <v>4</v>
      </c>
      <c r="BO397" s="4"/>
      <c r="BP397" s="127">
        <f>(AK397)/($AW$6)</f>
        <v>0.44444444444444442</v>
      </c>
      <c r="BQ397" s="127">
        <f ca="1">(CH397-$AW$4)/((YEAR($C$13))-$AW$4)</f>
        <v>1</v>
      </c>
      <c r="BR397" s="127">
        <f>(AL397)/($AW$6)</f>
        <v>0.33333333333333331</v>
      </c>
      <c r="BS397" s="4"/>
      <c r="BT397" s="127"/>
      <c r="BU397" s="127">
        <f ca="1">(CG397-$AW$4)/((YEAR($C$13))-$AW$4)</f>
        <v>1</v>
      </c>
      <c r="BV397" s="127">
        <f>AE397/5</f>
        <v>1</v>
      </c>
      <c r="BW397" s="127">
        <f>AF397/5</f>
        <v>1</v>
      </c>
      <c r="BX397" s="4"/>
      <c r="BY397" s="148" t="str">
        <f>IF(E397="A",".98",IF(E397="B",".99",IF(E397="C","1.00",IF(E397="D","1.00" ))))</f>
        <v>1.00</v>
      </c>
      <c r="BZ397" s="127">
        <f>(CE397+7)/10</f>
        <v>1</v>
      </c>
      <c r="CA397" s="76" t="str">
        <f>IF(D397="Fern",".97",IF(D397="Grass",".99",IF(D397="Herb",".97",IF(D397="Shrub",".99",IF(D397="Tree","1.00",IF(D397="Vine",".98"))))))</f>
        <v>.97</v>
      </c>
      <c r="CB397" s="149" t="str">
        <f>IF(R397="Bogs Ponds Streams",".96", IF(R397="Coastal Areas",".97",IF(R397="Meadows Dry Open",".96",IF(R397="Forest &amp; Understory",".97",IF(R397="Moist Open",".98",IF(R397="Moist Shady",".96",IF(R397="Sub-Alpine","1.0")))))))</f>
        <v>.96</v>
      </c>
      <c r="CC397" s="76" t="str">
        <f>IF(S397="Local Endemic",".50",IF(S397="Regional Endemic",".70",IF(S397="Cascadia",".90",IF(S397="Rocky Mountain",".95",IF(S397="North America",".99")))))</f>
        <v>.99</v>
      </c>
      <c r="CD397" s="4"/>
      <c r="CE397" s="21">
        <f>IF(W397&gt;3,3,W397)</f>
        <v>3</v>
      </c>
      <c r="CF397" s="21">
        <f>IF(AC397&gt;102,102,AC397)</f>
        <v>55.3</v>
      </c>
      <c r="CG397" s="34">
        <f ca="1">IF(AI397&lt;$AW$4,$AW$4,AI397)</f>
        <v>2019</v>
      </c>
      <c r="CH397" s="34">
        <f ca="1">IF(AJ397&lt;$AW$4,$AW$4,AJ397)</f>
        <v>2019</v>
      </c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</row>
    <row r="398" spans="1:115" s="13" customFormat="1" ht="15" customHeight="1" x14ac:dyDescent="0.3">
      <c r="A398" s="235"/>
      <c r="B398" s="218"/>
      <c r="C398" s="375">
        <v>1</v>
      </c>
      <c r="D398" s="67" t="s">
        <v>2505</v>
      </c>
      <c r="E398" s="67" t="s">
        <v>2501</v>
      </c>
      <c r="F398" s="403" t="str">
        <f ca="1">IF(BC398&lt;2025, "Extinct&lt; 6Yrs?",BA398)</f>
        <v>Widespread</v>
      </c>
      <c r="G398" s="376" t="s">
        <v>525</v>
      </c>
      <c r="H398" s="376" t="s">
        <v>4028</v>
      </c>
      <c r="I398" s="380" t="s">
        <v>1272</v>
      </c>
      <c r="J398" s="378" t="s">
        <v>3607</v>
      </c>
      <c r="K398" s="378" t="s">
        <v>1271</v>
      </c>
      <c r="L398" s="63" t="s">
        <v>1479</v>
      </c>
      <c r="M398" s="64" t="s">
        <v>4474</v>
      </c>
      <c r="N398" s="64" t="s">
        <v>5371</v>
      </c>
      <c r="O398" s="64" t="s">
        <v>6268</v>
      </c>
      <c r="P398" s="61" t="s">
        <v>51</v>
      </c>
      <c r="Q398" s="67" t="s">
        <v>2552</v>
      </c>
      <c r="R398" s="61" t="s">
        <v>2500</v>
      </c>
      <c r="S398" s="61" t="s">
        <v>2479</v>
      </c>
      <c r="T398" s="134" t="str">
        <f>IF(R398="Bogs Ponds Streams","20",IF(R398="Coastal Areas","26",IF(R398="Meadows Dry Open","10",IF(R398="Forest &amp; Understory","14",IF(R398="Moist Open","12",IF(R398="Moist Shady","10",IF(R398="Sub-Alpine Slopes","0")))))))</f>
        <v>10</v>
      </c>
      <c r="U398" s="134" t="str">
        <f>IF(R398="Bogs Ponds Streams","52",IF(R398="Coastal Areas","51",IF(R398="Meadows Dry Open","53",IF(R398="Forest &amp; Understory","52",IF(R398="Moist Open","50",IF(R398="Moist Shady","46",IF(R398="Sub-Alpine Slopes","40")))))))</f>
        <v>53</v>
      </c>
      <c r="V398" s="134" t="str">
        <f>IF(R398="Bogs Ponds Streams","84",IF(R398="Coastal Areas","76",IF(R398="Meadows Dry Open","96", IF(R398="Forest &amp; Understory","90", IF(R398="Moist Open","88", IF(R398="Moist Shady","82", IF(R398="Sub-Alpine Slopes","80")))))))</f>
        <v>96</v>
      </c>
      <c r="W398" s="67">
        <v>20</v>
      </c>
      <c r="X398" s="67">
        <v>0</v>
      </c>
      <c r="Y398" s="67">
        <v>3500</v>
      </c>
      <c r="Z398" s="67" t="s">
        <v>2519</v>
      </c>
      <c r="AA398" s="67" t="s">
        <v>2518</v>
      </c>
      <c r="AB398" s="67">
        <v>6.8</v>
      </c>
      <c r="AC398" s="85">
        <f>C398+AK398+(0.1)*AL398</f>
        <v>10.3</v>
      </c>
      <c r="AD398" s="78">
        <v>263</v>
      </c>
      <c r="AE398" s="67">
        <v>5</v>
      </c>
      <c r="AF398" s="67">
        <v>5</v>
      </c>
      <c r="AG398" s="67">
        <v>1900</v>
      </c>
      <c r="AH398" s="78">
        <v>0</v>
      </c>
      <c r="AI398" s="67">
        <f>AJ398</f>
        <v>2004</v>
      </c>
      <c r="AJ398" s="69">
        <v>2004</v>
      </c>
      <c r="AK398" s="69">
        <v>6</v>
      </c>
      <c r="AL398" s="69">
        <v>33</v>
      </c>
      <c r="AM398" s="70">
        <v>5</v>
      </c>
      <c r="AN398" s="70">
        <v>0</v>
      </c>
      <c r="AO398" s="86">
        <v>0</v>
      </c>
      <c r="AP398" s="70">
        <v>0</v>
      </c>
      <c r="AQ398" s="70">
        <v>0</v>
      </c>
      <c r="AR398" s="70">
        <v>0</v>
      </c>
      <c r="AS398" s="86">
        <v>0</v>
      </c>
      <c r="AT398" s="70">
        <v>0</v>
      </c>
      <c r="AU398" s="70">
        <v>0</v>
      </c>
      <c r="AV398" s="70">
        <v>0</v>
      </c>
      <c r="AW398" s="86">
        <v>0</v>
      </c>
      <c r="AX398" s="70">
        <v>0</v>
      </c>
      <c r="AY398" s="233"/>
      <c r="AZ398" s="4"/>
      <c r="BA398" s="35" t="str">
        <f>IF(OR(S398="North America",S398="Rocky Mountain"), "Widespread",BC398)</f>
        <v>Widespread</v>
      </c>
      <c r="BB398" s="4"/>
      <c r="BC398" s="35">
        <f ca="1">IF(BE398&gt;2046, "Abundant",BE398)</f>
        <v>2032.7673040998218</v>
      </c>
      <c r="BD398" s="4"/>
      <c r="BE398" s="81">
        <f ca="1">YEAR($C$13)+(BG398*80)</f>
        <v>2032.7673040998218</v>
      </c>
      <c r="BF398" s="4"/>
      <c r="BG398" s="137">
        <f ca="1">BH398*$BH$14</f>
        <v>0.17209130124777183</v>
      </c>
      <c r="BH398" s="137">
        <f ca="1">(((BJ398+BK398+BM398+BN398)/4)*$BM$11)+(((BP398+BQ398)/2)*$BQ$11)+(((BU398+BV398+BW398)/3)*$BU$11)+(((BY398+BZ398+CA398+CB398+CC398)/5)*$CA$11)</f>
        <v>0.17209130124777183</v>
      </c>
      <c r="BI398" s="4"/>
      <c r="BJ398" s="33">
        <f>AP398/(AM398+AO398)</f>
        <v>0</v>
      </c>
      <c r="BK398" s="33">
        <f>(AN398+AO398)/(AM398+AO398)</f>
        <v>0</v>
      </c>
      <c r="BL398" s="4"/>
      <c r="BM398" s="127">
        <f>CF398/102</f>
        <v>0.10098039215686275</v>
      </c>
      <c r="BN398" s="127">
        <f>C398/2</f>
        <v>0.5</v>
      </c>
      <c r="BO398" s="4"/>
      <c r="BP398" s="127">
        <f>(AK398)/($AW$6)</f>
        <v>6.0606060606060608E-2</v>
      </c>
      <c r="BQ398" s="127">
        <f ca="1">(CH398-$AW$4)/((YEAR($C$13))-$AW$4)</f>
        <v>0</v>
      </c>
      <c r="BR398" s="127">
        <f>(AL398)/($AW$6)</f>
        <v>0.33333333333333331</v>
      </c>
      <c r="BS398" s="4"/>
      <c r="BT398" s="127"/>
      <c r="BU398" s="127">
        <f ca="1">(CG398-$AW$4)/((YEAR($C$13))-$AW$4)</f>
        <v>0</v>
      </c>
      <c r="BV398" s="127">
        <f>AE398/5</f>
        <v>1</v>
      </c>
      <c r="BW398" s="127">
        <f>AF398/5</f>
        <v>1</v>
      </c>
      <c r="BX398" s="4"/>
      <c r="BY398" s="148" t="str">
        <f>IF(E398="A",".98",IF(E398="B",".99",IF(E398="C","1.00",IF(E398="D","1.00" ))))</f>
        <v>1.00</v>
      </c>
      <c r="BZ398" s="127">
        <f>(CE398+7)/10</f>
        <v>1</v>
      </c>
      <c r="CA398" s="76" t="str">
        <f>IF(D398="Fern",".97",IF(D398="Grass",".99",IF(D398="Herb",".97",IF(D398="Shrub",".99",IF(D398="Tree","1.00",IF(D398="Vine",".98"))))))</f>
        <v>.97</v>
      </c>
      <c r="CB398" s="149" t="str">
        <f>IF(R398="Bogs Ponds Streams",".96", IF(R398="Coastal Areas",".97",IF(R398="Meadows Dry Open",".96",IF(R398="Forest &amp; Understory",".97",IF(R398="Moist Open",".98",IF(R398="Moist Shady",".96",IF(R398="Sub-Alpine","1.0")))))))</f>
        <v>.96</v>
      </c>
      <c r="CC398" s="76" t="str">
        <f>IF(S398="Local Endemic",".50",IF(S398="Regional Endemic",".70",IF(S398="Cascadia",".90",IF(S398="Rocky Mountain",".95",IF(S398="North America",".99")))))</f>
        <v>.95</v>
      </c>
      <c r="CD398" s="4"/>
      <c r="CE398" s="21">
        <f>IF(W398&gt;3,3,W398)</f>
        <v>3</v>
      </c>
      <c r="CF398" s="21">
        <f>IF(AC398&gt;102,102,AC398)</f>
        <v>10.3</v>
      </c>
      <c r="CG398" s="34">
        <f>IF(AI398&lt;$AW$4,$AW$4,AI398)</f>
        <v>2004</v>
      </c>
      <c r="CH398" s="34">
        <f>IF(AJ398&lt;$AW$4,$AW$4,AJ398)</f>
        <v>2004</v>
      </c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12"/>
    </row>
    <row r="399" spans="1:115" s="13" customFormat="1" ht="15" customHeight="1" x14ac:dyDescent="0.3">
      <c r="A399" s="235"/>
      <c r="B399" s="218"/>
      <c r="C399" s="375">
        <v>1</v>
      </c>
      <c r="D399" s="95" t="s">
        <v>1155</v>
      </c>
      <c r="E399" s="67" t="s">
        <v>2501</v>
      </c>
      <c r="F399" s="403" t="str">
        <f ca="1">IF(BC399&lt;2025, "Extinct&lt; 6Yrs?",BA399)</f>
        <v>Widespread</v>
      </c>
      <c r="G399" s="376" t="s">
        <v>525</v>
      </c>
      <c r="H399" s="376" t="s">
        <v>4028</v>
      </c>
      <c r="I399" s="380" t="s">
        <v>3174</v>
      </c>
      <c r="J399" s="378" t="s">
        <v>3606</v>
      </c>
      <c r="K399" s="378" t="s">
        <v>1273</v>
      </c>
      <c r="L399" s="63" t="s">
        <v>2180</v>
      </c>
      <c r="M399" s="64" t="s">
        <v>4475</v>
      </c>
      <c r="N399" s="64" t="s">
        <v>5372</v>
      </c>
      <c r="O399" s="64" t="s">
        <v>6269</v>
      </c>
      <c r="P399" s="61" t="s">
        <v>468</v>
      </c>
      <c r="Q399" s="67" t="s">
        <v>2552</v>
      </c>
      <c r="R399" s="163" t="s">
        <v>2497</v>
      </c>
      <c r="S399" s="65" t="s">
        <v>2495</v>
      </c>
      <c r="T399" s="134" t="str">
        <f>IF(R399="Bogs Ponds Streams","20",IF(R399="Coastal Areas","26",IF(R399="Meadows Dry Open","10",IF(R399="Forest &amp; Understory","14",IF(R399="Moist Open","12",IF(R399="Moist Shady","10",IF(R399="Sub-Alpine Slopes","0")))))))</f>
        <v>12</v>
      </c>
      <c r="U399" s="134" t="str">
        <f>IF(R399="Bogs Ponds Streams","52",IF(R399="Coastal Areas","51",IF(R399="Meadows Dry Open","53",IF(R399="Forest &amp; Understory","52",IF(R399="Moist Open","50",IF(R399="Moist Shady","46",IF(R399="Sub-Alpine Slopes","40")))))))</f>
        <v>50</v>
      </c>
      <c r="V399" s="134" t="str">
        <f>IF(R399="Bogs Ponds Streams","84",IF(R399="Coastal Areas","76",IF(R399="Meadows Dry Open","96", IF(R399="Forest &amp; Understory","90", IF(R399="Moist Open","88", IF(R399="Moist Shady","82", IF(R399="Sub-Alpine Slopes","80")))))))</f>
        <v>88</v>
      </c>
      <c r="W399" s="67">
        <v>20</v>
      </c>
      <c r="X399" s="67">
        <v>0</v>
      </c>
      <c r="Y399" s="67">
        <v>3500</v>
      </c>
      <c r="Z399" s="67" t="s">
        <v>2519</v>
      </c>
      <c r="AA399" s="67" t="s">
        <v>2518</v>
      </c>
      <c r="AB399" s="67">
        <v>6.8</v>
      </c>
      <c r="AC399" s="85">
        <f>C399+AK399+(0.1)*AL399</f>
        <v>3.1</v>
      </c>
      <c r="AD399" s="78">
        <v>46</v>
      </c>
      <c r="AE399" s="67">
        <v>5</v>
      </c>
      <c r="AF399" s="67">
        <v>5</v>
      </c>
      <c r="AG399" s="67">
        <v>1900</v>
      </c>
      <c r="AH399" s="78">
        <v>0</v>
      </c>
      <c r="AI399" s="67">
        <f>AJ399</f>
        <v>2004</v>
      </c>
      <c r="AJ399" s="69">
        <v>2004</v>
      </c>
      <c r="AK399" s="69">
        <v>1</v>
      </c>
      <c r="AL399" s="69">
        <v>11</v>
      </c>
      <c r="AM399" s="70">
        <v>5</v>
      </c>
      <c r="AN399" s="70">
        <v>0</v>
      </c>
      <c r="AO399" s="86">
        <v>0</v>
      </c>
      <c r="AP399" s="70">
        <v>0</v>
      </c>
      <c r="AQ399" s="70">
        <v>0</v>
      </c>
      <c r="AR399" s="70">
        <v>0</v>
      </c>
      <c r="AS399" s="86">
        <v>0</v>
      </c>
      <c r="AT399" s="70">
        <v>0</v>
      </c>
      <c r="AU399" s="70">
        <v>0</v>
      </c>
      <c r="AV399" s="70">
        <v>0</v>
      </c>
      <c r="AW399" s="86">
        <v>0</v>
      </c>
      <c r="AX399" s="70">
        <v>0</v>
      </c>
      <c r="AY399" s="233"/>
      <c r="AZ399" s="4"/>
      <c r="BA399" s="35" t="str">
        <f>IF(OR(S399="North America",S399="Rocky Mountain"), "Widespread",BC399)</f>
        <v>Widespread</v>
      </c>
      <c r="BB399" s="4"/>
      <c r="BC399" s="35">
        <f ca="1">IF(BE399&gt;2046, "Abundant",BE399)</f>
        <v>2031.3397846702317</v>
      </c>
      <c r="BD399" s="4"/>
      <c r="BE399" s="81">
        <f ca="1">YEAR($C$13)+(BG399*80)</f>
        <v>2031.3397846702317</v>
      </c>
      <c r="BF399" s="4"/>
      <c r="BG399" s="137">
        <f ca="1">BH399*$BH$14</f>
        <v>0.1542473083778966</v>
      </c>
      <c r="BH399" s="137">
        <f ca="1">(((BJ399+BK399+BM399+BN399)/4)*$BM$11)+(((BP399+BQ399)/2)*$BQ$11)+(((BU399+BV399+BW399)/3)*$BU$11)+(((BY399+BZ399+CA399+CB399+CC399)/5)*$CA$11)</f>
        <v>0.1542473083778966</v>
      </c>
      <c r="BI399" s="4"/>
      <c r="BJ399" s="33">
        <f>AP399/(AM399+AO399)</f>
        <v>0</v>
      </c>
      <c r="BK399" s="33">
        <f>(AN399+AO399)/(AM399+AO399)</f>
        <v>0</v>
      </c>
      <c r="BL399" s="4"/>
      <c r="BM399" s="127">
        <f>CF399/102</f>
        <v>3.0392156862745098E-2</v>
      </c>
      <c r="BN399" s="127">
        <f>C399/2</f>
        <v>0.5</v>
      </c>
      <c r="BO399" s="4"/>
      <c r="BP399" s="127">
        <f>(AK399)/($AW$6)</f>
        <v>1.0101010101010102E-2</v>
      </c>
      <c r="BQ399" s="127">
        <f ca="1">(CH399-$AW$4)/((YEAR($C$13))-$AW$4)</f>
        <v>0</v>
      </c>
      <c r="BR399" s="127">
        <f>(AL399)/($AW$6)</f>
        <v>0.1111111111111111</v>
      </c>
      <c r="BS399" s="4"/>
      <c r="BT399" s="127"/>
      <c r="BU399" s="127">
        <f ca="1">(CG399-$AW$4)/((YEAR($C$13))-$AW$4)</f>
        <v>0</v>
      </c>
      <c r="BV399" s="127">
        <f>AE399/5</f>
        <v>1</v>
      </c>
      <c r="BW399" s="127">
        <f>AF399/5</f>
        <v>1</v>
      </c>
      <c r="BX399" s="4"/>
      <c r="BY399" s="148" t="str">
        <f>IF(E399="A",".98",IF(E399="B",".99",IF(E399="C","1.00",IF(E399="D","1.00" ))))</f>
        <v>1.00</v>
      </c>
      <c r="BZ399" s="127">
        <f>(CE399+7)/10</f>
        <v>1</v>
      </c>
      <c r="CA399" s="76" t="str">
        <f>IF(D399="Fern",".97",IF(D399="Grass",".99",IF(D399="Herb",".97",IF(D399="Shrub",".99",IF(D399="Tree","1.00",IF(D399="Vine",".98"))))))</f>
        <v>.99</v>
      </c>
      <c r="CB399" s="149" t="str">
        <f>IF(R399="Bogs Ponds Streams",".96", IF(R399="Coastal Areas",".97",IF(R399="Meadows Dry Open",".96",IF(R399="Forest &amp; Understory",".97",IF(R399="Moist Open",".98",IF(R399="Moist Shady",".96",IF(R399="Sub-Alpine","1.0")))))))</f>
        <v>.98</v>
      </c>
      <c r="CC399" s="76" t="str">
        <f>IF(S399="Local Endemic",".50",IF(S399="Regional Endemic",".70",IF(S399="Cascadia",".90",IF(S399="Rocky Mountain",".95",IF(S399="North America",".99")))))</f>
        <v>.99</v>
      </c>
      <c r="CD399" s="4"/>
      <c r="CE399" s="21">
        <f>IF(W399&gt;3,3,W399)</f>
        <v>3</v>
      </c>
      <c r="CF399" s="21">
        <f>IF(AC399&gt;102,102,AC399)</f>
        <v>3.1</v>
      </c>
      <c r="CG399" s="34">
        <f>IF(AI399&lt;$AW$4,$AW$4,AI399)</f>
        <v>2004</v>
      </c>
      <c r="CH399" s="34">
        <f>IF(AJ399&lt;$AW$4,$AW$4,AJ399)</f>
        <v>2004</v>
      </c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</row>
    <row r="400" spans="1:115" s="13" customFormat="1" ht="15" customHeight="1" x14ac:dyDescent="0.3">
      <c r="A400" s="235"/>
      <c r="B400" s="218"/>
      <c r="C400" s="375">
        <v>1</v>
      </c>
      <c r="D400" s="67" t="s">
        <v>2505</v>
      </c>
      <c r="E400" s="67" t="s">
        <v>2501</v>
      </c>
      <c r="F400" s="403" t="str">
        <f ca="1">IF(BC400&lt;2025, "Extinct&lt; 6Yrs?",BA400)</f>
        <v>Widespread</v>
      </c>
      <c r="G400" s="376" t="s">
        <v>525</v>
      </c>
      <c r="H400" s="376" t="s">
        <v>4028</v>
      </c>
      <c r="I400" s="380" t="s">
        <v>626</v>
      </c>
      <c r="J400" s="378" t="s">
        <v>3605</v>
      </c>
      <c r="K400" s="378" t="s">
        <v>625</v>
      </c>
      <c r="L400" s="63" t="s">
        <v>1480</v>
      </c>
      <c r="M400" s="64" t="s">
        <v>4476</v>
      </c>
      <c r="N400" s="64" t="s">
        <v>5373</v>
      </c>
      <c r="O400" s="64" t="s">
        <v>6270</v>
      </c>
      <c r="P400" s="61" t="s">
        <v>672</v>
      </c>
      <c r="Q400" s="67" t="s">
        <v>2552</v>
      </c>
      <c r="R400" s="61" t="s">
        <v>2497</v>
      </c>
      <c r="S400" s="61" t="s">
        <v>2495</v>
      </c>
      <c r="T400" s="134" t="str">
        <f>IF(R400="Bogs Ponds Streams","20",IF(R400="Coastal Areas","26",IF(R400="Meadows Dry Open","10",IF(R400="Forest &amp; Understory","14",IF(R400="Moist Open","12",IF(R400="Moist Shady","10",IF(R400="Sub-Alpine Slopes","0")))))))</f>
        <v>12</v>
      </c>
      <c r="U400" s="134" t="str">
        <f>IF(R400="Bogs Ponds Streams","52",IF(R400="Coastal Areas","51",IF(R400="Meadows Dry Open","53",IF(R400="Forest &amp; Understory","52",IF(R400="Moist Open","50",IF(R400="Moist Shady","46",IF(R400="Sub-Alpine Slopes","40")))))))</f>
        <v>50</v>
      </c>
      <c r="V400" s="134" t="str">
        <f>IF(R400="Bogs Ponds Streams","84",IF(R400="Coastal Areas","76",IF(R400="Meadows Dry Open","96", IF(R400="Forest &amp; Understory","90", IF(R400="Moist Open","88", IF(R400="Moist Shady","82", IF(R400="Sub-Alpine Slopes","80")))))))</f>
        <v>88</v>
      </c>
      <c r="W400" s="67">
        <v>20</v>
      </c>
      <c r="X400" s="67">
        <v>0</v>
      </c>
      <c r="Y400" s="67">
        <v>3500</v>
      </c>
      <c r="Z400" s="67" t="s">
        <v>2519</v>
      </c>
      <c r="AA400" s="67" t="s">
        <v>2518</v>
      </c>
      <c r="AB400" s="67">
        <v>6.8</v>
      </c>
      <c r="AC400" s="85">
        <f>C400+AK400+(0.1)*AL400</f>
        <v>14.4</v>
      </c>
      <c r="AD400" s="78">
        <v>89</v>
      </c>
      <c r="AE400" s="67">
        <v>5</v>
      </c>
      <c r="AF400" s="67">
        <v>5</v>
      </c>
      <c r="AG400" s="67">
        <v>1900</v>
      </c>
      <c r="AH400" s="78">
        <v>0</v>
      </c>
      <c r="AI400" s="67">
        <f>AJ400</f>
        <v>2004</v>
      </c>
      <c r="AJ400" s="69">
        <v>2004</v>
      </c>
      <c r="AK400" s="69">
        <v>12</v>
      </c>
      <c r="AL400" s="69">
        <v>14</v>
      </c>
      <c r="AM400" s="70">
        <v>5</v>
      </c>
      <c r="AN400" s="70">
        <v>0</v>
      </c>
      <c r="AO400" s="86">
        <v>0</v>
      </c>
      <c r="AP400" s="70">
        <v>0</v>
      </c>
      <c r="AQ400" s="70">
        <v>0</v>
      </c>
      <c r="AR400" s="70">
        <v>0</v>
      </c>
      <c r="AS400" s="86">
        <v>0</v>
      </c>
      <c r="AT400" s="70">
        <v>0</v>
      </c>
      <c r="AU400" s="70">
        <v>0</v>
      </c>
      <c r="AV400" s="70">
        <v>0</v>
      </c>
      <c r="AW400" s="86">
        <v>0</v>
      </c>
      <c r="AX400" s="70">
        <v>0</v>
      </c>
      <c r="AY400" s="233"/>
      <c r="AZ400" s="4"/>
      <c r="BA400" s="35" t="str">
        <f>IF(OR(S400="North America",S400="Rocky Mountain"), "Widespread",BC400)</f>
        <v>Widespread</v>
      </c>
      <c r="BB400" s="4"/>
      <c r="BC400" s="35">
        <f ca="1">IF(BE400&gt;2046, "Abundant",BE400)</f>
        <v>2033.996129768271</v>
      </c>
      <c r="BD400" s="4"/>
      <c r="BE400" s="81">
        <f ca="1">YEAR($C$13)+(BG400*80)</f>
        <v>2033.996129768271</v>
      </c>
      <c r="BF400" s="4"/>
      <c r="BG400" s="137">
        <f ca="1">BH400*$BH$14</f>
        <v>0.18745162210338678</v>
      </c>
      <c r="BH400" s="137">
        <f ca="1">(((BJ400+BK400+BM400+BN400)/4)*$BM$11)+(((BP400+BQ400)/2)*$BQ$11)+(((BU400+BV400+BW400)/3)*$BU$11)+(((BY400+BZ400+CA400+CB400+CC400)/5)*$CA$11)</f>
        <v>0.18745162210338678</v>
      </c>
      <c r="BI400" s="4"/>
      <c r="BJ400" s="33">
        <f>AP400/(AM400+AO400)</f>
        <v>0</v>
      </c>
      <c r="BK400" s="33">
        <f>(AN400+AO400)/(AM400+AO400)</f>
        <v>0</v>
      </c>
      <c r="BL400" s="4"/>
      <c r="BM400" s="127">
        <f>CF400/102</f>
        <v>0.14117647058823529</v>
      </c>
      <c r="BN400" s="127">
        <f>C400/2</f>
        <v>0.5</v>
      </c>
      <c r="BO400" s="4"/>
      <c r="BP400" s="127">
        <f>(AK400)/($AW$6)</f>
        <v>0.12121212121212122</v>
      </c>
      <c r="BQ400" s="127">
        <f ca="1">(CH400-$AW$4)/((YEAR($C$13))-$AW$4)</f>
        <v>0</v>
      </c>
      <c r="BR400" s="127">
        <f>(AL400)/($AW$6)</f>
        <v>0.14141414141414141</v>
      </c>
      <c r="BS400" s="4"/>
      <c r="BT400" s="127"/>
      <c r="BU400" s="127">
        <f ca="1">(CG400-$AW$4)/((YEAR($C$13))-$AW$4)</f>
        <v>0</v>
      </c>
      <c r="BV400" s="127">
        <f>AE400/5</f>
        <v>1</v>
      </c>
      <c r="BW400" s="127">
        <f>AF400/5</f>
        <v>1</v>
      </c>
      <c r="BX400" s="4"/>
      <c r="BY400" s="148" t="str">
        <f>IF(E400="A",".98",IF(E400="B",".99",IF(E400="C","1.00",IF(E400="D","1.00" ))))</f>
        <v>1.00</v>
      </c>
      <c r="BZ400" s="127">
        <f>(CE400+7)/10</f>
        <v>1</v>
      </c>
      <c r="CA400" s="76" t="str">
        <f>IF(D400="Fern",".97",IF(D400="Grass",".99",IF(D400="Herb",".97",IF(D400="Shrub",".99",IF(D400="Tree","1.00",IF(D400="Vine",".98"))))))</f>
        <v>.97</v>
      </c>
      <c r="CB400" s="149" t="str">
        <f>IF(R400="Bogs Ponds Streams",".96", IF(R400="Coastal Areas",".97",IF(R400="Meadows Dry Open",".96",IF(R400="Forest &amp; Understory",".97",IF(R400="Moist Open",".98",IF(R400="Moist Shady",".96",IF(R400="Sub-Alpine","1.0")))))))</f>
        <v>.98</v>
      </c>
      <c r="CC400" s="76" t="str">
        <f>IF(S400="Local Endemic",".50",IF(S400="Regional Endemic",".70",IF(S400="Cascadia",".90",IF(S400="Rocky Mountain",".95",IF(S400="North America",".99")))))</f>
        <v>.99</v>
      </c>
      <c r="CD400" s="4"/>
      <c r="CE400" s="21">
        <f>IF(W400&gt;3,3,W400)</f>
        <v>3</v>
      </c>
      <c r="CF400" s="21">
        <f>IF(AC400&gt;102,102,AC400)</f>
        <v>14.4</v>
      </c>
      <c r="CG400" s="34">
        <f>IF(AI400&lt;$AW$4,$AW$4,AI400)</f>
        <v>2004</v>
      </c>
      <c r="CH400" s="34">
        <f>IF(AJ400&lt;$AW$4,$AW$4,AJ400)</f>
        <v>2004</v>
      </c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12"/>
    </row>
    <row r="401" spans="1:115" s="13" customFormat="1" ht="15" customHeight="1" x14ac:dyDescent="0.3">
      <c r="A401" s="235"/>
      <c r="B401" s="218"/>
      <c r="C401" s="225">
        <v>8</v>
      </c>
      <c r="D401" s="59" t="s">
        <v>2506</v>
      </c>
      <c r="E401" s="60" t="s">
        <v>2501</v>
      </c>
      <c r="F401" s="397" t="str">
        <f ca="1">IF(BC401&lt;2025, "Extinct&lt; 6Yrs?",BA401)</f>
        <v>Widespread</v>
      </c>
      <c r="G401" s="363" t="s">
        <v>525</v>
      </c>
      <c r="H401" s="363" t="s">
        <v>689</v>
      </c>
      <c r="I401" s="366" t="s">
        <v>305</v>
      </c>
      <c r="J401" s="365" t="s">
        <v>3369</v>
      </c>
      <c r="K401" s="365" t="s">
        <v>304</v>
      </c>
      <c r="L401" s="10" t="s">
        <v>1481</v>
      </c>
      <c r="M401" s="8" t="s">
        <v>4477</v>
      </c>
      <c r="N401" s="8" t="s">
        <v>5374</v>
      </c>
      <c r="O401" s="8" t="s">
        <v>6271</v>
      </c>
      <c r="P401" s="9" t="s">
        <v>303</v>
      </c>
      <c r="Q401" s="59" t="s">
        <v>2552</v>
      </c>
      <c r="R401" s="9" t="s">
        <v>2500</v>
      </c>
      <c r="S401" s="9" t="s">
        <v>2479</v>
      </c>
      <c r="T401" s="123" t="str">
        <f>IF(R401="Bogs Ponds Streams","20",IF(R401="Coastal Areas","26",IF(R401="Meadows Dry Open","10",IF(R401="Forest &amp; Understory","14",IF(R401="Moist Open","12",IF(R401="Moist Shady","10",IF(R401="Sub-Alpine Slopes","0")))))))</f>
        <v>10</v>
      </c>
      <c r="U401" s="123" t="str">
        <f>IF(R401="Bogs Ponds Streams","52",IF(R401="Coastal Areas","51",IF(R401="Meadows Dry Open","53",IF(R401="Forest &amp; Understory","52",IF(R401="Moist Open","50",IF(R401="Moist Shady","46",IF(R401="Sub-Alpine Slopes","40")))))))</f>
        <v>53</v>
      </c>
      <c r="V401" s="123" t="str">
        <f>IF(R401="Bogs Ponds Streams","84",IF(R401="Coastal Areas","76",IF(R401="Meadows Dry Open","96", IF(R401="Forest &amp; Understory","90", IF(R401="Moist Open","88", IF(R401="Moist Shady","82", IF(R401="Sub-Alpine Slopes","80")))))))</f>
        <v>96</v>
      </c>
      <c r="W401" s="59">
        <v>20</v>
      </c>
      <c r="X401" s="59">
        <v>0</v>
      </c>
      <c r="Y401" s="59">
        <v>3500</v>
      </c>
      <c r="Z401" s="59" t="s">
        <v>2519</v>
      </c>
      <c r="AA401" s="59" t="s">
        <v>2518</v>
      </c>
      <c r="AB401" s="59">
        <v>6.8</v>
      </c>
      <c r="AC401" s="45">
        <f>C401+AK401+(0.1)*AL401</f>
        <v>33.299999999999997</v>
      </c>
      <c r="AD401" s="77">
        <v>227</v>
      </c>
      <c r="AE401" s="59">
        <v>5</v>
      </c>
      <c r="AF401" s="59">
        <v>5</v>
      </c>
      <c r="AG401" s="59">
        <v>1900</v>
      </c>
      <c r="AH401" s="77">
        <v>0</v>
      </c>
      <c r="AI401" s="59">
        <f ca="1">AJ401</f>
        <v>2019</v>
      </c>
      <c r="AJ401" s="18">
        <f ca="1">YEAR(TODAY())</f>
        <v>2019</v>
      </c>
      <c r="AK401" s="18">
        <v>22</v>
      </c>
      <c r="AL401" s="18">
        <v>33</v>
      </c>
      <c r="AM401" s="18">
        <v>1</v>
      </c>
      <c r="AN401" s="18">
        <v>1</v>
      </c>
      <c r="AO401" s="18">
        <v>5</v>
      </c>
      <c r="AP401" s="18">
        <v>1</v>
      </c>
      <c r="AQ401" s="18">
        <v>0</v>
      </c>
      <c r="AR401" s="18">
        <v>0</v>
      </c>
      <c r="AS401" s="18">
        <v>0</v>
      </c>
      <c r="AT401" s="18">
        <v>0</v>
      </c>
      <c r="AU401" s="18">
        <v>0</v>
      </c>
      <c r="AV401" s="18">
        <v>0</v>
      </c>
      <c r="AW401" s="18">
        <v>0</v>
      </c>
      <c r="AX401" s="18">
        <v>0</v>
      </c>
      <c r="AY401" s="233"/>
      <c r="AZ401" s="4"/>
      <c r="BA401" s="35" t="str">
        <f>IF(OR(S401="North America",S401="Rocky Mountain"), "Widespread",BC401)</f>
        <v>Widespread</v>
      </c>
      <c r="BB401" s="4"/>
      <c r="BC401" s="35" t="str">
        <f ca="1">IF(BE401&gt;2046, "Abundant",BE401)</f>
        <v>Abundant</v>
      </c>
      <c r="BD401" s="4"/>
      <c r="BE401" s="81">
        <f ca="1">YEAR($C$13)+(BG401*80)</f>
        <v>2107.5523137254904</v>
      </c>
      <c r="BF401" s="4"/>
      <c r="BG401" s="137">
        <f ca="1">BH401*$BH$14</f>
        <v>1.1069039215686276</v>
      </c>
      <c r="BH401" s="137">
        <f ca="1">(((BJ401+BK401+BM401+BN401)/4)*$BM$11)+(((BP401+BQ401)/2)*$BQ$11)+(((BU401+BV401+BW401)/3)*$BU$11)+(((BY401+BZ401+CA401+CB401+CC401)/5)*$CA$11)</f>
        <v>1.1069039215686276</v>
      </c>
      <c r="BI401" s="4"/>
      <c r="BJ401" s="33">
        <f>AP401/(AM401+AO401)</f>
        <v>0.16666666666666666</v>
      </c>
      <c r="BK401" s="33">
        <f>(AN401+AO401)/(AM401+AO401)</f>
        <v>1</v>
      </c>
      <c r="BL401" s="4"/>
      <c r="BM401" s="127">
        <f>CF401/102</f>
        <v>0.32647058823529407</v>
      </c>
      <c r="BN401" s="127">
        <f>C401/2</f>
        <v>4</v>
      </c>
      <c r="BO401" s="4"/>
      <c r="BP401" s="127">
        <f>(AK401)/($AW$6)</f>
        <v>0.22222222222222221</v>
      </c>
      <c r="BQ401" s="127">
        <f ca="1">(CH401-$AW$4)/((YEAR($C$13))-$AW$4)</f>
        <v>1</v>
      </c>
      <c r="BR401" s="127">
        <f>(AL401)/($AW$6)</f>
        <v>0.33333333333333331</v>
      </c>
      <c r="BS401" s="4"/>
      <c r="BT401" s="127"/>
      <c r="BU401" s="127">
        <f ca="1">(CG401-$AW$4)/((YEAR($C$13))-$AW$4)</f>
        <v>1</v>
      </c>
      <c r="BV401" s="127">
        <f>AE401/5</f>
        <v>1</v>
      </c>
      <c r="BW401" s="127">
        <f>AF401/5</f>
        <v>1</v>
      </c>
      <c r="BX401" s="4"/>
      <c r="BY401" s="148" t="str">
        <f>IF(E401="A",".98",IF(E401="B",".99",IF(E401="C","1.00",IF(E401="D","1.00" ))))</f>
        <v>1.00</v>
      </c>
      <c r="BZ401" s="127">
        <f>(CE401+7)/10</f>
        <v>1</v>
      </c>
      <c r="CA401" s="76" t="str">
        <f>IF(D401="Fern",".97",IF(D401="Grass",".99",IF(D401="Herb",".97",IF(D401="Shrub",".99",IF(D401="Tree","1.00",IF(D401="Vine",".98"))))))</f>
        <v>.99</v>
      </c>
      <c r="CB401" s="149" t="str">
        <f>IF(R401="Bogs Ponds Streams",".96", IF(R401="Coastal Areas",".97",IF(R401="Meadows Dry Open",".96",IF(R401="Forest &amp; Understory",".97",IF(R401="Moist Open",".98",IF(R401="Moist Shady",".96",IF(R401="Sub-Alpine","1.0")))))))</f>
        <v>.96</v>
      </c>
      <c r="CC401" s="76" t="str">
        <f>IF(S401="Local Endemic",".50",IF(S401="Regional Endemic",".70",IF(S401="Cascadia",".90",IF(S401="Rocky Mountain",".95",IF(S401="North America",".99")))))</f>
        <v>.95</v>
      </c>
      <c r="CD401" s="4"/>
      <c r="CE401" s="21">
        <f>IF(W401&gt;3,3,W401)</f>
        <v>3</v>
      </c>
      <c r="CF401" s="21">
        <f>IF(AC401&gt;102,102,AC401)</f>
        <v>33.299999999999997</v>
      </c>
      <c r="CG401" s="34">
        <f ca="1">IF(AI401&lt;$AW$4,$AW$4,AI401)</f>
        <v>2019</v>
      </c>
      <c r="CH401" s="34">
        <f ca="1">IF(AJ401&lt;$AW$4,$AW$4,AJ401)</f>
        <v>2019</v>
      </c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12"/>
    </row>
    <row r="402" spans="1:115" s="13" customFormat="1" ht="15" customHeight="1" x14ac:dyDescent="0.3">
      <c r="A402" s="235"/>
      <c r="B402" s="218"/>
      <c r="C402" s="375">
        <v>1</v>
      </c>
      <c r="D402" s="67" t="s">
        <v>2505</v>
      </c>
      <c r="E402" s="67" t="s">
        <v>2501</v>
      </c>
      <c r="F402" s="403" t="str">
        <f ca="1">IF(BC402&lt;2025, "Extinct&lt; 6Yrs?",BA402)</f>
        <v>Widespread</v>
      </c>
      <c r="G402" s="376" t="s">
        <v>525</v>
      </c>
      <c r="H402" s="376" t="s">
        <v>4028</v>
      </c>
      <c r="I402" s="379" t="s">
        <v>2650</v>
      </c>
      <c r="J402" s="378" t="s">
        <v>3604</v>
      </c>
      <c r="K402" s="378" t="s">
        <v>2775</v>
      </c>
      <c r="L402" s="65" t="s">
        <v>4036</v>
      </c>
      <c r="M402" s="64" t="s">
        <v>4478</v>
      </c>
      <c r="N402" s="64" t="s">
        <v>5375</v>
      </c>
      <c r="O402" s="64" t="s">
        <v>6272</v>
      </c>
      <c r="P402" s="404" t="s">
        <v>168</v>
      </c>
      <c r="Q402" s="67" t="s">
        <v>2552</v>
      </c>
      <c r="R402" s="61" t="s">
        <v>2453</v>
      </c>
      <c r="S402" s="61" t="s">
        <v>2495</v>
      </c>
      <c r="T402" s="134" t="str">
        <f>IF(R402="Bogs Ponds Streams","20",IF(R402="Coastal Areas","26",IF(R402="Meadows Dry Open","10",IF(R402="Forest &amp; Understory","14",IF(R402="Moist Open","12",IF(R402="Moist Shady","10",IF(R402="Sub-Alpine Slopes","0")))))))</f>
        <v>26</v>
      </c>
      <c r="U402" s="134" t="str">
        <f>IF(R402="Bogs Ponds Streams","52",IF(R402="Coastal Areas","51",IF(R402="Meadows Dry Open","53",IF(R402="Forest &amp; Understory","52",IF(R402="Moist Open","50",IF(R402="Moist Shady","46",IF(R402="Sub-Alpine Slopes","40")))))))</f>
        <v>51</v>
      </c>
      <c r="V402" s="134" t="str">
        <f>IF(R402="Bogs Ponds Streams","84",IF(R402="Coastal Areas","76",IF(R402="Meadows Dry Open","96", IF(R402="Forest &amp; Understory","90", IF(R402="Moist Open","88", IF(R402="Moist Shady","82", IF(R402="Sub-Alpine Slopes","80")))))))</f>
        <v>76</v>
      </c>
      <c r="W402" s="67">
        <v>20</v>
      </c>
      <c r="X402" s="67">
        <v>0</v>
      </c>
      <c r="Y402" s="67">
        <v>3500</v>
      </c>
      <c r="Z402" s="67" t="s">
        <v>2519</v>
      </c>
      <c r="AA402" s="67" t="s">
        <v>2518</v>
      </c>
      <c r="AB402" s="67">
        <v>6.8</v>
      </c>
      <c r="AC402" s="85">
        <f>C402+AK402+(0.1)*AL402</f>
        <v>13</v>
      </c>
      <c r="AD402" s="78">
        <v>75</v>
      </c>
      <c r="AE402" s="67">
        <v>5</v>
      </c>
      <c r="AF402" s="67">
        <v>5</v>
      </c>
      <c r="AG402" s="67">
        <v>1900</v>
      </c>
      <c r="AH402" s="78">
        <v>0</v>
      </c>
      <c r="AI402" s="67">
        <f>AJ402</f>
        <v>2004</v>
      </c>
      <c r="AJ402" s="69">
        <v>2004</v>
      </c>
      <c r="AK402" s="69">
        <v>12</v>
      </c>
      <c r="AL402" s="69">
        <v>0</v>
      </c>
      <c r="AM402" s="70">
        <v>5</v>
      </c>
      <c r="AN402" s="70">
        <v>0</v>
      </c>
      <c r="AO402" s="86">
        <v>0</v>
      </c>
      <c r="AP402" s="70">
        <v>0</v>
      </c>
      <c r="AQ402" s="70">
        <v>0</v>
      </c>
      <c r="AR402" s="70">
        <v>0</v>
      </c>
      <c r="AS402" s="86">
        <v>0</v>
      </c>
      <c r="AT402" s="70">
        <v>0</v>
      </c>
      <c r="AU402" s="70">
        <v>0</v>
      </c>
      <c r="AV402" s="70">
        <v>0</v>
      </c>
      <c r="AW402" s="86">
        <v>0</v>
      </c>
      <c r="AX402" s="70">
        <v>0</v>
      </c>
      <c r="AY402" s="233"/>
      <c r="AZ402" s="4"/>
      <c r="BA402" s="35" t="str">
        <f>IF(OR(S402="North America",S402="Rocky Mountain"), "Widespread",BC402)</f>
        <v>Widespread</v>
      </c>
      <c r="BB402" s="4"/>
      <c r="BC402" s="35">
        <f ca="1">IF(BE402&gt;2046, "Abundant",BE402)</f>
        <v>2033.8282238859181</v>
      </c>
      <c r="BD402" s="4"/>
      <c r="BE402" s="81">
        <f ca="1">YEAR($C$13)+(BG402*80)</f>
        <v>2033.8282238859181</v>
      </c>
      <c r="BF402" s="4"/>
      <c r="BG402" s="137">
        <f ca="1">BH402*$BH$14</f>
        <v>0.18535279857397507</v>
      </c>
      <c r="BH402" s="137">
        <f ca="1">(((BJ402+BK402+BM402+BN402)/4)*$BM$11)+(((BP402+BQ402)/2)*$BQ$11)+(((BU402+BV402+BW402)/3)*$BU$11)+(((BY402+BZ402+CA402+CB402+CC402)/5)*$CA$11)</f>
        <v>0.18535279857397507</v>
      </c>
      <c r="BI402" s="4"/>
      <c r="BJ402" s="33">
        <f>AP402/(AM402+AO402)</f>
        <v>0</v>
      </c>
      <c r="BK402" s="33">
        <f>(AN402+AO402)/(AM402+AO402)</f>
        <v>0</v>
      </c>
      <c r="BL402" s="4"/>
      <c r="BM402" s="127">
        <f>CF402/102</f>
        <v>0.12745098039215685</v>
      </c>
      <c r="BN402" s="127">
        <f>C402/2</f>
        <v>0.5</v>
      </c>
      <c r="BO402" s="4"/>
      <c r="BP402" s="127">
        <f>(AK402)/($AW$6)</f>
        <v>0.12121212121212122</v>
      </c>
      <c r="BQ402" s="127">
        <f ca="1">(CH402-$AW$4)/((YEAR($C$13))-$AW$4)</f>
        <v>0</v>
      </c>
      <c r="BR402" s="127">
        <f>(AL402)/($AW$6)</f>
        <v>0</v>
      </c>
      <c r="BS402" s="4"/>
      <c r="BT402" s="127"/>
      <c r="BU402" s="127">
        <f ca="1">(CG402-$AW$4)/((YEAR($C$13))-$AW$4)</f>
        <v>0</v>
      </c>
      <c r="BV402" s="127">
        <f>AE402/5</f>
        <v>1</v>
      </c>
      <c r="BW402" s="127">
        <f>AF402/5</f>
        <v>1</v>
      </c>
      <c r="BX402" s="4"/>
      <c r="BY402" s="148" t="str">
        <f>IF(E402="A",".98",IF(E402="B",".99",IF(E402="C","1.00",IF(E402="D","1.00" ))))</f>
        <v>1.00</v>
      </c>
      <c r="BZ402" s="127">
        <f>(CE402+7)/10</f>
        <v>1</v>
      </c>
      <c r="CA402" s="76" t="str">
        <f>IF(D402="Fern",".97",IF(D402="Grass",".99",IF(D402="Herb",".97",IF(D402="Shrub",".99",IF(D402="Tree","1.00",IF(D402="Vine",".98"))))))</f>
        <v>.97</v>
      </c>
      <c r="CB402" s="149" t="str">
        <f>IF(R402="Bogs Ponds Streams",".96", IF(R402="Coastal Areas",".97",IF(R402="Meadows Dry Open",".96",IF(R402="Forest &amp; Understory",".97",IF(R402="Moist Open",".98",IF(R402="Moist Shady",".96",IF(R402="Sub-Alpine","1.0")))))))</f>
        <v>.97</v>
      </c>
      <c r="CC402" s="76" t="str">
        <f>IF(S402="Local Endemic",".50",IF(S402="Regional Endemic",".70",IF(S402="Cascadia",".90",IF(S402="Rocky Mountain",".95",IF(S402="North America",".99")))))</f>
        <v>.99</v>
      </c>
      <c r="CD402" s="4"/>
      <c r="CE402" s="21">
        <f>IF(W402&gt;3,3,W402)</f>
        <v>3</v>
      </c>
      <c r="CF402" s="21">
        <f>IF(AC402&gt;102,102,AC402)</f>
        <v>13</v>
      </c>
      <c r="CG402" s="34">
        <f>IF(AI402&lt;$AW$4,$AW$4,AI402)</f>
        <v>2004</v>
      </c>
      <c r="CH402" s="34">
        <f>IF(AJ402&lt;$AW$4,$AW$4,AJ402)</f>
        <v>2004</v>
      </c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12"/>
    </row>
    <row r="403" spans="1:115" s="13" customFormat="1" ht="15" customHeight="1" x14ac:dyDescent="0.3">
      <c r="A403" s="235"/>
      <c r="B403" s="218"/>
      <c r="C403" s="225">
        <v>8</v>
      </c>
      <c r="D403" s="94" t="s">
        <v>1155</v>
      </c>
      <c r="E403" s="59" t="s">
        <v>2501</v>
      </c>
      <c r="F403" s="397" t="str">
        <f ca="1">IF(BC403&lt;2025, "Extinct&lt; 6Yrs?",BA403)</f>
        <v>Widespread</v>
      </c>
      <c r="G403" s="363" t="s">
        <v>525</v>
      </c>
      <c r="H403" s="363" t="s">
        <v>685</v>
      </c>
      <c r="I403" s="366" t="s">
        <v>226</v>
      </c>
      <c r="J403" s="365" t="s">
        <v>3370</v>
      </c>
      <c r="K403" s="365" t="s">
        <v>336</v>
      </c>
      <c r="L403" s="10" t="s">
        <v>1482</v>
      </c>
      <c r="M403" s="8" t="s">
        <v>4479</v>
      </c>
      <c r="N403" s="8" t="s">
        <v>5376</v>
      </c>
      <c r="O403" s="8" t="s">
        <v>6273</v>
      </c>
      <c r="P403" s="9" t="s">
        <v>468</v>
      </c>
      <c r="Q403" s="59" t="s">
        <v>2552</v>
      </c>
      <c r="R403" s="9" t="s">
        <v>2453</v>
      </c>
      <c r="S403" s="9" t="s">
        <v>2495</v>
      </c>
      <c r="T403" s="123" t="str">
        <f>IF(R403="Bogs Ponds Streams","20",IF(R403="Coastal Areas","26",IF(R403="Meadows Dry Open","10",IF(R403="Forest &amp; Understory","14",IF(R403="Moist Open","12",IF(R403="Moist Shady","10",IF(R403="Sub-Alpine Slopes","0")))))))</f>
        <v>26</v>
      </c>
      <c r="U403" s="123" t="str">
        <f>IF(R403="Bogs Ponds Streams","52",IF(R403="Coastal Areas","51",IF(R403="Meadows Dry Open","53",IF(R403="Forest &amp; Understory","52",IF(R403="Moist Open","50",IF(R403="Moist Shady","46",IF(R403="Sub-Alpine Slopes","40")))))))</f>
        <v>51</v>
      </c>
      <c r="V403" s="123" t="str">
        <f>IF(R403="Bogs Ponds Streams","84",IF(R403="Coastal Areas","76",IF(R403="Meadows Dry Open","96", IF(R403="Forest &amp; Understory","90", IF(R403="Moist Open","88", IF(R403="Moist Shady","82", IF(R403="Sub-Alpine Slopes","80")))))))</f>
        <v>76</v>
      </c>
      <c r="W403" s="59">
        <v>20</v>
      </c>
      <c r="X403" s="59">
        <v>0</v>
      </c>
      <c r="Y403" s="59">
        <v>3500</v>
      </c>
      <c r="Z403" s="59" t="s">
        <v>2519</v>
      </c>
      <c r="AA403" s="59" t="s">
        <v>2518</v>
      </c>
      <c r="AB403" s="59">
        <v>6.8</v>
      </c>
      <c r="AC403" s="45">
        <f>C403+AK403+(0.1)*AL403</f>
        <v>32.200000000000003</v>
      </c>
      <c r="AD403" s="77">
        <v>132</v>
      </c>
      <c r="AE403" s="59">
        <v>5</v>
      </c>
      <c r="AF403" s="59">
        <v>5</v>
      </c>
      <c r="AG403" s="59">
        <v>1900</v>
      </c>
      <c r="AH403" s="77">
        <v>0</v>
      </c>
      <c r="AI403" s="59">
        <f ca="1">AJ403</f>
        <v>2019</v>
      </c>
      <c r="AJ403" s="18">
        <f ca="1">YEAR(TODAY())</f>
        <v>2019</v>
      </c>
      <c r="AK403" s="18">
        <v>22</v>
      </c>
      <c r="AL403" s="18">
        <v>22</v>
      </c>
      <c r="AM403" s="18">
        <v>1</v>
      </c>
      <c r="AN403" s="18">
        <v>1</v>
      </c>
      <c r="AO403" s="18">
        <v>5</v>
      </c>
      <c r="AP403" s="18">
        <v>1</v>
      </c>
      <c r="AQ403" s="18">
        <v>0</v>
      </c>
      <c r="AR403" s="18">
        <v>0</v>
      </c>
      <c r="AS403" s="18">
        <v>0</v>
      </c>
      <c r="AT403" s="18">
        <v>0</v>
      </c>
      <c r="AU403" s="18">
        <v>0</v>
      </c>
      <c r="AV403" s="18">
        <v>0</v>
      </c>
      <c r="AW403" s="18">
        <v>0</v>
      </c>
      <c r="AX403" s="18">
        <v>0</v>
      </c>
      <c r="AY403" s="233"/>
      <c r="AZ403" s="4"/>
      <c r="BA403" s="35" t="str">
        <f>IF(OR(S403="North America",S403="Rocky Mountain"), "Widespread",BC403)</f>
        <v>Widespread</v>
      </c>
      <c r="BB403" s="4"/>
      <c r="BC403" s="35" t="str">
        <f ca="1">IF(BE403&gt;2046, "Abundant",BE403)</f>
        <v>Abundant</v>
      </c>
      <c r="BD403" s="4"/>
      <c r="BE403" s="81">
        <f ca="1">YEAR($C$13)+(BG403*80)</f>
        <v>2107.4389019607843</v>
      </c>
      <c r="BF403" s="4"/>
      <c r="BG403" s="137">
        <f ca="1">BH403*$BH$14</f>
        <v>1.1054862745098042</v>
      </c>
      <c r="BH403" s="137">
        <f ca="1">(((BJ403+BK403+BM403+BN403)/4)*$BM$11)+(((BP403+BQ403)/2)*$BQ$11)+(((BU403+BV403+BW403)/3)*$BU$11)+(((BY403+BZ403+CA403+CB403+CC403)/5)*$CA$11)</f>
        <v>1.1054862745098042</v>
      </c>
      <c r="BI403" s="4"/>
      <c r="BJ403" s="33">
        <f>AP403/(AM403+AO403)</f>
        <v>0.16666666666666666</v>
      </c>
      <c r="BK403" s="33">
        <f>(AN403+AO403)/(AM403+AO403)</f>
        <v>1</v>
      </c>
      <c r="BL403" s="4"/>
      <c r="BM403" s="127">
        <f>CF403/102</f>
        <v>0.31568627450980397</v>
      </c>
      <c r="BN403" s="127">
        <f>C403/2</f>
        <v>4</v>
      </c>
      <c r="BO403" s="4"/>
      <c r="BP403" s="127">
        <f>(AK403)/($AW$6)</f>
        <v>0.22222222222222221</v>
      </c>
      <c r="BQ403" s="127">
        <f ca="1">(CH403-$AW$4)/((YEAR($C$13))-$AW$4)</f>
        <v>1</v>
      </c>
      <c r="BR403" s="127">
        <f>(AL403)/($AW$6)</f>
        <v>0.22222222222222221</v>
      </c>
      <c r="BS403" s="4"/>
      <c r="BT403" s="127"/>
      <c r="BU403" s="127">
        <f ca="1">(CG403-$AW$4)/((YEAR($C$13))-$AW$4)</f>
        <v>1</v>
      </c>
      <c r="BV403" s="127">
        <f>AE403/5</f>
        <v>1</v>
      </c>
      <c r="BW403" s="127">
        <f>AF403/5</f>
        <v>1</v>
      </c>
      <c r="BX403" s="4"/>
      <c r="BY403" s="148" t="str">
        <f>IF(E403="A",".98",IF(E403="B",".99",IF(E403="C","1.00",IF(E403="D","1.00" ))))</f>
        <v>1.00</v>
      </c>
      <c r="BZ403" s="127">
        <f>(CE403+7)/10</f>
        <v>1</v>
      </c>
      <c r="CA403" s="76" t="str">
        <f>IF(D403="Fern",".97",IF(D403="Grass",".99",IF(D403="Herb",".97",IF(D403="Shrub",".99",IF(D403="Tree","1.00",IF(D403="Vine",".98"))))))</f>
        <v>.99</v>
      </c>
      <c r="CB403" s="149" t="str">
        <f>IF(R403="Bogs Ponds Streams",".96", IF(R403="Coastal Areas",".97",IF(R403="Meadows Dry Open",".96",IF(R403="Forest &amp; Understory",".97",IF(R403="Moist Open",".98",IF(R403="Moist Shady",".96",IF(R403="Sub-Alpine","1.0")))))))</f>
        <v>.97</v>
      </c>
      <c r="CC403" s="76" t="str">
        <f>IF(S403="Local Endemic",".50",IF(S403="Regional Endemic",".70",IF(S403="Cascadia",".90",IF(S403="Rocky Mountain",".95",IF(S403="North America",".99")))))</f>
        <v>.99</v>
      </c>
      <c r="CD403" s="4"/>
      <c r="CE403" s="21">
        <f>IF(W403&gt;3,3,W403)</f>
        <v>3</v>
      </c>
      <c r="CF403" s="21">
        <f>IF(AC403&gt;102,102,AC403)</f>
        <v>32.200000000000003</v>
      </c>
      <c r="CG403" s="34">
        <f ca="1">IF(AI403&lt;$AW$4,$AW$4,AI403)</f>
        <v>2019</v>
      </c>
      <c r="CH403" s="34">
        <f ca="1">IF(AJ403&lt;$AW$4,$AW$4,AJ403)</f>
        <v>2019</v>
      </c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</row>
    <row r="404" spans="1:115" s="13" customFormat="1" ht="15" customHeight="1" x14ac:dyDescent="0.3">
      <c r="A404" s="235"/>
      <c r="B404" s="218"/>
      <c r="C404" s="375">
        <v>1</v>
      </c>
      <c r="D404" s="67" t="s">
        <v>2505</v>
      </c>
      <c r="E404" s="67" t="s">
        <v>2502</v>
      </c>
      <c r="F404" s="403">
        <f ca="1">IF(BC404&lt;2025, "Extinct&lt; 6Yrs?",BA404)</f>
        <v>2031.3725262032085</v>
      </c>
      <c r="G404" s="376" t="s">
        <v>525</v>
      </c>
      <c r="H404" s="376" t="s">
        <v>4028</v>
      </c>
      <c r="I404" s="380" t="s">
        <v>3075</v>
      </c>
      <c r="J404" s="378" t="s">
        <v>3603</v>
      </c>
      <c r="K404" s="378" t="s">
        <v>1274</v>
      </c>
      <c r="L404" s="63" t="s">
        <v>1483</v>
      </c>
      <c r="M404" s="64" t="s">
        <v>4480</v>
      </c>
      <c r="N404" s="64" t="s">
        <v>5377</v>
      </c>
      <c r="O404" s="64" t="s">
        <v>6274</v>
      </c>
      <c r="P404" s="61" t="s">
        <v>468</v>
      </c>
      <c r="Q404" s="67" t="s">
        <v>2552</v>
      </c>
      <c r="R404" s="61" t="s">
        <v>2500</v>
      </c>
      <c r="S404" s="61" t="s">
        <v>2459</v>
      </c>
      <c r="T404" s="134" t="str">
        <f>IF(R404="Bogs Ponds Streams","20",IF(R404="Coastal Areas","26",IF(R404="Meadows Dry Open","10",IF(R404="Forest &amp; Understory","14",IF(R404="Moist Open","12",IF(R404="Moist Shady","10",IF(R404="Sub-Alpine Slopes","0")))))))</f>
        <v>10</v>
      </c>
      <c r="U404" s="134" t="str">
        <f>IF(R404="Bogs Ponds Streams","52",IF(R404="Coastal Areas","51",IF(R404="Meadows Dry Open","53",IF(R404="Forest &amp; Understory","52",IF(R404="Moist Open","50",IF(R404="Moist Shady","46",IF(R404="Sub-Alpine Slopes","40")))))))</f>
        <v>53</v>
      </c>
      <c r="V404" s="134" t="str">
        <f>IF(R404="Bogs Ponds Streams","84",IF(R404="Coastal Areas","76",IF(R404="Meadows Dry Open","96", IF(R404="Forest &amp; Understory","90", IF(R404="Moist Open","88", IF(R404="Moist Shady","82", IF(R404="Sub-Alpine Slopes","80")))))))</f>
        <v>96</v>
      </c>
      <c r="W404" s="67">
        <v>1</v>
      </c>
      <c r="X404" s="67">
        <v>0</v>
      </c>
      <c r="Y404" s="67">
        <v>3500</v>
      </c>
      <c r="Z404" s="67" t="s">
        <v>2519</v>
      </c>
      <c r="AA404" s="67" t="s">
        <v>2518</v>
      </c>
      <c r="AB404" s="67">
        <v>6.8</v>
      </c>
      <c r="AC404" s="85">
        <f>C404+AK404+(0.1)*AL404</f>
        <v>3.3</v>
      </c>
      <c r="AD404" s="78">
        <v>5</v>
      </c>
      <c r="AE404" s="67">
        <v>5</v>
      </c>
      <c r="AF404" s="67">
        <v>5</v>
      </c>
      <c r="AG404" s="67">
        <v>1900</v>
      </c>
      <c r="AH404" s="78">
        <v>0</v>
      </c>
      <c r="AI404" s="67">
        <f>AJ404</f>
        <v>2004</v>
      </c>
      <c r="AJ404" s="69">
        <v>2004</v>
      </c>
      <c r="AK404" s="69">
        <v>2</v>
      </c>
      <c r="AL404" s="69">
        <v>3</v>
      </c>
      <c r="AM404" s="70">
        <v>5</v>
      </c>
      <c r="AN404" s="70">
        <v>0</v>
      </c>
      <c r="AO404" s="86">
        <v>0</v>
      </c>
      <c r="AP404" s="70">
        <v>0</v>
      </c>
      <c r="AQ404" s="70">
        <v>0</v>
      </c>
      <c r="AR404" s="70">
        <v>0</v>
      </c>
      <c r="AS404" s="86">
        <v>0</v>
      </c>
      <c r="AT404" s="70">
        <v>0</v>
      </c>
      <c r="AU404" s="70">
        <v>0</v>
      </c>
      <c r="AV404" s="70">
        <v>0</v>
      </c>
      <c r="AW404" s="86">
        <v>0</v>
      </c>
      <c r="AX404" s="70">
        <v>0</v>
      </c>
      <c r="AY404" s="233"/>
      <c r="AZ404" s="4"/>
      <c r="BA404" s="35">
        <f ca="1">IF(OR(S404="North America",S404="Rocky Mountain"), "Widespread",BC404)</f>
        <v>2031.3725262032085</v>
      </c>
      <c r="BB404" s="4"/>
      <c r="BC404" s="35">
        <f ca="1">IF(BE404&gt;2046, "Abundant",BE404)</f>
        <v>2031.3725262032085</v>
      </c>
      <c r="BD404" s="4"/>
      <c r="BE404" s="81">
        <f ca="1">YEAR($C$13)+(BG404*80)</f>
        <v>2031.3725262032085</v>
      </c>
      <c r="BF404" s="4"/>
      <c r="BG404" s="137">
        <f ca="1">BH404*$BH$14</f>
        <v>0.15465657754010698</v>
      </c>
      <c r="BH404" s="137">
        <f ca="1">(((BJ404+BK404+BM404+BN404)/4)*$BM$11)+(((BP404+BQ404)/2)*$BQ$11)+(((BU404+BV404+BW404)/3)*$BU$11)+(((BY404+BZ404+CA404+CB404+CC404)/5)*$CA$11)</f>
        <v>0.15465657754010698</v>
      </c>
      <c r="BI404" s="4"/>
      <c r="BJ404" s="33">
        <f>AP404/(AM404+AO404)</f>
        <v>0</v>
      </c>
      <c r="BK404" s="33">
        <f>(AN404+AO404)/(AM404+AO404)</f>
        <v>0</v>
      </c>
      <c r="BL404" s="4"/>
      <c r="BM404" s="127">
        <f>CF404/102</f>
        <v>3.2352941176470584E-2</v>
      </c>
      <c r="BN404" s="127">
        <f>C404/2</f>
        <v>0.5</v>
      </c>
      <c r="BO404" s="4"/>
      <c r="BP404" s="127">
        <f>(AK404)/($AW$6)</f>
        <v>2.0202020202020204E-2</v>
      </c>
      <c r="BQ404" s="127">
        <f ca="1">(CH404-$AW$4)/((YEAR($C$13))-$AW$4)</f>
        <v>0</v>
      </c>
      <c r="BR404" s="127">
        <f>(AL404)/($AW$6)</f>
        <v>3.0303030303030304E-2</v>
      </c>
      <c r="BS404" s="4"/>
      <c r="BT404" s="127"/>
      <c r="BU404" s="127">
        <f ca="1">(CG404-$AW$4)/((YEAR($C$13))-$AW$4)</f>
        <v>0</v>
      </c>
      <c r="BV404" s="127">
        <f>AE404/5</f>
        <v>1</v>
      </c>
      <c r="BW404" s="127">
        <f>AF404/5</f>
        <v>1</v>
      </c>
      <c r="BX404" s="4"/>
      <c r="BY404" s="148" t="str">
        <f>IF(E404="A",".98",IF(E404="B",".99",IF(E404="C","1.00",IF(E404="D","1.00" ))))</f>
        <v>.98</v>
      </c>
      <c r="BZ404" s="127">
        <f>(CE404+7)/10</f>
        <v>0.8</v>
      </c>
      <c r="CA404" s="76" t="str">
        <f>IF(D404="Fern",".97",IF(D404="Grass",".99",IF(D404="Herb",".97",IF(D404="Shrub",".99",IF(D404="Tree","1.00",IF(D404="Vine",".98"))))))</f>
        <v>.97</v>
      </c>
      <c r="CB404" s="149" t="str">
        <f>IF(R404="Bogs Ponds Streams",".96", IF(R404="Coastal Areas",".97",IF(R404="Meadows Dry Open",".96",IF(R404="Forest &amp; Understory",".97",IF(R404="Moist Open",".98",IF(R404="Moist Shady",".96",IF(R404="Sub-Alpine","1.0")))))))</f>
        <v>.96</v>
      </c>
      <c r="CC404" s="76" t="str">
        <f>IF(S404="Local Endemic",".50",IF(S404="Regional Endemic",".70",IF(S404="Cascadia",".90",IF(S404="Rocky Mountain",".95",IF(S404="North America",".99")))))</f>
        <v>.90</v>
      </c>
      <c r="CD404" s="4"/>
      <c r="CE404" s="21">
        <f>IF(W404&gt;3,3,W404)</f>
        <v>1</v>
      </c>
      <c r="CF404" s="21">
        <f>IF(AC404&gt;102,102,AC404)</f>
        <v>3.3</v>
      </c>
      <c r="CG404" s="34">
        <f>IF(AI404&lt;$AW$4,$AW$4,AI404)</f>
        <v>2004</v>
      </c>
      <c r="CH404" s="34">
        <f>IF(AJ404&lt;$AW$4,$AW$4,AJ404)</f>
        <v>2004</v>
      </c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12"/>
    </row>
    <row r="405" spans="1:115" s="13" customFormat="1" ht="15" customHeight="1" x14ac:dyDescent="0.3">
      <c r="A405" s="235"/>
      <c r="B405" s="218"/>
      <c r="C405" s="375">
        <v>1</v>
      </c>
      <c r="D405" s="95" t="s">
        <v>1155</v>
      </c>
      <c r="E405" s="67" t="s">
        <v>2501</v>
      </c>
      <c r="F405" s="403" t="str">
        <f ca="1">IF(BC405&lt;2025, "Extinct&lt; 6Yrs?",BA405)</f>
        <v>Widespread</v>
      </c>
      <c r="G405" s="376" t="s">
        <v>525</v>
      </c>
      <c r="H405" s="376" t="s">
        <v>4028</v>
      </c>
      <c r="I405" s="380" t="s">
        <v>228</v>
      </c>
      <c r="J405" s="378" t="s">
        <v>3602</v>
      </c>
      <c r="K405" s="378" t="s">
        <v>227</v>
      </c>
      <c r="L405" s="63" t="s">
        <v>1484</v>
      </c>
      <c r="M405" s="64" t="s">
        <v>4481</v>
      </c>
      <c r="N405" s="64" t="s">
        <v>5378</v>
      </c>
      <c r="O405" s="64" t="s">
        <v>6275</v>
      </c>
      <c r="P405" s="61" t="s">
        <v>468</v>
      </c>
      <c r="Q405" s="67" t="s">
        <v>2552</v>
      </c>
      <c r="R405" s="163" t="s">
        <v>2497</v>
      </c>
      <c r="S405" s="65" t="s">
        <v>2495</v>
      </c>
      <c r="T405" s="134" t="str">
        <f>IF(R405="Bogs Ponds Streams","20",IF(R405="Coastal Areas","26",IF(R405="Meadows Dry Open","10",IF(R405="Forest &amp; Understory","14",IF(R405="Moist Open","12",IF(R405="Moist Shady","10",IF(R405="Sub-Alpine Slopes","0")))))))</f>
        <v>12</v>
      </c>
      <c r="U405" s="134" t="str">
        <f>IF(R405="Bogs Ponds Streams","52",IF(R405="Coastal Areas","51",IF(R405="Meadows Dry Open","53",IF(R405="Forest &amp; Understory","52",IF(R405="Moist Open","50",IF(R405="Moist Shady","46",IF(R405="Sub-Alpine Slopes","40")))))))</f>
        <v>50</v>
      </c>
      <c r="V405" s="134" t="str">
        <f>IF(R405="Bogs Ponds Streams","84",IF(R405="Coastal Areas","76",IF(R405="Meadows Dry Open","96", IF(R405="Forest &amp; Understory","90", IF(R405="Moist Open","88", IF(R405="Moist Shady","82", IF(R405="Sub-Alpine Slopes","80")))))))</f>
        <v>88</v>
      </c>
      <c r="W405" s="67">
        <v>20</v>
      </c>
      <c r="X405" s="67">
        <v>0</v>
      </c>
      <c r="Y405" s="67">
        <v>3500</v>
      </c>
      <c r="Z405" s="67" t="s">
        <v>2519</v>
      </c>
      <c r="AA405" s="67" t="s">
        <v>2518</v>
      </c>
      <c r="AB405" s="67">
        <v>6.8</v>
      </c>
      <c r="AC405" s="85">
        <f>C405+AK405+(0.1)*AL405</f>
        <v>7.9</v>
      </c>
      <c r="AD405" s="78">
        <v>78</v>
      </c>
      <c r="AE405" s="67">
        <v>5</v>
      </c>
      <c r="AF405" s="67">
        <v>5</v>
      </c>
      <c r="AG405" s="67">
        <v>1900</v>
      </c>
      <c r="AH405" s="78">
        <v>0</v>
      </c>
      <c r="AI405" s="67">
        <f>AJ405</f>
        <v>2004</v>
      </c>
      <c r="AJ405" s="69">
        <v>2004</v>
      </c>
      <c r="AK405" s="69">
        <v>4</v>
      </c>
      <c r="AL405" s="69">
        <v>29</v>
      </c>
      <c r="AM405" s="70">
        <v>5</v>
      </c>
      <c r="AN405" s="70">
        <v>0</v>
      </c>
      <c r="AO405" s="86">
        <v>0</v>
      </c>
      <c r="AP405" s="70">
        <v>0</v>
      </c>
      <c r="AQ405" s="70">
        <v>0</v>
      </c>
      <c r="AR405" s="70">
        <v>0</v>
      </c>
      <c r="AS405" s="86">
        <v>0</v>
      </c>
      <c r="AT405" s="70">
        <v>0</v>
      </c>
      <c r="AU405" s="70">
        <v>0</v>
      </c>
      <c r="AV405" s="70">
        <v>0</v>
      </c>
      <c r="AW405" s="86">
        <v>0</v>
      </c>
      <c r="AX405" s="70">
        <v>0</v>
      </c>
      <c r="AY405" s="233"/>
      <c r="AZ405" s="4"/>
      <c r="BA405" s="35" t="str">
        <f>IF(OR(S405="North America",S405="Rocky Mountain"), "Widespread",BC405)</f>
        <v>Widespread</v>
      </c>
      <c r="BB405" s="4"/>
      <c r="BC405" s="35">
        <f ca="1">IF(BE405&gt;2046, "Abundant",BE405)</f>
        <v>2032.268126916221</v>
      </c>
      <c r="BD405" s="4"/>
      <c r="BE405" s="81">
        <f ca="1">YEAR($C$13)+(BG405*80)</f>
        <v>2032.268126916221</v>
      </c>
      <c r="BF405" s="4"/>
      <c r="BG405" s="137">
        <f ca="1">BH405*$BH$14</f>
        <v>0.16585158645276291</v>
      </c>
      <c r="BH405" s="137">
        <f ca="1">(((BJ405+BK405+BM405+BN405)/4)*$BM$11)+(((BP405+BQ405)/2)*$BQ$11)+(((BU405+BV405+BW405)/3)*$BU$11)+(((BY405+BZ405+CA405+CB405+CC405)/5)*$CA$11)</f>
        <v>0.16585158645276291</v>
      </c>
      <c r="BI405" s="4"/>
      <c r="BJ405" s="33">
        <f>AP405/(AM405+AO405)</f>
        <v>0</v>
      </c>
      <c r="BK405" s="33">
        <f>(AN405+AO405)/(AM405+AO405)</f>
        <v>0</v>
      </c>
      <c r="BL405" s="4"/>
      <c r="BM405" s="127">
        <f>CF405/102</f>
        <v>7.7450980392156865E-2</v>
      </c>
      <c r="BN405" s="127">
        <f>C405/2</f>
        <v>0.5</v>
      </c>
      <c r="BO405" s="4"/>
      <c r="BP405" s="127">
        <f>(AK405)/($AW$6)</f>
        <v>4.0404040404040407E-2</v>
      </c>
      <c r="BQ405" s="127">
        <f ca="1">(CH405-$AW$4)/((YEAR($C$13))-$AW$4)</f>
        <v>0</v>
      </c>
      <c r="BR405" s="127">
        <f>(AL405)/($AW$6)</f>
        <v>0.29292929292929293</v>
      </c>
      <c r="BS405" s="4"/>
      <c r="BT405" s="127"/>
      <c r="BU405" s="127">
        <f ca="1">(CG405-$AW$4)/((YEAR($C$13))-$AW$4)</f>
        <v>0</v>
      </c>
      <c r="BV405" s="127">
        <f>AE405/5</f>
        <v>1</v>
      </c>
      <c r="BW405" s="127">
        <f>AF405/5</f>
        <v>1</v>
      </c>
      <c r="BX405" s="4"/>
      <c r="BY405" s="148" t="str">
        <f>IF(E405="A",".98",IF(E405="B",".99",IF(E405="C","1.00",IF(E405="D","1.00" ))))</f>
        <v>1.00</v>
      </c>
      <c r="BZ405" s="127">
        <f>(CE405+7)/10</f>
        <v>1</v>
      </c>
      <c r="CA405" s="76" t="str">
        <f>IF(D405="Fern",".97",IF(D405="Grass",".99",IF(D405="Herb",".97",IF(D405="Shrub",".99",IF(D405="Tree","1.00",IF(D405="Vine",".98"))))))</f>
        <v>.99</v>
      </c>
      <c r="CB405" s="149" t="str">
        <f>IF(R405="Bogs Ponds Streams",".96", IF(R405="Coastal Areas",".97",IF(R405="Meadows Dry Open",".96",IF(R405="Forest &amp; Understory",".97",IF(R405="Moist Open",".98",IF(R405="Moist Shady",".96",IF(R405="Sub-Alpine","1.0")))))))</f>
        <v>.98</v>
      </c>
      <c r="CC405" s="76" t="str">
        <f>IF(S405="Local Endemic",".50",IF(S405="Regional Endemic",".70",IF(S405="Cascadia",".90",IF(S405="Rocky Mountain",".95",IF(S405="North America",".99")))))</f>
        <v>.99</v>
      </c>
      <c r="CD405" s="4"/>
      <c r="CE405" s="21">
        <f>IF(W405&gt;3,3,W405)</f>
        <v>3</v>
      </c>
      <c r="CF405" s="21">
        <f>IF(AC405&gt;102,102,AC405)</f>
        <v>7.9</v>
      </c>
      <c r="CG405" s="34">
        <f>IF(AI405&lt;$AW$4,$AW$4,AI405)</f>
        <v>2004</v>
      </c>
      <c r="CH405" s="34">
        <f>IF(AJ405&lt;$AW$4,$AW$4,AJ405)</f>
        <v>2004</v>
      </c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</row>
    <row r="406" spans="1:115" s="13" customFormat="1" ht="15" customHeight="1" x14ac:dyDescent="0.3">
      <c r="A406" s="235"/>
      <c r="B406" s="218"/>
      <c r="C406" s="375">
        <v>1</v>
      </c>
      <c r="D406" s="67" t="s">
        <v>2505</v>
      </c>
      <c r="E406" s="67" t="s">
        <v>2501</v>
      </c>
      <c r="F406" s="403">
        <f ca="1">IF(BC406&lt;2025, "Extinct&lt; 6Yrs?",BA406)</f>
        <v>2031.6530795008912</v>
      </c>
      <c r="G406" s="376" t="s">
        <v>525</v>
      </c>
      <c r="H406" s="376" t="s">
        <v>4028</v>
      </c>
      <c r="I406" s="380" t="s">
        <v>3165</v>
      </c>
      <c r="J406" s="378" t="s">
        <v>3601</v>
      </c>
      <c r="K406" s="378" t="s">
        <v>1029</v>
      </c>
      <c r="L406" s="63" t="s">
        <v>2187</v>
      </c>
      <c r="M406" s="64" t="s">
        <v>4482</v>
      </c>
      <c r="N406" s="64" t="s">
        <v>5379</v>
      </c>
      <c r="O406" s="64" t="s">
        <v>6276</v>
      </c>
      <c r="P406" s="61" t="s">
        <v>576</v>
      </c>
      <c r="Q406" s="67" t="s">
        <v>2552</v>
      </c>
      <c r="R406" s="61" t="s">
        <v>2498</v>
      </c>
      <c r="S406" s="61" t="s">
        <v>2309</v>
      </c>
      <c r="T406" s="134" t="str">
        <f>IF(R406="Bogs Ponds Streams","20",IF(R406="Coastal Areas","26",IF(R406="Meadows Dry Open","10",IF(R406="Forest &amp; Understory","14",IF(R406="Moist Open","12",IF(R406="Moist Shady","10",IF(R406="Sub-Alpine Slopes","0")))))))</f>
        <v>10</v>
      </c>
      <c r="U406" s="134" t="str">
        <f>IF(R406="Bogs Ponds Streams","52",IF(R406="Coastal Areas","51",IF(R406="Meadows Dry Open","53",IF(R406="Forest &amp; Understory","52",IF(R406="Moist Open","50",IF(R406="Moist Shady","46",IF(R406="Sub-Alpine Slopes","40")))))))</f>
        <v>46</v>
      </c>
      <c r="V406" s="134" t="str">
        <f>IF(R406="Bogs Ponds Streams","84",IF(R406="Coastal Areas","76",IF(R406="Meadows Dry Open","96", IF(R406="Forest &amp; Understory","90", IF(R406="Moist Open","88", IF(R406="Moist Shady","82", IF(R406="Sub-Alpine Slopes","80")))))))</f>
        <v>82</v>
      </c>
      <c r="W406" s="67">
        <v>20</v>
      </c>
      <c r="X406" s="67">
        <v>0</v>
      </c>
      <c r="Y406" s="67">
        <v>3500</v>
      </c>
      <c r="Z406" s="67" t="s">
        <v>2519</v>
      </c>
      <c r="AA406" s="67" t="s">
        <v>2518</v>
      </c>
      <c r="AB406" s="67">
        <v>6.8</v>
      </c>
      <c r="AC406" s="85">
        <f>C406+AK406+(0.1)*AL406</f>
        <v>4.5999999999999996</v>
      </c>
      <c r="AD406" s="78">
        <v>22</v>
      </c>
      <c r="AE406" s="67">
        <v>5</v>
      </c>
      <c r="AF406" s="67">
        <v>5</v>
      </c>
      <c r="AG406" s="67">
        <v>1900</v>
      </c>
      <c r="AH406" s="78">
        <v>0</v>
      </c>
      <c r="AI406" s="67">
        <f>AJ406</f>
        <v>2004</v>
      </c>
      <c r="AJ406" s="69">
        <v>2004</v>
      </c>
      <c r="AK406" s="69">
        <v>3</v>
      </c>
      <c r="AL406" s="69">
        <v>6</v>
      </c>
      <c r="AM406" s="70">
        <v>5</v>
      </c>
      <c r="AN406" s="70">
        <v>0</v>
      </c>
      <c r="AO406" s="86">
        <v>0</v>
      </c>
      <c r="AP406" s="70">
        <v>0</v>
      </c>
      <c r="AQ406" s="70">
        <v>0</v>
      </c>
      <c r="AR406" s="70">
        <v>0</v>
      </c>
      <c r="AS406" s="86">
        <v>0</v>
      </c>
      <c r="AT406" s="70">
        <v>0</v>
      </c>
      <c r="AU406" s="70">
        <v>0</v>
      </c>
      <c r="AV406" s="70">
        <v>0</v>
      </c>
      <c r="AW406" s="86">
        <v>0</v>
      </c>
      <c r="AX406" s="70">
        <v>0</v>
      </c>
      <c r="AY406" s="233"/>
      <c r="AZ406" s="4"/>
      <c r="BA406" s="35">
        <f ca="1">IF(OR(S406="North America",S406="Rocky Mountain"), "Widespread",BC406)</f>
        <v>2031.6530795008912</v>
      </c>
      <c r="BB406" s="4"/>
      <c r="BC406" s="35">
        <f ca="1">IF(BE406&gt;2046, "Abundant",BE406)</f>
        <v>2031.6530795008912</v>
      </c>
      <c r="BD406" s="4"/>
      <c r="BE406" s="81">
        <f ca="1">YEAR($C$13)+(BG406*80)</f>
        <v>2031.6530795008912</v>
      </c>
      <c r="BF406" s="4"/>
      <c r="BG406" s="137">
        <f ca="1">BH406*$BH$14</f>
        <v>0.15816349376114083</v>
      </c>
      <c r="BH406" s="137">
        <f ca="1">(((BJ406+BK406+BM406+BN406)/4)*$BM$11)+(((BP406+BQ406)/2)*$BQ$11)+(((BU406+BV406+BW406)/3)*$BU$11)+(((BY406+BZ406+CA406+CB406+CC406)/5)*$CA$11)</f>
        <v>0.15816349376114083</v>
      </c>
      <c r="BI406" s="4"/>
      <c r="BJ406" s="33">
        <f>AP406/(AM406+AO406)</f>
        <v>0</v>
      </c>
      <c r="BK406" s="33">
        <f>(AN406+AO406)/(AM406+AO406)</f>
        <v>0</v>
      </c>
      <c r="BL406" s="4"/>
      <c r="BM406" s="127">
        <f>CF406/102</f>
        <v>4.5098039215686274E-2</v>
      </c>
      <c r="BN406" s="127">
        <f>C406/2</f>
        <v>0.5</v>
      </c>
      <c r="BO406" s="4"/>
      <c r="BP406" s="127">
        <f>(AK406)/($AW$6)</f>
        <v>3.0303030303030304E-2</v>
      </c>
      <c r="BQ406" s="127">
        <f ca="1">(CH406-$AW$4)/((YEAR($C$13))-$AW$4)</f>
        <v>0</v>
      </c>
      <c r="BR406" s="127">
        <f>(AL406)/($AW$6)</f>
        <v>6.0606060606060608E-2</v>
      </c>
      <c r="BS406" s="4"/>
      <c r="BT406" s="127"/>
      <c r="BU406" s="127">
        <f ca="1">(CG406-$AW$4)/((YEAR($C$13))-$AW$4)</f>
        <v>0</v>
      </c>
      <c r="BV406" s="127">
        <f>AE406/5</f>
        <v>1</v>
      </c>
      <c r="BW406" s="127">
        <f>AF406/5</f>
        <v>1</v>
      </c>
      <c r="BX406" s="4"/>
      <c r="BY406" s="148" t="str">
        <f>IF(E406="A",".98",IF(E406="B",".99",IF(E406="C","1.00",IF(E406="D","1.00" ))))</f>
        <v>1.00</v>
      </c>
      <c r="BZ406" s="127">
        <f>(CE406+7)/10</f>
        <v>1</v>
      </c>
      <c r="CA406" s="76" t="str">
        <f>IF(D406="Fern",".97",IF(D406="Grass",".99",IF(D406="Herb",".97",IF(D406="Shrub",".99",IF(D406="Tree","1.00",IF(D406="Vine",".98"))))))</f>
        <v>.97</v>
      </c>
      <c r="CB406" s="149" t="str">
        <f>IF(R406="Bogs Ponds Streams",".96", IF(R406="Coastal Areas",".97",IF(R406="Meadows Dry Open",".96",IF(R406="Forest &amp; Understory",".97",IF(R406="Moist Open",".98",IF(R406="Moist Shady",".96",IF(R406="Sub-Alpine","1.0")))))))</f>
        <v>.96</v>
      </c>
      <c r="CC406" s="76" t="str">
        <f>IF(S406="Local Endemic",".50",IF(S406="Regional Endemic",".70",IF(S406="Cascadia",".90",IF(S406="Rocky Mountain",".95",IF(S406="North America",".99")))))</f>
        <v>.70</v>
      </c>
      <c r="CD406" s="4"/>
      <c r="CE406" s="21">
        <f>IF(W406&gt;3,3,W406)</f>
        <v>3</v>
      </c>
      <c r="CF406" s="21">
        <f>IF(AC406&gt;102,102,AC406)</f>
        <v>4.5999999999999996</v>
      </c>
      <c r="CG406" s="34">
        <f>IF(AI406&lt;$AW$4,$AW$4,AI406)</f>
        <v>2004</v>
      </c>
      <c r="CH406" s="34">
        <f>IF(AJ406&lt;$AW$4,$AW$4,AJ406)</f>
        <v>2004</v>
      </c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12"/>
    </row>
    <row r="407" spans="1:115" s="13" customFormat="1" ht="15" customHeight="1" x14ac:dyDescent="0.3">
      <c r="A407" s="235"/>
      <c r="B407" s="218"/>
      <c r="C407" s="375">
        <v>1</v>
      </c>
      <c r="D407" s="67" t="s">
        <v>2505</v>
      </c>
      <c r="E407" s="67" t="s">
        <v>2501</v>
      </c>
      <c r="F407" s="403">
        <f ca="1">IF(BC407&lt;2025, "Extinct&lt; 6Yrs?",BA407)</f>
        <v>2032.6607515151516</v>
      </c>
      <c r="G407" s="376" t="s">
        <v>525</v>
      </c>
      <c r="H407" s="376" t="s">
        <v>4028</v>
      </c>
      <c r="I407" s="380" t="s">
        <v>3171</v>
      </c>
      <c r="J407" s="378" t="s">
        <v>3600</v>
      </c>
      <c r="K407" s="378" t="s">
        <v>1030</v>
      </c>
      <c r="L407" s="63" t="s">
        <v>4035</v>
      </c>
      <c r="M407" s="64" t="s">
        <v>4483</v>
      </c>
      <c r="N407" s="64" t="s">
        <v>5380</v>
      </c>
      <c r="O407" s="64" t="s">
        <v>6277</v>
      </c>
      <c r="P407" s="61" t="s">
        <v>576</v>
      </c>
      <c r="Q407" s="67" t="s">
        <v>2552</v>
      </c>
      <c r="R407" s="61" t="s">
        <v>2498</v>
      </c>
      <c r="S407" s="61" t="s">
        <v>2459</v>
      </c>
      <c r="T407" s="134" t="str">
        <f>IF(R407="Bogs Ponds Streams","20",IF(R407="Coastal Areas","26",IF(R407="Meadows Dry Open","10",IF(R407="Forest &amp; Understory","14",IF(R407="Moist Open","12",IF(R407="Moist Shady","10",IF(R407="Sub-Alpine Slopes","0")))))))</f>
        <v>10</v>
      </c>
      <c r="U407" s="134" t="str">
        <f>IF(R407="Bogs Ponds Streams","52",IF(R407="Coastal Areas","51",IF(R407="Meadows Dry Open","53",IF(R407="Forest &amp; Understory","52",IF(R407="Moist Open","50",IF(R407="Moist Shady","46",IF(R407="Sub-Alpine Slopes","40")))))))</f>
        <v>46</v>
      </c>
      <c r="V407" s="134" t="str">
        <f>IF(R407="Bogs Ponds Streams","84",IF(R407="Coastal Areas","76",IF(R407="Meadows Dry Open","96", IF(R407="Forest &amp; Understory","90", IF(R407="Moist Open","88", IF(R407="Moist Shady","82", IF(R407="Sub-Alpine Slopes","80")))))))</f>
        <v>82</v>
      </c>
      <c r="W407" s="67">
        <v>20</v>
      </c>
      <c r="X407" s="67">
        <v>0</v>
      </c>
      <c r="Y407" s="67">
        <v>3500</v>
      </c>
      <c r="Z407" s="67" t="s">
        <v>2519</v>
      </c>
      <c r="AA407" s="67" t="s">
        <v>2518</v>
      </c>
      <c r="AB407" s="67">
        <v>6.8</v>
      </c>
      <c r="AC407" s="85">
        <f>C407+AK407+(0.1)*AL407</f>
        <v>8.5</v>
      </c>
      <c r="AD407" s="78">
        <v>25</v>
      </c>
      <c r="AE407" s="67">
        <v>5</v>
      </c>
      <c r="AF407" s="67">
        <v>5</v>
      </c>
      <c r="AG407" s="67">
        <v>1900</v>
      </c>
      <c r="AH407" s="78">
        <v>0</v>
      </c>
      <c r="AI407" s="67">
        <f>AJ407</f>
        <v>2004</v>
      </c>
      <c r="AJ407" s="69">
        <v>2004</v>
      </c>
      <c r="AK407" s="69">
        <v>7</v>
      </c>
      <c r="AL407" s="69">
        <v>5</v>
      </c>
      <c r="AM407" s="70">
        <v>5</v>
      </c>
      <c r="AN407" s="70">
        <v>0</v>
      </c>
      <c r="AO407" s="86">
        <v>0</v>
      </c>
      <c r="AP407" s="70">
        <v>0</v>
      </c>
      <c r="AQ407" s="70">
        <v>0</v>
      </c>
      <c r="AR407" s="70">
        <v>0</v>
      </c>
      <c r="AS407" s="86">
        <v>0</v>
      </c>
      <c r="AT407" s="70">
        <v>0</v>
      </c>
      <c r="AU407" s="70">
        <v>0</v>
      </c>
      <c r="AV407" s="70">
        <v>0</v>
      </c>
      <c r="AW407" s="86">
        <v>0</v>
      </c>
      <c r="AX407" s="70">
        <v>0</v>
      </c>
      <c r="AY407" s="233"/>
      <c r="AZ407" s="4"/>
      <c r="BA407" s="35">
        <f ca="1">IF(OR(S407="North America",S407="Rocky Mountain"), "Widespread",BC407)</f>
        <v>2032.6607515151516</v>
      </c>
      <c r="BB407" s="4"/>
      <c r="BC407" s="35">
        <f ca="1">IF(BE407&gt;2046, "Abundant",BE407)</f>
        <v>2032.6607515151516</v>
      </c>
      <c r="BD407" s="4"/>
      <c r="BE407" s="81">
        <f ca="1">YEAR($C$13)+(BG407*80)</f>
        <v>2032.6607515151516</v>
      </c>
      <c r="BF407" s="4"/>
      <c r="BG407" s="137">
        <f ca="1">BH407*$BH$14</f>
        <v>0.17075939393939393</v>
      </c>
      <c r="BH407" s="137">
        <f ca="1">(((BJ407+BK407+BM407+BN407)/4)*$BM$11)+(((BP407+BQ407)/2)*$BQ$11)+(((BU407+BV407+BW407)/3)*$BU$11)+(((BY407+BZ407+CA407+CB407+CC407)/5)*$CA$11)</f>
        <v>0.17075939393939393</v>
      </c>
      <c r="BI407" s="4"/>
      <c r="BJ407" s="33">
        <f>AP407/(AM407+AO407)</f>
        <v>0</v>
      </c>
      <c r="BK407" s="33">
        <f>(AN407+AO407)/(AM407+AO407)</f>
        <v>0</v>
      </c>
      <c r="BL407" s="4"/>
      <c r="BM407" s="127">
        <f>CF407/102</f>
        <v>8.3333333333333329E-2</v>
      </c>
      <c r="BN407" s="127">
        <f>C407/2</f>
        <v>0.5</v>
      </c>
      <c r="BO407" s="4"/>
      <c r="BP407" s="127">
        <f>(AK407)/($AW$6)</f>
        <v>7.0707070707070704E-2</v>
      </c>
      <c r="BQ407" s="127">
        <f ca="1">(CH407-$AW$4)/((YEAR($C$13))-$AW$4)</f>
        <v>0</v>
      </c>
      <c r="BR407" s="127">
        <f>(AL407)/($AW$6)</f>
        <v>5.0505050505050504E-2</v>
      </c>
      <c r="BS407" s="4"/>
      <c r="BT407" s="127"/>
      <c r="BU407" s="127">
        <f ca="1">(CG407-$AW$4)/((YEAR($C$13))-$AW$4)</f>
        <v>0</v>
      </c>
      <c r="BV407" s="127">
        <f>AE407/5</f>
        <v>1</v>
      </c>
      <c r="BW407" s="127">
        <f>AF407/5</f>
        <v>1</v>
      </c>
      <c r="BX407" s="4"/>
      <c r="BY407" s="148" t="str">
        <f>IF(E407="A",".98",IF(E407="B",".99",IF(E407="C","1.00",IF(E407="D","1.00" ))))</f>
        <v>1.00</v>
      </c>
      <c r="BZ407" s="127">
        <f>(CE407+7)/10</f>
        <v>1</v>
      </c>
      <c r="CA407" s="76" t="str">
        <f>IF(D407="Fern",".97",IF(D407="Grass",".99",IF(D407="Herb",".97",IF(D407="Shrub",".99",IF(D407="Tree","1.00",IF(D407="Vine",".98"))))))</f>
        <v>.97</v>
      </c>
      <c r="CB407" s="149" t="str">
        <f>IF(R407="Bogs Ponds Streams",".96", IF(R407="Coastal Areas",".97",IF(R407="Meadows Dry Open",".96",IF(R407="Forest &amp; Understory",".97",IF(R407="Moist Open",".98",IF(R407="Moist Shady",".96",IF(R407="Sub-Alpine","1.0")))))))</f>
        <v>.96</v>
      </c>
      <c r="CC407" s="76" t="str">
        <f>IF(S407="Local Endemic",".50",IF(S407="Regional Endemic",".70",IF(S407="Cascadia",".90",IF(S407="Rocky Mountain",".95",IF(S407="North America",".99")))))</f>
        <v>.90</v>
      </c>
      <c r="CD407" s="4"/>
      <c r="CE407" s="21">
        <f>IF(W407&gt;3,3,W407)</f>
        <v>3</v>
      </c>
      <c r="CF407" s="21">
        <f>IF(AC407&gt;102,102,AC407)</f>
        <v>8.5</v>
      </c>
      <c r="CG407" s="34">
        <f>IF(AI407&lt;$AW$4,$AW$4,AI407)</f>
        <v>2004</v>
      </c>
      <c r="CH407" s="34">
        <f>IF(AJ407&lt;$AW$4,$AW$4,AJ407)</f>
        <v>2004</v>
      </c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12"/>
    </row>
    <row r="408" spans="1:115" s="13" customFormat="1" ht="15" customHeight="1" x14ac:dyDescent="0.3">
      <c r="A408" s="235"/>
      <c r="B408" s="218"/>
      <c r="C408" s="375">
        <v>1</v>
      </c>
      <c r="D408" s="67" t="s">
        <v>2505</v>
      </c>
      <c r="E408" s="67" t="s">
        <v>2501</v>
      </c>
      <c r="F408" s="403">
        <f ca="1">IF(BC408&lt;2025, "Extinct&lt; 6Yrs?",BA408)</f>
        <v>2033.5573647058823</v>
      </c>
      <c r="G408" s="376" t="s">
        <v>525</v>
      </c>
      <c r="H408" s="376" t="s">
        <v>4028</v>
      </c>
      <c r="I408" s="380" t="s">
        <v>3169</v>
      </c>
      <c r="J408" s="378" t="s">
        <v>3599</v>
      </c>
      <c r="K408" s="378" t="s">
        <v>1026</v>
      </c>
      <c r="L408" s="63" t="s">
        <v>2186</v>
      </c>
      <c r="M408" s="64" t="s">
        <v>4484</v>
      </c>
      <c r="N408" s="64" t="s">
        <v>5381</v>
      </c>
      <c r="O408" s="64" t="s">
        <v>6278</v>
      </c>
      <c r="P408" s="61" t="s">
        <v>576</v>
      </c>
      <c r="Q408" s="67" t="s">
        <v>2552</v>
      </c>
      <c r="R408" s="61" t="s">
        <v>2498</v>
      </c>
      <c r="S408" s="61" t="s">
        <v>2459</v>
      </c>
      <c r="T408" s="134" t="str">
        <f>IF(R408="Bogs Ponds Streams","20",IF(R408="Coastal Areas","26",IF(R408="Meadows Dry Open","10",IF(R408="Forest &amp; Understory","14",IF(R408="Moist Open","12",IF(R408="Moist Shady","10",IF(R408="Sub-Alpine Slopes","0")))))))</f>
        <v>10</v>
      </c>
      <c r="U408" s="134" t="str">
        <f>IF(R408="Bogs Ponds Streams","52",IF(R408="Coastal Areas","51",IF(R408="Meadows Dry Open","53",IF(R408="Forest &amp; Understory","52",IF(R408="Moist Open","50",IF(R408="Moist Shady","46",IF(R408="Sub-Alpine Slopes","40")))))))</f>
        <v>46</v>
      </c>
      <c r="V408" s="134" t="str">
        <f>IF(R408="Bogs Ponds Streams","84",IF(R408="Coastal Areas","76",IF(R408="Meadows Dry Open","96", IF(R408="Forest &amp; Understory","90", IF(R408="Moist Open","88", IF(R408="Moist Shady","82", IF(R408="Sub-Alpine Slopes","80")))))))</f>
        <v>82</v>
      </c>
      <c r="W408" s="67">
        <v>20</v>
      </c>
      <c r="X408" s="67">
        <v>0</v>
      </c>
      <c r="Y408" s="67">
        <v>3500</v>
      </c>
      <c r="Z408" s="67" t="s">
        <v>2519</v>
      </c>
      <c r="AA408" s="67" t="s">
        <v>2518</v>
      </c>
      <c r="AB408" s="67">
        <v>6.8</v>
      </c>
      <c r="AC408" s="85">
        <f>C408+AK408+(0.1)*AL408</f>
        <v>12</v>
      </c>
      <c r="AD408" s="78">
        <v>52</v>
      </c>
      <c r="AE408" s="67">
        <v>5</v>
      </c>
      <c r="AF408" s="67">
        <v>5</v>
      </c>
      <c r="AG408" s="67">
        <v>1900</v>
      </c>
      <c r="AH408" s="78">
        <v>0</v>
      </c>
      <c r="AI408" s="67">
        <f>AJ408</f>
        <v>2004</v>
      </c>
      <c r="AJ408" s="69">
        <v>2004</v>
      </c>
      <c r="AK408" s="69">
        <v>11</v>
      </c>
      <c r="AL408" s="69">
        <v>0</v>
      </c>
      <c r="AM408" s="70">
        <v>5</v>
      </c>
      <c r="AN408" s="70">
        <v>0</v>
      </c>
      <c r="AO408" s="86">
        <v>0</v>
      </c>
      <c r="AP408" s="70">
        <v>0</v>
      </c>
      <c r="AQ408" s="70">
        <v>0</v>
      </c>
      <c r="AR408" s="70">
        <v>0</v>
      </c>
      <c r="AS408" s="86">
        <v>0</v>
      </c>
      <c r="AT408" s="70">
        <v>0</v>
      </c>
      <c r="AU408" s="70">
        <v>0</v>
      </c>
      <c r="AV408" s="70">
        <v>0</v>
      </c>
      <c r="AW408" s="86">
        <v>0</v>
      </c>
      <c r="AX408" s="70">
        <v>0</v>
      </c>
      <c r="AY408" s="233"/>
      <c r="AZ408" s="4"/>
      <c r="BA408" s="35">
        <f ca="1">IF(OR(S408="North America",S408="Rocky Mountain"), "Widespread",BC408)</f>
        <v>2033.5573647058823</v>
      </c>
      <c r="BB408" s="4"/>
      <c r="BC408" s="35">
        <f ca="1">IF(BE408&gt;2046, "Abundant",BE408)</f>
        <v>2033.5573647058823</v>
      </c>
      <c r="BD408" s="4"/>
      <c r="BE408" s="81">
        <f ca="1">YEAR($C$13)+(BG408*80)</f>
        <v>2033.5573647058823</v>
      </c>
      <c r="BF408" s="4"/>
      <c r="BG408" s="137">
        <f ca="1">BH408*$BH$14</f>
        <v>0.18196705882352943</v>
      </c>
      <c r="BH408" s="137">
        <f ca="1">(((BJ408+BK408+BM408+BN408)/4)*$BM$11)+(((BP408+BQ408)/2)*$BQ$11)+(((BU408+BV408+BW408)/3)*$BU$11)+(((BY408+BZ408+CA408+CB408+CC408)/5)*$CA$11)</f>
        <v>0.18196705882352943</v>
      </c>
      <c r="BI408" s="4"/>
      <c r="BJ408" s="33">
        <f>AP408/(AM408+AO408)</f>
        <v>0</v>
      </c>
      <c r="BK408" s="33">
        <f>(AN408+AO408)/(AM408+AO408)</f>
        <v>0</v>
      </c>
      <c r="BL408" s="4"/>
      <c r="BM408" s="127">
        <f>CF408/102</f>
        <v>0.11764705882352941</v>
      </c>
      <c r="BN408" s="127">
        <f>C408/2</f>
        <v>0.5</v>
      </c>
      <c r="BO408" s="4"/>
      <c r="BP408" s="127">
        <f>(AK408)/($AW$6)</f>
        <v>0.1111111111111111</v>
      </c>
      <c r="BQ408" s="127">
        <f ca="1">(CH408-$AW$4)/((YEAR($C$13))-$AW$4)</f>
        <v>0</v>
      </c>
      <c r="BR408" s="127">
        <f>(AL408)/($AW$6)</f>
        <v>0</v>
      </c>
      <c r="BS408" s="4"/>
      <c r="BT408" s="127"/>
      <c r="BU408" s="127">
        <f ca="1">(CG408-$AW$4)/((YEAR($C$13))-$AW$4)</f>
        <v>0</v>
      </c>
      <c r="BV408" s="127">
        <f>AE408/5</f>
        <v>1</v>
      </c>
      <c r="BW408" s="127">
        <f>AF408/5</f>
        <v>1</v>
      </c>
      <c r="BX408" s="4"/>
      <c r="BY408" s="148" t="str">
        <f>IF(E408="A",".98",IF(E408="B",".99",IF(E408="C","1.00",IF(E408="D","1.00" ))))</f>
        <v>1.00</v>
      </c>
      <c r="BZ408" s="127">
        <f>(CE408+7)/10</f>
        <v>1</v>
      </c>
      <c r="CA408" s="76" t="str">
        <f>IF(D408="Fern",".97",IF(D408="Grass",".99",IF(D408="Herb",".97",IF(D408="Shrub",".99",IF(D408="Tree","1.00",IF(D408="Vine",".98"))))))</f>
        <v>.97</v>
      </c>
      <c r="CB408" s="149" t="str">
        <f>IF(R408="Bogs Ponds Streams",".96", IF(R408="Coastal Areas",".97",IF(R408="Meadows Dry Open",".96",IF(R408="Forest &amp; Understory",".97",IF(R408="Moist Open",".98",IF(R408="Moist Shady",".96",IF(R408="Sub-Alpine","1.0")))))))</f>
        <v>.96</v>
      </c>
      <c r="CC408" s="76" t="str">
        <f>IF(S408="Local Endemic",".50",IF(S408="Regional Endemic",".70",IF(S408="Cascadia",".90",IF(S408="Rocky Mountain",".95",IF(S408="North America",".99")))))</f>
        <v>.90</v>
      </c>
      <c r="CD408" s="4"/>
      <c r="CE408" s="21">
        <f>IF(W408&gt;3,3,W408)</f>
        <v>3</v>
      </c>
      <c r="CF408" s="21">
        <f>IF(AC408&gt;102,102,AC408)</f>
        <v>12</v>
      </c>
      <c r="CG408" s="34">
        <f>IF(AI408&lt;$AW$4,$AW$4,AI408)</f>
        <v>2004</v>
      </c>
      <c r="CH408" s="34">
        <f>IF(AJ408&lt;$AW$4,$AW$4,AJ408)</f>
        <v>2004</v>
      </c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12"/>
    </row>
    <row r="409" spans="1:115" s="13" customFormat="1" ht="15" customHeight="1" x14ac:dyDescent="0.3">
      <c r="A409" s="235"/>
      <c r="B409" s="218"/>
      <c r="C409" s="375">
        <v>1</v>
      </c>
      <c r="D409" s="67" t="s">
        <v>2505</v>
      </c>
      <c r="E409" s="67" t="s">
        <v>2502</v>
      </c>
      <c r="F409" s="403" t="str">
        <f ca="1">IF(BC409&lt;2025, "Extinct&lt; 6Yrs?",BA409)</f>
        <v>Widespread</v>
      </c>
      <c r="G409" s="376" t="s">
        <v>525</v>
      </c>
      <c r="H409" s="376" t="s">
        <v>4028</v>
      </c>
      <c r="I409" s="380" t="s">
        <v>1276</v>
      </c>
      <c r="J409" s="378" t="s">
        <v>3598</v>
      </c>
      <c r="K409" s="378" t="s">
        <v>1275</v>
      </c>
      <c r="L409" s="63" t="s">
        <v>1485</v>
      </c>
      <c r="M409" s="64" t="s">
        <v>4485</v>
      </c>
      <c r="N409" s="64" t="s">
        <v>5382</v>
      </c>
      <c r="O409" s="64" t="s">
        <v>6279</v>
      </c>
      <c r="P409" s="61" t="s">
        <v>154</v>
      </c>
      <c r="Q409" s="67" t="s">
        <v>2552</v>
      </c>
      <c r="R409" s="61" t="s">
        <v>2499</v>
      </c>
      <c r="S409" s="61" t="s">
        <v>2479</v>
      </c>
      <c r="T409" s="134" t="str">
        <f>IF(R409="Bogs Ponds Streams","20",IF(R409="Coastal Areas","26",IF(R409="Meadows Dry Open","10",IF(R409="Forest &amp; Understory","14",IF(R409="Moist Open","12",IF(R409="Moist Shady","10",IF(R409="Sub-Alpine Slopes","0")))))))</f>
        <v>20</v>
      </c>
      <c r="U409" s="134" t="str">
        <f>IF(R409="Bogs Ponds Streams","52",IF(R409="Coastal Areas","51",IF(R409="Meadows Dry Open","53",IF(R409="Forest &amp; Understory","52",IF(R409="Moist Open","50",IF(R409="Moist Shady","46",IF(R409="Sub-Alpine Slopes","40")))))))</f>
        <v>52</v>
      </c>
      <c r="V409" s="134" t="str">
        <f>IF(R409="Bogs Ponds Streams","84",IF(R409="Coastal Areas","76",IF(R409="Meadows Dry Open","96", IF(R409="Forest &amp; Understory","90", IF(R409="Moist Open","88", IF(R409="Moist Shady","82", IF(R409="Sub-Alpine Slopes","80")))))))</f>
        <v>84</v>
      </c>
      <c r="W409" s="67">
        <v>1</v>
      </c>
      <c r="X409" s="67">
        <v>0</v>
      </c>
      <c r="Y409" s="67">
        <v>3500</v>
      </c>
      <c r="Z409" s="67" t="s">
        <v>2519</v>
      </c>
      <c r="AA409" s="67" t="s">
        <v>2518</v>
      </c>
      <c r="AB409" s="67">
        <v>6.8</v>
      </c>
      <c r="AC409" s="85">
        <f>C409+AK409+(0.1)*AL409</f>
        <v>3.1</v>
      </c>
      <c r="AD409" s="78">
        <v>6</v>
      </c>
      <c r="AE409" s="68">
        <v>2</v>
      </c>
      <c r="AF409" s="68">
        <v>3</v>
      </c>
      <c r="AG409" s="78">
        <v>1978</v>
      </c>
      <c r="AH409" s="78">
        <v>0</v>
      </c>
      <c r="AI409" s="78">
        <v>2018</v>
      </c>
      <c r="AJ409" s="69">
        <v>2004</v>
      </c>
      <c r="AK409" s="69">
        <v>2</v>
      </c>
      <c r="AL409" s="69">
        <v>1</v>
      </c>
      <c r="AM409" s="70">
        <v>5</v>
      </c>
      <c r="AN409" s="70">
        <v>0</v>
      </c>
      <c r="AO409" s="86">
        <v>0</v>
      </c>
      <c r="AP409" s="70">
        <v>0</v>
      </c>
      <c r="AQ409" s="70">
        <v>0</v>
      </c>
      <c r="AR409" s="70">
        <v>0</v>
      </c>
      <c r="AS409" s="86">
        <v>0</v>
      </c>
      <c r="AT409" s="70">
        <v>0</v>
      </c>
      <c r="AU409" s="70">
        <v>0</v>
      </c>
      <c r="AV409" s="70">
        <v>0</v>
      </c>
      <c r="AW409" s="86">
        <v>0</v>
      </c>
      <c r="AX409" s="70">
        <v>0</v>
      </c>
      <c r="AY409" s="233"/>
      <c r="AZ409" s="4"/>
      <c r="BA409" s="35" t="str">
        <f>IF(OR(S409="North America",S409="Rocky Mountain"), "Widespread",BC409)</f>
        <v>Widespread</v>
      </c>
      <c r="BB409" s="4"/>
      <c r="BC409" s="35">
        <f ca="1">IF(BE409&gt;2046, "Abundant",BE409)</f>
        <v>2031.2227745692217</v>
      </c>
      <c r="BD409" s="4"/>
      <c r="BE409" s="81">
        <f ca="1">YEAR($C$13)+(BG409*80)</f>
        <v>2031.2227745692217</v>
      </c>
      <c r="BF409" s="4"/>
      <c r="BG409" s="137">
        <f ca="1">BH409*$BH$14</f>
        <v>0.15278468211527035</v>
      </c>
      <c r="BH409" s="137">
        <f ca="1">(((BJ409+BK409+BM409+BN409)/4)*$BM$11)+(((BP409+BQ409)/2)*$BQ$11)+(((BU409+BV409+BW409)/3)*$BU$11)+(((BY409+BZ409+CA409+CB409+CC409)/5)*$CA$11)</f>
        <v>0.15278468211527035</v>
      </c>
      <c r="BI409" s="4"/>
      <c r="BJ409" s="33">
        <f>AP409/(AM409+AO409)</f>
        <v>0</v>
      </c>
      <c r="BK409" s="33">
        <f>(AN409+AO409)/(AM409+AO409)</f>
        <v>0</v>
      </c>
      <c r="BL409" s="4"/>
      <c r="BM409" s="127">
        <f>CF409/102</f>
        <v>3.0392156862745098E-2</v>
      </c>
      <c r="BN409" s="127">
        <f>C409/2</f>
        <v>0.5</v>
      </c>
      <c r="BO409" s="4"/>
      <c r="BP409" s="127">
        <f>(AK409)/($AW$6)</f>
        <v>2.0202020202020204E-2</v>
      </c>
      <c r="BQ409" s="127">
        <f ca="1">(CH409-$AW$4)/((YEAR($C$13))-$AW$4)</f>
        <v>0</v>
      </c>
      <c r="BR409" s="127">
        <f>(AL409)/($AW$6)</f>
        <v>1.0101010101010102E-2</v>
      </c>
      <c r="BS409" s="4"/>
      <c r="BT409" s="127"/>
      <c r="BU409" s="127">
        <f ca="1">(CG409-$AW$4)/((YEAR($C$13))-$AW$4)</f>
        <v>0.93333333333333335</v>
      </c>
      <c r="BV409" s="127">
        <f>AE409/5</f>
        <v>0.4</v>
      </c>
      <c r="BW409" s="127">
        <f>AF409/5</f>
        <v>0.6</v>
      </c>
      <c r="BX409" s="4"/>
      <c r="BY409" s="148" t="str">
        <f>IF(E409="A",".98",IF(E409="B",".99",IF(E409="C","1.00",IF(E409="D","1.00" ))))</f>
        <v>.98</v>
      </c>
      <c r="BZ409" s="127">
        <f>(CE409+7)/10</f>
        <v>0.8</v>
      </c>
      <c r="CA409" s="76" t="str">
        <f>IF(D409="Fern",".97",IF(D409="Grass",".99",IF(D409="Herb",".97",IF(D409="Shrub",".99",IF(D409="Tree","1.00",IF(D409="Vine",".98"))))))</f>
        <v>.97</v>
      </c>
      <c r="CB409" s="149" t="str">
        <f>IF(R409="Bogs Ponds Streams",".96", IF(R409="Coastal Areas",".97",IF(R409="Meadows Dry Open",".96",IF(R409="Forest &amp; Understory",".97",IF(R409="Moist Open",".98",IF(R409="Moist Shady",".96",IF(R409="Sub-Alpine","1.0")))))))</f>
        <v>.96</v>
      </c>
      <c r="CC409" s="76" t="str">
        <f>IF(S409="Local Endemic",".50",IF(S409="Regional Endemic",".70",IF(S409="Cascadia",".90",IF(S409="Rocky Mountain",".95",IF(S409="North America",".99")))))</f>
        <v>.95</v>
      </c>
      <c r="CD409" s="4"/>
      <c r="CE409" s="21">
        <f>IF(W409&gt;3,3,W409)</f>
        <v>1</v>
      </c>
      <c r="CF409" s="21">
        <f>IF(AC409&gt;102,102,AC409)</f>
        <v>3.1</v>
      </c>
      <c r="CG409" s="34">
        <f>IF(AI409&lt;$AW$4,$AW$4,AI409)</f>
        <v>2018</v>
      </c>
      <c r="CH409" s="34">
        <f>IF(AJ409&lt;$AW$4,$AW$4,AJ409)</f>
        <v>2004</v>
      </c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12"/>
    </row>
    <row r="410" spans="1:115" s="13" customFormat="1" ht="15" customHeight="1" x14ac:dyDescent="0.3">
      <c r="A410" s="235"/>
      <c r="B410" s="218"/>
      <c r="C410" s="225">
        <v>8</v>
      </c>
      <c r="D410" s="59" t="s">
        <v>1154</v>
      </c>
      <c r="E410" s="59" t="s">
        <v>2501</v>
      </c>
      <c r="F410" s="397" t="str">
        <f ca="1">IF(BC410&lt;2025, "Extinct&lt; 6Yrs?",BA410)</f>
        <v>Abundant</v>
      </c>
      <c r="G410" s="363" t="s">
        <v>525</v>
      </c>
      <c r="H410" s="363" t="s">
        <v>688</v>
      </c>
      <c r="I410" s="364" t="s">
        <v>2651</v>
      </c>
      <c r="J410" s="365" t="s">
        <v>3371</v>
      </c>
      <c r="K410" s="365" t="s">
        <v>2776</v>
      </c>
      <c r="L410" s="17" t="s">
        <v>3452</v>
      </c>
      <c r="M410" s="8" t="s">
        <v>4486</v>
      </c>
      <c r="N410" s="8" t="s">
        <v>5383</v>
      </c>
      <c r="O410" s="8" t="s">
        <v>6280</v>
      </c>
      <c r="P410" s="398" t="s">
        <v>481</v>
      </c>
      <c r="Q410" s="59" t="s">
        <v>2552</v>
      </c>
      <c r="R410" s="160" t="s">
        <v>2497</v>
      </c>
      <c r="S410" s="17" t="s">
        <v>2459</v>
      </c>
      <c r="T410" s="123" t="str">
        <f>IF(R410="Bogs Ponds Streams","20",IF(R410="Coastal Areas","26",IF(R410="Meadows Dry Open","10",IF(R410="Forest &amp; Understory","14",IF(R410="Moist Open","12",IF(R410="Moist Shady","10",IF(R410="Sub-Alpine Slopes","0")))))))</f>
        <v>12</v>
      </c>
      <c r="U410" s="123" t="str">
        <f>IF(R410="Bogs Ponds Streams","52",IF(R410="Coastal Areas","51",IF(R410="Meadows Dry Open","53",IF(R410="Forest &amp; Understory","52",IF(R410="Moist Open","50",IF(R410="Moist Shady","46",IF(R410="Sub-Alpine Slopes","40")))))))</f>
        <v>50</v>
      </c>
      <c r="V410" s="123" t="str">
        <f>IF(R410="Bogs Ponds Streams","84",IF(R410="Coastal Areas","76",IF(R410="Meadows Dry Open","96", IF(R410="Forest &amp; Understory","90", IF(R410="Moist Open","88", IF(R410="Moist Shady","82", IF(R410="Sub-Alpine Slopes","80")))))))</f>
        <v>88</v>
      </c>
      <c r="W410" s="59">
        <v>20</v>
      </c>
      <c r="X410" s="59">
        <v>0</v>
      </c>
      <c r="Y410" s="59">
        <v>3500</v>
      </c>
      <c r="Z410" s="59" t="s">
        <v>2519</v>
      </c>
      <c r="AA410" s="59" t="s">
        <v>2518</v>
      </c>
      <c r="AB410" s="59">
        <v>6.8</v>
      </c>
      <c r="AC410" s="45">
        <f>C410+AK410+(0.1)*AL410</f>
        <v>21</v>
      </c>
      <c r="AD410" s="77">
        <v>82</v>
      </c>
      <c r="AE410" s="59">
        <v>5</v>
      </c>
      <c r="AF410" s="59">
        <v>5</v>
      </c>
      <c r="AG410" s="59">
        <v>1900</v>
      </c>
      <c r="AH410" s="77">
        <v>0</v>
      </c>
      <c r="AI410" s="59">
        <f ca="1">AJ410</f>
        <v>2019</v>
      </c>
      <c r="AJ410" s="18">
        <f ca="1">YEAR(TODAY())</f>
        <v>2019</v>
      </c>
      <c r="AK410" s="18">
        <v>13</v>
      </c>
      <c r="AL410" s="18">
        <v>0</v>
      </c>
      <c r="AM410" s="18">
        <v>1</v>
      </c>
      <c r="AN410" s="18">
        <v>1</v>
      </c>
      <c r="AO410" s="18">
        <v>5</v>
      </c>
      <c r="AP410" s="18">
        <v>1</v>
      </c>
      <c r="AQ410" s="18">
        <v>0</v>
      </c>
      <c r="AR410" s="18">
        <v>0</v>
      </c>
      <c r="AS410" s="18">
        <v>0</v>
      </c>
      <c r="AT410" s="18">
        <v>0</v>
      </c>
      <c r="AU410" s="18">
        <v>0</v>
      </c>
      <c r="AV410" s="18">
        <v>0</v>
      </c>
      <c r="AW410" s="18">
        <v>0</v>
      </c>
      <c r="AX410" s="18">
        <v>0</v>
      </c>
      <c r="AY410" s="233"/>
      <c r="AZ410" s="4"/>
      <c r="BA410" s="35" t="str">
        <f ca="1">IF(OR(S410="North America",S410="Rocky Mountain"), "Widespread",BC410)</f>
        <v>Abundant</v>
      </c>
      <c r="BB410" s="4"/>
      <c r="BC410" s="35" t="str">
        <f ca="1">IF(BE410&gt;2046, "Abundant",BE410)</f>
        <v>Abundant</v>
      </c>
      <c r="BD410" s="4"/>
      <c r="BE410" s="81">
        <f ca="1">YEAR($C$13)+(BG410*80)</f>
        <v>2104.9983458110519</v>
      </c>
      <c r="BF410" s="4"/>
      <c r="BG410" s="137">
        <f ca="1">BH410*$BH$14</f>
        <v>1.0749793226381463</v>
      </c>
      <c r="BH410" s="137">
        <f ca="1">(((BJ410+BK410+BM410+BN410)/4)*$BM$11)+(((BP410+BQ410)/2)*$BQ$11)+(((BU410+BV410+BW410)/3)*$BU$11)+(((BY410+BZ410+CA410+CB410+CC410)/5)*$CA$11)</f>
        <v>1.0749793226381463</v>
      </c>
      <c r="BI410" s="4"/>
      <c r="BJ410" s="33">
        <f>AP410/(AM410+AO410)</f>
        <v>0.16666666666666666</v>
      </c>
      <c r="BK410" s="33">
        <f>(AN410+AO410)/(AM410+AO410)</f>
        <v>1</v>
      </c>
      <c r="BL410" s="4"/>
      <c r="BM410" s="127">
        <f>CF410/102</f>
        <v>0.20588235294117646</v>
      </c>
      <c r="BN410" s="127">
        <f>C410/2</f>
        <v>4</v>
      </c>
      <c r="BO410" s="4"/>
      <c r="BP410" s="127">
        <f>(AK410)/($AW$6)</f>
        <v>0.13131313131313133</v>
      </c>
      <c r="BQ410" s="127">
        <f ca="1">(CH410-$AW$4)/((YEAR($C$13))-$AW$4)</f>
        <v>1</v>
      </c>
      <c r="BR410" s="127">
        <f>(AL410)/($AW$6)</f>
        <v>0</v>
      </c>
      <c r="BS410" s="4"/>
      <c r="BT410" s="127"/>
      <c r="BU410" s="127">
        <f ca="1">(CG410-$AW$4)/((YEAR($C$13))-$AW$4)</f>
        <v>1</v>
      </c>
      <c r="BV410" s="127">
        <f>AE410/5</f>
        <v>1</v>
      </c>
      <c r="BW410" s="127">
        <f>AF410/5</f>
        <v>1</v>
      </c>
      <c r="BX410" s="4"/>
      <c r="BY410" s="148" t="str">
        <f>IF(E410="A",".98",IF(E410="B",".99",IF(E410="C","1.00",IF(E410="D","1.00" ))))</f>
        <v>1.00</v>
      </c>
      <c r="BZ410" s="127">
        <f>(CE410+7)/10</f>
        <v>1</v>
      </c>
      <c r="CA410" s="76" t="str">
        <f>IF(D410="Fern",".97",IF(D410="Grass",".99",IF(D410="Herb",".97",IF(D410="Shrub",".99",IF(D410="Tree","1.00",IF(D410="Vine",".98"))))))</f>
        <v>.97</v>
      </c>
      <c r="CB410" s="149" t="str">
        <f>IF(R410="Bogs Ponds Streams",".96", IF(R410="Coastal Areas",".97",IF(R410="Meadows Dry Open",".96",IF(R410="Forest &amp; Understory",".97",IF(R410="Moist Open",".98",IF(R410="Moist Shady",".96",IF(R410="Sub-Alpine","1.0")))))))</f>
        <v>.98</v>
      </c>
      <c r="CC410" s="76" t="str">
        <f>IF(S410="Local Endemic",".50",IF(S410="Regional Endemic",".70",IF(S410="Cascadia",".90",IF(S410="Rocky Mountain",".95",IF(S410="North America",".99")))))</f>
        <v>.90</v>
      </c>
      <c r="CD410" s="4"/>
      <c r="CE410" s="21">
        <f>IF(W410&gt;3,3,W410)</f>
        <v>3</v>
      </c>
      <c r="CF410" s="21">
        <f>IF(AC410&gt;102,102,AC410)</f>
        <v>21</v>
      </c>
      <c r="CG410" s="34">
        <f ca="1">IF(AI410&lt;$AW$4,$AW$4,AI410)</f>
        <v>2019</v>
      </c>
      <c r="CH410" s="34">
        <f ca="1">IF(AJ410&lt;$AW$4,$AW$4,AJ410)</f>
        <v>2019</v>
      </c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</row>
    <row r="411" spans="1:115" s="13" customFormat="1" ht="15" customHeight="1" x14ac:dyDescent="0.3">
      <c r="A411" s="235"/>
      <c r="B411" s="218"/>
      <c r="C411" s="226">
        <v>2</v>
      </c>
      <c r="D411" s="104" t="s">
        <v>1154</v>
      </c>
      <c r="E411" s="104" t="s">
        <v>2501</v>
      </c>
      <c r="F411" s="400" t="str">
        <f ca="1">IF(BC411&lt;2025, "Extinct&lt; 6Yrs?",BA411)</f>
        <v>Abundant</v>
      </c>
      <c r="G411" s="369" t="s">
        <v>525</v>
      </c>
      <c r="H411" s="369" t="s">
        <v>4028</v>
      </c>
      <c r="I411" s="370" t="s">
        <v>3076</v>
      </c>
      <c r="J411" s="371" t="s">
        <v>3767</v>
      </c>
      <c r="K411" s="371" t="s">
        <v>993</v>
      </c>
      <c r="L411" s="106" t="s">
        <v>1486</v>
      </c>
      <c r="M411" s="111" t="s">
        <v>4487</v>
      </c>
      <c r="N411" s="111" t="s">
        <v>5384</v>
      </c>
      <c r="O411" s="111" t="s">
        <v>6281</v>
      </c>
      <c r="P411" s="105" t="s">
        <v>481</v>
      </c>
      <c r="Q411" s="104" t="s">
        <v>2552</v>
      </c>
      <c r="R411" s="105" t="s">
        <v>2530</v>
      </c>
      <c r="S411" s="105" t="s">
        <v>2459</v>
      </c>
      <c r="T411" s="133" t="str">
        <f>IF(R411="Bogs Ponds Streams","20",IF(R411="Coastal Areas","26",IF(R411="Meadows Dry Open","10",IF(R411="Forest &amp; Understory","14",IF(R411="Moist Open","12",IF(R411="Moist Shady","10",IF(R411="Sub-Alpine Slopes","0")))))))</f>
        <v>14</v>
      </c>
      <c r="U411" s="133" t="str">
        <f>IF(R411="Bogs Ponds Streams","52",IF(R411="Coastal Areas","51",IF(R411="Meadows Dry Open","53",IF(R411="Forest &amp; Understory","52",IF(R411="Moist Open","50",IF(R411="Moist Shady","46",IF(R411="Sub-Alpine Slopes","40")))))))</f>
        <v>52</v>
      </c>
      <c r="V411" s="133" t="str">
        <f>IF(R411="Bogs Ponds Streams","84",IF(R411="Coastal Areas","76",IF(R411="Meadows Dry Open","96", IF(R411="Forest &amp; Understory","90", IF(R411="Moist Open","88", IF(R411="Moist Shady","82", IF(R411="Sub-Alpine Slopes","80")))))))</f>
        <v>90</v>
      </c>
      <c r="W411" s="104">
        <v>20</v>
      </c>
      <c r="X411" s="104">
        <v>0</v>
      </c>
      <c r="Y411" s="104">
        <v>3500</v>
      </c>
      <c r="Z411" s="104" t="s">
        <v>2519</v>
      </c>
      <c r="AA411" s="104" t="s">
        <v>2518</v>
      </c>
      <c r="AB411" s="104">
        <v>6.8</v>
      </c>
      <c r="AC411" s="107">
        <f>C411+AK411+(0.1)*AL411</f>
        <v>14</v>
      </c>
      <c r="AD411" s="113">
        <v>29</v>
      </c>
      <c r="AE411" s="104">
        <v>5</v>
      </c>
      <c r="AF411" s="104">
        <v>5</v>
      </c>
      <c r="AG411" s="104">
        <v>1900</v>
      </c>
      <c r="AH411" s="113">
        <v>0</v>
      </c>
      <c r="AI411" s="104">
        <f ca="1">AJ411</f>
        <v>2019</v>
      </c>
      <c r="AJ411" s="108">
        <f ca="1">YEAR(TODAY())</f>
        <v>2019</v>
      </c>
      <c r="AK411" s="108">
        <v>12</v>
      </c>
      <c r="AL411" s="108">
        <v>0</v>
      </c>
      <c r="AM411" s="108">
        <v>1</v>
      </c>
      <c r="AN411" s="108">
        <v>1</v>
      </c>
      <c r="AO411" s="108">
        <v>5</v>
      </c>
      <c r="AP411" s="108">
        <v>1</v>
      </c>
      <c r="AQ411" s="108">
        <v>0</v>
      </c>
      <c r="AR411" s="108">
        <v>0</v>
      </c>
      <c r="AS411" s="108">
        <v>0</v>
      </c>
      <c r="AT411" s="108">
        <v>0</v>
      </c>
      <c r="AU411" s="108">
        <v>0</v>
      </c>
      <c r="AV411" s="108">
        <v>0</v>
      </c>
      <c r="AW411" s="108">
        <v>0</v>
      </c>
      <c r="AX411" s="108">
        <v>0</v>
      </c>
      <c r="AY411" s="233"/>
      <c r="AZ411" s="4"/>
      <c r="BA411" s="35" t="str">
        <f ca="1">IF(OR(S411="North America",S411="Rocky Mountain"), "Widespread",BC411)</f>
        <v>Abundant</v>
      </c>
      <c r="BB411" s="4"/>
      <c r="BC411" s="35" t="str">
        <f ca="1">IF(BE411&gt;2046, "Abundant",BE411)</f>
        <v>Abundant</v>
      </c>
      <c r="BD411" s="4"/>
      <c r="BE411" s="81">
        <f ca="1">YEAR($C$13)+(BG411*80)</f>
        <v>2068.0504042780749</v>
      </c>
      <c r="BF411" s="4"/>
      <c r="BG411" s="137">
        <f ca="1">BH411*$BH$14</f>
        <v>0.61313005347593574</v>
      </c>
      <c r="BH411" s="137">
        <f ca="1">(((BJ411+BK411+BM411+BN411)/4)*$BM$11)+(((BP411+BQ411)/2)*$BQ$11)+(((BU411+BV411+BW411)/3)*$BU$11)+(((BY411+BZ411+CA411+CB411+CC411)/5)*$CA$11)</f>
        <v>0.61313005347593574</v>
      </c>
      <c r="BI411" s="4"/>
      <c r="BJ411" s="33">
        <f>AP411/(AM411+AO411)</f>
        <v>0.16666666666666666</v>
      </c>
      <c r="BK411" s="33">
        <f>(AN411+AO411)/(AM411+AO411)</f>
        <v>1</v>
      </c>
      <c r="BL411" s="4"/>
      <c r="BM411" s="127">
        <f>CF411/102</f>
        <v>0.13725490196078433</v>
      </c>
      <c r="BN411" s="127">
        <f>C411/2</f>
        <v>1</v>
      </c>
      <c r="BO411" s="4"/>
      <c r="BP411" s="127">
        <f>(AK411)/($AW$6)</f>
        <v>0.12121212121212122</v>
      </c>
      <c r="BQ411" s="127">
        <f ca="1">(CH411-$AW$4)/((YEAR($C$13))-$AW$4)</f>
        <v>1</v>
      </c>
      <c r="BR411" s="127">
        <f>(AL411)/($AW$6)</f>
        <v>0</v>
      </c>
      <c r="BS411" s="4"/>
      <c r="BT411" s="127"/>
      <c r="BU411" s="127">
        <f ca="1">(CG411-$AW$4)/((YEAR($C$13))-$AW$4)</f>
        <v>1</v>
      </c>
      <c r="BV411" s="127">
        <f>AE411/5</f>
        <v>1</v>
      </c>
      <c r="BW411" s="127">
        <f>AF411/5</f>
        <v>1</v>
      </c>
      <c r="BX411" s="4"/>
      <c r="BY411" s="148" t="str">
        <f>IF(E411="A",".98",IF(E411="B",".99",IF(E411="C","1.00",IF(E411="D","1.00" ))))</f>
        <v>1.00</v>
      </c>
      <c r="BZ411" s="127">
        <f>(CE411+7)/10</f>
        <v>1</v>
      </c>
      <c r="CA411" s="76" t="str">
        <f>IF(D411="Fern",".97",IF(D411="Grass",".99",IF(D411="Herb",".97",IF(D411="Shrub",".99",IF(D411="Tree","1.00",IF(D411="Vine",".98"))))))</f>
        <v>.97</v>
      </c>
      <c r="CB411" s="149" t="str">
        <f>IF(R411="Bogs Ponds Streams",".96", IF(R411="Coastal Areas",".97",IF(R411="Meadows Dry Open",".96",IF(R411="Forest &amp; Understory",".97",IF(R411="Moist Open",".98",IF(R411="Moist Shady",".96",IF(R411="Sub-Alpine","1.0")))))))</f>
        <v>.97</v>
      </c>
      <c r="CC411" s="76" t="str">
        <f>IF(S411="Local Endemic",".50",IF(S411="Regional Endemic",".70",IF(S411="Cascadia",".90",IF(S411="Rocky Mountain",".95",IF(S411="North America",".99")))))</f>
        <v>.90</v>
      </c>
      <c r="CD411" s="4"/>
      <c r="CE411" s="21">
        <f>IF(W411&gt;3,3,W411)</f>
        <v>3</v>
      </c>
      <c r="CF411" s="21">
        <f>IF(AC411&gt;102,102,AC411)</f>
        <v>14</v>
      </c>
      <c r="CG411" s="34">
        <f ca="1">IF(AI411&lt;$AW$4,$AW$4,AI411)</f>
        <v>2019</v>
      </c>
      <c r="CH411" s="34">
        <f ca="1">IF(AJ411&lt;$AW$4,$AW$4,AJ411)</f>
        <v>2019</v>
      </c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</row>
    <row r="412" spans="1:115" s="13" customFormat="1" ht="15" customHeight="1" x14ac:dyDescent="0.3">
      <c r="A412" s="235"/>
      <c r="B412" s="218"/>
      <c r="C412" s="225">
        <v>8</v>
      </c>
      <c r="D412" s="59" t="s">
        <v>2505</v>
      </c>
      <c r="E412" s="59" t="s">
        <v>2501</v>
      </c>
      <c r="F412" s="397" t="str">
        <f ca="1">IF(BC412&lt;2025, "Extinct&lt; 6Yrs?",BA412)</f>
        <v>Widespread</v>
      </c>
      <c r="G412" s="363" t="s">
        <v>525</v>
      </c>
      <c r="H412" s="363" t="s">
        <v>682</v>
      </c>
      <c r="I412" s="366" t="s">
        <v>36</v>
      </c>
      <c r="J412" s="365" t="s">
        <v>3372</v>
      </c>
      <c r="K412" s="365" t="s">
        <v>995</v>
      </c>
      <c r="L412" s="10" t="s">
        <v>1487</v>
      </c>
      <c r="M412" s="8" t="s">
        <v>4488</v>
      </c>
      <c r="N412" s="8" t="s">
        <v>5385</v>
      </c>
      <c r="O412" s="8" t="s">
        <v>6282</v>
      </c>
      <c r="P412" s="9" t="s">
        <v>48</v>
      </c>
      <c r="Q412" s="59" t="s">
        <v>2552</v>
      </c>
      <c r="R412" s="9" t="s">
        <v>2499</v>
      </c>
      <c r="S412" s="9" t="s">
        <v>2495</v>
      </c>
      <c r="T412" s="123" t="str">
        <f>IF(R412="Bogs Ponds Streams","20",IF(R412="Coastal Areas","26",IF(R412="Meadows Dry Open","10",IF(R412="Forest &amp; Understory","14",IF(R412="Moist Open","12",IF(R412="Moist Shady","10",IF(R412="Sub-Alpine Slopes","0")))))))</f>
        <v>20</v>
      </c>
      <c r="U412" s="123" t="str">
        <f>IF(R412="Bogs Ponds Streams","52",IF(R412="Coastal Areas","51",IF(R412="Meadows Dry Open","53",IF(R412="Forest &amp; Understory","52",IF(R412="Moist Open","50",IF(R412="Moist Shady","46",IF(R412="Sub-Alpine Slopes","40")))))))</f>
        <v>52</v>
      </c>
      <c r="V412" s="123" t="str">
        <f>IF(R412="Bogs Ponds Streams","84",IF(R412="Coastal Areas","76",IF(R412="Meadows Dry Open","96", IF(R412="Forest &amp; Understory","90", IF(R412="Moist Open","88", IF(R412="Moist Shady","82", IF(R412="Sub-Alpine Slopes","80")))))))</f>
        <v>84</v>
      </c>
      <c r="W412" s="59">
        <v>20</v>
      </c>
      <c r="X412" s="59">
        <v>0</v>
      </c>
      <c r="Y412" s="59">
        <v>3500</v>
      </c>
      <c r="Z412" s="59" t="s">
        <v>2519</v>
      </c>
      <c r="AA412" s="59" t="s">
        <v>2518</v>
      </c>
      <c r="AB412" s="59">
        <v>6.8</v>
      </c>
      <c r="AC412" s="45">
        <f>C412+AK412+(0.1)*AL412</f>
        <v>19</v>
      </c>
      <c r="AD412" s="77">
        <v>38</v>
      </c>
      <c r="AE412" s="59">
        <v>5</v>
      </c>
      <c r="AF412" s="59">
        <v>5</v>
      </c>
      <c r="AG412" s="59">
        <v>1900</v>
      </c>
      <c r="AH412" s="77">
        <v>0</v>
      </c>
      <c r="AI412" s="59">
        <f ca="1">AJ412</f>
        <v>2019</v>
      </c>
      <c r="AJ412" s="18">
        <f ca="1">YEAR(TODAY())</f>
        <v>2019</v>
      </c>
      <c r="AK412" s="18">
        <v>11</v>
      </c>
      <c r="AL412" s="18">
        <v>0</v>
      </c>
      <c r="AM412" s="18">
        <v>1</v>
      </c>
      <c r="AN412" s="18">
        <v>1</v>
      </c>
      <c r="AO412" s="25">
        <v>0</v>
      </c>
      <c r="AP412" s="24">
        <v>0</v>
      </c>
      <c r="AQ412" s="18">
        <v>0</v>
      </c>
      <c r="AR412" s="18">
        <v>0</v>
      </c>
      <c r="AS412" s="18">
        <v>0</v>
      </c>
      <c r="AT412" s="18">
        <v>0</v>
      </c>
      <c r="AU412" s="18">
        <v>0</v>
      </c>
      <c r="AV412" s="18">
        <v>0</v>
      </c>
      <c r="AW412" s="18">
        <v>0</v>
      </c>
      <c r="AX412" s="18">
        <v>0</v>
      </c>
      <c r="AY412" s="233"/>
      <c r="AZ412" s="4"/>
      <c r="BA412" s="35" t="str">
        <f>IF(OR(S412="North America",S412="Rocky Mountain"), "Widespread",BC412)</f>
        <v>Widespread</v>
      </c>
      <c r="BB412" s="4"/>
      <c r="BC412" s="35" t="str">
        <f ca="1">IF(BE412&gt;2046, "Abundant",BE412)</f>
        <v>Abundant</v>
      </c>
      <c r="BD412" s="4"/>
      <c r="BE412" s="81">
        <f ca="1">YEAR($C$13)+(BG412*80)</f>
        <v>2102.5430274509804</v>
      </c>
      <c r="BF412" s="4"/>
      <c r="BG412" s="137">
        <f ca="1">BH412*$BH$14</f>
        <v>1.0442878431372549</v>
      </c>
      <c r="BH412" s="137">
        <f ca="1">(((BJ412+BK412+BM412+BN412)/4)*$BM$11)+(((BP412+BQ412)/2)*$BQ$11)+(((BU412+BV412+BW412)/3)*$BU$11)+(((BY412+BZ412+CA412+CB412+CC412)/5)*$CA$11)</f>
        <v>1.0442878431372549</v>
      </c>
      <c r="BI412" s="4"/>
      <c r="BJ412" s="33">
        <f>AP412/(AM412+AO412)</f>
        <v>0</v>
      </c>
      <c r="BK412" s="33">
        <f>(AN412+AO412)/(AM412+AO412)</f>
        <v>1</v>
      </c>
      <c r="BL412" s="4"/>
      <c r="BM412" s="127">
        <f>CF412/102</f>
        <v>0.18627450980392157</v>
      </c>
      <c r="BN412" s="127">
        <f>C412/2</f>
        <v>4</v>
      </c>
      <c r="BO412" s="4"/>
      <c r="BP412" s="127">
        <f>(AK412)/($AW$6)</f>
        <v>0.1111111111111111</v>
      </c>
      <c r="BQ412" s="127">
        <f ca="1">(CH412-$AW$4)/((YEAR($C$13))-$AW$4)</f>
        <v>1</v>
      </c>
      <c r="BR412" s="127">
        <f>(AL412)/($AW$6)</f>
        <v>0</v>
      </c>
      <c r="BS412" s="4"/>
      <c r="BT412" s="127"/>
      <c r="BU412" s="127">
        <f ca="1">(CG412-$AW$4)/((YEAR($C$13))-$AW$4)</f>
        <v>1</v>
      </c>
      <c r="BV412" s="127">
        <f>AE412/5</f>
        <v>1</v>
      </c>
      <c r="BW412" s="127">
        <f>AF412/5</f>
        <v>1</v>
      </c>
      <c r="BX412" s="4"/>
      <c r="BY412" s="148" t="str">
        <f>IF(E412="A",".98",IF(E412="B",".99",IF(E412="C","1.00",IF(E412="D","1.00" ))))</f>
        <v>1.00</v>
      </c>
      <c r="BZ412" s="127">
        <f>(CE412+7)/10</f>
        <v>1</v>
      </c>
      <c r="CA412" s="76" t="str">
        <f>IF(D412="Fern",".97",IF(D412="Grass",".99",IF(D412="Herb",".97",IF(D412="Shrub",".99",IF(D412="Tree","1.00",IF(D412="Vine",".98"))))))</f>
        <v>.97</v>
      </c>
      <c r="CB412" s="149" t="str">
        <f>IF(R412="Bogs Ponds Streams",".96", IF(R412="Coastal Areas",".97",IF(R412="Meadows Dry Open",".96",IF(R412="Forest &amp; Understory",".97",IF(R412="Moist Open",".98",IF(R412="Moist Shady",".96",IF(R412="Sub-Alpine","1.0")))))))</f>
        <v>.96</v>
      </c>
      <c r="CC412" s="76" t="str">
        <f>IF(S412="Local Endemic",".50",IF(S412="Regional Endemic",".70",IF(S412="Cascadia",".90",IF(S412="Rocky Mountain",".95",IF(S412="North America",".99")))))</f>
        <v>.99</v>
      </c>
      <c r="CD412" s="4"/>
      <c r="CE412" s="21">
        <f>IF(W412&gt;3,3,W412)</f>
        <v>3</v>
      </c>
      <c r="CF412" s="21">
        <f>IF(AC412&gt;102,102,AC412)</f>
        <v>19</v>
      </c>
      <c r="CG412" s="34">
        <f ca="1">IF(AI412&lt;$AW$4,$AW$4,AI412)</f>
        <v>2019</v>
      </c>
      <c r="CH412" s="34">
        <f ca="1">IF(AJ412&lt;$AW$4,$AW$4,AJ412)</f>
        <v>2019</v>
      </c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</row>
    <row r="413" spans="1:115" s="13" customFormat="1" ht="15" customHeight="1" x14ac:dyDescent="0.3">
      <c r="A413" s="235"/>
      <c r="B413" s="218"/>
      <c r="C413" s="225">
        <v>8</v>
      </c>
      <c r="D413" s="59" t="s">
        <v>2505</v>
      </c>
      <c r="E413" s="59" t="s">
        <v>2501</v>
      </c>
      <c r="F413" s="397" t="str">
        <f ca="1">IF(BC413&lt;2025, "Extinct&lt; 6Yrs?",BA413)</f>
        <v>Abundant</v>
      </c>
      <c r="G413" s="363" t="s">
        <v>525</v>
      </c>
      <c r="H413" s="363" t="s">
        <v>682</v>
      </c>
      <c r="I413" s="366" t="s">
        <v>255</v>
      </c>
      <c r="J413" s="365" t="s">
        <v>3373</v>
      </c>
      <c r="K413" s="365" t="s">
        <v>994</v>
      </c>
      <c r="L413" s="10" t="s">
        <v>1488</v>
      </c>
      <c r="M413" s="8" t="s">
        <v>4489</v>
      </c>
      <c r="N413" s="8" t="s">
        <v>5386</v>
      </c>
      <c r="O413" s="8" t="s">
        <v>6283</v>
      </c>
      <c r="P413" s="9" t="s">
        <v>631</v>
      </c>
      <c r="Q413" s="59" t="s">
        <v>2552</v>
      </c>
      <c r="R413" s="9" t="s">
        <v>2498</v>
      </c>
      <c r="S413" s="9" t="s">
        <v>2459</v>
      </c>
      <c r="T413" s="123" t="str">
        <f>IF(R413="Bogs Ponds Streams","20",IF(R413="Coastal Areas","26",IF(R413="Meadows Dry Open","10",IF(R413="Forest &amp; Understory","14",IF(R413="Moist Open","12",IF(R413="Moist Shady","10",IF(R413="Sub-Alpine Slopes","0")))))))</f>
        <v>10</v>
      </c>
      <c r="U413" s="123" t="str">
        <f>IF(R413="Bogs Ponds Streams","52",IF(R413="Coastal Areas","51",IF(R413="Meadows Dry Open","53",IF(R413="Forest &amp; Understory","52",IF(R413="Moist Open","50",IF(R413="Moist Shady","46",IF(R413="Sub-Alpine Slopes","40")))))))</f>
        <v>46</v>
      </c>
      <c r="V413" s="123" t="str">
        <f>IF(R413="Bogs Ponds Streams","84",IF(R413="Coastal Areas","76",IF(R413="Meadows Dry Open","96", IF(R413="Forest &amp; Understory","90", IF(R413="Moist Open","88", IF(R413="Moist Shady","82", IF(R413="Sub-Alpine Slopes","80")))))))</f>
        <v>82</v>
      </c>
      <c r="W413" s="59">
        <v>20</v>
      </c>
      <c r="X413" s="59">
        <v>0</v>
      </c>
      <c r="Y413" s="59">
        <v>3500</v>
      </c>
      <c r="Z413" s="59" t="s">
        <v>2519</v>
      </c>
      <c r="AA413" s="59" t="s">
        <v>2518</v>
      </c>
      <c r="AB413" s="59">
        <v>6.8</v>
      </c>
      <c r="AC413" s="45">
        <f>C413+AK413+(0.1)*AL413</f>
        <v>41</v>
      </c>
      <c r="AD413" s="77">
        <v>58</v>
      </c>
      <c r="AE413" s="59">
        <v>5</v>
      </c>
      <c r="AF413" s="59">
        <v>5</v>
      </c>
      <c r="AG413" s="59">
        <v>1900</v>
      </c>
      <c r="AH413" s="77">
        <v>0</v>
      </c>
      <c r="AI413" s="59">
        <f ca="1">AJ413</f>
        <v>2019</v>
      </c>
      <c r="AJ413" s="18">
        <f ca="1">YEAR(TODAY())</f>
        <v>2019</v>
      </c>
      <c r="AK413" s="18">
        <v>33</v>
      </c>
      <c r="AL413" s="18">
        <v>0</v>
      </c>
      <c r="AM413" s="18">
        <v>1</v>
      </c>
      <c r="AN413" s="18">
        <v>1</v>
      </c>
      <c r="AO413" s="18">
        <v>5</v>
      </c>
      <c r="AP413" s="18">
        <v>1</v>
      </c>
      <c r="AQ413" s="18">
        <v>0</v>
      </c>
      <c r="AR413" s="18">
        <v>0</v>
      </c>
      <c r="AS413" s="18">
        <v>0</v>
      </c>
      <c r="AT413" s="18">
        <v>0</v>
      </c>
      <c r="AU413" s="18">
        <v>0</v>
      </c>
      <c r="AV413" s="18">
        <v>0</v>
      </c>
      <c r="AW413" s="18">
        <v>0</v>
      </c>
      <c r="AX413" s="18">
        <v>0</v>
      </c>
      <c r="AY413" s="233"/>
      <c r="AZ413" s="4"/>
      <c r="BA413" s="35" t="str">
        <f ca="1">IF(OR(S413="North America",S413="Rocky Mountain"), "Widespread",BC413)</f>
        <v>Abundant</v>
      </c>
      <c r="BB413" s="4"/>
      <c r="BC413" s="35" t="str">
        <f ca="1">IF(BE413&gt;2046, "Abundant",BE413)</f>
        <v>Abundant</v>
      </c>
      <c r="BD413" s="4"/>
      <c r="BE413" s="81">
        <f ca="1">YEAR($C$13)+(BG413*80)</f>
        <v>2109.7691294117649</v>
      </c>
      <c r="BF413" s="4"/>
      <c r="BG413" s="137">
        <f ca="1">BH413*$BH$14</f>
        <v>1.1346141176470588</v>
      </c>
      <c r="BH413" s="137">
        <f ca="1">(((BJ413+BK413+BM413+BN413)/4)*$BM$11)+(((BP413+BQ413)/2)*$BQ$11)+(((BU413+BV413+BW413)/3)*$BU$11)+(((BY413+BZ413+CA413+CB413+CC413)/5)*$CA$11)</f>
        <v>1.1346141176470588</v>
      </c>
      <c r="BI413" s="4"/>
      <c r="BJ413" s="33">
        <f>AP413/(AM413+AO413)</f>
        <v>0.16666666666666666</v>
      </c>
      <c r="BK413" s="33">
        <f>(AN413+AO413)/(AM413+AO413)</f>
        <v>1</v>
      </c>
      <c r="BL413" s="4"/>
      <c r="BM413" s="127">
        <f>CF413/102</f>
        <v>0.40196078431372551</v>
      </c>
      <c r="BN413" s="127">
        <f>C413/2</f>
        <v>4</v>
      </c>
      <c r="BO413" s="4"/>
      <c r="BP413" s="127">
        <f>(AK413)/($AW$6)</f>
        <v>0.33333333333333331</v>
      </c>
      <c r="BQ413" s="127">
        <f ca="1">(CH413-$AW$4)/((YEAR($C$13))-$AW$4)</f>
        <v>1</v>
      </c>
      <c r="BR413" s="127">
        <f>(AL413)/($AW$6)</f>
        <v>0</v>
      </c>
      <c r="BS413" s="4"/>
      <c r="BT413" s="127"/>
      <c r="BU413" s="127">
        <f ca="1">(CG413-$AW$4)/((YEAR($C$13))-$AW$4)</f>
        <v>1</v>
      </c>
      <c r="BV413" s="127">
        <f>AE413/5</f>
        <v>1</v>
      </c>
      <c r="BW413" s="127">
        <f>AF413/5</f>
        <v>1</v>
      </c>
      <c r="BX413" s="4"/>
      <c r="BY413" s="148" t="str">
        <f>IF(E413="A",".98",IF(E413="B",".99",IF(E413="C","1.00",IF(E413="D","1.00" ))))</f>
        <v>1.00</v>
      </c>
      <c r="BZ413" s="127">
        <f>(CE413+7)/10</f>
        <v>1</v>
      </c>
      <c r="CA413" s="76" t="str">
        <f>IF(D413="Fern",".97",IF(D413="Grass",".99",IF(D413="Herb",".97",IF(D413="Shrub",".99",IF(D413="Tree","1.00",IF(D413="Vine",".98"))))))</f>
        <v>.97</v>
      </c>
      <c r="CB413" s="149" t="str">
        <f>IF(R413="Bogs Ponds Streams",".96", IF(R413="Coastal Areas",".97",IF(R413="Meadows Dry Open",".96",IF(R413="Forest &amp; Understory",".97",IF(R413="Moist Open",".98",IF(R413="Moist Shady",".96",IF(R413="Sub-Alpine","1.0")))))))</f>
        <v>.96</v>
      </c>
      <c r="CC413" s="76" t="str">
        <f>IF(S413="Local Endemic",".50",IF(S413="Regional Endemic",".70",IF(S413="Cascadia",".90",IF(S413="Rocky Mountain",".95",IF(S413="North America",".99")))))</f>
        <v>.90</v>
      </c>
      <c r="CD413" s="4"/>
      <c r="CE413" s="21">
        <f>IF(W413&gt;3,3,W413)</f>
        <v>3</v>
      </c>
      <c r="CF413" s="21">
        <f>IF(AC413&gt;102,102,AC413)</f>
        <v>41</v>
      </c>
      <c r="CG413" s="34">
        <f ca="1">IF(AI413&lt;$AW$4,$AW$4,AI413)</f>
        <v>2019</v>
      </c>
      <c r="CH413" s="34">
        <f ca="1">IF(AJ413&lt;$AW$4,$AW$4,AJ413)</f>
        <v>2019</v>
      </c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</row>
    <row r="414" spans="1:115" s="13" customFormat="1" ht="15" customHeight="1" x14ac:dyDescent="0.3">
      <c r="A414" s="235"/>
      <c r="B414" s="218"/>
      <c r="C414" s="226">
        <v>2</v>
      </c>
      <c r="D414" s="104" t="s">
        <v>2505</v>
      </c>
      <c r="E414" s="104" t="s">
        <v>2501</v>
      </c>
      <c r="F414" s="400" t="str">
        <f ca="1">IF(BC414&lt;2025, "Extinct&lt; 6Yrs?",BA414)</f>
        <v>Widespread</v>
      </c>
      <c r="G414" s="369" t="s">
        <v>525</v>
      </c>
      <c r="H414" s="369" t="s">
        <v>4028</v>
      </c>
      <c r="I414" s="370" t="s">
        <v>634</v>
      </c>
      <c r="J414" s="371" t="s">
        <v>3766</v>
      </c>
      <c r="K414" s="371" t="s">
        <v>999</v>
      </c>
      <c r="L414" s="106" t="s">
        <v>1489</v>
      </c>
      <c r="M414" s="111" t="s">
        <v>4490</v>
      </c>
      <c r="N414" s="111" t="s">
        <v>5387</v>
      </c>
      <c r="O414" s="111" t="s">
        <v>6284</v>
      </c>
      <c r="P414" s="105" t="s">
        <v>635</v>
      </c>
      <c r="Q414" s="104" t="s">
        <v>2552</v>
      </c>
      <c r="R414" s="105" t="s">
        <v>2498</v>
      </c>
      <c r="S414" s="105" t="s">
        <v>2479</v>
      </c>
      <c r="T414" s="133" t="str">
        <f>IF(R414="Bogs Ponds Streams","20",IF(R414="Coastal Areas","26",IF(R414="Meadows Dry Open","10",IF(R414="Forest &amp; Understory","14",IF(R414="Moist Open","12",IF(R414="Moist Shady","10",IF(R414="Sub-Alpine Slopes","0")))))))</f>
        <v>10</v>
      </c>
      <c r="U414" s="133" t="str">
        <f>IF(R414="Bogs Ponds Streams","52",IF(R414="Coastal Areas","51",IF(R414="Meadows Dry Open","53",IF(R414="Forest &amp; Understory","52",IF(R414="Moist Open","50",IF(R414="Moist Shady","46",IF(R414="Sub-Alpine Slopes","40")))))))</f>
        <v>46</v>
      </c>
      <c r="V414" s="133" t="str">
        <f>IF(R414="Bogs Ponds Streams","84",IF(R414="Coastal Areas","76",IF(R414="Meadows Dry Open","96", IF(R414="Forest &amp; Understory","90", IF(R414="Moist Open","88", IF(R414="Moist Shady","82", IF(R414="Sub-Alpine Slopes","80")))))))</f>
        <v>82</v>
      </c>
      <c r="W414" s="104">
        <v>20</v>
      </c>
      <c r="X414" s="104">
        <v>0</v>
      </c>
      <c r="Y414" s="104">
        <v>3500</v>
      </c>
      <c r="Z414" s="104" t="s">
        <v>2519</v>
      </c>
      <c r="AA414" s="104" t="s">
        <v>2518</v>
      </c>
      <c r="AB414" s="104">
        <v>6.8</v>
      </c>
      <c r="AC414" s="107">
        <f>C414+AK414+(0.1)*AL414</f>
        <v>35</v>
      </c>
      <c r="AD414" s="113">
        <v>87</v>
      </c>
      <c r="AE414" s="104">
        <v>5</v>
      </c>
      <c r="AF414" s="104">
        <v>5</v>
      </c>
      <c r="AG414" s="104">
        <v>1900</v>
      </c>
      <c r="AH414" s="113">
        <v>0</v>
      </c>
      <c r="AI414" s="104">
        <f>AJ414</f>
        <v>2004</v>
      </c>
      <c r="AJ414" s="108">
        <v>2004</v>
      </c>
      <c r="AK414" s="108">
        <v>33</v>
      </c>
      <c r="AL414" s="108">
        <v>0</v>
      </c>
      <c r="AM414" s="109">
        <v>5</v>
      </c>
      <c r="AN414" s="109">
        <v>1</v>
      </c>
      <c r="AO414" s="110">
        <v>0</v>
      </c>
      <c r="AP414" s="109">
        <v>0</v>
      </c>
      <c r="AQ414" s="109">
        <v>0</v>
      </c>
      <c r="AR414" s="109">
        <v>0</v>
      </c>
      <c r="AS414" s="110">
        <v>0</v>
      </c>
      <c r="AT414" s="109">
        <v>0</v>
      </c>
      <c r="AU414" s="109">
        <v>0</v>
      </c>
      <c r="AV414" s="109">
        <v>0</v>
      </c>
      <c r="AW414" s="110">
        <v>0</v>
      </c>
      <c r="AX414" s="109">
        <v>0</v>
      </c>
      <c r="AY414" s="233"/>
      <c r="AZ414" s="4"/>
      <c r="BA414" s="35" t="str">
        <f>IF(OR(S414="North America",S414="Rocky Mountain"), "Widespread",BC414)</f>
        <v>Widespread</v>
      </c>
      <c r="BB414" s="4"/>
      <c r="BC414" s="35" t="str">
        <f ca="1">IF(BE414&gt;2046, "Abundant",BE414)</f>
        <v>Abundant</v>
      </c>
      <c r="BD414" s="4"/>
      <c r="BE414" s="81">
        <f ca="1">YEAR($C$13)+(BG414*80)</f>
        <v>2047.3459137254902</v>
      </c>
      <c r="BF414" s="4"/>
      <c r="BG414" s="137">
        <f ca="1">BH414*$BH$14</f>
        <v>0.35432392156862746</v>
      </c>
      <c r="BH414" s="137">
        <f ca="1">(((BJ414+BK414+BM414+BN414)/4)*$BM$11)+(((BP414+BQ414)/2)*$BQ$11)+(((BU414+BV414+BW414)/3)*$BU$11)+(((BY414+BZ414+CA414+CB414+CC414)/5)*$CA$11)</f>
        <v>0.35432392156862746</v>
      </c>
      <c r="BI414" s="4"/>
      <c r="BJ414" s="33">
        <f>AP414/(AM414+AO414)</f>
        <v>0</v>
      </c>
      <c r="BK414" s="33">
        <f>(AN414+AO414)/(AM414+AO414)</f>
        <v>0.2</v>
      </c>
      <c r="BL414" s="4"/>
      <c r="BM414" s="127">
        <f>CF414/102</f>
        <v>0.34313725490196079</v>
      </c>
      <c r="BN414" s="127">
        <f>C414/2</f>
        <v>1</v>
      </c>
      <c r="BO414" s="4"/>
      <c r="BP414" s="127">
        <f>(AK414)/($AW$6)</f>
        <v>0.33333333333333331</v>
      </c>
      <c r="BQ414" s="127">
        <f ca="1">(CH414-$AW$4)/((YEAR($C$13))-$AW$4)</f>
        <v>0</v>
      </c>
      <c r="BR414" s="127">
        <f>(AL414)/($AW$6)</f>
        <v>0</v>
      </c>
      <c r="BS414" s="4"/>
      <c r="BT414" s="127"/>
      <c r="BU414" s="127">
        <f ca="1">(CG414-$AW$4)/((YEAR($C$13))-$AW$4)</f>
        <v>0</v>
      </c>
      <c r="BV414" s="127">
        <f>AE414/5</f>
        <v>1</v>
      </c>
      <c r="BW414" s="127">
        <f>AF414/5</f>
        <v>1</v>
      </c>
      <c r="BX414" s="4"/>
      <c r="BY414" s="148" t="str">
        <f>IF(E414="A",".98",IF(E414="B",".99",IF(E414="C","1.00",IF(E414="D","1.00" ))))</f>
        <v>1.00</v>
      </c>
      <c r="BZ414" s="127">
        <f>(CE414+7)/10</f>
        <v>1</v>
      </c>
      <c r="CA414" s="76" t="str">
        <f>IF(D414="Fern",".97",IF(D414="Grass",".99",IF(D414="Herb",".97",IF(D414="Shrub",".99",IF(D414="Tree","1.00",IF(D414="Vine",".98"))))))</f>
        <v>.97</v>
      </c>
      <c r="CB414" s="149" t="str">
        <f>IF(R414="Bogs Ponds Streams",".96", IF(R414="Coastal Areas",".97",IF(R414="Meadows Dry Open",".96",IF(R414="Forest &amp; Understory",".97",IF(R414="Moist Open",".98",IF(R414="Moist Shady",".96",IF(R414="Sub-Alpine","1.0")))))))</f>
        <v>.96</v>
      </c>
      <c r="CC414" s="76" t="str">
        <f>IF(S414="Local Endemic",".50",IF(S414="Regional Endemic",".70",IF(S414="Cascadia",".90",IF(S414="Rocky Mountain",".95",IF(S414="North America",".99")))))</f>
        <v>.95</v>
      </c>
      <c r="CD414" s="4"/>
      <c r="CE414" s="21">
        <f>IF(W414&gt;3,3,W414)</f>
        <v>3</v>
      </c>
      <c r="CF414" s="21">
        <f>IF(AC414&gt;102,102,AC414)</f>
        <v>35</v>
      </c>
      <c r="CG414" s="34">
        <f>IF(AI414&lt;$AW$4,$AW$4,AI414)</f>
        <v>2004</v>
      </c>
      <c r="CH414" s="34">
        <f>IF(AJ414&lt;$AW$4,$AW$4,AJ414)</f>
        <v>2004</v>
      </c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12"/>
    </row>
    <row r="415" spans="1:115" s="13" customFormat="1" ht="15" customHeight="1" x14ac:dyDescent="0.3">
      <c r="A415" s="235"/>
      <c r="B415" s="218"/>
      <c r="C415" s="226">
        <v>2</v>
      </c>
      <c r="D415" s="104" t="s">
        <v>2505</v>
      </c>
      <c r="E415" s="104" t="s">
        <v>2501</v>
      </c>
      <c r="F415" s="400" t="str">
        <f ca="1">IF(BC415&lt;2025, "Extinct&lt; 6Yrs?",BA415)</f>
        <v>Widespread</v>
      </c>
      <c r="G415" s="369" t="s">
        <v>525</v>
      </c>
      <c r="H415" s="369" t="s">
        <v>4028</v>
      </c>
      <c r="I415" s="372" t="s">
        <v>2652</v>
      </c>
      <c r="J415" s="371" t="s">
        <v>4068</v>
      </c>
      <c r="K415" s="371" t="s">
        <v>996</v>
      </c>
      <c r="L415" s="114" t="s">
        <v>1490</v>
      </c>
      <c r="M415" s="111" t="s">
        <v>4491</v>
      </c>
      <c r="N415" s="111" t="s">
        <v>5388</v>
      </c>
      <c r="O415" s="111" t="s">
        <v>6285</v>
      </c>
      <c r="P415" s="401" t="s">
        <v>635</v>
      </c>
      <c r="Q415" s="104" t="s">
        <v>2552</v>
      </c>
      <c r="R415" s="105" t="s">
        <v>2498</v>
      </c>
      <c r="S415" s="105" t="s">
        <v>2495</v>
      </c>
      <c r="T415" s="133" t="str">
        <f>IF(R415="Bogs Ponds Streams","20",IF(R415="Coastal Areas","26",IF(R415="Meadows Dry Open","10",IF(R415="Forest &amp; Understory","14",IF(R415="Moist Open","12",IF(R415="Moist Shady","10",IF(R415="Sub-Alpine Slopes","0")))))))</f>
        <v>10</v>
      </c>
      <c r="U415" s="133" t="str">
        <f>IF(R415="Bogs Ponds Streams","52",IF(R415="Coastal Areas","51",IF(R415="Meadows Dry Open","53",IF(R415="Forest &amp; Understory","52",IF(R415="Moist Open","50",IF(R415="Moist Shady","46",IF(R415="Sub-Alpine Slopes","40")))))))</f>
        <v>46</v>
      </c>
      <c r="V415" s="133" t="str">
        <f>IF(R415="Bogs Ponds Streams","84",IF(R415="Coastal Areas","76",IF(R415="Meadows Dry Open","96", IF(R415="Forest &amp; Understory","90", IF(R415="Moist Open","88", IF(R415="Moist Shady","82", IF(R415="Sub-Alpine Slopes","80")))))))</f>
        <v>82</v>
      </c>
      <c r="W415" s="104">
        <v>20</v>
      </c>
      <c r="X415" s="104">
        <v>0</v>
      </c>
      <c r="Y415" s="104">
        <v>3500</v>
      </c>
      <c r="Z415" s="104" t="s">
        <v>2519</v>
      </c>
      <c r="AA415" s="104" t="s">
        <v>2518</v>
      </c>
      <c r="AB415" s="104">
        <v>6.8</v>
      </c>
      <c r="AC415" s="107">
        <f>C415+AK415+(0.1)*AL415</f>
        <v>4.0999999999999996</v>
      </c>
      <c r="AD415" s="113">
        <v>39</v>
      </c>
      <c r="AE415" s="112">
        <v>3</v>
      </c>
      <c r="AF415" s="112">
        <v>5</v>
      </c>
      <c r="AG415" s="113">
        <v>1891</v>
      </c>
      <c r="AH415" s="113">
        <v>0</v>
      </c>
      <c r="AI415" s="113">
        <v>2016</v>
      </c>
      <c r="AJ415" s="108">
        <v>2018</v>
      </c>
      <c r="AK415" s="108">
        <v>2</v>
      </c>
      <c r="AL415" s="108">
        <v>1</v>
      </c>
      <c r="AM415" s="109">
        <v>5</v>
      </c>
      <c r="AN415" s="109">
        <v>5</v>
      </c>
      <c r="AO415" s="109">
        <v>0</v>
      </c>
      <c r="AP415" s="109">
        <v>5</v>
      </c>
      <c r="AQ415" s="109">
        <v>0</v>
      </c>
      <c r="AR415" s="109">
        <v>0</v>
      </c>
      <c r="AS415" s="110">
        <v>0</v>
      </c>
      <c r="AT415" s="109">
        <v>0</v>
      </c>
      <c r="AU415" s="109">
        <v>0</v>
      </c>
      <c r="AV415" s="109">
        <v>0</v>
      </c>
      <c r="AW415" s="110">
        <v>0</v>
      </c>
      <c r="AX415" s="109">
        <v>0</v>
      </c>
      <c r="AY415" s="233"/>
      <c r="AZ415" s="4"/>
      <c r="BA415" s="35" t="str">
        <f>IF(OR(S415="North America",S415="Rocky Mountain"), "Widespread",BC415)</f>
        <v>Widespread</v>
      </c>
      <c r="BB415" s="4"/>
      <c r="BC415" s="35" t="str">
        <f ca="1">IF(BE415&gt;2046, "Abundant",BE415)</f>
        <v>Abundant</v>
      </c>
      <c r="BD415" s="4"/>
      <c r="BE415" s="81">
        <f ca="1">YEAR($C$13)+(BG415*80)</f>
        <v>2073.6191771836006</v>
      </c>
      <c r="BF415" s="4"/>
      <c r="BG415" s="137">
        <f ca="1">BH415*$BH$14</f>
        <v>0.68273971479500883</v>
      </c>
      <c r="BH415" s="137">
        <f ca="1">(((BJ415+BK415+BM415+BN415)/4)*$BM$11)+(((BP415+BQ415)/2)*$BQ$11)+(((BU415+BV415+BW415)/3)*$BU$11)+(((BY415+BZ415+CA415+CB415+CC415)/5)*$CA$11)</f>
        <v>0.68273971479500883</v>
      </c>
      <c r="BI415" s="4"/>
      <c r="BJ415" s="33">
        <f>AP415/(AM415+AO415)</f>
        <v>1</v>
      </c>
      <c r="BK415" s="33">
        <f>(AN415+AO415)/(AM415+AO415)</f>
        <v>1</v>
      </c>
      <c r="BL415" s="4"/>
      <c r="BM415" s="127">
        <f>CF415/102</f>
        <v>4.0196078431372545E-2</v>
      </c>
      <c r="BN415" s="127">
        <f>C415/2</f>
        <v>1</v>
      </c>
      <c r="BO415" s="4"/>
      <c r="BP415" s="127">
        <f>(AK415)/($AW$6)</f>
        <v>2.0202020202020204E-2</v>
      </c>
      <c r="BQ415" s="127">
        <f ca="1">(CH415-$AW$4)/((YEAR($C$13))-$AW$4)</f>
        <v>0.93333333333333335</v>
      </c>
      <c r="BR415" s="127">
        <f>(AL415)/($AW$6)</f>
        <v>1.0101010101010102E-2</v>
      </c>
      <c r="BS415" s="4"/>
      <c r="BT415" s="127"/>
      <c r="BU415" s="127">
        <f ca="1">(CG415-$AW$4)/((YEAR($C$13))-$AW$4)</f>
        <v>0.8</v>
      </c>
      <c r="BV415" s="127">
        <f>AE415/5</f>
        <v>0.6</v>
      </c>
      <c r="BW415" s="127">
        <f>AF415/5</f>
        <v>1</v>
      </c>
      <c r="BX415" s="4"/>
      <c r="BY415" s="148" t="str">
        <f>IF(E415="A",".98",IF(E415="B",".99",IF(E415="C","1.00",IF(E415="D","1.00" ))))</f>
        <v>1.00</v>
      </c>
      <c r="BZ415" s="127">
        <f>(CE415+7)/10</f>
        <v>1</v>
      </c>
      <c r="CA415" s="76" t="str">
        <f>IF(D415="Fern",".97",IF(D415="Grass",".99",IF(D415="Herb",".97",IF(D415="Shrub",".99",IF(D415="Tree","1.00",IF(D415="Vine",".98"))))))</f>
        <v>.97</v>
      </c>
      <c r="CB415" s="149" t="str">
        <f>IF(R415="Bogs Ponds Streams",".96", IF(R415="Coastal Areas",".97",IF(R415="Meadows Dry Open",".96",IF(R415="Forest &amp; Understory",".97",IF(R415="Moist Open",".98",IF(R415="Moist Shady",".96",IF(R415="Sub-Alpine","1.0")))))))</f>
        <v>.96</v>
      </c>
      <c r="CC415" s="76" t="str">
        <f>IF(S415="Local Endemic",".50",IF(S415="Regional Endemic",".70",IF(S415="Cascadia",".90",IF(S415="Rocky Mountain",".95",IF(S415="North America",".99")))))</f>
        <v>.99</v>
      </c>
      <c r="CD415" s="4"/>
      <c r="CE415" s="21">
        <f>IF(W415&gt;3,3,W415)</f>
        <v>3</v>
      </c>
      <c r="CF415" s="21">
        <f>IF(AC415&gt;102,102,AC415)</f>
        <v>4.0999999999999996</v>
      </c>
      <c r="CG415" s="34">
        <f>IF(AI415&lt;$AW$4,$AW$4,AI415)</f>
        <v>2016</v>
      </c>
      <c r="CH415" s="34">
        <f>IF(AJ415&lt;$AW$4,$AW$4,AJ415)</f>
        <v>2018</v>
      </c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</row>
    <row r="416" spans="1:115" s="13" customFormat="1" ht="15" customHeight="1" x14ac:dyDescent="0.3">
      <c r="A416" s="235"/>
      <c r="B416" s="218"/>
      <c r="C416" s="226">
        <v>2</v>
      </c>
      <c r="D416" s="104" t="s">
        <v>2505</v>
      </c>
      <c r="E416" s="104" t="s">
        <v>2501</v>
      </c>
      <c r="F416" s="400" t="str">
        <f ca="1">IF(BC416&lt;2025, "Extinct&lt; 6Yrs?",BA416)</f>
        <v>Widespread</v>
      </c>
      <c r="G416" s="369" t="s">
        <v>525</v>
      </c>
      <c r="H416" s="369" t="s">
        <v>4028</v>
      </c>
      <c r="I416" s="370" t="s">
        <v>636</v>
      </c>
      <c r="J416" s="371" t="s">
        <v>3765</v>
      </c>
      <c r="K416" s="371" t="s">
        <v>997</v>
      </c>
      <c r="L416" s="106" t="s">
        <v>1491</v>
      </c>
      <c r="M416" s="111" t="s">
        <v>4492</v>
      </c>
      <c r="N416" s="111" t="s">
        <v>5389</v>
      </c>
      <c r="O416" s="111" t="s">
        <v>6286</v>
      </c>
      <c r="P416" s="105" t="s">
        <v>635</v>
      </c>
      <c r="Q416" s="104" t="s">
        <v>2552</v>
      </c>
      <c r="R416" s="105" t="s">
        <v>2498</v>
      </c>
      <c r="S416" s="105" t="s">
        <v>2479</v>
      </c>
      <c r="T416" s="133" t="str">
        <f>IF(R416="Bogs Ponds Streams","20",IF(R416="Coastal Areas","26",IF(R416="Meadows Dry Open","10",IF(R416="Forest &amp; Understory","14",IF(R416="Moist Open","12",IF(R416="Moist Shady","10",IF(R416="Sub-Alpine Slopes","0")))))))</f>
        <v>10</v>
      </c>
      <c r="U416" s="133" t="str">
        <f>IF(R416="Bogs Ponds Streams","52",IF(R416="Coastal Areas","51",IF(R416="Meadows Dry Open","53",IF(R416="Forest &amp; Understory","52",IF(R416="Moist Open","50",IF(R416="Moist Shady","46",IF(R416="Sub-Alpine Slopes","40")))))))</f>
        <v>46</v>
      </c>
      <c r="V416" s="133" t="str">
        <f>IF(R416="Bogs Ponds Streams","84",IF(R416="Coastal Areas","76",IF(R416="Meadows Dry Open","96", IF(R416="Forest &amp; Understory","90", IF(R416="Moist Open","88", IF(R416="Moist Shady","82", IF(R416="Sub-Alpine Slopes","80")))))))</f>
        <v>82</v>
      </c>
      <c r="W416" s="104">
        <v>20</v>
      </c>
      <c r="X416" s="104">
        <v>0</v>
      </c>
      <c r="Y416" s="104">
        <v>3500</v>
      </c>
      <c r="Z416" s="104" t="s">
        <v>2519</v>
      </c>
      <c r="AA416" s="104" t="s">
        <v>2518</v>
      </c>
      <c r="AB416" s="104">
        <v>6.8</v>
      </c>
      <c r="AC416" s="107">
        <f>C416+AK416+(0.1)*AL416</f>
        <v>11.1</v>
      </c>
      <c r="AD416" s="113">
        <v>103</v>
      </c>
      <c r="AE416" s="104">
        <v>5</v>
      </c>
      <c r="AF416" s="104">
        <v>5</v>
      </c>
      <c r="AG416" s="104">
        <v>1900</v>
      </c>
      <c r="AH416" s="113">
        <v>0</v>
      </c>
      <c r="AI416" s="104">
        <f>AJ416</f>
        <v>2004</v>
      </c>
      <c r="AJ416" s="108">
        <v>2004</v>
      </c>
      <c r="AK416" s="108">
        <v>7</v>
      </c>
      <c r="AL416" s="108">
        <v>21</v>
      </c>
      <c r="AM416" s="109">
        <v>5</v>
      </c>
      <c r="AN416" s="109">
        <v>1</v>
      </c>
      <c r="AO416" s="110">
        <v>0</v>
      </c>
      <c r="AP416" s="109">
        <v>0</v>
      </c>
      <c r="AQ416" s="109">
        <v>0</v>
      </c>
      <c r="AR416" s="109">
        <v>0</v>
      </c>
      <c r="AS416" s="110">
        <v>0</v>
      </c>
      <c r="AT416" s="109">
        <v>0</v>
      </c>
      <c r="AU416" s="109">
        <v>0</v>
      </c>
      <c r="AV416" s="109">
        <v>0</v>
      </c>
      <c r="AW416" s="110">
        <v>0</v>
      </c>
      <c r="AX416" s="109">
        <v>0</v>
      </c>
      <c r="AY416" s="233"/>
      <c r="AZ416" s="4"/>
      <c r="BA416" s="35" t="str">
        <f>IF(OR(S416="North America",S416="Rocky Mountain"), "Widespread",BC416)</f>
        <v>Widespread</v>
      </c>
      <c r="BB416" s="4"/>
      <c r="BC416" s="35">
        <f ca="1">IF(BE416&gt;2046, "Abundant",BE416)</f>
        <v>2041.3826338680926</v>
      </c>
      <c r="BD416" s="4"/>
      <c r="BE416" s="81">
        <f ca="1">YEAR($C$13)+(BG416*80)</f>
        <v>2041.3826338680926</v>
      </c>
      <c r="BF416" s="4"/>
      <c r="BG416" s="137">
        <f ca="1">BH416*$BH$14</f>
        <v>0.27978292335115862</v>
      </c>
      <c r="BH416" s="137">
        <f ca="1">(((BJ416+BK416+BM416+BN416)/4)*$BM$11)+(((BP416+BQ416)/2)*$BQ$11)+(((BU416+BV416+BW416)/3)*$BU$11)+(((BY416+BZ416+CA416+CB416+CC416)/5)*$CA$11)</f>
        <v>0.27978292335115862</v>
      </c>
      <c r="BI416" s="4"/>
      <c r="BJ416" s="33">
        <f>AP416/(AM416+AO416)</f>
        <v>0</v>
      </c>
      <c r="BK416" s="33">
        <f>(AN416+AO416)/(AM416+AO416)</f>
        <v>0.2</v>
      </c>
      <c r="BL416" s="4"/>
      <c r="BM416" s="127">
        <f>CF416/102</f>
        <v>0.10882352941176471</v>
      </c>
      <c r="BN416" s="127">
        <f>C416/2</f>
        <v>1</v>
      </c>
      <c r="BO416" s="4"/>
      <c r="BP416" s="127">
        <f>(AK416)/($AW$6)</f>
        <v>7.0707070707070704E-2</v>
      </c>
      <c r="BQ416" s="127">
        <f ca="1">(CH416-$AW$4)/((YEAR($C$13))-$AW$4)</f>
        <v>0</v>
      </c>
      <c r="BR416" s="127">
        <f>(AL416)/($AW$6)</f>
        <v>0.21212121212121213</v>
      </c>
      <c r="BS416" s="4"/>
      <c r="BT416" s="127"/>
      <c r="BU416" s="127">
        <f ca="1">(CG416-$AW$4)/((YEAR($C$13))-$AW$4)</f>
        <v>0</v>
      </c>
      <c r="BV416" s="127">
        <f>AE416/5</f>
        <v>1</v>
      </c>
      <c r="BW416" s="127">
        <f>AF416/5</f>
        <v>1</v>
      </c>
      <c r="BX416" s="4"/>
      <c r="BY416" s="148" t="str">
        <f>IF(E416="A",".98",IF(E416="B",".99",IF(E416="C","1.00",IF(E416="D","1.00" ))))</f>
        <v>1.00</v>
      </c>
      <c r="BZ416" s="127">
        <f>(CE416+7)/10</f>
        <v>1</v>
      </c>
      <c r="CA416" s="76" t="str">
        <f>IF(D416="Fern",".97",IF(D416="Grass",".99",IF(D416="Herb",".97",IF(D416="Shrub",".99",IF(D416="Tree","1.00",IF(D416="Vine",".98"))))))</f>
        <v>.97</v>
      </c>
      <c r="CB416" s="149" t="str">
        <f>IF(R416="Bogs Ponds Streams",".96", IF(R416="Coastal Areas",".97",IF(R416="Meadows Dry Open",".96",IF(R416="Forest &amp; Understory",".97",IF(R416="Moist Open",".98",IF(R416="Moist Shady",".96",IF(R416="Sub-Alpine","1.0")))))))</f>
        <v>.96</v>
      </c>
      <c r="CC416" s="76" t="str">
        <f>IF(S416="Local Endemic",".50",IF(S416="Regional Endemic",".70",IF(S416="Cascadia",".90",IF(S416="Rocky Mountain",".95",IF(S416="North America",".99")))))</f>
        <v>.95</v>
      </c>
      <c r="CD416" s="4"/>
      <c r="CE416" s="21">
        <f>IF(W416&gt;3,3,W416)</f>
        <v>3</v>
      </c>
      <c r="CF416" s="21">
        <f>IF(AC416&gt;102,102,AC416)</f>
        <v>11.1</v>
      </c>
      <c r="CG416" s="34">
        <f>IF(AI416&lt;$AW$4,$AW$4,AI416)</f>
        <v>2004</v>
      </c>
      <c r="CH416" s="34">
        <f>IF(AJ416&lt;$AW$4,$AW$4,AJ416)</f>
        <v>2004</v>
      </c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</row>
    <row r="417" spans="1:115" s="13" customFormat="1" ht="15" customHeight="1" x14ac:dyDescent="0.3">
      <c r="A417" s="235"/>
      <c r="B417" s="218"/>
      <c r="C417" s="375">
        <v>1</v>
      </c>
      <c r="D417" s="67" t="s">
        <v>2505</v>
      </c>
      <c r="E417" s="67" t="s">
        <v>2502</v>
      </c>
      <c r="F417" s="403">
        <f ca="1">IF(BC417&lt;2025, "Extinct&lt; 6Yrs?",BA417)</f>
        <v>2033.7611180035651</v>
      </c>
      <c r="G417" s="376" t="s">
        <v>525</v>
      </c>
      <c r="H417" s="376" t="s">
        <v>4028</v>
      </c>
      <c r="I417" s="379" t="s">
        <v>2653</v>
      </c>
      <c r="J417" s="378" t="s">
        <v>3597</v>
      </c>
      <c r="K417" s="378" t="s">
        <v>998</v>
      </c>
      <c r="L417" s="63" t="s">
        <v>2181</v>
      </c>
      <c r="M417" s="64" t="s">
        <v>4493</v>
      </c>
      <c r="N417" s="64" t="s">
        <v>5390</v>
      </c>
      <c r="O417" s="64" t="s">
        <v>6287</v>
      </c>
      <c r="P417" s="61" t="s">
        <v>476</v>
      </c>
      <c r="Q417" s="67" t="s">
        <v>2552</v>
      </c>
      <c r="R417" s="61" t="s">
        <v>2498</v>
      </c>
      <c r="S417" s="61" t="s">
        <v>2459</v>
      </c>
      <c r="T417" s="134" t="str">
        <f>IF(R417="Bogs Ponds Streams","20",IF(R417="Coastal Areas","26",IF(R417="Meadows Dry Open","10",IF(R417="Forest &amp; Understory","14",IF(R417="Moist Open","12",IF(R417="Moist Shady","10",IF(R417="Sub-Alpine Slopes","0")))))))</f>
        <v>10</v>
      </c>
      <c r="U417" s="134" t="str">
        <f>IF(R417="Bogs Ponds Streams","52",IF(R417="Coastal Areas","51",IF(R417="Meadows Dry Open","53",IF(R417="Forest &amp; Understory","52",IF(R417="Moist Open","50",IF(R417="Moist Shady","46",IF(R417="Sub-Alpine Slopes","40")))))))</f>
        <v>46</v>
      </c>
      <c r="V417" s="134" t="str">
        <f>IF(R417="Bogs Ponds Streams","84",IF(R417="Coastal Areas","76",IF(R417="Meadows Dry Open","96", IF(R417="Forest &amp; Understory","90", IF(R417="Moist Open","88", IF(R417="Moist Shady","82", IF(R417="Sub-Alpine Slopes","80")))))))</f>
        <v>82</v>
      </c>
      <c r="W417" s="67">
        <v>1</v>
      </c>
      <c r="X417" s="67">
        <v>0</v>
      </c>
      <c r="Y417" s="67">
        <v>3500</v>
      </c>
      <c r="Z417" s="67" t="s">
        <v>2519</v>
      </c>
      <c r="AA417" s="67" t="s">
        <v>2518</v>
      </c>
      <c r="AB417" s="67">
        <v>6.8</v>
      </c>
      <c r="AC417" s="85">
        <f>C417+AK417+(0.1)*AL417</f>
        <v>13.3</v>
      </c>
      <c r="AD417" s="78">
        <v>45</v>
      </c>
      <c r="AE417" s="67">
        <v>5</v>
      </c>
      <c r="AF417" s="67">
        <v>5</v>
      </c>
      <c r="AG417" s="67">
        <v>1900</v>
      </c>
      <c r="AH417" s="78">
        <v>0</v>
      </c>
      <c r="AI417" s="67">
        <f>AJ417</f>
        <v>2004</v>
      </c>
      <c r="AJ417" s="69">
        <v>2004</v>
      </c>
      <c r="AK417" s="69">
        <v>12</v>
      </c>
      <c r="AL417" s="69">
        <v>3</v>
      </c>
      <c r="AM417" s="70">
        <v>5</v>
      </c>
      <c r="AN417" s="70">
        <v>0</v>
      </c>
      <c r="AO417" s="86">
        <v>0</v>
      </c>
      <c r="AP417" s="70">
        <v>0</v>
      </c>
      <c r="AQ417" s="70">
        <v>0</v>
      </c>
      <c r="AR417" s="70">
        <v>0</v>
      </c>
      <c r="AS417" s="86">
        <v>0</v>
      </c>
      <c r="AT417" s="70">
        <v>0</v>
      </c>
      <c r="AU417" s="70">
        <v>0</v>
      </c>
      <c r="AV417" s="70">
        <v>0</v>
      </c>
      <c r="AW417" s="86">
        <v>0</v>
      </c>
      <c r="AX417" s="70">
        <v>0</v>
      </c>
      <c r="AY417" s="233"/>
      <c r="AZ417" s="4"/>
      <c r="BA417" s="35">
        <f ca="1">IF(OR(S417="North America",S417="Rocky Mountain"), "Widespread",BC417)</f>
        <v>2033.7611180035651</v>
      </c>
      <c r="BB417" s="4"/>
      <c r="BC417" s="35">
        <f ca="1">IF(BE417&gt;2046, "Abundant",BE417)</f>
        <v>2033.7611180035651</v>
      </c>
      <c r="BD417" s="4"/>
      <c r="BE417" s="81">
        <f ca="1">YEAR($C$13)+(BG417*80)</f>
        <v>2033.7611180035651</v>
      </c>
      <c r="BF417" s="4"/>
      <c r="BG417" s="137">
        <f ca="1">BH417*$BH$14</f>
        <v>0.18451397504456329</v>
      </c>
      <c r="BH417" s="137">
        <f ca="1">(((BJ417+BK417+BM417+BN417)/4)*$BM$11)+(((BP417+BQ417)/2)*$BQ$11)+(((BU417+BV417+BW417)/3)*$BU$11)+(((BY417+BZ417+CA417+CB417+CC417)/5)*$CA$11)</f>
        <v>0.18451397504456329</v>
      </c>
      <c r="BI417" s="4"/>
      <c r="BJ417" s="33">
        <f>AP417/(AM417+AO417)</f>
        <v>0</v>
      </c>
      <c r="BK417" s="33">
        <f>(AN417+AO417)/(AM417+AO417)</f>
        <v>0</v>
      </c>
      <c r="BL417" s="4"/>
      <c r="BM417" s="127">
        <f>CF417/102</f>
        <v>0.13039215686274511</v>
      </c>
      <c r="BN417" s="127">
        <f>C417/2</f>
        <v>0.5</v>
      </c>
      <c r="BO417" s="4"/>
      <c r="BP417" s="127">
        <f>(AK417)/($AW$6)</f>
        <v>0.12121212121212122</v>
      </c>
      <c r="BQ417" s="127">
        <f ca="1">(CH417-$AW$4)/((YEAR($C$13))-$AW$4)</f>
        <v>0</v>
      </c>
      <c r="BR417" s="127">
        <f>(AL417)/($AW$6)</f>
        <v>3.0303030303030304E-2</v>
      </c>
      <c r="BS417" s="4"/>
      <c r="BT417" s="127"/>
      <c r="BU417" s="127">
        <f ca="1">(CG417-$AW$4)/((YEAR($C$13))-$AW$4)</f>
        <v>0</v>
      </c>
      <c r="BV417" s="127">
        <f>AE417/5</f>
        <v>1</v>
      </c>
      <c r="BW417" s="127">
        <f>AF417/5</f>
        <v>1</v>
      </c>
      <c r="BX417" s="4"/>
      <c r="BY417" s="148" t="str">
        <f>IF(E417="A",".98",IF(E417="B",".99",IF(E417="C","1.00",IF(E417="D","1.00" ))))</f>
        <v>.98</v>
      </c>
      <c r="BZ417" s="127">
        <f>(CE417+7)/10</f>
        <v>0.8</v>
      </c>
      <c r="CA417" s="76" t="str">
        <f>IF(D417="Fern",".97",IF(D417="Grass",".99",IF(D417="Herb",".97",IF(D417="Shrub",".99",IF(D417="Tree","1.00",IF(D417="Vine",".98"))))))</f>
        <v>.97</v>
      </c>
      <c r="CB417" s="149" t="str">
        <f>IF(R417="Bogs Ponds Streams",".96", IF(R417="Coastal Areas",".97",IF(R417="Meadows Dry Open",".96",IF(R417="Forest &amp; Understory",".97",IF(R417="Moist Open",".98",IF(R417="Moist Shady",".96",IF(R417="Sub-Alpine","1.0")))))))</f>
        <v>.96</v>
      </c>
      <c r="CC417" s="76" t="str">
        <f>IF(S417="Local Endemic",".50",IF(S417="Regional Endemic",".70",IF(S417="Cascadia",".90",IF(S417="Rocky Mountain",".95",IF(S417="North America",".99")))))</f>
        <v>.90</v>
      </c>
      <c r="CD417" s="4"/>
      <c r="CE417" s="21">
        <f>IF(W417&gt;3,3,W417)</f>
        <v>1</v>
      </c>
      <c r="CF417" s="21">
        <f>IF(AC417&gt;102,102,AC417)</f>
        <v>13.3</v>
      </c>
      <c r="CG417" s="34">
        <f>IF(AI417&lt;$AW$4,$AW$4,AI417)</f>
        <v>2004</v>
      </c>
      <c r="CH417" s="34">
        <f>IF(AJ417&lt;$AW$4,$AW$4,AJ417)</f>
        <v>2004</v>
      </c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12"/>
    </row>
    <row r="418" spans="1:115" s="13" customFormat="1" ht="15" customHeight="1" x14ac:dyDescent="0.3">
      <c r="A418" s="235"/>
      <c r="B418" s="218"/>
      <c r="C418" s="226">
        <v>3</v>
      </c>
      <c r="D418" s="104" t="s">
        <v>2505</v>
      </c>
      <c r="E418" s="104" t="s">
        <v>2502</v>
      </c>
      <c r="F418" s="400" t="str">
        <f ca="1">IF(BC418&lt;2025, "Extinct&lt; 6Yrs?",BA418)</f>
        <v>Abundant</v>
      </c>
      <c r="G418" s="369" t="s">
        <v>525</v>
      </c>
      <c r="H418" s="369" t="s">
        <v>4028</v>
      </c>
      <c r="I418" s="372" t="s">
        <v>2654</v>
      </c>
      <c r="J418" s="371" t="s">
        <v>3764</v>
      </c>
      <c r="K418" s="371" t="s">
        <v>2777</v>
      </c>
      <c r="L418" s="114" t="s">
        <v>1492</v>
      </c>
      <c r="M418" s="111" t="s">
        <v>4494</v>
      </c>
      <c r="N418" s="111" t="s">
        <v>5391</v>
      </c>
      <c r="O418" s="111" t="s">
        <v>6288</v>
      </c>
      <c r="P418" s="401" t="s">
        <v>476</v>
      </c>
      <c r="Q418" s="104" t="s">
        <v>2552</v>
      </c>
      <c r="R418" s="105" t="s">
        <v>2498</v>
      </c>
      <c r="S418" s="105" t="s">
        <v>2459</v>
      </c>
      <c r="T418" s="133" t="str">
        <f>IF(R418="Bogs Ponds Streams","20",IF(R418="Coastal Areas","26",IF(R418="Meadows Dry Open","10",IF(R418="Forest &amp; Understory","14",IF(R418="Moist Open","12",IF(R418="Moist Shady","10",IF(R418="Sub-Alpine Slopes","0")))))))</f>
        <v>10</v>
      </c>
      <c r="U418" s="133" t="str">
        <f>IF(R418="Bogs Ponds Streams","52",IF(R418="Coastal Areas","51",IF(R418="Meadows Dry Open","53",IF(R418="Forest &amp; Understory","52",IF(R418="Moist Open","50",IF(R418="Moist Shady","46",IF(R418="Sub-Alpine Slopes","40")))))))</f>
        <v>46</v>
      </c>
      <c r="V418" s="133" t="str">
        <f>IF(R418="Bogs Ponds Streams","84",IF(R418="Coastal Areas","76",IF(R418="Meadows Dry Open","96", IF(R418="Forest &amp; Understory","90", IF(R418="Moist Open","88", IF(R418="Moist Shady","82", IF(R418="Sub-Alpine Slopes","80")))))))</f>
        <v>82</v>
      </c>
      <c r="W418" s="104">
        <v>1</v>
      </c>
      <c r="X418" s="104">
        <v>0</v>
      </c>
      <c r="Y418" s="104">
        <v>3500</v>
      </c>
      <c r="Z418" s="104" t="s">
        <v>2519</v>
      </c>
      <c r="AA418" s="104" t="s">
        <v>2518</v>
      </c>
      <c r="AB418" s="104">
        <v>6.8</v>
      </c>
      <c r="AC418" s="107">
        <f>C418+AK418+(0.1)*AL418</f>
        <v>6.2</v>
      </c>
      <c r="AD418" s="113">
        <v>25</v>
      </c>
      <c r="AE418" s="104">
        <v>2</v>
      </c>
      <c r="AF418" s="104">
        <v>5</v>
      </c>
      <c r="AG418" s="104">
        <v>1900</v>
      </c>
      <c r="AH418" s="113">
        <v>0</v>
      </c>
      <c r="AI418" s="104">
        <f>AJ418</f>
        <v>2004</v>
      </c>
      <c r="AJ418" s="108">
        <v>2004</v>
      </c>
      <c r="AK418" s="108">
        <v>3</v>
      </c>
      <c r="AL418" s="108">
        <v>2</v>
      </c>
      <c r="AM418" s="109">
        <v>5</v>
      </c>
      <c r="AN418" s="109">
        <v>1</v>
      </c>
      <c r="AO418" s="109">
        <v>1</v>
      </c>
      <c r="AP418" s="109">
        <v>0</v>
      </c>
      <c r="AQ418" s="109">
        <v>0</v>
      </c>
      <c r="AR418" s="109">
        <v>0</v>
      </c>
      <c r="AS418" s="110">
        <v>0</v>
      </c>
      <c r="AT418" s="109">
        <v>0</v>
      </c>
      <c r="AU418" s="109">
        <v>0</v>
      </c>
      <c r="AV418" s="109">
        <v>0</v>
      </c>
      <c r="AW418" s="110">
        <v>0</v>
      </c>
      <c r="AX418" s="109">
        <v>0</v>
      </c>
      <c r="AY418" s="233"/>
      <c r="AZ418" s="4"/>
      <c r="BA418" s="35" t="str">
        <f ca="1">IF(OR(S418="North America",S418="Rocky Mountain"), "Widespread",BC418)</f>
        <v>Abundant</v>
      </c>
      <c r="BB418" s="4"/>
      <c r="BC418" s="35" t="str">
        <f ca="1">IF(BE418&gt;2046, "Abundant",BE418)</f>
        <v>Abundant</v>
      </c>
      <c r="BD418" s="4"/>
      <c r="BE418" s="81">
        <f ca="1">YEAR($C$13)+(BG418*80)</f>
        <v>2046.5549147950089</v>
      </c>
      <c r="BF418" s="4"/>
      <c r="BG418" s="137">
        <f ca="1">BH418*$BH$14</f>
        <v>0.34443643493761139</v>
      </c>
      <c r="BH418" s="137">
        <f ca="1">(((BJ418+BK418+BM418+BN418)/4)*$BM$11)+(((BP418+BQ418)/2)*$BQ$11)+(((BU418+BV418+BW418)/3)*$BU$11)+(((BY418+BZ418+CA418+CB418+CC418)/5)*$CA$11)</f>
        <v>0.34443643493761139</v>
      </c>
      <c r="BI418" s="4"/>
      <c r="BJ418" s="33">
        <f>AP418/(AM418+AO418)</f>
        <v>0</v>
      </c>
      <c r="BK418" s="33">
        <f>(AN418+AO418)/(AM418+AO418)</f>
        <v>0.33333333333333331</v>
      </c>
      <c r="BL418" s="4"/>
      <c r="BM418" s="127">
        <f>CF418/102</f>
        <v>6.0784313725490195E-2</v>
      </c>
      <c r="BN418" s="127">
        <f>C418/2</f>
        <v>1.5</v>
      </c>
      <c r="BO418" s="4"/>
      <c r="BP418" s="127">
        <f>(AK418)/($AW$6)</f>
        <v>3.0303030303030304E-2</v>
      </c>
      <c r="BQ418" s="127">
        <f ca="1">(CH418-$AW$4)/((YEAR($C$13))-$AW$4)</f>
        <v>0</v>
      </c>
      <c r="BR418" s="127">
        <f>(AL418)/($AW$6)</f>
        <v>2.0202020202020204E-2</v>
      </c>
      <c r="BS418" s="4"/>
      <c r="BT418" s="127"/>
      <c r="BU418" s="127">
        <f ca="1">(CG418-$AW$4)/((YEAR($C$13))-$AW$4)</f>
        <v>0</v>
      </c>
      <c r="BV418" s="127">
        <f>AE418/5</f>
        <v>0.4</v>
      </c>
      <c r="BW418" s="127">
        <f>AF418/5</f>
        <v>1</v>
      </c>
      <c r="BX418" s="4"/>
      <c r="BY418" s="148" t="str">
        <f>IF(E418="A",".98",IF(E418="B",".99",IF(E418="C","1.00",IF(E418="D","1.00" ))))</f>
        <v>.98</v>
      </c>
      <c r="BZ418" s="127">
        <f>(CE418+7)/10</f>
        <v>0.8</v>
      </c>
      <c r="CA418" s="76" t="str">
        <f>IF(D418="Fern",".97",IF(D418="Grass",".99",IF(D418="Herb",".97",IF(D418="Shrub",".99",IF(D418="Tree","1.00",IF(D418="Vine",".98"))))))</f>
        <v>.97</v>
      </c>
      <c r="CB418" s="149" t="str">
        <f>IF(R418="Bogs Ponds Streams",".96", IF(R418="Coastal Areas",".97",IF(R418="Meadows Dry Open",".96",IF(R418="Forest &amp; Understory",".97",IF(R418="Moist Open",".98",IF(R418="Moist Shady",".96",IF(R418="Sub-Alpine","1.0")))))))</f>
        <v>.96</v>
      </c>
      <c r="CC418" s="76" t="str">
        <f>IF(S418="Local Endemic",".50",IF(S418="Regional Endemic",".70",IF(S418="Cascadia",".90",IF(S418="Rocky Mountain",".95",IF(S418="North America",".99")))))</f>
        <v>.90</v>
      </c>
      <c r="CD418" s="4"/>
      <c r="CE418" s="21">
        <f>IF(W418&gt;3,3,W418)</f>
        <v>1</v>
      </c>
      <c r="CF418" s="21">
        <f>IF(AC418&gt;102,102,AC418)</f>
        <v>6.2</v>
      </c>
      <c r="CG418" s="34">
        <f>IF(AI418&lt;$AW$4,$AW$4,AI418)</f>
        <v>2004</v>
      </c>
      <c r="CH418" s="34">
        <f>IF(AJ418&lt;$AW$4,$AW$4,AJ418)</f>
        <v>2004</v>
      </c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</row>
    <row r="419" spans="1:115" s="13" customFormat="1" ht="15" customHeight="1" x14ac:dyDescent="0.3">
      <c r="A419" s="235"/>
      <c r="B419" s="218"/>
      <c r="C419" s="225">
        <v>8</v>
      </c>
      <c r="D419" s="59" t="s">
        <v>2505</v>
      </c>
      <c r="E419" s="59" t="s">
        <v>2501</v>
      </c>
      <c r="F419" s="397" t="str">
        <f ca="1">IF(BC419&lt;2025, "Extinct&lt; 6Yrs?",BA419)</f>
        <v>Widespread</v>
      </c>
      <c r="G419" s="363" t="s">
        <v>525</v>
      </c>
      <c r="H419" s="363" t="s">
        <v>677</v>
      </c>
      <c r="I419" s="366" t="s">
        <v>133</v>
      </c>
      <c r="J419" s="365" t="s">
        <v>3374</v>
      </c>
      <c r="K419" s="365" t="s">
        <v>132</v>
      </c>
      <c r="L419" s="10" t="s">
        <v>1493</v>
      </c>
      <c r="M419" s="8" t="s">
        <v>4495</v>
      </c>
      <c r="N419" s="8" t="s">
        <v>5392</v>
      </c>
      <c r="O419" s="8" t="s">
        <v>6289</v>
      </c>
      <c r="P419" s="9" t="s">
        <v>134</v>
      </c>
      <c r="Q419" s="59" t="s">
        <v>2552</v>
      </c>
      <c r="R419" s="160" t="s">
        <v>2497</v>
      </c>
      <c r="S419" s="17" t="s">
        <v>2479</v>
      </c>
      <c r="T419" s="123" t="str">
        <f>IF(R419="Bogs Ponds Streams","20",IF(R419="Coastal Areas","26",IF(R419="Meadows Dry Open","10",IF(R419="Forest &amp; Understory","14",IF(R419="Moist Open","12",IF(R419="Moist Shady","10",IF(R419="Sub-Alpine Slopes","0")))))))</f>
        <v>12</v>
      </c>
      <c r="U419" s="123" t="str">
        <f>IF(R419="Bogs Ponds Streams","52",IF(R419="Coastal Areas","51",IF(R419="Meadows Dry Open","53",IF(R419="Forest &amp; Understory","52",IF(R419="Moist Open","50",IF(R419="Moist Shady","46",IF(R419="Sub-Alpine Slopes","40")))))))</f>
        <v>50</v>
      </c>
      <c r="V419" s="123" t="str">
        <f>IF(R419="Bogs Ponds Streams","84",IF(R419="Coastal Areas","76",IF(R419="Meadows Dry Open","96", IF(R419="Forest &amp; Understory","90", IF(R419="Moist Open","88", IF(R419="Moist Shady","82", IF(R419="Sub-Alpine Slopes","80")))))))</f>
        <v>88</v>
      </c>
      <c r="W419" s="59">
        <v>20</v>
      </c>
      <c r="X419" s="59">
        <v>0</v>
      </c>
      <c r="Y419" s="59">
        <v>3500</v>
      </c>
      <c r="Z419" s="59" t="s">
        <v>2519</v>
      </c>
      <c r="AA419" s="59" t="s">
        <v>2518</v>
      </c>
      <c r="AB419" s="59">
        <v>6.8</v>
      </c>
      <c r="AC419" s="45">
        <f>C419+AK419+(0.1)*AL419</f>
        <v>13.2</v>
      </c>
      <c r="AD419" s="77">
        <v>89</v>
      </c>
      <c r="AE419" s="59">
        <v>5</v>
      </c>
      <c r="AF419" s="59">
        <v>5</v>
      </c>
      <c r="AG419" s="59">
        <v>1900</v>
      </c>
      <c r="AH419" s="77">
        <v>0</v>
      </c>
      <c r="AI419" s="59">
        <f ca="1">AJ419</f>
        <v>2019</v>
      </c>
      <c r="AJ419" s="18">
        <f ca="1">YEAR(TODAY())</f>
        <v>2019</v>
      </c>
      <c r="AK419" s="18">
        <v>3</v>
      </c>
      <c r="AL419" s="18">
        <v>22</v>
      </c>
      <c r="AM419" s="18">
        <v>1</v>
      </c>
      <c r="AN419" s="18">
        <v>1</v>
      </c>
      <c r="AO419" s="18">
        <v>5</v>
      </c>
      <c r="AP419" s="18">
        <v>1</v>
      </c>
      <c r="AQ419" s="18">
        <v>0</v>
      </c>
      <c r="AR419" s="18">
        <v>0</v>
      </c>
      <c r="AS419" s="18">
        <v>0</v>
      </c>
      <c r="AT419" s="18">
        <v>0</v>
      </c>
      <c r="AU419" s="18">
        <v>0</v>
      </c>
      <c r="AV419" s="18">
        <v>0</v>
      </c>
      <c r="AW419" s="18">
        <v>0</v>
      </c>
      <c r="AX419" s="18">
        <v>0</v>
      </c>
      <c r="AY419" s="233"/>
      <c r="AZ419" s="4"/>
      <c r="BA419" s="35" t="str">
        <f>IF(OR(S419="North America",S419="Rocky Mountain"), "Widespread",BC419)</f>
        <v>Widespread</v>
      </c>
      <c r="BB419" s="4"/>
      <c r="BC419" s="35" t="str">
        <f ca="1">IF(BE419&gt;2046, "Abundant",BE419)</f>
        <v>Abundant</v>
      </c>
      <c r="BD419" s="4"/>
      <c r="BE419" s="81">
        <f ca="1">YEAR($C$13)+(BG419*80)</f>
        <v>2102.8845775401069</v>
      </c>
      <c r="BF419" s="4"/>
      <c r="BG419" s="137">
        <f ca="1">BH419*$BH$14</f>
        <v>1.0485572192513368</v>
      </c>
      <c r="BH419" s="137">
        <f ca="1">(((BJ419+BK419+BM419+BN419)/4)*$BM$11)+(((BP419+BQ419)/2)*$BQ$11)+(((BU419+BV419+BW419)/3)*$BU$11)+(((BY419+BZ419+CA419+CB419+CC419)/5)*$CA$11)</f>
        <v>1.0485572192513368</v>
      </c>
      <c r="BI419" s="4"/>
      <c r="BJ419" s="33">
        <f>AP419/(AM419+AO419)</f>
        <v>0.16666666666666666</v>
      </c>
      <c r="BK419" s="33">
        <f>(AN419+AO419)/(AM419+AO419)</f>
        <v>1</v>
      </c>
      <c r="BL419" s="4"/>
      <c r="BM419" s="127">
        <f>CF419/102</f>
        <v>0.12941176470588234</v>
      </c>
      <c r="BN419" s="127">
        <f>C419/2</f>
        <v>4</v>
      </c>
      <c r="BO419" s="4"/>
      <c r="BP419" s="127">
        <f>(AK419)/($AW$6)</f>
        <v>3.0303030303030304E-2</v>
      </c>
      <c r="BQ419" s="127">
        <f ca="1">(CH419-$AW$4)/((YEAR($C$13))-$AW$4)</f>
        <v>1</v>
      </c>
      <c r="BR419" s="127">
        <f>(AL419)/($AW$6)</f>
        <v>0.22222222222222221</v>
      </c>
      <c r="BS419" s="4"/>
      <c r="BT419" s="127"/>
      <c r="BU419" s="127">
        <f ca="1">(CG419-$AW$4)/((YEAR($C$13))-$AW$4)</f>
        <v>1</v>
      </c>
      <c r="BV419" s="127">
        <f>AE419/5</f>
        <v>1</v>
      </c>
      <c r="BW419" s="127">
        <f>AF419/5</f>
        <v>1</v>
      </c>
      <c r="BX419" s="4"/>
      <c r="BY419" s="148" t="str">
        <f>IF(E419="A",".98",IF(E419="B",".99",IF(E419="C","1.00",IF(E419="D","1.00" ))))</f>
        <v>1.00</v>
      </c>
      <c r="BZ419" s="127">
        <f>(CE419+7)/10</f>
        <v>1</v>
      </c>
      <c r="CA419" s="76" t="str">
        <f>IF(D419="Fern",".97",IF(D419="Grass",".99",IF(D419="Herb",".97",IF(D419="Shrub",".99",IF(D419="Tree","1.00",IF(D419="Vine",".98"))))))</f>
        <v>.97</v>
      </c>
      <c r="CB419" s="149" t="str">
        <f>IF(R419="Bogs Ponds Streams",".96", IF(R419="Coastal Areas",".97",IF(R419="Meadows Dry Open",".96",IF(R419="Forest &amp; Understory",".97",IF(R419="Moist Open",".98",IF(R419="Moist Shady",".96",IF(R419="Sub-Alpine","1.0")))))))</f>
        <v>.98</v>
      </c>
      <c r="CC419" s="76" t="str">
        <f>IF(S419="Local Endemic",".50",IF(S419="Regional Endemic",".70",IF(S419="Cascadia",".90",IF(S419="Rocky Mountain",".95",IF(S419="North America",".99")))))</f>
        <v>.95</v>
      </c>
      <c r="CD419" s="4"/>
      <c r="CE419" s="21">
        <f>IF(W419&gt;3,3,W419)</f>
        <v>3</v>
      </c>
      <c r="CF419" s="21">
        <f>IF(AC419&gt;102,102,AC419)</f>
        <v>13.2</v>
      </c>
      <c r="CG419" s="34">
        <f ca="1">IF(AI419&lt;$AW$4,$AW$4,AI419)</f>
        <v>2019</v>
      </c>
      <c r="CH419" s="34">
        <f ca="1">IF(AJ419&lt;$AW$4,$AW$4,AJ419)</f>
        <v>2019</v>
      </c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</row>
    <row r="420" spans="1:115" s="13" customFormat="1" ht="15" customHeight="1" x14ac:dyDescent="0.3">
      <c r="A420" s="235"/>
      <c r="B420" s="218"/>
      <c r="C420" s="225">
        <v>8</v>
      </c>
      <c r="D420" s="59" t="s">
        <v>2505</v>
      </c>
      <c r="E420" s="59" t="s">
        <v>2501</v>
      </c>
      <c r="F420" s="397" t="str">
        <f ca="1">IF(BC420&lt;2025, "Extinct&lt; 6Yrs?",BA420)</f>
        <v>Abundant</v>
      </c>
      <c r="G420" s="363" t="s">
        <v>525</v>
      </c>
      <c r="H420" s="363" t="s">
        <v>677</v>
      </c>
      <c r="I420" s="366" t="s">
        <v>111</v>
      </c>
      <c r="J420" s="365" t="s">
        <v>3375</v>
      </c>
      <c r="K420" s="365" t="s">
        <v>1000</v>
      </c>
      <c r="L420" s="10" t="s">
        <v>1494</v>
      </c>
      <c r="M420" s="8" t="s">
        <v>4496</v>
      </c>
      <c r="N420" s="8" t="s">
        <v>5393</v>
      </c>
      <c r="O420" s="8" t="s">
        <v>6290</v>
      </c>
      <c r="P420" s="58" t="s">
        <v>134</v>
      </c>
      <c r="Q420" s="59" t="s">
        <v>2552</v>
      </c>
      <c r="R420" s="9" t="s">
        <v>2500</v>
      </c>
      <c r="S420" s="9" t="s">
        <v>2459</v>
      </c>
      <c r="T420" s="123" t="str">
        <f>IF(R420="Bogs Ponds Streams","20",IF(R420="Coastal Areas","26",IF(R420="Meadows Dry Open","10",IF(R420="Forest &amp; Understory","14",IF(R420="Moist Open","12",IF(R420="Moist Shady","10",IF(R420="Sub-Alpine Slopes","0")))))))</f>
        <v>10</v>
      </c>
      <c r="U420" s="123" t="str">
        <f>IF(R420="Bogs Ponds Streams","52",IF(R420="Coastal Areas","51",IF(R420="Meadows Dry Open","53",IF(R420="Forest &amp; Understory","52",IF(R420="Moist Open","50",IF(R420="Moist Shady","46",IF(R420="Sub-Alpine Slopes","40")))))))</f>
        <v>53</v>
      </c>
      <c r="V420" s="123" t="str">
        <f>IF(R420="Bogs Ponds Streams","84",IF(R420="Coastal Areas","76",IF(R420="Meadows Dry Open","96", IF(R420="Forest &amp; Understory","90", IF(R420="Moist Open","88", IF(R420="Moist Shady","82", IF(R420="Sub-Alpine Slopes","80")))))))</f>
        <v>96</v>
      </c>
      <c r="W420" s="59">
        <v>20</v>
      </c>
      <c r="X420" s="59">
        <v>0</v>
      </c>
      <c r="Y420" s="59">
        <v>3500</v>
      </c>
      <c r="Z420" s="59" t="s">
        <v>2519</v>
      </c>
      <c r="AA420" s="59" t="s">
        <v>2518</v>
      </c>
      <c r="AB420" s="59">
        <v>6.8</v>
      </c>
      <c r="AC420" s="45">
        <f>C420+AK420+(0.1)*AL420</f>
        <v>20</v>
      </c>
      <c r="AD420" s="77">
        <v>46</v>
      </c>
      <c r="AE420" s="59">
        <v>5</v>
      </c>
      <c r="AF420" s="59">
        <v>5</v>
      </c>
      <c r="AG420" s="59">
        <v>1900</v>
      </c>
      <c r="AH420" s="77">
        <v>0</v>
      </c>
      <c r="AI420" s="59">
        <f ca="1">AJ420</f>
        <v>2019</v>
      </c>
      <c r="AJ420" s="18">
        <f ca="1">YEAR(TODAY())</f>
        <v>2019</v>
      </c>
      <c r="AK420" s="18">
        <v>12</v>
      </c>
      <c r="AL420" s="18">
        <v>0</v>
      </c>
      <c r="AM420" s="18">
        <v>1</v>
      </c>
      <c r="AN420" s="18">
        <v>1</v>
      </c>
      <c r="AO420" s="24">
        <v>5</v>
      </c>
      <c r="AP420" s="24">
        <v>5</v>
      </c>
      <c r="AQ420" s="18">
        <v>0</v>
      </c>
      <c r="AR420" s="18">
        <v>0</v>
      </c>
      <c r="AS420" s="18">
        <v>0</v>
      </c>
      <c r="AT420" s="18">
        <v>0</v>
      </c>
      <c r="AU420" s="18">
        <v>0</v>
      </c>
      <c r="AV420" s="18">
        <v>0</v>
      </c>
      <c r="AW420" s="18">
        <v>0</v>
      </c>
      <c r="AX420" s="18">
        <v>0</v>
      </c>
      <c r="AY420" s="233"/>
      <c r="AZ420" s="4"/>
      <c r="BA420" s="35" t="str">
        <f ca="1">IF(OR(S420="North America",S420="Rocky Mountain"), "Widespread",BC420)</f>
        <v>Abundant</v>
      </c>
      <c r="BB420" s="4"/>
      <c r="BC420" s="35" t="str">
        <f ca="1">IF(BE420&gt;2046, "Abundant",BE420)</f>
        <v>Abundant</v>
      </c>
      <c r="BD420" s="4"/>
      <c r="BE420" s="81">
        <f ca="1">YEAR($C$13)+(BG420*80)</f>
        <v>2112.7530866310162</v>
      </c>
      <c r="BF420" s="4"/>
      <c r="BG420" s="137">
        <f ca="1">BH420*$BH$14</f>
        <v>1.1719135828877005</v>
      </c>
      <c r="BH420" s="137">
        <f ca="1">(((BJ420+BK420+BM420+BN420)/4)*$BM$11)+(((BP420+BQ420)/2)*$BQ$11)+(((BU420+BV420+BW420)/3)*$BU$11)+(((BY420+BZ420+CA420+CB420+CC420)/5)*$CA$11)</f>
        <v>1.1719135828877005</v>
      </c>
      <c r="BI420" s="4"/>
      <c r="BJ420" s="33">
        <f>AP420/(AM420+AO420)</f>
        <v>0.83333333333333337</v>
      </c>
      <c r="BK420" s="33">
        <f>(AN420+AO420)/(AM420+AO420)</f>
        <v>1</v>
      </c>
      <c r="BL420" s="4"/>
      <c r="BM420" s="127">
        <f>CF420/102</f>
        <v>0.19607843137254902</v>
      </c>
      <c r="BN420" s="127">
        <f>C420/2</f>
        <v>4</v>
      </c>
      <c r="BO420" s="4"/>
      <c r="BP420" s="127">
        <f>(AK420)/($AW$6)</f>
        <v>0.12121212121212122</v>
      </c>
      <c r="BQ420" s="127">
        <f ca="1">(CH420-$AW$4)/((YEAR($C$13))-$AW$4)</f>
        <v>1</v>
      </c>
      <c r="BR420" s="127">
        <f>(AL420)/($AW$6)</f>
        <v>0</v>
      </c>
      <c r="BS420" s="4"/>
      <c r="BT420" s="127"/>
      <c r="BU420" s="127">
        <f ca="1">(CG420-$AW$4)/((YEAR($C$13))-$AW$4)</f>
        <v>1</v>
      </c>
      <c r="BV420" s="127">
        <f>AE420/5</f>
        <v>1</v>
      </c>
      <c r="BW420" s="127">
        <f>AF420/5</f>
        <v>1</v>
      </c>
      <c r="BX420" s="4"/>
      <c r="BY420" s="148" t="str">
        <f>IF(E420="A",".98",IF(E420="B",".99",IF(E420="C","1.00",IF(E420="D","1.00" ))))</f>
        <v>1.00</v>
      </c>
      <c r="BZ420" s="127">
        <f>(CE420+7)/10</f>
        <v>1</v>
      </c>
      <c r="CA420" s="76" t="str">
        <f>IF(D420="Fern",".97",IF(D420="Grass",".99",IF(D420="Herb",".97",IF(D420="Shrub",".99",IF(D420="Tree","1.00",IF(D420="Vine",".98"))))))</f>
        <v>.97</v>
      </c>
      <c r="CB420" s="149" t="str">
        <f>IF(R420="Bogs Ponds Streams",".96", IF(R420="Coastal Areas",".97",IF(R420="Meadows Dry Open",".96",IF(R420="Forest &amp; Understory",".97",IF(R420="Moist Open",".98",IF(R420="Moist Shady",".96",IF(R420="Sub-Alpine","1.0")))))))</f>
        <v>.96</v>
      </c>
      <c r="CC420" s="76" t="str">
        <f>IF(S420="Local Endemic",".50",IF(S420="Regional Endemic",".70",IF(S420="Cascadia",".90",IF(S420="Rocky Mountain",".95",IF(S420="North America",".99")))))</f>
        <v>.90</v>
      </c>
      <c r="CD420" s="4"/>
      <c r="CE420" s="21">
        <f>IF(W420&gt;3,3,W420)</f>
        <v>3</v>
      </c>
      <c r="CF420" s="21">
        <f>IF(AC420&gt;102,102,AC420)</f>
        <v>20</v>
      </c>
      <c r="CG420" s="34">
        <f ca="1">IF(AI420&lt;$AW$4,$AW$4,AI420)</f>
        <v>2019</v>
      </c>
      <c r="CH420" s="34">
        <f ca="1">IF(AJ420&lt;$AW$4,$AW$4,AJ420)</f>
        <v>2019</v>
      </c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</row>
    <row r="421" spans="1:115" s="13" customFormat="1" ht="15" customHeight="1" x14ac:dyDescent="0.3">
      <c r="A421" s="235"/>
      <c r="B421" s="218"/>
      <c r="C421" s="375">
        <v>1</v>
      </c>
      <c r="D421" s="67" t="s">
        <v>2505</v>
      </c>
      <c r="E421" s="67" t="s">
        <v>2501</v>
      </c>
      <c r="F421" s="403">
        <f ca="1">IF(BC421&lt;2025, "Extinct&lt; 6Yrs?",BA421)</f>
        <v>2031.9098134284018</v>
      </c>
      <c r="G421" s="376" t="s">
        <v>525</v>
      </c>
      <c r="H421" s="376" t="s">
        <v>4028</v>
      </c>
      <c r="I421" s="377" t="s">
        <v>2356</v>
      </c>
      <c r="J421" s="378" t="s">
        <v>3596</v>
      </c>
      <c r="K421" s="378" t="s">
        <v>2355</v>
      </c>
      <c r="L421" s="64" t="s">
        <v>2404</v>
      </c>
      <c r="M421" s="64" t="s">
        <v>4497</v>
      </c>
      <c r="N421" s="64" t="s">
        <v>5394</v>
      </c>
      <c r="O421" s="64" t="s">
        <v>6291</v>
      </c>
      <c r="P421" s="61" t="s">
        <v>483</v>
      </c>
      <c r="Q421" s="67" t="s">
        <v>2552</v>
      </c>
      <c r="R421" s="163" t="s">
        <v>2497</v>
      </c>
      <c r="S421" s="164" t="s">
        <v>2459</v>
      </c>
      <c r="T421" s="134" t="str">
        <f>IF(R421="Bogs Ponds Streams","20",IF(R421="Coastal Areas","26",IF(R421="Meadows Dry Open","10",IF(R421="Forest &amp; Understory","14",IF(R421="Moist Open","12",IF(R421="Moist Shady","10",IF(R421="Sub-Alpine Slopes","0")))))))</f>
        <v>12</v>
      </c>
      <c r="U421" s="134" t="str">
        <f>IF(R421="Bogs Ponds Streams","52",IF(R421="Coastal Areas","51",IF(R421="Meadows Dry Open","53",IF(R421="Forest &amp; Understory","52",IF(R421="Moist Open","50",IF(R421="Moist Shady","46",IF(R421="Sub-Alpine Slopes","40")))))))</f>
        <v>50</v>
      </c>
      <c r="V421" s="134" t="str">
        <f>IF(R421="Bogs Ponds Streams","84",IF(R421="Coastal Areas","76",IF(R421="Meadows Dry Open","96", IF(R421="Forest &amp; Understory","90", IF(R421="Moist Open","88", IF(R421="Moist Shady","82", IF(R421="Sub-Alpine Slopes","80")))))))</f>
        <v>88</v>
      </c>
      <c r="W421" s="67">
        <v>20</v>
      </c>
      <c r="X421" s="67">
        <v>0</v>
      </c>
      <c r="Y421" s="67">
        <v>3500</v>
      </c>
      <c r="Z421" s="67" t="s">
        <v>2519</v>
      </c>
      <c r="AA421" s="67" t="s">
        <v>2518</v>
      </c>
      <c r="AB421" s="67">
        <v>6.8</v>
      </c>
      <c r="AC421" s="85">
        <f>C421+AK421+(0.1)*AL421</f>
        <v>2.2000000000000002</v>
      </c>
      <c r="AD421" s="78">
        <v>16</v>
      </c>
      <c r="AE421" s="68">
        <v>3</v>
      </c>
      <c r="AF421" s="68">
        <v>4</v>
      </c>
      <c r="AG421" s="78">
        <v>1890</v>
      </c>
      <c r="AH421" s="78">
        <v>0</v>
      </c>
      <c r="AI421" s="78">
        <v>2018</v>
      </c>
      <c r="AJ421" s="67">
        <v>1990</v>
      </c>
      <c r="AK421" s="67">
        <v>1</v>
      </c>
      <c r="AL421" s="67">
        <v>2</v>
      </c>
      <c r="AM421" s="70">
        <v>5</v>
      </c>
      <c r="AN421" s="70">
        <v>0</v>
      </c>
      <c r="AO421" s="86">
        <v>0</v>
      </c>
      <c r="AP421" s="70">
        <v>0</v>
      </c>
      <c r="AQ421" s="70">
        <v>0</v>
      </c>
      <c r="AR421" s="70">
        <v>0</v>
      </c>
      <c r="AS421" s="86">
        <v>0</v>
      </c>
      <c r="AT421" s="70">
        <v>0</v>
      </c>
      <c r="AU421" s="70">
        <v>0</v>
      </c>
      <c r="AV421" s="70">
        <v>0</v>
      </c>
      <c r="AW421" s="86">
        <v>0</v>
      </c>
      <c r="AX421" s="70">
        <v>0</v>
      </c>
      <c r="AY421" s="233"/>
      <c r="AZ421" s="11"/>
      <c r="BA421" s="35">
        <f ca="1">IF(OR(S421="North America",S421="Rocky Mountain"), "Widespread",BC421)</f>
        <v>2031.9098134284018</v>
      </c>
      <c r="BB421" s="11"/>
      <c r="BC421" s="35">
        <f ca="1">IF(BE421&gt;2046, "Abundant",BE421)</f>
        <v>2031.9098134284018</v>
      </c>
      <c r="BD421" s="11"/>
      <c r="BE421" s="81">
        <f ca="1">YEAR($C$13)+(BG421*80)</f>
        <v>2031.9098134284018</v>
      </c>
      <c r="BF421" s="11"/>
      <c r="BG421" s="137">
        <f ca="1">BH421*$BH$14</f>
        <v>0.16137266785502077</v>
      </c>
      <c r="BH421" s="137">
        <f ca="1">(((BJ421+BK421+BM421+BN421)/4)*$BM$11)+(((BP421+BQ421)/2)*$BQ$11)+(((BU421+BV421+BW421)/3)*$BU$11)+(((BY421+BZ421+CA421+CB421+CC421)/5)*$CA$11)</f>
        <v>0.16137266785502077</v>
      </c>
      <c r="BI421" s="11"/>
      <c r="BJ421" s="33">
        <f>AP421/(AM421+AO421)</f>
        <v>0</v>
      </c>
      <c r="BK421" s="33">
        <f>(AN421+AO421)/(AM421+AO421)</f>
        <v>0</v>
      </c>
      <c r="BL421" s="11"/>
      <c r="BM421" s="127">
        <f>CF421/102</f>
        <v>2.1568627450980395E-2</v>
      </c>
      <c r="BN421" s="127">
        <f>C421/2</f>
        <v>0.5</v>
      </c>
      <c r="BO421" s="11"/>
      <c r="BP421" s="127">
        <f>(AK421)/($AW$6)</f>
        <v>1.0101010101010102E-2</v>
      </c>
      <c r="BQ421" s="127">
        <f ca="1">(CH421-$AW$4)/((YEAR($C$13))-$AW$4)</f>
        <v>0</v>
      </c>
      <c r="BR421" s="127">
        <f>(AL421)/($AW$6)</f>
        <v>2.0202020202020204E-2</v>
      </c>
      <c r="BS421" s="11"/>
      <c r="BT421" s="127"/>
      <c r="BU421" s="127">
        <f ca="1">(CG421-$AW$4)/((YEAR($C$13))-$AW$4)</f>
        <v>0.93333333333333335</v>
      </c>
      <c r="BV421" s="127">
        <f>AE421/5</f>
        <v>0.6</v>
      </c>
      <c r="BW421" s="127">
        <f>AF421/5</f>
        <v>0.8</v>
      </c>
      <c r="BX421" s="11"/>
      <c r="BY421" s="148" t="str">
        <f>IF(E421="A",".98",IF(E421="B",".99",IF(E421="C","1.00",IF(E421="D","1.00" ))))</f>
        <v>1.00</v>
      </c>
      <c r="BZ421" s="127">
        <f>(CE421+7)/10</f>
        <v>1</v>
      </c>
      <c r="CA421" s="76" t="str">
        <f>IF(D421="Fern",".97",IF(D421="Grass",".99",IF(D421="Herb",".97",IF(D421="Shrub",".99",IF(D421="Tree","1.00",IF(D421="Vine",".98"))))))</f>
        <v>.97</v>
      </c>
      <c r="CB421" s="149" t="str">
        <f>IF(R421="Bogs Ponds Streams",".96", IF(R421="Coastal Areas",".97",IF(R421="Meadows Dry Open",".96",IF(R421="Forest &amp; Understory",".97",IF(R421="Moist Open",".98",IF(R421="Moist Shady",".96",IF(R421="Sub-Alpine","1.0")))))))</f>
        <v>.98</v>
      </c>
      <c r="CC421" s="76" t="str">
        <f>IF(S421="Local Endemic",".50",IF(S421="Regional Endemic",".70",IF(S421="Cascadia",".90",IF(S421="Rocky Mountain",".95",IF(S421="North America",".99")))))</f>
        <v>.90</v>
      </c>
      <c r="CD421" s="11"/>
      <c r="CE421" s="21">
        <f>IF(W421&gt;3,3,W421)</f>
        <v>3</v>
      </c>
      <c r="CF421" s="21">
        <f>IF(AC421&gt;102,102,AC421)</f>
        <v>2.2000000000000002</v>
      </c>
      <c r="CG421" s="34">
        <f>IF(AI421&lt;$AW$4,$AW$4,AI421)</f>
        <v>2018</v>
      </c>
      <c r="CH421" s="34">
        <f>IF(AJ421&lt;$AW$4,$AW$4,AJ421)</f>
        <v>2004</v>
      </c>
      <c r="CI421" s="11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11"/>
      <c r="DC421" s="11"/>
      <c r="DD421" s="11"/>
      <c r="DE421" s="11"/>
      <c r="DF421" s="11"/>
      <c r="DG421" s="11"/>
      <c r="DH421" s="11"/>
      <c r="DI421" s="11"/>
      <c r="DJ421" s="11"/>
      <c r="DK421" s="12"/>
    </row>
    <row r="422" spans="1:115" s="13" customFormat="1" ht="15" customHeight="1" x14ac:dyDescent="0.3">
      <c r="A422" s="235"/>
      <c r="B422" s="218"/>
      <c r="C422" s="225">
        <v>8</v>
      </c>
      <c r="D422" s="59" t="s">
        <v>2505</v>
      </c>
      <c r="E422" s="59" t="s">
        <v>2501</v>
      </c>
      <c r="F422" s="397" t="str">
        <f ca="1">IF(BC422&lt;2025, "Extinct&lt; 6Yrs?",BA422)</f>
        <v>Widespread</v>
      </c>
      <c r="G422" s="363" t="s">
        <v>525</v>
      </c>
      <c r="H422" s="363" t="s">
        <v>683</v>
      </c>
      <c r="I422" s="366" t="s">
        <v>3077</v>
      </c>
      <c r="J422" s="365" t="s">
        <v>3376</v>
      </c>
      <c r="K422" s="365" t="s">
        <v>484</v>
      </c>
      <c r="L422" s="10" t="s">
        <v>1495</v>
      </c>
      <c r="M422" s="8" t="s">
        <v>4498</v>
      </c>
      <c r="N422" s="8" t="s">
        <v>5395</v>
      </c>
      <c r="O422" s="8" t="s">
        <v>6292</v>
      </c>
      <c r="P422" s="9" t="s">
        <v>483</v>
      </c>
      <c r="Q422" s="59" t="s">
        <v>2552</v>
      </c>
      <c r="R422" s="160" t="s">
        <v>2497</v>
      </c>
      <c r="S422" s="17" t="s">
        <v>2479</v>
      </c>
      <c r="T422" s="123" t="str">
        <f>IF(R422="Bogs Ponds Streams","20",IF(R422="Coastal Areas","26",IF(R422="Meadows Dry Open","10",IF(R422="Forest &amp; Understory","14",IF(R422="Moist Open","12",IF(R422="Moist Shady","10",IF(R422="Sub-Alpine Slopes","0")))))))</f>
        <v>12</v>
      </c>
      <c r="U422" s="123" t="str">
        <f>IF(R422="Bogs Ponds Streams","52",IF(R422="Coastal Areas","51",IF(R422="Meadows Dry Open","53",IF(R422="Forest &amp; Understory","52",IF(R422="Moist Open","50",IF(R422="Moist Shady","46",IF(R422="Sub-Alpine Slopes","40")))))))</f>
        <v>50</v>
      </c>
      <c r="V422" s="123" t="str">
        <f>IF(R422="Bogs Ponds Streams","84",IF(R422="Coastal Areas","76",IF(R422="Meadows Dry Open","96", IF(R422="Forest &amp; Understory","90", IF(R422="Moist Open","88", IF(R422="Moist Shady","82", IF(R422="Sub-Alpine Slopes","80")))))))</f>
        <v>88</v>
      </c>
      <c r="W422" s="59">
        <v>20</v>
      </c>
      <c r="X422" s="59">
        <v>0</v>
      </c>
      <c r="Y422" s="59">
        <v>3500</v>
      </c>
      <c r="Z422" s="59" t="s">
        <v>2519</v>
      </c>
      <c r="AA422" s="59" t="s">
        <v>2518</v>
      </c>
      <c r="AB422" s="59">
        <v>6.8</v>
      </c>
      <c r="AC422" s="45">
        <f>C422+AK422+(0.1)*AL422</f>
        <v>22</v>
      </c>
      <c r="AD422" s="77">
        <v>38</v>
      </c>
      <c r="AE422" s="59">
        <v>5</v>
      </c>
      <c r="AF422" s="59">
        <v>5</v>
      </c>
      <c r="AG422" s="59">
        <v>1900</v>
      </c>
      <c r="AH422" s="77">
        <v>0</v>
      </c>
      <c r="AI422" s="59">
        <f ca="1">AJ422</f>
        <v>2019</v>
      </c>
      <c r="AJ422" s="18">
        <f ca="1">YEAR(TODAY())</f>
        <v>2019</v>
      </c>
      <c r="AK422" s="18">
        <v>14</v>
      </c>
      <c r="AL422" s="18">
        <v>0</v>
      </c>
      <c r="AM422" s="18">
        <v>1</v>
      </c>
      <c r="AN422" s="18">
        <v>1</v>
      </c>
      <c r="AO422" s="18">
        <v>5</v>
      </c>
      <c r="AP422" s="18">
        <v>1</v>
      </c>
      <c r="AQ422" s="18">
        <v>0</v>
      </c>
      <c r="AR422" s="18">
        <v>0</v>
      </c>
      <c r="AS422" s="18">
        <v>0</v>
      </c>
      <c r="AT422" s="18">
        <v>0</v>
      </c>
      <c r="AU422" s="18">
        <v>0</v>
      </c>
      <c r="AV422" s="18">
        <v>0</v>
      </c>
      <c r="AW422" s="18">
        <v>0</v>
      </c>
      <c r="AX422" s="18">
        <v>0</v>
      </c>
      <c r="AY422" s="233"/>
      <c r="AZ422" s="4"/>
      <c r="BA422" s="35" t="str">
        <f>IF(OR(S422="North America",S422="Rocky Mountain"), "Widespread",BC422)</f>
        <v>Widespread</v>
      </c>
      <c r="BB422" s="4"/>
      <c r="BC422" s="35" t="str">
        <f ca="1">IF(BE422&gt;2046, "Abundant",BE422)</f>
        <v>Abundant</v>
      </c>
      <c r="BD422" s="4"/>
      <c r="BE422" s="81">
        <f ca="1">YEAR($C$13)+(BG422*80)</f>
        <v>2105.2532049910874</v>
      </c>
      <c r="BF422" s="4"/>
      <c r="BG422" s="137">
        <f ca="1">BH422*$BH$14</f>
        <v>1.0781650623885919</v>
      </c>
      <c r="BH422" s="137">
        <f ca="1">(((BJ422+BK422+BM422+BN422)/4)*$BM$11)+(((BP422+BQ422)/2)*$BQ$11)+(((BU422+BV422+BW422)/3)*$BU$11)+(((BY422+BZ422+CA422+CB422+CC422)/5)*$CA$11)</f>
        <v>1.0781650623885919</v>
      </c>
      <c r="BI422" s="4"/>
      <c r="BJ422" s="33">
        <f>AP422/(AM422+AO422)</f>
        <v>0.16666666666666666</v>
      </c>
      <c r="BK422" s="33">
        <f>(AN422+AO422)/(AM422+AO422)</f>
        <v>1</v>
      </c>
      <c r="BL422" s="4"/>
      <c r="BM422" s="127">
        <f>CF422/102</f>
        <v>0.21568627450980393</v>
      </c>
      <c r="BN422" s="127">
        <f>C422/2</f>
        <v>4</v>
      </c>
      <c r="BO422" s="4"/>
      <c r="BP422" s="127">
        <f>(AK422)/($AW$6)</f>
        <v>0.14141414141414141</v>
      </c>
      <c r="BQ422" s="127">
        <f ca="1">(CH422-$AW$4)/((YEAR($C$13))-$AW$4)</f>
        <v>1</v>
      </c>
      <c r="BR422" s="127">
        <f>(AL422)/($AW$6)</f>
        <v>0</v>
      </c>
      <c r="BS422" s="4"/>
      <c r="BT422" s="127"/>
      <c r="BU422" s="127">
        <f ca="1">(CG422-$AW$4)/((YEAR($C$13))-$AW$4)</f>
        <v>1</v>
      </c>
      <c r="BV422" s="127">
        <f>AE422/5</f>
        <v>1</v>
      </c>
      <c r="BW422" s="127">
        <f>AF422/5</f>
        <v>1</v>
      </c>
      <c r="BX422" s="4"/>
      <c r="BY422" s="148" t="str">
        <f>IF(E422="A",".98",IF(E422="B",".99",IF(E422="C","1.00",IF(E422="D","1.00" ))))</f>
        <v>1.00</v>
      </c>
      <c r="BZ422" s="127">
        <f>(CE422+7)/10</f>
        <v>1</v>
      </c>
      <c r="CA422" s="76" t="str">
        <f>IF(D422="Fern",".97",IF(D422="Grass",".99",IF(D422="Herb",".97",IF(D422="Shrub",".99",IF(D422="Tree","1.00",IF(D422="Vine",".98"))))))</f>
        <v>.97</v>
      </c>
      <c r="CB422" s="149" t="str">
        <f>IF(R422="Bogs Ponds Streams",".96", IF(R422="Coastal Areas",".97",IF(R422="Meadows Dry Open",".96",IF(R422="Forest &amp; Understory",".97",IF(R422="Moist Open",".98",IF(R422="Moist Shady",".96",IF(R422="Sub-Alpine","1.0")))))))</f>
        <v>.98</v>
      </c>
      <c r="CC422" s="76" t="str">
        <f>IF(S422="Local Endemic",".50",IF(S422="Regional Endemic",".70",IF(S422="Cascadia",".90",IF(S422="Rocky Mountain",".95",IF(S422="North America",".99")))))</f>
        <v>.95</v>
      </c>
      <c r="CD422" s="4"/>
      <c r="CE422" s="21">
        <f>IF(W422&gt;3,3,W422)</f>
        <v>3</v>
      </c>
      <c r="CF422" s="21">
        <f>IF(AC422&gt;102,102,AC422)</f>
        <v>22</v>
      </c>
      <c r="CG422" s="34">
        <f ca="1">IF(AI422&lt;$AW$4,$AW$4,AI422)</f>
        <v>2019</v>
      </c>
      <c r="CH422" s="34">
        <f ca="1">IF(AJ422&lt;$AW$4,$AW$4,AJ422)</f>
        <v>2019</v>
      </c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</row>
    <row r="423" spans="1:115" s="13" customFormat="1" ht="15" customHeight="1" x14ac:dyDescent="0.3">
      <c r="A423" s="235"/>
      <c r="B423" s="218"/>
      <c r="C423" s="225">
        <v>8</v>
      </c>
      <c r="D423" s="59" t="s">
        <v>2505</v>
      </c>
      <c r="E423" s="59" t="s">
        <v>2501</v>
      </c>
      <c r="F423" s="397" t="str">
        <f ca="1">IF(BC423&lt;2025, "Extinct&lt; 6Yrs?",BA423)</f>
        <v>Widespread</v>
      </c>
      <c r="G423" s="363" t="s">
        <v>525</v>
      </c>
      <c r="H423" s="363" t="s">
        <v>683</v>
      </c>
      <c r="I423" s="364" t="s">
        <v>2655</v>
      </c>
      <c r="J423" s="365" t="s">
        <v>3377</v>
      </c>
      <c r="K423" s="365" t="s">
        <v>2778</v>
      </c>
      <c r="L423" s="17" t="s">
        <v>1237</v>
      </c>
      <c r="M423" s="8" t="s">
        <v>4499</v>
      </c>
      <c r="N423" s="8" t="s">
        <v>5396</v>
      </c>
      <c r="O423" s="8" t="s">
        <v>6293</v>
      </c>
      <c r="P423" s="398" t="s">
        <v>483</v>
      </c>
      <c r="Q423" s="59" t="s">
        <v>2552</v>
      </c>
      <c r="R423" s="160" t="s">
        <v>2497</v>
      </c>
      <c r="S423" s="17" t="s">
        <v>2495</v>
      </c>
      <c r="T423" s="123" t="str">
        <f>IF(R423="Bogs Ponds Streams","20",IF(R423="Coastal Areas","26",IF(R423="Meadows Dry Open","10",IF(R423="Forest &amp; Understory","14",IF(R423="Moist Open","12",IF(R423="Moist Shady","10",IF(R423="Sub-Alpine Slopes","0")))))))</f>
        <v>12</v>
      </c>
      <c r="U423" s="123" t="str">
        <f>IF(R423="Bogs Ponds Streams","52",IF(R423="Coastal Areas","51",IF(R423="Meadows Dry Open","53",IF(R423="Forest &amp; Understory","52",IF(R423="Moist Open","50",IF(R423="Moist Shady","46",IF(R423="Sub-Alpine Slopes","40")))))))</f>
        <v>50</v>
      </c>
      <c r="V423" s="123" t="str">
        <f>IF(R423="Bogs Ponds Streams","84",IF(R423="Coastal Areas","76",IF(R423="Meadows Dry Open","96", IF(R423="Forest &amp; Understory","90", IF(R423="Moist Open","88", IF(R423="Moist Shady","82", IF(R423="Sub-Alpine Slopes","80")))))))</f>
        <v>88</v>
      </c>
      <c r="W423" s="59">
        <v>20</v>
      </c>
      <c r="X423" s="59">
        <v>0</v>
      </c>
      <c r="Y423" s="59">
        <v>3500</v>
      </c>
      <c r="Z423" s="59" t="s">
        <v>2519</v>
      </c>
      <c r="AA423" s="59" t="s">
        <v>2518</v>
      </c>
      <c r="AB423" s="59">
        <v>6.8</v>
      </c>
      <c r="AC423" s="45">
        <f>C423+AK423+(0.1)*AL423</f>
        <v>20.100000000000001</v>
      </c>
      <c r="AD423" s="77">
        <v>43</v>
      </c>
      <c r="AE423" s="59">
        <v>5</v>
      </c>
      <c r="AF423" s="59">
        <v>5</v>
      </c>
      <c r="AG423" s="59">
        <v>1900</v>
      </c>
      <c r="AH423" s="77">
        <v>0</v>
      </c>
      <c r="AI423" s="59">
        <f ca="1">AJ423</f>
        <v>2019</v>
      </c>
      <c r="AJ423" s="18">
        <f ca="1">YEAR(TODAY())</f>
        <v>2019</v>
      </c>
      <c r="AK423" s="18">
        <v>12</v>
      </c>
      <c r="AL423" s="18">
        <v>1</v>
      </c>
      <c r="AM423" s="18">
        <v>1</v>
      </c>
      <c r="AN423" s="18">
        <v>1</v>
      </c>
      <c r="AO423" s="18">
        <v>5</v>
      </c>
      <c r="AP423" s="18">
        <v>1</v>
      </c>
      <c r="AQ423" s="18">
        <v>0</v>
      </c>
      <c r="AR423" s="18">
        <v>0</v>
      </c>
      <c r="AS423" s="18">
        <v>0</v>
      </c>
      <c r="AT423" s="18">
        <v>0</v>
      </c>
      <c r="AU423" s="18">
        <v>0</v>
      </c>
      <c r="AV423" s="18">
        <v>0</v>
      </c>
      <c r="AW423" s="18">
        <v>0</v>
      </c>
      <c r="AX423" s="18">
        <v>0</v>
      </c>
      <c r="AY423" s="233"/>
      <c r="AZ423" s="4"/>
      <c r="BA423" s="35" t="str">
        <f>IF(OR(S423="North America",S423="Rocky Mountain"), "Widespread",BC423)</f>
        <v>Widespread</v>
      </c>
      <c r="BB423" s="4"/>
      <c r="BC423" s="35" t="str">
        <f ca="1">IF(BE423&gt;2046, "Abundant",BE423)</f>
        <v>Abundant</v>
      </c>
      <c r="BD423" s="4"/>
      <c r="BE423" s="81">
        <f ca="1">YEAR($C$13)+(BG423*80)</f>
        <v>2104.8000513368984</v>
      </c>
      <c r="BF423" s="4"/>
      <c r="BG423" s="137">
        <f ca="1">BH423*$BH$14</f>
        <v>1.0725006417112299</v>
      </c>
      <c r="BH423" s="137">
        <f ca="1">(((BJ423+BK423+BM423+BN423)/4)*$BM$11)+(((BP423+BQ423)/2)*$BQ$11)+(((BU423+BV423+BW423)/3)*$BU$11)+(((BY423+BZ423+CA423+CB423+CC423)/5)*$CA$11)</f>
        <v>1.0725006417112299</v>
      </c>
      <c r="BI423" s="4"/>
      <c r="BJ423" s="33">
        <f>AP423/(AM423+AO423)</f>
        <v>0.16666666666666666</v>
      </c>
      <c r="BK423" s="33">
        <f>(AN423+AO423)/(AM423+AO423)</f>
        <v>1</v>
      </c>
      <c r="BL423" s="4"/>
      <c r="BM423" s="127">
        <f>CF423/102</f>
        <v>0.19705882352941179</v>
      </c>
      <c r="BN423" s="127">
        <f>C423/2</f>
        <v>4</v>
      </c>
      <c r="BO423" s="4"/>
      <c r="BP423" s="127">
        <f>(AK423)/($AW$6)</f>
        <v>0.12121212121212122</v>
      </c>
      <c r="BQ423" s="127">
        <f ca="1">(CH423-$AW$4)/((YEAR($C$13))-$AW$4)</f>
        <v>1</v>
      </c>
      <c r="BR423" s="127">
        <f>(AL423)/($AW$6)</f>
        <v>1.0101010101010102E-2</v>
      </c>
      <c r="BS423" s="4"/>
      <c r="BT423" s="127"/>
      <c r="BU423" s="127">
        <f ca="1">(CG423-$AW$4)/((YEAR($C$13))-$AW$4)</f>
        <v>1</v>
      </c>
      <c r="BV423" s="127">
        <f>AE423/5</f>
        <v>1</v>
      </c>
      <c r="BW423" s="127">
        <f>AF423/5</f>
        <v>1</v>
      </c>
      <c r="BX423" s="4"/>
      <c r="BY423" s="148" t="str">
        <f>IF(E423="A",".98",IF(E423="B",".99",IF(E423="C","1.00",IF(E423="D","1.00" ))))</f>
        <v>1.00</v>
      </c>
      <c r="BZ423" s="127">
        <f>(CE423+7)/10</f>
        <v>1</v>
      </c>
      <c r="CA423" s="76" t="str">
        <f>IF(D423="Fern",".97",IF(D423="Grass",".99",IF(D423="Herb",".97",IF(D423="Shrub",".99",IF(D423="Tree","1.00",IF(D423="Vine",".98"))))))</f>
        <v>.97</v>
      </c>
      <c r="CB423" s="149" t="str">
        <f>IF(R423="Bogs Ponds Streams",".96", IF(R423="Coastal Areas",".97",IF(R423="Meadows Dry Open",".96",IF(R423="Forest &amp; Understory",".97",IF(R423="Moist Open",".98",IF(R423="Moist Shady",".96",IF(R423="Sub-Alpine","1.0")))))))</f>
        <v>.98</v>
      </c>
      <c r="CC423" s="76" t="str">
        <f>IF(S423="Local Endemic",".50",IF(S423="Regional Endemic",".70",IF(S423="Cascadia",".90",IF(S423="Rocky Mountain",".95",IF(S423="North America",".99")))))</f>
        <v>.99</v>
      </c>
      <c r="CD423" s="4"/>
      <c r="CE423" s="21">
        <f>IF(W423&gt;3,3,W423)</f>
        <v>3</v>
      </c>
      <c r="CF423" s="21">
        <f>IF(AC423&gt;102,102,AC423)</f>
        <v>20.100000000000001</v>
      </c>
      <c r="CG423" s="34">
        <f ca="1">IF(AI423&lt;$AW$4,$AW$4,AI423)</f>
        <v>2019</v>
      </c>
      <c r="CH423" s="34">
        <f ca="1">IF(AJ423&lt;$AW$4,$AW$4,AJ423)</f>
        <v>2019</v>
      </c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12"/>
    </row>
    <row r="424" spans="1:115" s="13" customFormat="1" ht="15" customHeight="1" x14ac:dyDescent="0.3">
      <c r="A424" s="235"/>
      <c r="B424" s="218"/>
      <c r="C424" s="225">
        <v>8</v>
      </c>
      <c r="D424" s="94" t="s">
        <v>1155</v>
      </c>
      <c r="E424" s="59" t="s">
        <v>2501</v>
      </c>
      <c r="F424" s="397" t="str">
        <f ca="1">IF(BC424&lt;2025, "Extinct&lt; 6Yrs?",BA424)</f>
        <v>Abundant</v>
      </c>
      <c r="G424" s="363" t="s">
        <v>525</v>
      </c>
      <c r="H424" s="363" t="s">
        <v>680</v>
      </c>
      <c r="I424" s="366" t="s">
        <v>3154</v>
      </c>
      <c r="J424" s="365" t="s">
        <v>3378</v>
      </c>
      <c r="K424" s="365" t="s">
        <v>1001</v>
      </c>
      <c r="L424" s="10" t="s">
        <v>1496</v>
      </c>
      <c r="M424" s="8" t="s">
        <v>4500</v>
      </c>
      <c r="N424" s="8" t="s">
        <v>5397</v>
      </c>
      <c r="O424" s="8" t="s">
        <v>6294</v>
      </c>
      <c r="P424" s="9" t="s">
        <v>403</v>
      </c>
      <c r="Q424" s="59" t="s">
        <v>2552</v>
      </c>
      <c r="R424" s="9" t="s">
        <v>2498</v>
      </c>
      <c r="S424" s="9" t="s">
        <v>2459</v>
      </c>
      <c r="T424" s="123" t="str">
        <f>IF(R424="Bogs Ponds Streams","20",IF(R424="Coastal Areas","26",IF(R424="Meadows Dry Open","10",IF(R424="Forest &amp; Understory","14",IF(R424="Moist Open","12",IF(R424="Moist Shady","10",IF(R424="Sub-Alpine Slopes","0")))))))</f>
        <v>10</v>
      </c>
      <c r="U424" s="123" t="str">
        <f>IF(R424="Bogs Ponds Streams","52",IF(R424="Coastal Areas","51",IF(R424="Meadows Dry Open","53",IF(R424="Forest &amp; Understory","52",IF(R424="Moist Open","50",IF(R424="Moist Shady","46",IF(R424="Sub-Alpine Slopes","40")))))))</f>
        <v>46</v>
      </c>
      <c r="V424" s="123" t="str">
        <f>IF(R424="Bogs Ponds Streams","84",IF(R424="Coastal Areas","76",IF(R424="Meadows Dry Open","96", IF(R424="Forest &amp; Understory","90", IF(R424="Moist Open","88", IF(R424="Moist Shady","82", IF(R424="Sub-Alpine Slopes","80")))))))</f>
        <v>82</v>
      </c>
      <c r="W424" s="59">
        <v>20</v>
      </c>
      <c r="X424" s="59">
        <v>0</v>
      </c>
      <c r="Y424" s="59">
        <v>3500</v>
      </c>
      <c r="Z424" s="59" t="s">
        <v>2519</v>
      </c>
      <c r="AA424" s="59" t="s">
        <v>2518</v>
      </c>
      <c r="AB424" s="59">
        <v>6.8</v>
      </c>
      <c r="AC424" s="45">
        <f>C424+AK424+(0.1)*AL424</f>
        <v>20</v>
      </c>
      <c r="AD424" s="77">
        <v>33</v>
      </c>
      <c r="AE424" s="59">
        <v>5</v>
      </c>
      <c r="AF424" s="59">
        <v>5</v>
      </c>
      <c r="AG424" s="59">
        <v>1900</v>
      </c>
      <c r="AH424" s="77">
        <v>0</v>
      </c>
      <c r="AI424" s="59">
        <f ca="1">AJ424</f>
        <v>2019</v>
      </c>
      <c r="AJ424" s="18">
        <f ca="1">YEAR(TODAY())</f>
        <v>2019</v>
      </c>
      <c r="AK424" s="18">
        <v>12</v>
      </c>
      <c r="AL424" s="18">
        <v>0</v>
      </c>
      <c r="AM424" s="18">
        <v>1</v>
      </c>
      <c r="AN424" s="18">
        <v>1</v>
      </c>
      <c r="AO424" s="18">
        <v>5</v>
      </c>
      <c r="AP424" s="18">
        <v>1</v>
      </c>
      <c r="AQ424" s="18">
        <v>0</v>
      </c>
      <c r="AR424" s="18">
        <v>0</v>
      </c>
      <c r="AS424" s="18">
        <v>0</v>
      </c>
      <c r="AT424" s="18">
        <v>0</v>
      </c>
      <c r="AU424" s="18">
        <v>0</v>
      </c>
      <c r="AV424" s="18">
        <v>0</v>
      </c>
      <c r="AW424" s="18">
        <v>0</v>
      </c>
      <c r="AX424" s="18">
        <v>0</v>
      </c>
      <c r="AY424" s="233"/>
      <c r="AZ424" s="4"/>
      <c r="BA424" s="35" t="str">
        <f ca="1">IF(OR(S424="North America",S424="Rocky Mountain"), "Widespread",BC424)</f>
        <v>Abundant</v>
      </c>
      <c r="BB424" s="4"/>
      <c r="BC424" s="35" t="str">
        <f ca="1">IF(BE424&gt;2046, "Abundant",BE424)</f>
        <v>Abundant</v>
      </c>
      <c r="BD424" s="4"/>
      <c r="BE424" s="81">
        <f ca="1">YEAR($C$13)+(BG424*80)</f>
        <v>2104.759486631016</v>
      </c>
      <c r="BF424" s="4"/>
      <c r="BG424" s="137">
        <f ca="1">BH424*$BH$14</f>
        <v>1.0719935828877007</v>
      </c>
      <c r="BH424" s="137">
        <f ca="1">(((BJ424+BK424+BM424+BN424)/4)*$BM$11)+(((BP424+BQ424)/2)*$BQ$11)+(((BU424+BV424+BW424)/3)*$BU$11)+(((BY424+BZ424+CA424+CB424+CC424)/5)*$CA$11)</f>
        <v>1.0719935828877007</v>
      </c>
      <c r="BI424" s="4"/>
      <c r="BJ424" s="33">
        <f>AP424/(AM424+AO424)</f>
        <v>0.16666666666666666</v>
      </c>
      <c r="BK424" s="33">
        <f>(AN424+AO424)/(AM424+AO424)</f>
        <v>1</v>
      </c>
      <c r="BL424" s="4"/>
      <c r="BM424" s="127">
        <f>CF424/102</f>
        <v>0.19607843137254902</v>
      </c>
      <c r="BN424" s="127">
        <f>C424/2</f>
        <v>4</v>
      </c>
      <c r="BO424" s="4"/>
      <c r="BP424" s="127">
        <f>(AK424)/($AW$6)</f>
        <v>0.12121212121212122</v>
      </c>
      <c r="BQ424" s="127">
        <f ca="1">(CH424-$AW$4)/((YEAR($C$13))-$AW$4)</f>
        <v>1</v>
      </c>
      <c r="BR424" s="127">
        <f>(AL424)/($AW$6)</f>
        <v>0</v>
      </c>
      <c r="BS424" s="4"/>
      <c r="BT424" s="127"/>
      <c r="BU424" s="127">
        <f ca="1">(CG424-$AW$4)/((YEAR($C$13))-$AW$4)</f>
        <v>1</v>
      </c>
      <c r="BV424" s="127">
        <f>AE424/5</f>
        <v>1</v>
      </c>
      <c r="BW424" s="127">
        <f>AF424/5</f>
        <v>1</v>
      </c>
      <c r="BX424" s="4"/>
      <c r="BY424" s="148" t="str">
        <f>IF(E424="A",".98",IF(E424="B",".99",IF(E424="C","1.00",IF(E424="D","1.00" ))))</f>
        <v>1.00</v>
      </c>
      <c r="BZ424" s="127">
        <f>(CE424+7)/10</f>
        <v>1</v>
      </c>
      <c r="CA424" s="76" t="str">
        <f>IF(D424="Fern",".97",IF(D424="Grass",".99",IF(D424="Herb",".97",IF(D424="Shrub",".99",IF(D424="Tree","1.00",IF(D424="Vine",".98"))))))</f>
        <v>.99</v>
      </c>
      <c r="CB424" s="149" t="str">
        <f>IF(R424="Bogs Ponds Streams",".96", IF(R424="Coastal Areas",".97",IF(R424="Meadows Dry Open",".96",IF(R424="Forest &amp; Understory",".97",IF(R424="Moist Open",".98",IF(R424="Moist Shady",".96",IF(R424="Sub-Alpine","1.0")))))))</f>
        <v>.96</v>
      </c>
      <c r="CC424" s="76" t="str">
        <f>IF(S424="Local Endemic",".50",IF(S424="Regional Endemic",".70",IF(S424="Cascadia",".90",IF(S424="Rocky Mountain",".95",IF(S424="North America",".99")))))</f>
        <v>.90</v>
      </c>
      <c r="CD424" s="4"/>
      <c r="CE424" s="21">
        <f>IF(W424&gt;3,3,W424)</f>
        <v>3</v>
      </c>
      <c r="CF424" s="21">
        <f>IF(AC424&gt;102,102,AC424)</f>
        <v>20</v>
      </c>
      <c r="CG424" s="34">
        <f ca="1">IF(AI424&lt;$AW$4,$AW$4,AI424)</f>
        <v>2019</v>
      </c>
      <c r="CH424" s="34">
        <f ca="1">IF(AJ424&lt;$AW$4,$AW$4,AJ424)</f>
        <v>2019</v>
      </c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</row>
    <row r="425" spans="1:115" s="13" customFormat="1" ht="15" customHeight="1" x14ac:dyDescent="0.3">
      <c r="A425" s="235"/>
      <c r="B425" s="218"/>
      <c r="C425" s="375">
        <v>1</v>
      </c>
      <c r="D425" s="67" t="s">
        <v>2505</v>
      </c>
      <c r="E425" s="67" t="s">
        <v>2501</v>
      </c>
      <c r="F425" s="403">
        <f ca="1">IF(BC425&lt;2025, "Extinct&lt; 6Yrs?",BA425)</f>
        <v>2034.5128014260249</v>
      </c>
      <c r="G425" s="376" t="s">
        <v>525</v>
      </c>
      <c r="H425" s="376" t="s">
        <v>4028</v>
      </c>
      <c r="I425" s="379" t="s">
        <v>2656</v>
      </c>
      <c r="J425" s="378" t="s">
        <v>3595</v>
      </c>
      <c r="K425" s="378" t="s">
        <v>1002</v>
      </c>
      <c r="L425" s="65" t="s">
        <v>1497</v>
      </c>
      <c r="M425" s="64" t="s">
        <v>4501</v>
      </c>
      <c r="N425" s="64" t="s">
        <v>5398</v>
      </c>
      <c r="O425" s="64" t="s">
        <v>6295</v>
      </c>
      <c r="P425" s="404" t="s">
        <v>51</v>
      </c>
      <c r="Q425" s="67" t="s">
        <v>2552</v>
      </c>
      <c r="R425" s="61" t="s">
        <v>2500</v>
      </c>
      <c r="S425" s="65" t="s">
        <v>2459</v>
      </c>
      <c r="T425" s="134" t="str">
        <f>IF(R425="Bogs Ponds Streams","20",IF(R425="Coastal Areas","26",IF(R425="Meadows Dry Open","10",IF(R425="Forest &amp; Understory","14",IF(R425="Moist Open","12",IF(R425="Moist Shady","10",IF(R425="Sub-Alpine Slopes","0")))))))</f>
        <v>10</v>
      </c>
      <c r="U425" s="134" t="str">
        <f>IF(R425="Bogs Ponds Streams","52",IF(R425="Coastal Areas","51",IF(R425="Meadows Dry Open","53",IF(R425="Forest &amp; Understory","52",IF(R425="Moist Open","50",IF(R425="Moist Shady","46",IF(R425="Sub-Alpine Slopes","40")))))))</f>
        <v>53</v>
      </c>
      <c r="V425" s="134" t="str">
        <f>IF(R425="Bogs Ponds Streams","84",IF(R425="Coastal Areas","76",IF(R425="Meadows Dry Open","96", IF(R425="Forest &amp; Understory","90", IF(R425="Moist Open","88", IF(R425="Moist Shady","82", IF(R425="Sub-Alpine Slopes","80")))))))</f>
        <v>96</v>
      </c>
      <c r="W425" s="67">
        <v>20</v>
      </c>
      <c r="X425" s="67">
        <v>0</v>
      </c>
      <c r="Y425" s="67">
        <v>3500</v>
      </c>
      <c r="Z425" s="67" t="s">
        <v>2519</v>
      </c>
      <c r="AA425" s="67" t="s">
        <v>2518</v>
      </c>
      <c r="AB425" s="67">
        <v>6.8</v>
      </c>
      <c r="AC425" s="85">
        <f>C425+AK425+(0.1)*AL425</f>
        <v>16</v>
      </c>
      <c r="AD425" s="78">
        <v>89</v>
      </c>
      <c r="AE425" s="67">
        <v>5</v>
      </c>
      <c r="AF425" s="67">
        <v>5</v>
      </c>
      <c r="AG425" s="67">
        <v>1900</v>
      </c>
      <c r="AH425" s="78">
        <v>0</v>
      </c>
      <c r="AI425" s="67">
        <f>AJ425</f>
        <v>2004</v>
      </c>
      <c r="AJ425" s="69">
        <v>2004</v>
      </c>
      <c r="AK425" s="69">
        <v>15</v>
      </c>
      <c r="AL425" s="69">
        <v>0</v>
      </c>
      <c r="AM425" s="70">
        <v>5</v>
      </c>
      <c r="AN425" s="70">
        <v>0</v>
      </c>
      <c r="AO425" s="86">
        <v>0</v>
      </c>
      <c r="AP425" s="70">
        <v>0</v>
      </c>
      <c r="AQ425" s="70">
        <v>0</v>
      </c>
      <c r="AR425" s="70">
        <v>0</v>
      </c>
      <c r="AS425" s="86">
        <v>0</v>
      </c>
      <c r="AT425" s="70">
        <v>0</v>
      </c>
      <c r="AU425" s="70">
        <v>0</v>
      </c>
      <c r="AV425" s="70">
        <v>0</v>
      </c>
      <c r="AW425" s="86">
        <v>0</v>
      </c>
      <c r="AX425" s="70">
        <v>0</v>
      </c>
      <c r="AY425" s="233"/>
      <c r="AZ425" s="4"/>
      <c r="BA425" s="35">
        <f ca="1">IF(OR(S425="North America",S425="Rocky Mountain"), "Widespread",BC425)</f>
        <v>2034.5128014260249</v>
      </c>
      <c r="BB425" s="4"/>
      <c r="BC425" s="35">
        <f ca="1">IF(BE425&gt;2046, "Abundant",BE425)</f>
        <v>2034.5128014260249</v>
      </c>
      <c r="BD425" s="4"/>
      <c r="BE425" s="81">
        <f ca="1">YEAR($C$13)+(BG425*80)</f>
        <v>2034.5128014260249</v>
      </c>
      <c r="BF425" s="4"/>
      <c r="BG425" s="137">
        <f ca="1">BH425*$BH$14</f>
        <v>0.19391001782531192</v>
      </c>
      <c r="BH425" s="137">
        <f ca="1">(((BJ425+BK425+BM425+BN425)/4)*$BM$11)+(((BP425+BQ425)/2)*$BQ$11)+(((BU425+BV425+BW425)/3)*$BU$11)+(((BY425+BZ425+CA425+CB425+CC425)/5)*$CA$11)</f>
        <v>0.19391001782531192</v>
      </c>
      <c r="BI425" s="4"/>
      <c r="BJ425" s="33">
        <f>AP425/(AM425+AO425)</f>
        <v>0</v>
      </c>
      <c r="BK425" s="33">
        <f>(AN425+AO425)/(AM425+AO425)</f>
        <v>0</v>
      </c>
      <c r="BL425" s="4"/>
      <c r="BM425" s="127">
        <f>CF425/102</f>
        <v>0.15686274509803921</v>
      </c>
      <c r="BN425" s="127">
        <f>C425/2</f>
        <v>0.5</v>
      </c>
      <c r="BO425" s="4"/>
      <c r="BP425" s="127">
        <f>(AK425)/($AW$6)</f>
        <v>0.15151515151515152</v>
      </c>
      <c r="BQ425" s="127">
        <f ca="1">(CH425-$AW$4)/((YEAR($C$13))-$AW$4)</f>
        <v>0</v>
      </c>
      <c r="BR425" s="127">
        <f>(AL425)/($AW$6)</f>
        <v>0</v>
      </c>
      <c r="BS425" s="4"/>
      <c r="BT425" s="127"/>
      <c r="BU425" s="127">
        <f ca="1">(CG425-$AW$4)/((YEAR($C$13))-$AW$4)</f>
        <v>0</v>
      </c>
      <c r="BV425" s="127">
        <f>AE425/5</f>
        <v>1</v>
      </c>
      <c r="BW425" s="127">
        <f>AF425/5</f>
        <v>1</v>
      </c>
      <c r="BX425" s="4"/>
      <c r="BY425" s="148" t="str">
        <f>IF(E425="A",".98",IF(E425="B",".99",IF(E425="C","1.00",IF(E425="D","1.00" ))))</f>
        <v>1.00</v>
      </c>
      <c r="BZ425" s="127">
        <f>(CE425+7)/10</f>
        <v>1</v>
      </c>
      <c r="CA425" s="76" t="str">
        <f>IF(D425="Fern",".97",IF(D425="Grass",".99",IF(D425="Herb",".97",IF(D425="Shrub",".99",IF(D425="Tree","1.00",IF(D425="Vine",".98"))))))</f>
        <v>.97</v>
      </c>
      <c r="CB425" s="149" t="str">
        <f>IF(R425="Bogs Ponds Streams",".96", IF(R425="Coastal Areas",".97",IF(R425="Meadows Dry Open",".96",IF(R425="Forest &amp; Understory",".97",IF(R425="Moist Open",".98",IF(R425="Moist Shady",".96",IF(R425="Sub-Alpine","1.0")))))))</f>
        <v>.96</v>
      </c>
      <c r="CC425" s="76" t="str">
        <f>IF(S425="Local Endemic",".50",IF(S425="Regional Endemic",".70",IF(S425="Cascadia",".90",IF(S425="Rocky Mountain",".95",IF(S425="North America",".99")))))</f>
        <v>.90</v>
      </c>
      <c r="CD425" s="4"/>
      <c r="CE425" s="21">
        <f>IF(W425&gt;3,3,W425)</f>
        <v>3</v>
      </c>
      <c r="CF425" s="21">
        <f>IF(AC425&gt;102,102,AC425)</f>
        <v>16</v>
      </c>
      <c r="CG425" s="34">
        <f>IF(AI425&lt;$AW$4,$AW$4,AI425)</f>
        <v>2004</v>
      </c>
      <c r="CH425" s="34">
        <f>IF(AJ425&lt;$AW$4,$AW$4,AJ425)</f>
        <v>2004</v>
      </c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12"/>
    </row>
    <row r="426" spans="1:115" s="13" customFormat="1" ht="15" customHeight="1" x14ac:dyDescent="0.3">
      <c r="A426" s="235"/>
      <c r="B426" s="218"/>
      <c r="C426" s="226">
        <v>2</v>
      </c>
      <c r="D426" s="104" t="s">
        <v>2505</v>
      </c>
      <c r="E426" s="104" t="s">
        <v>2501</v>
      </c>
      <c r="F426" s="400" t="str">
        <f ca="1">IF(BC426&lt;2025, "Extinct&lt; 6Yrs?",BA426)</f>
        <v>Widespread</v>
      </c>
      <c r="G426" s="369" t="s">
        <v>525</v>
      </c>
      <c r="H426" s="369" t="s">
        <v>4028</v>
      </c>
      <c r="I426" s="370" t="s">
        <v>3078</v>
      </c>
      <c r="J426" s="371" t="s">
        <v>3763</v>
      </c>
      <c r="K426" s="371" t="s">
        <v>1003</v>
      </c>
      <c r="L426" s="106" t="s">
        <v>1498</v>
      </c>
      <c r="M426" s="111" t="s">
        <v>4502</v>
      </c>
      <c r="N426" s="111" t="s">
        <v>5399</v>
      </c>
      <c r="O426" s="111" t="s">
        <v>6296</v>
      </c>
      <c r="P426" s="105" t="s">
        <v>115</v>
      </c>
      <c r="Q426" s="104" t="s">
        <v>2552</v>
      </c>
      <c r="R426" s="105" t="s">
        <v>2498</v>
      </c>
      <c r="S426" s="105" t="s">
        <v>2495</v>
      </c>
      <c r="T426" s="133" t="str">
        <f>IF(R426="Bogs Ponds Streams","20",IF(R426="Coastal Areas","26",IF(R426="Meadows Dry Open","10",IF(R426="Forest &amp; Understory","14",IF(R426="Moist Open","12",IF(R426="Moist Shady","10",IF(R426="Sub-Alpine Slopes","0")))))))</f>
        <v>10</v>
      </c>
      <c r="U426" s="133" t="str">
        <f>IF(R426="Bogs Ponds Streams","52",IF(R426="Coastal Areas","51",IF(R426="Meadows Dry Open","53",IF(R426="Forest &amp; Understory","52",IF(R426="Moist Open","50",IF(R426="Moist Shady","46",IF(R426="Sub-Alpine Slopes","40")))))))</f>
        <v>46</v>
      </c>
      <c r="V426" s="133" t="str">
        <f>IF(R426="Bogs Ponds Streams","84",IF(R426="Coastal Areas","76",IF(R426="Meadows Dry Open","96", IF(R426="Forest &amp; Understory","90", IF(R426="Moist Open","88", IF(R426="Moist Shady","82", IF(R426="Sub-Alpine Slopes","80")))))))</f>
        <v>82</v>
      </c>
      <c r="W426" s="104">
        <v>20</v>
      </c>
      <c r="X426" s="104">
        <v>0</v>
      </c>
      <c r="Y426" s="104">
        <v>3500</v>
      </c>
      <c r="Z426" s="104" t="s">
        <v>2519</v>
      </c>
      <c r="AA426" s="104" t="s">
        <v>2518</v>
      </c>
      <c r="AB426" s="104">
        <v>6.8</v>
      </c>
      <c r="AC426" s="107">
        <f>C426+AK426+(0.1)*AL426</f>
        <v>36.1</v>
      </c>
      <c r="AD426" s="113">
        <v>20</v>
      </c>
      <c r="AE426" s="104">
        <v>5</v>
      </c>
      <c r="AF426" s="104">
        <v>5</v>
      </c>
      <c r="AG426" s="104">
        <v>1900</v>
      </c>
      <c r="AH426" s="113">
        <v>0</v>
      </c>
      <c r="AI426" s="104">
        <f>AJ426</f>
        <v>2018</v>
      </c>
      <c r="AJ426" s="108">
        <v>2018</v>
      </c>
      <c r="AK426" s="108">
        <v>33</v>
      </c>
      <c r="AL426" s="108">
        <v>11</v>
      </c>
      <c r="AM426" s="109">
        <v>5</v>
      </c>
      <c r="AN426" s="108">
        <v>1</v>
      </c>
      <c r="AO426" s="108">
        <v>0</v>
      </c>
      <c r="AP426" s="108">
        <v>0</v>
      </c>
      <c r="AQ426" s="109">
        <v>0</v>
      </c>
      <c r="AR426" s="109">
        <v>0</v>
      </c>
      <c r="AS426" s="110">
        <v>0</v>
      </c>
      <c r="AT426" s="109">
        <v>0</v>
      </c>
      <c r="AU426" s="109">
        <v>0</v>
      </c>
      <c r="AV426" s="109">
        <v>0</v>
      </c>
      <c r="AW426" s="110">
        <v>0</v>
      </c>
      <c r="AX426" s="109">
        <v>0</v>
      </c>
      <c r="AY426" s="233"/>
      <c r="AZ426" s="4"/>
      <c r="BA426" s="35" t="str">
        <f>IF(OR(S426="North America",S426="Rocky Mountain"), "Widespread",BC426)</f>
        <v>Widespread</v>
      </c>
      <c r="BB426" s="4"/>
      <c r="BC426" s="35" t="str">
        <f ca="1">IF(BE426&gt;2046, "Abundant",BE426)</f>
        <v>Abundant</v>
      </c>
      <c r="BD426" s="4"/>
      <c r="BE426" s="81">
        <f ca="1">YEAR($C$13)+(BG426*80)</f>
        <v>2060.6792366013074</v>
      </c>
      <c r="BF426" s="4"/>
      <c r="BG426" s="137">
        <f ca="1">BH426*$BH$14</f>
        <v>0.52099045751633988</v>
      </c>
      <c r="BH426" s="137">
        <f ca="1">(((BJ426+BK426+BM426+BN426)/4)*$BM$11)+(((BP426+BQ426)/2)*$BQ$11)+(((BU426+BV426+BW426)/3)*$BU$11)+(((BY426+BZ426+CA426+CB426+CC426)/5)*$CA$11)</f>
        <v>0.52099045751633988</v>
      </c>
      <c r="BI426" s="4"/>
      <c r="BJ426" s="33">
        <f>AP426/(AM426+AO426)</f>
        <v>0</v>
      </c>
      <c r="BK426" s="33">
        <f>(AN426+AO426)/(AM426+AO426)</f>
        <v>0.2</v>
      </c>
      <c r="BL426" s="4"/>
      <c r="BM426" s="127">
        <f>CF426/102</f>
        <v>0.353921568627451</v>
      </c>
      <c r="BN426" s="127">
        <f>C426/2</f>
        <v>1</v>
      </c>
      <c r="BO426" s="4"/>
      <c r="BP426" s="127">
        <f>(AK426)/($AW$6)</f>
        <v>0.33333333333333331</v>
      </c>
      <c r="BQ426" s="127">
        <f ca="1">(CH426-$AW$4)/((YEAR($C$13))-$AW$4)</f>
        <v>0.93333333333333335</v>
      </c>
      <c r="BR426" s="127">
        <f>(AL426)/($AW$6)</f>
        <v>0.1111111111111111</v>
      </c>
      <c r="BS426" s="4"/>
      <c r="BT426" s="127"/>
      <c r="BU426" s="127">
        <f ca="1">(CG426-$AW$4)/((YEAR($C$13))-$AW$4)</f>
        <v>0.93333333333333335</v>
      </c>
      <c r="BV426" s="127">
        <f>AE426/5</f>
        <v>1</v>
      </c>
      <c r="BW426" s="127">
        <f>AF426/5</f>
        <v>1</v>
      </c>
      <c r="BX426" s="4"/>
      <c r="BY426" s="148" t="str">
        <f>IF(E426="A",".98",IF(E426="B",".99",IF(E426="C","1.00",IF(E426="D","1.00" ))))</f>
        <v>1.00</v>
      </c>
      <c r="BZ426" s="127">
        <f>(CE426+7)/10</f>
        <v>1</v>
      </c>
      <c r="CA426" s="76" t="str">
        <f>IF(D426="Fern",".97",IF(D426="Grass",".99",IF(D426="Herb",".97",IF(D426="Shrub",".99",IF(D426="Tree","1.00",IF(D426="Vine",".98"))))))</f>
        <v>.97</v>
      </c>
      <c r="CB426" s="149" t="str">
        <f>IF(R426="Bogs Ponds Streams",".96", IF(R426="Coastal Areas",".97",IF(R426="Meadows Dry Open",".96",IF(R426="Forest &amp; Understory",".97",IF(R426="Moist Open",".98",IF(R426="Moist Shady",".96",IF(R426="Sub-Alpine","1.0")))))))</f>
        <v>.96</v>
      </c>
      <c r="CC426" s="76" t="str">
        <f>IF(S426="Local Endemic",".50",IF(S426="Regional Endemic",".70",IF(S426="Cascadia",".90",IF(S426="Rocky Mountain",".95",IF(S426="North America",".99")))))</f>
        <v>.99</v>
      </c>
      <c r="CD426" s="4"/>
      <c r="CE426" s="21">
        <f>IF(W426&gt;3,3,W426)</f>
        <v>3</v>
      </c>
      <c r="CF426" s="21">
        <f>IF(AC426&gt;102,102,AC426)</f>
        <v>36.1</v>
      </c>
      <c r="CG426" s="34">
        <f>IF(AI426&lt;$AW$4,$AW$4,AI426)</f>
        <v>2018</v>
      </c>
      <c r="CH426" s="34">
        <f>IF(AJ426&lt;$AW$4,$AW$4,AJ426)</f>
        <v>2018</v>
      </c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12"/>
    </row>
    <row r="427" spans="1:115" s="13" customFormat="1" ht="15" customHeight="1" x14ac:dyDescent="0.3">
      <c r="A427" s="235"/>
      <c r="B427" s="218"/>
      <c r="C427" s="375">
        <v>1</v>
      </c>
      <c r="D427" s="67" t="s">
        <v>2505</v>
      </c>
      <c r="E427" s="67" t="s">
        <v>2501</v>
      </c>
      <c r="F427" s="403" t="str">
        <f ca="1">IF(BC427&lt;2025, "Extinct&lt; 6Yrs?",BA427)</f>
        <v>Widespread</v>
      </c>
      <c r="G427" s="376" t="s">
        <v>525</v>
      </c>
      <c r="H427" s="376" t="s">
        <v>4028</v>
      </c>
      <c r="I427" s="379" t="s">
        <v>2657</v>
      </c>
      <c r="J427" s="378" t="s">
        <v>3594</v>
      </c>
      <c r="K427" s="378" t="s">
        <v>1004</v>
      </c>
      <c r="L427" s="65" t="s">
        <v>1499</v>
      </c>
      <c r="M427" s="64" t="s">
        <v>4503</v>
      </c>
      <c r="N427" s="64" t="s">
        <v>5400</v>
      </c>
      <c r="O427" s="64" t="s">
        <v>6297</v>
      </c>
      <c r="P427" s="404" t="s">
        <v>115</v>
      </c>
      <c r="Q427" s="67" t="s">
        <v>2552</v>
      </c>
      <c r="R427" s="61" t="s">
        <v>2498</v>
      </c>
      <c r="S427" s="61" t="s">
        <v>2495</v>
      </c>
      <c r="T427" s="134" t="str">
        <f>IF(R427="Bogs Ponds Streams","20",IF(R427="Coastal Areas","26",IF(R427="Meadows Dry Open","10",IF(R427="Forest &amp; Understory","14",IF(R427="Moist Open","12",IF(R427="Moist Shady","10",IF(R427="Sub-Alpine Slopes","0")))))))</f>
        <v>10</v>
      </c>
      <c r="U427" s="134" t="str">
        <f>IF(R427="Bogs Ponds Streams","52",IF(R427="Coastal Areas","51",IF(R427="Meadows Dry Open","53",IF(R427="Forest &amp; Understory","52",IF(R427="Moist Open","50",IF(R427="Moist Shady","46",IF(R427="Sub-Alpine Slopes","40")))))))</f>
        <v>46</v>
      </c>
      <c r="V427" s="134" t="str">
        <f>IF(R427="Bogs Ponds Streams","84",IF(R427="Coastal Areas","76",IF(R427="Meadows Dry Open","96", IF(R427="Forest &amp; Understory","90", IF(R427="Moist Open","88", IF(R427="Moist Shady","82", IF(R427="Sub-Alpine Slopes","80")))))))</f>
        <v>82</v>
      </c>
      <c r="W427" s="67">
        <v>20</v>
      </c>
      <c r="X427" s="67">
        <v>0</v>
      </c>
      <c r="Y427" s="67">
        <v>3500</v>
      </c>
      <c r="Z427" s="67" t="s">
        <v>2519</v>
      </c>
      <c r="AA427" s="67" t="s">
        <v>2518</v>
      </c>
      <c r="AB427" s="67">
        <v>6.8</v>
      </c>
      <c r="AC427" s="85">
        <f>C427+AK427+(0.1)*AL427</f>
        <v>3.1</v>
      </c>
      <c r="AD427" s="78">
        <v>36</v>
      </c>
      <c r="AE427" s="67">
        <v>5</v>
      </c>
      <c r="AF427" s="67">
        <v>5</v>
      </c>
      <c r="AG427" s="67">
        <v>1900</v>
      </c>
      <c r="AH427" s="78">
        <v>0</v>
      </c>
      <c r="AI427" s="67">
        <f>AJ427</f>
        <v>2004</v>
      </c>
      <c r="AJ427" s="69">
        <v>2004</v>
      </c>
      <c r="AK427" s="69">
        <v>2</v>
      </c>
      <c r="AL427" s="69">
        <v>1</v>
      </c>
      <c r="AM427" s="70">
        <v>5</v>
      </c>
      <c r="AN427" s="70">
        <v>0</v>
      </c>
      <c r="AO427" s="86">
        <v>0</v>
      </c>
      <c r="AP427" s="70">
        <v>0</v>
      </c>
      <c r="AQ427" s="70">
        <v>0</v>
      </c>
      <c r="AR427" s="70">
        <v>0</v>
      </c>
      <c r="AS427" s="86">
        <v>0</v>
      </c>
      <c r="AT427" s="70">
        <v>0</v>
      </c>
      <c r="AU427" s="70">
        <v>0</v>
      </c>
      <c r="AV427" s="70">
        <v>0</v>
      </c>
      <c r="AW427" s="86">
        <v>0</v>
      </c>
      <c r="AX427" s="70">
        <v>0</v>
      </c>
      <c r="AY427" s="233"/>
      <c r="AZ427" s="4"/>
      <c r="BA427" s="35" t="str">
        <f>IF(OR(S427="North America",S427="Rocky Mountain"), "Widespread",BC427)</f>
        <v>Widespread</v>
      </c>
      <c r="BB427" s="4"/>
      <c r="BC427" s="35">
        <f ca="1">IF(BE427&gt;2046, "Abundant",BE427)</f>
        <v>2031.4481967914439</v>
      </c>
      <c r="BD427" s="4"/>
      <c r="BE427" s="81">
        <f ca="1">YEAR($C$13)+(BG427*80)</f>
        <v>2031.4481967914439</v>
      </c>
      <c r="BF427" s="4"/>
      <c r="BG427" s="137">
        <f ca="1">BH427*$BH$14</f>
        <v>0.15560245989304813</v>
      </c>
      <c r="BH427" s="137">
        <f ca="1">(((BJ427+BK427+BM427+BN427)/4)*$BM$11)+(((BP427+BQ427)/2)*$BQ$11)+(((BU427+BV427+BW427)/3)*$BU$11)+(((BY427+BZ427+CA427+CB427+CC427)/5)*$CA$11)</f>
        <v>0.15560245989304813</v>
      </c>
      <c r="BI427" s="4"/>
      <c r="BJ427" s="33">
        <f>AP427/(AM427+AO427)</f>
        <v>0</v>
      </c>
      <c r="BK427" s="33">
        <f>(AN427+AO427)/(AM427+AO427)</f>
        <v>0</v>
      </c>
      <c r="BL427" s="4"/>
      <c r="BM427" s="127">
        <f>CF427/102</f>
        <v>3.0392156862745098E-2</v>
      </c>
      <c r="BN427" s="127">
        <f>C427/2</f>
        <v>0.5</v>
      </c>
      <c r="BO427" s="4"/>
      <c r="BP427" s="127">
        <f>(AK427)/($AW$6)</f>
        <v>2.0202020202020204E-2</v>
      </c>
      <c r="BQ427" s="127">
        <f ca="1">(CH427-$AW$4)/((YEAR($C$13))-$AW$4)</f>
        <v>0</v>
      </c>
      <c r="BR427" s="127">
        <f>(AL427)/($AW$6)</f>
        <v>1.0101010101010102E-2</v>
      </c>
      <c r="BS427" s="4"/>
      <c r="BT427" s="127"/>
      <c r="BU427" s="127">
        <f ca="1">(CG427-$AW$4)/((YEAR($C$13))-$AW$4)</f>
        <v>0</v>
      </c>
      <c r="BV427" s="127">
        <f>AE427/5</f>
        <v>1</v>
      </c>
      <c r="BW427" s="127">
        <f>AF427/5</f>
        <v>1</v>
      </c>
      <c r="BX427" s="4"/>
      <c r="BY427" s="148" t="str">
        <f>IF(E427="A",".98",IF(E427="B",".99",IF(E427="C","1.00",IF(E427="D","1.00" ))))</f>
        <v>1.00</v>
      </c>
      <c r="BZ427" s="127">
        <f>(CE427+7)/10</f>
        <v>1</v>
      </c>
      <c r="CA427" s="76" t="str">
        <f>IF(D427="Fern",".97",IF(D427="Grass",".99",IF(D427="Herb",".97",IF(D427="Shrub",".99",IF(D427="Tree","1.00",IF(D427="Vine",".98"))))))</f>
        <v>.97</v>
      </c>
      <c r="CB427" s="149" t="str">
        <f>IF(R427="Bogs Ponds Streams",".96", IF(R427="Coastal Areas",".97",IF(R427="Meadows Dry Open",".96",IF(R427="Forest &amp; Understory",".97",IF(R427="Moist Open",".98",IF(R427="Moist Shady",".96",IF(R427="Sub-Alpine","1.0")))))))</f>
        <v>.96</v>
      </c>
      <c r="CC427" s="76" t="str">
        <f>IF(S427="Local Endemic",".50",IF(S427="Regional Endemic",".70",IF(S427="Cascadia",".90",IF(S427="Rocky Mountain",".95",IF(S427="North America",".99")))))</f>
        <v>.99</v>
      </c>
      <c r="CD427" s="4"/>
      <c r="CE427" s="21">
        <f>IF(W427&gt;3,3,W427)</f>
        <v>3</v>
      </c>
      <c r="CF427" s="21">
        <f>IF(AC427&gt;102,102,AC427)</f>
        <v>3.1</v>
      </c>
      <c r="CG427" s="34">
        <f>IF(AI427&lt;$AW$4,$AW$4,AI427)</f>
        <v>2004</v>
      </c>
      <c r="CH427" s="34">
        <f>IF(AJ427&lt;$AW$4,$AW$4,AJ427)</f>
        <v>2004</v>
      </c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12"/>
    </row>
    <row r="428" spans="1:115" s="13" customFormat="1" ht="15" customHeight="1" x14ac:dyDescent="0.3">
      <c r="A428" s="235"/>
      <c r="B428" s="218"/>
      <c r="C428" s="375">
        <v>1</v>
      </c>
      <c r="D428" s="67" t="s">
        <v>2505</v>
      </c>
      <c r="E428" s="67" t="s">
        <v>2501</v>
      </c>
      <c r="F428" s="403">
        <f ca="1">IF(BC428&lt;2025, "Extinct&lt; 6Yrs?",BA428)</f>
        <v>2033.5573647058823</v>
      </c>
      <c r="G428" s="376" t="s">
        <v>525</v>
      </c>
      <c r="H428" s="376" t="s">
        <v>4028</v>
      </c>
      <c r="I428" s="380" t="s">
        <v>425</v>
      </c>
      <c r="J428" s="378" t="s">
        <v>3593</v>
      </c>
      <c r="K428" s="378" t="s">
        <v>340</v>
      </c>
      <c r="L428" s="63" t="s">
        <v>1500</v>
      </c>
      <c r="M428" s="64" t="s">
        <v>4504</v>
      </c>
      <c r="N428" s="64" t="s">
        <v>5401</v>
      </c>
      <c r="O428" s="64" t="s">
        <v>6298</v>
      </c>
      <c r="P428" s="61" t="s">
        <v>115</v>
      </c>
      <c r="Q428" s="67" t="s">
        <v>2552</v>
      </c>
      <c r="R428" s="61" t="s">
        <v>2499</v>
      </c>
      <c r="S428" s="61" t="s">
        <v>2459</v>
      </c>
      <c r="T428" s="134" t="str">
        <f>IF(R428="Bogs Ponds Streams","20",IF(R428="Coastal Areas","26",IF(R428="Meadows Dry Open","10",IF(R428="Forest &amp; Understory","14",IF(R428="Moist Open","12",IF(R428="Moist Shady","10",IF(R428="Sub-Alpine Slopes","0")))))))</f>
        <v>20</v>
      </c>
      <c r="U428" s="134" t="str">
        <f>IF(R428="Bogs Ponds Streams","52",IF(R428="Coastal Areas","51",IF(R428="Meadows Dry Open","53",IF(R428="Forest &amp; Understory","52",IF(R428="Moist Open","50",IF(R428="Moist Shady","46",IF(R428="Sub-Alpine Slopes","40")))))))</f>
        <v>52</v>
      </c>
      <c r="V428" s="134" t="str">
        <f>IF(R428="Bogs Ponds Streams","84",IF(R428="Coastal Areas","76",IF(R428="Meadows Dry Open","96", IF(R428="Forest &amp; Understory","90", IF(R428="Moist Open","88", IF(R428="Moist Shady","82", IF(R428="Sub-Alpine Slopes","80")))))))</f>
        <v>84</v>
      </c>
      <c r="W428" s="67">
        <v>20</v>
      </c>
      <c r="X428" s="67">
        <v>0</v>
      </c>
      <c r="Y428" s="67">
        <v>3500</v>
      </c>
      <c r="Z428" s="67" t="s">
        <v>2519</v>
      </c>
      <c r="AA428" s="67" t="s">
        <v>2518</v>
      </c>
      <c r="AB428" s="67">
        <v>6.8</v>
      </c>
      <c r="AC428" s="85">
        <f>C428+AK428+(0.1)*AL428</f>
        <v>12</v>
      </c>
      <c r="AD428" s="78">
        <v>16</v>
      </c>
      <c r="AE428" s="67">
        <v>5</v>
      </c>
      <c r="AF428" s="67">
        <v>5</v>
      </c>
      <c r="AG428" s="67">
        <v>1900</v>
      </c>
      <c r="AH428" s="78">
        <v>0</v>
      </c>
      <c r="AI428" s="67">
        <f>AJ428</f>
        <v>2004</v>
      </c>
      <c r="AJ428" s="69">
        <v>2004</v>
      </c>
      <c r="AK428" s="69">
        <v>11</v>
      </c>
      <c r="AL428" s="69">
        <v>0</v>
      </c>
      <c r="AM428" s="70">
        <v>5</v>
      </c>
      <c r="AN428" s="70">
        <v>0</v>
      </c>
      <c r="AO428" s="86">
        <v>0</v>
      </c>
      <c r="AP428" s="70">
        <v>0</v>
      </c>
      <c r="AQ428" s="70">
        <v>0</v>
      </c>
      <c r="AR428" s="70">
        <v>0</v>
      </c>
      <c r="AS428" s="86">
        <v>0</v>
      </c>
      <c r="AT428" s="70">
        <v>0</v>
      </c>
      <c r="AU428" s="70">
        <v>0</v>
      </c>
      <c r="AV428" s="70">
        <v>0</v>
      </c>
      <c r="AW428" s="86">
        <v>0</v>
      </c>
      <c r="AX428" s="70">
        <v>0</v>
      </c>
      <c r="AY428" s="233"/>
      <c r="AZ428" s="4"/>
      <c r="BA428" s="35">
        <f ca="1">IF(OR(S428="North America",S428="Rocky Mountain"), "Widespread",BC428)</f>
        <v>2033.5573647058823</v>
      </c>
      <c r="BB428" s="4"/>
      <c r="BC428" s="35">
        <f ca="1">IF(BE428&gt;2046, "Abundant",BE428)</f>
        <v>2033.5573647058823</v>
      </c>
      <c r="BD428" s="4"/>
      <c r="BE428" s="81">
        <f ca="1">YEAR($C$13)+(BG428*80)</f>
        <v>2033.5573647058823</v>
      </c>
      <c r="BF428" s="4"/>
      <c r="BG428" s="137">
        <f ca="1">BH428*$BH$14</f>
        <v>0.18196705882352943</v>
      </c>
      <c r="BH428" s="137">
        <f ca="1">(((BJ428+BK428+BM428+BN428)/4)*$BM$11)+(((BP428+BQ428)/2)*$BQ$11)+(((BU428+BV428+BW428)/3)*$BU$11)+(((BY428+BZ428+CA428+CB428+CC428)/5)*$CA$11)</f>
        <v>0.18196705882352943</v>
      </c>
      <c r="BI428" s="4"/>
      <c r="BJ428" s="33">
        <f>AP428/(AM428+AO428)</f>
        <v>0</v>
      </c>
      <c r="BK428" s="33">
        <f>(AN428+AO428)/(AM428+AO428)</f>
        <v>0</v>
      </c>
      <c r="BL428" s="4"/>
      <c r="BM428" s="127">
        <f>CF428/102</f>
        <v>0.11764705882352941</v>
      </c>
      <c r="BN428" s="127">
        <f>C428/2</f>
        <v>0.5</v>
      </c>
      <c r="BO428" s="4"/>
      <c r="BP428" s="127">
        <f>(AK428)/($AW$6)</f>
        <v>0.1111111111111111</v>
      </c>
      <c r="BQ428" s="127">
        <f ca="1">(CH428-$AW$4)/((YEAR($C$13))-$AW$4)</f>
        <v>0</v>
      </c>
      <c r="BR428" s="127">
        <f>(AL428)/($AW$6)</f>
        <v>0</v>
      </c>
      <c r="BS428" s="4"/>
      <c r="BT428" s="127"/>
      <c r="BU428" s="127">
        <f ca="1">(CG428-$AW$4)/((YEAR($C$13))-$AW$4)</f>
        <v>0</v>
      </c>
      <c r="BV428" s="127">
        <f>AE428/5</f>
        <v>1</v>
      </c>
      <c r="BW428" s="127">
        <f>AF428/5</f>
        <v>1</v>
      </c>
      <c r="BX428" s="4"/>
      <c r="BY428" s="148" t="str">
        <f>IF(E428="A",".98",IF(E428="B",".99",IF(E428="C","1.00",IF(E428="D","1.00" ))))</f>
        <v>1.00</v>
      </c>
      <c r="BZ428" s="127">
        <f>(CE428+7)/10</f>
        <v>1</v>
      </c>
      <c r="CA428" s="76" t="str">
        <f>IF(D428="Fern",".97",IF(D428="Grass",".99",IF(D428="Herb",".97",IF(D428="Shrub",".99",IF(D428="Tree","1.00",IF(D428="Vine",".98"))))))</f>
        <v>.97</v>
      </c>
      <c r="CB428" s="149" t="str">
        <f>IF(R428="Bogs Ponds Streams",".96", IF(R428="Coastal Areas",".97",IF(R428="Meadows Dry Open",".96",IF(R428="Forest &amp; Understory",".97",IF(R428="Moist Open",".98",IF(R428="Moist Shady",".96",IF(R428="Sub-Alpine","1.0")))))))</f>
        <v>.96</v>
      </c>
      <c r="CC428" s="76" t="str">
        <f>IF(S428="Local Endemic",".50",IF(S428="Regional Endemic",".70",IF(S428="Cascadia",".90",IF(S428="Rocky Mountain",".95",IF(S428="North America",".99")))))</f>
        <v>.90</v>
      </c>
      <c r="CD428" s="4"/>
      <c r="CE428" s="21">
        <f>IF(W428&gt;3,3,W428)</f>
        <v>3</v>
      </c>
      <c r="CF428" s="21">
        <f>IF(AC428&gt;102,102,AC428)</f>
        <v>12</v>
      </c>
      <c r="CG428" s="34">
        <f>IF(AI428&lt;$AW$4,$AW$4,AI428)</f>
        <v>2004</v>
      </c>
      <c r="CH428" s="34">
        <f>IF(AJ428&lt;$AW$4,$AW$4,AJ428)</f>
        <v>2004</v>
      </c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12"/>
    </row>
    <row r="429" spans="1:115" s="13" customFormat="1" ht="15" customHeight="1" x14ac:dyDescent="0.3">
      <c r="A429" s="235"/>
      <c r="B429" s="218"/>
      <c r="C429" s="375">
        <v>1</v>
      </c>
      <c r="D429" s="67" t="s">
        <v>2505</v>
      </c>
      <c r="E429" s="67" t="s">
        <v>2501</v>
      </c>
      <c r="F429" s="403" t="str">
        <f ca="1">IF(BC429&lt;2025, "Extinct&lt; 6Yrs?",BA429)</f>
        <v>Widespread</v>
      </c>
      <c r="G429" s="376" t="s">
        <v>525</v>
      </c>
      <c r="H429" s="376" t="s">
        <v>4028</v>
      </c>
      <c r="I429" s="379" t="s">
        <v>2658</v>
      </c>
      <c r="J429" s="378" t="s">
        <v>3592</v>
      </c>
      <c r="K429" s="378" t="s">
        <v>2779</v>
      </c>
      <c r="L429" s="65" t="s">
        <v>3591</v>
      </c>
      <c r="M429" s="64" t="s">
        <v>4505</v>
      </c>
      <c r="N429" s="64" t="s">
        <v>5402</v>
      </c>
      <c r="O429" s="64" t="s">
        <v>6299</v>
      </c>
      <c r="P429" s="61" t="s">
        <v>115</v>
      </c>
      <c r="Q429" s="67" t="s">
        <v>2552</v>
      </c>
      <c r="R429" s="163" t="s">
        <v>2497</v>
      </c>
      <c r="S429" s="65" t="s">
        <v>2495</v>
      </c>
      <c r="T429" s="134" t="str">
        <f>IF(R429="Bogs Ponds Streams","20",IF(R429="Coastal Areas","26",IF(R429="Meadows Dry Open","10",IF(R429="Forest &amp; Understory","14",IF(R429="Moist Open","12",IF(R429="Moist Shady","10",IF(R429="Sub-Alpine Slopes","0")))))))</f>
        <v>12</v>
      </c>
      <c r="U429" s="134" t="str">
        <f>IF(R429="Bogs Ponds Streams","52",IF(R429="Coastal Areas","51",IF(R429="Meadows Dry Open","53",IF(R429="Forest &amp; Understory","52",IF(R429="Moist Open","50",IF(R429="Moist Shady","46",IF(R429="Sub-Alpine Slopes","40")))))))</f>
        <v>50</v>
      </c>
      <c r="V429" s="134" t="str">
        <f>IF(R429="Bogs Ponds Streams","84",IF(R429="Coastal Areas","76",IF(R429="Meadows Dry Open","96", IF(R429="Forest &amp; Understory","90", IF(R429="Moist Open","88", IF(R429="Moist Shady","82", IF(R429="Sub-Alpine Slopes","80")))))))</f>
        <v>88</v>
      </c>
      <c r="W429" s="67">
        <v>20</v>
      </c>
      <c r="X429" s="67">
        <v>0</v>
      </c>
      <c r="Y429" s="67">
        <v>3500</v>
      </c>
      <c r="Z429" s="67" t="s">
        <v>2519</v>
      </c>
      <c r="AA429" s="67" t="s">
        <v>2518</v>
      </c>
      <c r="AB429" s="67">
        <v>6.8</v>
      </c>
      <c r="AC429" s="85">
        <f>C429+AK429+(0.1)*AL429</f>
        <v>2.2000000000000002</v>
      </c>
      <c r="AD429" s="78">
        <v>288</v>
      </c>
      <c r="AE429" s="67">
        <v>5</v>
      </c>
      <c r="AF429" s="67">
        <v>5</v>
      </c>
      <c r="AG429" s="67">
        <v>1900</v>
      </c>
      <c r="AH429" s="78">
        <v>0</v>
      </c>
      <c r="AI429" s="67">
        <f>AJ429</f>
        <v>2004</v>
      </c>
      <c r="AJ429" s="69">
        <v>2004</v>
      </c>
      <c r="AK429" s="69">
        <v>1</v>
      </c>
      <c r="AL429" s="69">
        <v>2</v>
      </c>
      <c r="AM429" s="70">
        <v>5</v>
      </c>
      <c r="AN429" s="70">
        <v>0</v>
      </c>
      <c r="AO429" s="86">
        <v>0</v>
      </c>
      <c r="AP429" s="70">
        <v>0</v>
      </c>
      <c r="AQ429" s="70">
        <v>0</v>
      </c>
      <c r="AR429" s="70">
        <v>0</v>
      </c>
      <c r="AS429" s="86">
        <v>0</v>
      </c>
      <c r="AT429" s="70">
        <v>0</v>
      </c>
      <c r="AU429" s="70">
        <v>0</v>
      </c>
      <c r="AV429" s="70">
        <v>0</v>
      </c>
      <c r="AW429" s="86">
        <v>0</v>
      </c>
      <c r="AX429" s="70">
        <v>0</v>
      </c>
      <c r="AY429" s="233"/>
      <c r="AZ429" s="4"/>
      <c r="BA429" s="35" t="str">
        <f>IF(OR(S429="North America",S429="Rocky Mountain"), "Widespread",BC429)</f>
        <v>Widespread</v>
      </c>
      <c r="BB429" s="4"/>
      <c r="BC429" s="35">
        <f ca="1">IF(BE429&gt;2046, "Abundant",BE429)</f>
        <v>2031.2275023172906</v>
      </c>
      <c r="BD429" s="4"/>
      <c r="BE429" s="81">
        <f ca="1">YEAR($C$13)+(BG429*80)</f>
        <v>2031.2275023172906</v>
      </c>
      <c r="BF429" s="4"/>
      <c r="BG429" s="137">
        <f ca="1">BH429*$BH$14</f>
        <v>0.15284377896613188</v>
      </c>
      <c r="BH429" s="137">
        <f ca="1">(((BJ429+BK429+BM429+BN429)/4)*$BM$11)+(((BP429+BQ429)/2)*$BQ$11)+(((BU429+BV429+BW429)/3)*$BU$11)+(((BY429+BZ429+CA429+CB429+CC429)/5)*$CA$11)</f>
        <v>0.15284377896613188</v>
      </c>
      <c r="BI429" s="4"/>
      <c r="BJ429" s="33">
        <f>AP429/(AM429+AO429)</f>
        <v>0</v>
      </c>
      <c r="BK429" s="33">
        <f>(AN429+AO429)/(AM429+AO429)</f>
        <v>0</v>
      </c>
      <c r="BL429" s="4"/>
      <c r="BM429" s="127">
        <f>CF429/102</f>
        <v>2.1568627450980395E-2</v>
      </c>
      <c r="BN429" s="127">
        <f>C429/2</f>
        <v>0.5</v>
      </c>
      <c r="BO429" s="4"/>
      <c r="BP429" s="127">
        <f>(AK429)/($AW$6)</f>
        <v>1.0101010101010102E-2</v>
      </c>
      <c r="BQ429" s="127">
        <f ca="1">(CH429-$AW$4)/((YEAR($C$13))-$AW$4)</f>
        <v>0</v>
      </c>
      <c r="BR429" s="127">
        <f>(AL429)/($AW$6)</f>
        <v>2.0202020202020204E-2</v>
      </c>
      <c r="BS429" s="4"/>
      <c r="BT429" s="127"/>
      <c r="BU429" s="127">
        <f ca="1">(CG429-$AW$4)/((YEAR($C$13))-$AW$4)</f>
        <v>0</v>
      </c>
      <c r="BV429" s="127">
        <f>AE429/5</f>
        <v>1</v>
      </c>
      <c r="BW429" s="127">
        <f>AF429/5</f>
        <v>1</v>
      </c>
      <c r="BX429" s="4"/>
      <c r="BY429" s="148" t="str">
        <f>IF(E429="A",".98",IF(E429="B",".99",IF(E429="C","1.00",IF(E429="D","1.00" ))))</f>
        <v>1.00</v>
      </c>
      <c r="BZ429" s="127">
        <f>(CE429+7)/10</f>
        <v>1</v>
      </c>
      <c r="CA429" s="76" t="str">
        <f>IF(D429="Fern",".97",IF(D429="Grass",".99",IF(D429="Herb",".97",IF(D429="Shrub",".99",IF(D429="Tree","1.00",IF(D429="Vine",".98"))))))</f>
        <v>.97</v>
      </c>
      <c r="CB429" s="149" t="str">
        <f>IF(R429="Bogs Ponds Streams",".96", IF(R429="Coastal Areas",".97",IF(R429="Meadows Dry Open",".96",IF(R429="Forest &amp; Understory",".97",IF(R429="Moist Open",".98",IF(R429="Moist Shady",".96",IF(R429="Sub-Alpine","1.0")))))))</f>
        <v>.98</v>
      </c>
      <c r="CC429" s="76" t="str">
        <f>IF(S429="Local Endemic",".50",IF(S429="Regional Endemic",".70",IF(S429="Cascadia",".90",IF(S429="Rocky Mountain",".95",IF(S429="North America",".99")))))</f>
        <v>.99</v>
      </c>
      <c r="CD429" s="4"/>
      <c r="CE429" s="21">
        <f>IF(W429&gt;3,3,W429)</f>
        <v>3</v>
      </c>
      <c r="CF429" s="21">
        <f>IF(AC429&gt;102,102,AC429)</f>
        <v>2.2000000000000002</v>
      </c>
      <c r="CG429" s="34">
        <f>IF(AI429&lt;$AW$4,$AW$4,AI429)</f>
        <v>2004</v>
      </c>
      <c r="CH429" s="34">
        <f>IF(AJ429&lt;$AW$4,$AW$4,AJ429)</f>
        <v>2004</v>
      </c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12"/>
    </row>
    <row r="430" spans="1:115" s="13" customFormat="1" ht="15" customHeight="1" x14ac:dyDescent="0.3">
      <c r="A430" s="235"/>
      <c r="B430" s="218"/>
      <c r="C430" s="225">
        <v>8</v>
      </c>
      <c r="D430" s="59" t="s">
        <v>2505</v>
      </c>
      <c r="E430" s="59" t="s">
        <v>2501</v>
      </c>
      <c r="F430" s="397" t="str">
        <f ca="1">IF(BC430&lt;2025, "Extinct&lt; 6Yrs?",BA430)</f>
        <v>Widespread</v>
      </c>
      <c r="G430" s="363" t="s">
        <v>525</v>
      </c>
      <c r="H430" s="363" t="s">
        <v>681</v>
      </c>
      <c r="I430" s="366" t="s">
        <v>421</v>
      </c>
      <c r="J430" s="365" t="s">
        <v>3379</v>
      </c>
      <c r="K430" s="365" t="s">
        <v>2780</v>
      </c>
      <c r="L430" s="10" t="s">
        <v>1501</v>
      </c>
      <c r="M430" s="8" t="s">
        <v>4506</v>
      </c>
      <c r="N430" s="8" t="s">
        <v>5403</v>
      </c>
      <c r="O430" s="8" t="s">
        <v>6300</v>
      </c>
      <c r="P430" s="9" t="s">
        <v>115</v>
      </c>
      <c r="Q430" s="59" t="s">
        <v>2552</v>
      </c>
      <c r="R430" s="9" t="s">
        <v>2498</v>
      </c>
      <c r="S430" s="9" t="s">
        <v>2495</v>
      </c>
      <c r="T430" s="123" t="str">
        <f>IF(R430="Bogs Ponds Streams","20",IF(R430="Coastal Areas","26",IF(R430="Meadows Dry Open","10",IF(R430="Forest &amp; Understory","14",IF(R430="Moist Open","12",IF(R430="Moist Shady","10",IF(R430="Sub-Alpine Slopes","0")))))))</f>
        <v>10</v>
      </c>
      <c r="U430" s="123" t="str">
        <f>IF(R430="Bogs Ponds Streams","52",IF(R430="Coastal Areas","51",IF(R430="Meadows Dry Open","53",IF(R430="Forest &amp; Understory","52",IF(R430="Moist Open","50",IF(R430="Moist Shady","46",IF(R430="Sub-Alpine Slopes","40")))))))</f>
        <v>46</v>
      </c>
      <c r="V430" s="123" t="str">
        <f>IF(R430="Bogs Ponds Streams","84",IF(R430="Coastal Areas","76",IF(R430="Meadows Dry Open","96", IF(R430="Forest &amp; Understory","90", IF(R430="Moist Open","88", IF(R430="Moist Shady","82", IF(R430="Sub-Alpine Slopes","80")))))))</f>
        <v>82</v>
      </c>
      <c r="W430" s="59">
        <v>20</v>
      </c>
      <c r="X430" s="59">
        <v>0</v>
      </c>
      <c r="Y430" s="59">
        <v>3500</v>
      </c>
      <c r="Z430" s="59" t="s">
        <v>2519</v>
      </c>
      <c r="AA430" s="59" t="s">
        <v>2518</v>
      </c>
      <c r="AB430" s="59">
        <v>6.8</v>
      </c>
      <c r="AC430" s="45">
        <f>C430+AK430+(0.1)*AL430</f>
        <v>67.3</v>
      </c>
      <c r="AD430" s="77">
        <v>318</v>
      </c>
      <c r="AE430" s="59">
        <v>5</v>
      </c>
      <c r="AF430" s="59">
        <v>5</v>
      </c>
      <c r="AG430" s="59">
        <v>1900</v>
      </c>
      <c r="AH430" s="77">
        <v>0</v>
      </c>
      <c r="AI430" s="59">
        <f ca="1">AJ430</f>
        <v>2019</v>
      </c>
      <c r="AJ430" s="18">
        <f ca="1">YEAR(TODAY())</f>
        <v>2019</v>
      </c>
      <c r="AK430" s="18">
        <v>55</v>
      </c>
      <c r="AL430" s="18">
        <v>43</v>
      </c>
      <c r="AM430" s="18">
        <v>1</v>
      </c>
      <c r="AN430" s="18">
        <v>1</v>
      </c>
      <c r="AO430" s="24">
        <v>1</v>
      </c>
      <c r="AP430" s="24">
        <v>0</v>
      </c>
      <c r="AQ430" s="18">
        <v>0</v>
      </c>
      <c r="AR430" s="18">
        <v>0</v>
      </c>
      <c r="AS430" s="18">
        <v>0</v>
      </c>
      <c r="AT430" s="18">
        <v>0</v>
      </c>
      <c r="AU430" s="18">
        <v>0</v>
      </c>
      <c r="AV430" s="18">
        <v>0</v>
      </c>
      <c r="AW430" s="18">
        <v>0</v>
      </c>
      <c r="AX430" s="18">
        <v>0</v>
      </c>
      <c r="AY430" s="233"/>
      <c r="AZ430" s="4"/>
      <c r="BA430" s="35" t="str">
        <f>IF(OR(S430="North America",S430="Rocky Mountain"), "Widespread",BC430)</f>
        <v>Widespread</v>
      </c>
      <c r="BB430" s="4"/>
      <c r="BC430" s="35" t="str">
        <f ca="1">IF(BE430&gt;2046, "Abundant",BE430)</f>
        <v>Abundant</v>
      </c>
      <c r="BD430" s="4"/>
      <c r="BE430" s="81">
        <f ca="1">YEAR($C$13)+(BG430*80)</f>
        <v>2113.5587137254902</v>
      </c>
      <c r="BF430" s="4"/>
      <c r="BG430" s="137">
        <f ca="1">BH430*$BH$14</f>
        <v>1.1819839215686274</v>
      </c>
      <c r="BH430" s="137">
        <f ca="1">(((BJ430+BK430+BM430+BN430)/4)*$BM$11)+(((BP430+BQ430)/2)*$BQ$11)+(((BU430+BV430+BW430)/3)*$BU$11)+(((BY430+BZ430+CA430+CB430+CC430)/5)*$CA$11)</f>
        <v>1.1819839215686274</v>
      </c>
      <c r="BI430" s="4"/>
      <c r="BJ430" s="33">
        <f>AP430/(AM430+AO430)</f>
        <v>0</v>
      </c>
      <c r="BK430" s="33">
        <f>(AN430+AO430)/(AM430+AO430)</f>
        <v>1</v>
      </c>
      <c r="BL430" s="4"/>
      <c r="BM430" s="127">
        <f>CF430/102</f>
        <v>0.65980392156862744</v>
      </c>
      <c r="BN430" s="127">
        <f>C430/2</f>
        <v>4</v>
      </c>
      <c r="BO430" s="4"/>
      <c r="BP430" s="127">
        <f>(AK430)/($AW$6)</f>
        <v>0.55555555555555558</v>
      </c>
      <c r="BQ430" s="127">
        <f ca="1">(CH430-$AW$4)/((YEAR($C$13))-$AW$4)</f>
        <v>1</v>
      </c>
      <c r="BR430" s="127">
        <f>(AL430)/($AW$6)</f>
        <v>0.43434343434343436</v>
      </c>
      <c r="BS430" s="4"/>
      <c r="BT430" s="127"/>
      <c r="BU430" s="127">
        <f ca="1">(CG430-$AW$4)/((YEAR($C$13))-$AW$4)</f>
        <v>1</v>
      </c>
      <c r="BV430" s="127">
        <f>AE430/5</f>
        <v>1</v>
      </c>
      <c r="BW430" s="127">
        <f>AF430/5</f>
        <v>1</v>
      </c>
      <c r="BX430" s="4"/>
      <c r="BY430" s="148" t="str">
        <f>IF(E430="A",".98",IF(E430="B",".99",IF(E430="C","1.00",IF(E430="D","1.00" ))))</f>
        <v>1.00</v>
      </c>
      <c r="BZ430" s="127">
        <f>(CE430+7)/10</f>
        <v>1</v>
      </c>
      <c r="CA430" s="76" t="str">
        <f>IF(D430="Fern",".97",IF(D430="Grass",".99",IF(D430="Herb",".97",IF(D430="Shrub",".99",IF(D430="Tree","1.00",IF(D430="Vine",".98"))))))</f>
        <v>.97</v>
      </c>
      <c r="CB430" s="149" t="str">
        <f>IF(R430="Bogs Ponds Streams",".96", IF(R430="Coastal Areas",".97",IF(R430="Meadows Dry Open",".96",IF(R430="Forest &amp; Understory",".97",IF(R430="Moist Open",".98",IF(R430="Moist Shady",".96",IF(R430="Sub-Alpine","1.0")))))))</f>
        <v>.96</v>
      </c>
      <c r="CC430" s="76" t="str">
        <f>IF(S430="Local Endemic",".50",IF(S430="Regional Endemic",".70",IF(S430="Cascadia",".90",IF(S430="Rocky Mountain",".95",IF(S430="North America",".99")))))</f>
        <v>.99</v>
      </c>
      <c r="CD430" s="4"/>
      <c r="CE430" s="21">
        <f>IF(W430&gt;3,3,W430)</f>
        <v>3</v>
      </c>
      <c r="CF430" s="21">
        <f>IF(AC430&gt;102,102,AC430)</f>
        <v>67.3</v>
      </c>
      <c r="CG430" s="34">
        <f ca="1">IF(AI430&lt;$AW$4,$AW$4,AI430)</f>
        <v>2019</v>
      </c>
      <c r="CH430" s="34">
        <f ca="1">IF(AJ430&lt;$AW$4,$AW$4,AJ430)</f>
        <v>2019</v>
      </c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</row>
    <row r="431" spans="1:115" s="13" customFormat="1" ht="15" customHeight="1" x14ac:dyDescent="0.3">
      <c r="A431" s="235"/>
      <c r="B431" s="218"/>
      <c r="C431" s="225">
        <v>8</v>
      </c>
      <c r="D431" s="59" t="s">
        <v>2505</v>
      </c>
      <c r="E431" s="59" t="s">
        <v>2501</v>
      </c>
      <c r="F431" s="397" t="str">
        <f ca="1">IF(BC431&lt;2025, "Extinct&lt; 6Yrs?",BA431)</f>
        <v>Widespread</v>
      </c>
      <c r="G431" s="363" t="s">
        <v>525</v>
      </c>
      <c r="H431" s="363" t="s">
        <v>685</v>
      </c>
      <c r="I431" s="366" t="s">
        <v>423</v>
      </c>
      <c r="J431" s="365" t="s">
        <v>3380</v>
      </c>
      <c r="K431" s="365" t="s">
        <v>1005</v>
      </c>
      <c r="L431" s="10" t="s">
        <v>1502</v>
      </c>
      <c r="M431" s="8" t="s">
        <v>4507</v>
      </c>
      <c r="N431" s="8" t="s">
        <v>5404</v>
      </c>
      <c r="O431" s="8" t="s">
        <v>6301</v>
      </c>
      <c r="P431" s="9" t="s">
        <v>115</v>
      </c>
      <c r="Q431" s="59" t="s">
        <v>2552</v>
      </c>
      <c r="R431" s="9" t="s">
        <v>2499</v>
      </c>
      <c r="S431" s="9" t="s">
        <v>2495</v>
      </c>
      <c r="T431" s="123" t="str">
        <f>IF(R431="Bogs Ponds Streams","20",IF(R431="Coastal Areas","26",IF(R431="Meadows Dry Open","10",IF(R431="Forest &amp; Understory","14",IF(R431="Moist Open","12",IF(R431="Moist Shady","10",IF(R431="Sub-Alpine Slopes","0")))))))</f>
        <v>20</v>
      </c>
      <c r="U431" s="123" t="str">
        <f>IF(R431="Bogs Ponds Streams","52",IF(R431="Coastal Areas","51",IF(R431="Meadows Dry Open","53",IF(R431="Forest &amp; Understory","52",IF(R431="Moist Open","50",IF(R431="Moist Shady","46",IF(R431="Sub-Alpine Slopes","40")))))))</f>
        <v>52</v>
      </c>
      <c r="V431" s="123" t="str">
        <f>IF(R431="Bogs Ponds Streams","84",IF(R431="Coastal Areas","76",IF(R431="Meadows Dry Open","96", IF(R431="Forest &amp; Understory","90", IF(R431="Moist Open","88", IF(R431="Moist Shady","82", IF(R431="Sub-Alpine Slopes","80")))))))</f>
        <v>84</v>
      </c>
      <c r="W431" s="59">
        <v>20</v>
      </c>
      <c r="X431" s="59">
        <v>0</v>
      </c>
      <c r="Y431" s="59">
        <v>3500</v>
      </c>
      <c r="Z431" s="59" t="s">
        <v>2519</v>
      </c>
      <c r="AA431" s="59" t="s">
        <v>2518</v>
      </c>
      <c r="AB431" s="59">
        <v>6.8</v>
      </c>
      <c r="AC431" s="45">
        <f>C431+AK431+(0.1)*AL431</f>
        <v>66.3</v>
      </c>
      <c r="AD431" s="77">
        <v>189</v>
      </c>
      <c r="AE431" s="59">
        <v>5</v>
      </c>
      <c r="AF431" s="59">
        <v>5</v>
      </c>
      <c r="AG431" s="59">
        <v>1900</v>
      </c>
      <c r="AH431" s="77">
        <v>0</v>
      </c>
      <c r="AI431" s="59">
        <f ca="1">AJ431</f>
        <v>2019</v>
      </c>
      <c r="AJ431" s="18">
        <f ca="1">YEAR(TODAY())</f>
        <v>2019</v>
      </c>
      <c r="AK431" s="18">
        <v>55</v>
      </c>
      <c r="AL431" s="18">
        <v>33</v>
      </c>
      <c r="AM431" s="18">
        <v>1</v>
      </c>
      <c r="AN431" s="18">
        <v>1</v>
      </c>
      <c r="AO431" s="18">
        <v>5</v>
      </c>
      <c r="AP431" s="18">
        <v>1</v>
      </c>
      <c r="AQ431" s="18">
        <v>0</v>
      </c>
      <c r="AR431" s="18">
        <v>0</v>
      </c>
      <c r="AS431" s="18">
        <v>0</v>
      </c>
      <c r="AT431" s="18">
        <v>0</v>
      </c>
      <c r="AU431" s="18">
        <v>0</v>
      </c>
      <c r="AV431" s="18">
        <v>0</v>
      </c>
      <c r="AW431" s="18">
        <v>0</v>
      </c>
      <c r="AX431" s="18">
        <v>0</v>
      </c>
      <c r="AY431" s="233"/>
      <c r="AZ431" s="4"/>
      <c r="BA431" s="35" t="str">
        <f>IF(OR(S431="North America",S431="Rocky Mountain"), "Widespread",BC431)</f>
        <v>Widespread</v>
      </c>
      <c r="BB431" s="4"/>
      <c r="BC431" s="35" t="str">
        <f ca="1">IF(BE431&gt;2046, "Abundant",BE431)</f>
        <v>Abundant</v>
      </c>
      <c r="BD431" s="4"/>
      <c r="BE431" s="81">
        <f ca="1">YEAR($C$13)+(BG431*80)</f>
        <v>2115.4410666666668</v>
      </c>
      <c r="BF431" s="4"/>
      <c r="BG431" s="137">
        <f ca="1">BH431*$BH$14</f>
        <v>1.2055133333333332</v>
      </c>
      <c r="BH431" s="137">
        <f ca="1">(((BJ431+BK431+BM431+BN431)/4)*$BM$11)+(((BP431+BQ431)/2)*$BQ$11)+(((BU431+BV431+BW431)/3)*$BU$11)+(((BY431+BZ431+CA431+CB431+CC431)/5)*$CA$11)</f>
        <v>1.2055133333333332</v>
      </c>
      <c r="BI431" s="4"/>
      <c r="BJ431" s="33">
        <f>AP431/(AM431+AO431)</f>
        <v>0.16666666666666666</v>
      </c>
      <c r="BK431" s="33">
        <f>(AN431+AO431)/(AM431+AO431)</f>
        <v>1</v>
      </c>
      <c r="BL431" s="4"/>
      <c r="BM431" s="127">
        <f>CF431/102</f>
        <v>0.65</v>
      </c>
      <c r="BN431" s="127">
        <f>C431/2</f>
        <v>4</v>
      </c>
      <c r="BO431" s="4"/>
      <c r="BP431" s="127">
        <f>(AK431)/($AW$6)</f>
        <v>0.55555555555555558</v>
      </c>
      <c r="BQ431" s="127">
        <f ca="1">(CH431-$AW$4)/((YEAR($C$13))-$AW$4)</f>
        <v>1</v>
      </c>
      <c r="BR431" s="127">
        <f>(AL431)/($AW$6)</f>
        <v>0.33333333333333331</v>
      </c>
      <c r="BS431" s="4"/>
      <c r="BT431" s="127"/>
      <c r="BU431" s="127">
        <f ca="1">(CG431-$AW$4)/((YEAR($C$13))-$AW$4)</f>
        <v>1</v>
      </c>
      <c r="BV431" s="127">
        <f>AE431/5</f>
        <v>1</v>
      </c>
      <c r="BW431" s="127">
        <f>AF431/5</f>
        <v>1</v>
      </c>
      <c r="BX431" s="4"/>
      <c r="BY431" s="148" t="str">
        <f>IF(E431="A",".98",IF(E431="B",".99",IF(E431="C","1.00",IF(E431="D","1.00" ))))</f>
        <v>1.00</v>
      </c>
      <c r="BZ431" s="127">
        <f>(CE431+7)/10</f>
        <v>1</v>
      </c>
      <c r="CA431" s="76" t="str">
        <f>IF(D431="Fern",".97",IF(D431="Grass",".99",IF(D431="Herb",".97",IF(D431="Shrub",".99",IF(D431="Tree","1.00",IF(D431="Vine",".98"))))))</f>
        <v>.97</v>
      </c>
      <c r="CB431" s="149" t="str">
        <f>IF(R431="Bogs Ponds Streams",".96", IF(R431="Coastal Areas",".97",IF(R431="Meadows Dry Open",".96",IF(R431="Forest &amp; Understory",".97",IF(R431="Moist Open",".98",IF(R431="Moist Shady",".96",IF(R431="Sub-Alpine","1.0")))))))</f>
        <v>.96</v>
      </c>
      <c r="CC431" s="76" t="str">
        <f>IF(S431="Local Endemic",".50",IF(S431="Regional Endemic",".70",IF(S431="Cascadia",".90",IF(S431="Rocky Mountain",".95",IF(S431="North America",".99")))))</f>
        <v>.99</v>
      </c>
      <c r="CD431" s="4"/>
      <c r="CE431" s="21">
        <f>IF(W431&gt;3,3,W431)</f>
        <v>3</v>
      </c>
      <c r="CF431" s="21">
        <f>IF(AC431&gt;102,102,AC431)</f>
        <v>66.3</v>
      </c>
      <c r="CG431" s="34">
        <f ca="1">IF(AI431&lt;$AW$4,$AW$4,AI431)</f>
        <v>2019</v>
      </c>
      <c r="CH431" s="34">
        <f ca="1">IF(AJ431&lt;$AW$4,$AW$4,AJ431)</f>
        <v>2019</v>
      </c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12"/>
    </row>
    <row r="432" spans="1:115" s="13" customFormat="1" ht="15" customHeight="1" x14ac:dyDescent="0.3">
      <c r="A432" s="235"/>
      <c r="B432" s="218"/>
      <c r="C432" s="226">
        <v>2</v>
      </c>
      <c r="D432" s="104" t="s">
        <v>2505</v>
      </c>
      <c r="E432" s="104" t="s">
        <v>2501</v>
      </c>
      <c r="F432" s="400" t="str">
        <f ca="1">IF(BC432&lt;2025, "Extinct&lt; 6Yrs?",BA432)</f>
        <v>Widespread</v>
      </c>
      <c r="G432" s="369" t="s">
        <v>525</v>
      </c>
      <c r="H432" s="369" t="s">
        <v>4028</v>
      </c>
      <c r="I432" s="372" t="s">
        <v>2659</v>
      </c>
      <c r="J432" s="371" t="s">
        <v>422</v>
      </c>
      <c r="K432" s="371" t="s">
        <v>2781</v>
      </c>
      <c r="L432" s="114" t="s">
        <v>1503</v>
      </c>
      <c r="M432" s="111" t="s">
        <v>4508</v>
      </c>
      <c r="N432" s="111" t="s">
        <v>5405</v>
      </c>
      <c r="O432" s="111" t="s">
        <v>6302</v>
      </c>
      <c r="P432" s="105" t="s">
        <v>115</v>
      </c>
      <c r="Q432" s="104" t="s">
        <v>2552</v>
      </c>
      <c r="R432" s="105" t="s">
        <v>2498</v>
      </c>
      <c r="S432" s="105" t="s">
        <v>2479</v>
      </c>
      <c r="T432" s="133" t="str">
        <f>IF(R432="Bogs Ponds Streams","20",IF(R432="Coastal Areas","26",IF(R432="Meadows Dry Open","10",IF(R432="Forest &amp; Understory","14",IF(R432="Moist Open","12",IF(R432="Moist Shady","10",IF(R432="Sub-Alpine Slopes","0")))))))</f>
        <v>10</v>
      </c>
      <c r="U432" s="133" t="str">
        <f>IF(R432="Bogs Ponds Streams","52",IF(R432="Coastal Areas","51",IF(R432="Meadows Dry Open","53",IF(R432="Forest &amp; Understory","52",IF(R432="Moist Open","50",IF(R432="Moist Shady","46",IF(R432="Sub-Alpine Slopes","40")))))))</f>
        <v>46</v>
      </c>
      <c r="V432" s="133" t="str">
        <f>IF(R432="Bogs Ponds Streams","84",IF(R432="Coastal Areas","76",IF(R432="Meadows Dry Open","96", IF(R432="Forest &amp; Understory","90", IF(R432="Moist Open","88", IF(R432="Moist Shady","82", IF(R432="Sub-Alpine Slopes","80")))))))</f>
        <v>82</v>
      </c>
      <c r="W432" s="104">
        <v>20</v>
      </c>
      <c r="X432" s="104">
        <v>0</v>
      </c>
      <c r="Y432" s="104">
        <v>3500</v>
      </c>
      <c r="Z432" s="104" t="s">
        <v>2519</v>
      </c>
      <c r="AA432" s="104" t="s">
        <v>2518</v>
      </c>
      <c r="AB432" s="104">
        <v>6.8</v>
      </c>
      <c r="AC432" s="107">
        <f>C432+AK432+(0.1)*AL432</f>
        <v>15.1</v>
      </c>
      <c r="AD432" s="113">
        <v>27</v>
      </c>
      <c r="AE432" s="104">
        <v>5</v>
      </c>
      <c r="AF432" s="104">
        <v>5</v>
      </c>
      <c r="AG432" s="104">
        <v>1900</v>
      </c>
      <c r="AH432" s="113">
        <v>0</v>
      </c>
      <c r="AI432" s="104">
        <f>AJ432</f>
        <v>2018</v>
      </c>
      <c r="AJ432" s="108">
        <v>2018</v>
      </c>
      <c r="AK432" s="108">
        <v>12</v>
      </c>
      <c r="AL432" s="108">
        <v>11</v>
      </c>
      <c r="AM432" s="109">
        <v>5</v>
      </c>
      <c r="AN432" s="109">
        <v>2</v>
      </c>
      <c r="AO432" s="109">
        <v>2</v>
      </c>
      <c r="AP432" s="109">
        <v>2</v>
      </c>
      <c r="AQ432" s="109">
        <v>0</v>
      </c>
      <c r="AR432" s="109">
        <v>0</v>
      </c>
      <c r="AS432" s="110">
        <v>0</v>
      </c>
      <c r="AT432" s="109">
        <v>0</v>
      </c>
      <c r="AU432" s="109">
        <v>0</v>
      </c>
      <c r="AV432" s="109">
        <v>0</v>
      </c>
      <c r="AW432" s="110">
        <v>0</v>
      </c>
      <c r="AX432" s="109">
        <v>0</v>
      </c>
      <c r="AY432" s="233"/>
      <c r="AZ432" s="4"/>
      <c r="BA432" s="35" t="str">
        <f>IF(OR(S432="North America",S432="Rocky Mountain"), "Widespread",BC432)</f>
        <v>Widespread</v>
      </c>
      <c r="BB432" s="4"/>
      <c r="BC432" s="35" t="str">
        <f ca="1">IF(BE432&gt;2046, "Abundant",BE432)</f>
        <v>Abundant</v>
      </c>
      <c r="BD432" s="4"/>
      <c r="BE432" s="81">
        <f ca="1">YEAR($C$13)+(BG432*80)</f>
        <v>2063.5361081062729</v>
      </c>
      <c r="BF432" s="4"/>
      <c r="BG432" s="137">
        <f ca="1">BH432*$BH$14</f>
        <v>0.55670135132841014</v>
      </c>
      <c r="BH432" s="137">
        <f ca="1">(((BJ432+BK432+BM432+BN432)/4)*$BM$11)+(((BP432+BQ432)/2)*$BQ$11)+(((BU432+BV432+BW432)/3)*$BU$11)+(((BY432+BZ432+CA432+CB432+CC432)/5)*$CA$11)</f>
        <v>0.55670135132841014</v>
      </c>
      <c r="BI432" s="4"/>
      <c r="BJ432" s="33">
        <f>AP432/(AM432+AO432)</f>
        <v>0.2857142857142857</v>
      </c>
      <c r="BK432" s="33">
        <f>(AN432+AO432)/(AM432+AO432)</f>
        <v>0.5714285714285714</v>
      </c>
      <c r="BL432" s="4"/>
      <c r="BM432" s="127">
        <f>CF432/102</f>
        <v>0.14803921568627451</v>
      </c>
      <c r="BN432" s="127">
        <f>C432/2</f>
        <v>1</v>
      </c>
      <c r="BO432" s="4"/>
      <c r="BP432" s="127">
        <f>(AK432)/($AW$6)</f>
        <v>0.12121212121212122</v>
      </c>
      <c r="BQ432" s="127">
        <f ca="1">(CH432-$AW$4)/((YEAR($C$13))-$AW$4)</f>
        <v>0.93333333333333335</v>
      </c>
      <c r="BR432" s="127">
        <f>(AL432)/($AW$6)</f>
        <v>0.1111111111111111</v>
      </c>
      <c r="BS432" s="4"/>
      <c r="BT432" s="127"/>
      <c r="BU432" s="127">
        <f ca="1">(CG432-$AW$4)/((YEAR($C$13))-$AW$4)</f>
        <v>0.93333333333333335</v>
      </c>
      <c r="BV432" s="127">
        <f>AE432/5</f>
        <v>1</v>
      </c>
      <c r="BW432" s="127">
        <f>AF432/5</f>
        <v>1</v>
      </c>
      <c r="BX432" s="4"/>
      <c r="BY432" s="148" t="str">
        <f>IF(E432="A",".98",IF(E432="B",".99",IF(E432="C","1.00",IF(E432="D","1.00" ))))</f>
        <v>1.00</v>
      </c>
      <c r="BZ432" s="127">
        <f>(CE432+7)/10</f>
        <v>1</v>
      </c>
      <c r="CA432" s="76" t="str">
        <f>IF(D432="Fern",".97",IF(D432="Grass",".99",IF(D432="Herb",".97",IF(D432="Shrub",".99",IF(D432="Tree","1.00",IF(D432="Vine",".98"))))))</f>
        <v>.97</v>
      </c>
      <c r="CB432" s="149" t="str">
        <f>IF(R432="Bogs Ponds Streams",".96", IF(R432="Coastal Areas",".97",IF(R432="Meadows Dry Open",".96",IF(R432="Forest &amp; Understory",".97",IF(R432="Moist Open",".98",IF(R432="Moist Shady",".96",IF(R432="Sub-Alpine","1.0")))))))</f>
        <v>.96</v>
      </c>
      <c r="CC432" s="76" t="str">
        <f>IF(S432="Local Endemic",".50",IF(S432="Regional Endemic",".70",IF(S432="Cascadia",".90",IF(S432="Rocky Mountain",".95",IF(S432="North America",".99")))))</f>
        <v>.95</v>
      </c>
      <c r="CD432" s="4"/>
      <c r="CE432" s="21">
        <f>IF(W432&gt;3,3,W432)</f>
        <v>3</v>
      </c>
      <c r="CF432" s="21">
        <f>IF(AC432&gt;102,102,AC432)</f>
        <v>15.1</v>
      </c>
      <c r="CG432" s="34">
        <f>IF(AI432&lt;$AW$4,$AW$4,AI432)</f>
        <v>2018</v>
      </c>
      <c r="CH432" s="34">
        <f>IF(AJ432&lt;$AW$4,$AW$4,AJ432)</f>
        <v>2018</v>
      </c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</row>
    <row r="433" spans="1:115" s="13" customFormat="1" ht="15" customHeight="1" x14ac:dyDescent="0.3">
      <c r="A433" s="235"/>
      <c r="B433" s="218"/>
      <c r="C433" s="375">
        <v>1</v>
      </c>
      <c r="D433" s="67" t="s">
        <v>2505</v>
      </c>
      <c r="E433" s="67" t="s">
        <v>2501</v>
      </c>
      <c r="F433" s="403">
        <f ca="1">IF(BC433&lt;2025, "Extinct&lt; 6Yrs?",BA433)</f>
        <v>2032.1242096256685</v>
      </c>
      <c r="G433" s="376" t="s">
        <v>525</v>
      </c>
      <c r="H433" s="376" t="s">
        <v>4028</v>
      </c>
      <c r="I433" s="380" t="s">
        <v>3079</v>
      </c>
      <c r="J433" s="378" t="s">
        <v>3590</v>
      </c>
      <c r="K433" s="378" t="s">
        <v>422</v>
      </c>
      <c r="L433" s="63" t="s">
        <v>1504</v>
      </c>
      <c r="M433" s="64" t="s">
        <v>4509</v>
      </c>
      <c r="N433" s="64" t="s">
        <v>5406</v>
      </c>
      <c r="O433" s="64" t="s">
        <v>6303</v>
      </c>
      <c r="P433" s="61" t="s">
        <v>115</v>
      </c>
      <c r="Q433" s="67" t="s">
        <v>2552</v>
      </c>
      <c r="R433" s="61" t="s">
        <v>2498</v>
      </c>
      <c r="S433" s="61" t="s">
        <v>2459</v>
      </c>
      <c r="T433" s="134" t="str">
        <f>IF(R433="Bogs Ponds Streams","20",IF(R433="Coastal Areas","26",IF(R433="Meadows Dry Open","10",IF(R433="Forest &amp; Understory","14",IF(R433="Moist Open","12",IF(R433="Moist Shady","10",IF(R433="Sub-Alpine Slopes","0")))))))</f>
        <v>10</v>
      </c>
      <c r="U433" s="134" t="str">
        <f>IF(R433="Bogs Ponds Streams","52",IF(R433="Coastal Areas","51",IF(R433="Meadows Dry Open","53",IF(R433="Forest &amp; Understory","52",IF(R433="Moist Open","50",IF(R433="Moist Shady","46",IF(R433="Sub-Alpine Slopes","40")))))))</f>
        <v>46</v>
      </c>
      <c r="V433" s="134" t="str">
        <f>IF(R433="Bogs Ponds Streams","84",IF(R433="Coastal Areas","76",IF(R433="Meadows Dry Open","96", IF(R433="Forest &amp; Understory","90", IF(R433="Moist Open","88", IF(R433="Moist Shady","82", IF(R433="Sub-Alpine Slopes","80")))))))</f>
        <v>82</v>
      </c>
      <c r="W433" s="67">
        <v>20</v>
      </c>
      <c r="X433" s="67">
        <v>0</v>
      </c>
      <c r="Y433" s="67">
        <v>3500</v>
      </c>
      <c r="Z433" s="67" t="s">
        <v>2519</v>
      </c>
      <c r="AA433" s="67" t="s">
        <v>2518</v>
      </c>
      <c r="AB433" s="67">
        <v>6.8</v>
      </c>
      <c r="AC433" s="85">
        <f>C433+AK433+(0.1)*AL433</f>
        <v>6</v>
      </c>
      <c r="AD433" s="78">
        <v>14</v>
      </c>
      <c r="AE433" s="67">
        <v>5</v>
      </c>
      <c r="AF433" s="67">
        <v>5</v>
      </c>
      <c r="AG433" s="67">
        <v>1900</v>
      </c>
      <c r="AH433" s="78">
        <v>0</v>
      </c>
      <c r="AI433" s="67">
        <f>AJ433</f>
        <v>2004</v>
      </c>
      <c r="AJ433" s="69">
        <v>2004</v>
      </c>
      <c r="AK433" s="69">
        <v>5</v>
      </c>
      <c r="AL433" s="69">
        <v>0</v>
      </c>
      <c r="AM433" s="70">
        <v>5</v>
      </c>
      <c r="AN433" s="70">
        <v>0</v>
      </c>
      <c r="AO433" s="86">
        <v>0</v>
      </c>
      <c r="AP433" s="70">
        <v>0</v>
      </c>
      <c r="AQ433" s="70">
        <v>0</v>
      </c>
      <c r="AR433" s="70">
        <v>0</v>
      </c>
      <c r="AS433" s="86">
        <v>0</v>
      </c>
      <c r="AT433" s="70">
        <v>0</v>
      </c>
      <c r="AU433" s="70">
        <v>0</v>
      </c>
      <c r="AV433" s="70">
        <v>0</v>
      </c>
      <c r="AW433" s="86">
        <v>0</v>
      </c>
      <c r="AX433" s="70">
        <v>0</v>
      </c>
      <c r="AY433" s="233"/>
      <c r="AZ433" s="4"/>
      <c r="BA433" s="35">
        <f ca="1">IF(OR(S433="North America",S433="Rocky Mountain"), "Widespread",BC433)</f>
        <v>2032.1242096256685</v>
      </c>
      <c r="BB433" s="4"/>
      <c r="BC433" s="35">
        <f ca="1">IF(BE433&gt;2046, "Abundant",BE433)</f>
        <v>2032.1242096256685</v>
      </c>
      <c r="BD433" s="4"/>
      <c r="BE433" s="81">
        <f ca="1">YEAR($C$13)+(BG433*80)</f>
        <v>2032.1242096256685</v>
      </c>
      <c r="BF433" s="4"/>
      <c r="BG433" s="137">
        <f ca="1">BH433*$BH$14</f>
        <v>0.1640526203208556</v>
      </c>
      <c r="BH433" s="137">
        <f ca="1">(((BJ433+BK433+BM433+BN433)/4)*$BM$11)+(((BP433+BQ433)/2)*$BQ$11)+(((BU433+BV433+BW433)/3)*$BU$11)+(((BY433+BZ433+CA433+CB433+CC433)/5)*$CA$11)</f>
        <v>0.1640526203208556</v>
      </c>
      <c r="BI433" s="4"/>
      <c r="BJ433" s="33">
        <f>AP433/(AM433+AO433)</f>
        <v>0</v>
      </c>
      <c r="BK433" s="33">
        <f>(AN433+AO433)/(AM433+AO433)</f>
        <v>0</v>
      </c>
      <c r="BL433" s="4"/>
      <c r="BM433" s="127">
        <f>CF433/102</f>
        <v>5.8823529411764705E-2</v>
      </c>
      <c r="BN433" s="127">
        <f>C433/2</f>
        <v>0.5</v>
      </c>
      <c r="BO433" s="4"/>
      <c r="BP433" s="127">
        <f>(AK433)/($AW$6)</f>
        <v>5.0505050505050504E-2</v>
      </c>
      <c r="BQ433" s="127">
        <f ca="1">(CH433-$AW$4)/((YEAR($C$13))-$AW$4)</f>
        <v>0</v>
      </c>
      <c r="BR433" s="127">
        <f>(AL433)/($AW$6)</f>
        <v>0</v>
      </c>
      <c r="BS433" s="4"/>
      <c r="BT433" s="127"/>
      <c r="BU433" s="127">
        <f ca="1">(CG433-$AW$4)/((YEAR($C$13))-$AW$4)</f>
        <v>0</v>
      </c>
      <c r="BV433" s="127">
        <f>AE433/5</f>
        <v>1</v>
      </c>
      <c r="BW433" s="127">
        <f>AF433/5</f>
        <v>1</v>
      </c>
      <c r="BX433" s="4"/>
      <c r="BY433" s="148" t="str">
        <f>IF(E433="A",".98",IF(E433="B",".99",IF(E433="C","1.00",IF(E433="D","1.00" ))))</f>
        <v>1.00</v>
      </c>
      <c r="BZ433" s="127">
        <f>(CE433+7)/10</f>
        <v>1</v>
      </c>
      <c r="CA433" s="76" t="str">
        <f>IF(D433="Fern",".97",IF(D433="Grass",".99",IF(D433="Herb",".97",IF(D433="Shrub",".99",IF(D433="Tree","1.00",IF(D433="Vine",".98"))))))</f>
        <v>.97</v>
      </c>
      <c r="CB433" s="149" t="str">
        <f>IF(R433="Bogs Ponds Streams",".96", IF(R433="Coastal Areas",".97",IF(R433="Meadows Dry Open",".96",IF(R433="Forest &amp; Understory",".97",IF(R433="Moist Open",".98",IF(R433="Moist Shady",".96",IF(R433="Sub-Alpine","1.0")))))))</f>
        <v>.96</v>
      </c>
      <c r="CC433" s="76" t="str">
        <f>IF(S433="Local Endemic",".50",IF(S433="Regional Endemic",".70",IF(S433="Cascadia",".90",IF(S433="Rocky Mountain",".95",IF(S433="North America",".99")))))</f>
        <v>.90</v>
      </c>
      <c r="CD433" s="4"/>
      <c r="CE433" s="21">
        <f>IF(W433&gt;3,3,W433)</f>
        <v>3</v>
      </c>
      <c r="CF433" s="21">
        <f>IF(AC433&gt;102,102,AC433)</f>
        <v>6</v>
      </c>
      <c r="CG433" s="34">
        <f>IF(AI433&lt;$AW$4,$AW$4,AI433)</f>
        <v>2004</v>
      </c>
      <c r="CH433" s="34">
        <f>IF(AJ433&lt;$AW$4,$AW$4,AJ433)</f>
        <v>2004</v>
      </c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12"/>
    </row>
    <row r="434" spans="1:115" s="13" customFormat="1" ht="15" customHeight="1" x14ac:dyDescent="0.3">
      <c r="A434" s="235"/>
      <c r="B434" s="218"/>
      <c r="C434" s="225">
        <v>8</v>
      </c>
      <c r="D434" s="59" t="s">
        <v>2505</v>
      </c>
      <c r="E434" s="59" t="s">
        <v>2501</v>
      </c>
      <c r="F434" s="397" t="str">
        <f ca="1">IF(BC434&lt;2025, "Extinct&lt; 6Yrs?",BA434)</f>
        <v>Abundant</v>
      </c>
      <c r="G434" s="363" t="s">
        <v>525</v>
      </c>
      <c r="H434" s="363" t="s">
        <v>681</v>
      </c>
      <c r="I434" s="364" t="s">
        <v>2660</v>
      </c>
      <c r="J434" s="365" t="s">
        <v>2782</v>
      </c>
      <c r="K434" s="365" t="s">
        <v>2782</v>
      </c>
      <c r="L434" s="17" t="s">
        <v>2182</v>
      </c>
      <c r="M434" s="8" t="s">
        <v>4510</v>
      </c>
      <c r="N434" s="8" t="s">
        <v>5407</v>
      </c>
      <c r="O434" s="8" t="s">
        <v>6304</v>
      </c>
      <c r="P434" s="9" t="s">
        <v>115</v>
      </c>
      <c r="Q434" s="59" t="s">
        <v>2552</v>
      </c>
      <c r="R434" s="160" t="s">
        <v>2497</v>
      </c>
      <c r="S434" s="17" t="s">
        <v>2459</v>
      </c>
      <c r="T434" s="123" t="str">
        <f>IF(R434="Bogs Ponds Streams","20",IF(R434="Coastal Areas","26",IF(R434="Meadows Dry Open","10",IF(R434="Forest &amp; Understory","14",IF(R434="Moist Open","12",IF(R434="Moist Shady","10",IF(R434="Sub-Alpine Slopes","0")))))))</f>
        <v>12</v>
      </c>
      <c r="U434" s="123" t="str">
        <f>IF(R434="Bogs Ponds Streams","52",IF(R434="Coastal Areas","51",IF(R434="Meadows Dry Open","53",IF(R434="Forest &amp; Understory","52",IF(R434="Moist Open","50",IF(R434="Moist Shady","46",IF(R434="Sub-Alpine Slopes","40")))))))</f>
        <v>50</v>
      </c>
      <c r="V434" s="123" t="str">
        <f>IF(R434="Bogs Ponds Streams","84",IF(R434="Coastal Areas","76",IF(R434="Meadows Dry Open","96", IF(R434="Forest &amp; Understory","90", IF(R434="Moist Open","88", IF(R434="Moist Shady","82", IF(R434="Sub-Alpine Slopes","80")))))))</f>
        <v>88</v>
      </c>
      <c r="W434" s="59">
        <v>20</v>
      </c>
      <c r="X434" s="59">
        <v>0</v>
      </c>
      <c r="Y434" s="59">
        <v>3500</v>
      </c>
      <c r="Z434" s="59" t="s">
        <v>2519</v>
      </c>
      <c r="AA434" s="59" t="s">
        <v>2518</v>
      </c>
      <c r="AB434" s="59">
        <v>6.8</v>
      </c>
      <c r="AC434" s="45">
        <f>C434+AK434+(0.1)*AL434</f>
        <v>18</v>
      </c>
      <c r="AD434" s="77">
        <v>60</v>
      </c>
      <c r="AE434" s="59">
        <v>5</v>
      </c>
      <c r="AF434" s="59">
        <v>5</v>
      </c>
      <c r="AG434" s="59">
        <v>1900</v>
      </c>
      <c r="AH434" s="77">
        <v>0</v>
      </c>
      <c r="AI434" s="59">
        <f ca="1">AJ434</f>
        <v>2019</v>
      </c>
      <c r="AJ434" s="18">
        <f ca="1">YEAR(TODAY())</f>
        <v>2019</v>
      </c>
      <c r="AK434" s="18">
        <v>10</v>
      </c>
      <c r="AL434" s="18">
        <v>0</v>
      </c>
      <c r="AM434" s="18">
        <v>1</v>
      </c>
      <c r="AN434" s="18">
        <v>1</v>
      </c>
      <c r="AO434" s="18">
        <v>5</v>
      </c>
      <c r="AP434" s="18">
        <v>1</v>
      </c>
      <c r="AQ434" s="18">
        <v>0</v>
      </c>
      <c r="AR434" s="18">
        <v>0</v>
      </c>
      <c r="AS434" s="18">
        <v>0</v>
      </c>
      <c r="AT434" s="18">
        <v>0</v>
      </c>
      <c r="AU434" s="18">
        <v>0</v>
      </c>
      <c r="AV434" s="18">
        <v>0</v>
      </c>
      <c r="AW434" s="18">
        <v>0</v>
      </c>
      <c r="AX434" s="18">
        <v>0</v>
      </c>
      <c r="AY434" s="233"/>
      <c r="AZ434" s="4"/>
      <c r="BA434" s="35" t="str">
        <f ca="1">IF(OR(S434="North America",S434="Rocky Mountain"), "Widespread",BC434)</f>
        <v>Abundant</v>
      </c>
      <c r="BB434" s="4"/>
      <c r="BC434" s="35" t="str">
        <f ca="1">IF(BE434&gt;2046, "Abundant",BE434)</f>
        <v>Abundant</v>
      </c>
      <c r="BD434" s="4"/>
      <c r="BE434" s="81">
        <f ca="1">YEAR($C$13)+(BG434*80)</f>
        <v>2104.2817682709447</v>
      </c>
      <c r="BF434" s="4"/>
      <c r="BG434" s="137">
        <f ca="1">BH434*$BH$14</f>
        <v>1.0660221033868094</v>
      </c>
      <c r="BH434" s="137">
        <f ca="1">(((BJ434+BK434+BM434+BN434)/4)*$BM$11)+(((BP434+BQ434)/2)*$BQ$11)+(((BU434+BV434+BW434)/3)*$BU$11)+(((BY434+BZ434+CA434+CB434+CC434)/5)*$CA$11)</f>
        <v>1.0660221033868094</v>
      </c>
      <c r="BI434" s="4"/>
      <c r="BJ434" s="33">
        <f>AP434/(AM434+AO434)</f>
        <v>0.16666666666666666</v>
      </c>
      <c r="BK434" s="33">
        <f>(AN434+AO434)/(AM434+AO434)</f>
        <v>1</v>
      </c>
      <c r="BL434" s="4"/>
      <c r="BM434" s="127">
        <f>CF434/102</f>
        <v>0.17647058823529413</v>
      </c>
      <c r="BN434" s="127">
        <f>C434/2</f>
        <v>4</v>
      </c>
      <c r="BO434" s="4"/>
      <c r="BP434" s="127">
        <f>(AK434)/($AW$6)</f>
        <v>0.10101010101010101</v>
      </c>
      <c r="BQ434" s="127">
        <f ca="1">(CH434-$AW$4)/((YEAR($C$13))-$AW$4)</f>
        <v>1</v>
      </c>
      <c r="BR434" s="127">
        <f>(AL434)/($AW$6)</f>
        <v>0</v>
      </c>
      <c r="BS434" s="4"/>
      <c r="BT434" s="127"/>
      <c r="BU434" s="127">
        <f ca="1">(CG434-$AW$4)/((YEAR($C$13))-$AW$4)</f>
        <v>1</v>
      </c>
      <c r="BV434" s="127">
        <f>AE434/5</f>
        <v>1</v>
      </c>
      <c r="BW434" s="127">
        <f>AF434/5</f>
        <v>1</v>
      </c>
      <c r="BX434" s="4"/>
      <c r="BY434" s="148" t="str">
        <f>IF(E434="A",".98",IF(E434="B",".99",IF(E434="C","1.00",IF(E434="D","1.00" ))))</f>
        <v>1.00</v>
      </c>
      <c r="BZ434" s="127">
        <f>(CE434+7)/10</f>
        <v>1</v>
      </c>
      <c r="CA434" s="76" t="str">
        <f>IF(D434="Fern",".97",IF(D434="Grass",".99",IF(D434="Herb",".97",IF(D434="Shrub",".99",IF(D434="Tree","1.00",IF(D434="Vine",".98"))))))</f>
        <v>.97</v>
      </c>
      <c r="CB434" s="149" t="str">
        <f>IF(R434="Bogs Ponds Streams",".96", IF(R434="Coastal Areas",".97",IF(R434="Meadows Dry Open",".96",IF(R434="Forest &amp; Understory",".97",IF(R434="Moist Open",".98",IF(R434="Moist Shady",".96",IF(R434="Sub-Alpine","1.0")))))))</f>
        <v>.98</v>
      </c>
      <c r="CC434" s="76" t="str">
        <f>IF(S434="Local Endemic",".50",IF(S434="Regional Endemic",".70",IF(S434="Cascadia",".90",IF(S434="Rocky Mountain",".95",IF(S434="North America",".99")))))</f>
        <v>.90</v>
      </c>
      <c r="CD434" s="4"/>
      <c r="CE434" s="21">
        <f>IF(W434&gt;3,3,W434)</f>
        <v>3</v>
      </c>
      <c r="CF434" s="21">
        <f>IF(AC434&gt;102,102,AC434)</f>
        <v>18</v>
      </c>
      <c r="CG434" s="34">
        <f ca="1">IF(AI434&lt;$AW$4,$AW$4,AI434)</f>
        <v>2019</v>
      </c>
      <c r="CH434" s="34">
        <f ca="1">IF(AJ434&lt;$AW$4,$AW$4,AJ434)</f>
        <v>2019</v>
      </c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</row>
    <row r="435" spans="1:115" s="13" customFormat="1" ht="15" customHeight="1" x14ac:dyDescent="0.3">
      <c r="A435" s="235"/>
      <c r="B435" s="218"/>
      <c r="C435" s="375">
        <v>1</v>
      </c>
      <c r="D435" s="67" t="s">
        <v>2505</v>
      </c>
      <c r="E435" s="67" t="s">
        <v>2501</v>
      </c>
      <c r="F435" s="403">
        <f ca="1">IF(BC435&lt;2025, "Extinct&lt; 6Yrs?",BA435)</f>
        <v>2036.6625340463459</v>
      </c>
      <c r="G435" s="376" t="s">
        <v>525</v>
      </c>
      <c r="H435" s="376" t="s">
        <v>4028</v>
      </c>
      <c r="I435" s="380" t="s">
        <v>424</v>
      </c>
      <c r="J435" s="378" t="s">
        <v>2782</v>
      </c>
      <c r="K435" s="378" t="s">
        <v>1006</v>
      </c>
      <c r="L435" s="63" t="s">
        <v>1505</v>
      </c>
      <c r="M435" s="64" t="s">
        <v>4511</v>
      </c>
      <c r="N435" s="64" t="s">
        <v>5408</v>
      </c>
      <c r="O435" s="64" t="s">
        <v>6305</v>
      </c>
      <c r="P435" s="61" t="s">
        <v>115</v>
      </c>
      <c r="Q435" s="67" t="s">
        <v>2552</v>
      </c>
      <c r="R435" s="61" t="s">
        <v>2499</v>
      </c>
      <c r="S435" s="61" t="s">
        <v>2459</v>
      </c>
      <c r="T435" s="134" t="str">
        <f>IF(R435="Bogs Ponds Streams","20",IF(R435="Coastal Areas","26",IF(R435="Meadows Dry Open","10",IF(R435="Forest &amp; Understory","14",IF(R435="Moist Open","12",IF(R435="Moist Shady","10",IF(R435="Sub-Alpine Slopes","0")))))))</f>
        <v>20</v>
      </c>
      <c r="U435" s="134" t="str">
        <f>IF(R435="Bogs Ponds Streams","52",IF(R435="Coastal Areas","51",IF(R435="Meadows Dry Open","53",IF(R435="Forest &amp; Understory","52",IF(R435="Moist Open","50",IF(R435="Moist Shady","46",IF(R435="Sub-Alpine Slopes","40")))))))</f>
        <v>52</v>
      </c>
      <c r="V435" s="134" t="str">
        <f>IF(R435="Bogs Ponds Streams","84",IF(R435="Coastal Areas","76",IF(R435="Meadows Dry Open","96", IF(R435="Forest &amp; Understory","90", IF(R435="Moist Open","88", IF(R435="Moist Shady","82", IF(R435="Sub-Alpine Slopes","80")))))))</f>
        <v>84</v>
      </c>
      <c r="W435" s="67">
        <v>20</v>
      </c>
      <c r="X435" s="67">
        <v>0</v>
      </c>
      <c r="Y435" s="67">
        <v>3500</v>
      </c>
      <c r="Z435" s="67" t="s">
        <v>2519</v>
      </c>
      <c r="AA435" s="67" t="s">
        <v>2518</v>
      </c>
      <c r="AB435" s="67">
        <v>6.8</v>
      </c>
      <c r="AC435" s="85">
        <f>C435+AK435+(0.1)*AL435</f>
        <v>25</v>
      </c>
      <c r="AD435" s="78">
        <v>146</v>
      </c>
      <c r="AE435" s="67">
        <v>5</v>
      </c>
      <c r="AF435" s="67">
        <v>5</v>
      </c>
      <c r="AG435" s="67">
        <v>1900</v>
      </c>
      <c r="AH435" s="78">
        <v>0</v>
      </c>
      <c r="AI435" s="67">
        <f>AJ435</f>
        <v>2004</v>
      </c>
      <c r="AJ435" s="69">
        <v>2004</v>
      </c>
      <c r="AK435" s="69">
        <v>24</v>
      </c>
      <c r="AL435" s="69">
        <v>0</v>
      </c>
      <c r="AM435" s="70">
        <v>5</v>
      </c>
      <c r="AN435" s="70">
        <v>0</v>
      </c>
      <c r="AO435" s="86">
        <v>0</v>
      </c>
      <c r="AP435" s="70">
        <v>0</v>
      </c>
      <c r="AQ435" s="70">
        <v>0</v>
      </c>
      <c r="AR435" s="70">
        <v>0</v>
      </c>
      <c r="AS435" s="86">
        <v>0</v>
      </c>
      <c r="AT435" s="70">
        <v>0</v>
      </c>
      <c r="AU435" s="70">
        <v>0</v>
      </c>
      <c r="AV435" s="70">
        <v>0</v>
      </c>
      <c r="AW435" s="86">
        <v>0</v>
      </c>
      <c r="AX435" s="70">
        <v>0</v>
      </c>
      <c r="AY435" s="233"/>
      <c r="AZ435" s="4"/>
      <c r="BA435" s="35">
        <f ca="1">IF(OR(S435="North America",S435="Rocky Mountain"), "Widespread",BC435)</f>
        <v>2036.6625340463459</v>
      </c>
      <c r="BB435" s="4"/>
      <c r="BC435" s="35">
        <f ca="1">IF(BE435&gt;2046, "Abundant",BE435)</f>
        <v>2036.6625340463459</v>
      </c>
      <c r="BD435" s="4"/>
      <c r="BE435" s="81">
        <f ca="1">YEAR($C$13)+(BG435*80)</f>
        <v>2036.6625340463459</v>
      </c>
      <c r="BF435" s="4"/>
      <c r="BG435" s="137">
        <f ca="1">BH435*$BH$14</f>
        <v>0.22078167557932266</v>
      </c>
      <c r="BH435" s="137">
        <f ca="1">(((BJ435+BK435+BM435+BN435)/4)*$BM$11)+(((BP435+BQ435)/2)*$BQ$11)+(((BU435+BV435+BW435)/3)*$BU$11)+(((BY435+BZ435+CA435+CB435+CC435)/5)*$CA$11)</f>
        <v>0.22078167557932266</v>
      </c>
      <c r="BI435" s="4"/>
      <c r="BJ435" s="33">
        <f>AP435/(AM435+AO435)</f>
        <v>0</v>
      </c>
      <c r="BK435" s="33">
        <f>(AN435+AO435)/(AM435+AO435)</f>
        <v>0</v>
      </c>
      <c r="BL435" s="4"/>
      <c r="BM435" s="127">
        <f>CF435/102</f>
        <v>0.24509803921568626</v>
      </c>
      <c r="BN435" s="127">
        <f>C435/2</f>
        <v>0.5</v>
      </c>
      <c r="BO435" s="4"/>
      <c r="BP435" s="127">
        <f>(AK435)/($AW$6)</f>
        <v>0.24242424242424243</v>
      </c>
      <c r="BQ435" s="127">
        <f ca="1">(CH435-$AW$4)/((YEAR($C$13))-$AW$4)</f>
        <v>0</v>
      </c>
      <c r="BR435" s="127">
        <f>(AL435)/($AW$6)</f>
        <v>0</v>
      </c>
      <c r="BS435" s="4"/>
      <c r="BT435" s="127"/>
      <c r="BU435" s="127">
        <f ca="1">(CG435-$AW$4)/((YEAR($C$13))-$AW$4)</f>
        <v>0</v>
      </c>
      <c r="BV435" s="127">
        <f>AE435/5</f>
        <v>1</v>
      </c>
      <c r="BW435" s="127">
        <f>AF435/5</f>
        <v>1</v>
      </c>
      <c r="BX435" s="4"/>
      <c r="BY435" s="148" t="str">
        <f>IF(E435="A",".98",IF(E435="B",".99",IF(E435="C","1.00",IF(E435="D","1.00" ))))</f>
        <v>1.00</v>
      </c>
      <c r="BZ435" s="127">
        <f>(CE435+7)/10</f>
        <v>1</v>
      </c>
      <c r="CA435" s="76" t="str">
        <f>IF(D435="Fern",".97",IF(D435="Grass",".99",IF(D435="Herb",".97",IF(D435="Shrub",".99",IF(D435="Tree","1.00",IF(D435="Vine",".98"))))))</f>
        <v>.97</v>
      </c>
      <c r="CB435" s="149" t="str">
        <f>IF(R435="Bogs Ponds Streams",".96", IF(R435="Coastal Areas",".97",IF(R435="Meadows Dry Open",".96",IF(R435="Forest &amp; Understory",".97",IF(R435="Moist Open",".98",IF(R435="Moist Shady",".96",IF(R435="Sub-Alpine","1.0")))))))</f>
        <v>.96</v>
      </c>
      <c r="CC435" s="76" t="str">
        <f>IF(S435="Local Endemic",".50",IF(S435="Regional Endemic",".70",IF(S435="Cascadia",".90",IF(S435="Rocky Mountain",".95",IF(S435="North America",".99")))))</f>
        <v>.90</v>
      </c>
      <c r="CD435" s="4"/>
      <c r="CE435" s="21">
        <f>IF(W435&gt;3,3,W435)</f>
        <v>3</v>
      </c>
      <c r="CF435" s="21">
        <f>IF(AC435&gt;102,102,AC435)</f>
        <v>25</v>
      </c>
      <c r="CG435" s="34">
        <f>IF(AI435&lt;$AW$4,$AW$4,AI435)</f>
        <v>2004</v>
      </c>
      <c r="CH435" s="34">
        <f>IF(AJ435&lt;$AW$4,$AW$4,AJ435)</f>
        <v>2004</v>
      </c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12"/>
    </row>
    <row r="436" spans="1:115" s="13" customFormat="1" ht="15" customHeight="1" x14ac:dyDescent="0.3">
      <c r="A436" s="235"/>
      <c r="B436" s="218"/>
      <c r="C436" s="226">
        <v>2</v>
      </c>
      <c r="D436" s="104" t="s">
        <v>2505</v>
      </c>
      <c r="E436" s="104" t="s">
        <v>2501</v>
      </c>
      <c r="F436" s="400" t="str">
        <f ca="1">IF(BC436&lt;2025, "Extinct&lt; 6Yrs?",BA436)</f>
        <v>Widespread</v>
      </c>
      <c r="G436" s="369" t="s">
        <v>525</v>
      </c>
      <c r="H436" s="369" t="s">
        <v>4028</v>
      </c>
      <c r="I436" s="370" t="s">
        <v>426</v>
      </c>
      <c r="J436" s="371" t="s">
        <v>3762</v>
      </c>
      <c r="K436" s="371" t="s">
        <v>1007</v>
      </c>
      <c r="L436" s="106" t="s">
        <v>1506</v>
      </c>
      <c r="M436" s="111" t="s">
        <v>4512</v>
      </c>
      <c r="N436" s="111" t="s">
        <v>5409</v>
      </c>
      <c r="O436" s="111" t="s">
        <v>6306</v>
      </c>
      <c r="P436" s="105" t="s">
        <v>115</v>
      </c>
      <c r="Q436" s="104" t="s">
        <v>2552</v>
      </c>
      <c r="R436" s="105" t="s">
        <v>2498</v>
      </c>
      <c r="S436" s="105" t="s">
        <v>2495</v>
      </c>
      <c r="T436" s="133" t="str">
        <f>IF(R436="Bogs Ponds Streams","20",IF(R436="Coastal Areas","26",IF(R436="Meadows Dry Open","10",IF(R436="Forest &amp; Understory","14",IF(R436="Moist Open","12",IF(R436="Moist Shady","10",IF(R436="Sub-Alpine Slopes","0")))))))</f>
        <v>10</v>
      </c>
      <c r="U436" s="133" t="str">
        <f>IF(R436="Bogs Ponds Streams","52",IF(R436="Coastal Areas","51",IF(R436="Meadows Dry Open","53",IF(R436="Forest &amp; Understory","52",IF(R436="Moist Open","50",IF(R436="Moist Shady","46",IF(R436="Sub-Alpine Slopes","40")))))))</f>
        <v>46</v>
      </c>
      <c r="V436" s="133" t="str">
        <f>IF(R436="Bogs Ponds Streams","84",IF(R436="Coastal Areas","76",IF(R436="Meadows Dry Open","96", IF(R436="Forest &amp; Understory","90", IF(R436="Moist Open","88", IF(R436="Moist Shady","82", IF(R436="Sub-Alpine Slopes","80")))))))</f>
        <v>82</v>
      </c>
      <c r="W436" s="104">
        <v>20</v>
      </c>
      <c r="X436" s="104">
        <v>0</v>
      </c>
      <c r="Y436" s="104">
        <v>3500</v>
      </c>
      <c r="Z436" s="104" t="s">
        <v>2519</v>
      </c>
      <c r="AA436" s="104" t="s">
        <v>2518</v>
      </c>
      <c r="AB436" s="104">
        <v>6.8</v>
      </c>
      <c r="AC436" s="107">
        <f>C436+AK436+(0.1)*AL436</f>
        <v>47.2</v>
      </c>
      <c r="AD436" s="113">
        <v>146</v>
      </c>
      <c r="AE436" s="104">
        <v>5</v>
      </c>
      <c r="AF436" s="104">
        <v>5</v>
      </c>
      <c r="AG436" s="104">
        <v>1900</v>
      </c>
      <c r="AH436" s="113">
        <v>0</v>
      </c>
      <c r="AI436" s="104">
        <f>AJ436</f>
        <v>2004</v>
      </c>
      <c r="AJ436" s="108">
        <v>2004</v>
      </c>
      <c r="AK436" s="108">
        <v>44</v>
      </c>
      <c r="AL436" s="108">
        <v>12</v>
      </c>
      <c r="AM436" s="109">
        <v>5</v>
      </c>
      <c r="AN436" s="109">
        <v>1</v>
      </c>
      <c r="AO436" s="110">
        <v>0</v>
      </c>
      <c r="AP436" s="109">
        <v>0</v>
      </c>
      <c r="AQ436" s="109">
        <v>0</v>
      </c>
      <c r="AR436" s="109">
        <v>0</v>
      </c>
      <c r="AS436" s="110">
        <v>0</v>
      </c>
      <c r="AT436" s="109">
        <v>0</v>
      </c>
      <c r="AU436" s="109">
        <v>0</v>
      </c>
      <c r="AV436" s="109">
        <v>0</v>
      </c>
      <c r="AW436" s="110">
        <v>0</v>
      </c>
      <c r="AX436" s="109">
        <v>0</v>
      </c>
      <c r="AY436" s="233"/>
      <c r="AZ436" s="4"/>
      <c r="BA436" s="35" t="str">
        <f>IF(OR(S436="North America",S436="Rocky Mountain"), "Widespread",BC436)</f>
        <v>Widespread</v>
      </c>
      <c r="BB436" s="4"/>
      <c r="BC436" s="35" t="str">
        <f ca="1">IF(BE436&gt;2046, "Abundant",BE436)</f>
        <v>Abundant</v>
      </c>
      <c r="BD436" s="4"/>
      <c r="BE436" s="81">
        <f ca="1">YEAR($C$13)+(BG436*80)</f>
        <v>2050.1273411764705</v>
      </c>
      <c r="BF436" s="4"/>
      <c r="BG436" s="137">
        <f ca="1">BH436*$BH$14</f>
        <v>0.38909176470588236</v>
      </c>
      <c r="BH436" s="137">
        <f ca="1">(((BJ436+BK436+BM436+BN436)/4)*$BM$11)+(((BP436+BQ436)/2)*$BQ$11)+(((BU436+BV436+BW436)/3)*$BU$11)+(((BY436+BZ436+CA436+CB436+CC436)/5)*$CA$11)</f>
        <v>0.38909176470588236</v>
      </c>
      <c r="BI436" s="4"/>
      <c r="BJ436" s="33">
        <f>AP436/(AM436+AO436)</f>
        <v>0</v>
      </c>
      <c r="BK436" s="33">
        <f>(AN436+AO436)/(AM436+AO436)</f>
        <v>0.2</v>
      </c>
      <c r="BL436" s="4"/>
      <c r="BM436" s="127">
        <f>CF436/102</f>
        <v>0.46274509803921571</v>
      </c>
      <c r="BN436" s="127">
        <f>C436/2</f>
        <v>1</v>
      </c>
      <c r="BO436" s="4"/>
      <c r="BP436" s="127">
        <f>(AK436)/($AW$6)</f>
        <v>0.44444444444444442</v>
      </c>
      <c r="BQ436" s="127">
        <f ca="1">(CH436-$AW$4)/((YEAR($C$13))-$AW$4)</f>
        <v>0</v>
      </c>
      <c r="BR436" s="127">
        <f>(AL436)/($AW$6)</f>
        <v>0.12121212121212122</v>
      </c>
      <c r="BS436" s="4"/>
      <c r="BT436" s="127"/>
      <c r="BU436" s="127">
        <f ca="1">(CG436-$AW$4)/((YEAR($C$13))-$AW$4)</f>
        <v>0</v>
      </c>
      <c r="BV436" s="127">
        <f>AE436/5</f>
        <v>1</v>
      </c>
      <c r="BW436" s="127">
        <f>AF436/5</f>
        <v>1</v>
      </c>
      <c r="BX436" s="4"/>
      <c r="BY436" s="148" t="str">
        <f>IF(E436="A",".98",IF(E436="B",".99",IF(E436="C","1.00",IF(E436="D","1.00" ))))</f>
        <v>1.00</v>
      </c>
      <c r="BZ436" s="127">
        <f>(CE436+7)/10</f>
        <v>1</v>
      </c>
      <c r="CA436" s="76" t="str">
        <f>IF(D436="Fern",".97",IF(D436="Grass",".99",IF(D436="Herb",".97",IF(D436="Shrub",".99",IF(D436="Tree","1.00",IF(D436="Vine",".98"))))))</f>
        <v>.97</v>
      </c>
      <c r="CB436" s="149" t="str">
        <f>IF(R436="Bogs Ponds Streams",".96", IF(R436="Coastal Areas",".97",IF(R436="Meadows Dry Open",".96",IF(R436="Forest &amp; Understory",".97",IF(R436="Moist Open",".98",IF(R436="Moist Shady",".96",IF(R436="Sub-Alpine","1.0")))))))</f>
        <v>.96</v>
      </c>
      <c r="CC436" s="76" t="str">
        <f>IF(S436="Local Endemic",".50",IF(S436="Regional Endemic",".70",IF(S436="Cascadia",".90",IF(S436="Rocky Mountain",".95",IF(S436="North America",".99")))))</f>
        <v>.99</v>
      </c>
      <c r="CD436" s="4"/>
      <c r="CE436" s="21">
        <f>IF(W436&gt;3,3,W436)</f>
        <v>3</v>
      </c>
      <c r="CF436" s="21">
        <f>IF(AC436&gt;102,102,AC436)</f>
        <v>47.2</v>
      </c>
      <c r="CG436" s="34">
        <f>IF(AI436&lt;$AW$4,$AW$4,AI436)</f>
        <v>2004</v>
      </c>
      <c r="CH436" s="34">
        <f>IF(AJ436&lt;$AW$4,$AW$4,AJ436)</f>
        <v>2004</v>
      </c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</row>
    <row r="437" spans="1:115" s="13" customFormat="1" ht="15" customHeight="1" x14ac:dyDescent="0.3">
      <c r="A437" s="235"/>
      <c r="B437" s="218"/>
      <c r="C437" s="225">
        <v>8</v>
      </c>
      <c r="D437" s="59" t="s">
        <v>2506</v>
      </c>
      <c r="E437" s="59" t="s">
        <v>2504</v>
      </c>
      <c r="F437" s="397" t="str">
        <f ca="1">IF(BC437&lt;2025, "Extinct&lt; 6Yrs?",BA437)</f>
        <v>Widespread</v>
      </c>
      <c r="G437" s="363" t="s">
        <v>525</v>
      </c>
      <c r="H437" s="363" t="s">
        <v>691</v>
      </c>
      <c r="I437" s="366" t="s">
        <v>694</v>
      </c>
      <c r="J437" s="365" t="s">
        <v>3381</v>
      </c>
      <c r="K437" s="365" t="s">
        <v>1008</v>
      </c>
      <c r="L437" s="10" t="s">
        <v>1507</v>
      </c>
      <c r="M437" s="8" t="s">
        <v>4513</v>
      </c>
      <c r="N437" s="8" t="s">
        <v>5410</v>
      </c>
      <c r="O437" s="8" t="s">
        <v>6307</v>
      </c>
      <c r="P437" s="9" t="s">
        <v>539</v>
      </c>
      <c r="Q437" s="59" t="s">
        <v>2552</v>
      </c>
      <c r="R437" s="9" t="s">
        <v>2500</v>
      </c>
      <c r="S437" s="9" t="s">
        <v>2495</v>
      </c>
      <c r="T437" s="123" t="str">
        <f>IF(R437="Bogs Ponds Streams","20",IF(R437="Coastal Areas","26",IF(R437="Meadows Dry Open","10",IF(R437="Forest &amp; Understory","14",IF(R437="Moist Open","12",IF(R437="Moist Shady","10",IF(R437="Sub-Alpine Slopes","0")))))))</f>
        <v>10</v>
      </c>
      <c r="U437" s="123" t="str">
        <f>IF(R437="Bogs Ponds Streams","52",IF(R437="Coastal Areas","51",IF(R437="Meadows Dry Open","53",IF(R437="Forest &amp; Understory","52",IF(R437="Moist Open","50",IF(R437="Moist Shady","46",IF(R437="Sub-Alpine Slopes","40")))))))</f>
        <v>53</v>
      </c>
      <c r="V437" s="123" t="str">
        <f>IF(R437="Bogs Ponds Streams","84",IF(R437="Coastal Areas","76",IF(R437="Meadows Dry Open","96", IF(R437="Forest &amp; Understory","90", IF(R437="Moist Open","88", IF(R437="Moist Shady","82", IF(R437="Sub-Alpine Slopes","80")))))))</f>
        <v>96</v>
      </c>
      <c r="W437" s="59">
        <v>20</v>
      </c>
      <c r="X437" s="59">
        <v>0</v>
      </c>
      <c r="Y437" s="59">
        <v>3500</v>
      </c>
      <c r="Z437" s="59" t="s">
        <v>2519</v>
      </c>
      <c r="AA437" s="59" t="s">
        <v>2518</v>
      </c>
      <c r="AB437" s="59">
        <v>6.8</v>
      </c>
      <c r="AC437" s="45">
        <f>C437+AK437+(0.1)*AL437</f>
        <v>43.2</v>
      </c>
      <c r="AD437" s="77">
        <v>176</v>
      </c>
      <c r="AE437" s="59">
        <v>5</v>
      </c>
      <c r="AF437" s="59">
        <v>5</v>
      </c>
      <c r="AG437" s="59">
        <v>1900</v>
      </c>
      <c r="AH437" s="77">
        <v>0</v>
      </c>
      <c r="AI437" s="59">
        <f ca="1">AJ437</f>
        <v>2019</v>
      </c>
      <c r="AJ437" s="18">
        <f ca="1">YEAR(TODAY())</f>
        <v>2019</v>
      </c>
      <c r="AK437" s="18">
        <v>33</v>
      </c>
      <c r="AL437" s="18">
        <v>22</v>
      </c>
      <c r="AM437" s="18">
        <v>1</v>
      </c>
      <c r="AN437" s="18">
        <v>1</v>
      </c>
      <c r="AO437" s="18">
        <v>5</v>
      </c>
      <c r="AP437" s="18">
        <v>1</v>
      </c>
      <c r="AQ437" s="18">
        <v>0</v>
      </c>
      <c r="AR437" s="18">
        <v>0</v>
      </c>
      <c r="AS437" s="18">
        <v>0</v>
      </c>
      <c r="AT437" s="18">
        <v>0</v>
      </c>
      <c r="AU437" s="18">
        <v>0</v>
      </c>
      <c r="AV437" s="18">
        <v>0</v>
      </c>
      <c r="AW437" s="18">
        <v>0</v>
      </c>
      <c r="AX437" s="18">
        <v>0</v>
      </c>
      <c r="AY437" s="233"/>
      <c r="AZ437" s="4"/>
      <c r="BA437" s="35" t="str">
        <f>IF(OR(S437="North America",S437="Rocky Mountain"), "Widespread",BC437)</f>
        <v>Widespread</v>
      </c>
      <c r="BB437" s="4"/>
      <c r="BC437" s="35" t="str">
        <f ca="1">IF(BE437&gt;2046, "Abundant",BE437)</f>
        <v>Abundant</v>
      </c>
      <c r="BD437" s="4"/>
      <c r="BE437" s="81">
        <f ca="1">YEAR($C$13)+(BG437*80)</f>
        <v>2110.0631529411767</v>
      </c>
      <c r="BF437" s="4"/>
      <c r="BG437" s="137">
        <f ca="1">BH437*$BH$14</f>
        <v>1.138289411764706</v>
      </c>
      <c r="BH437" s="137">
        <f ca="1">(((BJ437+BK437+BM437+BN437)/4)*$BM$11)+(((BP437+BQ437)/2)*$BQ$11)+(((BU437+BV437+BW437)/3)*$BU$11)+(((BY437+BZ437+CA437+CB437+CC437)/5)*$CA$11)</f>
        <v>1.138289411764706</v>
      </c>
      <c r="BI437" s="4"/>
      <c r="BJ437" s="33">
        <f>AP437/(AM437+AO437)</f>
        <v>0.16666666666666666</v>
      </c>
      <c r="BK437" s="33">
        <f>(AN437+AO437)/(AM437+AO437)</f>
        <v>1</v>
      </c>
      <c r="BL437" s="4"/>
      <c r="BM437" s="127">
        <f>CF437/102</f>
        <v>0.42352941176470593</v>
      </c>
      <c r="BN437" s="127">
        <f>C437/2</f>
        <v>4</v>
      </c>
      <c r="BO437" s="4"/>
      <c r="BP437" s="127">
        <f>(AK437)/($AW$6)</f>
        <v>0.33333333333333331</v>
      </c>
      <c r="BQ437" s="127">
        <f ca="1">(CH437-$AW$4)/((YEAR($C$13))-$AW$4)</f>
        <v>1</v>
      </c>
      <c r="BR437" s="127">
        <f>(AL437)/($AW$6)</f>
        <v>0.22222222222222221</v>
      </c>
      <c r="BS437" s="4"/>
      <c r="BT437" s="127"/>
      <c r="BU437" s="127">
        <f ca="1">(CG437-$AW$4)/((YEAR($C$13))-$AW$4)</f>
        <v>1</v>
      </c>
      <c r="BV437" s="127">
        <f>AE437/5</f>
        <v>1</v>
      </c>
      <c r="BW437" s="127">
        <f>AF437/5</f>
        <v>1</v>
      </c>
      <c r="BX437" s="4"/>
      <c r="BY437" s="148" t="str">
        <f>IF(E437="A",".98",IF(E437="B",".99",IF(E437="C","1.00",IF(E437="D","1.00" ))))</f>
        <v>1.00</v>
      </c>
      <c r="BZ437" s="127">
        <f>(CE437+7)/10</f>
        <v>1</v>
      </c>
      <c r="CA437" s="76" t="str">
        <f>IF(D437="Fern",".97",IF(D437="Grass",".99",IF(D437="Herb",".97",IF(D437="Shrub",".99",IF(D437="Tree","1.00",IF(D437="Vine",".98"))))))</f>
        <v>.99</v>
      </c>
      <c r="CB437" s="149" t="str">
        <f>IF(R437="Bogs Ponds Streams",".96", IF(R437="Coastal Areas",".97",IF(R437="Meadows Dry Open",".96",IF(R437="Forest &amp; Understory",".97",IF(R437="Moist Open",".98",IF(R437="Moist Shady",".96",IF(R437="Sub-Alpine","1.0")))))))</f>
        <v>.96</v>
      </c>
      <c r="CC437" s="76" t="str">
        <f>IF(S437="Local Endemic",".50",IF(S437="Regional Endemic",".70",IF(S437="Cascadia",".90",IF(S437="Rocky Mountain",".95",IF(S437="North America",".99")))))</f>
        <v>.99</v>
      </c>
      <c r="CD437" s="4"/>
      <c r="CE437" s="21">
        <f>IF(W437&gt;3,3,W437)</f>
        <v>3</v>
      </c>
      <c r="CF437" s="21">
        <f>IF(AC437&gt;102,102,AC437)</f>
        <v>43.2</v>
      </c>
      <c r="CG437" s="34">
        <f ca="1">IF(AI437&lt;$AW$4,$AW$4,AI437)</f>
        <v>2019</v>
      </c>
      <c r="CH437" s="34">
        <f ca="1">IF(AJ437&lt;$AW$4,$AW$4,AJ437)</f>
        <v>2019</v>
      </c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12"/>
    </row>
    <row r="438" spans="1:115" s="13" customFormat="1" ht="15" customHeight="1" x14ac:dyDescent="0.3">
      <c r="A438" s="235"/>
      <c r="B438" s="218"/>
      <c r="C438" s="225">
        <v>8</v>
      </c>
      <c r="D438" s="59" t="s">
        <v>2507</v>
      </c>
      <c r="E438" s="59" t="s">
        <v>2504</v>
      </c>
      <c r="F438" s="397" t="str">
        <f ca="1">IF(BC438&lt;2025, "Extinct&lt; 6Yrs?",BA438)</f>
        <v>Abundant</v>
      </c>
      <c r="G438" s="363" t="s">
        <v>525</v>
      </c>
      <c r="H438" s="363" t="s">
        <v>691</v>
      </c>
      <c r="I438" s="366" t="s">
        <v>693</v>
      </c>
      <c r="J438" s="365" t="s">
        <v>3382</v>
      </c>
      <c r="K438" s="365" t="s">
        <v>692</v>
      </c>
      <c r="L438" s="10" t="s">
        <v>2486</v>
      </c>
      <c r="M438" s="8" t="s">
        <v>4514</v>
      </c>
      <c r="N438" s="8" t="s">
        <v>2486</v>
      </c>
      <c r="O438" s="8" t="s">
        <v>6308</v>
      </c>
      <c r="P438" s="9" t="s">
        <v>539</v>
      </c>
      <c r="Q438" s="59" t="s">
        <v>2552</v>
      </c>
      <c r="R438" s="9" t="s">
        <v>2500</v>
      </c>
      <c r="S438" s="9" t="s">
        <v>2316</v>
      </c>
      <c r="T438" s="123" t="str">
        <f>IF(R438="Bogs Ponds Streams","20",IF(R438="Coastal Areas","26",IF(R438="Meadows Dry Open","10",IF(R438="Forest &amp; Understory","14",IF(R438="Moist Open","12",IF(R438="Moist Shady","10",IF(R438="Sub-Alpine Slopes","0")))))))</f>
        <v>10</v>
      </c>
      <c r="U438" s="123" t="str">
        <f>IF(R438="Bogs Ponds Streams","52",IF(R438="Coastal Areas","51",IF(R438="Meadows Dry Open","53",IF(R438="Forest &amp; Understory","52",IF(R438="Moist Open","50",IF(R438="Moist Shady","46",IF(R438="Sub-Alpine Slopes","40")))))))</f>
        <v>53</v>
      </c>
      <c r="V438" s="123" t="str">
        <f>IF(R438="Bogs Ponds Streams","84",IF(R438="Coastal Areas","76",IF(R438="Meadows Dry Open","96", IF(R438="Forest &amp; Understory","90", IF(R438="Moist Open","88", IF(R438="Moist Shady","82", IF(R438="Sub-Alpine Slopes","80")))))))</f>
        <v>96</v>
      </c>
      <c r="W438" s="59">
        <v>200</v>
      </c>
      <c r="X438" s="59">
        <v>0</v>
      </c>
      <c r="Y438" s="59">
        <v>3500</v>
      </c>
      <c r="Z438" s="59" t="s">
        <v>2519</v>
      </c>
      <c r="AA438" s="59" t="s">
        <v>2518</v>
      </c>
      <c r="AB438" s="59">
        <v>6.8</v>
      </c>
      <c r="AC438" s="45">
        <f>C438+AK438+(0.1)*AL438</f>
        <v>30</v>
      </c>
      <c r="AD438" s="77">
        <v>147</v>
      </c>
      <c r="AE438" s="59">
        <v>5</v>
      </c>
      <c r="AF438" s="59">
        <v>5</v>
      </c>
      <c r="AG438" s="59">
        <v>1900</v>
      </c>
      <c r="AH438" s="77">
        <v>0</v>
      </c>
      <c r="AI438" s="59">
        <f ca="1">AJ438</f>
        <v>2019</v>
      </c>
      <c r="AJ438" s="18">
        <f ca="1">YEAR(TODAY())</f>
        <v>2019</v>
      </c>
      <c r="AK438" s="18">
        <v>22</v>
      </c>
      <c r="AL438" s="18">
        <v>0</v>
      </c>
      <c r="AM438" s="18">
        <v>1</v>
      </c>
      <c r="AN438" s="18">
        <v>1</v>
      </c>
      <c r="AO438" s="18">
        <v>5</v>
      </c>
      <c r="AP438" s="18">
        <v>1</v>
      </c>
      <c r="AQ438" s="18">
        <v>0</v>
      </c>
      <c r="AR438" s="18">
        <v>0</v>
      </c>
      <c r="AS438" s="18">
        <v>0</v>
      </c>
      <c r="AT438" s="18">
        <v>0</v>
      </c>
      <c r="AU438" s="18">
        <v>0</v>
      </c>
      <c r="AV438" s="18">
        <v>0</v>
      </c>
      <c r="AW438" s="18">
        <v>0</v>
      </c>
      <c r="AX438" s="18">
        <v>0</v>
      </c>
      <c r="AY438" s="233"/>
      <c r="AZ438" s="4"/>
      <c r="BA438" s="35" t="str">
        <f ca="1">IF(OR(S438="North America",S438="Rocky Mountain"), "Widespread",BC438)</f>
        <v>Abundant</v>
      </c>
      <c r="BB438" s="4"/>
      <c r="BC438" s="35" t="str">
        <f ca="1">IF(BE438&gt;2046, "Abundant",BE438)</f>
        <v>Abundant</v>
      </c>
      <c r="BD438" s="4"/>
      <c r="BE438" s="81">
        <f ca="1">YEAR($C$13)+(BG438*80)</f>
        <v>2107.0232784313725</v>
      </c>
      <c r="BF438" s="4"/>
      <c r="BG438" s="137">
        <f ca="1">BH438*$BH$14</f>
        <v>1.100290980392157</v>
      </c>
      <c r="BH438" s="137">
        <f ca="1">(((BJ438+BK438+BM438+BN438)/4)*$BM$11)+(((BP438+BQ438)/2)*$BQ$11)+(((BU438+BV438+BW438)/3)*$BU$11)+(((BY438+BZ438+CA438+CB438+CC438)/5)*$CA$11)</f>
        <v>1.100290980392157</v>
      </c>
      <c r="BI438" s="4"/>
      <c r="BJ438" s="33">
        <f>AP438/(AM438+AO438)</f>
        <v>0.16666666666666666</v>
      </c>
      <c r="BK438" s="33">
        <f>(AN438+AO438)/(AM438+AO438)</f>
        <v>1</v>
      </c>
      <c r="BL438" s="4"/>
      <c r="BM438" s="127">
        <f>CF438/102</f>
        <v>0.29411764705882354</v>
      </c>
      <c r="BN438" s="127">
        <f>C438/2</f>
        <v>4</v>
      </c>
      <c r="BO438" s="4"/>
      <c r="BP438" s="127">
        <f>(AK438)/($AW$6)</f>
        <v>0.22222222222222221</v>
      </c>
      <c r="BQ438" s="127">
        <f ca="1">(CH438-$AW$4)/((YEAR($C$13))-$AW$4)</f>
        <v>1</v>
      </c>
      <c r="BR438" s="127">
        <f>(AL438)/($AW$6)</f>
        <v>0</v>
      </c>
      <c r="BS438" s="4"/>
      <c r="BT438" s="127"/>
      <c r="BU438" s="127">
        <f ca="1">(CG438-$AW$4)/((YEAR($C$13))-$AW$4)</f>
        <v>1</v>
      </c>
      <c r="BV438" s="127">
        <f>AE438/5</f>
        <v>1</v>
      </c>
      <c r="BW438" s="127">
        <f>AF438/5</f>
        <v>1</v>
      </c>
      <c r="BX438" s="4"/>
      <c r="BY438" s="148" t="str">
        <f>IF(E438="A",".98",IF(E438="B",".99",IF(E438="C","1.00",IF(E438="D","1.00" ))))</f>
        <v>1.00</v>
      </c>
      <c r="BZ438" s="127">
        <f>(CE438+7)/10</f>
        <v>1</v>
      </c>
      <c r="CA438" s="76" t="str">
        <f>IF(D438="Fern",".97",IF(D438="Grass",".99",IF(D438="Herb",".97",IF(D438="Shrub",".99",IF(D438="Tree","1.00",IF(D438="Vine",".98"))))))</f>
        <v>1.00</v>
      </c>
      <c r="CB438" s="149" t="str">
        <f>IF(R438="Bogs Ponds Streams",".96", IF(R438="Coastal Areas",".97",IF(R438="Meadows Dry Open",".96",IF(R438="Forest &amp; Understory",".97",IF(R438="Moist Open",".98",IF(R438="Moist Shady",".96",IF(R438="Sub-Alpine","1.0")))))))</f>
        <v>.96</v>
      </c>
      <c r="CC438" s="76" t="str">
        <f>IF(S438="Local Endemic",".50",IF(S438="Regional Endemic",".70",IF(S438="Cascadia",".90",IF(S438="Rocky Mountain",".95",IF(S438="North America",".99")))))</f>
        <v>.50</v>
      </c>
      <c r="CD438" s="4"/>
      <c r="CE438" s="21">
        <f>IF(W438&gt;3,3,W438)</f>
        <v>3</v>
      </c>
      <c r="CF438" s="21">
        <f>IF(AC438&gt;102,102,AC438)</f>
        <v>30</v>
      </c>
      <c r="CG438" s="34">
        <f ca="1">IF(AI438&lt;$AW$4,$AW$4,AI438)</f>
        <v>2019</v>
      </c>
      <c r="CH438" s="34">
        <f ca="1">IF(AJ438&lt;$AW$4,$AW$4,AJ438)</f>
        <v>2019</v>
      </c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12"/>
    </row>
    <row r="439" spans="1:115" s="13" customFormat="1" ht="15" customHeight="1" x14ac:dyDescent="0.3">
      <c r="A439" s="235"/>
      <c r="B439" s="218"/>
      <c r="C439" s="225">
        <v>8</v>
      </c>
      <c r="D439" s="96" t="s">
        <v>2507</v>
      </c>
      <c r="E439" s="59" t="s">
        <v>2504</v>
      </c>
      <c r="F439" s="397" t="str">
        <f ca="1">IF(BC439&lt;2025, "Extinct&lt; 6Yrs?",BA439)</f>
        <v>Abundant</v>
      </c>
      <c r="G439" s="363" t="s">
        <v>525</v>
      </c>
      <c r="H439" s="363" t="s">
        <v>691</v>
      </c>
      <c r="I439" s="364" t="s">
        <v>1195</v>
      </c>
      <c r="J439" s="365" t="s">
        <v>3383</v>
      </c>
      <c r="K439" s="365" t="s">
        <v>1194</v>
      </c>
      <c r="L439" s="17" t="s">
        <v>1508</v>
      </c>
      <c r="M439" s="8" t="s">
        <v>4515</v>
      </c>
      <c r="N439" s="8" t="s">
        <v>5411</v>
      </c>
      <c r="O439" s="8" t="s">
        <v>6309</v>
      </c>
      <c r="P439" s="9" t="s">
        <v>539</v>
      </c>
      <c r="Q439" s="59" t="s">
        <v>2552</v>
      </c>
      <c r="R439" s="160" t="s">
        <v>2497</v>
      </c>
      <c r="S439" s="17" t="s">
        <v>2459</v>
      </c>
      <c r="T439" s="123" t="str">
        <f>IF(R439="Bogs Ponds Streams","20",IF(R439="Coastal Areas","26",IF(R439="Meadows Dry Open","10",IF(R439="Forest &amp; Understory","14",IF(R439="Moist Open","12",IF(R439="Moist Shady","10",IF(R439="Sub-Alpine Slopes","0")))))))</f>
        <v>12</v>
      </c>
      <c r="U439" s="123" t="str">
        <f>IF(R439="Bogs Ponds Streams","52",IF(R439="Coastal Areas","51",IF(R439="Meadows Dry Open","53",IF(R439="Forest &amp; Understory","52",IF(R439="Moist Open","50",IF(R439="Moist Shady","46",IF(R439="Sub-Alpine Slopes","40")))))))</f>
        <v>50</v>
      </c>
      <c r="V439" s="123" t="str">
        <f>IF(R439="Bogs Ponds Streams","84",IF(R439="Coastal Areas","76",IF(R439="Meadows Dry Open","96", IF(R439="Forest &amp; Understory","90", IF(R439="Moist Open","88", IF(R439="Moist Shady","82", IF(R439="Sub-Alpine Slopes","80")))))))</f>
        <v>88</v>
      </c>
      <c r="W439" s="59">
        <v>200</v>
      </c>
      <c r="X439" s="59">
        <v>0</v>
      </c>
      <c r="Y439" s="59">
        <v>3500</v>
      </c>
      <c r="Z439" s="59" t="s">
        <v>2519</v>
      </c>
      <c r="AA439" s="59" t="s">
        <v>2518</v>
      </c>
      <c r="AB439" s="59">
        <v>6.8</v>
      </c>
      <c r="AC439" s="45">
        <f>C439+AK439+(0.1)*AL439</f>
        <v>8.9</v>
      </c>
      <c r="AD439" s="77">
        <v>44</v>
      </c>
      <c r="AE439" s="59">
        <v>5</v>
      </c>
      <c r="AF439" s="59">
        <v>5</v>
      </c>
      <c r="AG439" s="59">
        <v>1900</v>
      </c>
      <c r="AH439" s="77">
        <v>0</v>
      </c>
      <c r="AI439" s="59">
        <f ca="1">AJ439</f>
        <v>2019</v>
      </c>
      <c r="AJ439" s="18">
        <f ca="1">YEAR(TODAY())</f>
        <v>2019</v>
      </c>
      <c r="AK439" s="18">
        <v>0</v>
      </c>
      <c r="AL439" s="18">
        <v>9</v>
      </c>
      <c r="AM439" s="18">
        <v>1</v>
      </c>
      <c r="AN439" s="18">
        <v>1</v>
      </c>
      <c r="AO439" s="24">
        <v>1</v>
      </c>
      <c r="AP439" s="24">
        <v>0</v>
      </c>
      <c r="AQ439" s="18">
        <v>0</v>
      </c>
      <c r="AR439" s="18">
        <v>0</v>
      </c>
      <c r="AS439" s="18">
        <v>0</v>
      </c>
      <c r="AT439" s="18">
        <v>0</v>
      </c>
      <c r="AU439" s="18">
        <v>0</v>
      </c>
      <c r="AV439" s="18">
        <v>0</v>
      </c>
      <c r="AW439" s="18">
        <v>0</v>
      </c>
      <c r="AX439" s="18">
        <v>0</v>
      </c>
      <c r="AY439" s="233"/>
      <c r="AZ439" s="4"/>
      <c r="BA439" s="35" t="str">
        <f ca="1">IF(OR(S439="North America",S439="Rocky Mountain"), "Widespread",BC439)</f>
        <v>Abundant</v>
      </c>
      <c r="BB439" s="4"/>
      <c r="BC439" s="35" t="str">
        <f ca="1">IF(BE439&gt;2046, "Abundant",BE439)</f>
        <v>Abundant</v>
      </c>
      <c r="BD439" s="4"/>
      <c r="BE439" s="81">
        <f ca="1">YEAR($C$13)+(BG439*80)</f>
        <v>2100.0086588235295</v>
      </c>
      <c r="BF439" s="4"/>
      <c r="BG439" s="137">
        <f ca="1">BH439*$BH$14</f>
        <v>1.0126082352941177</v>
      </c>
      <c r="BH439" s="137">
        <f ca="1">(((BJ439+BK439+BM439+BN439)/4)*$BM$11)+(((BP439+BQ439)/2)*$BQ$11)+(((BU439+BV439+BW439)/3)*$BU$11)+(((BY439+BZ439+CA439+CB439+CC439)/5)*$CA$11)</f>
        <v>1.0126082352941177</v>
      </c>
      <c r="BI439" s="4"/>
      <c r="BJ439" s="33">
        <f>AP439/(AM439+AO439)</f>
        <v>0</v>
      </c>
      <c r="BK439" s="33">
        <f>(AN439+AO439)/(AM439+AO439)</f>
        <v>1</v>
      </c>
      <c r="BL439" s="4"/>
      <c r="BM439" s="127">
        <f>CF439/102</f>
        <v>8.7254901960784323E-2</v>
      </c>
      <c r="BN439" s="127">
        <f>C439/2</f>
        <v>4</v>
      </c>
      <c r="BO439" s="4"/>
      <c r="BP439" s="127">
        <f>(AK439)/($AW$6)</f>
        <v>0</v>
      </c>
      <c r="BQ439" s="127">
        <f ca="1">(CH439-$AW$4)/((YEAR($C$13))-$AW$4)</f>
        <v>1</v>
      </c>
      <c r="BR439" s="127">
        <f>(AL439)/($AW$6)</f>
        <v>9.0909090909090912E-2</v>
      </c>
      <c r="BS439" s="4"/>
      <c r="BT439" s="127"/>
      <c r="BU439" s="127">
        <f ca="1">(CG439-$AW$4)/((YEAR($C$13))-$AW$4)</f>
        <v>1</v>
      </c>
      <c r="BV439" s="127">
        <f>AE439/5</f>
        <v>1</v>
      </c>
      <c r="BW439" s="127">
        <f>AF439/5</f>
        <v>1</v>
      </c>
      <c r="BX439" s="4"/>
      <c r="BY439" s="148" t="str">
        <f>IF(E439="A",".98",IF(E439="B",".99",IF(E439="C","1.00",IF(E439="D","1.00" ))))</f>
        <v>1.00</v>
      </c>
      <c r="BZ439" s="127">
        <f>(CE439+7)/10</f>
        <v>1</v>
      </c>
      <c r="CA439" s="76" t="str">
        <f>IF(D439="Fern",".97",IF(D439="Grass",".99",IF(D439="Herb",".97",IF(D439="Shrub",".99",IF(D439="Tree","1.00",IF(D439="Vine",".98"))))))</f>
        <v>1.00</v>
      </c>
      <c r="CB439" s="149" t="str">
        <f>IF(R439="Bogs Ponds Streams",".96", IF(R439="Coastal Areas",".97",IF(R439="Meadows Dry Open",".96",IF(R439="Forest &amp; Understory",".97",IF(R439="Moist Open",".98",IF(R439="Moist Shady",".96",IF(R439="Sub-Alpine","1.0")))))))</f>
        <v>.98</v>
      </c>
      <c r="CC439" s="76" t="str">
        <f>IF(S439="Local Endemic",".50",IF(S439="Regional Endemic",".70",IF(S439="Cascadia",".90",IF(S439="Rocky Mountain",".95",IF(S439="North America",".99")))))</f>
        <v>.90</v>
      </c>
      <c r="CD439" s="4"/>
      <c r="CE439" s="21">
        <f>IF(W439&gt;3,3,W439)</f>
        <v>3</v>
      </c>
      <c r="CF439" s="21">
        <f>IF(AC439&gt;102,102,AC439)</f>
        <v>8.9</v>
      </c>
      <c r="CG439" s="34">
        <f ca="1">IF(AI439&lt;$AW$4,$AW$4,AI439)</f>
        <v>2019</v>
      </c>
      <c r="CH439" s="34">
        <f ca="1">IF(AJ439&lt;$AW$4,$AW$4,AJ439)</f>
        <v>2019</v>
      </c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12"/>
    </row>
    <row r="440" spans="1:115" s="13" customFormat="1" ht="15" customHeight="1" x14ac:dyDescent="0.3">
      <c r="A440" s="235"/>
      <c r="B440" s="218"/>
      <c r="C440" s="225">
        <v>8</v>
      </c>
      <c r="D440" s="59" t="s">
        <v>2507</v>
      </c>
      <c r="E440" s="59" t="s">
        <v>2504</v>
      </c>
      <c r="F440" s="397" t="str">
        <f ca="1">IF(BC440&lt;2025, "Extinct&lt; 6Yrs?",BA440)</f>
        <v>Widespread</v>
      </c>
      <c r="G440" s="363" t="s">
        <v>525</v>
      </c>
      <c r="H440" s="363" t="s">
        <v>691</v>
      </c>
      <c r="I440" s="366" t="s">
        <v>538</v>
      </c>
      <c r="J440" s="365" t="s">
        <v>3410</v>
      </c>
      <c r="K440" s="365" t="s">
        <v>537</v>
      </c>
      <c r="L440" s="10" t="s">
        <v>1509</v>
      </c>
      <c r="M440" s="8" t="s">
        <v>4516</v>
      </c>
      <c r="N440" s="8" t="s">
        <v>5412</v>
      </c>
      <c r="O440" s="8" t="s">
        <v>6310</v>
      </c>
      <c r="P440" s="9" t="s">
        <v>539</v>
      </c>
      <c r="Q440" s="59" t="s">
        <v>2552</v>
      </c>
      <c r="R440" s="9" t="s">
        <v>2453</v>
      </c>
      <c r="S440" s="9" t="s">
        <v>2479</v>
      </c>
      <c r="T440" s="123" t="str">
        <f>IF(R440="Bogs Ponds Streams","20",IF(R440="Coastal Areas","26",IF(R440="Meadows Dry Open","10",IF(R440="Forest &amp; Understory","14",IF(R440="Moist Open","12",IF(R440="Moist Shady","10",IF(R440="Sub-Alpine Slopes","0")))))))</f>
        <v>26</v>
      </c>
      <c r="U440" s="123" t="str">
        <f>IF(R440="Bogs Ponds Streams","52",IF(R440="Coastal Areas","51",IF(R440="Meadows Dry Open","53",IF(R440="Forest &amp; Understory","52",IF(R440="Moist Open","50",IF(R440="Moist Shady","46",IF(R440="Sub-Alpine Slopes","40")))))))</f>
        <v>51</v>
      </c>
      <c r="V440" s="123" t="str">
        <f>IF(R440="Bogs Ponds Streams","84",IF(R440="Coastal Areas","76",IF(R440="Meadows Dry Open","96", IF(R440="Forest &amp; Understory","90", IF(R440="Moist Open","88", IF(R440="Moist Shady","82", IF(R440="Sub-Alpine Slopes","80")))))))</f>
        <v>76</v>
      </c>
      <c r="W440" s="59">
        <v>200</v>
      </c>
      <c r="X440" s="59">
        <v>0</v>
      </c>
      <c r="Y440" s="59">
        <v>3500</v>
      </c>
      <c r="Z440" s="59" t="s">
        <v>2519</v>
      </c>
      <c r="AA440" s="59" t="s">
        <v>2518</v>
      </c>
      <c r="AB440" s="59">
        <v>6.8</v>
      </c>
      <c r="AC440" s="45">
        <f>C440+AK440+(0.1)*AL440</f>
        <v>32.200000000000003</v>
      </c>
      <c r="AD440" s="77">
        <v>147</v>
      </c>
      <c r="AE440" s="59">
        <v>5</v>
      </c>
      <c r="AF440" s="59">
        <v>5</v>
      </c>
      <c r="AG440" s="59">
        <v>1900</v>
      </c>
      <c r="AH440" s="77">
        <v>0</v>
      </c>
      <c r="AI440" s="59">
        <f ca="1">AJ440</f>
        <v>2019</v>
      </c>
      <c r="AJ440" s="18">
        <f ca="1">YEAR(TODAY())</f>
        <v>2019</v>
      </c>
      <c r="AK440" s="18">
        <v>22</v>
      </c>
      <c r="AL440" s="18">
        <v>22</v>
      </c>
      <c r="AM440" s="18">
        <v>1</v>
      </c>
      <c r="AN440" s="18">
        <v>1</v>
      </c>
      <c r="AO440" s="18">
        <v>5</v>
      </c>
      <c r="AP440" s="18">
        <v>1</v>
      </c>
      <c r="AQ440" s="18">
        <v>0</v>
      </c>
      <c r="AR440" s="18">
        <v>0</v>
      </c>
      <c r="AS440" s="18">
        <v>0</v>
      </c>
      <c r="AT440" s="18">
        <v>0</v>
      </c>
      <c r="AU440" s="18">
        <v>0</v>
      </c>
      <c r="AV440" s="18">
        <v>0</v>
      </c>
      <c r="AW440" s="18">
        <v>0</v>
      </c>
      <c r="AX440" s="18">
        <v>0</v>
      </c>
      <c r="AY440" s="233"/>
      <c r="AZ440" s="4"/>
      <c r="BA440" s="35" t="str">
        <f>IF(OR(S440="North America",S440="Rocky Mountain"), "Widespread",BC440)</f>
        <v>Widespread</v>
      </c>
      <c r="BB440" s="4"/>
      <c r="BC440" s="35" t="str">
        <f ca="1">IF(BE440&gt;2046, "Abundant",BE440)</f>
        <v>Abundant</v>
      </c>
      <c r="BD440" s="4"/>
      <c r="BE440" s="81">
        <f ca="1">YEAR($C$13)+(BG440*80)</f>
        <v>2107.4293019607844</v>
      </c>
      <c r="BF440" s="4"/>
      <c r="BG440" s="137">
        <f ca="1">BH440*$BH$14</f>
        <v>1.1053662745098041</v>
      </c>
      <c r="BH440" s="137">
        <f ca="1">(((BJ440+BK440+BM440+BN440)/4)*$BM$11)+(((BP440+BQ440)/2)*$BQ$11)+(((BU440+BV440+BW440)/3)*$BU$11)+(((BY440+BZ440+CA440+CB440+CC440)/5)*$CA$11)</f>
        <v>1.1053662745098041</v>
      </c>
      <c r="BI440" s="4"/>
      <c r="BJ440" s="33">
        <f>AP440/(AM440+AO440)</f>
        <v>0.16666666666666666</v>
      </c>
      <c r="BK440" s="33">
        <f>(AN440+AO440)/(AM440+AO440)</f>
        <v>1</v>
      </c>
      <c r="BL440" s="4"/>
      <c r="BM440" s="127">
        <f>CF440/102</f>
        <v>0.31568627450980397</v>
      </c>
      <c r="BN440" s="127">
        <f>C440/2</f>
        <v>4</v>
      </c>
      <c r="BO440" s="4"/>
      <c r="BP440" s="127">
        <f>(AK440)/($AW$6)</f>
        <v>0.22222222222222221</v>
      </c>
      <c r="BQ440" s="127">
        <f ca="1">(CH440-$AW$4)/((YEAR($C$13))-$AW$4)</f>
        <v>1</v>
      </c>
      <c r="BR440" s="127">
        <f>(AL440)/($AW$6)</f>
        <v>0.22222222222222221</v>
      </c>
      <c r="BS440" s="4"/>
      <c r="BT440" s="127"/>
      <c r="BU440" s="127">
        <f ca="1">(CG440-$AW$4)/((YEAR($C$13))-$AW$4)</f>
        <v>1</v>
      </c>
      <c r="BV440" s="127">
        <f>AE440/5</f>
        <v>1</v>
      </c>
      <c r="BW440" s="127">
        <f>AF440/5</f>
        <v>1</v>
      </c>
      <c r="BX440" s="4"/>
      <c r="BY440" s="148" t="str">
        <f>IF(E440="A",".98",IF(E440="B",".99",IF(E440="C","1.00",IF(E440="D","1.00" ))))</f>
        <v>1.00</v>
      </c>
      <c r="BZ440" s="127">
        <f>(CE440+7)/10</f>
        <v>1</v>
      </c>
      <c r="CA440" s="76" t="str">
        <f>IF(D440="Fern",".97",IF(D440="Grass",".99",IF(D440="Herb",".97",IF(D440="Shrub",".99",IF(D440="Tree","1.00",IF(D440="Vine",".98"))))))</f>
        <v>1.00</v>
      </c>
      <c r="CB440" s="149" t="str">
        <f>IF(R440="Bogs Ponds Streams",".96", IF(R440="Coastal Areas",".97",IF(R440="Meadows Dry Open",".96",IF(R440="Forest &amp; Understory",".97",IF(R440="Moist Open",".98",IF(R440="Moist Shady",".96",IF(R440="Sub-Alpine","1.0")))))))</f>
        <v>.97</v>
      </c>
      <c r="CC440" s="76" t="str">
        <f>IF(S440="Local Endemic",".50",IF(S440="Regional Endemic",".70",IF(S440="Cascadia",".90",IF(S440="Rocky Mountain",".95",IF(S440="North America",".99")))))</f>
        <v>.95</v>
      </c>
      <c r="CD440" s="4"/>
      <c r="CE440" s="21">
        <f>IF(W440&gt;3,3,W440)</f>
        <v>3</v>
      </c>
      <c r="CF440" s="21">
        <f>IF(AC440&gt;102,102,AC440)</f>
        <v>32.200000000000003</v>
      </c>
      <c r="CG440" s="34">
        <f ca="1">IF(AI440&lt;$AW$4,$AW$4,AI440)</f>
        <v>2019</v>
      </c>
      <c r="CH440" s="34">
        <f ca="1">IF(AJ440&lt;$AW$4,$AW$4,AJ440)</f>
        <v>2019</v>
      </c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12"/>
    </row>
    <row r="441" spans="1:115" s="13" customFormat="1" ht="15" customHeight="1" x14ac:dyDescent="0.3">
      <c r="A441" s="235"/>
      <c r="B441" s="218"/>
      <c r="C441" s="225">
        <v>8</v>
      </c>
      <c r="D441" s="94" t="s">
        <v>1155</v>
      </c>
      <c r="E441" s="59" t="s">
        <v>2501</v>
      </c>
      <c r="F441" s="397" t="str">
        <f ca="1">IF(BC441&lt;2025, "Extinct&lt; 6Yrs?",BA441)</f>
        <v>Widespread</v>
      </c>
      <c r="G441" s="363" t="s">
        <v>525</v>
      </c>
      <c r="H441" s="363" t="s">
        <v>680</v>
      </c>
      <c r="I441" s="366" t="s">
        <v>3080</v>
      </c>
      <c r="J441" s="365" t="s">
        <v>3384</v>
      </c>
      <c r="K441" s="365" t="s">
        <v>1009</v>
      </c>
      <c r="L441" s="10" t="s">
        <v>1510</v>
      </c>
      <c r="M441" s="8" t="s">
        <v>4517</v>
      </c>
      <c r="N441" s="8" t="s">
        <v>5413</v>
      </c>
      <c r="O441" s="8" t="s">
        <v>6311</v>
      </c>
      <c r="P441" s="9" t="s">
        <v>468</v>
      </c>
      <c r="Q441" s="59" t="s">
        <v>2552</v>
      </c>
      <c r="R441" s="9" t="s">
        <v>2500</v>
      </c>
      <c r="S441" s="9" t="s">
        <v>2495</v>
      </c>
      <c r="T441" s="123" t="str">
        <f>IF(R441="Bogs Ponds Streams","20",IF(R441="Coastal Areas","26",IF(R441="Meadows Dry Open","10",IF(R441="Forest &amp; Understory","14",IF(R441="Moist Open","12",IF(R441="Moist Shady","10",IF(R441="Sub-Alpine Slopes","0")))))))</f>
        <v>10</v>
      </c>
      <c r="U441" s="123" t="str">
        <f>IF(R441="Bogs Ponds Streams","52",IF(R441="Coastal Areas","51",IF(R441="Meadows Dry Open","53",IF(R441="Forest &amp; Understory","52",IF(R441="Moist Open","50",IF(R441="Moist Shady","46",IF(R441="Sub-Alpine Slopes","40")))))))</f>
        <v>53</v>
      </c>
      <c r="V441" s="123" t="str">
        <f>IF(R441="Bogs Ponds Streams","84",IF(R441="Coastal Areas","76",IF(R441="Meadows Dry Open","96", IF(R441="Forest &amp; Understory","90", IF(R441="Moist Open","88", IF(R441="Moist Shady","82", IF(R441="Sub-Alpine Slopes","80")))))))</f>
        <v>96</v>
      </c>
      <c r="W441" s="59">
        <v>20</v>
      </c>
      <c r="X441" s="59">
        <v>0</v>
      </c>
      <c r="Y441" s="59">
        <v>3500</v>
      </c>
      <c r="Z441" s="59" t="s">
        <v>2519</v>
      </c>
      <c r="AA441" s="59" t="s">
        <v>2518</v>
      </c>
      <c r="AB441" s="59">
        <v>6.8</v>
      </c>
      <c r="AC441" s="45">
        <f>C441+AK441+(0.1)*AL441</f>
        <v>33.299999999999997</v>
      </c>
      <c r="AD441" s="77">
        <v>220</v>
      </c>
      <c r="AE441" s="59">
        <v>5</v>
      </c>
      <c r="AF441" s="59">
        <v>5</v>
      </c>
      <c r="AG441" s="59">
        <v>1900</v>
      </c>
      <c r="AH441" s="77">
        <v>0</v>
      </c>
      <c r="AI441" s="59">
        <f ca="1">AJ441</f>
        <v>2019</v>
      </c>
      <c r="AJ441" s="18">
        <f ca="1">YEAR(TODAY())</f>
        <v>2019</v>
      </c>
      <c r="AK441" s="18">
        <v>22</v>
      </c>
      <c r="AL441" s="18">
        <v>33</v>
      </c>
      <c r="AM441" s="18">
        <v>1</v>
      </c>
      <c r="AN441" s="18">
        <v>1</v>
      </c>
      <c r="AO441" s="18">
        <v>5</v>
      </c>
      <c r="AP441" s="18">
        <v>1</v>
      </c>
      <c r="AQ441" s="18">
        <v>0</v>
      </c>
      <c r="AR441" s="18">
        <v>0</v>
      </c>
      <c r="AS441" s="18">
        <v>0</v>
      </c>
      <c r="AT441" s="18">
        <v>0</v>
      </c>
      <c r="AU441" s="18">
        <v>0</v>
      </c>
      <c r="AV441" s="18">
        <v>0</v>
      </c>
      <c r="AW441" s="18">
        <v>0</v>
      </c>
      <c r="AX441" s="18">
        <v>0</v>
      </c>
      <c r="AY441" s="233"/>
      <c r="AZ441" s="4"/>
      <c r="BA441" s="35" t="str">
        <f>IF(OR(S441="North America",S441="Rocky Mountain"), "Widespread",BC441)</f>
        <v>Widespread</v>
      </c>
      <c r="BB441" s="4"/>
      <c r="BC441" s="35" t="str">
        <f ca="1">IF(BE441&gt;2046, "Abundant",BE441)</f>
        <v>Abundant</v>
      </c>
      <c r="BD441" s="4"/>
      <c r="BE441" s="81">
        <f ca="1">YEAR($C$13)+(BG441*80)</f>
        <v>2107.5651137254904</v>
      </c>
      <c r="BF441" s="4"/>
      <c r="BG441" s="137">
        <f ca="1">BH441*$BH$14</f>
        <v>1.1070639215686275</v>
      </c>
      <c r="BH441" s="137">
        <f ca="1">(((BJ441+BK441+BM441+BN441)/4)*$BM$11)+(((BP441+BQ441)/2)*$BQ$11)+(((BU441+BV441+BW441)/3)*$BU$11)+(((BY441+BZ441+CA441+CB441+CC441)/5)*$CA$11)</f>
        <v>1.1070639215686275</v>
      </c>
      <c r="BI441" s="4"/>
      <c r="BJ441" s="33">
        <f>AP441/(AM441+AO441)</f>
        <v>0.16666666666666666</v>
      </c>
      <c r="BK441" s="33">
        <f>(AN441+AO441)/(AM441+AO441)</f>
        <v>1</v>
      </c>
      <c r="BL441" s="4"/>
      <c r="BM441" s="127">
        <f>CF441/102</f>
        <v>0.32647058823529407</v>
      </c>
      <c r="BN441" s="127">
        <f>C441/2</f>
        <v>4</v>
      </c>
      <c r="BO441" s="4"/>
      <c r="BP441" s="127">
        <f>(AK441)/($AW$6)</f>
        <v>0.22222222222222221</v>
      </c>
      <c r="BQ441" s="127">
        <f ca="1">(CH441-$AW$4)/((YEAR($C$13))-$AW$4)</f>
        <v>1</v>
      </c>
      <c r="BR441" s="127">
        <f>(AL441)/($AW$6)</f>
        <v>0.33333333333333331</v>
      </c>
      <c r="BS441" s="4"/>
      <c r="BT441" s="127"/>
      <c r="BU441" s="127">
        <f ca="1">(CG441-$AW$4)/((YEAR($C$13))-$AW$4)</f>
        <v>1</v>
      </c>
      <c r="BV441" s="127">
        <f>AE441/5</f>
        <v>1</v>
      </c>
      <c r="BW441" s="127">
        <f>AF441/5</f>
        <v>1</v>
      </c>
      <c r="BX441" s="4"/>
      <c r="BY441" s="148" t="str">
        <f>IF(E441="A",".98",IF(E441="B",".99",IF(E441="C","1.00",IF(E441="D","1.00" ))))</f>
        <v>1.00</v>
      </c>
      <c r="BZ441" s="127">
        <f>(CE441+7)/10</f>
        <v>1</v>
      </c>
      <c r="CA441" s="76" t="str">
        <f>IF(D441="Fern",".97",IF(D441="Grass",".99",IF(D441="Herb",".97",IF(D441="Shrub",".99",IF(D441="Tree","1.00",IF(D441="Vine",".98"))))))</f>
        <v>.99</v>
      </c>
      <c r="CB441" s="149" t="str">
        <f>IF(R441="Bogs Ponds Streams",".96", IF(R441="Coastal Areas",".97",IF(R441="Meadows Dry Open",".96",IF(R441="Forest &amp; Understory",".97",IF(R441="Moist Open",".98",IF(R441="Moist Shady",".96",IF(R441="Sub-Alpine","1.0")))))))</f>
        <v>.96</v>
      </c>
      <c r="CC441" s="76" t="str">
        <f>IF(S441="Local Endemic",".50",IF(S441="Regional Endemic",".70",IF(S441="Cascadia",".90",IF(S441="Rocky Mountain",".95",IF(S441="North America",".99")))))</f>
        <v>.99</v>
      </c>
      <c r="CD441" s="4"/>
      <c r="CE441" s="21">
        <f>IF(W441&gt;3,3,W441)</f>
        <v>3</v>
      </c>
      <c r="CF441" s="21">
        <f>IF(AC441&gt;102,102,AC441)</f>
        <v>33.299999999999997</v>
      </c>
      <c r="CG441" s="34">
        <f ca="1">IF(AI441&lt;$AW$4,$AW$4,AI441)</f>
        <v>2019</v>
      </c>
      <c r="CH441" s="34">
        <f ca="1">IF(AJ441&lt;$AW$4,$AW$4,AJ441)</f>
        <v>2019</v>
      </c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</row>
    <row r="442" spans="1:115" s="13" customFormat="1" ht="15" customHeight="1" x14ac:dyDescent="0.3">
      <c r="A442" s="235"/>
      <c r="B442" s="218"/>
      <c r="C442" s="375">
        <v>1</v>
      </c>
      <c r="D442" s="68" t="s">
        <v>2505</v>
      </c>
      <c r="E442" s="67" t="s">
        <v>2501</v>
      </c>
      <c r="F442" s="403">
        <f ca="1">IF(BC442&lt;2025, "Extinct&lt; 6Yrs?",BA442)</f>
        <v>2033.3249055258466</v>
      </c>
      <c r="G442" s="376" t="s">
        <v>525</v>
      </c>
      <c r="H442" s="376" t="s">
        <v>4028</v>
      </c>
      <c r="I442" s="63" t="s">
        <v>3167</v>
      </c>
      <c r="J442" s="378" t="s">
        <v>3589</v>
      </c>
      <c r="K442" s="378" t="s">
        <v>1011</v>
      </c>
      <c r="L442" s="65" t="s">
        <v>2126</v>
      </c>
      <c r="M442" s="64" t="s">
        <v>4993</v>
      </c>
      <c r="N442" s="64" t="s">
        <v>5414</v>
      </c>
      <c r="O442" s="64" t="s">
        <v>6312</v>
      </c>
      <c r="P442" s="404" t="s">
        <v>667</v>
      </c>
      <c r="Q442" s="67" t="s">
        <v>2552</v>
      </c>
      <c r="R442" s="163" t="s">
        <v>2497</v>
      </c>
      <c r="S442" s="65" t="s">
        <v>2459</v>
      </c>
      <c r="T442" s="134" t="str">
        <f>IF(R442="Bogs Ponds Streams","20",IF(R442="Coastal Areas","26",IF(R442="Meadows Dry Open","10",IF(R442="Forest &amp; Understory","14",IF(R442="Moist Open","12",IF(R442="Moist Shady","10",IF(R442="Sub-Alpine Slopes","0")))))))</f>
        <v>12</v>
      </c>
      <c r="U442" s="134" t="str">
        <f>IF(R442="Bogs Ponds Streams","52",IF(R442="Coastal Areas","51",IF(R442="Meadows Dry Open","53",IF(R442="Forest &amp; Understory","52",IF(R442="Moist Open","50",IF(R442="Moist Shady","46",IF(R442="Sub-Alpine Slopes","40")))))))</f>
        <v>50</v>
      </c>
      <c r="V442" s="134" t="str">
        <f>IF(R442="Bogs Ponds Streams","84",IF(R442="Coastal Areas","76",IF(R442="Meadows Dry Open","96", IF(R442="Forest &amp; Understory","90", IF(R442="Moist Open","88", IF(R442="Moist Shady","82", IF(R442="Sub-Alpine Slopes","80")))))))</f>
        <v>88</v>
      </c>
      <c r="W442" s="67">
        <v>20</v>
      </c>
      <c r="X442" s="67">
        <v>0</v>
      </c>
      <c r="Y442" s="67">
        <v>3500</v>
      </c>
      <c r="Z442" s="67" t="s">
        <v>2519</v>
      </c>
      <c r="AA442" s="67" t="s">
        <v>2518</v>
      </c>
      <c r="AB442" s="67">
        <v>6.8</v>
      </c>
      <c r="AC442" s="85">
        <f>C442+AK442+(0.1)*AL442</f>
        <v>11</v>
      </c>
      <c r="AD442" s="78">
        <v>52</v>
      </c>
      <c r="AE442" s="67">
        <v>5</v>
      </c>
      <c r="AF442" s="67">
        <v>5</v>
      </c>
      <c r="AG442" s="67">
        <v>1900</v>
      </c>
      <c r="AH442" s="78">
        <v>0</v>
      </c>
      <c r="AI442" s="67">
        <f>AJ442</f>
        <v>2004</v>
      </c>
      <c r="AJ442" s="69">
        <v>2004</v>
      </c>
      <c r="AK442" s="69">
        <v>10</v>
      </c>
      <c r="AL442" s="69">
        <v>0</v>
      </c>
      <c r="AM442" s="70">
        <v>5</v>
      </c>
      <c r="AN442" s="70">
        <v>0</v>
      </c>
      <c r="AO442" s="86">
        <v>0</v>
      </c>
      <c r="AP442" s="70">
        <v>0</v>
      </c>
      <c r="AQ442" s="70">
        <v>0</v>
      </c>
      <c r="AR442" s="70">
        <v>0</v>
      </c>
      <c r="AS442" s="86">
        <v>0</v>
      </c>
      <c r="AT442" s="70">
        <v>0</v>
      </c>
      <c r="AU442" s="70">
        <v>0</v>
      </c>
      <c r="AV442" s="70">
        <v>0</v>
      </c>
      <c r="AW442" s="86">
        <v>0</v>
      </c>
      <c r="AX442" s="70">
        <v>0</v>
      </c>
      <c r="AY442" s="233"/>
      <c r="AZ442" s="4"/>
      <c r="BA442" s="35">
        <f ca="1">IF(OR(S442="North America",S442="Rocky Mountain"), "Widespread",BC442)</f>
        <v>2033.3249055258466</v>
      </c>
      <c r="BB442" s="4"/>
      <c r="BC442" s="35">
        <f ca="1">IF(BE442&gt;2046, "Abundant",BE442)</f>
        <v>2033.3249055258466</v>
      </c>
      <c r="BD442" s="4"/>
      <c r="BE442" s="81">
        <f ca="1">YEAR($C$13)+(BG442*80)</f>
        <v>2033.3249055258466</v>
      </c>
      <c r="BF442" s="4"/>
      <c r="BG442" s="137">
        <f ca="1">BH442*$BH$14</f>
        <v>0.17906131907308379</v>
      </c>
      <c r="BH442" s="137">
        <f ca="1">(((BJ442+BK442+BM442+BN442)/4)*$BM$11)+(((BP442+BQ442)/2)*$BQ$11)+(((BU442+BV442+BW442)/3)*$BU$11)+(((BY442+BZ442+CA442+CB442+CC442)/5)*$CA$11)</f>
        <v>0.17906131907308379</v>
      </c>
      <c r="BI442" s="4"/>
      <c r="BJ442" s="33">
        <f>AP442/(AM442+AO442)</f>
        <v>0</v>
      </c>
      <c r="BK442" s="33">
        <f>(AN442+AO442)/(AM442+AO442)</f>
        <v>0</v>
      </c>
      <c r="BL442" s="4"/>
      <c r="BM442" s="127">
        <f>CF442/102</f>
        <v>0.10784313725490197</v>
      </c>
      <c r="BN442" s="127">
        <f>C442/2</f>
        <v>0.5</v>
      </c>
      <c r="BO442" s="4"/>
      <c r="BP442" s="127">
        <f>(AK442)/($AW$6)</f>
        <v>0.10101010101010101</v>
      </c>
      <c r="BQ442" s="127">
        <f ca="1">(CH442-$AW$4)/((YEAR($C$13))-$AW$4)</f>
        <v>0</v>
      </c>
      <c r="BR442" s="127">
        <f>(AL442)/($AW$6)</f>
        <v>0</v>
      </c>
      <c r="BS442" s="4"/>
      <c r="BT442" s="127"/>
      <c r="BU442" s="127">
        <f ca="1">(CG442-$AW$4)/((YEAR($C$13))-$AW$4)</f>
        <v>0</v>
      </c>
      <c r="BV442" s="127">
        <f>AE442/5</f>
        <v>1</v>
      </c>
      <c r="BW442" s="127">
        <f>AF442/5</f>
        <v>1</v>
      </c>
      <c r="BX442" s="4"/>
      <c r="BY442" s="148" t="str">
        <f>IF(E442="A",".98",IF(E442="B",".99",IF(E442="C","1.00",IF(E442="D","1.00" ))))</f>
        <v>1.00</v>
      </c>
      <c r="BZ442" s="127">
        <f>(CE442+7)/10</f>
        <v>1</v>
      </c>
      <c r="CA442" s="76" t="str">
        <f>IF(D442="Fern",".97",IF(D442="Grass",".99",IF(D442="Herb",".97",IF(D442="Shrub",".99",IF(D442="Tree","1.00",IF(D442="Vine",".98"))))))</f>
        <v>.97</v>
      </c>
      <c r="CB442" s="149" t="str">
        <f>IF(R442="Bogs Ponds Streams",".96", IF(R442="Coastal Areas",".97",IF(R442="Meadows Dry Open",".96",IF(R442="Forest &amp; Understory",".97",IF(R442="Moist Open",".98",IF(R442="Moist Shady",".96",IF(R442="Sub-Alpine","1.0")))))))</f>
        <v>.98</v>
      </c>
      <c r="CC442" s="76" t="str">
        <f>IF(S442="Local Endemic",".50",IF(S442="Regional Endemic",".70",IF(S442="Cascadia",".90",IF(S442="Rocky Mountain",".95",IF(S442="North America",".99")))))</f>
        <v>.90</v>
      </c>
      <c r="CD442" s="4"/>
      <c r="CE442" s="21">
        <f>IF(W442&gt;3,3,W442)</f>
        <v>3</v>
      </c>
      <c r="CF442" s="21">
        <f>IF(AC442&gt;102,102,AC442)</f>
        <v>11</v>
      </c>
      <c r="CG442" s="34">
        <f>IF(AI442&lt;$AW$4,$AW$4,AI442)</f>
        <v>2004</v>
      </c>
      <c r="CH442" s="34">
        <f>IF(AJ442&lt;$AW$4,$AW$4,AJ442)</f>
        <v>2004</v>
      </c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12"/>
    </row>
    <row r="443" spans="1:115" s="13" customFormat="1" ht="15" customHeight="1" x14ac:dyDescent="0.3">
      <c r="A443" s="235"/>
      <c r="B443" s="218"/>
      <c r="C443" s="226">
        <v>2</v>
      </c>
      <c r="D443" s="104" t="s">
        <v>2505</v>
      </c>
      <c r="E443" s="104" t="s">
        <v>2502</v>
      </c>
      <c r="F443" s="400" t="str">
        <f ca="1">IF(BC443&lt;2025, "Extinct&lt; 6Yrs?",BA443)</f>
        <v>Widespread</v>
      </c>
      <c r="G443" s="369" t="s">
        <v>525</v>
      </c>
      <c r="H443" s="369" t="s">
        <v>4028</v>
      </c>
      <c r="I443" s="372" t="s">
        <v>2661</v>
      </c>
      <c r="J443" s="371" t="s">
        <v>3761</v>
      </c>
      <c r="K443" s="371" t="s">
        <v>1012</v>
      </c>
      <c r="L443" s="114" t="s">
        <v>1511</v>
      </c>
      <c r="M443" s="111" t="s">
        <v>4518</v>
      </c>
      <c r="N443" s="111" t="s">
        <v>5415</v>
      </c>
      <c r="O443" s="111" t="s">
        <v>6313</v>
      </c>
      <c r="P443" s="401" t="s">
        <v>51</v>
      </c>
      <c r="Q443" s="104" t="s">
        <v>2552</v>
      </c>
      <c r="R443" s="105" t="s">
        <v>2500</v>
      </c>
      <c r="S443" s="114" t="s">
        <v>2495</v>
      </c>
      <c r="T443" s="133" t="str">
        <f>IF(R443="Bogs Ponds Streams","20",IF(R443="Coastal Areas","26",IF(R443="Meadows Dry Open","10",IF(R443="Forest &amp; Understory","14",IF(R443="Moist Open","12",IF(R443="Moist Shady","10",IF(R443="Sub-Alpine Slopes","0")))))))</f>
        <v>10</v>
      </c>
      <c r="U443" s="133" t="str">
        <f>IF(R443="Bogs Ponds Streams","52",IF(R443="Coastal Areas","51",IF(R443="Meadows Dry Open","53",IF(R443="Forest &amp; Understory","52",IF(R443="Moist Open","50",IF(R443="Moist Shady","46",IF(R443="Sub-Alpine Slopes","40")))))))</f>
        <v>53</v>
      </c>
      <c r="V443" s="133" t="str">
        <f>IF(R443="Bogs Ponds Streams","84",IF(R443="Coastal Areas","76",IF(R443="Meadows Dry Open","96", IF(R443="Forest &amp; Understory","90", IF(R443="Moist Open","88", IF(R443="Moist Shady","82", IF(R443="Sub-Alpine Slopes","80")))))))</f>
        <v>96</v>
      </c>
      <c r="W443" s="104">
        <v>1</v>
      </c>
      <c r="X443" s="104">
        <v>0</v>
      </c>
      <c r="Y443" s="104">
        <v>3500</v>
      </c>
      <c r="Z443" s="104" t="s">
        <v>2519</v>
      </c>
      <c r="AA443" s="104" t="s">
        <v>2518</v>
      </c>
      <c r="AB443" s="104">
        <v>6.8</v>
      </c>
      <c r="AC443" s="107">
        <f>C443+AK443+(0.1)*AL443</f>
        <v>14.7</v>
      </c>
      <c r="AD443" s="113">
        <v>27</v>
      </c>
      <c r="AE443" s="104">
        <v>5</v>
      </c>
      <c r="AF443" s="104">
        <v>5</v>
      </c>
      <c r="AG443" s="104">
        <v>1900</v>
      </c>
      <c r="AH443" s="113">
        <v>0</v>
      </c>
      <c r="AI443" s="104">
        <f>AJ443</f>
        <v>2004</v>
      </c>
      <c r="AJ443" s="108">
        <v>2004</v>
      </c>
      <c r="AK443" s="108">
        <v>12</v>
      </c>
      <c r="AL443" s="108">
        <v>7</v>
      </c>
      <c r="AM443" s="109">
        <v>5</v>
      </c>
      <c r="AN443" s="109">
        <v>1</v>
      </c>
      <c r="AO443" s="110">
        <v>0</v>
      </c>
      <c r="AP443" s="109">
        <v>0</v>
      </c>
      <c r="AQ443" s="109">
        <v>0</v>
      </c>
      <c r="AR443" s="109">
        <v>0</v>
      </c>
      <c r="AS443" s="110">
        <v>0</v>
      </c>
      <c r="AT443" s="109">
        <v>0</v>
      </c>
      <c r="AU443" s="109">
        <v>0</v>
      </c>
      <c r="AV443" s="109">
        <v>0</v>
      </c>
      <c r="AW443" s="110">
        <v>0</v>
      </c>
      <c r="AX443" s="109">
        <v>0</v>
      </c>
      <c r="AY443" s="233"/>
      <c r="AZ443" s="4"/>
      <c r="BA443" s="35" t="str">
        <f>IF(OR(S443="North America",S443="Rocky Mountain"), "Widespread",BC443)</f>
        <v>Widespread</v>
      </c>
      <c r="BB443" s="4"/>
      <c r="BC443" s="35">
        <f ca="1">IF(BE443&gt;2046, "Abundant",BE443)</f>
        <v>2042.354623885918</v>
      </c>
      <c r="BD443" s="4"/>
      <c r="BE443" s="81">
        <f ca="1">YEAR($C$13)+(BG443*80)</f>
        <v>2042.354623885918</v>
      </c>
      <c r="BF443" s="4"/>
      <c r="BG443" s="137">
        <f ca="1">BH443*$BH$14</f>
        <v>0.29193279857397503</v>
      </c>
      <c r="BH443" s="137">
        <f ca="1">(((BJ443+BK443+BM443+BN443)/4)*$BM$11)+(((BP443+BQ443)/2)*$BQ$11)+(((BU443+BV443+BW443)/3)*$BU$11)+(((BY443+BZ443+CA443+CB443+CC443)/5)*$CA$11)</f>
        <v>0.29193279857397503</v>
      </c>
      <c r="BI443" s="4"/>
      <c r="BJ443" s="33">
        <f>AP443/(AM443+AO443)</f>
        <v>0</v>
      </c>
      <c r="BK443" s="33">
        <f>(AN443+AO443)/(AM443+AO443)</f>
        <v>0.2</v>
      </c>
      <c r="BL443" s="4"/>
      <c r="BM443" s="127">
        <f>CF443/102</f>
        <v>0.14411764705882352</v>
      </c>
      <c r="BN443" s="127">
        <f>C443/2</f>
        <v>1</v>
      </c>
      <c r="BO443" s="4"/>
      <c r="BP443" s="127">
        <f>(AK443)/($AW$6)</f>
        <v>0.12121212121212122</v>
      </c>
      <c r="BQ443" s="127">
        <f ca="1">(CH443-$AW$4)/((YEAR($C$13))-$AW$4)</f>
        <v>0</v>
      </c>
      <c r="BR443" s="127">
        <f>(AL443)/($AW$6)</f>
        <v>7.0707070707070704E-2</v>
      </c>
      <c r="BS443" s="4"/>
      <c r="BT443" s="127"/>
      <c r="BU443" s="127">
        <f ca="1">(CG443-$AW$4)/((YEAR($C$13))-$AW$4)</f>
        <v>0</v>
      </c>
      <c r="BV443" s="127">
        <f>AE443/5</f>
        <v>1</v>
      </c>
      <c r="BW443" s="127">
        <f>AF443/5</f>
        <v>1</v>
      </c>
      <c r="BX443" s="4"/>
      <c r="BY443" s="148" t="str">
        <f>IF(E443="A",".98",IF(E443="B",".99",IF(E443="C","1.00",IF(E443="D","1.00" ))))</f>
        <v>.98</v>
      </c>
      <c r="BZ443" s="127">
        <f>(CE443+7)/10</f>
        <v>0.8</v>
      </c>
      <c r="CA443" s="76" t="str">
        <f>IF(D443="Fern",".97",IF(D443="Grass",".99",IF(D443="Herb",".97",IF(D443="Shrub",".99",IF(D443="Tree","1.00",IF(D443="Vine",".98"))))))</f>
        <v>.97</v>
      </c>
      <c r="CB443" s="149" t="str">
        <f>IF(R443="Bogs Ponds Streams",".96", IF(R443="Coastal Areas",".97",IF(R443="Meadows Dry Open",".96",IF(R443="Forest &amp; Understory",".97",IF(R443="Moist Open",".98",IF(R443="Moist Shady",".96",IF(R443="Sub-Alpine","1.0")))))))</f>
        <v>.96</v>
      </c>
      <c r="CC443" s="76" t="str">
        <f>IF(S443="Local Endemic",".50",IF(S443="Regional Endemic",".70",IF(S443="Cascadia",".90",IF(S443="Rocky Mountain",".95",IF(S443="North America",".99")))))</f>
        <v>.99</v>
      </c>
      <c r="CD443" s="4"/>
      <c r="CE443" s="21">
        <f>IF(W443&gt;3,3,W443)</f>
        <v>1</v>
      </c>
      <c r="CF443" s="21">
        <f>IF(AC443&gt;102,102,AC443)</f>
        <v>14.7</v>
      </c>
      <c r="CG443" s="34">
        <f>IF(AI443&lt;$AW$4,$AW$4,AI443)</f>
        <v>2004</v>
      </c>
      <c r="CH443" s="34">
        <f>IF(AJ443&lt;$AW$4,$AW$4,AJ443)</f>
        <v>2004</v>
      </c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12"/>
    </row>
    <row r="444" spans="1:115" s="13" customFormat="1" ht="15" customHeight="1" x14ac:dyDescent="0.3">
      <c r="A444" s="235"/>
      <c r="B444" s="218"/>
      <c r="C444" s="225">
        <v>8</v>
      </c>
      <c r="D444" s="59" t="s">
        <v>2507</v>
      </c>
      <c r="E444" s="59" t="s">
        <v>2501</v>
      </c>
      <c r="F444" s="397" t="str">
        <f ca="1">IF(BC444&lt;2025, "Extinct&lt; 6Yrs?",BA444)</f>
        <v>Widespread</v>
      </c>
      <c r="G444" s="363" t="s">
        <v>525</v>
      </c>
      <c r="H444" s="363" t="s">
        <v>696</v>
      </c>
      <c r="I444" s="366" t="s">
        <v>527</v>
      </c>
      <c r="J444" s="365" t="s">
        <v>526</v>
      </c>
      <c r="K444" s="365" t="s">
        <v>526</v>
      </c>
      <c r="L444" s="10" t="s">
        <v>1512</v>
      </c>
      <c r="M444" s="8" t="s">
        <v>4519</v>
      </c>
      <c r="N444" s="8" t="s">
        <v>5416</v>
      </c>
      <c r="O444" s="8" t="s">
        <v>6314</v>
      </c>
      <c r="P444" s="9" t="s">
        <v>520</v>
      </c>
      <c r="Q444" s="59" t="s">
        <v>2552</v>
      </c>
      <c r="R444" s="160" t="s">
        <v>2497</v>
      </c>
      <c r="S444" s="17" t="s">
        <v>2479</v>
      </c>
      <c r="T444" s="123" t="str">
        <f>IF(R444="Bogs Ponds Streams","20",IF(R444="Coastal Areas","26",IF(R444="Meadows Dry Open","10",IF(R444="Forest &amp; Understory","14",IF(R444="Moist Open","12",IF(R444="Moist Shady","10",IF(R444="Sub-Alpine Slopes","0")))))))</f>
        <v>12</v>
      </c>
      <c r="U444" s="123" t="str">
        <f>IF(R444="Bogs Ponds Streams","52",IF(R444="Coastal Areas","51",IF(R444="Meadows Dry Open","53",IF(R444="Forest &amp; Understory","52",IF(R444="Moist Open","50",IF(R444="Moist Shady","46",IF(R444="Sub-Alpine Slopes","40")))))))</f>
        <v>50</v>
      </c>
      <c r="V444" s="123" t="str">
        <f>IF(R444="Bogs Ponds Streams","84",IF(R444="Coastal Areas","76",IF(R444="Meadows Dry Open","96", IF(R444="Forest &amp; Understory","90", IF(R444="Moist Open","88", IF(R444="Moist Shady","82", IF(R444="Sub-Alpine Slopes","80")))))))</f>
        <v>88</v>
      </c>
      <c r="W444" s="59">
        <v>20</v>
      </c>
      <c r="X444" s="59">
        <v>0</v>
      </c>
      <c r="Y444" s="59">
        <v>3500</v>
      </c>
      <c r="Z444" s="59" t="s">
        <v>2519</v>
      </c>
      <c r="AA444" s="59" t="s">
        <v>2518</v>
      </c>
      <c r="AB444" s="59">
        <v>6.8</v>
      </c>
      <c r="AC444" s="45">
        <f>C444+AK444+(0.1)*AL444</f>
        <v>18.899999999999999</v>
      </c>
      <c r="AD444" s="77">
        <v>50</v>
      </c>
      <c r="AE444" s="59">
        <v>5</v>
      </c>
      <c r="AF444" s="59">
        <v>5</v>
      </c>
      <c r="AG444" s="59">
        <v>1900</v>
      </c>
      <c r="AH444" s="77">
        <v>0</v>
      </c>
      <c r="AI444" s="59">
        <f ca="1">AJ444</f>
        <v>2019</v>
      </c>
      <c r="AJ444" s="18">
        <f ca="1">YEAR(TODAY())</f>
        <v>2019</v>
      </c>
      <c r="AK444" s="18">
        <v>1</v>
      </c>
      <c r="AL444" s="18">
        <v>99</v>
      </c>
      <c r="AM444" s="18">
        <v>1</v>
      </c>
      <c r="AN444" s="18">
        <v>1</v>
      </c>
      <c r="AO444" s="18">
        <v>5</v>
      </c>
      <c r="AP444" s="18">
        <v>1</v>
      </c>
      <c r="AQ444" s="18">
        <v>0</v>
      </c>
      <c r="AR444" s="18">
        <v>0</v>
      </c>
      <c r="AS444" s="18">
        <v>0</v>
      </c>
      <c r="AT444" s="18">
        <v>0</v>
      </c>
      <c r="AU444" s="18">
        <v>0</v>
      </c>
      <c r="AV444" s="18">
        <v>0</v>
      </c>
      <c r="AW444" s="18">
        <v>0</v>
      </c>
      <c r="AX444" s="18">
        <v>0</v>
      </c>
      <c r="AY444" s="233"/>
      <c r="AZ444" s="4"/>
      <c r="BA444" s="35" t="str">
        <f>IF(OR(S444="North America",S444="Rocky Mountain"), "Widespread",BC444)</f>
        <v>Widespread</v>
      </c>
      <c r="BB444" s="4"/>
      <c r="BC444" s="35" t="str">
        <f ca="1">IF(BE444&gt;2046, "Abundant",BE444)</f>
        <v>Abundant</v>
      </c>
      <c r="BD444" s="4"/>
      <c r="BE444" s="81">
        <f ca="1">YEAR($C$13)+(BG444*80)</f>
        <v>2103.3223415329767</v>
      </c>
      <c r="BF444" s="4"/>
      <c r="BG444" s="137">
        <f ca="1">BH444*$BH$14</f>
        <v>1.0540292691622102</v>
      </c>
      <c r="BH444" s="137">
        <f ca="1">(((BJ444+BK444+BM444+BN444)/4)*$BM$11)+(((BP444+BQ444)/2)*$BQ$11)+(((BU444+BV444+BW444)/3)*$BU$11)+(((BY444+BZ444+CA444+CB444+CC444)/5)*$CA$11)</f>
        <v>1.0540292691622102</v>
      </c>
      <c r="BI444" s="4"/>
      <c r="BJ444" s="33">
        <f>AP444/(AM444+AO444)</f>
        <v>0.16666666666666666</v>
      </c>
      <c r="BK444" s="33">
        <f>(AN444+AO444)/(AM444+AO444)</f>
        <v>1</v>
      </c>
      <c r="BL444" s="4"/>
      <c r="BM444" s="127">
        <f>CF444/102</f>
        <v>0.1852941176470588</v>
      </c>
      <c r="BN444" s="127">
        <f>C444/2</f>
        <v>4</v>
      </c>
      <c r="BO444" s="4"/>
      <c r="BP444" s="127">
        <f>(AK444)/($AW$6)</f>
        <v>1.0101010101010102E-2</v>
      </c>
      <c r="BQ444" s="127">
        <f ca="1">(CH444-$AW$4)/((YEAR($C$13))-$AW$4)</f>
        <v>1</v>
      </c>
      <c r="BR444" s="127">
        <f>(AL444)/($AW$6)</f>
        <v>1</v>
      </c>
      <c r="BS444" s="4"/>
      <c r="BT444" s="127"/>
      <c r="BU444" s="127">
        <f ca="1">(CG444-$AW$4)/((YEAR($C$13))-$AW$4)</f>
        <v>1</v>
      </c>
      <c r="BV444" s="127">
        <f>AE444/5</f>
        <v>1</v>
      </c>
      <c r="BW444" s="127">
        <f>AF444/5</f>
        <v>1</v>
      </c>
      <c r="BX444" s="4"/>
      <c r="BY444" s="148" t="str">
        <f>IF(E444="A",".98",IF(E444="B",".99",IF(E444="C","1.00",IF(E444="D","1.00" ))))</f>
        <v>1.00</v>
      </c>
      <c r="BZ444" s="127">
        <f>(CE444+7)/10</f>
        <v>1</v>
      </c>
      <c r="CA444" s="76" t="str">
        <f>IF(D444="Fern",".97",IF(D444="Grass",".99",IF(D444="Herb",".97",IF(D444="Shrub",".99",IF(D444="Tree","1.00",IF(D444="Vine",".98"))))))</f>
        <v>1.00</v>
      </c>
      <c r="CB444" s="149" t="str">
        <f>IF(R444="Bogs Ponds Streams",".96", IF(R444="Coastal Areas",".97",IF(R444="Meadows Dry Open",".96",IF(R444="Forest &amp; Understory",".97",IF(R444="Moist Open",".98",IF(R444="Moist Shady",".96",IF(R444="Sub-Alpine","1.0")))))))</f>
        <v>.98</v>
      </c>
      <c r="CC444" s="76" t="str">
        <f>IF(S444="Local Endemic",".50",IF(S444="Regional Endemic",".70",IF(S444="Cascadia",".90",IF(S444="Rocky Mountain",".95",IF(S444="North America",".99")))))</f>
        <v>.95</v>
      </c>
      <c r="CD444" s="4"/>
      <c r="CE444" s="21">
        <f>IF(W444&gt;3,3,W444)</f>
        <v>3</v>
      </c>
      <c r="CF444" s="21">
        <f>IF(AC444&gt;102,102,AC444)</f>
        <v>18.899999999999999</v>
      </c>
      <c r="CG444" s="34">
        <f ca="1">IF(AI444&lt;$AW$4,$AW$4,AI444)</f>
        <v>2019</v>
      </c>
      <c r="CH444" s="34">
        <f ca="1">IF(AJ444&lt;$AW$4,$AW$4,AJ444)</f>
        <v>2019</v>
      </c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12"/>
    </row>
    <row r="445" spans="1:115" s="13" customFormat="1" ht="15" customHeight="1" x14ac:dyDescent="0.3">
      <c r="A445" s="235"/>
      <c r="B445" s="218"/>
      <c r="C445" s="375">
        <v>1</v>
      </c>
      <c r="D445" s="67" t="s">
        <v>2505</v>
      </c>
      <c r="E445" s="67" t="s">
        <v>2501</v>
      </c>
      <c r="F445" s="403">
        <f ca="1">IF(BC445&lt;2025, "Extinct&lt; 6Yrs?",BA445)</f>
        <v>2033.339396791444</v>
      </c>
      <c r="G445" s="376" t="s">
        <v>525</v>
      </c>
      <c r="H445" s="376" t="s">
        <v>4028</v>
      </c>
      <c r="I445" s="377" t="s">
        <v>2321</v>
      </c>
      <c r="J445" s="378" t="s">
        <v>2406</v>
      </c>
      <c r="K445" s="378" t="s">
        <v>2320</v>
      </c>
      <c r="L445" s="64" t="s">
        <v>2405</v>
      </c>
      <c r="M445" s="64" t="s">
        <v>4520</v>
      </c>
      <c r="N445" s="64" t="s">
        <v>5417</v>
      </c>
      <c r="O445" s="64" t="s">
        <v>6315</v>
      </c>
      <c r="P445" s="61" t="s">
        <v>51</v>
      </c>
      <c r="Q445" s="67" t="s">
        <v>2552</v>
      </c>
      <c r="R445" s="61" t="s">
        <v>2500</v>
      </c>
      <c r="S445" s="164" t="s">
        <v>2459</v>
      </c>
      <c r="T445" s="134" t="str">
        <f>IF(R445="Bogs Ponds Streams","20",IF(R445="Coastal Areas","26",IF(R445="Meadows Dry Open","10",IF(R445="Forest &amp; Understory","14",IF(R445="Moist Open","12",IF(R445="Moist Shady","10",IF(R445="Sub-Alpine Slopes","0")))))))</f>
        <v>10</v>
      </c>
      <c r="U445" s="134" t="str">
        <f>IF(R445="Bogs Ponds Streams","52",IF(R445="Coastal Areas","51",IF(R445="Meadows Dry Open","53",IF(R445="Forest &amp; Understory","52",IF(R445="Moist Open","50",IF(R445="Moist Shady","46",IF(R445="Sub-Alpine Slopes","40")))))))</f>
        <v>53</v>
      </c>
      <c r="V445" s="134" t="str">
        <f>IF(R445="Bogs Ponds Streams","84",IF(R445="Coastal Areas","76",IF(R445="Meadows Dry Open","96", IF(R445="Forest &amp; Understory","90", IF(R445="Moist Open","88", IF(R445="Moist Shady","82", IF(R445="Sub-Alpine Slopes","80")))))))</f>
        <v>96</v>
      </c>
      <c r="W445" s="67">
        <v>20</v>
      </c>
      <c r="X445" s="67">
        <v>0</v>
      </c>
      <c r="Y445" s="67">
        <v>3500</v>
      </c>
      <c r="Z445" s="67" t="s">
        <v>2519</v>
      </c>
      <c r="AA445" s="67" t="s">
        <v>2518</v>
      </c>
      <c r="AB445" s="67">
        <v>6.8</v>
      </c>
      <c r="AC445" s="85">
        <f>C445+AK445+(0.1)*AL445</f>
        <v>3.1</v>
      </c>
      <c r="AD445" s="78">
        <v>6</v>
      </c>
      <c r="AE445" s="68">
        <v>2</v>
      </c>
      <c r="AF445" s="68">
        <v>5</v>
      </c>
      <c r="AG445" s="78">
        <v>1925</v>
      </c>
      <c r="AH445" s="78">
        <v>0</v>
      </c>
      <c r="AI445" s="78">
        <v>2003</v>
      </c>
      <c r="AJ445" s="67">
        <v>2008</v>
      </c>
      <c r="AK445" s="67">
        <v>2</v>
      </c>
      <c r="AL445" s="67">
        <v>1</v>
      </c>
      <c r="AM445" s="70">
        <v>5</v>
      </c>
      <c r="AN445" s="70">
        <v>0</v>
      </c>
      <c r="AO445" s="86">
        <v>0</v>
      </c>
      <c r="AP445" s="70">
        <v>0</v>
      </c>
      <c r="AQ445" s="70">
        <v>0</v>
      </c>
      <c r="AR445" s="70">
        <v>0</v>
      </c>
      <c r="AS445" s="86">
        <v>0</v>
      </c>
      <c r="AT445" s="70">
        <v>0</v>
      </c>
      <c r="AU445" s="70">
        <v>0</v>
      </c>
      <c r="AV445" s="70">
        <v>0</v>
      </c>
      <c r="AW445" s="86">
        <v>0</v>
      </c>
      <c r="AX445" s="70">
        <v>0</v>
      </c>
      <c r="AY445" s="233"/>
      <c r="AZ445" s="11"/>
      <c r="BA445" s="35">
        <f ca="1">IF(OR(S445="North America",S445="Rocky Mountain"), "Widespread",BC445)</f>
        <v>2033.339396791444</v>
      </c>
      <c r="BB445" s="11"/>
      <c r="BC445" s="35">
        <f ca="1">IF(BE445&gt;2046, "Abundant",BE445)</f>
        <v>2033.339396791444</v>
      </c>
      <c r="BD445" s="11"/>
      <c r="BE445" s="81">
        <f ca="1">YEAR($C$13)+(BG445*80)</f>
        <v>2033.339396791444</v>
      </c>
      <c r="BF445" s="11"/>
      <c r="BG445" s="137">
        <f ca="1">BH445*$BH$14</f>
        <v>0.17924245989304813</v>
      </c>
      <c r="BH445" s="137">
        <f ca="1">(((BJ445+BK445+BM445+BN445)/4)*$BM$11)+(((BP445+BQ445)/2)*$BQ$11)+(((BU445+BV445+BW445)/3)*$BU$11)+(((BY445+BZ445+CA445+CB445+CC445)/5)*$CA$11)</f>
        <v>0.17924245989304813</v>
      </c>
      <c r="BI445" s="11"/>
      <c r="BJ445" s="33">
        <f>AP445/(AM445+AO445)</f>
        <v>0</v>
      </c>
      <c r="BK445" s="33">
        <f>(AN445+AO445)/(AM445+AO445)</f>
        <v>0</v>
      </c>
      <c r="BL445" s="11"/>
      <c r="BM445" s="127">
        <f>CF445/102</f>
        <v>3.0392156862745098E-2</v>
      </c>
      <c r="BN445" s="127">
        <f>C445/2</f>
        <v>0.5</v>
      </c>
      <c r="BO445" s="11"/>
      <c r="BP445" s="127">
        <f>(AK445)/($AW$6)</f>
        <v>2.0202020202020204E-2</v>
      </c>
      <c r="BQ445" s="127">
        <f ca="1">(CH445-$AW$4)/((YEAR($C$13))-$AW$4)</f>
        <v>0.26666666666666666</v>
      </c>
      <c r="BR445" s="127">
        <f>(AL445)/($AW$6)</f>
        <v>1.0101010101010102E-2</v>
      </c>
      <c r="BS445" s="11"/>
      <c r="BT445" s="127"/>
      <c r="BU445" s="127">
        <f ca="1">(CG445-$AW$4)/((YEAR($C$13))-$AW$4)</f>
        <v>0</v>
      </c>
      <c r="BV445" s="127">
        <f>AE445/5</f>
        <v>0.4</v>
      </c>
      <c r="BW445" s="127">
        <f>AF445/5</f>
        <v>1</v>
      </c>
      <c r="BX445" s="11"/>
      <c r="BY445" s="148" t="str">
        <f>IF(E445="A",".98",IF(E445="B",".99",IF(E445="C","1.00",IF(E445="D","1.00" ))))</f>
        <v>1.00</v>
      </c>
      <c r="BZ445" s="127">
        <f>(CE445+7)/10</f>
        <v>1</v>
      </c>
      <c r="CA445" s="76" t="str">
        <f>IF(D445="Fern",".97",IF(D445="Grass",".99",IF(D445="Herb",".97",IF(D445="Shrub",".99",IF(D445="Tree","1.00",IF(D445="Vine",".98"))))))</f>
        <v>.97</v>
      </c>
      <c r="CB445" s="149" t="str">
        <f>IF(R445="Bogs Ponds Streams",".96", IF(R445="Coastal Areas",".97",IF(R445="Meadows Dry Open",".96",IF(R445="Forest &amp; Understory",".97",IF(R445="Moist Open",".98",IF(R445="Moist Shady",".96",IF(R445="Sub-Alpine","1.0")))))))</f>
        <v>.96</v>
      </c>
      <c r="CC445" s="76" t="str">
        <f>IF(S445="Local Endemic",".50",IF(S445="Regional Endemic",".70",IF(S445="Cascadia",".90",IF(S445="Rocky Mountain",".95",IF(S445="North America",".99")))))</f>
        <v>.90</v>
      </c>
      <c r="CD445" s="11"/>
      <c r="CE445" s="21">
        <f>IF(W445&gt;3,3,W445)</f>
        <v>3</v>
      </c>
      <c r="CF445" s="21">
        <f>IF(AC445&gt;102,102,AC445)</f>
        <v>3.1</v>
      </c>
      <c r="CG445" s="34">
        <f>IF(AI445&lt;$AW$4,$AW$4,AI445)</f>
        <v>2004</v>
      </c>
      <c r="CH445" s="34">
        <f>IF(AJ445&lt;$AW$4,$AW$4,AJ445)</f>
        <v>2008</v>
      </c>
      <c r="CI445" s="11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11"/>
      <c r="DC445" s="11"/>
      <c r="DD445" s="11"/>
      <c r="DE445" s="11"/>
      <c r="DF445" s="11"/>
      <c r="DG445" s="11"/>
      <c r="DH445" s="11"/>
      <c r="DI445" s="11"/>
      <c r="DJ445" s="11"/>
      <c r="DK445" s="12"/>
    </row>
    <row r="446" spans="1:115" s="13" customFormat="1" ht="15" customHeight="1" x14ac:dyDescent="0.3">
      <c r="A446" s="235"/>
      <c r="B446" s="218"/>
      <c r="C446" s="375">
        <v>1</v>
      </c>
      <c r="D446" s="67" t="s">
        <v>2505</v>
      </c>
      <c r="E446" s="67" t="s">
        <v>2502</v>
      </c>
      <c r="F446" s="403">
        <f ca="1">IF(BC446&lt;2025, "Extinct&lt; 6Yrs?",BA446)</f>
        <v>2031.3372320855615</v>
      </c>
      <c r="G446" s="376" t="s">
        <v>525</v>
      </c>
      <c r="H446" s="376" t="s">
        <v>4028</v>
      </c>
      <c r="I446" s="380" t="s">
        <v>94</v>
      </c>
      <c r="J446" s="378" t="s">
        <v>3588</v>
      </c>
      <c r="K446" s="378" t="s">
        <v>1013</v>
      </c>
      <c r="L446" s="63" t="s">
        <v>1513</v>
      </c>
      <c r="M446" s="64" t="s">
        <v>4521</v>
      </c>
      <c r="N446" s="64" t="s">
        <v>5418</v>
      </c>
      <c r="O446" s="64" t="s">
        <v>6316</v>
      </c>
      <c r="P446" s="61" t="s">
        <v>51</v>
      </c>
      <c r="Q446" s="67" t="s">
        <v>2552</v>
      </c>
      <c r="R446" s="61" t="s">
        <v>2500</v>
      </c>
      <c r="S446" s="61" t="s">
        <v>2459</v>
      </c>
      <c r="T446" s="134" t="str">
        <f>IF(R446="Bogs Ponds Streams","20",IF(R446="Coastal Areas","26",IF(R446="Meadows Dry Open","10",IF(R446="Forest &amp; Understory","14",IF(R446="Moist Open","12",IF(R446="Moist Shady","10",IF(R446="Sub-Alpine Slopes","0")))))))</f>
        <v>10</v>
      </c>
      <c r="U446" s="134" t="str">
        <f>IF(R446="Bogs Ponds Streams","52",IF(R446="Coastal Areas","51",IF(R446="Meadows Dry Open","53",IF(R446="Forest &amp; Understory","52",IF(R446="Moist Open","50",IF(R446="Moist Shady","46",IF(R446="Sub-Alpine Slopes","40")))))))</f>
        <v>53</v>
      </c>
      <c r="V446" s="134" t="str">
        <f>IF(R446="Bogs Ponds Streams","84",IF(R446="Coastal Areas","76",IF(R446="Meadows Dry Open","96", IF(R446="Forest &amp; Understory","90", IF(R446="Moist Open","88", IF(R446="Moist Shady","82", IF(R446="Sub-Alpine Slopes","80")))))))</f>
        <v>96</v>
      </c>
      <c r="W446" s="67">
        <v>1</v>
      </c>
      <c r="X446" s="67">
        <v>0</v>
      </c>
      <c r="Y446" s="67">
        <v>3500</v>
      </c>
      <c r="Z446" s="67" t="s">
        <v>2519</v>
      </c>
      <c r="AA446" s="67" t="s">
        <v>2518</v>
      </c>
      <c r="AB446" s="67">
        <v>6.8</v>
      </c>
      <c r="AC446" s="85">
        <f>C446+AK446+(0.1)*AL446</f>
        <v>3</v>
      </c>
      <c r="AD446" s="78">
        <v>6</v>
      </c>
      <c r="AE446" s="67">
        <v>5</v>
      </c>
      <c r="AF446" s="67">
        <v>5</v>
      </c>
      <c r="AG446" s="67">
        <v>1900</v>
      </c>
      <c r="AH446" s="78">
        <v>0</v>
      </c>
      <c r="AI446" s="67">
        <f>AJ446</f>
        <v>2004</v>
      </c>
      <c r="AJ446" s="69">
        <v>2004</v>
      </c>
      <c r="AK446" s="69">
        <v>2</v>
      </c>
      <c r="AL446" s="69">
        <v>0</v>
      </c>
      <c r="AM446" s="70">
        <v>5</v>
      </c>
      <c r="AN446" s="70">
        <v>0</v>
      </c>
      <c r="AO446" s="86">
        <v>0</v>
      </c>
      <c r="AP446" s="70">
        <v>0</v>
      </c>
      <c r="AQ446" s="70">
        <v>0</v>
      </c>
      <c r="AR446" s="70">
        <v>0</v>
      </c>
      <c r="AS446" s="86">
        <v>0</v>
      </c>
      <c r="AT446" s="70">
        <v>0</v>
      </c>
      <c r="AU446" s="70">
        <v>0</v>
      </c>
      <c r="AV446" s="70">
        <v>0</v>
      </c>
      <c r="AW446" s="86">
        <v>0</v>
      </c>
      <c r="AX446" s="70">
        <v>0</v>
      </c>
      <c r="AY446" s="233"/>
      <c r="AZ446" s="4"/>
      <c r="BA446" s="35">
        <f ca="1">IF(OR(S446="North America",S446="Rocky Mountain"), "Widespread",BC446)</f>
        <v>2031.3372320855615</v>
      </c>
      <c r="BB446" s="4"/>
      <c r="BC446" s="35">
        <f ca="1">IF(BE446&gt;2046, "Abundant",BE446)</f>
        <v>2031.3372320855615</v>
      </c>
      <c r="BD446" s="4"/>
      <c r="BE446" s="81">
        <f ca="1">YEAR($C$13)+(BG446*80)</f>
        <v>2031.3372320855615</v>
      </c>
      <c r="BF446" s="4"/>
      <c r="BG446" s="137">
        <f ca="1">BH446*$BH$14</f>
        <v>0.15421540106951873</v>
      </c>
      <c r="BH446" s="137">
        <f ca="1">(((BJ446+BK446+BM446+BN446)/4)*$BM$11)+(((BP446+BQ446)/2)*$BQ$11)+(((BU446+BV446+BW446)/3)*$BU$11)+(((BY446+BZ446+CA446+CB446+CC446)/5)*$CA$11)</f>
        <v>0.15421540106951873</v>
      </c>
      <c r="BI446" s="4"/>
      <c r="BJ446" s="33">
        <f>AP446/(AM446+AO446)</f>
        <v>0</v>
      </c>
      <c r="BK446" s="33">
        <f>(AN446+AO446)/(AM446+AO446)</f>
        <v>0</v>
      </c>
      <c r="BL446" s="4"/>
      <c r="BM446" s="127">
        <f>CF446/102</f>
        <v>2.9411764705882353E-2</v>
      </c>
      <c r="BN446" s="127">
        <f>C446/2</f>
        <v>0.5</v>
      </c>
      <c r="BO446" s="4"/>
      <c r="BP446" s="127">
        <f>(AK446)/($AW$6)</f>
        <v>2.0202020202020204E-2</v>
      </c>
      <c r="BQ446" s="127">
        <f ca="1">(CH446-$AW$4)/((YEAR($C$13))-$AW$4)</f>
        <v>0</v>
      </c>
      <c r="BR446" s="127">
        <f>(AL446)/($AW$6)</f>
        <v>0</v>
      </c>
      <c r="BS446" s="4"/>
      <c r="BT446" s="127"/>
      <c r="BU446" s="127">
        <f ca="1">(CG446-$AW$4)/((YEAR($C$13))-$AW$4)</f>
        <v>0</v>
      </c>
      <c r="BV446" s="127">
        <f>AE446/5</f>
        <v>1</v>
      </c>
      <c r="BW446" s="127">
        <f>AF446/5</f>
        <v>1</v>
      </c>
      <c r="BX446" s="4"/>
      <c r="BY446" s="148" t="str">
        <f>IF(E446="A",".98",IF(E446="B",".99",IF(E446="C","1.00",IF(E446="D","1.00" ))))</f>
        <v>.98</v>
      </c>
      <c r="BZ446" s="127">
        <f>(CE446+7)/10</f>
        <v>0.8</v>
      </c>
      <c r="CA446" s="76" t="str">
        <f>IF(D446="Fern",".97",IF(D446="Grass",".99",IF(D446="Herb",".97",IF(D446="Shrub",".99",IF(D446="Tree","1.00",IF(D446="Vine",".98"))))))</f>
        <v>.97</v>
      </c>
      <c r="CB446" s="149" t="str">
        <f>IF(R446="Bogs Ponds Streams",".96", IF(R446="Coastal Areas",".97",IF(R446="Meadows Dry Open",".96",IF(R446="Forest &amp; Understory",".97",IF(R446="Moist Open",".98",IF(R446="Moist Shady",".96",IF(R446="Sub-Alpine","1.0")))))))</f>
        <v>.96</v>
      </c>
      <c r="CC446" s="76" t="str">
        <f>IF(S446="Local Endemic",".50",IF(S446="Regional Endemic",".70",IF(S446="Cascadia",".90",IF(S446="Rocky Mountain",".95",IF(S446="North America",".99")))))</f>
        <v>.90</v>
      </c>
      <c r="CD446" s="4"/>
      <c r="CE446" s="21">
        <f>IF(W446&gt;3,3,W446)</f>
        <v>1</v>
      </c>
      <c r="CF446" s="21">
        <f>IF(AC446&gt;102,102,AC446)</f>
        <v>3</v>
      </c>
      <c r="CG446" s="34">
        <f>IF(AI446&lt;$AW$4,$AW$4,AI446)</f>
        <v>2004</v>
      </c>
      <c r="CH446" s="34">
        <f>IF(AJ446&lt;$AW$4,$AW$4,AJ446)</f>
        <v>2004</v>
      </c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12"/>
    </row>
    <row r="447" spans="1:115" s="13" customFormat="1" ht="15" customHeight="1" x14ac:dyDescent="0.3">
      <c r="A447" s="235"/>
      <c r="B447" s="218"/>
      <c r="C447" s="226">
        <v>2</v>
      </c>
      <c r="D447" s="104" t="s">
        <v>2505</v>
      </c>
      <c r="E447" s="104" t="s">
        <v>2501</v>
      </c>
      <c r="F447" s="400" t="str">
        <f ca="1">IF(BC447&lt;2025, "Extinct&lt; 6Yrs?",BA447)</f>
        <v>Abundant</v>
      </c>
      <c r="G447" s="369" t="s">
        <v>525</v>
      </c>
      <c r="H447" s="369" t="s">
        <v>4028</v>
      </c>
      <c r="I447" s="371" t="s">
        <v>1369</v>
      </c>
      <c r="J447" s="371" t="s">
        <v>2088</v>
      </c>
      <c r="K447" s="371" t="s">
        <v>1385</v>
      </c>
      <c r="L447" s="106" t="s">
        <v>1386</v>
      </c>
      <c r="M447" s="111" t="s">
        <v>4522</v>
      </c>
      <c r="N447" s="111" t="s">
        <v>5419</v>
      </c>
      <c r="O447" s="111" t="s">
        <v>6317</v>
      </c>
      <c r="P447" s="105" t="s">
        <v>576</v>
      </c>
      <c r="Q447" s="104" t="s">
        <v>2552</v>
      </c>
      <c r="R447" s="161" t="s">
        <v>2497</v>
      </c>
      <c r="S447" s="114" t="s">
        <v>2309</v>
      </c>
      <c r="T447" s="133" t="str">
        <f>IF(R447="Bogs Ponds Streams","20",IF(R447="Coastal Areas","26",IF(R447="Meadows Dry Open","10",IF(R447="Forest &amp; Understory","14",IF(R447="Moist Open","12",IF(R447="Moist Shady","10",IF(R447="Sub-Alpine Slopes","0")))))))</f>
        <v>12</v>
      </c>
      <c r="U447" s="133" t="str">
        <f>IF(R447="Bogs Ponds Streams","52",IF(R447="Coastal Areas","51",IF(R447="Meadows Dry Open","53",IF(R447="Forest &amp; Understory","52",IF(R447="Moist Open","50",IF(R447="Moist Shady","46",IF(R447="Sub-Alpine Slopes","40")))))))</f>
        <v>50</v>
      </c>
      <c r="V447" s="133" t="str">
        <f>IF(R447="Bogs Ponds Streams","84",IF(R447="Coastal Areas","76",IF(R447="Meadows Dry Open","96", IF(R447="Forest &amp; Understory","90", IF(R447="Moist Open","88", IF(R447="Moist Shady","82", IF(R447="Sub-Alpine Slopes","80")))))))</f>
        <v>88</v>
      </c>
      <c r="W447" s="104">
        <v>20</v>
      </c>
      <c r="X447" s="104">
        <v>0</v>
      </c>
      <c r="Y447" s="104">
        <v>3500</v>
      </c>
      <c r="Z447" s="104" t="s">
        <v>2519</v>
      </c>
      <c r="AA447" s="104" t="s">
        <v>2518</v>
      </c>
      <c r="AB447" s="104">
        <v>6.8</v>
      </c>
      <c r="AC447" s="107">
        <f>C447+AK447+(0.1)*AL447</f>
        <v>54.2</v>
      </c>
      <c r="AD447" s="113">
        <v>16</v>
      </c>
      <c r="AE447" s="104">
        <v>5</v>
      </c>
      <c r="AF447" s="104">
        <v>5</v>
      </c>
      <c r="AG447" s="104">
        <v>1900</v>
      </c>
      <c r="AH447" s="113">
        <v>0</v>
      </c>
      <c r="AI447" s="104">
        <f>AJ447</f>
        <v>2004</v>
      </c>
      <c r="AJ447" s="108">
        <v>2004</v>
      </c>
      <c r="AK447" s="108">
        <v>52</v>
      </c>
      <c r="AL447" s="108">
        <v>2</v>
      </c>
      <c r="AM447" s="109">
        <v>5</v>
      </c>
      <c r="AN447" s="109">
        <v>1</v>
      </c>
      <c r="AO447" s="109">
        <v>1</v>
      </c>
      <c r="AP447" s="109">
        <v>0</v>
      </c>
      <c r="AQ447" s="109">
        <v>0</v>
      </c>
      <c r="AR447" s="109">
        <v>0</v>
      </c>
      <c r="AS447" s="110">
        <v>0</v>
      </c>
      <c r="AT447" s="109">
        <v>0</v>
      </c>
      <c r="AU447" s="109">
        <v>0</v>
      </c>
      <c r="AV447" s="109">
        <v>0</v>
      </c>
      <c r="AW447" s="110">
        <v>0</v>
      </c>
      <c r="AX447" s="109">
        <v>0</v>
      </c>
      <c r="AY447" s="233"/>
      <c r="AZ447" s="4"/>
      <c r="BA447" s="35" t="str">
        <f ca="1">IF(OR(S447="North America",S447="Rocky Mountain"), "Widespread",BC447)</f>
        <v>Abundant</v>
      </c>
      <c r="BB447" s="4"/>
      <c r="BC447" s="35" t="str">
        <f ca="1">IF(BE447&gt;2046, "Abundant",BE447)</f>
        <v>Abundant</v>
      </c>
      <c r="BD447" s="4"/>
      <c r="BE447" s="81">
        <f ca="1">YEAR($C$13)+(BG447*80)</f>
        <v>2053.4341675579321</v>
      </c>
      <c r="BF447" s="4"/>
      <c r="BG447" s="137">
        <f ca="1">BH447*$BH$14</f>
        <v>0.43042709447415334</v>
      </c>
      <c r="BH447" s="137">
        <f ca="1">(((BJ447+BK447+BM447+BN447)/4)*$BM$11)+(((BP447+BQ447)/2)*$BQ$11)+(((BU447+BV447+BW447)/3)*$BU$11)+(((BY447+BZ447+CA447+CB447+CC447)/5)*$CA$11)</f>
        <v>0.43042709447415334</v>
      </c>
      <c r="BI447" s="4"/>
      <c r="BJ447" s="33">
        <f>AP447/(AM447+AO447)</f>
        <v>0</v>
      </c>
      <c r="BK447" s="33">
        <f>(AN447+AO447)/(AM447+AO447)</f>
        <v>0.33333333333333331</v>
      </c>
      <c r="BL447" s="4"/>
      <c r="BM447" s="127">
        <f>CF447/102</f>
        <v>0.53137254901960784</v>
      </c>
      <c r="BN447" s="127">
        <f>C447/2</f>
        <v>1</v>
      </c>
      <c r="BO447" s="4"/>
      <c r="BP447" s="127">
        <f>(AK447)/($AW$6)</f>
        <v>0.5252525252525253</v>
      </c>
      <c r="BQ447" s="127">
        <f ca="1">(CH447-$AW$4)/((YEAR($C$13))-$AW$4)</f>
        <v>0</v>
      </c>
      <c r="BR447" s="127">
        <f>(AL447)/($AW$6)</f>
        <v>2.0202020202020204E-2</v>
      </c>
      <c r="BS447" s="4"/>
      <c r="BT447" s="127"/>
      <c r="BU447" s="127">
        <f ca="1">(CG447-$AW$4)/((YEAR($C$13))-$AW$4)</f>
        <v>0</v>
      </c>
      <c r="BV447" s="127">
        <f>AE447/5</f>
        <v>1</v>
      </c>
      <c r="BW447" s="127">
        <f>AF447/5</f>
        <v>1</v>
      </c>
      <c r="BX447" s="4"/>
      <c r="BY447" s="148" t="str">
        <f>IF(E447="A",".98",IF(E447="B",".99",IF(E447="C","1.00",IF(E447="D","1.00" ))))</f>
        <v>1.00</v>
      </c>
      <c r="BZ447" s="127">
        <f>(CE447+7)/10</f>
        <v>1</v>
      </c>
      <c r="CA447" s="76" t="str">
        <f>IF(D447="Fern",".97",IF(D447="Grass",".99",IF(D447="Herb",".97",IF(D447="Shrub",".99",IF(D447="Tree","1.00",IF(D447="Vine",".98"))))))</f>
        <v>.97</v>
      </c>
      <c r="CB447" s="149" t="str">
        <f>IF(R447="Bogs Ponds Streams",".96", IF(R447="Coastal Areas",".97",IF(R447="Meadows Dry Open",".96",IF(R447="Forest &amp; Understory",".97",IF(R447="Moist Open",".98",IF(R447="Moist Shady",".96",IF(R447="Sub-Alpine","1.0")))))))</f>
        <v>.98</v>
      </c>
      <c r="CC447" s="76" t="str">
        <f>IF(S447="Local Endemic",".50",IF(S447="Regional Endemic",".70",IF(S447="Cascadia",".90",IF(S447="Rocky Mountain",".95",IF(S447="North America",".99")))))</f>
        <v>.70</v>
      </c>
      <c r="CD447" s="4"/>
      <c r="CE447" s="21">
        <f>IF(W447&gt;3,3,W447)</f>
        <v>3</v>
      </c>
      <c r="CF447" s="21">
        <f>IF(AC447&gt;102,102,AC447)</f>
        <v>54.2</v>
      </c>
      <c r="CG447" s="34">
        <f>IF(AI447&lt;$AW$4,$AW$4,AI447)</f>
        <v>2004</v>
      </c>
      <c r="CH447" s="34">
        <f>IF(AJ447&lt;$AW$4,$AW$4,AJ447)</f>
        <v>2004</v>
      </c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</row>
    <row r="448" spans="1:115" s="13" customFormat="1" ht="15" customHeight="1" x14ac:dyDescent="0.3">
      <c r="A448" s="235"/>
      <c r="B448" s="218"/>
      <c r="C448" s="225">
        <v>8</v>
      </c>
      <c r="D448" s="59" t="s">
        <v>2505</v>
      </c>
      <c r="E448" s="59" t="s">
        <v>2501</v>
      </c>
      <c r="F448" s="397" t="str">
        <f ca="1">IF(BC448&lt;2025, "Extinct&lt; 6Yrs?",BA448)</f>
        <v>Widespread</v>
      </c>
      <c r="G448" s="363" t="s">
        <v>525</v>
      </c>
      <c r="H448" s="363" t="s">
        <v>685</v>
      </c>
      <c r="I448" s="364" t="s">
        <v>2662</v>
      </c>
      <c r="J448" s="365" t="s">
        <v>3385</v>
      </c>
      <c r="K448" s="365" t="s">
        <v>629</v>
      </c>
      <c r="L448" s="17" t="s">
        <v>1514</v>
      </c>
      <c r="M448" s="8" t="s">
        <v>4523</v>
      </c>
      <c r="N448" s="8" t="s">
        <v>5420</v>
      </c>
      <c r="O448" s="8" t="s">
        <v>6318</v>
      </c>
      <c r="P448" s="9" t="s">
        <v>576</v>
      </c>
      <c r="Q448" s="59" t="s">
        <v>2552</v>
      </c>
      <c r="R448" s="9" t="s">
        <v>2453</v>
      </c>
      <c r="S448" s="9" t="s">
        <v>2495</v>
      </c>
      <c r="T448" s="123" t="str">
        <f>IF(R448="Bogs Ponds Streams","20",IF(R448="Coastal Areas","26",IF(R448="Meadows Dry Open","10",IF(R448="Forest &amp; Understory","14",IF(R448="Moist Open","12",IF(R448="Moist Shady","10",IF(R448="Sub-Alpine Slopes","0")))))))</f>
        <v>26</v>
      </c>
      <c r="U448" s="123" t="str">
        <f>IF(R448="Bogs Ponds Streams","52",IF(R448="Coastal Areas","51",IF(R448="Meadows Dry Open","53",IF(R448="Forest &amp; Understory","52",IF(R448="Moist Open","50",IF(R448="Moist Shady","46",IF(R448="Sub-Alpine Slopes","40")))))))</f>
        <v>51</v>
      </c>
      <c r="V448" s="123" t="str">
        <f>IF(R448="Bogs Ponds Streams","84",IF(R448="Coastal Areas","76",IF(R448="Meadows Dry Open","96", IF(R448="Forest &amp; Understory","90", IF(R448="Moist Open","88", IF(R448="Moist Shady","82", IF(R448="Sub-Alpine Slopes","80")))))))</f>
        <v>76</v>
      </c>
      <c r="W448" s="59">
        <v>20</v>
      </c>
      <c r="X448" s="59">
        <v>0</v>
      </c>
      <c r="Y448" s="59">
        <v>3500</v>
      </c>
      <c r="Z448" s="59" t="s">
        <v>2519</v>
      </c>
      <c r="AA448" s="59" t="s">
        <v>2518</v>
      </c>
      <c r="AB448" s="59">
        <v>6.8</v>
      </c>
      <c r="AC448" s="45">
        <f>C448+AK448+(0.1)*AL448</f>
        <v>18</v>
      </c>
      <c r="AD448" s="77">
        <v>78</v>
      </c>
      <c r="AE448" s="59">
        <v>5</v>
      </c>
      <c r="AF448" s="59">
        <v>5</v>
      </c>
      <c r="AG448" s="59">
        <v>1900</v>
      </c>
      <c r="AH448" s="77">
        <v>0</v>
      </c>
      <c r="AI448" s="59">
        <f ca="1">AJ448</f>
        <v>2019</v>
      </c>
      <c r="AJ448" s="18">
        <f ca="1">YEAR(TODAY())</f>
        <v>2019</v>
      </c>
      <c r="AK448" s="18">
        <v>10</v>
      </c>
      <c r="AL448" s="18">
        <v>0</v>
      </c>
      <c r="AM448" s="18">
        <v>1</v>
      </c>
      <c r="AN448" s="18">
        <v>1</v>
      </c>
      <c r="AO448" s="18">
        <v>5</v>
      </c>
      <c r="AP448" s="18">
        <v>1</v>
      </c>
      <c r="AQ448" s="18">
        <v>0</v>
      </c>
      <c r="AR448" s="18">
        <v>0</v>
      </c>
      <c r="AS448" s="18">
        <v>0</v>
      </c>
      <c r="AT448" s="18">
        <v>0</v>
      </c>
      <c r="AU448" s="18">
        <v>0</v>
      </c>
      <c r="AV448" s="18">
        <v>0</v>
      </c>
      <c r="AW448" s="18">
        <v>0</v>
      </c>
      <c r="AX448" s="18">
        <v>0</v>
      </c>
      <c r="AY448" s="233"/>
      <c r="AZ448" s="4"/>
      <c r="BA448" s="35" t="str">
        <f>IF(OR(S448="North America",S448="Rocky Mountain"), "Widespread",BC448)</f>
        <v>Widespread</v>
      </c>
      <c r="BB448" s="4"/>
      <c r="BC448" s="35" t="str">
        <f ca="1">IF(BE448&gt;2046, "Abundant",BE448)</f>
        <v>Abundant</v>
      </c>
      <c r="BD448" s="4"/>
      <c r="BE448" s="81">
        <f ca="1">YEAR($C$13)+(BG448*80)</f>
        <v>2104.3073682709446</v>
      </c>
      <c r="BF448" s="4"/>
      <c r="BG448" s="137">
        <f ca="1">BH448*$BH$14</f>
        <v>1.0663421033868092</v>
      </c>
      <c r="BH448" s="137">
        <f ca="1">(((BJ448+BK448+BM448+BN448)/4)*$BM$11)+(((BP448+BQ448)/2)*$BQ$11)+(((BU448+BV448+BW448)/3)*$BU$11)+(((BY448+BZ448+CA448+CB448+CC448)/5)*$CA$11)</f>
        <v>1.0663421033868092</v>
      </c>
      <c r="BI448" s="4"/>
      <c r="BJ448" s="33">
        <f>AP448/(AM448+AO448)</f>
        <v>0.16666666666666666</v>
      </c>
      <c r="BK448" s="33">
        <f>(AN448+AO448)/(AM448+AO448)</f>
        <v>1</v>
      </c>
      <c r="BL448" s="4"/>
      <c r="BM448" s="127">
        <f>CF448/102</f>
        <v>0.17647058823529413</v>
      </c>
      <c r="BN448" s="127">
        <f>C448/2</f>
        <v>4</v>
      </c>
      <c r="BO448" s="4"/>
      <c r="BP448" s="127">
        <f>(AK448)/($AW$6)</f>
        <v>0.10101010101010101</v>
      </c>
      <c r="BQ448" s="127">
        <f ca="1">(CH448-$AW$4)/((YEAR($C$13))-$AW$4)</f>
        <v>1</v>
      </c>
      <c r="BR448" s="127">
        <f>(AL448)/($AW$6)</f>
        <v>0</v>
      </c>
      <c r="BS448" s="4"/>
      <c r="BT448" s="127"/>
      <c r="BU448" s="127">
        <f ca="1">(CG448-$AW$4)/((YEAR($C$13))-$AW$4)</f>
        <v>1</v>
      </c>
      <c r="BV448" s="127">
        <f>AE448/5</f>
        <v>1</v>
      </c>
      <c r="BW448" s="127">
        <f>AF448/5</f>
        <v>1</v>
      </c>
      <c r="BX448" s="4"/>
      <c r="BY448" s="148" t="str">
        <f>IF(E448="A",".98",IF(E448="B",".99",IF(E448="C","1.00",IF(E448="D","1.00" ))))</f>
        <v>1.00</v>
      </c>
      <c r="BZ448" s="127">
        <f>(CE448+7)/10</f>
        <v>1</v>
      </c>
      <c r="CA448" s="76" t="str">
        <f>IF(D448="Fern",".97",IF(D448="Grass",".99",IF(D448="Herb",".97",IF(D448="Shrub",".99",IF(D448="Tree","1.00",IF(D448="Vine",".98"))))))</f>
        <v>.97</v>
      </c>
      <c r="CB448" s="149" t="str">
        <f>IF(R448="Bogs Ponds Streams",".96", IF(R448="Coastal Areas",".97",IF(R448="Meadows Dry Open",".96",IF(R448="Forest &amp; Understory",".97",IF(R448="Moist Open",".98",IF(R448="Moist Shady",".96",IF(R448="Sub-Alpine","1.0")))))))</f>
        <v>.97</v>
      </c>
      <c r="CC448" s="76" t="str">
        <f>IF(S448="Local Endemic",".50",IF(S448="Regional Endemic",".70",IF(S448="Cascadia",".90",IF(S448="Rocky Mountain",".95",IF(S448="North America",".99")))))</f>
        <v>.99</v>
      </c>
      <c r="CD448" s="4"/>
      <c r="CE448" s="21">
        <f>IF(W448&gt;3,3,W448)</f>
        <v>3</v>
      </c>
      <c r="CF448" s="21">
        <f>IF(AC448&gt;102,102,AC448)</f>
        <v>18</v>
      </c>
      <c r="CG448" s="34">
        <f ca="1">IF(AI448&lt;$AW$4,$AW$4,AI448)</f>
        <v>2019</v>
      </c>
      <c r="CH448" s="34">
        <f ca="1">IF(AJ448&lt;$AW$4,$AW$4,AJ448)</f>
        <v>2019</v>
      </c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</row>
    <row r="449" spans="1:115" s="13" customFormat="1" ht="15" customHeight="1" x14ac:dyDescent="0.3">
      <c r="A449" s="235"/>
      <c r="B449" s="218"/>
      <c r="C449" s="225">
        <v>8</v>
      </c>
      <c r="D449" s="59" t="s">
        <v>2505</v>
      </c>
      <c r="E449" s="59" t="s">
        <v>2501</v>
      </c>
      <c r="F449" s="397" t="str">
        <f ca="1">IF(BC449&lt;2025, "Extinct&lt; 6Yrs?",BA449)</f>
        <v>Abundant</v>
      </c>
      <c r="G449" s="363" t="s">
        <v>525</v>
      </c>
      <c r="H449" s="363" t="s">
        <v>685</v>
      </c>
      <c r="I449" s="364" t="s">
        <v>2663</v>
      </c>
      <c r="J449" s="365" t="s">
        <v>3387</v>
      </c>
      <c r="K449" s="365" t="s">
        <v>1014</v>
      </c>
      <c r="L449" s="17" t="s">
        <v>1515</v>
      </c>
      <c r="M449" s="8" t="s">
        <v>4524</v>
      </c>
      <c r="N449" s="8" t="s">
        <v>5421</v>
      </c>
      <c r="O449" s="8" t="s">
        <v>6319</v>
      </c>
      <c r="P449" s="9" t="s">
        <v>576</v>
      </c>
      <c r="Q449" s="59" t="s">
        <v>2552</v>
      </c>
      <c r="R449" s="9" t="s">
        <v>2453</v>
      </c>
      <c r="S449" s="9" t="s">
        <v>2459</v>
      </c>
      <c r="T449" s="123" t="str">
        <f>IF(R449="Bogs Ponds Streams","20",IF(R449="Coastal Areas","26",IF(R449="Meadows Dry Open","10",IF(R449="Forest &amp; Understory","14",IF(R449="Moist Open","12",IF(R449="Moist Shady","10",IF(R449="Sub-Alpine Slopes","0")))))))</f>
        <v>26</v>
      </c>
      <c r="U449" s="123" t="str">
        <f>IF(R449="Bogs Ponds Streams","52",IF(R449="Coastal Areas","51",IF(R449="Meadows Dry Open","53",IF(R449="Forest &amp; Understory","52",IF(R449="Moist Open","50",IF(R449="Moist Shady","46",IF(R449="Sub-Alpine Slopes","40")))))))</f>
        <v>51</v>
      </c>
      <c r="V449" s="123" t="str">
        <f>IF(R449="Bogs Ponds Streams","84",IF(R449="Coastal Areas","76",IF(R449="Meadows Dry Open","96", IF(R449="Forest &amp; Understory","90", IF(R449="Moist Open","88", IF(R449="Moist Shady","82", IF(R449="Sub-Alpine Slopes","80")))))))</f>
        <v>76</v>
      </c>
      <c r="W449" s="59">
        <v>20</v>
      </c>
      <c r="X449" s="59">
        <v>0</v>
      </c>
      <c r="Y449" s="59">
        <v>3500</v>
      </c>
      <c r="Z449" s="59" t="s">
        <v>2519</v>
      </c>
      <c r="AA449" s="59" t="s">
        <v>2518</v>
      </c>
      <c r="AB449" s="59">
        <v>6.8</v>
      </c>
      <c r="AC449" s="45">
        <f>C449+AK449+(0.1)*AL449</f>
        <v>20</v>
      </c>
      <c r="AD449" s="77">
        <v>29</v>
      </c>
      <c r="AE449" s="59">
        <v>5</v>
      </c>
      <c r="AF449" s="59">
        <v>5</v>
      </c>
      <c r="AG449" s="59">
        <v>1900</v>
      </c>
      <c r="AH449" s="77">
        <v>0</v>
      </c>
      <c r="AI449" s="59">
        <f ca="1">AJ449</f>
        <v>2019</v>
      </c>
      <c r="AJ449" s="18">
        <f ca="1">YEAR(TODAY())</f>
        <v>2019</v>
      </c>
      <c r="AK449" s="18">
        <v>12</v>
      </c>
      <c r="AL449" s="18">
        <v>0</v>
      </c>
      <c r="AM449" s="18">
        <v>1</v>
      </c>
      <c r="AN449" s="18">
        <v>1</v>
      </c>
      <c r="AO449" s="18">
        <v>5</v>
      </c>
      <c r="AP449" s="18">
        <v>1</v>
      </c>
      <c r="AQ449" s="18">
        <v>0</v>
      </c>
      <c r="AR449" s="18">
        <v>0</v>
      </c>
      <c r="AS449" s="18">
        <v>0</v>
      </c>
      <c r="AT449" s="18">
        <v>0</v>
      </c>
      <c r="AU449" s="18">
        <v>0</v>
      </c>
      <c r="AV449" s="18">
        <v>0</v>
      </c>
      <c r="AW449" s="18">
        <v>0</v>
      </c>
      <c r="AX449" s="18">
        <v>0</v>
      </c>
      <c r="AY449" s="233"/>
      <c r="AZ449" s="4"/>
      <c r="BA449" s="35" t="str">
        <f ca="1">IF(OR(S449="North America",S449="Rocky Mountain"), "Widespread",BC449)</f>
        <v>Abundant</v>
      </c>
      <c r="BB449" s="4"/>
      <c r="BC449" s="35" t="str">
        <f ca="1">IF(BE449&gt;2046, "Abundant",BE449)</f>
        <v>Abundant</v>
      </c>
      <c r="BD449" s="4"/>
      <c r="BE449" s="81">
        <f ca="1">YEAR($C$13)+(BG449*80)</f>
        <v>2104.7562866310159</v>
      </c>
      <c r="BF449" s="4"/>
      <c r="BG449" s="137">
        <f ca="1">BH449*$BH$14</f>
        <v>1.0719535828877007</v>
      </c>
      <c r="BH449" s="137">
        <f ca="1">(((BJ449+BK449+BM449+BN449)/4)*$BM$11)+(((BP449+BQ449)/2)*$BQ$11)+(((BU449+BV449+BW449)/3)*$BU$11)+(((BY449+BZ449+CA449+CB449+CC449)/5)*$CA$11)</f>
        <v>1.0719535828877007</v>
      </c>
      <c r="BI449" s="4"/>
      <c r="BJ449" s="33">
        <f>AP449/(AM449+AO449)</f>
        <v>0.16666666666666666</v>
      </c>
      <c r="BK449" s="33">
        <f>(AN449+AO449)/(AM449+AO449)</f>
        <v>1</v>
      </c>
      <c r="BL449" s="4"/>
      <c r="BM449" s="127">
        <f>CF449/102</f>
        <v>0.19607843137254902</v>
      </c>
      <c r="BN449" s="127">
        <f>C449/2</f>
        <v>4</v>
      </c>
      <c r="BO449" s="4"/>
      <c r="BP449" s="127">
        <f>(AK449)/($AW$6)</f>
        <v>0.12121212121212122</v>
      </c>
      <c r="BQ449" s="127">
        <f ca="1">(CH449-$AW$4)/((YEAR($C$13))-$AW$4)</f>
        <v>1</v>
      </c>
      <c r="BR449" s="127">
        <f>(AL449)/($AW$6)</f>
        <v>0</v>
      </c>
      <c r="BS449" s="4"/>
      <c r="BT449" s="127"/>
      <c r="BU449" s="127">
        <f ca="1">(CG449-$AW$4)/((YEAR($C$13))-$AW$4)</f>
        <v>1</v>
      </c>
      <c r="BV449" s="127">
        <f>AE449/5</f>
        <v>1</v>
      </c>
      <c r="BW449" s="127">
        <f>AF449/5</f>
        <v>1</v>
      </c>
      <c r="BX449" s="4"/>
      <c r="BY449" s="148" t="str">
        <f>IF(E449="A",".98",IF(E449="B",".99",IF(E449="C","1.00",IF(E449="D","1.00" ))))</f>
        <v>1.00</v>
      </c>
      <c r="BZ449" s="127">
        <f>(CE449+7)/10</f>
        <v>1</v>
      </c>
      <c r="CA449" s="76" t="str">
        <f>IF(D449="Fern",".97",IF(D449="Grass",".99",IF(D449="Herb",".97",IF(D449="Shrub",".99",IF(D449="Tree","1.00",IF(D449="Vine",".98"))))))</f>
        <v>.97</v>
      </c>
      <c r="CB449" s="149" t="str">
        <f>IF(R449="Bogs Ponds Streams",".96", IF(R449="Coastal Areas",".97",IF(R449="Meadows Dry Open",".96",IF(R449="Forest &amp; Understory",".97",IF(R449="Moist Open",".98",IF(R449="Moist Shady",".96",IF(R449="Sub-Alpine","1.0")))))))</f>
        <v>.97</v>
      </c>
      <c r="CC449" s="76" t="str">
        <f>IF(S449="Local Endemic",".50",IF(S449="Regional Endemic",".70",IF(S449="Cascadia",".90",IF(S449="Rocky Mountain",".95",IF(S449="North America",".99")))))</f>
        <v>.90</v>
      </c>
      <c r="CD449" s="4"/>
      <c r="CE449" s="21">
        <f>IF(W449&gt;3,3,W449)</f>
        <v>3</v>
      </c>
      <c r="CF449" s="21">
        <f>IF(AC449&gt;102,102,AC449)</f>
        <v>20</v>
      </c>
      <c r="CG449" s="34">
        <f ca="1">IF(AI449&lt;$AW$4,$AW$4,AI449)</f>
        <v>2019</v>
      </c>
      <c r="CH449" s="34">
        <f ca="1">IF(AJ449&lt;$AW$4,$AW$4,AJ449)</f>
        <v>2019</v>
      </c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12"/>
    </row>
    <row r="450" spans="1:115" s="13" customFormat="1" ht="15" customHeight="1" x14ac:dyDescent="0.3">
      <c r="A450" s="235"/>
      <c r="B450" s="218"/>
      <c r="C450" s="226">
        <v>2</v>
      </c>
      <c r="D450" s="104" t="s">
        <v>2505</v>
      </c>
      <c r="E450" s="104" t="s">
        <v>2502</v>
      </c>
      <c r="F450" s="400">
        <f ca="1">IF(BC450&lt;2025, "Extinct&lt; 6Yrs?",BA450)</f>
        <v>2045.0202980392157</v>
      </c>
      <c r="G450" s="369" t="s">
        <v>525</v>
      </c>
      <c r="H450" s="369" t="s">
        <v>4028</v>
      </c>
      <c r="I450" s="370" t="s">
        <v>582</v>
      </c>
      <c r="J450" s="371" t="s">
        <v>3760</v>
      </c>
      <c r="K450" s="371" t="s">
        <v>1015</v>
      </c>
      <c r="L450" s="106" t="s">
        <v>1516</v>
      </c>
      <c r="M450" s="111" t="s">
        <v>4525</v>
      </c>
      <c r="N450" s="111" t="s">
        <v>5422</v>
      </c>
      <c r="O450" s="111" t="s">
        <v>6320</v>
      </c>
      <c r="P450" s="105" t="s">
        <v>576</v>
      </c>
      <c r="Q450" s="104" t="s">
        <v>2552</v>
      </c>
      <c r="R450" s="105" t="s">
        <v>2500</v>
      </c>
      <c r="S450" s="105" t="s">
        <v>2459</v>
      </c>
      <c r="T450" s="133" t="str">
        <f>IF(R450="Bogs Ponds Streams","20",IF(R450="Coastal Areas","26",IF(R450="Meadows Dry Open","10",IF(R450="Forest &amp; Understory","14",IF(R450="Moist Open","12",IF(R450="Moist Shady","10",IF(R450="Sub-Alpine Slopes","0")))))))</f>
        <v>10</v>
      </c>
      <c r="U450" s="133" t="str">
        <f>IF(R450="Bogs Ponds Streams","52",IF(R450="Coastal Areas","51",IF(R450="Meadows Dry Open","53",IF(R450="Forest &amp; Understory","52",IF(R450="Moist Open","50",IF(R450="Moist Shady","46",IF(R450="Sub-Alpine Slopes","40")))))))</f>
        <v>53</v>
      </c>
      <c r="V450" s="133" t="str">
        <f>IF(R450="Bogs Ponds Streams","84",IF(R450="Coastal Areas","76",IF(R450="Meadows Dry Open","96", IF(R450="Forest &amp; Understory","90", IF(R450="Moist Open","88", IF(R450="Moist Shady","82", IF(R450="Sub-Alpine Slopes","80")))))))</f>
        <v>96</v>
      </c>
      <c r="W450" s="104">
        <v>1</v>
      </c>
      <c r="X450" s="104">
        <v>0</v>
      </c>
      <c r="Y450" s="104">
        <v>3500</v>
      </c>
      <c r="Z450" s="104" t="s">
        <v>2519</v>
      </c>
      <c r="AA450" s="104" t="s">
        <v>2518</v>
      </c>
      <c r="AB450" s="104">
        <v>6.8</v>
      </c>
      <c r="AC450" s="107">
        <f>C450+AK450+(0.1)*AL450</f>
        <v>27.3</v>
      </c>
      <c r="AD450" s="113">
        <v>181</v>
      </c>
      <c r="AE450" s="104">
        <v>5</v>
      </c>
      <c r="AF450" s="104">
        <v>5</v>
      </c>
      <c r="AG450" s="104">
        <v>1900</v>
      </c>
      <c r="AH450" s="113">
        <v>0</v>
      </c>
      <c r="AI450" s="104">
        <f>AJ450</f>
        <v>2004</v>
      </c>
      <c r="AJ450" s="108">
        <v>2004</v>
      </c>
      <c r="AK450" s="108">
        <v>22</v>
      </c>
      <c r="AL450" s="108">
        <v>33</v>
      </c>
      <c r="AM450" s="109">
        <v>5</v>
      </c>
      <c r="AN450" s="109">
        <v>1</v>
      </c>
      <c r="AO450" s="110">
        <v>0</v>
      </c>
      <c r="AP450" s="109">
        <v>0</v>
      </c>
      <c r="AQ450" s="109">
        <v>0</v>
      </c>
      <c r="AR450" s="109">
        <v>0</v>
      </c>
      <c r="AS450" s="110">
        <v>0</v>
      </c>
      <c r="AT450" s="109">
        <v>0</v>
      </c>
      <c r="AU450" s="109">
        <v>0</v>
      </c>
      <c r="AV450" s="109">
        <v>0</v>
      </c>
      <c r="AW450" s="110">
        <v>0</v>
      </c>
      <c r="AX450" s="109">
        <v>0</v>
      </c>
      <c r="AY450" s="233"/>
      <c r="AZ450" s="4"/>
      <c r="BA450" s="35">
        <f ca="1">IF(OR(S450="North America",S450="Rocky Mountain"), "Widespread",BC450)</f>
        <v>2045.0202980392157</v>
      </c>
      <c r="BB450" s="4"/>
      <c r="BC450" s="35">
        <f ca="1">IF(BE450&gt;2046, "Abundant",BE450)</f>
        <v>2045.0202980392157</v>
      </c>
      <c r="BD450" s="4"/>
      <c r="BE450" s="81">
        <f ca="1">YEAR($C$13)+(BG450*80)</f>
        <v>2045.0202980392157</v>
      </c>
      <c r="BF450" s="4"/>
      <c r="BG450" s="137">
        <f ca="1">BH450*$BH$14</f>
        <v>0.3252537254901961</v>
      </c>
      <c r="BH450" s="137">
        <f ca="1">(((BJ450+BK450+BM450+BN450)/4)*$BM$11)+(((BP450+BQ450)/2)*$BQ$11)+(((BU450+BV450+BW450)/3)*$BU$11)+(((BY450+BZ450+CA450+CB450+CC450)/5)*$CA$11)</f>
        <v>0.3252537254901961</v>
      </c>
      <c r="BI450" s="4"/>
      <c r="BJ450" s="33">
        <f>AP450/(AM450+AO450)</f>
        <v>0</v>
      </c>
      <c r="BK450" s="33">
        <f>(AN450+AO450)/(AM450+AO450)</f>
        <v>0.2</v>
      </c>
      <c r="BL450" s="4"/>
      <c r="BM450" s="127">
        <f>CF450/102</f>
        <v>0.2676470588235294</v>
      </c>
      <c r="BN450" s="127">
        <f>C450/2</f>
        <v>1</v>
      </c>
      <c r="BO450" s="4"/>
      <c r="BP450" s="127">
        <f>(AK450)/($AW$6)</f>
        <v>0.22222222222222221</v>
      </c>
      <c r="BQ450" s="127">
        <f ca="1">(CH450-$AW$4)/((YEAR($C$13))-$AW$4)</f>
        <v>0</v>
      </c>
      <c r="BR450" s="127">
        <f>(AL450)/($AW$6)</f>
        <v>0.33333333333333331</v>
      </c>
      <c r="BS450" s="4"/>
      <c r="BT450" s="127"/>
      <c r="BU450" s="127">
        <f ca="1">(CG450-$AW$4)/((YEAR($C$13))-$AW$4)</f>
        <v>0</v>
      </c>
      <c r="BV450" s="127">
        <f>AE450/5</f>
        <v>1</v>
      </c>
      <c r="BW450" s="127">
        <f>AF450/5</f>
        <v>1</v>
      </c>
      <c r="BX450" s="4"/>
      <c r="BY450" s="148" t="str">
        <f>IF(E450="A",".98",IF(E450="B",".99",IF(E450="C","1.00",IF(E450="D","1.00" ))))</f>
        <v>.98</v>
      </c>
      <c r="BZ450" s="127">
        <f>(CE450+7)/10</f>
        <v>0.8</v>
      </c>
      <c r="CA450" s="76" t="str">
        <f>IF(D450="Fern",".97",IF(D450="Grass",".99",IF(D450="Herb",".97",IF(D450="Shrub",".99",IF(D450="Tree","1.00",IF(D450="Vine",".98"))))))</f>
        <v>.97</v>
      </c>
      <c r="CB450" s="149" t="str">
        <f>IF(R450="Bogs Ponds Streams",".96", IF(R450="Coastal Areas",".97",IF(R450="Meadows Dry Open",".96",IF(R450="Forest &amp; Understory",".97",IF(R450="Moist Open",".98",IF(R450="Moist Shady",".96",IF(R450="Sub-Alpine","1.0")))))))</f>
        <v>.96</v>
      </c>
      <c r="CC450" s="76" t="str">
        <f>IF(S450="Local Endemic",".50",IF(S450="Regional Endemic",".70",IF(S450="Cascadia",".90",IF(S450="Rocky Mountain",".95",IF(S450="North America",".99")))))</f>
        <v>.90</v>
      </c>
      <c r="CD450" s="4"/>
      <c r="CE450" s="21">
        <f>IF(W450&gt;3,3,W450)</f>
        <v>1</v>
      </c>
      <c r="CF450" s="21">
        <f>IF(AC450&gt;102,102,AC450)</f>
        <v>27.3</v>
      </c>
      <c r="CG450" s="34">
        <f>IF(AI450&lt;$AW$4,$AW$4,AI450)</f>
        <v>2004</v>
      </c>
      <c r="CH450" s="34">
        <f>IF(AJ450&lt;$AW$4,$AW$4,AJ450)</f>
        <v>2004</v>
      </c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</row>
    <row r="451" spans="1:115" s="13" customFormat="1" ht="15" customHeight="1" x14ac:dyDescent="0.3">
      <c r="A451" s="235"/>
      <c r="B451" s="218"/>
      <c r="C451" s="226">
        <v>2</v>
      </c>
      <c r="D451" s="104" t="s">
        <v>2505</v>
      </c>
      <c r="E451" s="104" t="s">
        <v>2501</v>
      </c>
      <c r="F451" s="400" t="str">
        <f ca="1">IF(BC451&lt;2025, "Extinct&lt; 6Yrs?",BA451)</f>
        <v>Widespread</v>
      </c>
      <c r="G451" s="369" t="s">
        <v>525</v>
      </c>
      <c r="H451" s="369" t="s">
        <v>4028</v>
      </c>
      <c r="I451" s="370" t="s">
        <v>579</v>
      </c>
      <c r="J451" s="371" t="s">
        <v>3759</v>
      </c>
      <c r="K451" s="371" t="s">
        <v>2783</v>
      </c>
      <c r="L451" s="106" t="s">
        <v>1517</v>
      </c>
      <c r="M451" s="111" t="s">
        <v>4526</v>
      </c>
      <c r="N451" s="111" t="s">
        <v>5423</v>
      </c>
      <c r="O451" s="111" t="s">
        <v>6321</v>
      </c>
      <c r="P451" s="105" t="s">
        <v>576</v>
      </c>
      <c r="Q451" s="104" t="s">
        <v>2552</v>
      </c>
      <c r="R451" s="105" t="s">
        <v>2453</v>
      </c>
      <c r="S451" s="105" t="s">
        <v>2495</v>
      </c>
      <c r="T451" s="133" t="str">
        <f>IF(R451="Bogs Ponds Streams","20",IF(R451="Coastal Areas","26",IF(R451="Meadows Dry Open","10",IF(R451="Forest &amp; Understory","14",IF(R451="Moist Open","12",IF(R451="Moist Shady","10",IF(R451="Sub-Alpine Slopes","0")))))))</f>
        <v>26</v>
      </c>
      <c r="U451" s="133" t="str">
        <f>IF(R451="Bogs Ponds Streams","52",IF(R451="Coastal Areas","51",IF(R451="Meadows Dry Open","53",IF(R451="Forest &amp; Understory","52",IF(R451="Moist Open","50",IF(R451="Moist Shady","46",IF(R451="Sub-Alpine Slopes","40")))))))</f>
        <v>51</v>
      </c>
      <c r="V451" s="133" t="str">
        <f>IF(R451="Bogs Ponds Streams","84",IF(R451="Coastal Areas","76",IF(R451="Meadows Dry Open","96", IF(R451="Forest &amp; Understory","90", IF(R451="Moist Open","88", IF(R451="Moist Shady","82", IF(R451="Sub-Alpine Slopes","80")))))))</f>
        <v>76</v>
      </c>
      <c r="W451" s="104">
        <v>20</v>
      </c>
      <c r="X451" s="104">
        <v>0</v>
      </c>
      <c r="Y451" s="104">
        <v>3500</v>
      </c>
      <c r="Z451" s="104" t="s">
        <v>2519</v>
      </c>
      <c r="AA451" s="104" t="s">
        <v>2518</v>
      </c>
      <c r="AB451" s="104">
        <v>6.8</v>
      </c>
      <c r="AC451" s="107">
        <f>C451+AK451+(0.1)*AL451</f>
        <v>27.8</v>
      </c>
      <c r="AD451" s="113">
        <v>28</v>
      </c>
      <c r="AE451" s="104">
        <v>5</v>
      </c>
      <c r="AF451" s="104">
        <v>5</v>
      </c>
      <c r="AG451" s="104">
        <v>1900</v>
      </c>
      <c r="AH451" s="113">
        <v>0</v>
      </c>
      <c r="AI451" s="104">
        <f>AJ451</f>
        <v>2004</v>
      </c>
      <c r="AJ451" s="108">
        <v>2004</v>
      </c>
      <c r="AK451" s="108">
        <v>22</v>
      </c>
      <c r="AL451" s="108">
        <v>38</v>
      </c>
      <c r="AM451" s="109">
        <v>5</v>
      </c>
      <c r="AN451" s="109">
        <v>1</v>
      </c>
      <c r="AO451" s="110">
        <v>0</v>
      </c>
      <c r="AP451" s="109">
        <v>0</v>
      </c>
      <c r="AQ451" s="109">
        <v>0</v>
      </c>
      <c r="AR451" s="109">
        <v>0</v>
      </c>
      <c r="AS451" s="110">
        <v>0</v>
      </c>
      <c r="AT451" s="109">
        <v>0</v>
      </c>
      <c r="AU451" s="109">
        <v>0</v>
      </c>
      <c r="AV451" s="109">
        <v>0</v>
      </c>
      <c r="AW451" s="110">
        <v>0</v>
      </c>
      <c r="AX451" s="109">
        <v>0</v>
      </c>
      <c r="AY451" s="233"/>
      <c r="AZ451" s="4"/>
      <c r="BA451" s="35" t="str">
        <f>IF(OR(S451="North America",S451="Rocky Mountain"), "Widespread",BC451)</f>
        <v>Widespread</v>
      </c>
      <c r="BB451" s="4"/>
      <c r="BC451" s="35">
        <f ca="1">IF(BE451&gt;2046, "Abundant",BE451)</f>
        <v>2045.1815215686274</v>
      </c>
      <c r="BD451" s="4"/>
      <c r="BE451" s="81">
        <f ca="1">YEAR($C$13)+(BG451*80)</f>
        <v>2045.1815215686274</v>
      </c>
      <c r="BF451" s="4"/>
      <c r="BG451" s="137">
        <f ca="1">BH451*$BH$14</f>
        <v>0.32726901960784316</v>
      </c>
      <c r="BH451" s="137">
        <f ca="1">(((BJ451+BK451+BM451+BN451)/4)*$BM$11)+(((BP451+BQ451)/2)*$BQ$11)+(((BU451+BV451+BW451)/3)*$BU$11)+(((BY451+BZ451+CA451+CB451+CC451)/5)*$CA$11)</f>
        <v>0.32726901960784316</v>
      </c>
      <c r="BI451" s="4"/>
      <c r="BJ451" s="33">
        <f>AP451/(AM451+AO451)</f>
        <v>0</v>
      </c>
      <c r="BK451" s="33">
        <f>(AN451+AO451)/(AM451+AO451)</f>
        <v>0.2</v>
      </c>
      <c r="BL451" s="4"/>
      <c r="BM451" s="127">
        <f>CF451/102</f>
        <v>0.27254901960784317</v>
      </c>
      <c r="BN451" s="127">
        <f>C451/2</f>
        <v>1</v>
      </c>
      <c r="BO451" s="4"/>
      <c r="BP451" s="127">
        <f>(AK451)/($AW$6)</f>
        <v>0.22222222222222221</v>
      </c>
      <c r="BQ451" s="127">
        <f ca="1">(CH451-$AW$4)/((YEAR($C$13))-$AW$4)</f>
        <v>0</v>
      </c>
      <c r="BR451" s="127">
        <f>(AL451)/($AW$6)</f>
        <v>0.38383838383838381</v>
      </c>
      <c r="BS451" s="4"/>
      <c r="BT451" s="127"/>
      <c r="BU451" s="127">
        <f ca="1">(CG451-$AW$4)/((YEAR($C$13))-$AW$4)</f>
        <v>0</v>
      </c>
      <c r="BV451" s="127">
        <f>AE451/5</f>
        <v>1</v>
      </c>
      <c r="BW451" s="127">
        <f>AF451/5</f>
        <v>1</v>
      </c>
      <c r="BX451" s="4"/>
      <c r="BY451" s="148" t="str">
        <f>IF(E451="A",".98",IF(E451="B",".99",IF(E451="C","1.00",IF(E451="D","1.00" ))))</f>
        <v>1.00</v>
      </c>
      <c r="BZ451" s="127">
        <f>(CE451+7)/10</f>
        <v>1</v>
      </c>
      <c r="CA451" s="76" t="str">
        <f>IF(D451="Fern",".97",IF(D451="Grass",".99",IF(D451="Herb",".97",IF(D451="Shrub",".99",IF(D451="Tree","1.00",IF(D451="Vine",".98"))))))</f>
        <v>.97</v>
      </c>
      <c r="CB451" s="149" t="str">
        <f>IF(R451="Bogs Ponds Streams",".96", IF(R451="Coastal Areas",".97",IF(R451="Meadows Dry Open",".96",IF(R451="Forest &amp; Understory",".97",IF(R451="Moist Open",".98",IF(R451="Moist Shady",".96",IF(R451="Sub-Alpine","1.0")))))))</f>
        <v>.97</v>
      </c>
      <c r="CC451" s="76" t="str">
        <f>IF(S451="Local Endemic",".50",IF(S451="Regional Endemic",".70",IF(S451="Cascadia",".90",IF(S451="Rocky Mountain",".95",IF(S451="North America",".99")))))</f>
        <v>.99</v>
      </c>
      <c r="CD451" s="4"/>
      <c r="CE451" s="21">
        <f>IF(W451&gt;3,3,W451)</f>
        <v>3</v>
      </c>
      <c r="CF451" s="21">
        <f>IF(AC451&gt;102,102,AC451)</f>
        <v>27.8</v>
      </c>
      <c r="CG451" s="34">
        <f>IF(AI451&lt;$AW$4,$AW$4,AI451)</f>
        <v>2004</v>
      </c>
      <c r="CH451" s="34">
        <f>IF(AJ451&lt;$AW$4,$AW$4,AJ451)</f>
        <v>2004</v>
      </c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12"/>
    </row>
    <row r="452" spans="1:115" s="13" customFormat="1" ht="15" customHeight="1" x14ac:dyDescent="0.3">
      <c r="A452" s="235"/>
      <c r="B452" s="218"/>
      <c r="C452" s="225">
        <v>8</v>
      </c>
      <c r="D452" s="59" t="s">
        <v>2505</v>
      </c>
      <c r="E452" s="59" t="s">
        <v>2501</v>
      </c>
      <c r="F452" s="397" t="str">
        <f ca="1">IF(BC452&lt;2025, "Extinct&lt; 6Yrs?",BA452)</f>
        <v>Abundant</v>
      </c>
      <c r="G452" s="363" t="s">
        <v>525</v>
      </c>
      <c r="H452" s="363" t="s">
        <v>685</v>
      </c>
      <c r="I452" s="366" t="s">
        <v>581</v>
      </c>
      <c r="J452" s="365" t="s">
        <v>3386</v>
      </c>
      <c r="K452" s="365" t="s">
        <v>580</v>
      </c>
      <c r="L452" s="10" t="s">
        <v>1518</v>
      </c>
      <c r="M452" s="8" t="s">
        <v>4527</v>
      </c>
      <c r="N452" s="8" t="s">
        <v>5424</v>
      </c>
      <c r="O452" s="8" t="s">
        <v>6322</v>
      </c>
      <c r="P452" s="9" t="s">
        <v>576</v>
      </c>
      <c r="Q452" s="59" t="s">
        <v>2552</v>
      </c>
      <c r="R452" s="9" t="s">
        <v>2500</v>
      </c>
      <c r="S452" s="9" t="s">
        <v>2459</v>
      </c>
      <c r="T452" s="123" t="str">
        <f>IF(R452="Bogs Ponds Streams","20",IF(R452="Coastal Areas","26",IF(R452="Meadows Dry Open","10",IF(R452="Forest &amp; Understory","14",IF(R452="Moist Open","12",IF(R452="Moist Shady","10",IF(R452="Sub-Alpine Slopes","0")))))))</f>
        <v>10</v>
      </c>
      <c r="U452" s="123" t="str">
        <f>IF(R452="Bogs Ponds Streams","52",IF(R452="Coastal Areas","51",IF(R452="Meadows Dry Open","53",IF(R452="Forest &amp; Understory","52",IF(R452="Moist Open","50",IF(R452="Moist Shady","46",IF(R452="Sub-Alpine Slopes","40")))))))</f>
        <v>53</v>
      </c>
      <c r="V452" s="123" t="str">
        <f>IF(R452="Bogs Ponds Streams","84",IF(R452="Coastal Areas","76",IF(R452="Meadows Dry Open","96", IF(R452="Forest &amp; Understory","90", IF(R452="Moist Open","88", IF(R452="Moist Shady","82", IF(R452="Sub-Alpine Slopes","80")))))))</f>
        <v>96</v>
      </c>
      <c r="W452" s="59">
        <v>20</v>
      </c>
      <c r="X452" s="59">
        <v>0</v>
      </c>
      <c r="Y452" s="59">
        <v>3500</v>
      </c>
      <c r="Z452" s="59" t="s">
        <v>2519</v>
      </c>
      <c r="AA452" s="59" t="s">
        <v>2518</v>
      </c>
      <c r="AB452" s="59">
        <v>6.8</v>
      </c>
      <c r="AC452" s="45">
        <f>C452+AK452+(0.1)*AL452</f>
        <v>18.399999999999999</v>
      </c>
      <c r="AD452" s="77">
        <v>57</v>
      </c>
      <c r="AE452" s="59">
        <v>5</v>
      </c>
      <c r="AF452" s="59">
        <v>5</v>
      </c>
      <c r="AG452" s="59">
        <v>1900</v>
      </c>
      <c r="AH452" s="77">
        <v>0</v>
      </c>
      <c r="AI452" s="59">
        <f ca="1">AJ452</f>
        <v>2019</v>
      </c>
      <c r="AJ452" s="18">
        <f ca="1">YEAR(TODAY())</f>
        <v>2019</v>
      </c>
      <c r="AK452" s="18">
        <v>10</v>
      </c>
      <c r="AL452" s="18">
        <v>4</v>
      </c>
      <c r="AM452" s="18">
        <v>1</v>
      </c>
      <c r="AN452" s="18">
        <v>1</v>
      </c>
      <c r="AO452" s="18">
        <v>5</v>
      </c>
      <c r="AP452" s="18">
        <v>1</v>
      </c>
      <c r="AQ452" s="18">
        <v>0</v>
      </c>
      <c r="AR452" s="18">
        <v>0</v>
      </c>
      <c r="AS452" s="18">
        <v>0</v>
      </c>
      <c r="AT452" s="18">
        <v>0</v>
      </c>
      <c r="AU452" s="18">
        <v>0</v>
      </c>
      <c r="AV452" s="18">
        <v>0</v>
      </c>
      <c r="AW452" s="18">
        <v>0</v>
      </c>
      <c r="AX452" s="18">
        <v>0</v>
      </c>
      <c r="AY452" s="233"/>
      <c r="AZ452" s="4"/>
      <c r="BA452" s="35" t="str">
        <f ca="1">IF(OR(S452="North America",S452="Rocky Mountain"), "Widespread",BC452)</f>
        <v>Abundant</v>
      </c>
      <c r="BB452" s="4"/>
      <c r="BC452" s="35" t="str">
        <f ca="1">IF(BE452&gt;2046, "Abundant",BE452)</f>
        <v>Abundant</v>
      </c>
      <c r="BD452" s="4"/>
      <c r="BE452" s="81">
        <f ca="1">YEAR($C$13)+(BG452*80)</f>
        <v>2104.3224270944743</v>
      </c>
      <c r="BF452" s="4"/>
      <c r="BG452" s="137">
        <f ca="1">BH452*$BH$14</f>
        <v>1.0665303386809271</v>
      </c>
      <c r="BH452" s="137">
        <f ca="1">(((BJ452+BK452+BM452+BN452)/4)*$BM$11)+(((BP452+BQ452)/2)*$BQ$11)+(((BU452+BV452+BW452)/3)*$BU$11)+(((BY452+BZ452+CA452+CB452+CC452)/5)*$CA$11)</f>
        <v>1.0665303386809271</v>
      </c>
      <c r="BI452" s="4"/>
      <c r="BJ452" s="33">
        <f>AP452/(AM452+AO452)</f>
        <v>0.16666666666666666</v>
      </c>
      <c r="BK452" s="33">
        <f>(AN452+AO452)/(AM452+AO452)</f>
        <v>1</v>
      </c>
      <c r="BL452" s="4"/>
      <c r="BM452" s="127">
        <f>CF452/102</f>
        <v>0.1803921568627451</v>
      </c>
      <c r="BN452" s="127">
        <f>C452/2</f>
        <v>4</v>
      </c>
      <c r="BO452" s="4"/>
      <c r="BP452" s="127">
        <f>(AK452)/($AW$6)</f>
        <v>0.10101010101010101</v>
      </c>
      <c r="BQ452" s="127">
        <f ca="1">(CH452-$AW$4)/((YEAR($C$13))-$AW$4)</f>
        <v>1</v>
      </c>
      <c r="BR452" s="127">
        <f>(AL452)/($AW$6)</f>
        <v>4.0404040404040407E-2</v>
      </c>
      <c r="BS452" s="4"/>
      <c r="BT452" s="127"/>
      <c r="BU452" s="127">
        <f ca="1">(CG452-$AW$4)/((YEAR($C$13))-$AW$4)</f>
        <v>1</v>
      </c>
      <c r="BV452" s="127">
        <f>AE452/5</f>
        <v>1</v>
      </c>
      <c r="BW452" s="127">
        <f>AF452/5</f>
        <v>1</v>
      </c>
      <c r="BX452" s="4"/>
      <c r="BY452" s="148" t="str">
        <f>IF(E452="A",".98",IF(E452="B",".99",IF(E452="C","1.00",IF(E452="D","1.00" ))))</f>
        <v>1.00</v>
      </c>
      <c r="BZ452" s="127">
        <f>(CE452+7)/10</f>
        <v>1</v>
      </c>
      <c r="CA452" s="76" t="str">
        <f>IF(D452="Fern",".97",IF(D452="Grass",".99",IF(D452="Herb",".97",IF(D452="Shrub",".99",IF(D452="Tree","1.00",IF(D452="Vine",".98"))))))</f>
        <v>.97</v>
      </c>
      <c r="CB452" s="149" t="str">
        <f>IF(R452="Bogs Ponds Streams",".96", IF(R452="Coastal Areas",".97",IF(R452="Meadows Dry Open",".96",IF(R452="Forest &amp; Understory",".97",IF(R452="Moist Open",".98",IF(R452="Moist Shady",".96",IF(R452="Sub-Alpine","1.0")))))))</f>
        <v>.96</v>
      </c>
      <c r="CC452" s="76" t="str">
        <f>IF(S452="Local Endemic",".50",IF(S452="Regional Endemic",".70",IF(S452="Cascadia",".90",IF(S452="Rocky Mountain",".95",IF(S452="North America",".99")))))</f>
        <v>.90</v>
      </c>
      <c r="CD452" s="4"/>
      <c r="CE452" s="21">
        <f>IF(W452&gt;3,3,W452)</f>
        <v>3</v>
      </c>
      <c r="CF452" s="21">
        <f>IF(AC452&gt;102,102,AC452)</f>
        <v>18.399999999999999</v>
      </c>
      <c r="CG452" s="34">
        <f ca="1">IF(AI452&lt;$AW$4,$AW$4,AI452)</f>
        <v>2019</v>
      </c>
      <c r="CH452" s="34">
        <f ca="1">IF(AJ452&lt;$AW$4,$AW$4,AJ452)</f>
        <v>2019</v>
      </c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12"/>
    </row>
    <row r="453" spans="1:115" s="13" customFormat="1" ht="15" customHeight="1" x14ac:dyDescent="0.3">
      <c r="A453" s="235"/>
      <c r="B453" s="218"/>
      <c r="C453" s="375">
        <v>1</v>
      </c>
      <c r="D453" s="67" t="s">
        <v>2505</v>
      </c>
      <c r="E453" s="67" t="s">
        <v>2501</v>
      </c>
      <c r="F453" s="403">
        <f ca="1">IF(BC453&lt;2025, "Extinct&lt; 6Yrs?",BA453)</f>
        <v>2031.5160337492573</v>
      </c>
      <c r="G453" s="376" t="s">
        <v>525</v>
      </c>
      <c r="H453" s="376" t="s">
        <v>4028</v>
      </c>
      <c r="I453" s="380" t="s">
        <v>578</v>
      </c>
      <c r="J453" s="378" t="s">
        <v>3587</v>
      </c>
      <c r="K453" s="378" t="s">
        <v>577</v>
      </c>
      <c r="L453" s="63" t="s">
        <v>1519</v>
      </c>
      <c r="M453" s="64" t="s">
        <v>4528</v>
      </c>
      <c r="N453" s="64" t="s">
        <v>5425</v>
      </c>
      <c r="O453" s="64" t="s">
        <v>6323</v>
      </c>
      <c r="P453" s="61" t="s">
        <v>576</v>
      </c>
      <c r="Q453" s="67" t="s">
        <v>2552</v>
      </c>
      <c r="R453" s="61" t="s">
        <v>2500</v>
      </c>
      <c r="S453" s="61" t="s">
        <v>2459</v>
      </c>
      <c r="T453" s="134" t="str">
        <f>IF(R453="Bogs Ponds Streams","20",IF(R453="Coastal Areas","26",IF(R453="Meadows Dry Open","10",IF(R453="Forest &amp; Understory","14",IF(R453="Moist Open","12",IF(R453="Moist Shady","10",IF(R453="Sub-Alpine Slopes","0")))))))</f>
        <v>10</v>
      </c>
      <c r="U453" s="134" t="str">
        <f>IF(R453="Bogs Ponds Streams","52",IF(R453="Coastal Areas","51",IF(R453="Meadows Dry Open","53",IF(R453="Forest &amp; Understory","52",IF(R453="Moist Open","50",IF(R453="Moist Shady","46",IF(R453="Sub-Alpine Slopes","40")))))))</f>
        <v>53</v>
      </c>
      <c r="V453" s="134" t="str">
        <f>IF(R453="Bogs Ponds Streams","84",IF(R453="Coastal Areas","76",IF(R453="Meadows Dry Open","96", IF(R453="Forest &amp; Understory","90", IF(R453="Moist Open","88", IF(R453="Moist Shady","82", IF(R453="Sub-Alpine Slopes","80")))))))</f>
        <v>96</v>
      </c>
      <c r="W453" s="67">
        <v>20</v>
      </c>
      <c r="X453" s="67">
        <v>0</v>
      </c>
      <c r="Y453" s="67">
        <v>3500</v>
      </c>
      <c r="Z453" s="67" t="s">
        <v>2519</v>
      </c>
      <c r="AA453" s="67" t="s">
        <v>2518</v>
      </c>
      <c r="AB453" s="67">
        <v>6.8</v>
      </c>
      <c r="AC453" s="85">
        <f>C453+AK453+(0.1)*AL453</f>
        <v>4.0999999999999996</v>
      </c>
      <c r="AD453" s="78">
        <v>9</v>
      </c>
      <c r="AE453" s="68">
        <v>2</v>
      </c>
      <c r="AF453" s="68">
        <v>5</v>
      </c>
      <c r="AG453" s="78">
        <v>1891</v>
      </c>
      <c r="AH453" s="78">
        <v>0</v>
      </c>
      <c r="AI453" s="78">
        <v>2012</v>
      </c>
      <c r="AJ453" s="69">
        <v>2004</v>
      </c>
      <c r="AK453" s="69">
        <v>3</v>
      </c>
      <c r="AL453" s="69">
        <v>1</v>
      </c>
      <c r="AM453" s="70">
        <v>5</v>
      </c>
      <c r="AN453" s="70">
        <v>0</v>
      </c>
      <c r="AO453" s="86">
        <v>0</v>
      </c>
      <c r="AP453" s="70">
        <v>0</v>
      </c>
      <c r="AQ453" s="70">
        <v>0</v>
      </c>
      <c r="AR453" s="70">
        <v>0</v>
      </c>
      <c r="AS453" s="86">
        <v>0</v>
      </c>
      <c r="AT453" s="70">
        <v>0</v>
      </c>
      <c r="AU453" s="70">
        <v>0</v>
      </c>
      <c r="AV453" s="70">
        <v>0</v>
      </c>
      <c r="AW453" s="86">
        <v>0</v>
      </c>
      <c r="AX453" s="70">
        <v>0</v>
      </c>
      <c r="AY453" s="233"/>
      <c r="AZ453" s="4"/>
      <c r="BA453" s="35">
        <f ca="1">IF(OR(S453="North America",S453="Rocky Mountain"), "Widespread",BC453)</f>
        <v>2031.5160337492573</v>
      </c>
      <c r="BB453" s="4"/>
      <c r="BC453" s="35">
        <f ca="1">IF(BE453&gt;2046, "Abundant",BE453)</f>
        <v>2031.5160337492573</v>
      </c>
      <c r="BD453" s="4"/>
      <c r="BE453" s="81">
        <f ca="1">YEAR($C$13)+(BG453*80)</f>
        <v>2031.5160337492573</v>
      </c>
      <c r="BF453" s="4"/>
      <c r="BG453" s="137">
        <f ca="1">BH453*$BH$14</f>
        <v>0.15645042186571601</v>
      </c>
      <c r="BH453" s="137">
        <f ca="1">(((BJ453+BK453+BM453+BN453)/4)*$BM$11)+(((BP453+BQ453)/2)*$BQ$11)+(((BU453+BV453+BW453)/3)*$BU$11)+(((BY453+BZ453+CA453+CB453+CC453)/5)*$CA$11)</f>
        <v>0.15645042186571601</v>
      </c>
      <c r="BI453" s="4"/>
      <c r="BJ453" s="33">
        <f>AP453/(AM453+AO453)</f>
        <v>0</v>
      </c>
      <c r="BK453" s="33">
        <f>(AN453+AO453)/(AM453+AO453)</f>
        <v>0</v>
      </c>
      <c r="BL453" s="4"/>
      <c r="BM453" s="127">
        <f>CF453/102</f>
        <v>4.0196078431372545E-2</v>
      </c>
      <c r="BN453" s="127">
        <f>C453/2</f>
        <v>0.5</v>
      </c>
      <c r="BO453" s="4"/>
      <c r="BP453" s="127">
        <f>(AK453)/($AW$6)</f>
        <v>3.0303030303030304E-2</v>
      </c>
      <c r="BQ453" s="127">
        <f ca="1">(CH453-$AW$4)/((YEAR($C$13))-$AW$4)</f>
        <v>0</v>
      </c>
      <c r="BR453" s="127">
        <f>(AL453)/($AW$6)</f>
        <v>1.0101010101010102E-2</v>
      </c>
      <c r="BS453" s="4"/>
      <c r="BT453" s="127"/>
      <c r="BU453" s="127">
        <f ca="1">(CG453-$AW$4)/((YEAR($C$13))-$AW$4)</f>
        <v>0.53333333333333333</v>
      </c>
      <c r="BV453" s="127">
        <f>AE453/5</f>
        <v>0.4</v>
      </c>
      <c r="BW453" s="127">
        <f>AF453/5</f>
        <v>1</v>
      </c>
      <c r="BX453" s="4"/>
      <c r="BY453" s="148" t="str">
        <f>IF(E453="A",".98",IF(E453="B",".99",IF(E453="C","1.00",IF(E453="D","1.00" ))))</f>
        <v>1.00</v>
      </c>
      <c r="BZ453" s="127">
        <f>(CE453+7)/10</f>
        <v>1</v>
      </c>
      <c r="CA453" s="76" t="str">
        <f>IF(D453="Fern",".97",IF(D453="Grass",".99",IF(D453="Herb",".97",IF(D453="Shrub",".99",IF(D453="Tree","1.00",IF(D453="Vine",".98"))))))</f>
        <v>.97</v>
      </c>
      <c r="CB453" s="149" t="str">
        <f>IF(R453="Bogs Ponds Streams",".96", IF(R453="Coastal Areas",".97",IF(R453="Meadows Dry Open",".96",IF(R453="Forest &amp; Understory",".97",IF(R453="Moist Open",".98",IF(R453="Moist Shady",".96",IF(R453="Sub-Alpine","1.0")))))))</f>
        <v>.96</v>
      </c>
      <c r="CC453" s="76" t="str">
        <f>IF(S453="Local Endemic",".50",IF(S453="Regional Endemic",".70",IF(S453="Cascadia",".90",IF(S453="Rocky Mountain",".95",IF(S453="North America",".99")))))</f>
        <v>.90</v>
      </c>
      <c r="CD453" s="4"/>
      <c r="CE453" s="21">
        <f>IF(W453&gt;3,3,W453)</f>
        <v>3</v>
      </c>
      <c r="CF453" s="21">
        <f>IF(AC453&gt;102,102,AC453)</f>
        <v>4.0999999999999996</v>
      </c>
      <c r="CG453" s="34">
        <f>IF(AI453&lt;$AW$4,$AW$4,AI453)</f>
        <v>2012</v>
      </c>
      <c r="CH453" s="34">
        <f>IF(AJ453&lt;$AW$4,$AW$4,AJ453)</f>
        <v>2004</v>
      </c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12"/>
    </row>
    <row r="454" spans="1:115" s="13" customFormat="1" ht="15" customHeight="1" x14ac:dyDescent="0.3">
      <c r="A454" s="235"/>
      <c r="B454" s="218"/>
      <c r="C454" s="226">
        <v>2</v>
      </c>
      <c r="D454" s="104" t="s">
        <v>2505</v>
      </c>
      <c r="E454" s="104" t="s">
        <v>2501</v>
      </c>
      <c r="F454" s="400" t="str">
        <f ca="1">IF(BC454&lt;2025, "Extinct&lt; 6Yrs?",BA454)</f>
        <v>Abundant</v>
      </c>
      <c r="G454" s="369" t="s">
        <v>525</v>
      </c>
      <c r="H454" s="369" t="s">
        <v>4028</v>
      </c>
      <c r="I454" s="370" t="s">
        <v>1278</v>
      </c>
      <c r="J454" s="371" t="s">
        <v>3758</v>
      </c>
      <c r="K454" s="371" t="s">
        <v>1277</v>
      </c>
      <c r="L454" s="106" t="s">
        <v>1520</v>
      </c>
      <c r="M454" s="111" t="s">
        <v>4529</v>
      </c>
      <c r="N454" s="111" t="s">
        <v>5426</v>
      </c>
      <c r="O454" s="111" t="s">
        <v>6324</v>
      </c>
      <c r="P454" s="105" t="s">
        <v>576</v>
      </c>
      <c r="Q454" s="104" t="s">
        <v>2552</v>
      </c>
      <c r="R454" s="161" t="s">
        <v>2497</v>
      </c>
      <c r="S454" s="114" t="s">
        <v>2459</v>
      </c>
      <c r="T454" s="133" t="str">
        <f>IF(R454="Bogs Ponds Streams","20",IF(R454="Coastal Areas","26",IF(R454="Meadows Dry Open","10",IF(R454="Forest &amp; Understory","14",IF(R454="Moist Open","12",IF(R454="Moist Shady","10",IF(R454="Sub-Alpine Slopes","0")))))))</f>
        <v>12</v>
      </c>
      <c r="U454" s="133" t="str">
        <f>IF(R454="Bogs Ponds Streams","52",IF(R454="Coastal Areas","51",IF(R454="Meadows Dry Open","53",IF(R454="Forest &amp; Understory","52",IF(R454="Moist Open","50",IF(R454="Moist Shady","46",IF(R454="Sub-Alpine Slopes","40")))))))</f>
        <v>50</v>
      </c>
      <c r="V454" s="133" t="str">
        <f>IF(R454="Bogs Ponds Streams","84",IF(R454="Coastal Areas","76",IF(R454="Meadows Dry Open","96", IF(R454="Forest &amp; Understory","90", IF(R454="Moist Open","88", IF(R454="Moist Shady","82", IF(R454="Sub-Alpine Slopes","80")))))))</f>
        <v>88</v>
      </c>
      <c r="W454" s="104">
        <v>20</v>
      </c>
      <c r="X454" s="104">
        <v>0</v>
      </c>
      <c r="Y454" s="104">
        <v>3500</v>
      </c>
      <c r="Z454" s="104" t="s">
        <v>2519</v>
      </c>
      <c r="AA454" s="104" t="s">
        <v>2518</v>
      </c>
      <c r="AB454" s="104">
        <v>6.8</v>
      </c>
      <c r="AC454" s="107">
        <f>C453+AK454+(0.1)*AL454</f>
        <v>5</v>
      </c>
      <c r="AD454" s="113">
        <v>26</v>
      </c>
      <c r="AE454" s="104">
        <v>5</v>
      </c>
      <c r="AF454" s="104">
        <v>5</v>
      </c>
      <c r="AG454" s="104">
        <v>1900</v>
      </c>
      <c r="AH454" s="113">
        <v>0</v>
      </c>
      <c r="AI454" s="104">
        <f>AJ454</f>
        <v>2018</v>
      </c>
      <c r="AJ454" s="108">
        <v>2018</v>
      </c>
      <c r="AK454" s="108">
        <v>4</v>
      </c>
      <c r="AL454" s="108">
        <v>0</v>
      </c>
      <c r="AM454" s="109">
        <v>5</v>
      </c>
      <c r="AN454" s="109">
        <v>5</v>
      </c>
      <c r="AO454" s="109">
        <v>14</v>
      </c>
      <c r="AP454" s="109">
        <v>14</v>
      </c>
      <c r="AQ454" s="109">
        <v>0</v>
      </c>
      <c r="AR454" s="109">
        <v>0</v>
      </c>
      <c r="AS454" s="110">
        <v>0</v>
      </c>
      <c r="AT454" s="109">
        <v>0</v>
      </c>
      <c r="AU454" s="109">
        <v>0</v>
      </c>
      <c r="AV454" s="109">
        <v>0</v>
      </c>
      <c r="AW454" s="110">
        <v>0</v>
      </c>
      <c r="AX454" s="109">
        <v>0</v>
      </c>
      <c r="AY454" s="233"/>
      <c r="AZ454" s="4"/>
      <c r="BA454" s="35" t="str">
        <f ca="1">IF(OR(S454="North America",S454="Rocky Mountain"), "Widespread",BC454)</f>
        <v>Abundant</v>
      </c>
      <c r="BB454" s="4"/>
      <c r="BC454" s="35" t="str">
        <f ca="1">IF(BE454&gt;2046, "Abundant",BE454)</f>
        <v>Abundant</v>
      </c>
      <c r="BD454" s="4"/>
      <c r="BE454" s="81">
        <f ca="1">YEAR($C$13)+(BG454*80)</f>
        <v>2065.9249668199018</v>
      </c>
      <c r="BF454" s="4"/>
      <c r="BG454" s="137">
        <f ca="1">BH454*$BH$14</f>
        <v>0.58656208524877251</v>
      </c>
      <c r="BH454" s="137">
        <f ca="1">(((BJ454+BK454+BM454+BN454)/4)*$BM$11)+(((BP454+BQ454)/2)*$BQ$11)+(((BU454+BV454+BW454)/3)*$BU$11)+(((BY454+BZ454+CA454+CB454+CC454)/5)*$CA$11)</f>
        <v>0.58656208524877251</v>
      </c>
      <c r="BI454" s="4"/>
      <c r="BJ454" s="33">
        <f>AP454/(AM454+AO454)</f>
        <v>0.73684210526315785</v>
      </c>
      <c r="BK454" s="33">
        <f>(AN454+AO454)/(AM454+AO454)</f>
        <v>1</v>
      </c>
      <c r="BL454" s="4"/>
      <c r="BM454" s="127">
        <f>CF454/102</f>
        <v>4.9019607843137254E-2</v>
      </c>
      <c r="BN454" s="127">
        <f>C453/2</f>
        <v>0.5</v>
      </c>
      <c r="BO454" s="4"/>
      <c r="BP454" s="127">
        <f>(AK454)/($AW$6)</f>
        <v>4.0404040404040407E-2</v>
      </c>
      <c r="BQ454" s="127">
        <f ca="1">(CH454-$AW$4)/((YEAR($C$13))-$AW$4)</f>
        <v>0.93333333333333335</v>
      </c>
      <c r="BR454" s="127">
        <f>(AL454)/($AW$6)</f>
        <v>0</v>
      </c>
      <c r="BS454" s="4"/>
      <c r="BT454" s="127"/>
      <c r="BU454" s="127">
        <f ca="1">(CG454-$AW$4)/((YEAR($C$13))-$AW$4)</f>
        <v>0.93333333333333335</v>
      </c>
      <c r="BV454" s="127">
        <f>AE454/5</f>
        <v>1</v>
      </c>
      <c r="BW454" s="127">
        <f>AF454/5</f>
        <v>1</v>
      </c>
      <c r="BX454" s="4"/>
      <c r="BY454" s="148" t="str">
        <f>IF(E454="A",".98",IF(E454="B",".99",IF(E454="C","1.00",IF(E454="D","1.00" ))))</f>
        <v>1.00</v>
      </c>
      <c r="BZ454" s="127">
        <f>(CE454+7)/10</f>
        <v>1</v>
      </c>
      <c r="CA454" s="76" t="str">
        <f>IF(D454="Fern",".97",IF(D454="Grass",".99",IF(D454="Herb",".97",IF(D454="Shrub",".99",IF(D454="Tree","1.00",IF(D454="Vine",".98"))))))</f>
        <v>.97</v>
      </c>
      <c r="CB454" s="149" t="str">
        <f>IF(R454="Bogs Ponds Streams",".96", IF(R454="Coastal Areas",".97",IF(R454="Meadows Dry Open",".96",IF(R454="Forest &amp; Understory",".97",IF(R454="Moist Open",".98",IF(R454="Moist Shady",".96",IF(R454="Sub-Alpine","1.0")))))))</f>
        <v>.98</v>
      </c>
      <c r="CC454" s="76" t="str">
        <f>IF(S454="Local Endemic",".50",IF(S454="Regional Endemic",".70",IF(S454="Cascadia",".90",IF(S454="Rocky Mountain",".95",IF(S454="North America",".99")))))</f>
        <v>.90</v>
      </c>
      <c r="CD454" s="4"/>
      <c r="CE454" s="21">
        <f>IF(W454&gt;3,3,W454)</f>
        <v>3</v>
      </c>
      <c r="CF454" s="21">
        <f>IF(AC454&gt;102,102,AC454)</f>
        <v>5</v>
      </c>
      <c r="CG454" s="34">
        <f>IF(AI454&lt;$AW$4,$AW$4,AI454)</f>
        <v>2018</v>
      </c>
      <c r="CH454" s="34">
        <f>IF(AJ454&lt;$AW$4,$AW$4,AJ454)</f>
        <v>2018</v>
      </c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</row>
    <row r="455" spans="1:115" s="13" customFormat="1" ht="15" customHeight="1" x14ac:dyDescent="0.3">
      <c r="A455" s="235"/>
      <c r="B455" s="218"/>
      <c r="C455" s="226">
        <v>2</v>
      </c>
      <c r="D455" s="119" t="s">
        <v>1155</v>
      </c>
      <c r="E455" s="104" t="s">
        <v>2501</v>
      </c>
      <c r="F455" s="400" t="str">
        <f ca="1">IF(BC455&lt;2025, "Extinct&lt; 6Yrs?",BA455)</f>
        <v>Widespread</v>
      </c>
      <c r="G455" s="369" t="s">
        <v>525</v>
      </c>
      <c r="H455" s="369" t="s">
        <v>4028</v>
      </c>
      <c r="I455" s="372" t="s">
        <v>2664</v>
      </c>
      <c r="J455" s="371" t="s">
        <v>3757</v>
      </c>
      <c r="K455" s="371" t="s">
        <v>2784</v>
      </c>
      <c r="L455" s="114" t="s">
        <v>1521</v>
      </c>
      <c r="M455" s="111" t="s">
        <v>4530</v>
      </c>
      <c r="N455" s="111" t="s">
        <v>5427</v>
      </c>
      <c r="O455" s="111" t="s">
        <v>6325</v>
      </c>
      <c r="P455" s="401" t="s">
        <v>468</v>
      </c>
      <c r="Q455" s="104" t="s">
        <v>2552</v>
      </c>
      <c r="R455" s="105" t="s">
        <v>2498</v>
      </c>
      <c r="S455" s="105" t="s">
        <v>2495</v>
      </c>
      <c r="T455" s="133" t="str">
        <f>IF(R455="Bogs Ponds Streams","20",IF(R455="Coastal Areas","26",IF(R455="Meadows Dry Open","10",IF(R455="Forest &amp; Understory","14",IF(R455="Moist Open","12",IF(R455="Moist Shady","10",IF(R455="Sub-Alpine Slopes","0")))))))</f>
        <v>10</v>
      </c>
      <c r="U455" s="133" t="str">
        <f>IF(R455="Bogs Ponds Streams","52",IF(R455="Coastal Areas","51",IF(R455="Meadows Dry Open","53",IF(R455="Forest &amp; Understory","52",IF(R455="Moist Open","50",IF(R455="Moist Shady","46",IF(R455="Sub-Alpine Slopes","40")))))))</f>
        <v>46</v>
      </c>
      <c r="V455" s="133" t="str">
        <f>IF(R455="Bogs Ponds Streams","84",IF(R455="Coastal Areas","76",IF(R455="Meadows Dry Open","96", IF(R455="Forest &amp; Understory","90", IF(R455="Moist Open","88", IF(R455="Moist Shady","82", IF(R455="Sub-Alpine Slopes","80")))))))</f>
        <v>82</v>
      </c>
      <c r="W455" s="104">
        <v>20</v>
      </c>
      <c r="X455" s="104">
        <v>0</v>
      </c>
      <c r="Y455" s="104">
        <v>3500</v>
      </c>
      <c r="Z455" s="104" t="s">
        <v>2519</v>
      </c>
      <c r="AA455" s="104" t="s">
        <v>2518</v>
      </c>
      <c r="AB455" s="104">
        <v>6.8</v>
      </c>
      <c r="AC455" s="107">
        <f>C455+AK455+(0.1)*AL455</f>
        <v>9.4</v>
      </c>
      <c r="AD455" s="113">
        <v>28</v>
      </c>
      <c r="AE455" s="104">
        <v>5</v>
      </c>
      <c r="AF455" s="104">
        <v>5</v>
      </c>
      <c r="AG455" s="104">
        <v>1900</v>
      </c>
      <c r="AH455" s="113">
        <v>0</v>
      </c>
      <c r="AI455" s="104">
        <f>AJ455</f>
        <v>2004</v>
      </c>
      <c r="AJ455" s="108">
        <v>2004</v>
      </c>
      <c r="AK455" s="108">
        <v>7</v>
      </c>
      <c r="AL455" s="108">
        <v>4</v>
      </c>
      <c r="AM455" s="109">
        <v>5</v>
      </c>
      <c r="AN455" s="109">
        <v>1</v>
      </c>
      <c r="AO455" s="110">
        <v>0</v>
      </c>
      <c r="AP455" s="109">
        <v>0</v>
      </c>
      <c r="AQ455" s="109">
        <v>0</v>
      </c>
      <c r="AR455" s="109">
        <v>0</v>
      </c>
      <c r="AS455" s="110">
        <v>0</v>
      </c>
      <c r="AT455" s="109">
        <v>0</v>
      </c>
      <c r="AU455" s="109">
        <v>0</v>
      </c>
      <c r="AV455" s="109">
        <v>0</v>
      </c>
      <c r="AW455" s="110">
        <v>0</v>
      </c>
      <c r="AX455" s="109">
        <v>0</v>
      </c>
      <c r="AY455" s="233"/>
      <c r="AZ455" s="4"/>
      <c r="BA455" s="35" t="str">
        <f>IF(OR(S455="North America",S455="Rocky Mountain"), "Widespread",BC455)</f>
        <v>Widespread</v>
      </c>
      <c r="BB455" s="4"/>
      <c r="BC455" s="35">
        <f ca="1">IF(BE455&gt;2046, "Abundant",BE455)</f>
        <v>2041.2018338680928</v>
      </c>
      <c r="BD455" s="4"/>
      <c r="BE455" s="81">
        <f ca="1">YEAR($C$13)+(BG455*80)</f>
        <v>2041.2018338680928</v>
      </c>
      <c r="BF455" s="4"/>
      <c r="BG455" s="137">
        <f ca="1">BH455*$BH$14</f>
        <v>0.27752292335115863</v>
      </c>
      <c r="BH455" s="137">
        <f ca="1">(((BJ455+BK455+BM455+BN455)/4)*$BM$11)+(((BP455+BQ455)/2)*$BQ$11)+(((BU455+BV455+BW455)/3)*$BU$11)+(((BY455+BZ455+CA455+CB455+CC455)/5)*$CA$11)</f>
        <v>0.27752292335115863</v>
      </c>
      <c r="BI455" s="4"/>
      <c r="BJ455" s="33">
        <f>AP455/(AM455+AO455)</f>
        <v>0</v>
      </c>
      <c r="BK455" s="33">
        <f>(AN455+AO455)/(AM455+AO455)</f>
        <v>0.2</v>
      </c>
      <c r="BL455" s="4"/>
      <c r="BM455" s="127">
        <f>CF455/102</f>
        <v>9.2156862745098045E-2</v>
      </c>
      <c r="BN455" s="127">
        <f>C455/2</f>
        <v>1</v>
      </c>
      <c r="BO455" s="4"/>
      <c r="BP455" s="127">
        <f>(AK455)/($AW$6)</f>
        <v>7.0707070707070704E-2</v>
      </c>
      <c r="BQ455" s="127">
        <f ca="1">(CH455-$AW$4)/((YEAR($C$13))-$AW$4)</f>
        <v>0</v>
      </c>
      <c r="BR455" s="127">
        <f>(AL455)/($AW$6)</f>
        <v>4.0404040404040407E-2</v>
      </c>
      <c r="BS455" s="4"/>
      <c r="BT455" s="127"/>
      <c r="BU455" s="127">
        <f ca="1">(CG455-$AW$4)/((YEAR($C$13))-$AW$4)</f>
        <v>0</v>
      </c>
      <c r="BV455" s="127">
        <f>AE455/5</f>
        <v>1</v>
      </c>
      <c r="BW455" s="127">
        <f>AF455/5</f>
        <v>1</v>
      </c>
      <c r="BX455" s="4"/>
      <c r="BY455" s="148" t="str">
        <f>IF(E455="A",".98",IF(E455="B",".99",IF(E455="C","1.00",IF(E455="D","1.00" ))))</f>
        <v>1.00</v>
      </c>
      <c r="BZ455" s="127">
        <f>(CE455+7)/10</f>
        <v>1</v>
      </c>
      <c r="CA455" s="76" t="str">
        <f>IF(D455="Fern",".97",IF(D455="Grass",".99",IF(D455="Herb",".97",IF(D455="Shrub",".99",IF(D455="Tree","1.00",IF(D455="Vine",".98"))))))</f>
        <v>.99</v>
      </c>
      <c r="CB455" s="149" t="str">
        <f>IF(R455="Bogs Ponds Streams",".96", IF(R455="Coastal Areas",".97",IF(R455="Meadows Dry Open",".96",IF(R455="Forest &amp; Understory",".97",IF(R455="Moist Open",".98",IF(R455="Moist Shady",".96",IF(R455="Sub-Alpine","1.0")))))))</f>
        <v>.96</v>
      </c>
      <c r="CC455" s="76" t="str">
        <f>IF(S455="Local Endemic",".50",IF(S455="Regional Endemic",".70",IF(S455="Cascadia",".90",IF(S455="Rocky Mountain",".95",IF(S455="North America",".99")))))</f>
        <v>.99</v>
      </c>
      <c r="CD455" s="4"/>
      <c r="CE455" s="21">
        <f>IF(W455&gt;3,3,W455)</f>
        <v>3</v>
      </c>
      <c r="CF455" s="21">
        <f>IF(AC455&gt;102,102,AC455)</f>
        <v>9.4</v>
      </c>
      <c r="CG455" s="34">
        <f>IF(AI455&lt;$AW$4,$AW$4,AI455)</f>
        <v>2004</v>
      </c>
      <c r="CH455" s="34">
        <f>IF(AJ455&lt;$AW$4,$AW$4,AJ455)</f>
        <v>2004</v>
      </c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</row>
    <row r="456" spans="1:115" s="13" customFormat="1" ht="15" customHeight="1" x14ac:dyDescent="0.3">
      <c r="A456" s="235"/>
      <c r="B456" s="218"/>
      <c r="C456" s="226">
        <v>2</v>
      </c>
      <c r="D456" s="104" t="s">
        <v>2505</v>
      </c>
      <c r="E456" s="104" t="s">
        <v>2501</v>
      </c>
      <c r="F456" s="400" t="str">
        <f ca="1">IF(BC456&lt;2025, "Extinct&lt; 6Yrs?",BA456)</f>
        <v>Widespread</v>
      </c>
      <c r="G456" s="369" t="s">
        <v>525</v>
      </c>
      <c r="H456" s="369" t="s">
        <v>4028</v>
      </c>
      <c r="I456" s="371" t="s">
        <v>1370</v>
      </c>
      <c r="J456" s="371" t="s">
        <v>3756</v>
      </c>
      <c r="K456" s="371" t="s">
        <v>433</v>
      </c>
      <c r="L456" s="106" t="s">
        <v>1387</v>
      </c>
      <c r="M456" s="111" t="s">
        <v>4531</v>
      </c>
      <c r="N456" s="111" t="s">
        <v>5428</v>
      </c>
      <c r="O456" s="111" t="s">
        <v>6326</v>
      </c>
      <c r="P456" s="401" t="s">
        <v>401</v>
      </c>
      <c r="Q456" s="104" t="s">
        <v>2552</v>
      </c>
      <c r="R456" s="161" t="s">
        <v>2497</v>
      </c>
      <c r="S456" s="114" t="s">
        <v>2495</v>
      </c>
      <c r="T456" s="133" t="str">
        <f>IF(R456="Bogs Ponds Streams","20",IF(R456="Coastal Areas","26",IF(R456="Meadows Dry Open","10",IF(R456="Forest &amp; Understory","14",IF(R456="Moist Open","12",IF(R456="Moist Shady","10",IF(R456="Sub-Alpine Slopes","0")))))))</f>
        <v>12</v>
      </c>
      <c r="U456" s="133" t="str">
        <f>IF(R456="Bogs Ponds Streams","52",IF(R456="Coastal Areas","51",IF(R456="Meadows Dry Open","53",IF(R456="Forest &amp; Understory","52",IF(R456="Moist Open","50",IF(R456="Moist Shady","46",IF(R456="Sub-Alpine Slopes","40")))))))</f>
        <v>50</v>
      </c>
      <c r="V456" s="133" t="str">
        <f>IF(R456="Bogs Ponds Streams","84",IF(R456="Coastal Areas","76",IF(R456="Meadows Dry Open","96", IF(R456="Forest &amp; Understory","90", IF(R456="Moist Open","88", IF(R456="Moist Shady","82", IF(R456="Sub-Alpine Slopes","80")))))))</f>
        <v>88</v>
      </c>
      <c r="W456" s="104">
        <v>20</v>
      </c>
      <c r="X456" s="104">
        <v>0</v>
      </c>
      <c r="Y456" s="104">
        <v>3500</v>
      </c>
      <c r="Z456" s="104" t="s">
        <v>2519</v>
      </c>
      <c r="AA456" s="104" t="s">
        <v>2518</v>
      </c>
      <c r="AB456" s="104">
        <v>6.8</v>
      </c>
      <c r="AC456" s="107">
        <f>C456+AK456+(0.1)*AL456</f>
        <v>24.7</v>
      </c>
      <c r="AD456" s="113">
        <v>28</v>
      </c>
      <c r="AE456" s="104">
        <v>5</v>
      </c>
      <c r="AF456" s="104">
        <v>5</v>
      </c>
      <c r="AG456" s="104">
        <v>1900</v>
      </c>
      <c r="AH456" s="113">
        <v>0</v>
      </c>
      <c r="AI456" s="104">
        <f>AJ456</f>
        <v>2004</v>
      </c>
      <c r="AJ456" s="108">
        <v>2004</v>
      </c>
      <c r="AK456" s="108">
        <v>22</v>
      </c>
      <c r="AL456" s="108">
        <v>7</v>
      </c>
      <c r="AM456" s="109">
        <v>5</v>
      </c>
      <c r="AN456" s="109">
        <v>1</v>
      </c>
      <c r="AO456" s="109">
        <v>1</v>
      </c>
      <c r="AP456" s="109">
        <v>0</v>
      </c>
      <c r="AQ456" s="109">
        <v>0</v>
      </c>
      <c r="AR456" s="109">
        <v>0</v>
      </c>
      <c r="AS456" s="110">
        <v>0</v>
      </c>
      <c r="AT456" s="109">
        <v>0</v>
      </c>
      <c r="AU456" s="109">
        <v>0</v>
      </c>
      <c r="AV456" s="109">
        <v>0</v>
      </c>
      <c r="AW456" s="110">
        <v>0</v>
      </c>
      <c r="AX456" s="109">
        <v>0</v>
      </c>
      <c r="AY456" s="233"/>
      <c r="AZ456" s="4"/>
      <c r="BA456" s="35" t="str">
        <f>IF(OR(S456="North America",S456="Rocky Mountain"), "Widespread",BC456)</f>
        <v>Widespread</v>
      </c>
      <c r="BB456" s="4"/>
      <c r="BC456" s="35" t="str">
        <f ca="1">IF(BE456&gt;2046, "Abundant",BE456)</f>
        <v>Abundant</v>
      </c>
      <c r="BD456" s="4"/>
      <c r="BE456" s="81">
        <f ca="1">YEAR($C$13)+(BG456*80)</f>
        <v>2046.4200156862746</v>
      </c>
      <c r="BF456" s="4"/>
      <c r="BG456" s="137">
        <f ca="1">BH456*$BH$14</f>
        <v>0.34275019607843138</v>
      </c>
      <c r="BH456" s="137">
        <f ca="1">(((BJ456+BK456+BM456+BN456)/4)*$BM$11)+(((BP456+BQ456)/2)*$BQ$11)+(((BU456+BV456+BW456)/3)*$BU$11)+(((BY456+BZ456+CA456+CB456+CC456)/5)*$CA$11)</f>
        <v>0.34275019607843138</v>
      </c>
      <c r="BI456" s="4"/>
      <c r="BJ456" s="33">
        <f>AP456/(AM456+AO456)</f>
        <v>0</v>
      </c>
      <c r="BK456" s="33">
        <f>(AN456+AO456)/(AM456+AO456)</f>
        <v>0.33333333333333331</v>
      </c>
      <c r="BL456" s="4"/>
      <c r="BM456" s="127">
        <f>CF456/102</f>
        <v>0.24215686274509804</v>
      </c>
      <c r="BN456" s="127">
        <f>C456/2</f>
        <v>1</v>
      </c>
      <c r="BO456" s="4"/>
      <c r="BP456" s="127">
        <f>(AK456)/($AW$6)</f>
        <v>0.22222222222222221</v>
      </c>
      <c r="BQ456" s="127">
        <f ca="1">(CH456-$AW$4)/((YEAR($C$13))-$AW$4)</f>
        <v>0</v>
      </c>
      <c r="BR456" s="127">
        <f>(AL456)/($AW$6)</f>
        <v>7.0707070707070704E-2</v>
      </c>
      <c r="BS456" s="4"/>
      <c r="BT456" s="127"/>
      <c r="BU456" s="127">
        <f ca="1">(CG456-$AW$4)/((YEAR($C$13))-$AW$4)</f>
        <v>0</v>
      </c>
      <c r="BV456" s="127">
        <f>AE456/5</f>
        <v>1</v>
      </c>
      <c r="BW456" s="127">
        <f>AF456/5</f>
        <v>1</v>
      </c>
      <c r="BX456" s="4"/>
      <c r="BY456" s="148" t="str">
        <f>IF(E456="A",".98",IF(E456="B",".99",IF(E456="C","1.00",IF(E456="D","1.00" ))))</f>
        <v>1.00</v>
      </c>
      <c r="BZ456" s="127">
        <f>(CE456+7)/10</f>
        <v>1</v>
      </c>
      <c r="CA456" s="76" t="str">
        <f>IF(D456="Fern",".97",IF(D456="Grass",".99",IF(D456="Herb",".97",IF(D456="Shrub",".99",IF(D456="Tree","1.00",IF(D456="Vine",".98"))))))</f>
        <v>.97</v>
      </c>
      <c r="CB456" s="149" t="str">
        <f>IF(R456="Bogs Ponds Streams",".96", IF(R456="Coastal Areas",".97",IF(R456="Meadows Dry Open",".96",IF(R456="Forest &amp; Understory",".97",IF(R456="Moist Open",".98",IF(R456="Moist Shady",".96",IF(R456="Sub-Alpine","1.0")))))))</f>
        <v>.98</v>
      </c>
      <c r="CC456" s="76" t="str">
        <f>IF(S456="Local Endemic",".50",IF(S456="Regional Endemic",".70",IF(S456="Cascadia",".90",IF(S456="Rocky Mountain",".95",IF(S456="North America",".99")))))</f>
        <v>.99</v>
      </c>
      <c r="CD456" s="4"/>
      <c r="CE456" s="21">
        <f>IF(W456&gt;3,3,W456)</f>
        <v>3</v>
      </c>
      <c r="CF456" s="21">
        <f>IF(AC456&gt;102,102,AC456)</f>
        <v>24.7</v>
      </c>
      <c r="CG456" s="34">
        <f>IF(AI456&lt;$AW$4,$AW$4,AI456)</f>
        <v>2004</v>
      </c>
      <c r="CH456" s="34">
        <f>IF(AJ456&lt;$AW$4,$AW$4,AJ456)</f>
        <v>2004</v>
      </c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12"/>
    </row>
    <row r="457" spans="1:115" s="13" customFormat="1" ht="15" customHeight="1" x14ac:dyDescent="0.3">
      <c r="A457" s="235"/>
      <c r="B457" s="218"/>
      <c r="C457" s="375">
        <v>1</v>
      </c>
      <c r="D457" s="67" t="s">
        <v>2505</v>
      </c>
      <c r="E457" s="67" t="s">
        <v>2501</v>
      </c>
      <c r="F457" s="403" t="str">
        <f ca="1">IF(BC457&lt;2025, "Extinct&lt; 6Yrs?",BA457)</f>
        <v>Widespread</v>
      </c>
      <c r="G457" s="376" t="s">
        <v>525</v>
      </c>
      <c r="H457" s="376" t="s">
        <v>4028</v>
      </c>
      <c r="I457" s="380" t="s">
        <v>434</v>
      </c>
      <c r="J457" s="378" t="s">
        <v>3586</v>
      </c>
      <c r="K457" s="378" t="s">
        <v>1010</v>
      </c>
      <c r="L457" s="63" t="s">
        <v>1522</v>
      </c>
      <c r="M457" s="64" t="s">
        <v>4532</v>
      </c>
      <c r="N457" s="64" t="s">
        <v>5429</v>
      </c>
      <c r="O457" s="64" t="s">
        <v>6327</v>
      </c>
      <c r="P457" s="61" t="s">
        <v>432</v>
      </c>
      <c r="Q457" s="67" t="s">
        <v>2552</v>
      </c>
      <c r="R457" s="163" t="s">
        <v>2497</v>
      </c>
      <c r="S457" s="61" t="s">
        <v>2495</v>
      </c>
      <c r="T457" s="134" t="str">
        <f>IF(R457="Bogs Ponds Streams","20",IF(R457="Coastal Areas","26",IF(R457="Meadows Dry Open","10",IF(R457="Forest &amp; Understory","14",IF(R457="Moist Open","12",IF(R457="Moist Shady","10",IF(R457="Sub-Alpine Slopes","0")))))))</f>
        <v>12</v>
      </c>
      <c r="U457" s="134" t="str">
        <f>IF(R457="Bogs Ponds Streams","52",IF(R457="Coastal Areas","51",IF(R457="Meadows Dry Open","53",IF(R457="Forest &amp; Understory","52",IF(R457="Moist Open","50",IF(R457="Moist Shady","46",IF(R457="Sub-Alpine Slopes","40")))))))</f>
        <v>50</v>
      </c>
      <c r="V457" s="134" t="str">
        <f>IF(R457="Bogs Ponds Streams","84",IF(R457="Coastal Areas","76",IF(R457="Meadows Dry Open","96", IF(R457="Forest &amp; Understory","90", IF(R457="Moist Open","88", IF(R457="Moist Shady","82", IF(R457="Sub-Alpine Slopes","80")))))))</f>
        <v>88</v>
      </c>
      <c r="W457" s="67">
        <v>20</v>
      </c>
      <c r="X457" s="67">
        <v>0</v>
      </c>
      <c r="Y457" s="67">
        <v>3500</v>
      </c>
      <c r="Z457" s="67" t="s">
        <v>2519</v>
      </c>
      <c r="AA457" s="67" t="s">
        <v>2518</v>
      </c>
      <c r="AB457" s="67">
        <v>6.8</v>
      </c>
      <c r="AC457" s="85">
        <f>C457+AK457+(0.1)*AL457</f>
        <v>12.7</v>
      </c>
      <c r="AD457" s="78">
        <v>34</v>
      </c>
      <c r="AE457" s="67">
        <v>5</v>
      </c>
      <c r="AF457" s="67">
        <v>5</v>
      </c>
      <c r="AG457" s="67">
        <v>1900</v>
      </c>
      <c r="AH457" s="78">
        <v>0</v>
      </c>
      <c r="AI457" s="67">
        <f>AJ457</f>
        <v>2004</v>
      </c>
      <c r="AJ457" s="69">
        <v>2004</v>
      </c>
      <c r="AK457" s="69">
        <v>11</v>
      </c>
      <c r="AL457" s="69">
        <v>7</v>
      </c>
      <c r="AM457" s="70">
        <v>5</v>
      </c>
      <c r="AN457" s="70">
        <v>0</v>
      </c>
      <c r="AO457" s="86">
        <v>0</v>
      </c>
      <c r="AP457" s="70">
        <v>0</v>
      </c>
      <c r="AQ457" s="70">
        <v>0</v>
      </c>
      <c r="AR457" s="70">
        <v>0</v>
      </c>
      <c r="AS457" s="86">
        <v>0</v>
      </c>
      <c r="AT457" s="70">
        <v>0</v>
      </c>
      <c r="AU457" s="70">
        <v>0</v>
      </c>
      <c r="AV457" s="70">
        <v>0</v>
      </c>
      <c r="AW457" s="86">
        <v>0</v>
      </c>
      <c r="AX457" s="70">
        <v>0</v>
      </c>
      <c r="AY457" s="233"/>
      <c r="AZ457" s="4"/>
      <c r="BA457" s="35" t="str">
        <f>IF(OR(S457="North America",S457="Rocky Mountain"), "Widespread",BC457)</f>
        <v>Widespread</v>
      </c>
      <c r="BB457" s="4"/>
      <c r="BC457" s="35">
        <f ca="1">IF(BE457&gt;2046, "Abundant",BE457)</f>
        <v>2033.6749176470589</v>
      </c>
      <c r="BD457" s="4"/>
      <c r="BE457" s="81">
        <f ca="1">YEAR($C$13)+(BG457*80)</f>
        <v>2033.6749176470589</v>
      </c>
      <c r="BF457" s="4"/>
      <c r="BG457" s="137">
        <f ca="1">BH457*$BH$14</f>
        <v>0.18343647058823528</v>
      </c>
      <c r="BH457" s="137">
        <f ca="1">(((BJ457+BK457+BM457+BN457)/4)*$BM$11)+(((BP457+BQ457)/2)*$BQ$11)+(((BU457+BV457+BW457)/3)*$BU$11)+(((BY457+BZ457+CA457+CB457+CC457)/5)*$CA$11)</f>
        <v>0.18343647058823528</v>
      </c>
      <c r="BI457" s="4"/>
      <c r="BJ457" s="33">
        <f>AP457/(AM457+AO457)</f>
        <v>0</v>
      </c>
      <c r="BK457" s="33">
        <f>(AN457+AO457)/(AM457+AO457)</f>
        <v>0</v>
      </c>
      <c r="BL457" s="4"/>
      <c r="BM457" s="127">
        <f>CF457/102</f>
        <v>0.12450980392156862</v>
      </c>
      <c r="BN457" s="127">
        <f>C457/2</f>
        <v>0.5</v>
      </c>
      <c r="BO457" s="4"/>
      <c r="BP457" s="127">
        <f>(AK457)/($AW$6)</f>
        <v>0.1111111111111111</v>
      </c>
      <c r="BQ457" s="127">
        <f ca="1">(CH457-$AW$4)/((YEAR($C$13))-$AW$4)</f>
        <v>0</v>
      </c>
      <c r="BR457" s="127">
        <f>(AL457)/($AW$6)</f>
        <v>7.0707070707070704E-2</v>
      </c>
      <c r="BS457" s="4"/>
      <c r="BT457" s="127"/>
      <c r="BU457" s="127">
        <f ca="1">(CG457-$AW$4)/((YEAR($C$13))-$AW$4)</f>
        <v>0</v>
      </c>
      <c r="BV457" s="127">
        <f>AE457/5</f>
        <v>1</v>
      </c>
      <c r="BW457" s="127">
        <f>AF457/5</f>
        <v>1</v>
      </c>
      <c r="BX457" s="4"/>
      <c r="BY457" s="148" t="str">
        <f>IF(E457="A",".98",IF(E457="B",".99",IF(E457="C","1.00",IF(E457="D","1.00" ))))</f>
        <v>1.00</v>
      </c>
      <c r="BZ457" s="127">
        <f>(CE457+7)/10</f>
        <v>1</v>
      </c>
      <c r="CA457" s="76" t="str">
        <f>IF(D457="Fern",".97",IF(D457="Grass",".99",IF(D457="Herb",".97",IF(D457="Shrub",".99",IF(D457="Tree","1.00",IF(D457="Vine",".98"))))))</f>
        <v>.97</v>
      </c>
      <c r="CB457" s="149" t="str">
        <f>IF(R457="Bogs Ponds Streams",".96", IF(R457="Coastal Areas",".97",IF(R457="Meadows Dry Open",".96",IF(R457="Forest &amp; Understory",".97",IF(R457="Moist Open",".98",IF(R457="Moist Shady",".96",IF(R457="Sub-Alpine","1.0")))))))</f>
        <v>.98</v>
      </c>
      <c r="CC457" s="76" t="str">
        <f>IF(S457="Local Endemic",".50",IF(S457="Regional Endemic",".70",IF(S457="Cascadia",".90",IF(S457="Rocky Mountain",".95",IF(S457="North America",".99")))))</f>
        <v>.99</v>
      </c>
      <c r="CD457" s="4"/>
      <c r="CE457" s="21">
        <f>IF(W457&gt;3,3,W457)</f>
        <v>3</v>
      </c>
      <c r="CF457" s="21">
        <f>IF(AC457&gt;102,102,AC457)</f>
        <v>12.7</v>
      </c>
      <c r="CG457" s="34">
        <f>IF(AI457&lt;$AW$4,$AW$4,AI457)</f>
        <v>2004</v>
      </c>
      <c r="CH457" s="34">
        <f>IF(AJ457&lt;$AW$4,$AW$4,AJ457)</f>
        <v>2004</v>
      </c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12"/>
    </row>
    <row r="458" spans="1:115" s="13" customFormat="1" ht="15" customHeight="1" x14ac:dyDescent="0.3">
      <c r="A458" s="235"/>
      <c r="B458" s="218"/>
      <c r="C458" s="226">
        <v>2</v>
      </c>
      <c r="D458" s="104" t="s">
        <v>2505</v>
      </c>
      <c r="E458" s="104" t="s">
        <v>2501</v>
      </c>
      <c r="F458" s="400" t="str">
        <f ca="1">IF(BC458&lt;2025, "Extinct&lt; 6Yrs?",BA458)</f>
        <v>Widespread</v>
      </c>
      <c r="G458" s="369" t="s">
        <v>525</v>
      </c>
      <c r="H458" s="369" t="s">
        <v>4028</v>
      </c>
      <c r="I458" s="372" t="s">
        <v>2665</v>
      </c>
      <c r="J458" s="371" t="s">
        <v>3755</v>
      </c>
      <c r="K458" s="371" t="s">
        <v>2184</v>
      </c>
      <c r="L458" s="114" t="s">
        <v>2183</v>
      </c>
      <c r="M458" s="111" t="s">
        <v>4533</v>
      </c>
      <c r="N458" s="111" t="s">
        <v>5430</v>
      </c>
      <c r="O458" s="111" t="s">
        <v>6328</v>
      </c>
      <c r="P458" s="401" t="s">
        <v>401</v>
      </c>
      <c r="Q458" s="104" t="s">
        <v>2552</v>
      </c>
      <c r="R458" s="105" t="s">
        <v>2499</v>
      </c>
      <c r="S458" s="105" t="s">
        <v>2495</v>
      </c>
      <c r="T458" s="133" t="str">
        <f>IF(R458="Bogs Ponds Streams","20",IF(R458="Coastal Areas","26",IF(R458="Meadows Dry Open","10",IF(R458="Forest &amp; Understory","14",IF(R458="Moist Open","12",IF(R458="Moist Shady","10",IF(R458="Sub-Alpine Slopes","0")))))))</f>
        <v>20</v>
      </c>
      <c r="U458" s="133" t="str">
        <f>IF(R458="Bogs Ponds Streams","52",IF(R458="Coastal Areas","51",IF(R458="Meadows Dry Open","53",IF(R458="Forest &amp; Understory","52",IF(R458="Moist Open","50",IF(R458="Moist Shady","46",IF(R458="Sub-Alpine Slopes","40")))))))</f>
        <v>52</v>
      </c>
      <c r="V458" s="133" t="str">
        <f>IF(R458="Bogs Ponds Streams","84",IF(R458="Coastal Areas","76",IF(R458="Meadows Dry Open","96", IF(R458="Forest &amp; Understory","90", IF(R458="Moist Open","88", IF(R458="Moist Shady","82", IF(R458="Sub-Alpine Slopes","80")))))))</f>
        <v>84</v>
      </c>
      <c r="W458" s="104">
        <v>20</v>
      </c>
      <c r="X458" s="104">
        <v>0</v>
      </c>
      <c r="Y458" s="104">
        <v>3500</v>
      </c>
      <c r="Z458" s="104" t="s">
        <v>2519</v>
      </c>
      <c r="AA458" s="104" t="s">
        <v>2518</v>
      </c>
      <c r="AB458" s="104">
        <v>6.8</v>
      </c>
      <c r="AC458" s="107">
        <f>C458+AK458+(0.1)*AL458</f>
        <v>25.2</v>
      </c>
      <c r="AD458" s="113">
        <v>73</v>
      </c>
      <c r="AE458" s="104">
        <v>5</v>
      </c>
      <c r="AF458" s="104">
        <v>5</v>
      </c>
      <c r="AG458" s="104">
        <v>1900</v>
      </c>
      <c r="AH458" s="113">
        <v>0</v>
      </c>
      <c r="AI458" s="104">
        <f>AJ458</f>
        <v>2004</v>
      </c>
      <c r="AJ458" s="108">
        <v>2004</v>
      </c>
      <c r="AK458" s="108">
        <v>22</v>
      </c>
      <c r="AL458" s="108">
        <v>12</v>
      </c>
      <c r="AM458" s="109">
        <v>5</v>
      </c>
      <c r="AN458" s="109">
        <v>1</v>
      </c>
      <c r="AO458" s="109">
        <v>1</v>
      </c>
      <c r="AP458" s="109">
        <v>0</v>
      </c>
      <c r="AQ458" s="109">
        <v>0</v>
      </c>
      <c r="AR458" s="109">
        <v>0</v>
      </c>
      <c r="AS458" s="110">
        <v>0</v>
      </c>
      <c r="AT458" s="109">
        <v>0</v>
      </c>
      <c r="AU458" s="109">
        <v>0</v>
      </c>
      <c r="AV458" s="109">
        <v>0</v>
      </c>
      <c r="AW458" s="110">
        <v>0</v>
      </c>
      <c r="AX458" s="109">
        <v>0</v>
      </c>
      <c r="AY458" s="233"/>
      <c r="AZ458" s="4"/>
      <c r="BA458" s="35" t="str">
        <f>IF(OR(S458="North America",S458="Rocky Mountain"), "Widespread",BC458)</f>
        <v>Widespread</v>
      </c>
      <c r="BB458" s="4"/>
      <c r="BC458" s="35" t="str">
        <f ca="1">IF(BE458&gt;2046, "Abundant",BE458)</f>
        <v>Abundant</v>
      </c>
      <c r="BD458" s="4"/>
      <c r="BE458" s="81">
        <f ca="1">YEAR($C$13)+(BG458*80)</f>
        <v>2046.4724392156863</v>
      </c>
      <c r="BF458" s="4"/>
      <c r="BG458" s="137">
        <f ca="1">BH458*$BH$14</f>
        <v>0.34340549019607841</v>
      </c>
      <c r="BH458" s="137">
        <f ca="1">(((BJ458+BK458+BM458+BN458)/4)*$BM$11)+(((BP458+BQ458)/2)*$BQ$11)+(((BU458+BV458+BW458)/3)*$BU$11)+(((BY458+BZ458+CA458+CB458+CC458)/5)*$CA$11)</f>
        <v>0.34340549019607841</v>
      </c>
      <c r="BI458" s="4"/>
      <c r="BJ458" s="33">
        <f>AP458/(AM458+AO458)</f>
        <v>0</v>
      </c>
      <c r="BK458" s="33">
        <f>(AN458+AO458)/(AM458+AO458)</f>
        <v>0.33333333333333331</v>
      </c>
      <c r="BL458" s="4"/>
      <c r="BM458" s="127">
        <f>CF458/102</f>
        <v>0.24705882352941175</v>
      </c>
      <c r="BN458" s="127">
        <f>C458/2</f>
        <v>1</v>
      </c>
      <c r="BO458" s="4"/>
      <c r="BP458" s="127">
        <f>(AK458)/($AW$6)</f>
        <v>0.22222222222222221</v>
      </c>
      <c r="BQ458" s="127">
        <f ca="1">(CH458-$AW$4)/((YEAR($C$13))-$AW$4)</f>
        <v>0</v>
      </c>
      <c r="BR458" s="127">
        <f>(AL458)/($AW$6)</f>
        <v>0.12121212121212122</v>
      </c>
      <c r="BS458" s="4"/>
      <c r="BT458" s="127"/>
      <c r="BU458" s="127">
        <f ca="1">(CG458-$AW$4)/((YEAR($C$13))-$AW$4)</f>
        <v>0</v>
      </c>
      <c r="BV458" s="127">
        <f>AE458/5</f>
        <v>1</v>
      </c>
      <c r="BW458" s="127">
        <f>AF458/5</f>
        <v>1</v>
      </c>
      <c r="BX458" s="4"/>
      <c r="BY458" s="148" t="str">
        <f>IF(E458="A",".98",IF(E458="B",".99",IF(E458="C","1.00",IF(E458="D","1.00" ))))</f>
        <v>1.00</v>
      </c>
      <c r="BZ458" s="127">
        <f>(CE458+7)/10</f>
        <v>1</v>
      </c>
      <c r="CA458" s="76" t="str">
        <f>IF(D458="Fern",".97",IF(D458="Grass",".99",IF(D458="Herb",".97",IF(D458="Shrub",".99",IF(D458="Tree","1.00",IF(D458="Vine",".98"))))))</f>
        <v>.97</v>
      </c>
      <c r="CB458" s="149" t="str">
        <f>IF(R458="Bogs Ponds Streams",".96", IF(R458="Coastal Areas",".97",IF(R458="Meadows Dry Open",".96",IF(R458="Forest &amp; Understory",".97",IF(R458="Moist Open",".98",IF(R458="Moist Shady",".96",IF(R458="Sub-Alpine","1.0")))))))</f>
        <v>.96</v>
      </c>
      <c r="CC458" s="76" t="str">
        <f>IF(S458="Local Endemic",".50",IF(S458="Regional Endemic",".70",IF(S458="Cascadia",".90",IF(S458="Rocky Mountain",".95",IF(S458="North America",".99")))))</f>
        <v>.99</v>
      </c>
      <c r="CD458" s="4"/>
      <c r="CE458" s="21">
        <f>IF(W458&gt;3,3,W458)</f>
        <v>3</v>
      </c>
      <c r="CF458" s="21">
        <f>IF(AC458&gt;102,102,AC458)</f>
        <v>25.2</v>
      </c>
      <c r="CG458" s="34">
        <f>IF(AI458&lt;$AW$4,$AW$4,AI458)</f>
        <v>2004</v>
      </c>
      <c r="CH458" s="34">
        <f>IF(AJ458&lt;$AW$4,$AW$4,AJ458)</f>
        <v>2004</v>
      </c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12"/>
    </row>
    <row r="459" spans="1:115" s="13" customFormat="1" ht="15" customHeight="1" x14ac:dyDescent="0.3">
      <c r="A459" s="235"/>
      <c r="B459" s="218"/>
      <c r="C459" s="375">
        <v>1</v>
      </c>
      <c r="D459" s="67" t="s">
        <v>2505</v>
      </c>
      <c r="E459" s="67" t="s">
        <v>2502</v>
      </c>
      <c r="F459" s="403" t="str">
        <f ca="1">IF(BC459&lt;2025, "Extinct&lt; 6Yrs?",BA459)</f>
        <v>Widespread</v>
      </c>
      <c r="G459" s="376" t="s">
        <v>525</v>
      </c>
      <c r="H459" s="376" t="s">
        <v>4028</v>
      </c>
      <c r="I459" s="379" t="s">
        <v>2666</v>
      </c>
      <c r="J459" s="378" t="s">
        <v>3585</v>
      </c>
      <c r="K459" s="378" t="s">
        <v>2785</v>
      </c>
      <c r="L459" s="65" t="s">
        <v>2185</v>
      </c>
      <c r="M459" s="64" t="s">
        <v>4534</v>
      </c>
      <c r="N459" s="64" t="s">
        <v>5431</v>
      </c>
      <c r="O459" s="64" t="s">
        <v>6329</v>
      </c>
      <c r="P459" s="404" t="s">
        <v>144</v>
      </c>
      <c r="Q459" s="67" t="s">
        <v>2552</v>
      </c>
      <c r="R459" s="61" t="s">
        <v>2500</v>
      </c>
      <c r="S459" s="61" t="s">
        <v>2495</v>
      </c>
      <c r="T459" s="134" t="str">
        <f>IF(R459="Bogs Ponds Streams","20",IF(R459="Coastal Areas","26",IF(R459="Meadows Dry Open","10",IF(R459="Forest &amp; Understory","14",IF(R459="Moist Open","12",IF(R459="Moist Shady","10",IF(R459="Sub-Alpine Slopes","0")))))))</f>
        <v>10</v>
      </c>
      <c r="U459" s="134" t="str">
        <f>IF(R459="Bogs Ponds Streams","52",IF(R459="Coastal Areas","51",IF(R459="Meadows Dry Open","53",IF(R459="Forest &amp; Understory","52",IF(R459="Moist Open","50",IF(R459="Moist Shady","46",IF(R459="Sub-Alpine Slopes","40")))))))</f>
        <v>53</v>
      </c>
      <c r="V459" s="134" t="str">
        <f>IF(R459="Bogs Ponds Streams","84",IF(R459="Coastal Areas","76",IF(R459="Meadows Dry Open","96", IF(R459="Forest &amp; Understory","90", IF(R459="Moist Open","88", IF(R459="Moist Shady","82", IF(R459="Sub-Alpine Slopes","80")))))))</f>
        <v>96</v>
      </c>
      <c r="W459" s="67">
        <v>1</v>
      </c>
      <c r="X459" s="67">
        <v>0</v>
      </c>
      <c r="Y459" s="67">
        <v>3500</v>
      </c>
      <c r="Z459" s="67" t="s">
        <v>2519</v>
      </c>
      <c r="AA459" s="67" t="s">
        <v>2518</v>
      </c>
      <c r="AB459" s="67">
        <v>6.8</v>
      </c>
      <c r="AC459" s="85">
        <f>C459+AK459+(0.1)*AL459</f>
        <v>35.1</v>
      </c>
      <c r="AD459" s="78">
        <v>132</v>
      </c>
      <c r="AE459" s="67">
        <v>5</v>
      </c>
      <c r="AF459" s="67">
        <v>5</v>
      </c>
      <c r="AG459" s="67">
        <v>1900</v>
      </c>
      <c r="AH459" s="78">
        <v>0</v>
      </c>
      <c r="AI459" s="67">
        <f>AJ459</f>
        <v>2004</v>
      </c>
      <c r="AJ459" s="69">
        <v>2004</v>
      </c>
      <c r="AK459" s="69">
        <v>33</v>
      </c>
      <c r="AL459" s="69">
        <v>11</v>
      </c>
      <c r="AM459" s="70">
        <v>5</v>
      </c>
      <c r="AN459" s="70">
        <v>0</v>
      </c>
      <c r="AO459" s="86">
        <v>0</v>
      </c>
      <c r="AP459" s="70">
        <v>0</v>
      </c>
      <c r="AQ459" s="70">
        <v>0</v>
      </c>
      <c r="AR459" s="70">
        <v>0</v>
      </c>
      <c r="AS459" s="86">
        <v>0</v>
      </c>
      <c r="AT459" s="70">
        <v>0</v>
      </c>
      <c r="AU459" s="70">
        <v>0</v>
      </c>
      <c r="AV459" s="70">
        <v>0</v>
      </c>
      <c r="AW459" s="86">
        <v>0</v>
      </c>
      <c r="AX459" s="70">
        <v>0</v>
      </c>
      <c r="AY459" s="233"/>
      <c r="AZ459" s="4"/>
      <c r="BA459" s="35" t="str">
        <f>IF(OR(S459="North America",S459="Rocky Mountain"), "Widespread",BC459)</f>
        <v>Widespread</v>
      </c>
      <c r="BB459" s="4"/>
      <c r="BC459" s="35">
        <f ca="1">IF(BE459&gt;2046, "Abundant",BE459)</f>
        <v>2038.9000784313725</v>
      </c>
      <c r="BD459" s="4"/>
      <c r="BE459" s="81">
        <f ca="1">YEAR($C$13)+(BG459*80)</f>
        <v>2038.9000784313725</v>
      </c>
      <c r="BF459" s="4"/>
      <c r="BG459" s="137">
        <f ca="1">BH459*$BH$14</f>
        <v>0.24875098039215685</v>
      </c>
      <c r="BH459" s="137">
        <f ca="1">(((BJ459+BK459+BM459+BN459)/4)*$BM$11)+(((BP459+BQ459)/2)*$BQ$11)+(((BU459+BV459+BW459)/3)*$BU$11)+(((BY459+BZ459+CA459+CB459+CC459)/5)*$CA$11)</f>
        <v>0.24875098039215685</v>
      </c>
      <c r="BI459" s="4"/>
      <c r="BJ459" s="33">
        <f>AP459/(AM459+AO459)</f>
        <v>0</v>
      </c>
      <c r="BK459" s="33">
        <f>(AN459+AO459)/(AM459+AO459)</f>
        <v>0</v>
      </c>
      <c r="BL459" s="4"/>
      <c r="BM459" s="127">
        <f>CF459/102</f>
        <v>0.34411764705882353</v>
      </c>
      <c r="BN459" s="127">
        <f>C459/2</f>
        <v>0.5</v>
      </c>
      <c r="BO459" s="4"/>
      <c r="BP459" s="127">
        <f>(AK459)/($AW$6)</f>
        <v>0.33333333333333331</v>
      </c>
      <c r="BQ459" s="127">
        <f ca="1">(CH459-$AW$4)/((YEAR($C$13))-$AW$4)</f>
        <v>0</v>
      </c>
      <c r="BR459" s="127">
        <f>(AL459)/($AW$6)</f>
        <v>0.1111111111111111</v>
      </c>
      <c r="BS459" s="4"/>
      <c r="BT459" s="127"/>
      <c r="BU459" s="127">
        <f ca="1">(CG459-$AW$4)/((YEAR($C$13))-$AW$4)</f>
        <v>0</v>
      </c>
      <c r="BV459" s="127">
        <f>AE459/5</f>
        <v>1</v>
      </c>
      <c r="BW459" s="127">
        <f>AF459/5</f>
        <v>1</v>
      </c>
      <c r="BX459" s="4"/>
      <c r="BY459" s="148" t="str">
        <f>IF(E459="A",".98",IF(E459="B",".99",IF(E459="C","1.00",IF(E459="D","1.00" ))))</f>
        <v>.98</v>
      </c>
      <c r="BZ459" s="127">
        <f>(CE459+7)/10</f>
        <v>0.8</v>
      </c>
      <c r="CA459" s="76" t="str">
        <f>IF(D459="Fern",".97",IF(D459="Grass",".99",IF(D459="Herb",".97",IF(D459="Shrub",".99",IF(D459="Tree","1.00",IF(D459="Vine",".98"))))))</f>
        <v>.97</v>
      </c>
      <c r="CB459" s="149" t="str">
        <f>IF(R459="Bogs Ponds Streams",".96", IF(R459="Coastal Areas",".97",IF(R459="Meadows Dry Open",".96",IF(R459="Forest &amp; Understory",".97",IF(R459="Moist Open",".98",IF(R459="Moist Shady",".96",IF(R459="Sub-Alpine","1.0")))))))</f>
        <v>.96</v>
      </c>
      <c r="CC459" s="76" t="str">
        <f>IF(S459="Local Endemic",".50",IF(S459="Regional Endemic",".70",IF(S459="Cascadia",".90",IF(S459="Rocky Mountain",".95",IF(S459="North America",".99")))))</f>
        <v>.99</v>
      </c>
      <c r="CD459" s="4"/>
      <c r="CE459" s="21">
        <f>IF(W459&gt;3,3,W459)</f>
        <v>1</v>
      </c>
      <c r="CF459" s="21">
        <f>IF(AC459&gt;102,102,AC459)</f>
        <v>35.1</v>
      </c>
      <c r="CG459" s="34">
        <f>IF(AI459&lt;$AW$4,$AW$4,AI459)</f>
        <v>2004</v>
      </c>
      <c r="CH459" s="34">
        <f>IF(AJ459&lt;$AW$4,$AW$4,AJ459)</f>
        <v>2004</v>
      </c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12"/>
    </row>
    <row r="460" spans="1:115" s="13" customFormat="1" ht="15" customHeight="1" x14ac:dyDescent="0.3">
      <c r="A460" s="235"/>
      <c r="B460" s="218"/>
      <c r="C460" s="226">
        <v>2</v>
      </c>
      <c r="D460" s="104" t="s">
        <v>2505</v>
      </c>
      <c r="E460" s="104" t="s">
        <v>2501</v>
      </c>
      <c r="F460" s="400">
        <f ca="1">IF(BC460&lt;2025, "Extinct&lt; 6Yrs?",BA460)</f>
        <v>2042.3974474153297</v>
      </c>
      <c r="G460" s="369" t="s">
        <v>525</v>
      </c>
      <c r="H460" s="369" t="s">
        <v>4028</v>
      </c>
      <c r="I460" s="372" t="s">
        <v>2667</v>
      </c>
      <c r="J460" s="371" t="s">
        <v>3754</v>
      </c>
      <c r="K460" s="371" t="s">
        <v>1279</v>
      </c>
      <c r="L460" s="114" t="s">
        <v>1523</v>
      </c>
      <c r="M460" s="111" t="s">
        <v>4535</v>
      </c>
      <c r="N460" s="111" t="s">
        <v>5432</v>
      </c>
      <c r="O460" s="111" t="s">
        <v>6330</v>
      </c>
      <c r="P460" s="401" t="s">
        <v>361</v>
      </c>
      <c r="Q460" s="104" t="s">
        <v>2552</v>
      </c>
      <c r="R460" s="105" t="s">
        <v>2497</v>
      </c>
      <c r="S460" s="105" t="s">
        <v>2309</v>
      </c>
      <c r="T460" s="133" t="str">
        <f>IF(R460="Bogs Ponds Streams","20",IF(R460="Coastal Areas","26",IF(R460="Meadows Dry Open","10",IF(R460="Forest &amp; Understory","14",IF(R460="Moist Open","12",IF(R460="Moist Shady","10",IF(R460="Sub-Alpine Slopes","0")))))))</f>
        <v>12</v>
      </c>
      <c r="U460" s="133" t="str">
        <f>IF(R460="Bogs Ponds Streams","52",IF(R460="Coastal Areas","51",IF(R460="Meadows Dry Open","53",IF(R460="Forest &amp; Understory","52",IF(R460="Moist Open","50",IF(R460="Moist Shady","46",IF(R460="Sub-Alpine Slopes","40")))))))</f>
        <v>50</v>
      </c>
      <c r="V460" s="133" t="str">
        <f>IF(R460="Bogs Ponds Streams","84",IF(R460="Coastal Areas","76",IF(R460="Meadows Dry Open","96", IF(R460="Forest &amp; Understory","90", IF(R460="Moist Open","88", IF(R460="Moist Shady","82", IF(R460="Sub-Alpine Slopes","80")))))))</f>
        <v>88</v>
      </c>
      <c r="W460" s="104">
        <v>20</v>
      </c>
      <c r="X460" s="104">
        <v>0</v>
      </c>
      <c r="Y460" s="104">
        <v>3500</v>
      </c>
      <c r="Z460" s="104" t="s">
        <v>2519</v>
      </c>
      <c r="AA460" s="104" t="s">
        <v>2518</v>
      </c>
      <c r="AB460" s="104">
        <v>6.8</v>
      </c>
      <c r="AC460" s="107">
        <f>C460+AK460+(0.1)*AL460</f>
        <v>15.2</v>
      </c>
      <c r="AD460" s="113">
        <v>105</v>
      </c>
      <c r="AE460" s="104">
        <v>5</v>
      </c>
      <c r="AF460" s="104">
        <v>5</v>
      </c>
      <c r="AG460" s="104">
        <v>1900</v>
      </c>
      <c r="AH460" s="113">
        <v>0</v>
      </c>
      <c r="AI460" s="104">
        <f>AJ460</f>
        <v>2004</v>
      </c>
      <c r="AJ460" s="108">
        <v>2004</v>
      </c>
      <c r="AK460" s="108">
        <v>12</v>
      </c>
      <c r="AL460" s="108">
        <v>12</v>
      </c>
      <c r="AM460" s="109">
        <v>5</v>
      </c>
      <c r="AN460" s="109">
        <v>1</v>
      </c>
      <c r="AO460" s="110">
        <v>0</v>
      </c>
      <c r="AP460" s="109">
        <v>0</v>
      </c>
      <c r="AQ460" s="109">
        <v>0</v>
      </c>
      <c r="AR460" s="109">
        <v>0</v>
      </c>
      <c r="AS460" s="110">
        <v>0</v>
      </c>
      <c r="AT460" s="109">
        <v>0</v>
      </c>
      <c r="AU460" s="109">
        <v>0</v>
      </c>
      <c r="AV460" s="109">
        <v>0</v>
      </c>
      <c r="AW460" s="110">
        <v>0</v>
      </c>
      <c r="AX460" s="109">
        <v>0</v>
      </c>
      <c r="AY460" s="233"/>
      <c r="AZ460" s="4"/>
      <c r="BA460" s="35">
        <f ca="1">IF(OR(S460="North America",S460="Rocky Mountain"), "Widespread",BC460)</f>
        <v>2042.3974474153297</v>
      </c>
      <c r="BB460" s="4"/>
      <c r="BC460" s="35">
        <f ca="1">IF(BE460&gt;2046, "Abundant",BE460)</f>
        <v>2042.3974474153297</v>
      </c>
      <c r="BD460" s="4"/>
      <c r="BE460" s="81">
        <f ca="1">YEAR($C$13)+(BG460*80)</f>
        <v>2042.3974474153297</v>
      </c>
      <c r="BF460" s="4"/>
      <c r="BG460" s="137">
        <f ca="1">BH460*$BH$14</f>
        <v>0.29246809269162211</v>
      </c>
      <c r="BH460" s="137">
        <f ca="1">(((BJ460+BK460+BM460+BN460)/4)*$BM$11)+(((BP460+BQ460)/2)*$BQ$11)+(((BU460+BV460+BW460)/3)*$BU$11)+(((BY460+BZ460+CA460+CB460+CC460)/5)*$CA$11)</f>
        <v>0.29246809269162211</v>
      </c>
      <c r="BI460" s="4"/>
      <c r="BJ460" s="33">
        <f>AP460/(AM460+AO460)</f>
        <v>0</v>
      </c>
      <c r="BK460" s="33">
        <f>(AN460+AO460)/(AM460+AO460)</f>
        <v>0.2</v>
      </c>
      <c r="BL460" s="4"/>
      <c r="BM460" s="127">
        <f>CF460/102</f>
        <v>0.14901960784313725</v>
      </c>
      <c r="BN460" s="127">
        <f>C460/2</f>
        <v>1</v>
      </c>
      <c r="BO460" s="4"/>
      <c r="BP460" s="127">
        <f>(AK460)/($AW$6)</f>
        <v>0.12121212121212122</v>
      </c>
      <c r="BQ460" s="127">
        <f ca="1">(CH460-$AW$4)/((YEAR($C$13))-$AW$4)</f>
        <v>0</v>
      </c>
      <c r="BR460" s="127">
        <f>(AL460)/($AW$6)</f>
        <v>0.12121212121212122</v>
      </c>
      <c r="BS460" s="4"/>
      <c r="BT460" s="127"/>
      <c r="BU460" s="127">
        <f ca="1">(CG460-$AW$4)/((YEAR($C$13))-$AW$4)</f>
        <v>0</v>
      </c>
      <c r="BV460" s="127">
        <f>AE460/5</f>
        <v>1</v>
      </c>
      <c r="BW460" s="127">
        <f>AF460/5</f>
        <v>1</v>
      </c>
      <c r="BX460" s="4"/>
      <c r="BY460" s="148" t="str">
        <f>IF(E460="A",".98",IF(E460="B",".99",IF(E460="C","1.00",IF(E460="D","1.00" ))))</f>
        <v>1.00</v>
      </c>
      <c r="BZ460" s="127">
        <f>(CE460+7)/10</f>
        <v>1</v>
      </c>
      <c r="CA460" s="76" t="str">
        <f>IF(D460="Fern",".97",IF(D460="Grass",".99",IF(D460="Herb",".97",IF(D460="Shrub",".99",IF(D460="Tree","1.00",IF(D460="Vine",".98"))))))</f>
        <v>.97</v>
      </c>
      <c r="CB460" s="149" t="str">
        <f>IF(R460="Bogs Ponds Streams",".96", IF(R460="Coastal Areas",".97",IF(R460="Meadows Dry Open",".96",IF(R460="Forest &amp; Understory",".97",IF(R460="Moist Open",".98",IF(R460="Moist Shady",".96",IF(R460="Sub-Alpine","1.0")))))))</f>
        <v>.98</v>
      </c>
      <c r="CC460" s="76" t="str">
        <f>IF(S460="Local Endemic",".50",IF(S460="Regional Endemic",".70",IF(S460="Cascadia",".90",IF(S460="Rocky Mountain",".95",IF(S460="North America",".99")))))</f>
        <v>.70</v>
      </c>
      <c r="CD460" s="4"/>
      <c r="CE460" s="21">
        <f>IF(W460&gt;3,3,W460)</f>
        <v>3</v>
      </c>
      <c r="CF460" s="21">
        <f>IF(AC460&gt;102,102,AC460)</f>
        <v>15.2</v>
      </c>
      <c r="CG460" s="34">
        <f>IF(AI460&lt;$AW$4,$AW$4,AI460)</f>
        <v>2004</v>
      </c>
      <c r="CH460" s="34">
        <f>IF(AJ460&lt;$AW$4,$AW$4,AJ460)</f>
        <v>2004</v>
      </c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</row>
    <row r="461" spans="1:115" s="13" customFormat="1" ht="15" customHeight="1" x14ac:dyDescent="0.3">
      <c r="A461" s="235"/>
      <c r="B461" s="218"/>
      <c r="C461" s="375">
        <v>1</v>
      </c>
      <c r="D461" s="67" t="s">
        <v>2505</v>
      </c>
      <c r="E461" s="67" t="s">
        <v>2502</v>
      </c>
      <c r="F461" s="403">
        <f ca="1">IF(BC461&lt;2025, "Extinct&lt; 6Yrs?",BA461)</f>
        <v>2034.2035422459894</v>
      </c>
      <c r="G461" s="376" t="s">
        <v>525</v>
      </c>
      <c r="H461" s="376" t="s">
        <v>4028</v>
      </c>
      <c r="I461" s="380" t="s">
        <v>265</v>
      </c>
      <c r="J461" s="378" t="s">
        <v>3584</v>
      </c>
      <c r="K461" s="378" t="s">
        <v>1016</v>
      </c>
      <c r="L461" s="63" t="s">
        <v>1524</v>
      </c>
      <c r="M461" s="64" t="s">
        <v>4536</v>
      </c>
      <c r="N461" s="64" t="s">
        <v>5433</v>
      </c>
      <c r="O461" s="64" t="s">
        <v>6331</v>
      </c>
      <c r="P461" s="61" t="s">
        <v>674</v>
      </c>
      <c r="Q461" s="67" t="s">
        <v>2552</v>
      </c>
      <c r="R461" s="61" t="s">
        <v>2500</v>
      </c>
      <c r="S461" s="61" t="s">
        <v>2459</v>
      </c>
      <c r="T461" s="134" t="str">
        <f>IF(R461="Bogs Ponds Streams","20",IF(R461="Coastal Areas","26",IF(R461="Meadows Dry Open","10",IF(R461="Forest &amp; Understory","14",IF(R461="Moist Open","12",IF(R461="Moist Shady","10",IF(R461="Sub-Alpine Slopes","0")))))))</f>
        <v>10</v>
      </c>
      <c r="U461" s="134" t="str">
        <f>IF(R461="Bogs Ponds Streams","52",IF(R461="Coastal Areas","51",IF(R461="Meadows Dry Open","53",IF(R461="Forest &amp; Understory","52",IF(R461="Moist Open","50",IF(R461="Moist Shady","46",IF(R461="Sub-Alpine Slopes","40")))))))</f>
        <v>53</v>
      </c>
      <c r="V461" s="134" t="str">
        <f>IF(R461="Bogs Ponds Streams","84",IF(R461="Coastal Areas","76",IF(R461="Meadows Dry Open","96", IF(R461="Forest &amp; Understory","90", IF(R461="Moist Open","88", IF(R461="Moist Shady","82", IF(R461="Sub-Alpine Slopes","80")))))))</f>
        <v>96</v>
      </c>
      <c r="W461" s="67">
        <v>1</v>
      </c>
      <c r="X461" s="67">
        <v>0</v>
      </c>
      <c r="Y461" s="67">
        <v>3500</v>
      </c>
      <c r="Z461" s="67" t="s">
        <v>2519</v>
      </c>
      <c r="AA461" s="67" t="s">
        <v>2518</v>
      </c>
      <c r="AB461" s="67">
        <v>6.8</v>
      </c>
      <c r="AC461" s="85">
        <f>C461+AK461+(0.1)*AL461</f>
        <v>15</v>
      </c>
      <c r="AD461" s="78">
        <v>39</v>
      </c>
      <c r="AE461" s="67">
        <v>5</v>
      </c>
      <c r="AF461" s="67">
        <v>5</v>
      </c>
      <c r="AG461" s="67">
        <v>1900</v>
      </c>
      <c r="AH461" s="78">
        <v>0</v>
      </c>
      <c r="AI461" s="67">
        <f>AJ461</f>
        <v>2004</v>
      </c>
      <c r="AJ461" s="69">
        <v>2004</v>
      </c>
      <c r="AK461" s="69">
        <v>14</v>
      </c>
      <c r="AL461" s="69">
        <v>0</v>
      </c>
      <c r="AM461" s="70">
        <v>5</v>
      </c>
      <c r="AN461" s="70">
        <v>0</v>
      </c>
      <c r="AO461" s="86">
        <v>0</v>
      </c>
      <c r="AP461" s="70">
        <v>0</v>
      </c>
      <c r="AQ461" s="70">
        <v>0</v>
      </c>
      <c r="AR461" s="70">
        <v>0</v>
      </c>
      <c r="AS461" s="86">
        <v>0</v>
      </c>
      <c r="AT461" s="70">
        <v>0</v>
      </c>
      <c r="AU461" s="70">
        <v>0</v>
      </c>
      <c r="AV461" s="70">
        <v>0</v>
      </c>
      <c r="AW461" s="86">
        <v>0</v>
      </c>
      <c r="AX461" s="70">
        <v>0</v>
      </c>
      <c r="AY461" s="233"/>
      <c r="AZ461" s="4"/>
      <c r="BA461" s="35">
        <f ca="1">IF(OR(S461="North America",S461="Rocky Mountain"), "Widespread",BC461)</f>
        <v>2034.2035422459894</v>
      </c>
      <c r="BB461" s="4"/>
      <c r="BC461" s="35">
        <f ca="1">IF(BE461&gt;2046, "Abundant",BE461)</f>
        <v>2034.2035422459894</v>
      </c>
      <c r="BD461" s="4"/>
      <c r="BE461" s="81">
        <f ca="1">YEAR($C$13)+(BG461*80)</f>
        <v>2034.2035422459894</v>
      </c>
      <c r="BF461" s="4"/>
      <c r="BG461" s="137">
        <f ca="1">BH461*$BH$14</f>
        <v>0.19004427807486632</v>
      </c>
      <c r="BH461" s="137">
        <f ca="1">(((BJ461+BK461+BM461+BN461)/4)*$BM$11)+(((BP461+BQ461)/2)*$BQ$11)+(((BU461+BV461+BW461)/3)*$BU$11)+(((BY461+BZ461+CA461+CB461+CC461)/5)*$CA$11)</f>
        <v>0.19004427807486632</v>
      </c>
      <c r="BI461" s="4"/>
      <c r="BJ461" s="33">
        <f>AP461/(AM461+AO461)</f>
        <v>0</v>
      </c>
      <c r="BK461" s="33">
        <f>(AN461+AO461)/(AM461+AO461)</f>
        <v>0</v>
      </c>
      <c r="BL461" s="4"/>
      <c r="BM461" s="127">
        <f>CF461/102</f>
        <v>0.14705882352941177</v>
      </c>
      <c r="BN461" s="127">
        <f>C461/2</f>
        <v>0.5</v>
      </c>
      <c r="BO461" s="4"/>
      <c r="BP461" s="127">
        <f>(AK461)/($AW$6)</f>
        <v>0.14141414141414141</v>
      </c>
      <c r="BQ461" s="127">
        <f ca="1">(CH461-$AW$4)/((YEAR($C$13))-$AW$4)</f>
        <v>0</v>
      </c>
      <c r="BR461" s="127">
        <f>(AL461)/($AW$6)</f>
        <v>0</v>
      </c>
      <c r="BS461" s="4"/>
      <c r="BT461" s="127"/>
      <c r="BU461" s="127">
        <f ca="1">(CG461-$AW$4)/((YEAR($C$13))-$AW$4)</f>
        <v>0</v>
      </c>
      <c r="BV461" s="127">
        <f>AE461/5</f>
        <v>1</v>
      </c>
      <c r="BW461" s="127">
        <f>AF461/5</f>
        <v>1</v>
      </c>
      <c r="BX461" s="4"/>
      <c r="BY461" s="148" t="str">
        <f>IF(E461="A",".98",IF(E461="B",".99",IF(E461="C","1.00",IF(E461="D","1.00" ))))</f>
        <v>.98</v>
      </c>
      <c r="BZ461" s="127">
        <f>(CE461+7)/10</f>
        <v>0.8</v>
      </c>
      <c r="CA461" s="76" t="str">
        <f>IF(D461="Fern",".97",IF(D461="Grass",".99",IF(D461="Herb",".97",IF(D461="Shrub",".99",IF(D461="Tree","1.00",IF(D461="Vine",".98"))))))</f>
        <v>.97</v>
      </c>
      <c r="CB461" s="149" t="str">
        <f>IF(R461="Bogs Ponds Streams",".96", IF(R461="Coastal Areas",".97",IF(R461="Meadows Dry Open",".96",IF(R461="Forest &amp; Understory",".97",IF(R461="Moist Open",".98",IF(R461="Moist Shady",".96",IF(R461="Sub-Alpine","1.0")))))))</f>
        <v>.96</v>
      </c>
      <c r="CC461" s="76" t="str">
        <f>IF(S461="Local Endemic",".50",IF(S461="Regional Endemic",".70",IF(S461="Cascadia",".90",IF(S461="Rocky Mountain",".95",IF(S461="North America",".99")))))</f>
        <v>.90</v>
      </c>
      <c r="CD461" s="4"/>
      <c r="CE461" s="21">
        <f>IF(W461&gt;3,3,W461)</f>
        <v>1</v>
      </c>
      <c r="CF461" s="21">
        <f>IF(AC461&gt;102,102,AC461)</f>
        <v>15</v>
      </c>
      <c r="CG461" s="34">
        <f>IF(AI461&lt;$AW$4,$AW$4,AI461)</f>
        <v>2004</v>
      </c>
      <c r="CH461" s="34">
        <f>IF(AJ461&lt;$AW$4,$AW$4,AJ461)</f>
        <v>2004</v>
      </c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12"/>
    </row>
    <row r="462" spans="1:115" s="13" customFormat="1" ht="15" customHeight="1" x14ac:dyDescent="0.3">
      <c r="A462" s="235"/>
      <c r="B462" s="218"/>
      <c r="C462" s="226">
        <v>2</v>
      </c>
      <c r="D462" s="104" t="s">
        <v>2505</v>
      </c>
      <c r="E462" s="104" t="s">
        <v>2501</v>
      </c>
      <c r="F462" s="400">
        <f ca="1">IF(BC462&lt;2025, "Extinct&lt; 6Yrs?",BA462)</f>
        <v>2042.5726944741532</v>
      </c>
      <c r="G462" s="369" t="s">
        <v>525</v>
      </c>
      <c r="H462" s="369" t="s">
        <v>4028</v>
      </c>
      <c r="I462" s="372" t="s">
        <v>2668</v>
      </c>
      <c r="J462" s="371" t="s">
        <v>3753</v>
      </c>
      <c r="K462" s="371" t="s">
        <v>1280</v>
      </c>
      <c r="L462" s="114" t="s">
        <v>1525</v>
      </c>
      <c r="M462" s="111" t="s">
        <v>4537</v>
      </c>
      <c r="N462" s="111" t="s">
        <v>5434</v>
      </c>
      <c r="O462" s="111" t="s">
        <v>6332</v>
      </c>
      <c r="P462" s="401" t="s">
        <v>752</v>
      </c>
      <c r="Q462" s="104" t="s">
        <v>2552</v>
      </c>
      <c r="R462" s="105" t="s">
        <v>2500</v>
      </c>
      <c r="S462" s="105" t="s">
        <v>2459</v>
      </c>
      <c r="T462" s="133" t="str">
        <f>IF(R462="Bogs Ponds Streams","20",IF(R462="Coastal Areas","26",IF(R462="Meadows Dry Open","10",IF(R462="Forest &amp; Understory","14",IF(R462="Moist Open","12",IF(R462="Moist Shady","10",IF(R462="Sub-Alpine Slopes","0")))))))</f>
        <v>10</v>
      </c>
      <c r="U462" s="133" t="str">
        <f>IF(R462="Bogs Ponds Streams","52",IF(R462="Coastal Areas","51",IF(R462="Meadows Dry Open","53",IF(R462="Forest &amp; Understory","52",IF(R462="Moist Open","50",IF(R462="Moist Shady","46",IF(R462="Sub-Alpine Slopes","40")))))))</f>
        <v>53</v>
      </c>
      <c r="V462" s="133" t="str">
        <f>IF(R462="Bogs Ponds Streams","84",IF(R462="Coastal Areas","76",IF(R462="Meadows Dry Open","96", IF(R462="Forest &amp; Understory","90", IF(R462="Moist Open","88", IF(R462="Moist Shady","82", IF(R462="Sub-Alpine Slopes","80")))))))</f>
        <v>96</v>
      </c>
      <c r="W462" s="104">
        <v>20</v>
      </c>
      <c r="X462" s="104">
        <v>0</v>
      </c>
      <c r="Y462" s="104">
        <v>3500</v>
      </c>
      <c r="Z462" s="104" t="s">
        <v>2519</v>
      </c>
      <c r="AA462" s="104" t="s">
        <v>2518</v>
      </c>
      <c r="AB462" s="104">
        <v>6.8</v>
      </c>
      <c r="AC462" s="107">
        <f>C462+AK462+(0.1)*AL462</f>
        <v>16.2</v>
      </c>
      <c r="AD462" s="113">
        <v>97</v>
      </c>
      <c r="AE462" s="104">
        <v>5</v>
      </c>
      <c r="AF462" s="104">
        <v>5</v>
      </c>
      <c r="AG462" s="104">
        <v>1900</v>
      </c>
      <c r="AH462" s="113">
        <v>0</v>
      </c>
      <c r="AI462" s="104">
        <f>AJ462</f>
        <v>2004</v>
      </c>
      <c r="AJ462" s="108">
        <v>2004</v>
      </c>
      <c r="AK462" s="108">
        <v>12</v>
      </c>
      <c r="AL462" s="108">
        <v>22</v>
      </c>
      <c r="AM462" s="109">
        <v>5</v>
      </c>
      <c r="AN462" s="109">
        <v>1</v>
      </c>
      <c r="AO462" s="110">
        <v>0</v>
      </c>
      <c r="AP462" s="109">
        <v>0</v>
      </c>
      <c r="AQ462" s="109">
        <v>0</v>
      </c>
      <c r="AR462" s="109">
        <v>0</v>
      </c>
      <c r="AS462" s="110">
        <v>0</v>
      </c>
      <c r="AT462" s="109">
        <v>0</v>
      </c>
      <c r="AU462" s="109">
        <v>0</v>
      </c>
      <c r="AV462" s="109">
        <v>0</v>
      </c>
      <c r="AW462" s="110">
        <v>0</v>
      </c>
      <c r="AX462" s="109">
        <v>0</v>
      </c>
      <c r="AY462" s="233"/>
      <c r="AZ462" s="4"/>
      <c r="BA462" s="35">
        <f ca="1">IF(OR(S462="North America",S462="Rocky Mountain"), "Widespread",BC462)</f>
        <v>2042.5726944741532</v>
      </c>
      <c r="BB462" s="4"/>
      <c r="BC462" s="35">
        <f ca="1">IF(BE462&gt;2046, "Abundant",BE462)</f>
        <v>2042.5726944741532</v>
      </c>
      <c r="BD462" s="4"/>
      <c r="BE462" s="81">
        <f ca="1">YEAR($C$13)+(BG462*80)</f>
        <v>2042.5726944741532</v>
      </c>
      <c r="BF462" s="4"/>
      <c r="BG462" s="137">
        <f ca="1">BH462*$BH$14</f>
        <v>0.29465868092691622</v>
      </c>
      <c r="BH462" s="137">
        <f ca="1">(((BJ462+BK462+BM462+BN462)/4)*$BM$11)+(((BP462+BQ462)/2)*$BQ$11)+(((BU462+BV462+BW462)/3)*$BU$11)+(((BY462+BZ462+CA462+CB462+CC462)/5)*$CA$11)</f>
        <v>0.29465868092691622</v>
      </c>
      <c r="BI462" s="4"/>
      <c r="BJ462" s="33">
        <f>AP462/(AM462+AO462)</f>
        <v>0</v>
      </c>
      <c r="BK462" s="33">
        <f>(AN462+AO462)/(AM462+AO462)</f>
        <v>0.2</v>
      </c>
      <c r="BL462" s="4"/>
      <c r="BM462" s="127">
        <f>CF462/102</f>
        <v>0.1588235294117647</v>
      </c>
      <c r="BN462" s="127">
        <f>C462/2</f>
        <v>1</v>
      </c>
      <c r="BO462" s="4"/>
      <c r="BP462" s="127">
        <f>(AK462)/($AW$6)</f>
        <v>0.12121212121212122</v>
      </c>
      <c r="BQ462" s="127">
        <f ca="1">(CH462-$AW$4)/((YEAR($C$13))-$AW$4)</f>
        <v>0</v>
      </c>
      <c r="BR462" s="127">
        <f>(AL462)/($AW$6)</f>
        <v>0.22222222222222221</v>
      </c>
      <c r="BS462" s="4"/>
      <c r="BT462" s="127"/>
      <c r="BU462" s="127">
        <f ca="1">(CG462-$AW$4)/((YEAR($C$13))-$AW$4)</f>
        <v>0</v>
      </c>
      <c r="BV462" s="127">
        <f>AE462/5</f>
        <v>1</v>
      </c>
      <c r="BW462" s="127">
        <f>AF462/5</f>
        <v>1</v>
      </c>
      <c r="BX462" s="4"/>
      <c r="BY462" s="148" t="str">
        <f>IF(E462="A",".98",IF(E462="B",".99",IF(E462="C","1.00",IF(E462="D","1.00" ))))</f>
        <v>1.00</v>
      </c>
      <c r="BZ462" s="127">
        <f>(CE462+7)/10</f>
        <v>1</v>
      </c>
      <c r="CA462" s="76" t="str">
        <f>IF(D462="Fern",".97",IF(D462="Grass",".99",IF(D462="Herb",".97",IF(D462="Shrub",".99",IF(D462="Tree","1.00",IF(D462="Vine",".98"))))))</f>
        <v>.97</v>
      </c>
      <c r="CB462" s="149" t="str">
        <f>IF(R462="Bogs Ponds Streams",".96", IF(R462="Coastal Areas",".97",IF(R462="Meadows Dry Open",".96",IF(R462="Forest &amp; Understory",".97",IF(R462="Moist Open",".98",IF(R462="Moist Shady",".96",IF(R462="Sub-Alpine","1.0")))))))</f>
        <v>.96</v>
      </c>
      <c r="CC462" s="76" t="str">
        <f>IF(S462="Local Endemic",".50",IF(S462="Regional Endemic",".70",IF(S462="Cascadia",".90",IF(S462="Rocky Mountain",".95",IF(S462="North America",".99")))))</f>
        <v>.90</v>
      </c>
      <c r="CD462" s="4"/>
      <c r="CE462" s="21">
        <f>IF(W462&gt;3,3,W462)</f>
        <v>3</v>
      </c>
      <c r="CF462" s="21">
        <f>IF(AC462&gt;102,102,AC462)</f>
        <v>16.2</v>
      </c>
      <c r="CG462" s="34">
        <f>IF(AI462&lt;$AW$4,$AW$4,AI462)</f>
        <v>2004</v>
      </c>
      <c r="CH462" s="34">
        <f>IF(AJ462&lt;$AW$4,$AW$4,AJ462)</f>
        <v>2004</v>
      </c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12"/>
    </row>
    <row r="463" spans="1:115" s="13" customFormat="1" ht="15" customHeight="1" x14ac:dyDescent="0.3">
      <c r="A463" s="235"/>
      <c r="B463" s="218"/>
      <c r="C463" s="225">
        <v>8</v>
      </c>
      <c r="D463" s="59" t="s">
        <v>2505</v>
      </c>
      <c r="E463" s="59" t="s">
        <v>2501</v>
      </c>
      <c r="F463" s="397" t="str">
        <f ca="1">IF(BC463&lt;2025, "Extinct&lt; 6Yrs?",BA463)</f>
        <v>Widespread</v>
      </c>
      <c r="G463" s="363" t="s">
        <v>525</v>
      </c>
      <c r="H463" s="363" t="s">
        <v>690</v>
      </c>
      <c r="I463" s="364" t="s">
        <v>1175</v>
      </c>
      <c r="J463" s="365" t="s">
        <v>1213</v>
      </c>
      <c r="K463" s="365" t="s">
        <v>1174</v>
      </c>
      <c r="L463" s="17" t="s">
        <v>1526</v>
      </c>
      <c r="M463" s="8" t="s">
        <v>4538</v>
      </c>
      <c r="N463" s="8" t="s">
        <v>5435</v>
      </c>
      <c r="O463" s="8" t="s">
        <v>6333</v>
      </c>
      <c r="P463" s="398" t="s">
        <v>752</v>
      </c>
      <c r="Q463" s="59" t="s">
        <v>2552</v>
      </c>
      <c r="R463" s="160" t="s">
        <v>2497</v>
      </c>
      <c r="S463" s="17" t="s">
        <v>2479</v>
      </c>
      <c r="T463" s="123" t="str">
        <f>IF(R463="Bogs Ponds Streams","20",IF(R463="Coastal Areas","26",IF(R463="Meadows Dry Open","10",IF(R463="Forest &amp; Understory","14",IF(R463="Moist Open","12",IF(R463="Moist Shady","10",IF(R463="Sub-Alpine Slopes","0")))))))</f>
        <v>12</v>
      </c>
      <c r="U463" s="123" t="str">
        <f>IF(R463="Bogs Ponds Streams","52",IF(R463="Coastal Areas","51",IF(R463="Meadows Dry Open","53",IF(R463="Forest &amp; Understory","52",IF(R463="Moist Open","50",IF(R463="Moist Shady","46",IF(R463="Sub-Alpine Slopes","40")))))))</f>
        <v>50</v>
      </c>
      <c r="V463" s="123" t="str">
        <f>IF(R463="Bogs Ponds Streams","84",IF(R463="Coastal Areas","76",IF(R463="Meadows Dry Open","96", IF(R463="Forest &amp; Understory","90", IF(R463="Moist Open","88", IF(R463="Moist Shady","82", IF(R463="Sub-Alpine Slopes","80")))))))</f>
        <v>88</v>
      </c>
      <c r="W463" s="59">
        <v>20</v>
      </c>
      <c r="X463" s="59">
        <v>0</v>
      </c>
      <c r="Y463" s="59">
        <v>3500</v>
      </c>
      <c r="Z463" s="59" t="s">
        <v>2519</v>
      </c>
      <c r="AA463" s="59" t="s">
        <v>2518</v>
      </c>
      <c r="AB463" s="59">
        <v>6.8</v>
      </c>
      <c r="AC463" s="45">
        <f>C463+AK463+(0.1)*AL463</f>
        <v>11.3</v>
      </c>
      <c r="AD463" s="77">
        <v>91</v>
      </c>
      <c r="AE463" s="59">
        <v>5</v>
      </c>
      <c r="AF463" s="59">
        <v>5</v>
      </c>
      <c r="AG463" s="59">
        <v>1900</v>
      </c>
      <c r="AH463" s="77">
        <v>0</v>
      </c>
      <c r="AI463" s="59">
        <f ca="1">AJ463</f>
        <v>2019</v>
      </c>
      <c r="AJ463" s="18">
        <f ca="1">YEAR(TODAY())</f>
        <v>2019</v>
      </c>
      <c r="AK463" s="18">
        <v>0</v>
      </c>
      <c r="AL463" s="18">
        <v>33</v>
      </c>
      <c r="AM463" s="18">
        <v>1</v>
      </c>
      <c r="AN463" s="18">
        <v>1</v>
      </c>
      <c r="AO463" s="18">
        <v>5</v>
      </c>
      <c r="AP463" s="18">
        <v>1</v>
      </c>
      <c r="AQ463" s="18">
        <v>0</v>
      </c>
      <c r="AR463" s="18">
        <v>0</v>
      </c>
      <c r="AS463" s="18">
        <v>0</v>
      </c>
      <c r="AT463" s="18">
        <v>0</v>
      </c>
      <c r="AU463" s="18">
        <v>0</v>
      </c>
      <c r="AV463" s="18">
        <v>0</v>
      </c>
      <c r="AW463" s="18">
        <v>0</v>
      </c>
      <c r="AX463" s="18">
        <v>0</v>
      </c>
      <c r="AY463" s="233"/>
      <c r="AZ463" s="4"/>
      <c r="BA463" s="35" t="str">
        <f>IF(OR(S463="North America",S463="Rocky Mountain"), "Widespread",BC463)</f>
        <v>Widespread</v>
      </c>
      <c r="BB463" s="4"/>
      <c r="BC463" s="35" t="str">
        <f ca="1">IF(BE463&gt;2046, "Abundant",BE463)</f>
        <v>Abundant</v>
      </c>
      <c r="BD463" s="4"/>
      <c r="BE463" s="81">
        <f ca="1">YEAR($C$13)+(BG463*80)</f>
        <v>2102.2974117647059</v>
      </c>
      <c r="BF463" s="4"/>
      <c r="BG463" s="137">
        <f ca="1">BH463*$BH$14</f>
        <v>1.0412176470588237</v>
      </c>
      <c r="BH463" s="137">
        <f ca="1">(((BJ463+BK463+BM463+BN463)/4)*$BM$11)+(((BP463+BQ463)/2)*$BQ$11)+(((BU463+BV463+BW463)/3)*$BU$11)+(((BY463+BZ463+CA463+CB463+CC463)/5)*$CA$11)</f>
        <v>1.0412176470588237</v>
      </c>
      <c r="BI463" s="4"/>
      <c r="BJ463" s="33">
        <f>AP463/(AM463+AO463)</f>
        <v>0.16666666666666666</v>
      </c>
      <c r="BK463" s="33">
        <f>(AN463+AO463)/(AM463+AO463)</f>
        <v>1</v>
      </c>
      <c r="BL463" s="4"/>
      <c r="BM463" s="127">
        <f>CF463/102</f>
        <v>0.1107843137254902</v>
      </c>
      <c r="BN463" s="127">
        <f>C463/2</f>
        <v>4</v>
      </c>
      <c r="BO463" s="4"/>
      <c r="BP463" s="127">
        <f>(AK463)/($AW$6)</f>
        <v>0</v>
      </c>
      <c r="BQ463" s="127">
        <f ca="1">(CH463-$AW$4)/((YEAR($C$13))-$AW$4)</f>
        <v>1</v>
      </c>
      <c r="BR463" s="127">
        <f>(AL463)/($AW$6)</f>
        <v>0.33333333333333331</v>
      </c>
      <c r="BS463" s="4"/>
      <c r="BT463" s="127"/>
      <c r="BU463" s="127">
        <f ca="1">(CG463-$AW$4)/((YEAR($C$13))-$AW$4)</f>
        <v>1</v>
      </c>
      <c r="BV463" s="127">
        <f>AE463/5</f>
        <v>1</v>
      </c>
      <c r="BW463" s="127">
        <f>AF463/5</f>
        <v>1</v>
      </c>
      <c r="BX463" s="4"/>
      <c r="BY463" s="148" t="str">
        <f>IF(E463="A",".98",IF(E463="B",".99",IF(E463="C","1.00",IF(E463="D","1.00" ))))</f>
        <v>1.00</v>
      </c>
      <c r="BZ463" s="127">
        <f>(CE463+7)/10</f>
        <v>1</v>
      </c>
      <c r="CA463" s="76" t="str">
        <f>IF(D463="Fern",".97",IF(D463="Grass",".99",IF(D463="Herb",".97",IF(D463="Shrub",".99",IF(D463="Tree","1.00",IF(D463="Vine",".98"))))))</f>
        <v>.97</v>
      </c>
      <c r="CB463" s="149" t="str">
        <f>IF(R463="Bogs Ponds Streams",".96", IF(R463="Coastal Areas",".97",IF(R463="Meadows Dry Open",".96",IF(R463="Forest &amp; Understory",".97",IF(R463="Moist Open",".98",IF(R463="Moist Shady",".96",IF(R463="Sub-Alpine","1.0")))))))</f>
        <v>.98</v>
      </c>
      <c r="CC463" s="76" t="str">
        <f>IF(S463="Local Endemic",".50",IF(S463="Regional Endemic",".70",IF(S463="Cascadia",".90",IF(S463="Rocky Mountain",".95",IF(S463="North America",".99")))))</f>
        <v>.95</v>
      </c>
      <c r="CD463" s="4"/>
      <c r="CE463" s="21">
        <f>IF(W463&gt;3,3,W463)</f>
        <v>3</v>
      </c>
      <c r="CF463" s="21">
        <f>IF(AC463&gt;102,102,AC463)</f>
        <v>11.3</v>
      </c>
      <c r="CG463" s="34">
        <f ca="1">IF(AI463&lt;$AW$4,$AW$4,AI463)</f>
        <v>2019</v>
      </c>
      <c r="CH463" s="34">
        <f ca="1">IF(AJ463&lt;$AW$4,$AW$4,AJ463)</f>
        <v>2019</v>
      </c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12"/>
    </row>
    <row r="464" spans="1:115" s="13" customFormat="1" ht="15" customHeight="1" x14ac:dyDescent="0.3">
      <c r="A464" s="235"/>
      <c r="B464" s="218"/>
      <c r="C464" s="225">
        <v>8</v>
      </c>
      <c r="D464" s="94" t="s">
        <v>1155</v>
      </c>
      <c r="E464" s="59" t="s">
        <v>2501</v>
      </c>
      <c r="F464" s="397" t="str">
        <f ca="1">IF(BC464&lt;2025, "Extinct&lt; 6Yrs?",BA464)</f>
        <v>Widespread</v>
      </c>
      <c r="G464" s="363" t="s">
        <v>525</v>
      </c>
      <c r="H464" s="363" t="s">
        <v>678</v>
      </c>
      <c r="I464" s="367" t="s">
        <v>758</v>
      </c>
      <c r="J464" s="365" t="s">
        <v>3388</v>
      </c>
      <c r="K464" s="365" t="s">
        <v>705</v>
      </c>
      <c r="L464" s="10" t="s">
        <v>1527</v>
      </c>
      <c r="M464" s="8" t="s">
        <v>4539</v>
      </c>
      <c r="N464" s="8" t="s">
        <v>5436</v>
      </c>
      <c r="O464" s="8" t="s">
        <v>6334</v>
      </c>
      <c r="P464" s="9" t="s">
        <v>468</v>
      </c>
      <c r="Q464" s="59" t="s">
        <v>2552</v>
      </c>
      <c r="R464" s="9" t="s">
        <v>2453</v>
      </c>
      <c r="S464" s="9" t="s">
        <v>2495</v>
      </c>
      <c r="T464" s="123" t="str">
        <f>IF(R464="Bogs Ponds Streams","20",IF(R464="Coastal Areas","26",IF(R464="Meadows Dry Open","10",IF(R464="Forest &amp; Understory","14",IF(R464="Moist Open","12",IF(R464="Moist Shady","10",IF(R464="Sub-Alpine Slopes","0")))))))</f>
        <v>26</v>
      </c>
      <c r="U464" s="123" t="str">
        <f>IF(R464="Bogs Ponds Streams","52",IF(R464="Coastal Areas","51",IF(R464="Meadows Dry Open","53",IF(R464="Forest &amp; Understory","52",IF(R464="Moist Open","50",IF(R464="Moist Shady","46",IF(R464="Sub-Alpine Slopes","40")))))))</f>
        <v>51</v>
      </c>
      <c r="V464" s="123" t="str">
        <f>IF(R464="Bogs Ponds Streams","84",IF(R464="Coastal Areas","76",IF(R464="Meadows Dry Open","96", IF(R464="Forest &amp; Understory","90", IF(R464="Moist Open","88", IF(R464="Moist Shady","82", IF(R464="Sub-Alpine Slopes","80")))))))</f>
        <v>76</v>
      </c>
      <c r="W464" s="59">
        <v>20</v>
      </c>
      <c r="X464" s="59">
        <v>0</v>
      </c>
      <c r="Y464" s="59">
        <v>3500</v>
      </c>
      <c r="Z464" s="59" t="s">
        <v>2519</v>
      </c>
      <c r="AA464" s="59" t="s">
        <v>2518</v>
      </c>
      <c r="AB464" s="59">
        <v>6.8</v>
      </c>
      <c r="AC464" s="45">
        <f>C464+AK464+(0.1)*AL464</f>
        <v>30</v>
      </c>
      <c r="AD464" s="77">
        <v>113</v>
      </c>
      <c r="AE464" s="59">
        <v>5</v>
      </c>
      <c r="AF464" s="59">
        <v>5</v>
      </c>
      <c r="AG464" s="59">
        <v>1900</v>
      </c>
      <c r="AH464" s="77">
        <v>0</v>
      </c>
      <c r="AI464" s="59">
        <f ca="1">AJ464</f>
        <v>2019</v>
      </c>
      <c r="AJ464" s="18">
        <f ca="1">YEAR(TODAY())</f>
        <v>2019</v>
      </c>
      <c r="AK464" s="18">
        <v>22</v>
      </c>
      <c r="AL464" s="18">
        <v>0</v>
      </c>
      <c r="AM464" s="18">
        <v>1</v>
      </c>
      <c r="AN464" s="18">
        <v>1</v>
      </c>
      <c r="AO464" s="18">
        <v>5</v>
      </c>
      <c r="AP464" s="18">
        <v>1</v>
      </c>
      <c r="AQ464" s="18">
        <v>0</v>
      </c>
      <c r="AR464" s="18">
        <v>0</v>
      </c>
      <c r="AS464" s="18">
        <v>0</v>
      </c>
      <c r="AT464" s="18">
        <v>0</v>
      </c>
      <c r="AU464" s="18">
        <v>0</v>
      </c>
      <c r="AV464" s="18">
        <v>0</v>
      </c>
      <c r="AW464" s="18">
        <v>0</v>
      </c>
      <c r="AX464" s="18">
        <v>0</v>
      </c>
      <c r="AY464" s="233"/>
      <c r="AZ464" s="4"/>
      <c r="BA464" s="35" t="str">
        <f>IF(OR(S464="North America",S464="Rocky Mountain"), "Widespread",BC464)</f>
        <v>Widespread</v>
      </c>
      <c r="BB464" s="4"/>
      <c r="BC464" s="35" t="str">
        <f ca="1">IF(BE464&gt;2046, "Abundant",BE464)</f>
        <v>Abundant</v>
      </c>
      <c r="BD464" s="4"/>
      <c r="BE464" s="81">
        <f ca="1">YEAR($C$13)+(BG464*80)</f>
        <v>2107.1800784313727</v>
      </c>
      <c r="BF464" s="4"/>
      <c r="BG464" s="137">
        <f ca="1">BH464*$BH$14</f>
        <v>1.102250980392157</v>
      </c>
      <c r="BH464" s="137">
        <f ca="1">(((BJ464+BK464+BM464+BN464)/4)*$BM$11)+(((BP464+BQ464)/2)*$BQ$11)+(((BU464+BV464+BW464)/3)*$BU$11)+(((BY464+BZ464+CA464+CB464+CC464)/5)*$CA$11)</f>
        <v>1.102250980392157</v>
      </c>
      <c r="BI464" s="4"/>
      <c r="BJ464" s="33">
        <f>AP464/(AM464+AO464)</f>
        <v>0.16666666666666666</v>
      </c>
      <c r="BK464" s="33">
        <f>(AN464+AO464)/(AM464+AO464)</f>
        <v>1</v>
      </c>
      <c r="BL464" s="4"/>
      <c r="BM464" s="127">
        <f>CF464/102</f>
        <v>0.29411764705882354</v>
      </c>
      <c r="BN464" s="127">
        <f>C464/2</f>
        <v>4</v>
      </c>
      <c r="BO464" s="4"/>
      <c r="BP464" s="127">
        <f>(AK464)/($AW$6)</f>
        <v>0.22222222222222221</v>
      </c>
      <c r="BQ464" s="127">
        <f ca="1">(CH464-$AW$4)/((YEAR($C$13))-$AW$4)</f>
        <v>1</v>
      </c>
      <c r="BR464" s="127">
        <f>(AL464)/($AW$6)</f>
        <v>0</v>
      </c>
      <c r="BS464" s="4"/>
      <c r="BT464" s="127"/>
      <c r="BU464" s="127">
        <f ca="1">(CG464-$AW$4)/((YEAR($C$13))-$AW$4)</f>
        <v>1</v>
      </c>
      <c r="BV464" s="127">
        <f>AE464/5</f>
        <v>1</v>
      </c>
      <c r="BW464" s="127">
        <f>AF464/5</f>
        <v>1</v>
      </c>
      <c r="BX464" s="4"/>
      <c r="BY464" s="148" t="str">
        <f>IF(E464="A",".98",IF(E464="B",".99",IF(E464="C","1.00",IF(E464="D","1.00" ))))</f>
        <v>1.00</v>
      </c>
      <c r="BZ464" s="127">
        <f>(CE464+7)/10</f>
        <v>1</v>
      </c>
      <c r="CA464" s="76" t="str">
        <f>IF(D464="Fern",".97",IF(D464="Grass",".99",IF(D464="Herb",".97",IF(D464="Shrub",".99",IF(D464="Tree","1.00",IF(D464="Vine",".98"))))))</f>
        <v>.99</v>
      </c>
      <c r="CB464" s="149" t="str">
        <f>IF(R464="Bogs Ponds Streams",".96", IF(R464="Coastal Areas",".97",IF(R464="Meadows Dry Open",".96",IF(R464="Forest &amp; Understory",".97",IF(R464="Moist Open",".98",IF(R464="Moist Shady",".96",IF(R464="Sub-Alpine","1.0")))))))</f>
        <v>.97</v>
      </c>
      <c r="CC464" s="76" t="str">
        <f>IF(S464="Local Endemic",".50",IF(S464="Regional Endemic",".70",IF(S464="Cascadia",".90",IF(S464="Rocky Mountain",".95",IF(S464="North America",".99")))))</f>
        <v>.99</v>
      </c>
      <c r="CD464" s="4"/>
      <c r="CE464" s="21">
        <f>IF(W464&gt;3,3,W464)</f>
        <v>3</v>
      </c>
      <c r="CF464" s="21">
        <f>IF(AC464&gt;102,102,AC464)</f>
        <v>30</v>
      </c>
      <c r="CG464" s="34">
        <f ca="1">IF(AI464&lt;$AW$4,$AW$4,AI464)</f>
        <v>2019</v>
      </c>
      <c r="CH464" s="34">
        <f ca="1">IF(AJ464&lt;$AW$4,$AW$4,AJ464)</f>
        <v>2019</v>
      </c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</row>
    <row r="465" spans="1:116" s="13" customFormat="1" ht="15" customHeight="1" x14ac:dyDescent="0.3">
      <c r="A465" s="235"/>
      <c r="B465" s="218"/>
      <c r="C465" s="226">
        <v>2</v>
      </c>
      <c r="D465" s="104" t="s">
        <v>2505</v>
      </c>
      <c r="E465" s="104" t="s">
        <v>2502</v>
      </c>
      <c r="F465" s="400" t="str">
        <f ca="1">IF(BC465&lt;2025, "Extinct&lt; 6Yrs?",BA465)</f>
        <v>Abundant</v>
      </c>
      <c r="G465" s="369" t="s">
        <v>525</v>
      </c>
      <c r="H465" s="369" t="s">
        <v>4028</v>
      </c>
      <c r="I465" s="370" t="s">
        <v>37</v>
      </c>
      <c r="J465" s="371" t="s">
        <v>3752</v>
      </c>
      <c r="K465" s="371" t="s">
        <v>1017</v>
      </c>
      <c r="L465" s="106" t="s">
        <v>1528</v>
      </c>
      <c r="M465" s="111" t="s">
        <v>4540</v>
      </c>
      <c r="N465" s="111" t="s">
        <v>5437</v>
      </c>
      <c r="O465" s="111" t="s">
        <v>6335</v>
      </c>
      <c r="P465" s="105" t="s">
        <v>558</v>
      </c>
      <c r="Q465" s="104" t="s">
        <v>2552</v>
      </c>
      <c r="R465" s="105" t="s">
        <v>2530</v>
      </c>
      <c r="S465" s="105" t="s">
        <v>2459</v>
      </c>
      <c r="T465" s="133" t="str">
        <f>IF(R465="Bogs Ponds Streams","20",IF(R465="Coastal Areas","26",IF(R465="Meadows Dry Open","10",IF(R465="Forest &amp; Understory","14",IF(R465="Moist Open","12",IF(R465="Moist Shady","10",IF(R465="Sub-Alpine Slopes","0")))))))</f>
        <v>14</v>
      </c>
      <c r="U465" s="133" t="str">
        <f>IF(R465="Bogs Ponds Streams","52",IF(R465="Coastal Areas","51",IF(R465="Meadows Dry Open","53",IF(R465="Forest &amp; Understory","52",IF(R465="Moist Open","50",IF(R465="Moist Shady","46",IF(R465="Sub-Alpine Slopes","40")))))))</f>
        <v>52</v>
      </c>
      <c r="V465" s="133" t="str">
        <f>IF(R465="Bogs Ponds Streams","84",IF(R465="Coastal Areas","76",IF(R465="Meadows Dry Open","96", IF(R465="Forest &amp; Understory","90", IF(R465="Moist Open","88", IF(R465="Moist Shady","82", IF(R465="Sub-Alpine Slopes","80")))))))</f>
        <v>90</v>
      </c>
      <c r="W465" s="104">
        <v>1</v>
      </c>
      <c r="X465" s="104">
        <v>0</v>
      </c>
      <c r="Y465" s="104">
        <v>3500</v>
      </c>
      <c r="Z465" s="104" t="s">
        <v>2519</v>
      </c>
      <c r="AA465" s="104" t="s">
        <v>2518</v>
      </c>
      <c r="AB465" s="104">
        <v>6.8</v>
      </c>
      <c r="AC465" s="107">
        <f>C465+AK465+(0.1)*AL465</f>
        <v>8</v>
      </c>
      <c r="AD465" s="113">
        <v>33</v>
      </c>
      <c r="AE465" s="104">
        <v>5</v>
      </c>
      <c r="AF465" s="104">
        <v>5</v>
      </c>
      <c r="AG465" s="104">
        <v>1900</v>
      </c>
      <c r="AH465" s="113">
        <v>0</v>
      </c>
      <c r="AI465" s="104">
        <f ca="1">AJ465</f>
        <v>2019</v>
      </c>
      <c r="AJ465" s="108">
        <f ca="1">YEAR(TODAY())</f>
        <v>2019</v>
      </c>
      <c r="AK465" s="108">
        <v>6</v>
      </c>
      <c r="AL465" s="108">
        <v>0</v>
      </c>
      <c r="AM465" s="108">
        <v>1</v>
      </c>
      <c r="AN465" s="108">
        <v>1</v>
      </c>
      <c r="AO465" s="108">
        <v>5</v>
      </c>
      <c r="AP465" s="108">
        <v>1</v>
      </c>
      <c r="AQ465" s="108">
        <v>0</v>
      </c>
      <c r="AR465" s="108">
        <v>0</v>
      </c>
      <c r="AS465" s="108">
        <v>0</v>
      </c>
      <c r="AT465" s="108">
        <v>0</v>
      </c>
      <c r="AU465" s="108">
        <v>0</v>
      </c>
      <c r="AV465" s="108">
        <v>0</v>
      </c>
      <c r="AW465" s="108">
        <v>0</v>
      </c>
      <c r="AX465" s="108">
        <v>0</v>
      </c>
      <c r="AY465" s="233"/>
      <c r="AZ465" s="4"/>
      <c r="BA465" s="35" t="str">
        <f ca="1">IF(OR(S465="North America",S465="Rocky Mountain"), "Widespread",BC465)</f>
        <v>Abundant</v>
      </c>
      <c r="BB465" s="4"/>
      <c r="BC465" s="35" t="str">
        <f ca="1">IF(BE465&gt;2046, "Abundant",BE465)</f>
        <v>Abundant</v>
      </c>
      <c r="BD465" s="4"/>
      <c r="BE465" s="81">
        <f ca="1">YEAR($C$13)+(BG465*80)</f>
        <v>2066.5468491978609</v>
      </c>
      <c r="BF465" s="4"/>
      <c r="BG465" s="137">
        <f ca="1">BH465*$BH$14</f>
        <v>0.59433561497326204</v>
      </c>
      <c r="BH465" s="137">
        <f ca="1">(((BJ465+BK465+BM465+BN465)/4)*$BM$11)+(((BP465+BQ465)/2)*$BQ$11)+(((BU465+BV465+BW465)/3)*$BU$11)+(((BY465+BZ465+CA465+CB465+CC465)/5)*$CA$11)</f>
        <v>0.59433561497326204</v>
      </c>
      <c r="BI465" s="4"/>
      <c r="BJ465" s="33">
        <f>AP465/(AM465+AO465)</f>
        <v>0.16666666666666666</v>
      </c>
      <c r="BK465" s="33">
        <f>(AN465+AO465)/(AM465+AO465)</f>
        <v>1</v>
      </c>
      <c r="BL465" s="4"/>
      <c r="BM465" s="127">
        <f>CF465/102</f>
        <v>7.8431372549019607E-2</v>
      </c>
      <c r="BN465" s="127">
        <f>C465/2</f>
        <v>1</v>
      </c>
      <c r="BO465" s="4"/>
      <c r="BP465" s="127">
        <f>(AK465)/($AW$6)</f>
        <v>6.0606060606060608E-2</v>
      </c>
      <c r="BQ465" s="127">
        <f ca="1">(CH465-$AW$4)/((YEAR($C$13))-$AW$4)</f>
        <v>1</v>
      </c>
      <c r="BR465" s="127">
        <f>(AL465)/($AW$6)</f>
        <v>0</v>
      </c>
      <c r="BS465" s="4"/>
      <c r="BT465" s="127"/>
      <c r="BU465" s="127">
        <f ca="1">(CG465-$AW$4)/((YEAR($C$13))-$AW$4)</f>
        <v>1</v>
      </c>
      <c r="BV465" s="127">
        <f>AE465/5</f>
        <v>1</v>
      </c>
      <c r="BW465" s="127">
        <f>AF465/5</f>
        <v>1</v>
      </c>
      <c r="BX465" s="4"/>
      <c r="BY465" s="148" t="str">
        <f>IF(E465="A",".98",IF(E465="B",".99",IF(E465="C","1.00",IF(E465="D","1.00" ))))</f>
        <v>.98</v>
      </c>
      <c r="BZ465" s="127">
        <f>(CE465+7)/10</f>
        <v>0.8</v>
      </c>
      <c r="CA465" s="76" t="str">
        <f>IF(D465="Fern",".97",IF(D465="Grass",".99",IF(D465="Herb",".97",IF(D465="Shrub",".99",IF(D465="Tree","1.00",IF(D465="Vine",".98"))))))</f>
        <v>.97</v>
      </c>
      <c r="CB465" s="149" t="str">
        <f>IF(R465="Bogs Ponds Streams",".96", IF(R465="Coastal Areas",".97",IF(R465="Meadows Dry Open",".96",IF(R465="Forest &amp; Understory",".97",IF(R465="Moist Open",".98",IF(R465="Moist Shady",".96",IF(R465="Sub-Alpine","1.0")))))))</f>
        <v>.97</v>
      </c>
      <c r="CC465" s="76" t="str">
        <f>IF(S465="Local Endemic",".50",IF(S465="Regional Endemic",".70",IF(S465="Cascadia",".90",IF(S465="Rocky Mountain",".95",IF(S465="North America",".99")))))</f>
        <v>.90</v>
      </c>
      <c r="CD465" s="4"/>
      <c r="CE465" s="21">
        <f>IF(W465&gt;3,3,W465)</f>
        <v>1</v>
      </c>
      <c r="CF465" s="21">
        <f>IF(AC465&gt;102,102,AC465)</f>
        <v>8</v>
      </c>
      <c r="CG465" s="34">
        <f ca="1">IF(AI465&lt;$AW$4,$AW$4,AI465)</f>
        <v>2019</v>
      </c>
      <c r="CH465" s="34">
        <f ca="1">IF(AJ465&lt;$AW$4,$AW$4,AJ465)</f>
        <v>2019</v>
      </c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</row>
    <row r="466" spans="1:116" ht="15" customHeight="1" x14ac:dyDescent="0.3">
      <c r="A466" s="235"/>
      <c r="B466" s="218"/>
      <c r="C466" s="226">
        <v>2</v>
      </c>
      <c r="D466" s="104" t="s">
        <v>2505</v>
      </c>
      <c r="E466" s="104" t="s">
        <v>2502</v>
      </c>
      <c r="F466" s="400">
        <f ca="1">IF(BC466&lt;2025, "Extinct&lt; 6Yrs?",BA466)</f>
        <v>2044.667356862745</v>
      </c>
      <c r="G466" s="369" t="s">
        <v>525</v>
      </c>
      <c r="H466" s="369" t="s">
        <v>4028</v>
      </c>
      <c r="I466" s="372" t="s">
        <v>2669</v>
      </c>
      <c r="J466" s="371" t="s">
        <v>3751</v>
      </c>
      <c r="K466" s="371" t="s">
        <v>1020</v>
      </c>
      <c r="L466" s="114" t="s">
        <v>1529</v>
      </c>
      <c r="M466" s="111" t="s">
        <v>4541</v>
      </c>
      <c r="N466" s="111" t="s">
        <v>5438</v>
      </c>
      <c r="O466" s="111" t="s">
        <v>6336</v>
      </c>
      <c r="P466" s="401" t="s">
        <v>558</v>
      </c>
      <c r="Q466" s="104" t="s">
        <v>2552</v>
      </c>
      <c r="R466" s="105" t="s">
        <v>2499</v>
      </c>
      <c r="S466" s="105" t="s">
        <v>2459</v>
      </c>
      <c r="T466" s="133" t="str">
        <f>IF(R466="Bogs Ponds Streams","20",IF(R466="Coastal Areas","26",IF(R466="Meadows Dry Open","10",IF(R466="Forest &amp; Understory","14",IF(R466="Moist Open","12",IF(R466="Moist Shady","10",IF(R466="Sub-Alpine Slopes","0")))))))</f>
        <v>20</v>
      </c>
      <c r="U466" s="133" t="str">
        <f>IF(R466="Bogs Ponds Streams","52",IF(R466="Coastal Areas","51",IF(R466="Meadows Dry Open","53",IF(R466="Forest &amp; Understory","52",IF(R466="Moist Open","50",IF(R466="Moist Shady","46",IF(R466="Sub-Alpine Slopes","40")))))))</f>
        <v>52</v>
      </c>
      <c r="V466" s="133" t="str">
        <f>IF(R466="Bogs Ponds Streams","84",IF(R466="Coastal Areas","76",IF(R466="Meadows Dry Open","96", IF(R466="Forest &amp; Understory","90", IF(R466="Moist Open","88", IF(R466="Moist Shady","82", IF(R466="Sub-Alpine Slopes","80")))))))</f>
        <v>84</v>
      </c>
      <c r="W466" s="104">
        <v>1</v>
      </c>
      <c r="X466" s="104">
        <v>0</v>
      </c>
      <c r="Y466" s="104">
        <v>3500</v>
      </c>
      <c r="Z466" s="104" t="s">
        <v>2519</v>
      </c>
      <c r="AA466" s="104" t="s">
        <v>2518</v>
      </c>
      <c r="AB466" s="104">
        <v>6.8</v>
      </c>
      <c r="AC466" s="107">
        <f>C466+AK466+(0.1)*AL466</f>
        <v>24.3</v>
      </c>
      <c r="AD466" s="113">
        <v>52</v>
      </c>
      <c r="AE466" s="104">
        <v>5</v>
      </c>
      <c r="AF466" s="104">
        <v>5</v>
      </c>
      <c r="AG466" s="104">
        <v>1900</v>
      </c>
      <c r="AH466" s="113">
        <v>0</v>
      </c>
      <c r="AI466" s="104">
        <f>AJ466</f>
        <v>2004</v>
      </c>
      <c r="AJ466" s="108">
        <v>2004</v>
      </c>
      <c r="AK466" s="108">
        <v>22</v>
      </c>
      <c r="AL466" s="108">
        <v>3</v>
      </c>
      <c r="AM466" s="109">
        <v>5</v>
      </c>
      <c r="AN466" s="109">
        <v>1</v>
      </c>
      <c r="AO466" s="110">
        <v>0</v>
      </c>
      <c r="AP466" s="109">
        <v>0</v>
      </c>
      <c r="AQ466" s="109">
        <v>0</v>
      </c>
      <c r="AR466" s="109">
        <v>0</v>
      </c>
      <c r="AS466" s="110">
        <v>0</v>
      </c>
      <c r="AT466" s="109">
        <v>0</v>
      </c>
      <c r="AU466" s="109">
        <v>0</v>
      </c>
      <c r="AV466" s="109">
        <v>0</v>
      </c>
      <c r="AW466" s="110">
        <v>0</v>
      </c>
      <c r="AX466" s="109">
        <v>0</v>
      </c>
      <c r="AY466" s="233"/>
      <c r="AZ466" s="4"/>
      <c r="BA466" s="35">
        <f ca="1">IF(OR(S466="North America",S466="Rocky Mountain"), "Widespread",BC466)</f>
        <v>2044.667356862745</v>
      </c>
      <c r="BB466" s="4"/>
      <c r="BC466" s="35">
        <f ca="1">IF(BE466&gt;2046, "Abundant",BE466)</f>
        <v>2044.667356862745</v>
      </c>
      <c r="BD466" s="4"/>
      <c r="BE466" s="81">
        <f ca="1">YEAR($C$13)+(BG466*80)</f>
        <v>2044.667356862745</v>
      </c>
      <c r="BF466" s="4"/>
      <c r="BG466" s="137">
        <f ca="1">BH466*$BH$14</f>
        <v>0.32084196078431371</v>
      </c>
      <c r="BH466" s="137">
        <f ca="1">(((BJ466+BK466+BM466+BN466)/4)*$BM$11)+(((BP466+BQ466)/2)*$BQ$11)+(((BU466+BV466+BW466)/3)*$BU$11)+(((BY466+BZ466+CA466+CB466+CC466)/5)*$CA$11)</f>
        <v>0.32084196078431371</v>
      </c>
      <c r="BI466" s="4"/>
      <c r="BJ466" s="33">
        <f>AP466/(AM466+AO466)</f>
        <v>0</v>
      </c>
      <c r="BK466" s="33">
        <f>(AN466+AO466)/(AM466+AO466)</f>
        <v>0.2</v>
      </c>
      <c r="BL466" s="4"/>
      <c r="BM466" s="127">
        <f>CF466/102</f>
        <v>0.23823529411764707</v>
      </c>
      <c r="BN466" s="127">
        <f>C466/2</f>
        <v>1</v>
      </c>
      <c r="BO466" s="4"/>
      <c r="BP466" s="127">
        <f>(AK466)/($AW$6)</f>
        <v>0.22222222222222221</v>
      </c>
      <c r="BQ466" s="127">
        <f ca="1">(CH466-$AW$4)/((YEAR($C$13))-$AW$4)</f>
        <v>0</v>
      </c>
      <c r="BR466" s="127">
        <f>(AL466)/($AW$6)</f>
        <v>3.0303030303030304E-2</v>
      </c>
      <c r="BS466" s="4"/>
      <c r="BT466" s="127"/>
      <c r="BU466" s="127">
        <f ca="1">(CG466-$AW$4)/((YEAR($C$13))-$AW$4)</f>
        <v>0</v>
      </c>
      <c r="BV466" s="127">
        <f>AE466/5</f>
        <v>1</v>
      </c>
      <c r="BW466" s="127">
        <f>AF466/5</f>
        <v>1</v>
      </c>
      <c r="BX466" s="4"/>
      <c r="BY466" s="148" t="str">
        <f>IF(E466="A",".98",IF(E466="B",".99",IF(E466="C","1.00",IF(E466="D","1.00" ))))</f>
        <v>.98</v>
      </c>
      <c r="BZ466" s="127">
        <f>(CE466+7)/10</f>
        <v>0.8</v>
      </c>
      <c r="CA466" s="76" t="str">
        <f>IF(D466="Fern",".97",IF(D466="Grass",".99",IF(D466="Herb",".97",IF(D466="Shrub",".99",IF(D466="Tree","1.00",IF(D466="Vine",".98"))))))</f>
        <v>.97</v>
      </c>
      <c r="CB466" s="149" t="str">
        <f>IF(R466="Bogs Ponds Streams",".96", IF(R466="Coastal Areas",".97",IF(R466="Meadows Dry Open",".96",IF(R466="Forest &amp; Understory",".97",IF(R466="Moist Open",".98",IF(R466="Moist Shady",".96",IF(R466="Sub-Alpine","1.0")))))))</f>
        <v>.96</v>
      </c>
      <c r="CC466" s="76" t="str">
        <f>IF(S466="Local Endemic",".50",IF(S466="Regional Endemic",".70",IF(S466="Cascadia",".90",IF(S466="Rocky Mountain",".95",IF(S466="North America",".99")))))</f>
        <v>.90</v>
      </c>
      <c r="CD466" s="4"/>
      <c r="CE466" s="21">
        <f>IF(W466&gt;3,3,W466)</f>
        <v>1</v>
      </c>
      <c r="CF466" s="21">
        <f>IF(AC466&gt;102,102,AC466)</f>
        <v>24.3</v>
      </c>
      <c r="CG466" s="34">
        <f>IF(AI466&lt;$AW$4,$AW$4,AI466)</f>
        <v>2004</v>
      </c>
      <c r="CH466" s="34">
        <f>IF(AJ466&lt;$AW$4,$AW$4,AJ466)</f>
        <v>2004</v>
      </c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L466" s="13"/>
    </row>
    <row r="467" spans="1:116" ht="15" customHeight="1" x14ac:dyDescent="0.3">
      <c r="A467" s="235"/>
      <c r="B467" s="218"/>
      <c r="C467" s="225">
        <v>8</v>
      </c>
      <c r="D467" s="59" t="s">
        <v>2505</v>
      </c>
      <c r="E467" s="59" t="s">
        <v>2501</v>
      </c>
      <c r="F467" s="397" t="str">
        <f ca="1">IF(BC467&lt;2025, "Extinct&lt; 6Yrs?",BA467)</f>
        <v>Abundant</v>
      </c>
      <c r="G467" s="363" t="s">
        <v>525</v>
      </c>
      <c r="H467" s="363" t="s">
        <v>690</v>
      </c>
      <c r="I467" s="366" t="s">
        <v>3081</v>
      </c>
      <c r="J467" s="365" t="s">
        <v>3389</v>
      </c>
      <c r="K467" s="365" t="s">
        <v>1018</v>
      </c>
      <c r="L467" s="10" t="s">
        <v>1530</v>
      </c>
      <c r="M467" s="8" t="s">
        <v>4542</v>
      </c>
      <c r="N467" s="8" t="s">
        <v>5439</v>
      </c>
      <c r="O467" s="8" t="s">
        <v>6337</v>
      </c>
      <c r="P467" s="9" t="s">
        <v>437</v>
      </c>
      <c r="Q467" s="59" t="s">
        <v>2552</v>
      </c>
      <c r="R467" s="9" t="s">
        <v>2500</v>
      </c>
      <c r="S467" s="9" t="s">
        <v>2459</v>
      </c>
      <c r="T467" s="123" t="str">
        <f>IF(R467="Bogs Ponds Streams","20",IF(R467="Coastal Areas","26",IF(R467="Meadows Dry Open","10",IF(R467="Forest &amp; Understory","14",IF(R467="Moist Open","12",IF(R467="Moist Shady","10",IF(R467="Sub-Alpine Slopes","0")))))))</f>
        <v>10</v>
      </c>
      <c r="U467" s="123" t="str">
        <f>IF(R467="Bogs Ponds Streams","52",IF(R467="Coastal Areas","51",IF(R467="Meadows Dry Open","53",IF(R467="Forest &amp; Understory","52",IF(R467="Moist Open","50",IF(R467="Moist Shady","46",IF(R467="Sub-Alpine Slopes","40")))))))</f>
        <v>53</v>
      </c>
      <c r="V467" s="123" t="str">
        <f>IF(R467="Bogs Ponds Streams","84",IF(R467="Coastal Areas","76",IF(R467="Meadows Dry Open","96", IF(R467="Forest &amp; Understory","90", IF(R467="Moist Open","88", IF(R467="Moist Shady","82", IF(R467="Sub-Alpine Slopes","80")))))))</f>
        <v>96</v>
      </c>
      <c r="W467" s="59">
        <v>20</v>
      </c>
      <c r="X467" s="59">
        <v>0</v>
      </c>
      <c r="Y467" s="59">
        <v>3500</v>
      </c>
      <c r="Z467" s="59" t="s">
        <v>2519</v>
      </c>
      <c r="AA467" s="59" t="s">
        <v>2518</v>
      </c>
      <c r="AB467" s="59">
        <v>6.8</v>
      </c>
      <c r="AC467" s="45">
        <f>C467+AK467+(0.1)*AL467</f>
        <v>33.299999999999997</v>
      </c>
      <c r="AD467" s="77">
        <v>140</v>
      </c>
      <c r="AE467" s="59">
        <v>5</v>
      </c>
      <c r="AF467" s="59">
        <v>5</v>
      </c>
      <c r="AG467" s="59">
        <v>1900</v>
      </c>
      <c r="AH467" s="77">
        <v>0</v>
      </c>
      <c r="AI467" s="59">
        <f ca="1">AJ467</f>
        <v>2019</v>
      </c>
      <c r="AJ467" s="18">
        <f ca="1">YEAR(TODAY())</f>
        <v>2019</v>
      </c>
      <c r="AK467" s="18">
        <v>22</v>
      </c>
      <c r="AL467" s="18">
        <v>33</v>
      </c>
      <c r="AM467" s="18">
        <v>1</v>
      </c>
      <c r="AN467" s="18">
        <v>1</v>
      </c>
      <c r="AO467" s="24">
        <v>2</v>
      </c>
      <c r="AP467" s="24">
        <v>2</v>
      </c>
      <c r="AQ467" s="18">
        <v>0</v>
      </c>
      <c r="AR467" s="18">
        <v>0</v>
      </c>
      <c r="AS467" s="18">
        <v>0</v>
      </c>
      <c r="AT467" s="18">
        <v>0</v>
      </c>
      <c r="AU467" s="18">
        <v>0</v>
      </c>
      <c r="AV467" s="18">
        <v>0</v>
      </c>
      <c r="AW467" s="18">
        <v>0</v>
      </c>
      <c r="AX467" s="18">
        <v>0</v>
      </c>
      <c r="AY467" s="233"/>
      <c r="AZ467" s="4"/>
      <c r="BA467" s="35" t="str">
        <f ca="1">IF(OR(S467="North America",S467="Rocky Mountain"), "Widespread",BC467)</f>
        <v>Abundant</v>
      </c>
      <c r="BB467" s="4"/>
      <c r="BC467" s="35" t="str">
        <f ca="1">IF(BE467&gt;2046, "Abundant",BE467)</f>
        <v>Abundant</v>
      </c>
      <c r="BD467" s="4"/>
      <c r="BE467" s="81">
        <f ca="1">YEAR($C$13)+(BG467*80)</f>
        <v>2113.5299137254901</v>
      </c>
      <c r="BF467" s="4"/>
      <c r="BG467" s="137">
        <f ca="1">BH467*$BH$14</f>
        <v>1.1816239215686275</v>
      </c>
      <c r="BH467" s="137">
        <f ca="1">(((BJ467+BK467+BM467+BN467)/4)*$BM$11)+(((BP467+BQ467)/2)*$BQ$11)+(((BU467+BV467+BW467)/3)*$BU$11)+(((BY467+BZ467+CA467+CB467+CC467)/5)*$CA$11)</f>
        <v>1.1816239215686275</v>
      </c>
      <c r="BI467" s="4"/>
      <c r="BJ467" s="33">
        <f>AP467/(AM467+AO467)</f>
        <v>0.66666666666666663</v>
      </c>
      <c r="BK467" s="33">
        <f>(AN467+AO467)/(AM467+AO467)</f>
        <v>1</v>
      </c>
      <c r="BL467" s="4"/>
      <c r="BM467" s="127">
        <f>CF467/102</f>
        <v>0.32647058823529407</v>
      </c>
      <c r="BN467" s="127">
        <f>C467/2</f>
        <v>4</v>
      </c>
      <c r="BO467" s="4"/>
      <c r="BP467" s="127">
        <f>(AK467)/($AW$6)</f>
        <v>0.22222222222222221</v>
      </c>
      <c r="BQ467" s="127">
        <f ca="1">(CH467-$AW$4)/((YEAR($C$13))-$AW$4)</f>
        <v>1</v>
      </c>
      <c r="BR467" s="127">
        <f>(AL467)/($AW$6)</f>
        <v>0.33333333333333331</v>
      </c>
      <c r="BS467" s="4"/>
      <c r="BT467" s="127"/>
      <c r="BU467" s="127">
        <f ca="1">(CG467-$AW$4)/((YEAR($C$13))-$AW$4)</f>
        <v>1</v>
      </c>
      <c r="BV467" s="127">
        <f>AE467/5</f>
        <v>1</v>
      </c>
      <c r="BW467" s="127">
        <f>AF467/5</f>
        <v>1</v>
      </c>
      <c r="BX467" s="4"/>
      <c r="BY467" s="148" t="str">
        <f>IF(E467="A",".98",IF(E467="B",".99",IF(E467="C","1.00",IF(E467="D","1.00" ))))</f>
        <v>1.00</v>
      </c>
      <c r="BZ467" s="127">
        <f>(CE467+7)/10</f>
        <v>1</v>
      </c>
      <c r="CA467" s="76" t="str">
        <f>IF(D467="Fern",".97",IF(D467="Grass",".99",IF(D467="Herb",".97",IF(D467="Shrub",".99",IF(D467="Tree","1.00",IF(D467="Vine",".98"))))))</f>
        <v>.97</v>
      </c>
      <c r="CB467" s="149" t="str">
        <f>IF(R467="Bogs Ponds Streams",".96", IF(R467="Coastal Areas",".97",IF(R467="Meadows Dry Open",".96",IF(R467="Forest &amp; Understory",".97",IF(R467="Moist Open",".98",IF(R467="Moist Shady",".96",IF(R467="Sub-Alpine","1.0")))))))</f>
        <v>.96</v>
      </c>
      <c r="CC467" s="76" t="str">
        <f>IF(S467="Local Endemic",".50",IF(S467="Regional Endemic",".70",IF(S467="Cascadia",".90",IF(S467="Rocky Mountain",".95",IF(S467="North America",".99")))))</f>
        <v>.90</v>
      </c>
      <c r="CD467" s="4"/>
      <c r="CE467" s="21">
        <f>IF(W467&gt;3,3,W467)</f>
        <v>3</v>
      </c>
      <c r="CF467" s="21">
        <f>IF(AC467&gt;102,102,AC467)</f>
        <v>33.299999999999997</v>
      </c>
      <c r="CG467" s="34">
        <f ca="1">IF(AI467&lt;$AW$4,$AW$4,AI467)</f>
        <v>2019</v>
      </c>
      <c r="CH467" s="34">
        <f ca="1">IF(AJ467&lt;$AW$4,$AW$4,AJ467)</f>
        <v>2019</v>
      </c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L467" s="13"/>
    </row>
    <row r="468" spans="1:116" ht="15" customHeight="1" x14ac:dyDescent="0.3">
      <c r="A468" s="235"/>
      <c r="B468" s="218"/>
      <c r="C468" s="375">
        <v>1</v>
      </c>
      <c r="D468" s="67" t="s">
        <v>2505</v>
      </c>
      <c r="E468" s="67" t="s">
        <v>2501</v>
      </c>
      <c r="F468" s="403" t="str">
        <f ca="1">IF(BC468&lt;2025, "Extinct&lt; 6Yrs?",BA468)</f>
        <v>Widespread</v>
      </c>
      <c r="G468" s="376" t="s">
        <v>525</v>
      </c>
      <c r="H468" s="376" t="s">
        <v>4028</v>
      </c>
      <c r="I468" s="380" t="s">
        <v>369</v>
      </c>
      <c r="J468" s="378" t="s">
        <v>3583</v>
      </c>
      <c r="K468" s="378" t="s">
        <v>368</v>
      </c>
      <c r="L468" s="63" t="s">
        <v>1531</v>
      </c>
      <c r="M468" s="64" t="s">
        <v>4543</v>
      </c>
      <c r="N468" s="64" t="s">
        <v>5440</v>
      </c>
      <c r="O468" s="64" t="s">
        <v>6338</v>
      </c>
      <c r="P468" s="61" t="s">
        <v>366</v>
      </c>
      <c r="Q468" s="67" t="s">
        <v>2552</v>
      </c>
      <c r="R468" s="61" t="s">
        <v>2499</v>
      </c>
      <c r="S468" s="61" t="s">
        <v>2495</v>
      </c>
      <c r="T468" s="134" t="str">
        <f>IF(R468="Bogs Ponds Streams","20",IF(R468="Coastal Areas","26",IF(R468="Meadows Dry Open","10",IF(R468="Forest &amp; Understory","14",IF(R468="Moist Open","12",IF(R468="Moist Shady","10",IF(R468="Sub-Alpine Slopes","0")))))))</f>
        <v>20</v>
      </c>
      <c r="U468" s="134" t="str">
        <f>IF(R468="Bogs Ponds Streams","52",IF(R468="Coastal Areas","51",IF(R468="Meadows Dry Open","53",IF(R468="Forest &amp; Understory","52",IF(R468="Moist Open","50",IF(R468="Moist Shady","46",IF(R468="Sub-Alpine Slopes","40")))))))</f>
        <v>52</v>
      </c>
      <c r="V468" s="134" t="str">
        <f>IF(R468="Bogs Ponds Streams","84",IF(R468="Coastal Areas","76",IF(R468="Meadows Dry Open","96", IF(R468="Forest &amp; Understory","90", IF(R468="Moist Open","88", IF(R468="Moist Shady","82", IF(R468="Sub-Alpine Slopes","80")))))))</f>
        <v>84</v>
      </c>
      <c r="W468" s="67">
        <v>20</v>
      </c>
      <c r="X468" s="67">
        <v>0</v>
      </c>
      <c r="Y468" s="67">
        <v>3500</v>
      </c>
      <c r="Z468" s="67" t="s">
        <v>2519</v>
      </c>
      <c r="AA468" s="67" t="s">
        <v>2518</v>
      </c>
      <c r="AB468" s="67">
        <v>6.8</v>
      </c>
      <c r="AC468" s="85">
        <f>C468+AK468+(0.1)*AL468</f>
        <v>5.6</v>
      </c>
      <c r="AD468" s="78">
        <v>32</v>
      </c>
      <c r="AE468" s="67">
        <v>5</v>
      </c>
      <c r="AF468" s="67">
        <v>5</v>
      </c>
      <c r="AG468" s="67">
        <v>1900</v>
      </c>
      <c r="AH468" s="78">
        <v>0</v>
      </c>
      <c r="AI468" s="67">
        <f>AJ468</f>
        <v>2004</v>
      </c>
      <c r="AJ468" s="69">
        <v>2004</v>
      </c>
      <c r="AK468" s="69">
        <v>4</v>
      </c>
      <c r="AL468" s="69">
        <v>6</v>
      </c>
      <c r="AM468" s="70">
        <v>5</v>
      </c>
      <c r="AN468" s="70">
        <v>0</v>
      </c>
      <c r="AO468" s="86">
        <v>0</v>
      </c>
      <c r="AP468" s="70">
        <v>0</v>
      </c>
      <c r="AQ468" s="70">
        <v>0</v>
      </c>
      <c r="AR468" s="70">
        <v>0</v>
      </c>
      <c r="AS468" s="86">
        <v>0</v>
      </c>
      <c r="AT468" s="70">
        <v>0</v>
      </c>
      <c r="AU468" s="70">
        <v>0</v>
      </c>
      <c r="AV468" s="70">
        <v>0</v>
      </c>
      <c r="AW468" s="86">
        <v>0</v>
      </c>
      <c r="AX468" s="70">
        <v>0</v>
      </c>
      <c r="AY468" s="233"/>
      <c r="AZ468" s="4"/>
      <c r="BA468" s="35" t="str">
        <f>IF(OR(S468="North America",S468="Rocky Mountain"), "Widespread",BC468)</f>
        <v>Widespread</v>
      </c>
      <c r="BB468" s="4"/>
      <c r="BC468" s="35">
        <f ca="1">IF(BE468&gt;2046, "Abundant",BE468)</f>
        <v>2031.984738680927</v>
      </c>
      <c r="BD468" s="4"/>
      <c r="BE468" s="81">
        <f ca="1">YEAR($C$13)+(BG468*80)</f>
        <v>2031.984738680927</v>
      </c>
      <c r="BF468" s="4"/>
      <c r="BG468" s="137">
        <f ca="1">BH468*$BH$14</f>
        <v>0.16230923351158646</v>
      </c>
      <c r="BH468" s="137">
        <f ca="1">(((BJ468+BK468+BM468+BN468)/4)*$BM$11)+(((BP468+BQ468)/2)*$BQ$11)+(((BU468+BV468+BW468)/3)*$BU$11)+(((BY468+BZ468+CA468+CB468+CC468)/5)*$CA$11)</f>
        <v>0.16230923351158646</v>
      </c>
      <c r="BI468" s="4"/>
      <c r="BJ468" s="33">
        <f>AP468/(AM468+AO468)</f>
        <v>0</v>
      </c>
      <c r="BK468" s="33">
        <f>(AN468+AO468)/(AM468+AO468)</f>
        <v>0</v>
      </c>
      <c r="BL468" s="4"/>
      <c r="BM468" s="127">
        <f>CF468/102</f>
        <v>5.4901960784313725E-2</v>
      </c>
      <c r="BN468" s="127">
        <f>C468/2</f>
        <v>0.5</v>
      </c>
      <c r="BO468" s="4"/>
      <c r="BP468" s="127">
        <f>(AK468)/($AW$6)</f>
        <v>4.0404040404040407E-2</v>
      </c>
      <c r="BQ468" s="127">
        <f ca="1">(CH468-$AW$4)/((YEAR($C$13))-$AW$4)</f>
        <v>0</v>
      </c>
      <c r="BR468" s="127">
        <f>(AL468)/($AW$6)</f>
        <v>6.0606060606060608E-2</v>
      </c>
      <c r="BS468" s="4"/>
      <c r="BT468" s="127"/>
      <c r="BU468" s="127">
        <f ca="1">(CG468-$AW$4)/((YEAR($C$13))-$AW$4)</f>
        <v>0</v>
      </c>
      <c r="BV468" s="127">
        <f>AE468/5</f>
        <v>1</v>
      </c>
      <c r="BW468" s="127">
        <f>AF468/5</f>
        <v>1</v>
      </c>
      <c r="BX468" s="4"/>
      <c r="BY468" s="148" t="str">
        <f>IF(E468="A",".98",IF(E468="B",".99",IF(E468="C","1.00",IF(E468="D","1.00" ))))</f>
        <v>1.00</v>
      </c>
      <c r="BZ468" s="127">
        <f>(CE468+7)/10</f>
        <v>1</v>
      </c>
      <c r="CA468" s="76" t="str">
        <f>IF(D468="Fern",".97",IF(D468="Grass",".99",IF(D468="Herb",".97",IF(D468="Shrub",".99",IF(D468="Tree","1.00",IF(D468="Vine",".98"))))))</f>
        <v>.97</v>
      </c>
      <c r="CB468" s="149" t="str">
        <f>IF(R468="Bogs Ponds Streams",".96", IF(R468="Coastal Areas",".97",IF(R468="Meadows Dry Open",".96",IF(R468="Forest &amp; Understory",".97",IF(R468="Moist Open",".98",IF(R468="Moist Shady",".96",IF(R468="Sub-Alpine","1.0")))))))</f>
        <v>.96</v>
      </c>
      <c r="CC468" s="76" t="str">
        <f>IF(S468="Local Endemic",".50",IF(S468="Regional Endemic",".70",IF(S468="Cascadia",".90",IF(S468="Rocky Mountain",".95",IF(S468="North America",".99")))))</f>
        <v>.99</v>
      </c>
      <c r="CD468" s="4"/>
      <c r="CE468" s="21">
        <f>IF(W468&gt;3,3,W468)</f>
        <v>3</v>
      </c>
      <c r="CF468" s="21">
        <f>IF(AC468&gt;102,102,AC468)</f>
        <v>5.6</v>
      </c>
      <c r="CG468" s="34">
        <f>IF(AI468&lt;$AW$4,$AW$4,AI468)</f>
        <v>2004</v>
      </c>
      <c r="CH468" s="34">
        <f>IF(AJ468&lt;$AW$4,$AW$4,AJ468)</f>
        <v>2004</v>
      </c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L468" s="13"/>
    </row>
    <row r="469" spans="1:116" ht="15" customHeight="1" x14ac:dyDescent="0.3">
      <c r="A469" s="235"/>
      <c r="B469" s="218"/>
      <c r="C469" s="226">
        <v>2</v>
      </c>
      <c r="D469" s="104" t="s">
        <v>2505</v>
      </c>
      <c r="E469" s="104" t="s">
        <v>2502</v>
      </c>
      <c r="F469" s="400" t="str">
        <f ca="1">IF(BC469&lt;2025, "Extinct&lt; 6Yrs?",BA469)</f>
        <v>Widespread</v>
      </c>
      <c r="G469" s="369" t="s">
        <v>525</v>
      </c>
      <c r="H469" s="369" t="s">
        <v>4028</v>
      </c>
      <c r="I469" s="370" t="s">
        <v>367</v>
      </c>
      <c r="J469" s="371" t="s">
        <v>3750</v>
      </c>
      <c r="K469" s="371" t="s">
        <v>4090</v>
      </c>
      <c r="L469" s="106" t="s">
        <v>1532</v>
      </c>
      <c r="M469" s="111" t="s">
        <v>4544</v>
      </c>
      <c r="N469" s="111" t="s">
        <v>5441</v>
      </c>
      <c r="O469" s="111" t="s">
        <v>6339</v>
      </c>
      <c r="P469" s="105" t="s">
        <v>4043</v>
      </c>
      <c r="Q469" s="104" t="s">
        <v>2552</v>
      </c>
      <c r="R469" s="105" t="s">
        <v>2498</v>
      </c>
      <c r="S469" s="105" t="s">
        <v>2495</v>
      </c>
      <c r="T469" s="133" t="str">
        <f>IF(R469="Bogs Ponds Streams","20",IF(R469="Coastal Areas","26",IF(R469="Meadows Dry Open","10",IF(R469="Forest &amp; Understory","14",IF(R469="Moist Open","12",IF(R469="Moist Shady","10",IF(R469="Sub-Alpine Slopes","0")))))))</f>
        <v>10</v>
      </c>
      <c r="U469" s="133" t="str">
        <f>IF(R469="Bogs Ponds Streams","52",IF(R469="Coastal Areas","51",IF(R469="Meadows Dry Open","53",IF(R469="Forest &amp; Understory","52",IF(R469="Moist Open","50",IF(R469="Moist Shady","46",IF(R469="Sub-Alpine Slopes","40")))))))</f>
        <v>46</v>
      </c>
      <c r="V469" s="133" t="str">
        <f>IF(R469="Bogs Ponds Streams","84",IF(R469="Coastal Areas","76",IF(R469="Meadows Dry Open","96", IF(R469="Forest &amp; Understory","90", IF(R469="Moist Open","88", IF(R469="Moist Shady","82", IF(R469="Sub-Alpine Slopes","80")))))))</f>
        <v>82</v>
      </c>
      <c r="W469" s="104">
        <v>1</v>
      </c>
      <c r="X469" s="104">
        <v>0</v>
      </c>
      <c r="Y469" s="104">
        <v>3500</v>
      </c>
      <c r="Z469" s="104" t="s">
        <v>2519</v>
      </c>
      <c r="AA469" s="104" t="s">
        <v>2518</v>
      </c>
      <c r="AB469" s="104">
        <v>6.8</v>
      </c>
      <c r="AC469" s="107">
        <f>C468+AK469+(0.1)*AL469</f>
        <v>8.6999999999999993</v>
      </c>
      <c r="AD469" s="113">
        <v>42</v>
      </c>
      <c r="AE469" s="104">
        <v>5</v>
      </c>
      <c r="AF469" s="104">
        <v>5</v>
      </c>
      <c r="AG469" s="104">
        <v>1900</v>
      </c>
      <c r="AH469" s="113">
        <v>0</v>
      </c>
      <c r="AI469" s="104">
        <f>AJ469</f>
        <v>2004</v>
      </c>
      <c r="AJ469" s="108">
        <v>2004</v>
      </c>
      <c r="AK469" s="108">
        <v>7</v>
      </c>
      <c r="AL469" s="108">
        <v>7</v>
      </c>
      <c r="AM469" s="109">
        <v>5</v>
      </c>
      <c r="AN469" s="109">
        <v>3</v>
      </c>
      <c r="AO469" s="110">
        <v>0</v>
      </c>
      <c r="AP469" s="109">
        <v>3</v>
      </c>
      <c r="AQ469" s="109">
        <v>0</v>
      </c>
      <c r="AR469" s="109">
        <v>0</v>
      </c>
      <c r="AS469" s="110">
        <v>0</v>
      </c>
      <c r="AT469" s="109">
        <v>0</v>
      </c>
      <c r="AU469" s="109">
        <v>0</v>
      </c>
      <c r="AV469" s="109">
        <v>0</v>
      </c>
      <c r="AW469" s="110">
        <v>0</v>
      </c>
      <c r="AX469" s="109">
        <v>0</v>
      </c>
      <c r="AY469" s="233"/>
      <c r="AZ469" s="4"/>
      <c r="BA469" s="35" t="str">
        <f>IF(OR(S469="North America",S469="Rocky Mountain"), "Widespread",BC469)</f>
        <v>Widespread</v>
      </c>
      <c r="BB469" s="4"/>
      <c r="BC469" s="35" t="str">
        <f ca="1">IF(BE469&gt;2046, "Abundant",BE469)</f>
        <v>Abundant</v>
      </c>
      <c r="BD469" s="4"/>
      <c r="BE469" s="81">
        <f ca="1">YEAR($C$13)+(BG469*80)</f>
        <v>2047.0426809269163</v>
      </c>
      <c r="BF469" s="4"/>
      <c r="BG469" s="137">
        <f ca="1">BH469*$BH$14</f>
        <v>0.35053351158645274</v>
      </c>
      <c r="BH469" s="137">
        <f ca="1">(((BJ469+BK469+BM469+BN469)/4)*$BM$11)+(((BP469+BQ469)/2)*$BQ$11)+(((BU469+BV469+BW469)/3)*$BU$11)+(((BY469+BZ469+CA469+CB469+CC469)/5)*$CA$11)</f>
        <v>0.35053351158645274</v>
      </c>
      <c r="BI469" s="4"/>
      <c r="BJ469" s="33">
        <f>AP469/(AM469+AO469)</f>
        <v>0.6</v>
      </c>
      <c r="BK469" s="33">
        <f>(AN469+AO469)/(AM469+AO469)</f>
        <v>0.6</v>
      </c>
      <c r="BL469" s="4"/>
      <c r="BM469" s="127">
        <f>CF469/102</f>
        <v>8.5294117647058812E-2</v>
      </c>
      <c r="BN469" s="127">
        <f>C468/2</f>
        <v>0.5</v>
      </c>
      <c r="BO469" s="4"/>
      <c r="BP469" s="127">
        <f>(AK469)/($AW$6)</f>
        <v>7.0707070707070704E-2</v>
      </c>
      <c r="BQ469" s="127">
        <f ca="1">(CH469-$AW$4)/((YEAR($C$13))-$AW$4)</f>
        <v>0</v>
      </c>
      <c r="BR469" s="127">
        <f>(AL469)/($AW$6)</f>
        <v>7.0707070707070704E-2</v>
      </c>
      <c r="BS469" s="4"/>
      <c r="BT469" s="127"/>
      <c r="BU469" s="127">
        <f ca="1">(CG469-$AW$4)/((YEAR($C$13))-$AW$4)</f>
        <v>0</v>
      </c>
      <c r="BV469" s="127">
        <f>AE469/5</f>
        <v>1</v>
      </c>
      <c r="BW469" s="127">
        <f>AF469/5</f>
        <v>1</v>
      </c>
      <c r="BX469" s="4"/>
      <c r="BY469" s="148" t="str">
        <f>IF(E469="A",".98",IF(E469="B",".99",IF(E469="C","1.00",IF(E469="D","1.00" ))))</f>
        <v>.98</v>
      </c>
      <c r="BZ469" s="127">
        <f>(CE469+7)/10</f>
        <v>0.8</v>
      </c>
      <c r="CA469" s="76" t="str">
        <f>IF(D469="Fern",".97",IF(D469="Grass",".99",IF(D469="Herb",".97",IF(D469="Shrub",".99",IF(D469="Tree","1.00",IF(D469="Vine",".98"))))))</f>
        <v>.97</v>
      </c>
      <c r="CB469" s="149" t="str">
        <f>IF(R469="Bogs Ponds Streams",".96", IF(R469="Coastal Areas",".97",IF(R469="Meadows Dry Open",".96",IF(R469="Forest &amp; Understory",".97",IF(R469="Moist Open",".98",IF(R469="Moist Shady",".96",IF(R469="Sub-Alpine","1.0")))))))</f>
        <v>.96</v>
      </c>
      <c r="CC469" s="76" t="str">
        <f>IF(S469="Local Endemic",".50",IF(S469="Regional Endemic",".70",IF(S469="Cascadia",".90",IF(S469="Rocky Mountain",".95",IF(S469="North America",".99")))))</f>
        <v>.99</v>
      </c>
      <c r="CD469" s="4"/>
      <c r="CE469" s="21">
        <f>IF(W469&gt;3,3,W469)</f>
        <v>1</v>
      </c>
      <c r="CF469" s="21">
        <f>IF(AC469&gt;102,102,AC469)</f>
        <v>8.6999999999999993</v>
      </c>
      <c r="CG469" s="34">
        <f>IF(AI469&lt;$AW$4,$AW$4,AI469)</f>
        <v>2004</v>
      </c>
      <c r="CH469" s="34">
        <f>IF(AJ469&lt;$AW$4,$AW$4,AJ469)</f>
        <v>2004</v>
      </c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13"/>
    </row>
    <row r="470" spans="1:116" ht="15" customHeight="1" x14ac:dyDescent="0.3">
      <c r="A470" s="235"/>
      <c r="B470" s="218"/>
      <c r="C470" s="225">
        <v>8</v>
      </c>
      <c r="D470" s="59" t="s">
        <v>2505</v>
      </c>
      <c r="E470" s="59" t="s">
        <v>2501</v>
      </c>
      <c r="F470" s="397" t="str">
        <f ca="1">IF(BC470&lt;2025, "Extinct&lt; 6Yrs?",BA470)</f>
        <v>Widespread</v>
      </c>
      <c r="G470" s="363" t="s">
        <v>525</v>
      </c>
      <c r="H470" s="363" t="s">
        <v>687</v>
      </c>
      <c r="I470" s="364" t="s">
        <v>1192</v>
      </c>
      <c r="J470" s="365" t="s">
        <v>3390</v>
      </c>
      <c r="K470" s="365" t="s">
        <v>1191</v>
      </c>
      <c r="L470" s="17" t="s">
        <v>1533</v>
      </c>
      <c r="M470" s="8" t="s">
        <v>4545</v>
      </c>
      <c r="N470" s="8" t="s">
        <v>5442</v>
      </c>
      <c r="O470" s="8" t="s">
        <v>6340</v>
      </c>
      <c r="P470" s="398" t="s">
        <v>1204</v>
      </c>
      <c r="Q470" s="59" t="s">
        <v>2552</v>
      </c>
      <c r="R470" s="160" t="s">
        <v>2497</v>
      </c>
      <c r="S470" s="17" t="s">
        <v>2495</v>
      </c>
      <c r="T470" s="123" t="str">
        <f>IF(R470="Bogs Ponds Streams","20",IF(R470="Coastal Areas","26",IF(R470="Meadows Dry Open","10",IF(R470="Forest &amp; Understory","14",IF(R470="Moist Open","12",IF(R470="Moist Shady","10",IF(R470="Sub-Alpine Slopes","0")))))))</f>
        <v>12</v>
      </c>
      <c r="U470" s="123" t="str">
        <f>IF(R470="Bogs Ponds Streams","52",IF(R470="Coastal Areas","51",IF(R470="Meadows Dry Open","53",IF(R470="Forest &amp; Understory","52",IF(R470="Moist Open","50",IF(R470="Moist Shady","46",IF(R470="Sub-Alpine Slopes","40")))))))</f>
        <v>50</v>
      </c>
      <c r="V470" s="123" t="str">
        <f>IF(R470="Bogs Ponds Streams","84",IF(R470="Coastal Areas","76",IF(R470="Meadows Dry Open","96", IF(R470="Forest &amp; Understory","90", IF(R470="Moist Open","88", IF(R470="Moist Shady","82", IF(R470="Sub-Alpine Slopes","80")))))))</f>
        <v>88</v>
      </c>
      <c r="W470" s="59">
        <v>20</v>
      </c>
      <c r="X470" s="59">
        <v>0</v>
      </c>
      <c r="Y470" s="59">
        <v>3500</v>
      </c>
      <c r="Z470" s="59" t="s">
        <v>2519</v>
      </c>
      <c r="AA470" s="59" t="s">
        <v>2518</v>
      </c>
      <c r="AB470" s="59">
        <v>6.8</v>
      </c>
      <c r="AC470" s="45">
        <f>C470+AK470+(0.1)*AL470</f>
        <v>45.4</v>
      </c>
      <c r="AD470" s="77">
        <v>23</v>
      </c>
      <c r="AE470" s="59">
        <v>5</v>
      </c>
      <c r="AF470" s="59">
        <v>5</v>
      </c>
      <c r="AG470" s="59">
        <v>1900</v>
      </c>
      <c r="AH470" s="77">
        <v>0</v>
      </c>
      <c r="AI470" s="59">
        <f ca="1">AJ470</f>
        <v>2019</v>
      </c>
      <c r="AJ470" s="18">
        <f ca="1">YEAR(TODAY())</f>
        <v>2019</v>
      </c>
      <c r="AK470" s="18">
        <v>33</v>
      </c>
      <c r="AL470" s="18">
        <v>44</v>
      </c>
      <c r="AM470" s="18">
        <v>1</v>
      </c>
      <c r="AN470" s="18">
        <v>1</v>
      </c>
      <c r="AO470" s="24">
        <v>1</v>
      </c>
      <c r="AP470" s="24">
        <v>0</v>
      </c>
      <c r="AQ470" s="18">
        <v>0</v>
      </c>
      <c r="AR470" s="18">
        <v>0</v>
      </c>
      <c r="AS470" s="18">
        <v>0</v>
      </c>
      <c r="AT470" s="18">
        <v>0</v>
      </c>
      <c r="AU470" s="18">
        <v>0</v>
      </c>
      <c r="AV470" s="18">
        <v>0</v>
      </c>
      <c r="AW470" s="18">
        <v>0</v>
      </c>
      <c r="AX470" s="18">
        <v>0</v>
      </c>
      <c r="AY470" s="233"/>
      <c r="AZ470" s="4"/>
      <c r="BA470" s="35" t="str">
        <f>IF(OR(S470="North America",S470="Rocky Mountain"), "Widespread",BC470)</f>
        <v>Widespread</v>
      </c>
      <c r="BB470" s="4"/>
      <c r="BC470" s="35" t="str">
        <f ca="1">IF(BE470&gt;2046, "Abundant",BE470)</f>
        <v>Abundant</v>
      </c>
      <c r="BD470" s="4"/>
      <c r="BE470" s="81">
        <f ca="1">YEAR($C$13)+(BG470*80)</f>
        <v>2108.3219764705882</v>
      </c>
      <c r="BF470" s="4"/>
      <c r="BG470" s="137">
        <f ca="1">BH470*$BH$14</f>
        <v>1.1165247058823531</v>
      </c>
      <c r="BH470" s="137">
        <f ca="1">(((BJ470+BK470+BM470+BN470)/4)*$BM$11)+(((BP470+BQ470)/2)*$BQ$11)+(((BU470+BV470+BW470)/3)*$BU$11)+(((BY470+BZ470+CA470+CB470+CC470)/5)*$CA$11)</f>
        <v>1.1165247058823531</v>
      </c>
      <c r="BI470" s="4"/>
      <c r="BJ470" s="33">
        <f>AP470/(AM470+AO470)</f>
        <v>0</v>
      </c>
      <c r="BK470" s="33">
        <f>(AN470+AO470)/(AM470+AO470)</f>
        <v>1</v>
      </c>
      <c r="BL470" s="4"/>
      <c r="BM470" s="127">
        <f>CF470/102</f>
        <v>0.44509803921568625</v>
      </c>
      <c r="BN470" s="127">
        <f>C470/2</f>
        <v>4</v>
      </c>
      <c r="BO470" s="4"/>
      <c r="BP470" s="127">
        <f>(AK470)/($AW$6)</f>
        <v>0.33333333333333331</v>
      </c>
      <c r="BQ470" s="127">
        <f ca="1">(CH470-$AW$4)/((YEAR($C$13))-$AW$4)</f>
        <v>1</v>
      </c>
      <c r="BR470" s="127">
        <f>(AL470)/($AW$6)</f>
        <v>0.44444444444444442</v>
      </c>
      <c r="BS470" s="4"/>
      <c r="BT470" s="127"/>
      <c r="BU470" s="127">
        <f ca="1">(CG470-$AW$4)/((YEAR($C$13))-$AW$4)</f>
        <v>1</v>
      </c>
      <c r="BV470" s="127">
        <f>AE470/5</f>
        <v>1</v>
      </c>
      <c r="BW470" s="127">
        <f>AF470/5</f>
        <v>1</v>
      </c>
      <c r="BX470" s="4"/>
      <c r="BY470" s="148" t="str">
        <f>IF(E470="A",".98",IF(E470="B",".99",IF(E470="C","1.00",IF(E470="D","1.00" ))))</f>
        <v>1.00</v>
      </c>
      <c r="BZ470" s="127">
        <f>(CE470+7)/10</f>
        <v>1</v>
      </c>
      <c r="CA470" s="76" t="str">
        <f>IF(D470="Fern",".97",IF(D470="Grass",".99",IF(D470="Herb",".97",IF(D470="Shrub",".99",IF(D470="Tree","1.00",IF(D470="Vine",".98"))))))</f>
        <v>.97</v>
      </c>
      <c r="CB470" s="149" t="str">
        <f>IF(R470="Bogs Ponds Streams",".96", IF(R470="Coastal Areas",".97",IF(R470="Meadows Dry Open",".96",IF(R470="Forest &amp; Understory",".97",IF(R470="Moist Open",".98",IF(R470="Moist Shady",".96",IF(R470="Sub-Alpine","1.0")))))))</f>
        <v>.98</v>
      </c>
      <c r="CC470" s="76" t="str">
        <f>IF(S470="Local Endemic",".50",IF(S470="Regional Endemic",".70",IF(S470="Cascadia",".90",IF(S470="Rocky Mountain",".95",IF(S470="North America",".99")))))</f>
        <v>.99</v>
      </c>
      <c r="CD470" s="4"/>
      <c r="CE470" s="21">
        <f>IF(W470&gt;3,3,W470)</f>
        <v>3</v>
      </c>
      <c r="CF470" s="21">
        <f>IF(AC470&gt;102,102,AC470)</f>
        <v>45.4</v>
      </c>
      <c r="CG470" s="34">
        <f ca="1">IF(AI470&lt;$AW$4,$AW$4,AI470)</f>
        <v>2019</v>
      </c>
      <c r="CH470" s="34">
        <f ca="1">IF(AJ470&lt;$AW$4,$AW$4,AJ470)</f>
        <v>2019</v>
      </c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13"/>
    </row>
    <row r="471" spans="1:116" ht="15" customHeight="1" x14ac:dyDescent="0.3">
      <c r="A471" s="235"/>
      <c r="B471" s="218"/>
      <c r="C471" s="225">
        <v>8</v>
      </c>
      <c r="D471" s="59" t="s">
        <v>2505</v>
      </c>
      <c r="E471" s="59" t="s">
        <v>2501</v>
      </c>
      <c r="F471" s="397" t="str">
        <f ca="1">IF(BC471&lt;2025, "Extinct&lt; 6Yrs?",BA471)</f>
        <v>Widespread</v>
      </c>
      <c r="G471" s="363" t="s">
        <v>525</v>
      </c>
      <c r="H471" s="363" t="s">
        <v>679</v>
      </c>
      <c r="I471" s="364" t="s">
        <v>2584</v>
      </c>
      <c r="J471" s="365" t="s">
        <v>3391</v>
      </c>
      <c r="K471" s="365" t="s">
        <v>1200</v>
      </c>
      <c r="L471" s="17" t="s">
        <v>1534</v>
      </c>
      <c r="M471" s="8" t="s">
        <v>4546</v>
      </c>
      <c r="N471" s="8" t="s">
        <v>5443</v>
      </c>
      <c r="O471" s="8" t="s">
        <v>6341</v>
      </c>
      <c r="P471" s="398" t="s">
        <v>1205</v>
      </c>
      <c r="Q471" s="59" t="s">
        <v>2552</v>
      </c>
      <c r="R471" s="160" t="s">
        <v>2497</v>
      </c>
      <c r="S471" s="17" t="s">
        <v>2495</v>
      </c>
      <c r="T471" s="123" t="str">
        <f>IF(R471="Bogs Ponds Streams","20",IF(R471="Coastal Areas","26",IF(R471="Meadows Dry Open","10",IF(R471="Forest &amp; Understory","14",IF(R471="Moist Open","12",IF(R471="Moist Shady","10",IF(R471="Sub-Alpine Slopes","0")))))))</f>
        <v>12</v>
      </c>
      <c r="U471" s="123" t="str">
        <f>IF(R471="Bogs Ponds Streams","52",IF(R471="Coastal Areas","51",IF(R471="Meadows Dry Open","53",IF(R471="Forest &amp; Understory","52",IF(R471="Moist Open","50",IF(R471="Moist Shady","46",IF(R471="Sub-Alpine Slopes","40")))))))</f>
        <v>50</v>
      </c>
      <c r="V471" s="123" t="str">
        <f>IF(R471="Bogs Ponds Streams","84",IF(R471="Coastal Areas","76",IF(R471="Meadows Dry Open","96", IF(R471="Forest &amp; Understory","90", IF(R471="Moist Open","88", IF(R471="Moist Shady","82", IF(R471="Sub-Alpine Slopes","80")))))))</f>
        <v>88</v>
      </c>
      <c r="W471" s="59">
        <v>20</v>
      </c>
      <c r="X471" s="59">
        <v>0</v>
      </c>
      <c r="Y471" s="59">
        <v>3500</v>
      </c>
      <c r="Z471" s="59" t="s">
        <v>2519</v>
      </c>
      <c r="AA471" s="59" t="s">
        <v>2518</v>
      </c>
      <c r="AB471" s="59">
        <v>6.8</v>
      </c>
      <c r="AC471" s="45">
        <f>C471+AK471+(0.1)*AL471</f>
        <v>13.5</v>
      </c>
      <c r="AD471" s="77">
        <v>103</v>
      </c>
      <c r="AE471" s="59">
        <v>5</v>
      </c>
      <c r="AF471" s="59">
        <v>5</v>
      </c>
      <c r="AG471" s="59">
        <v>1900</v>
      </c>
      <c r="AH471" s="77">
        <v>0</v>
      </c>
      <c r="AI471" s="59">
        <f ca="1">AJ471</f>
        <v>2019</v>
      </c>
      <c r="AJ471" s="18">
        <f ca="1">YEAR(TODAY())</f>
        <v>2019</v>
      </c>
      <c r="AK471" s="18">
        <v>0</v>
      </c>
      <c r="AL471" s="18">
        <v>55</v>
      </c>
      <c r="AM471" s="18">
        <v>1</v>
      </c>
      <c r="AN471" s="18">
        <v>1</v>
      </c>
      <c r="AO471" s="18">
        <v>5</v>
      </c>
      <c r="AP471" s="18">
        <v>1</v>
      </c>
      <c r="AQ471" s="18">
        <v>0</v>
      </c>
      <c r="AR471" s="18">
        <v>0</v>
      </c>
      <c r="AS471" s="18">
        <v>0</v>
      </c>
      <c r="AT471" s="18">
        <v>0</v>
      </c>
      <c r="AU471" s="18">
        <v>0</v>
      </c>
      <c r="AV471" s="18">
        <v>0</v>
      </c>
      <c r="AW471" s="18">
        <v>0</v>
      </c>
      <c r="AX471" s="18">
        <v>0</v>
      </c>
      <c r="AY471" s="233"/>
      <c r="AZ471" s="4"/>
      <c r="BA471" s="35" t="str">
        <f>IF(OR(S471="North America",S471="Rocky Mountain"), "Widespread",BC471)</f>
        <v>Widespread</v>
      </c>
      <c r="BB471" s="4"/>
      <c r="BC471" s="35" t="str">
        <f ca="1">IF(BE471&gt;2046, "Abundant",BE471)</f>
        <v>Abundant</v>
      </c>
      <c r="BD471" s="4"/>
      <c r="BE471" s="81">
        <f ca="1">YEAR($C$13)+(BG471*80)</f>
        <v>2102.5690352941178</v>
      </c>
      <c r="BF471" s="4"/>
      <c r="BG471" s="137">
        <f ca="1">BH471*$BH$14</f>
        <v>1.0446129411764706</v>
      </c>
      <c r="BH471" s="137">
        <f ca="1">(((BJ471+BK471+BM471+BN471)/4)*$BM$11)+(((BP471+BQ471)/2)*$BQ$11)+(((BU471+BV471+BW471)/3)*$BU$11)+(((BY471+BZ471+CA471+CB471+CC471)/5)*$CA$11)</f>
        <v>1.0446129411764706</v>
      </c>
      <c r="BI471" s="4"/>
      <c r="BJ471" s="33">
        <f>AP471/(AM471+AO471)</f>
        <v>0.16666666666666666</v>
      </c>
      <c r="BK471" s="33">
        <f>(AN471+AO471)/(AM471+AO471)</f>
        <v>1</v>
      </c>
      <c r="BL471" s="4"/>
      <c r="BM471" s="127">
        <f>CF471/102</f>
        <v>0.13235294117647059</v>
      </c>
      <c r="BN471" s="127">
        <f>C471/2</f>
        <v>4</v>
      </c>
      <c r="BO471" s="4"/>
      <c r="BP471" s="127">
        <f>(AK471)/($AW$6)</f>
        <v>0</v>
      </c>
      <c r="BQ471" s="127">
        <f ca="1">(CH471-$AW$4)/((YEAR($C$13))-$AW$4)</f>
        <v>1</v>
      </c>
      <c r="BR471" s="127">
        <f>(AL471)/($AW$6)</f>
        <v>0.55555555555555558</v>
      </c>
      <c r="BS471" s="4"/>
      <c r="BT471" s="127"/>
      <c r="BU471" s="127">
        <f ca="1">(CG471-$AW$4)/((YEAR($C$13))-$AW$4)</f>
        <v>1</v>
      </c>
      <c r="BV471" s="127">
        <f>AE471/5</f>
        <v>1</v>
      </c>
      <c r="BW471" s="127">
        <f>AF471/5</f>
        <v>1</v>
      </c>
      <c r="BX471" s="4"/>
      <c r="BY471" s="148" t="str">
        <f>IF(E471="A",".98",IF(E471="B",".99",IF(E471="C","1.00",IF(E471="D","1.00" ))))</f>
        <v>1.00</v>
      </c>
      <c r="BZ471" s="127">
        <f>(CE471+7)/10</f>
        <v>1</v>
      </c>
      <c r="CA471" s="76" t="str">
        <f>IF(D471="Fern",".97",IF(D471="Grass",".99",IF(D471="Herb",".97",IF(D471="Shrub",".99",IF(D471="Tree","1.00",IF(D471="Vine",".98"))))))</f>
        <v>.97</v>
      </c>
      <c r="CB471" s="149" t="str">
        <f>IF(R471="Bogs Ponds Streams",".96", IF(R471="Coastal Areas",".97",IF(R471="Meadows Dry Open",".96",IF(R471="Forest &amp; Understory",".97",IF(R471="Moist Open",".98",IF(R471="Moist Shady",".96",IF(R471="Sub-Alpine","1.0")))))))</f>
        <v>.98</v>
      </c>
      <c r="CC471" s="76" t="str">
        <f>IF(S471="Local Endemic",".50",IF(S471="Regional Endemic",".70",IF(S471="Cascadia",".90",IF(S471="Rocky Mountain",".95",IF(S471="North America",".99")))))</f>
        <v>.99</v>
      </c>
      <c r="CD471" s="4"/>
      <c r="CE471" s="21">
        <f>IF(W471&gt;3,3,W471)</f>
        <v>3</v>
      </c>
      <c r="CF471" s="21">
        <f>IF(AC471&gt;102,102,AC471)</f>
        <v>13.5</v>
      </c>
      <c r="CG471" s="34">
        <f ca="1">IF(AI471&lt;$AW$4,$AW$4,AI471)</f>
        <v>2019</v>
      </c>
      <c r="CH471" s="34">
        <f ca="1">IF(AJ471&lt;$AW$4,$AW$4,AJ471)</f>
        <v>2019</v>
      </c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13"/>
    </row>
    <row r="472" spans="1:116" ht="15" customHeight="1" x14ac:dyDescent="0.3">
      <c r="A472" s="235"/>
      <c r="B472" s="218"/>
      <c r="C472" s="226">
        <v>2</v>
      </c>
      <c r="D472" s="104" t="s">
        <v>2505</v>
      </c>
      <c r="E472" s="104" t="s">
        <v>2501</v>
      </c>
      <c r="F472" s="400" t="str">
        <f ca="1">IF(BC472&lt;2025, "Extinct&lt; 6Yrs?",BA472)</f>
        <v>Widespread</v>
      </c>
      <c r="G472" s="369" t="s">
        <v>525</v>
      </c>
      <c r="H472" s="369" t="s">
        <v>4028</v>
      </c>
      <c r="I472" s="370" t="s">
        <v>3082</v>
      </c>
      <c r="J472" s="371" t="s">
        <v>3749</v>
      </c>
      <c r="K472" s="371" t="s">
        <v>1021</v>
      </c>
      <c r="L472" s="106" t="s">
        <v>1536</v>
      </c>
      <c r="M472" s="111" t="s">
        <v>4547</v>
      </c>
      <c r="N472" s="111" t="s">
        <v>5444</v>
      </c>
      <c r="O472" s="111" t="s">
        <v>6342</v>
      </c>
      <c r="P472" s="105" t="s">
        <v>361</v>
      </c>
      <c r="Q472" s="104" t="s">
        <v>2552</v>
      </c>
      <c r="R472" s="105" t="s">
        <v>2500</v>
      </c>
      <c r="S472" s="105" t="s">
        <v>2479</v>
      </c>
      <c r="T472" s="133" t="str">
        <f>IF(R472="Bogs Ponds Streams","20",IF(R472="Coastal Areas","26",IF(R472="Meadows Dry Open","10",IF(R472="Forest &amp; Understory","14",IF(R472="Moist Open","12",IF(R472="Moist Shady","10",IF(R472="Sub-Alpine Slopes","0")))))))</f>
        <v>10</v>
      </c>
      <c r="U472" s="133" t="str">
        <f>IF(R472="Bogs Ponds Streams","52",IF(R472="Coastal Areas","51",IF(R472="Meadows Dry Open","53",IF(R472="Forest &amp; Understory","52",IF(R472="Moist Open","50",IF(R472="Moist Shady","46",IF(R472="Sub-Alpine Slopes","40")))))))</f>
        <v>53</v>
      </c>
      <c r="V472" s="133" t="str">
        <f>IF(R472="Bogs Ponds Streams","84",IF(R472="Coastal Areas","76",IF(R472="Meadows Dry Open","96", IF(R472="Forest &amp; Understory","90", IF(R472="Moist Open","88", IF(R472="Moist Shady","82", IF(R472="Sub-Alpine Slopes","80")))))))</f>
        <v>96</v>
      </c>
      <c r="W472" s="104">
        <v>20</v>
      </c>
      <c r="X472" s="104">
        <v>0</v>
      </c>
      <c r="Y472" s="104">
        <v>3500</v>
      </c>
      <c r="Z472" s="104" t="s">
        <v>2519</v>
      </c>
      <c r="AA472" s="104" t="s">
        <v>2518</v>
      </c>
      <c r="AB472" s="104">
        <v>6.8</v>
      </c>
      <c r="AC472" s="107">
        <f>C472+AK472+(0.1)*AL472</f>
        <v>30.6</v>
      </c>
      <c r="AD472" s="113">
        <v>302</v>
      </c>
      <c r="AE472" s="104">
        <v>5</v>
      </c>
      <c r="AF472" s="104">
        <v>5</v>
      </c>
      <c r="AG472" s="104">
        <v>1900</v>
      </c>
      <c r="AH472" s="113">
        <v>0</v>
      </c>
      <c r="AI472" s="104">
        <f>AJ472</f>
        <v>2004</v>
      </c>
      <c r="AJ472" s="108">
        <v>2004</v>
      </c>
      <c r="AK472" s="108">
        <v>22</v>
      </c>
      <c r="AL472" s="108">
        <v>66</v>
      </c>
      <c r="AM472" s="109">
        <v>5</v>
      </c>
      <c r="AN472" s="109">
        <v>1</v>
      </c>
      <c r="AO472" s="110">
        <v>0</v>
      </c>
      <c r="AP472" s="109">
        <v>0</v>
      </c>
      <c r="AQ472" s="109">
        <v>0</v>
      </c>
      <c r="AR472" s="109">
        <v>0</v>
      </c>
      <c r="AS472" s="110">
        <v>0</v>
      </c>
      <c r="AT472" s="109">
        <v>0</v>
      </c>
      <c r="AU472" s="109">
        <v>0</v>
      </c>
      <c r="AV472" s="109">
        <v>0</v>
      </c>
      <c r="AW472" s="110">
        <v>0</v>
      </c>
      <c r="AX472" s="109">
        <v>0</v>
      </c>
      <c r="AY472" s="233"/>
      <c r="AZ472" s="4"/>
      <c r="BA472" s="35" t="str">
        <f>IF(OR(S472="North America",S472="Rocky Mountain"), "Widespread",BC472)</f>
        <v>Widespread</v>
      </c>
      <c r="BB472" s="4"/>
      <c r="BC472" s="35">
        <f ca="1">IF(BE472&gt;2046, "Abundant",BE472)</f>
        <v>2045.4949333333334</v>
      </c>
      <c r="BD472" s="4"/>
      <c r="BE472" s="81">
        <f ca="1">YEAR($C$13)+(BG472*80)</f>
        <v>2045.4949333333334</v>
      </c>
      <c r="BF472" s="4"/>
      <c r="BG472" s="137">
        <f ca="1">BH472*$BH$14</f>
        <v>0.33118666666666663</v>
      </c>
      <c r="BH472" s="137">
        <f ca="1">(((BJ472+BK472+BM472+BN472)/4)*$BM$11)+(((BP472+BQ472)/2)*$BQ$11)+(((BU472+BV472+BW472)/3)*$BU$11)+(((BY472+BZ472+CA472+CB472+CC472)/5)*$CA$11)</f>
        <v>0.33118666666666663</v>
      </c>
      <c r="BI472" s="4"/>
      <c r="BJ472" s="33">
        <f>AP472/(AM472+AO472)</f>
        <v>0</v>
      </c>
      <c r="BK472" s="33">
        <f>(AN472+AO472)/(AM472+AO472)</f>
        <v>0.2</v>
      </c>
      <c r="BL472" s="4"/>
      <c r="BM472" s="127">
        <f>CF472/102</f>
        <v>0.3</v>
      </c>
      <c r="BN472" s="127">
        <f>C472/2</f>
        <v>1</v>
      </c>
      <c r="BO472" s="4"/>
      <c r="BP472" s="127">
        <f>(AK472)/($AW$6)</f>
        <v>0.22222222222222221</v>
      </c>
      <c r="BQ472" s="127">
        <f ca="1">(CH472-$AW$4)/((YEAR($C$13))-$AW$4)</f>
        <v>0</v>
      </c>
      <c r="BR472" s="127">
        <f>(AL472)/($AW$6)</f>
        <v>0.66666666666666663</v>
      </c>
      <c r="BS472" s="4"/>
      <c r="BT472" s="127"/>
      <c r="BU472" s="127">
        <f ca="1">(CG472-$AW$4)/((YEAR($C$13))-$AW$4)</f>
        <v>0</v>
      </c>
      <c r="BV472" s="127">
        <f>AE472/5</f>
        <v>1</v>
      </c>
      <c r="BW472" s="127">
        <f>AF472/5</f>
        <v>1</v>
      </c>
      <c r="BX472" s="4"/>
      <c r="BY472" s="148" t="str">
        <f>IF(E472="A",".98",IF(E472="B",".99",IF(E472="C","1.00",IF(E472="D","1.00" ))))</f>
        <v>1.00</v>
      </c>
      <c r="BZ472" s="127">
        <f>(CE472+7)/10</f>
        <v>1</v>
      </c>
      <c r="CA472" s="76" t="str">
        <f>IF(D472="Fern",".97",IF(D472="Grass",".99",IF(D472="Herb",".97",IF(D472="Shrub",".99",IF(D472="Tree","1.00",IF(D472="Vine",".98"))))))</f>
        <v>.97</v>
      </c>
      <c r="CB472" s="149" t="str">
        <f>IF(R472="Bogs Ponds Streams",".96", IF(R472="Coastal Areas",".97",IF(R472="Meadows Dry Open",".96",IF(R472="Forest &amp; Understory",".97",IF(R472="Moist Open",".98",IF(R472="Moist Shady",".96",IF(R472="Sub-Alpine","1.0")))))))</f>
        <v>.96</v>
      </c>
      <c r="CC472" s="76" t="str">
        <f>IF(S472="Local Endemic",".50",IF(S472="Regional Endemic",".70",IF(S472="Cascadia",".90",IF(S472="Rocky Mountain",".95",IF(S472="North America",".99")))))</f>
        <v>.95</v>
      </c>
      <c r="CD472" s="4"/>
      <c r="CE472" s="21">
        <f>IF(W472&gt;3,3,W472)</f>
        <v>3</v>
      </c>
      <c r="CF472" s="21">
        <f>IF(AC472&gt;102,102,AC472)</f>
        <v>30.6</v>
      </c>
      <c r="CG472" s="34">
        <f>IF(AI472&lt;$AW$4,$AW$4,AI472)</f>
        <v>2004</v>
      </c>
      <c r="CH472" s="34">
        <f>IF(AJ472&lt;$AW$4,$AW$4,AJ472)</f>
        <v>2004</v>
      </c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13"/>
    </row>
    <row r="473" spans="1:116" ht="15" customHeight="1" x14ac:dyDescent="0.3">
      <c r="A473" s="235"/>
      <c r="B473" s="218"/>
      <c r="C473" s="226">
        <v>2</v>
      </c>
      <c r="D473" s="104" t="s">
        <v>2505</v>
      </c>
      <c r="E473" s="104" t="s">
        <v>2501</v>
      </c>
      <c r="F473" s="400" t="str">
        <f ca="1">IF(BC473&lt;2025, "Extinct&lt; 6Yrs?",BA473)</f>
        <v>Widespread</v>
      </c>
      <c r="G473" s="369" t="s">
        <v>525</v>
      </c>
      <c r="H473" s="369" t="s">
        <v>4028</v>
      </c>
      <c r="I473" s="370" t="s">
        <v>153</v>
      </c>
      <c r="J473" s="371" t="s">
        <v>3748</v>
      </c>
      <c r="K473" s="371" t="s">
        <v>1022</v>
      </c>
      <c r="L473" s="106" t="s">
        <v>1537</v>
      </c>
      <c r="M473" s="111" t="s">
        <v>4548</v>
      </c>
      <c r="N473" s="111" t="s">
        <v>5445</v>
      </c>
      <c r="O473" s="111" t="s">
        <v>6343</v>
      </c>
      <c r="P473" s="105" t="s">
        <v>154</v>
      </c>
      <c r="Q473" s="104" t="s">
        <v>2552</v>
      </c>
      <c r="R473" s="105" t="s">
        <v>2499</v>
      </c>
      <c r="S473" s="105" t="s">
        <v>2495</v>
      </c>
      <c r="T473" s="133" t="str">
        <f>IF(R473="Bogs Ponds Streams","20",IF(R473="Coastal Areas","26",IF(R473="Meadows Dry Open","10",IF(R473="Forest &amp; Understory","14",IF(R473="Moist Open","12",IF(R473="Moist Shady","10",IF(R473="Sub-Alpine Slopes","0")))))))</f>
        <v>20</v>
      </c>
      <c r="U473" s="133" t="str">
        <f>IF(R473="Bogs Ponds Streams","52",IF(R473="Coastal Areas","51",IF(R473="Meadows Dry Open","53",IF(R473="Forest &amp; Understory","52",IF(R473="Moist Open","50",IF(R473="Moist Shady","46",IF(R473="Sub-Alpine Slopes","40")))))))</f>
        <v>52</v>
      </c>
      <c r="V473" s="133" t="str">
        <f>IF(R473="Bogs Ponds Streams","84",IF(R473="Coastal Areas","76",IF(R473="Meadows Dry Open","96", IF(R473="Forest &amp; Understory","90", IF(R473="Moist Open","88", IF(R473="Moist Shady","82", IF(R473="Sub-Alpine Slopes","80")))))))</f>
        <v>84</v>
      </c>
      <c r="W473" s="104">
        <v>20</v>
      </c>
      <c r="X473" s="104">
        <v>0</v>
      </c>
      <c r="Y473" s="104">
        <v>3500</v>
      </c>
      <c r="Z473" s="104" t="s">
        <v>2519</v>
      </c>
      <c r="AA473" s="104" t="s">
        <v>2518</v>
      </c>
      <c r="AB473" s="104">
        <v>6.8</v>
      </c>
      <c r="AC473" s="107">
        <f>C473+AK473+(0.1)*AL473</f>
        <v>5</v>
      </c>
      <c r="AD473" s="113">
        <v>21</v>
      </c>
      <c r="AE473" s="112">
        <v>3</v>
      </c>
      <c r="AF473" s="112">
        <v>4</v>
      </c>
      <c r="AG473" s="113">
        <v>1890</v>
      </c>
      <c r="AH473" s="113">
        <v>0</v>
      </c>
      <c r="AI473" s="113">
        <v>2011</v>
      </c>
      <c r="AJ473" s="108">
        <v>2018</v>
      </c>
      <c r="AK473" s="108">
        <v>3</v>
      </c>
      <c r="AL473" s="108">
        <v>0</v>
      </c>
      <c r="AM473" s="109">
        <v>8</v>
      </c>
      <c r="AN473" s="109">
        <v>8</v>
      </c>
      <c r="AO473" s="110">
        <v>0</v>
      </c>
      <c r="AP473" s="109">
        <v>8</v>
      </c>
      <c r="AQ473" s="109">
        <v>0</v>
      </c>
      <c r="AR473" s="109">
        <v>0</v>
      </c>
      <c r="AS473" s="110">
        <v>0</v>
      </c>
      <c r="AT473" s="109">
        <v>0</v>
      </c>
      <c r="AU473" s="109">
        <v>0</v>
      </c>
      <c r="AV473" s="109">
        <v>0</v>
      </c>
      <c r="AW473" s="110">
        <v>0</v>
      </c>
      <c r="AX473" s="109">
        <v>0</v>
      </c>
      <c r="AY473" s="233"/>
      <c r="AZ473" s="4"/>
      <c r="BA473" s="35" t="str">
        <f>IF(OR(S473="North America",S473="Rocky Mountain"), "Widespread",BC473)</f>
        <v>Widespread</v>
      </c>
      <c r="BB473" s="4"/>
      <c r="BC473" s="35" t="str">
        <f ca="1">IF(BE473&gt;2046, "Abundant",BE473)</f>
        <v>Abundant</v>
      </c>
      <c r="BD473" s="4"/>
      <c r="BE473" s="81">
        <f ca="1">YEAR($C$13)+(BG473*80)</f>
        <v>2072.7084938799762</v>
      </c>
      <c r="BF473" s="4"/>
      <c r="BG473" s="137">
        <f ca="1">BH473*$BH$14</f>
        <v>0.67135617349970289</v>
      </c>
      <c r="BH473" s="137">
        <f ca="1">(((BJ473+BK473+BM473+BN473)/4)*$BM$11)+(((BP473+BQ473)/2)*$BQ$11)+(((BU473+BV473+BW473)/3)*$BU$11)+(((BY473+BZ473+CA473+CB473+CC473)/5)*$CA$11)</f>
        <v>0.67135617349970289</v>
      </c>
      <c r="BI473" s="4"/>
      <c r="BJ473" s="33">
        <f>AP473/(AM473+AO473)</f>
        <v>1</v>
      </c>
      <c r="BK473" s="33">
        <f>(AN473+AO473)/(AM473+AO473)</f>
        <v>1</v>
      </c>
      <c r="BL473" s="4"/>
      <c r="BM473" s="127">
        <f>CF473/102</f>
        <v>4.9019607843137254E-2</v>
      </c>
      <c r="BN473" s="127">
        <f>C473/2</f>
        <v>1</v>
      </c>
      <c r="BO473" s="4"/>
      <c r="BP473" s="127">
        <f>(AK473)/($AW$6)</f>
        <v>3.0303030303030304E-2</v>
      </c>
      <c r="BQ473" s="127">
        <f ca="1">(CH473-$AW$4)/((YEAR($C$13))-$AW$4)</f>
        <v>0.93333333333333335</v>
      </c>
      <c r="BR473" s="127">
        <f>(AL473)/($AW$6)</f>
        <v>0</v>
      </c>
      <c r="BS473" s="4"/>
      <c r="BT473" s="127"/>
      <c r="BU473" s="127">
        <f ca="1">(CG473-$AW$4)/((YEAR($C$13))-$AW$4)</f>
        <v>0.46666666666666667</v>
      </c>
      <c r="BV473" s="127">
        <f>AE473/5</f>
        <v>0.6</v>
      </c>
      <c r="BW473" s="127">
        <f>AF473/5</f>
        <v>0.8</v>
      </c>
      <c r="BX473" s="4"/>
      <c r="BY473" s="148" t="str">
        <f>IF(E473="A",".98",IF(E473="B",".99",IF(E473="C","1.00",IF(E473="D","1.00" ))))</f>
        <v>1.00</v>
      </c>
      <c r="BZ473" s="127">
        <f>(CE473+7)/10</f>
        <v>1</v>
      </c>
      <c r="CA473" s="76" t="str">
        <f>IF(D473="Fern",".97",IF(D473="Grass",".99",IF(D473="Herb",".97",IF(D473="Shrub",".99",IF(D473="Tree","1.00",IF(D473="Vine",".98"))))))</f>
        <v>.97</v>
      </c>
      <c r="CB473" s="149" t="str">
        <f>IF(R473="Bogs Ponds Streams",".96", IF(R473="Coastal Areas",".97",IF(R473="Meadows Dry Open",".96",IF(R473="Forest &amp; Understory",".97",IF(R473="Moist Open",".98",IF(R473="Moist Shady",".96",IF(R473="Sub-Alpine","1.0")))))))</f>
        <v>.96</v>
      </c>
      <c r="CC473" s="76" t="str">
        <f>IF(S473="Local Endemic",".50",IF(S473="Regional Endemic",".70",IF(S473="Cascadia",".90",IF(S473="Rocky Mountain",".95",IF(S473="North America",".99")))))</f>
        <v>.99</v>
      </c>
      <c r="CD473" s="4"/>
      <c r="CE473" s="21">
        <f>IF(W473&gt;3,3,W473)</f>
        <v>3</v>
      </c>
      <c r="CF473" s="21">
        <f>IF(AC473&gt;102,102,AC473)</f>
        <v>5</v>
      </c>
      <c r="CG473" s="34">
        <f>IF(AI473&lt;$AW$4,$AW$4,AI473)</f>
        <v>2011</v>
      </c>
      <c r="CH473" s="34">
        <f>IF(AJ473&lt;$AW$4,$AW$4,AJ473)</f>
        <v>2018</v>
      </c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13"/>
    </row>
    <row r="474" spans="1:116" ht="15" customHeight="1" x14ac:dyDescent="0.3">
      <c r="A474" s="235"/>
      <c r="B474" s="218"/>
      <c r="C474" s="375">
        <v>1</v>
      </c>
      <c r="D474" s="67" t="s">
        <v>2505</v>
      </c>
      <c r="E474" s="67" t="s">
        <v>2501</v>
      </c>
      <c r="F474" s="403" t="str">
        <f ca="1">IF(BC474&lt;2025, "Extinct&lt; 6Yrs?",BA474)</f>
        <v>Widespread</v>
      </c>
      <c r="G474" s="376" t="s">
        <v>525</v>
      </c>
      <c r="H474" s="376" t="s">
        <v>4028</v>
      </c>
      <c r="I474" s="378" t="s">
        <v>3155</v>
      </c>
      <c r="J474" s="378" t="s">
        <v>3582</v>
      </c>
      <c r="K474" s="378" t="s">
        <v>1315</v>
      </c>
      <c r="L474" s="65" t="s">
        <v>3188</v>
      </c>
      <c r="M474" s="64" t="s">
        <v>4549</v>
      </c>
      <c r="N474" s="64" t="s">
        <v>5446</v>
      </c>
      <c r="O474" s="64" t="s">
        <v>6344</v>
      </c>
      <c r="P474" s="61" t="s">
        <v>1313</v>
      </c>
      <c r="Q474" s="67" t="s">
        <v>2552</v>
      </c>
      <c r="R474" s="61" t="s">
        <v>2498</v>
      </c>
      <c r="S474" s="65" t="s">
        <v>2495</v>
      </c>
      <c r="T474" s="134" t="str">
        <f>IF(R474="Bogs Ponds Streams","20",IF(R474="Coastal Areas","26",IF(R474="Meadows Dry Open","10",IF(R474="Forest &amp; Understory","14",IF(R474="Moist Open","12",IF(R474="Moist Shady","10",IF(R474="Sub-Alpine Slopes","0")))))))</f>
        <v>10</v>
      </c>
      <c r="U474" s="134" t="str">
        <f>IF(R474="Bogs Ponds Streams","52",IF(R474="Coastal Areas","51",IF(R474="Meadows Dry Open","53",IF(R474="Forest &amp; Understory","52",IF(R474="Moist Open","50",IF(R474="Moist Shady","46",IF(R474="Sub-Alpine Slopes","40")))))))</f>
        <v>46</v>
      </c>
      <c r="V474" s="134" t="str">
        <f>IF(R474="Bogs Ponds Streams","84",IF(R474="Coastal Areas","76",IF(R474="Meadows Dry Open","96", IF(R474="Forest &amp; Understory","90", IF(R474="Moist Open","88", IF(R474="Moist Shady","82", IF(R474="Sub-Alpine Slopes","80")))))))</f>
        <v>82</v>
      </c>
      <c r="W474" s="67">
        <v>20</v>
      </c>
      <c r="X474" s="67">
        <v>0</v>
      </c>
      <c r="Y474" s="67">
        <v>3500</v>
      </c>
      <c r="Z474" s="67" t="s">
        <v>2519</v>
      </c>
      <c r="AA474" s="67" t="s">
        <v>2518</v>
      </c>
      <c r="AB474" s="67">
        <v>6.8</v>
      </c>
      <c r="AC474" s="85">
        <f>C474+AK474+(0.1)*AL474</f>
        <v>2.1</v>
      </c>
      <c r="AD474" s="78">
        <v>5</v>
      </c>
      <c r="AE474" s="67">
        <v>1</v>
      </c>
      <c r="AF474" s="67">
        <v>5</v>
      </c>
      <c r="AG474" s="67">
        <v>1900</v>
      </c>
      <c r="AH474" s="78">
        <v>0</v>
      </c>
      <c r="AI474" s="67">
        <f>AJ474</f>
        <v>2004</v>
      </c>
      <c r="AJ474" s="69">
        <v>2004</v>
      </c>
      <c r="AK474" s="69">
        <v>1</v>
      </c>
      <c r="AL474" s="69">
        <v>1</v>
      </c>
      <c r="AM474" s="70">
        <v>5</v>
      </c>
      <c r="AN474" s="70">
        <v>0</v>
      </c>
      <c r="AO474" s="86">
        <v>0</v>
      </c>
      <c r="AP474" s="70">
        <v>0</v>
      </c>
      <c r="AQ474" s="70">
        <v>0</v>
      </c>
      <c r="AR474" s="70">
        <v>0</v>
      </c>
      <c r="AS474" s="86">
        <v>0</v>
      </c>
      <c r="AT474" s="70">
        <v>0</v>
      </c>
      <c r="AU474" s="70">
        <v>0</v>
      </c>
      <c r="AV474" s="70">
        <v>0</v>
      </c>
      <c r="AW474" s="86">
        <v>0</v>
      </c>
      <c r="AX474" s="70">
        <v>0</v>
      </c>
      <c r="AY474" s="233"/>
      <c r="AZ474" s="4"/>
      <c r="BA474" s="35" t="str">
        <f>IF(OR(S474="North America",S474="Rocky Mountain"), "Widespread",BC474)</f>
        <v>Widespread</v>
      </c>
      <c r="BB474" s="4"/>
      <c r="BC474" s="35">
        <f ca="1">IF(BE474&gt;2046, "Abundant",BE474)</f>
        <v>2029.5026709447416</v>
      </c>
      <c r="BD474" s="4"/>
      <c r="BE474" s="81">
        <f ca="1">YEAR($C$13)+(BG474*80)</f>
        <v>2029.5026709447416</v>
      </c>
      <c r="BF474" s="4"/>
      <c r="BG474" s="137">
        <f ca="1">BH474*$BH$14</f>
        <v>0.13128338680926915</v>
      </c>
      <c r="BH474" s="137">
        <f ca="1">(((BJ474+BK474+BM474+BN474)/4)*$BM$11)+(((BP474+BQ474)/2)*$BQ$11)+(((BU474+BV474+BW474)/3)*$BU$11)+(((BY474+BZ474+CA474+CB474+CC474)/5)*$CA$11)</f>
        <v>0.13128338680926915</v>
      </c>
      <c r="BI474" s="4"/>
      <c r="BJ474" s="33">
        <f>AP474/(AM474+AO474)</f>
        <v>0</v>
      </c>
      <c r="BK474" s="33">
        <f>(AN474+AO474)/(AM474+AO474)</f>
        <v>0</v>
      </c>
      <c r="BL474" s="4"/>
      <c r="BM474" s="127">
        <f>CF474/102</f>
        <v>2.0588235294117647E-2</v>
      </c>
      <c r="BN474" s="127">
        <f>C474/2</f>
        <v>0.5</v>
      </c>
      <c r="BO474" s="4"/>
      <c r="BP474" s="127">
        <f>(AK474)/($AW$6)</f>
        <v>1.0101010101010102E-2</v>
      </c>
      <c r="BQ474" s="127">
        <f ca="1">(CH474-$AW$4)/((YEAR($C$13))-$AW$4)</f>
        <v>0</v>
      </c>
      <c r="BR474" s="127">
        <f>(AL474)/($AW$6)</f>
        <v>1.0101010101010102E-2</v>
      </c>
      <c r="BS474" s="4"/>
      <c r="BT474" s="127"/>
      <c r="BU474" s="127">
        <f ca="1">(CG474-$AW$4)/((YEAR($C$13))-$AW$4)</f>
        <v>0</v>
      </c>
      <c r="BV474" s="127">
        <f>AE474/5</f>
        <v>0.2</v>
      </c>
      <c r="BW474" s="127">
        <f>AF474/5</f>
        <v>1</v>
      </c>
      <c r="BX474" s="4"/>
      <c r="BY474" s="148" t="str">
        <f>IF(E474="A",".98",IF(E474="B",".99",IF(E474="C","1.00",IF(E474="D","1.00" ))))</f>
        <v>1.00</v>
      </c>
      <c r="BZ474" s="127">
        <f>(CE474+7)/10</f>
        <v>1</v>
      </c>
      <c r="CA474" s="76" t="str">
        <f>IF(D474="Fern",".97",IF(D474="Grass",".99",IF(D474="Herb",".97",IF(D474="Shrub",".99",IF(D474="Tree","1.00",IF(D474="Vine",".98"))))))</f>
        <v>.97</v>
      </c>
      <c r="CB474" s="149" t="str">
        <f>IF(R474="Bogs Ponds Streams",".96", IF(R474="Coastal Areas",".97",IF(R474="Meadows Dry Open",".96",IF(R474="Forest &amp; Understory",".97",IF(R474="Moist Open",".98",IF(R474="Moist Shady",".96",IF(R474="Sub-Alpine","1.0")))))))</f>
        <v>.96</v>
      </c>
      <c r="CC474" s="76" t="str">
        <f>IF(S474="Local Endemic",".50",IF(S474="Regional Endemic",".70",IF(S474="Cascadia",".90",IF(S474="Rocky Mountain",".95",IF(S474="North America",".99")))))</f>
        <v>.99</v>
      </c>
      <c r="CD474" s="4"/>
      <c r="CE474" s="21">
        <f>IF(W474&gt;3,3,W474)</f>
        <v>3</v>
      </c>
      <c r="CF474" s="21">
        <f>IF(AC474&gt;102,102,AC474)</f>
        <v>2.1</v>
      </c>
      <c r="CG474" s="34">
        <f>IF(AI474&lt;$AW$4,$AW$4,AI474)</f>
        <v>2004</v>
      </c>
      <c r="CH474" s="34">
        <f>IF(AJ474&lt;$AW$4,$AW$4,AJ474)</f>
        <v>2004</v>
      </c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</row>
    <row r="475" spans="1:116" ht="15" customHeight="1" x14ac:dyDescent="0.3">
      <c r="A475" s="235"/>
      <c r="B475" s="218"/>
      <c r="C475" s="225">
        <v>8</v>
      </c>
      <c r="D475" s="59" t="s">
        <v>2505</v>
      </c>
      <c r="E475" s="59" t="s">
        <v>2501</v>
      </c>
      <c r="F475" s="397" t="str">
        <f ca="1">IF(BC475&lt;2025, "Extinct&lt; 6Yrs?",BA475)</f>
        <v>Widespread</v>
      </c>
      <c r="G475" s="363" t="s">
        <v>525</v>
      </c>
      <c r="H475" s="363" t="s">
        <v>690</v>
      </c>
      <c r="I475" s="366" t="s">
        <v>39</v>
      </c>
      <c r="J475" s="365" t="s">
        <v>3392</v>
      </c>
      <c r="K475" s="365" t="s">
        <v>1023</v>
      </c>
      <c r="L475" s="10" t="s">
        <v>1538</v>
      </c>
      <c r="M475" s="8" t="s">
        <v>4550</v>
      </c>
      <c r="N475" s="8" t="s">
        <v>5447</v>
      </c>
      <c r="O475" s="8" t="s">
        <v>6345</v>
      </c>
      <c r="P475" s="9" t="s">
        <v>558</v>
      </c>
      <c r="Q475" s="59" t="s">
        <v>2552</v>
      </c>
      <c r="R475" s="9" t="s">
        <v>2530</v>
      </c>
      <c r="S475" s="9" t="s">
        <v>2479</v>
      </c>
      <c r="T475" s="123" t="str">
        <f>IF(R475="Bogs Ponds Streams","20",IF(R475="Coastal Areas","26",IF(R475="Meadows Dry Open","10",IF(R475="Forest &amp; Understory","14",IF(R475="Moist Open","12",IF(R475="Moist Shady","10",IF(R475="Sub-Alpine Slopes","0")))))))</f>
        <v>14</v>
      </c>
      <c r="U475" s="123" t="str">
        <f>IF(R475="Bogs Ponds Streams","52",IF(R475="Coastal Areas","51",IF(R475="Meadows Dry Open","53",IF(R475="Forest &amp; Understory","52",IF(R475="Moist Open","50",IF(R475="Moist Shady","46",IF(R475="Sub-Alpine Slopes","40")))))))</f>
        <v>52</v>
      </c>
      <c r="V475" s="123" t="str">
        <f>IF(R475="Bogs Ponds Streams","84",IF(R475="Coastal Areas","76",IF(R475="Meadows Dry Open","96", IF(R475="Forest &amp; Understory","90", IF(R475="Moist Open","88", IF(R475="Moist Shady","82", IF(R475="Sub-Alpine Slopes","80")))))))</f>
        <v>90</v>
      </c>
      <c r="W475" s="59">
        <v>20</v>
      </c>
      <c r="X475" s="59">
        <v>0</v>
      </c>
      <c r="Y475" s="59">
        <v>3500</v>
      </c>
      <c r="Z475" s="59" t="s">
        <v>2519</v>
      </c>
      <c r="AA475" s="59" t="s">
        <v>2518</v>
      </c>
      <c r="AB475" s="59">
        <v>6.8</v>
      </c>
      <c r="AC475" s="45">
        <f>C475+AK475+(0.1)*AL475</f>
        <v>15.2</v>
      </c>
      <c r="AD475" s="77">
        <v>77</v>
      </c>
      <c r="AE475" s="59">
        <v>5</v>
      </c>
      <c r="AF475" s="59">
        <v>5</v>
      </c>
      <c r="AG475" s="59">
        <v>1900</v>
      </c>
      <c r="AH475" s="77">
        <v>0</v>
      </c>
      <c r="AI475" s="59">
        <f ca="1">AJ475</f>
        <v>2019</v>
      </c>
      <c r="AJ475" s="18">
        <f ca="1">YEAR(TODAY())</f>
        <v>2019</v>
      </c>
      <c r="AK475" s="18">
        <v>5</v>
      </c>
      <c r="AL475" s="18">
        <v>22</v>
      </c>
      <c r="AM475" s="18">
        <v>1</v>
      </c>
      <c r="AN475" s="18">
        <v>1</v>
      </c>
      <c r="AO475" s="24">
        <v>1</v>
      </c>
      <c r="AP475" s="24">
        <v>0</v>
      </c>
      <c r="AQ475" s="18">
        <v>0</v>
      </c>
      <c r="AR475" s="18">
        <v>0</v>
      </c>
      <c r="AS475" s="18">
        <v>0</v>
      </c>
      <c r="AT475" s="18">
        <v>0</v>
      </c>
      <c r="AU475" s="18">
        <v>0</v>
      </c>
      <c r="AV475" s="18">
        <v>0</v>
      </c>
      <c r="AW475" s="18">
        <v>0</v>
      </c>
      <c r="AX475" s="18">
        <v>0</v>
      </c>
      <c r="AY475" s="233"/>
      <c r="AZ475" s="4"/>
      <c r="BA475" s="35" t="str">
        <f>IF(OR(S475="North America",S475="Rocky Mountain"), "Widespread",BC475)</f>
        <v>Widespread</v>
      </c>
      <c r="BB475" s="4"/>
      <c r="BC475" s="35" t="str">
        <f ca="1">IF(BE475&gt;2046, "Abundant",BE475)</f>
        <v>Abundant</v>
      </c>
      <c r="BD475" s="4"/>
      <c r="BE475" s="81">
        <f ca="1">YEAR($C$13)+(BG475*80)</f>
        <v>2101.3590959001781</v>
      </c>
      <c r="BF475" s="4"/>
      <c r="BG475" s="137">
        <f ca="1">BH475*$BH$14</f>
        <v>1.029488698752228</v>
      </c>
      <c r="BH475" s="137">
        <f ca="1">(((BJ475+BK475+BM475+BN475)/4)*$BM$11)+(((BP475+BQ475)/2)*$BQ$11)+(((BU475+BV475+BW475)/3)*$BU$11)+(((BY475+BZ475+CA475+CB475+CC475)/5)*$CA$11)</f>
        <v>1.029488698752228</v>
      </c>
      <c r="BI475" s="4"/>
      <c r="BJ475" s="33">
        <f>AP475/(AM475+AO475)</f>
        <v>0</v>
      </c>
      <c r="BK475" s="33">
        <f>(AN475+AO475)/(AM475+AO475)</f>
        <v>1</v>
      </c>
      <c r="BL475" s="4"/>
      <c r="BM475" s="127">
        <f>CF475/102</f>
        <v>0.14901960784313725</v>
      </c>
      <c r="BN475" s="127">
        <f>C475/2</f>
        <v>4</v>
      </c>
      <c r="BO475" s="4"/>
      <c r="BP475" s="127">
        <f>(AK475)/($AW$6)</f>
        <v>5.0505050505050504E-2</v>
      </c>
      <c r="BQ475" s="127">
        <f ca="1">(CH475-$AW$4)/((YEAR($C$13))-$AW$4)</f>
        <v>1</v>
      </c>
      <c r="BR475" s="127">
        <f>(AL475)/($AW$6)</f>
        <v>0.22222222222222221</v>
      </c>
      <c r="BS475" s="4"/>
      <c r="BT475" s="127"/>
      <c r="BU475" s="127">
        <f ca="1">(CG475-$AW$4)/((YEAR($C$13))-$AW$4)</f>
        <v>1</v>
      </c>
      <c r="BV475" s="127">
        <f>AE475/5</f>
        <v>1</v>
      </c>
      <c r="BW475" s="127">
        <f>AF475/5</f>
        <v>1</v>
      </c>
      <c r="BX475" s="4"/>
      <c r="BY475" s="148" t="str">
        <f>IF(E475="A",".98",IF(E475="B",".99",IF(E475="C","1.00",IF(E475="D","1.00" ))))</f>
        <v>1.00</v>
      </c>
      <c r="BZ475" s="127">
        <f>(CE475+7)/10</f>
        <v>1</v>
      </c>
      <c r="CA475" s="76" t="str">
        <f>IF(D475="Fern",".97",IF(D475="Grass",".99",IF(D475="Herb",".97",IF(D475="Shrub",".99",IF(D475="Tree","1.00",IF(D475="Vine",".98"))))))</f>
        <v>.97</v>
      </c>
      <c r="CB475" s="149" t="str">
        <f>IF(R475="Bogs Ponds Streams",".96", IF(R475="Coastal Areas",".97",IF(R475="Meadows Dry Open",".96",IF(R475="Forest &amp; Understory",".97",IF(R475="Moist Open",".98",IF(R475="Moist Shady",".96",IF(R475="Sub-Alpine","1.0")))))))</f>
        <v>.97</v>
      </c>
      <c r="CC475" s="76" t="str">
        <f>IF(S475="Local Endemic",".50",IF(S475="Regional Endemic",".70",IF(S475="Cascadia",".90",IF(S475="Rocky Mountain",".95",IF(S475="North America",".99")))))</f>
        <v>.95</v>
      </c>
      <c r="CD475" s="4"/>
      <c r="CE475" s="21">
        <f>IF(W475&gt;3,3,W475)</f>
        <v>3</v>
      </c>
      <c r="CF475" s="21">
        <f>IF(AC475&gt;102,102,AC475)</f>
        <v>15.2</v>
      </c>
      <c r="CG475" s="34">
        <f ca="1">IF(AI475&lt;$AW$4,$AW$4,AI475)</f>
        <v>2019</v>
      </c>
      <c r="CH475" s="34">
        <f ca="1">IF(AJ475&lt;$AW$4,$AW$4,AJ475)</f>
        <v>2019</v>
      </c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13"/>
    </row>
    <row r="476" spans="1:116" ht="15" customHeight="1" x14ac:dyDescent="0.3">
      <c r="A476" s="235"/>
      <c r="B476" s="218"/>
      <c r="C476" s="225">
        <v>8</v>
      </c>
      <c r="D476" s="59" t="s">
        <v>2505</v>
      </c>
      <c r="E476" s="59" t="s">
        <v>2502</v>
      </c>
      <c r="F476" s="397" t="str">
        <f ca="1">IF(BC476&lt;2025, "Extinct&lt; 6Yrs?",BA476)</f>
        <v>Abundant</v>
      </c>
      <c r="G476" s="363" t="s">
        <v>525</v>
      </c>
      <c r="H476" s="363" t="s">
        <v>690</v>
      </c>
      <c r="I476" s="364" t="s">
        <v>1241</v>
      </c>
      <c r="J476" s="365" t="s">
        <v>3393</v>
      </c>
      <c r="K476" s="365" t="s">
        <v>1245</v>
      </c>
      <c r="L476" s="17" t="s">
        <v>1539</v>
      </c>
      <c r="M476" s="8" t="s">
        <v>4551</v>
      </c>
      <c r="N476" s="8" t="s">
        <v>5448</v>
      </c>
      <c r="O476" s="8" t="s">
        <v>6346</v>
      </c>
      <c r="P476" s="9" t="s">
        <v>558</v>
      </c>
      <c r="Q476" s="59" t="s">
        <v>2552</v>
      </c>
      <c r="R476" s="9" t="s">
        <v>2530</v>
      </c>
      <c r="S476" s="17" t="s">
        <v>2459</v>
      </c>
      <c r="T476" s="123" t="str">
        <f>IF(R476="Bogs Ponds Streams","20",IF(R476="Coastal Areas","26",IF(R476="Meadows Dry Open","10",IF(R476="Forest &amp; Understory","14",IF(R476="Moist Open","12",IF(R476="Moist Shady","10",IF(R476="Sub-Alpine Slopes","0")))))))</f>
        <v>14</v>
      </c>
      <c r="U476" s="123" t="str">
        <f>IF(R476="Bogs Ponds Streams","52",IF(R476="Coastal Areas","51",IF(R476="Meadows Dry Open","53",IF(R476="Forest &amp; Understory","52",IF(R476="Moist Open","50",IF(R476="Moist Shady","46",IF(R476="Sub-Alpine Slopes","40")))))))</f>
        <v>52</v>
      </c>
      <c r="V476" s="123" t="str">
        <f>IF(R476="Bogs Ponds Streams","84",IF(R476="Coastal Areas","76",IF(R476="Meadows Dry Open","96", IF(R476="Forest &amp; Understory","90", IF(R476="Moist Open","88", IF(R476="Moist Shady","82", IF(R476="Sub-Alpine Slopes","80")))))))</f>
        <v>90</v>
      </c>
      <c r="W476" s="59">
        <v>1</v>
      </c>
      <c r="X476" s="59">
        <v>0</v>
      </c>
      <c r="Y476" s="59">
        <v>3500</v>
      </c>
      <c r="Z476" s="59" t="s">
        <v>2519</v>
      </c>
      <c r="AA476" s="59" t="s">
        <v>2518</v>
      </c>
      <c r="AB476" s="59">
        <v>6.8</v>
      </c>
      <c r="AC476" s="45">
        <f>C476+AK476+(0.1)*AL476</f>
        <v>23.3</v>
      </c>
      <c r="AD476" s="77">
        <v>183</v>
      </c>
      <c r="AE476" s="59">
        <v>5</v>
      </c>
      <c r="AF476" s="59">
        <v>5</v>
      </c>
      <c r="AG476" s="59">
        <v>1900</v>
      </c>
      <c r="AH476" s="77">
        <v>0</v>
      </c>
      <c r="AI476" s="59">
        <f ca="1">AJ476</f>
        <v>2019</v>
      </c>
      <c r="AJ476" s="18">
        <f ca="1">YEAR(TODAY())</f>
        <v>2019</v>
      </c>
      <c r="AK476" s="18">
        <v>12</v>
      </c>
      <c r="AL476" s="18">
        <v>33</v>
      </c>
      <c r="AM476" s="18">
        <v>1</v>
      </c>
      <c r="AN476" s="18">
        <v>1</v>
      </c>
      <c r="AO476" s="25">
        <v>0</v>
      </c>
      <c r="AP476" s="24">
        <v>0</v>
      </c>
      <c r="AQ476" s="18">
        <v>0</v>
      </c>
      <c r="AR476" s="18">
        <v>0</v>
      </c>
      <c r="AS476" s="18">
        <v>0</v>
      </c>
      <c r="AT476" s="18">
        <v>0</v>
      </c>
      <c r="AU476" s="18">
        <v>0</v>
      </c>
      <c r="AV476" s="18">
        <v>0</v>
      </c>
      <c r="AW476" s="18">
        <v>0</v>
      </c>
      <c r="AX476" s="18">
        <v>0</v>
      </c>
      <c r="AY476" s="233"/>
      <c r="AZ476" s="4"/>
      <c r="BA476" s="35" t="str">
        <f ca="1">IF(OR(S476="North America",S476="Rocky Mountain"), "Widespread",BC476)</f>
        <v>Abundant</v>
      </c>
      <c r="BB476" s="4"/>
      <c r="BC476" s="35" t="str">
        <f ca="1">IF(BE476&gt;2046, "Abundant",BE476)</f>
        <v>Abundant</v>
      </c>
      <c r="BD476" s="4"/>
      <c r="BE476" s="81">
        <f ca="1">YEAR($C$13)+(BG476*80)</f>
        <v>2103.0741219251336</v>
      </c>
      <c r="BF476" s="4"/>
      <c r="BG476" s="137">
        <f ca="1">BH476*$BH$14</f>
        <v>1.0509265240641712</v>
      </c>
      <c r="BH476" s="137">
        <f ca="1">(((BJ476+BK476+BM476+BN476)/4)*$BM$11)+(((BP476+BQ476)/2)*$BQ$11)+(((BU476+BV476+BW476)/3)*$BU$11)+(((BY476+BZ476+CA476+CB476+CC476)/5)*$CA$11)</f>
        <v>1.0509265240641712</v>
      </c>
      <c r="BI476" s="4"/>
      <c r="BJ476" s="33">
        <f>AP476/(AM476+AO476)</f>
        <v>0</v>
      </c>
      <c r="BK476" s="33">
        <f>(AN476+AO476)/(AM476+AO476)</f>
        <v>1</v>
      </c>
      <c r="BL476" s="4"/>
      <c r="BM476" s="127">
        <f>CF476/102</f>
        <v>0.2284313725490196</v>
      </c>
      <c r="BN476" s="127">
        <f>C476/2</f>
        <v>4</v>
      </c>
      <c r="BO476" s="4"/>
      <c r="BP476" s="127">
        <f>(AK476)/($AW$6)</f>
        <v>0.12121212121212122</v>
      </c>
      <c r="BQ476" s="127">
        <f ca="1">(CH476-$AW$4)/((YEAR($C$13))-$AW$4)</f>
        <v>1</v>
      </c>
      <c r="BR476" s="127">
        <f>(AL476)/($AW$6)</f>
        <v>0.33333333333333331</v>
      </c>
      <c r="BS476" s="4"/>
      <c r="BT476" s="127"/>
      <c r="BU476" s="127">
        <f ca="1">(CG476-$AW$4)/((YEAR($C$13))-$AW$4)</f>
        <v>1</v>
      </c>
      <c r="BV476" s="127">
        <f>AE476/5</f>
        <v>1</v>
      </c>
      <c r="BW476" s="127">
        <f>AF476/5</f>
        <v>1</v>
      </c>
      <c r="BX476" s="4"/>
      <c r="BY476" s="148" t="str">
        <f>IF(E476="A",".98",IF(E476="B",".99",IF(E476="C","1.00",IF(E476="D","1.00" ))))</f>
        <v>.98</v>
      </c>
      <c r="BZ476" s="127">
        <f>(CE476+7)/10</f>
        <v>0.8</v>
      </c>
      <c r="CA476" s="76" t="str">
        <f>IF(D476="Fern",".97",IF(D476="Grass",".99",IF(D476="Herb",".97",IF(D476="Shrub",".99",IF(D476="Tree","1.00",IF(D476="Vine",".98"))))))</f>
        <v>.97</v>
      </c>
      <c r="CB476" s="149" t="str">
        <f>IF(R476="Bogs Ponds Streams",".96", IF(R476="Coastal Areas",".97",IF(R476="Meadows Dry Open",".96",IF(R476="Forest &amp; Understory",".97",IF(R476="Moist Open",".98",IF(R476="Moist Shady",".96",IF(R476="Sub-Alpine","1.0")))))))</f>
        <v>.97</v>
      </c>
      <c r="CC476" s="76" t="str">
        <f>IF(S476="Local Endemic",".50",IF(S476="Regional Endemic",".70",IF(S476="Cascadia",".90",IF(S476="Rocky Mountain",".95",IF(S476="North America",".99")))))</f>
        <v>.90</v>
      </c>
      <c r="CD476" s="4"/>
      <c r="CE476" s="21">
        <f>IF(W476&gt;3,3,W476)</f>
        <v>1</v>
      </c>
      <c r="CF476" s="21">
        <f>IF(AC476&gt;102,102,AC476)</f>
        <v>23.3</v>
      </c>
      <c r="CG476" s="34">
        <f ca="1">IF(AI476&lt;$AW$4,$AW$4,AI476)</f>
        <v>2019</v>
      </c>
      <c r="CH476" s="34">
        <f ca="1">IF(AJ476&lt;$AW$4,$AW$4,AJ476)</f>
        <v>2019</v>
      </c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13"/>
    </row>
    <row r="477" spans="1:116" ht="15" customHeight="1" x14ac:dyDescent="0.3">
      <c r="A477" s="235"/>
      <c r="B477" s="218"/>
      <c r="C477" s="225">
        <v>8</v>
      </c>
      <c r="D477" s="59" t="s">
        <v>2505</v>
      </c>
      <c r="E477" s="59" t="s">
        <v>2501</v>
      </c>
      <c r="F477" s="397" t="str">
        <f ca="1">IF(BC477&lt;2025, "Extinct&lt; 6Yrs?",BA477)</f>
        <v>Abundant</v>
      </c>
      <c r="G477" s="363" t="s">
        <v>525</v>
      </c>
      <c r="H477" s="363" t="s">
        <v>696</v>
      </c>
      <c r="I477" s="366" t="s">
        <v>38</v>
      </c>
      <c r="J477" s="365" t="s">
        <v>3394</v>
      </c>
      <c r="K477" s="365" t="s">
        <v>1027</v>
      </c>
      <c r="L477" s="10" t="s">
        <v>1540</v>
      </c>
      <c r="M477" s="8" t="s">
        <v>4552</v>
      </c>
      <c r="N477" s="8" t="s">
        <v>5449</v>
      </c>
      <c r="O477" s="8" t="s">
        <v>6347</v>
      </c>
      <c r="P477" s="9" t="s">
        <v>558</v>
      </c>
      <c r="Q477" s="59" t="s">
        <v>2552</v>
      </c>
      <c r="R477" s="9" t="s">
        <v>2499</v>
      </c>
      <c r="S477" s="9" t="s">
        <v>2459</v>
      </c>
      <c r="T477" s="123" t="str">
        <f>IF(R477="Bogs Ponds Streams","20",IF(R477="Coastal Areas","26",IF(R477="Meadows Dry Open","10",IF(R477="Forest &amp; Understory","14",IF(R477="Moist Open","12",IF(R477="Moist Shady","10",IF(R477="Sub-Alpine Slopes","0")))))))</f>
        <v>20</v>
      </c>
      <c r="U477" s="123" t="str">
        <f>IF(R477="Bogs Ponds Streams","52",IF(R477="Coastal Areas","51",IF(R477="Meadows Dry Open","53",IF(R477="Forest &amp; Understory","52",IF(R477="Moist Open","50",IF(R477="Moist Shady","46",IF(R477="Sub-Alpine Slopes","40")))))))</f>
        <v>52</v>
      </c>
      <c r="V477" s="123" t="str">
        <f>IF(R477="Bogs Ponds Streams","84",IF(R477="Coastal Areas","76",IF(R477="Meadows Dry Open","96", IF(R477="Forest &amp; Understory","90", IF(R477="Moist Open","88", IF(R477="Moist Shady","82", IF(R477="Sub-Alpine Slopes","80")))))))</f>
        <v>84</v>
      </c>
      <c r="W477" s="59">
        <v>20</v>
      </c>
      <c r="X477" s="59">
        <v>0</v>
      </c>
      <c r="Y477" s="59">
        <v>3500</v>
      </c>
      <c r="Z477" s="59" t="s">
        <v>2519</v>
      </c>
      <c r="AA477" s="59" t="s">
        <v>2518</v>
      </c>
      <c r="AB477" s="59">
        <v>6.8</v>
      </c>
      <c r="AC477" s="45">
        <f>C477+AK477+(0.1)*AL477</f>
        <v>40.299999999999997</v>
      </c>
      <c r="AD477" s="77">
        <v>72</v>
      </c>
      <c r="AE477" s="59">
        <v>5</v>
      </c>
      <c r="AF477" s="59">
        <v>5</v>
      </c>
      <c r="AG477" s="59">
        <v>1900</v>
      </c>
      <c r="AH477" s="77">
        <v>0</v>
      </c>
      <c r="AI477" s="59">
        <f ca="1">AJ477</f>
        <v>2019</v>
      </c>
      <c r="AJ477" s="18">
        <f ca="1">YEAR(TODAY())</f>
        <v>2019</v>
      </c>
      <c r="AK477" s="18">
        <v>32</v>
      </c>
      <c r="AL477" s="18">
        <v>3</v>
      </c>
      <c r="AM477" s="18">
        <v>1</v>
      </c>
      <c r="AN477" s="18">
        <v>1</v>
      </c>
      <c r="AO477" s="18">
        <v>5</v>
      </c>
      <c r="AP477" s="18">
        <v>1</v>
      </c>
      <c r="AQ477" s="18">
        <v>0</v>
      </c>
      <c r="AR477" s="18">
        <v>0</v>
      </c>
      <c r="AS477" s="18">
        <v>0</v>
      </c>
      <c r="AT477" s="18">
        <v>0</v>
      </c>
      <c r="AU477" s="18">
        <v>0</v>
      </c>
      <c r="AV477" s="18">
        <v>0</v>
      </c>
      <c r="AW477" s="18">
        <v>0</v>
      </c>
      <c r="AX477" s="18">
        <v>0</v>
      </c>
      <c r="AY477" s="233"/>
      <c r="AZ477" s="4"/>
      <c r="BA477" s="35" t="str">
        <f ca="1">IF(OR(S477="North America",S477="Rocky Mountain"), "Widespread",BC477)</f>
        <v>Abundant</v>
      </c>
      <c r="BB477" s="4"/>
      <c r="BC477" s="35" t="str">
        <f ca="1">IF(BE477&gt;2046, "Abundant",BE477)</f>
        <v>Abundant</v>
      </c>
      <c r="BD477" s="4"/>
      <c r="BE477" s="81">
        <f ca="1">YEAR($C$13)+(BG477*80)</f>
        <v>2109.565564349376</v>
      </c>
      <c r="BF477" s="4"/>
      <c r="BG477" s="137">
        <f ca="1">BH477*$BH$14</f>
        <v>1.1320695543672015</v>
      </c>
      <c r="BH477" s="137">
        <f ca="1">(((BJ477+BK477+BM477+BN477)/4)*$BM$11)+(((BP477+BQ477)/2)*$BQ$11)+(((BU477+BV477+BW477)/3)*$BU$11)+(((BY477+BZ477+CA477+CB477+CC477)/5)*$CA$11)</f>
        <v>1.1320695543672015</v>
      </c>
      <c r="BI477" s="4"/>
      <c r="BJ477" s="33">
        <f>AP477/(AM477+AO477)</f>
        <v>0.16666666666666666</v>
      </c>
      <c r="BK477" s="33">
        <f>(AN477+AO477)/(AM477+AO477)</f>
        <v>1</v>
      </c>
      <c r="BL477" s="4"/>
      <c r="BM477" s="127">
        <f>CF477/102</f>
        <v>0.39509803921568626</v>
      </c>
      <c r="BN477" s="127">
        <f>C477/2</f>
        <v>4</v>
      </c>
      <c r="BO477" s="4"/>
      <c r="BP477" s="127">
        <f>(AK477)/($AW$6)</f>
        <v>0.32323232323232326</v>
      </c>
      <c r="BQ477" s="127">
        <f ca="1">(CH477-$AW$4)/((YEAR($C$13))-$AW$4)</f>
        <v>1</v>
      </c>
      <c r="BR477" s="127">
        <f>(AL477)/($AW$6)</f>
        <v>3.0303030303030304E-2</v>
      </c>
      <c r="BS477" s="4"/>
      <c r="BT477" s="127"/>
      <c r="BU477" s="127">
        <f ca="1">(CG477-$AW$4)/((YEAR($C$13))-$AW$4)</f>
        <v>1</v>
      </c>
      <c r="BV477" s="127">
        <f>AE477/5</f>
        <v>1</v>
      </c>
      <c r="BW477" s="127">
        <f>AF477/5</f>
        <v>1</v>
      </c>
      <c r="BX477" s="4"/>
      <c r="BY477" s="148" t="str">
        <f>IF(E477="A",".98",IF(E477="B",".99",IF(E477="C","1.00",IF(E477="D","1.00" ))))</f>
        <v>1.00</v>
      </c>
      <c r="BZ477" s="127">
        <f>(CE477+7)/10</f>
        <v>1</v>
      </c>
      <c r="CA477" s="76" t="str">
        <f>IF(D477="Fern",".97",IF(D477="Grass",".99",IF(D477="Herb",".97",IF(D477="Shrub",".99",IF(D477="Tree","1.00",IF(D477="Vine",".98"))))))</f>
        <v>.97</v>
      </c>
      <c r="CB477" s="149" t="str">
        <f>IF(R477="Bogs Ponds Streams",".96", IF(R477="Coastal Areas",".97",IF(R477="Meadows Dry Open",".96",IF(R477="Forest &amp; Understory",".97",IF(R477="Moist Open",".98",IF(R477="Moist Shady",".96",IF(R477="Sub-Alpine","1.0")))))))</f>
        <v>.96</v>
      </c>
      <c r="CC477" s="76" t="str">
        <f>IF(S477="Local Endemic",".50",IF(S477="Regional Endemic",".70",IF(S477="Cascadia",".90",IF(S477="Rocky Mountain",".95",IF(S477="North America",".99")))))</f>
        <v>.90</v>
      </c>
      <c r="CD477" s="4"/>
      <c r="CE477" s="21">
        <f>IF(W477&gt;3,3,W477)</f>
        <v>3</v>
      </c>
      <c r="CF477" s="21">
        <f>IF(AC477&gt;102,102,AC477)</f>
        <v>40.299999999999997</v>
      </c>
      <c r="CG477" s="34">
        <f ca="1">IF(AI477&lt;$AW$4,$AW$4,AI477)</f>
        <v>2019</v>
      </c>
      <c r="CH477" s="34">
        <f ca="1">IF(AJ477&lt;$AW$4,$AW$4,AJ477)</f>
        <v>2019</v>
      </c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13"/>
    </row>
    <row r="478" spans="1:116" ht="15" customHeight="1" x14ac:dyDescent="0.3">
      <c r="A478" s="235"/>
      <c r="B478" s="218"/>
      <c r="C478" s="225">
        <v>8</v>
      </c>
      <c r="D478" s="59" t="s">
        <v>61</v>
      </c>
      <c r="E478" s="59" t="s">
        <v>2501</v>
      </c>
      <c r="F478" s="397" t="str">
        <f ca="1">IF(BC478&lt;2025, "Extinct&lt; 6Yrs?",BA478)</f>
        <v>Widespread</v>
      </c>
      <c r="G478" s="363" t="s">
        <v>525</v>
      </c>
      <c r="H478" s="363" t="s">
        <v>683</v>
      </c>
      <c r="I478" s="366" t="s">
        <v>1024</v>
      </c>
      <c r="J478" s="365" t="s">
        <v>3395</v>
      </c>
      <c r="K478" s="365" t="s">
        <v>161</v>
      </c>
      <c r="L478" s="10" t="s">
        <v>1541</v>
      </c>
      <c r="M478" s="8" t="s">
        <v>4553</v>
      </c>
      <c r="N478" s="8" t="s">
        <v>5450</v>
      </c>
      <c r="O478" s="8" t="s">
        <v>6348</v>
      </c>
      <c r="P478" s="9" t="s">
        <v>160</v>
      </c>
      <c r="Q478" s="59" t="s">
        <v>2552</v>
      </c>
      <c r="R478" s="9" t="s">
        <v>2500</v>
      </c>
      <c r="S478" s="9" t="s">
        <v>2479</v>
      </c>
      <c r="T478" s="123" t="str">
        <f>IF(R478="Bogs Ponds Streams","20",IF(R478="Coastal Areas","26",IF(R478="Meadows Dry Open","10",IF(R478="Forest &amp; Understory","14",IF(R478="Moist Open","12",IF(R478="Moist Shady","10",IF(R478="Sub-Alpine Slopes","0")))))))</f>
        <v>10</v>
      </c>
      <c r="U478" s="123" t="str">
        <f>IF(R478="Bogs Ponds Streams","52",IF(R478="Coastal Areas","51",IF(R478="Meadows Dry Open","53",IF(R478="Forest &amp; Understory","52",IF(R478="Moist Open","50",IF(R478="Moist Shady","46",IF(R478="Sub-Alpine Slopes","40")))))))</f>
        <v>53</v>
      </c>
      <c r="V478" s="123" t="str">
        <f>IF(R478="Bogs Ponds Streams","84",IF(R478="Coastal Areas","76",IF(R478="Meadows Dry Open","96", IF(R478="Forest &amp; Understory","90", IF(R478="Moist Open","88", IF(R478="Moist Shady","82", IF(R478="Sub-Alpine Slopes","80")))))))</f>
        <v>96</v>
      </c>
      <c r="W478" s="59">
        <v>20</v>
      </c>
      <c r="X478" s="59">
        <v>0</v>
      </c>
      <c r="Y478" s="59">
        <v>3500</v>
      </c>
      <c r="Z478" s="59" t="s">
        <v>2519</v>
      </c>
      <c r="AA478" s="59" t="s">
        <v>2518</v>
      </c>
      <c r="AB478" s="59">
        <v>6.8</v>
      </c>
      <c r="AC478" s="45">
        <f>C478+AK478+(0.1)*AL478</f>
        <v>44.3</v>
      </c>
      <c r="AD478" s="77">
        <v>133</v>
      </c>
      <c r="AE478" s="59">
        <v>5</v>
      </c>
      <c r="AF478" s="59">
        <v>5</v>
      </c>
      <c r="AG478" s="59">
        <v>1900</v>
      </c>
      <c r="AH478" s="77">
        <v>0</v>
      </c>
      <c r="AI478" s="59">
        <f ca="1">AJ478</f>
        <v>2019</v>
      </c>
      <c r="AJ478" s="18">
        <f ca="1">YEAR(TODAY())</f>
        <v>2019</v>
      </c>
      <c r="AK478" s="18">
        <v>33</v>
      </c>
      <c r="AL478" s="18">
        <v>33</v>
      </c>
      <c r="AM478" s="18">
        <v>1</v>
      </c>
      <c r="AN478" s="18">
        <v>1</v>
      </c>
      <c r="AO478" s="18">
        <v>5</v>
      </c>
      <c r="AP478" s="18">
        <v>1</v>
      </c>
      <c r="AQ478" s="18">
        <v>0</v>
      </c>
      <c r="AR478" s="18">
        <v>0</v>
      </c>
      <c r="AS478" s="18">
        <v>0</v>
      </c>
      <c r="AT478" s="18">
        <v>0</v>
      </c>
      <c r="AU478" s="18">
        <v>0</v>
      </c>
      <c r="AV478" s="18">
        <v>0</v>
      </c>
      <c r="AW478" s="18">
        <v>0</v>
      </c>
      <c r="AX478" s="18">
        <v>0</v>
      </c>
      <c r="AY478" s="233"/>
      <c r="AZ478" s="4"/>
      <c r="BA478" s="35" t="str">
        <f>IF(OR(S478="North America",S478="Rocky Mountain"), "Widespread",BC478)</f>
        <v>Widespread</v>
      </c>
      <c r="BB478" s="4"/>
      <c r="BC478" s="35" t="str">
        <f ca="1">IF(BE478&gt;2046, "Abundant",BE478)</f>
        <v>Abundant</v>
      </c>
      <c r="BD478" s="4"/>
      <c r="BE478" s="81">
        <f ca="1">YEAR($C$13)+(BG478*80)</f>
        <v>2110.1765647058824</v>
      </c>
      <c r="BF478" s="4"/>
      <c r="BG478" s="137">
        <f ca="1">BH478*$BH$14</f>
        <v>1.1397070588235296</v>
      </c>
      <c r="BH478" s="137">
        <f ca="1">(((BJ478+BK478+BM478+BN478)/4)*$BM$11)+(((BP478+BQ478)/2)*$BQ$11)+(((BU478+BV478+BW478)/3)*$BU$11)+(((BY478+BZ478+CA478+CB478+CC478)/5)*$CA$11)</f>
        <v>1.1397070588235296</v>
      </c>
      <c r="BI478" s="4"/>
      <c r="BJ478" s="33">
        <f>AP478/(AM478+AO478)</f>
        <v>0.16666666666666666</v>
      </c>
      <c r="BK478" s="33">
        <f>(AN478+AO478)/(AM478+AO478)</f>
        <v>1</v>
      </c>
      <c r="BL478" s="4"/>
      <c r="BM478" s="127">
        <f>CF478/102</f>
        <v>0.43431372549019603</v>
      </c>
      <c r="BN478" s="127">
        <f>C478/2</f>
        <v>4</v>
      </c>
      <c r="BO478" s="4"/>
      <c r="BP478" s="127">
        <f>(AK478)/($AW$6)</f>
        <v>0.33333333333333331</v>
      </c>
      <c r="BQ478" s="127">
        <f ca="1">(CH478-$AW$4)/((YEAR($C$13))-$AW$4)</f>
        <v>1</v>
      </c>
      <c r="BR478" s="127">
        <f>(AL478)/($AW$6)</f>
        <v>0.33333333333333331</v>
      </c>
      <c r="BS478" s="4"/>
      <c r="BT478" s="127"/>
      <c r="BU478" s="127">
        <f ca="1">(CG478-$AW$4)/((YEAR($C$13))-$AW$4)</f>
        <v>1</v>
      </c>
      <c r="BV478" s="127">
        <f>AE478/5</f>
        <v>1</v>
      </c>
      <c r="BW478" s="127">
        <f>AF478/5</f>
        <v>1</v>
      </c>
      <c r="BX478" s="4"/>
      <c r="BY478" s="148" t="str">
        <f>IF(E478="A",".98",IF(E478="B",".99",IF(E478="C","1.00",IF(E478="D","1.00" ))))</f>
        <v>1.00</v>
      </c>
      <c r="BZ478" s="127">
        <f>(CE478+7)/10</f>
        <v>1</v>
      </c>
      <c r="CA478" s="76" t="str">
        <f>IF(D478="Fern",".97",IF(D478="Grass",".99",IF(D478="Herb",".97",IF(D478="Shrub",".99",IF(D478="Tree","1.00",IF(D478="Vine",".98"))))))</f>
        <v>.98</v>
      </c>
      <c r="CB478" s="149" t="str">
        <f>IF(R478="Bogs Ponds Streams",".96", IF(R478="Coastal Areas",".97",IF(R478="Meadows Dry Open",".96",IF(R478="Forest &amp; Understory",".97",IF(R478="Moist Open",".98",IF(R478="Moist Shady",".96",IF(R478="Sub-Alpine","1.0")))))))</f>
        <v>.96</v>
      </c>
      <c r="CC478" s="76" t="str">
        <f>IF(S478="Local Endemic",".50",IF(S478="Regional Endemic",".70",IF(S478="Cascadia",".90",IF(S478="Rocky Mountain",".95",IF(S478="North America",".99")))))</f>
        <v>.95</v>
      </c>
      <c r="CD478" s="4"/>
      <c r="CE478" s="21">
        <f>IF(W478&gt;3,3,W478)</f>
        <v>3</v>
      </c>
      <c r="CF478" s="21">
        <f>IF(AC478&gt;102,102,AC478)</f>
        <v>44.3</v>
      </c>
      <c r="CG478" s="34">
        <f ca="1">IF(AI478&lt;$AW$4,$AW$4,AI478)</f>
        <v>2019</v>
      </c>
      <c r="CH478" s="34">
        <f ca="1">IF(AJ478&lt;$AW$4,$AW$4,AJ478)</f>
        <v>2019</v>
      </c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</row>
    <row r="479" spans="1:116" ht="15" customHeight="1" x14ac:dyDescent="0.3">
      <c r="A479" s="235"/>
      <c r="B479" s="218"/>
      <c r="C479" s="226">
        <v>2</v>
      </c>
      <c r="D479" s="104" t="s">
        <v>61</v>
      </c>
      <c r="E479" s="104" t="s">
        <v>2501</v>
      </c>
      <c r="F479" s="400" t="str">
        <f ca="1">IF(BC479&lt;2025, "Extinct&lt; 6Yrs?",BA479)</f>
        <v>Abundant</v>
      </c>
      <c r="G479" s="369" t="s">
        <v>525</v>
      </c>
      <c r="H479" s="369" t="s">
        <v>4028</v>
      </c>
      <c r="I479" s="372" t="s">
        <v>1196</v>
      </c>
      <c r="J479" s="371" t="s">
        <v>4078</v>
      </c>
      <c r="K479" s="371" t="s">
        <v>1212</v>
      </c>
      <c r="L479" s="106" t="s">
        <v>4042</v>
      </c>
      <c r="M479" s="111" t="s">
        <v>4554</v>
      </c>
      <c r="N479" s="111" t="s">
        <v>5451</v>
      </c>
      <c r="O479" s="111" t="s">
        <v>6349</v>
      </c>
      <c r="P479" s="105" t="s">
        <v>160</v>
      </c>
      <c r="Q479" s="104" t="s">
        <v>2552</v>
      </c>
      <c r="R479" s="105" t="s">
        <v>2497</v>
      </c>
      <c r="S479" s="114" t="s">
        <v>2459</v>
      </c>
      <c r="T479" s="133" t="str">
        <f>IF(R479="Bogs Ponds Streams","20",IF(R479="Coastal Areas","26",IF(R479="Meadows Dry Open","10",IF(R479="Forest &amp; Understory","14",IF(R479="Moist Open","12",IF(R479="Moist Shady","10",IF(R479="Sub-Alpine Slopes","0")))))))</f>
        <v>12</v>
      </c>
      <c r="U479" s="133" t="str">
        <f>IF(R479="Bogs Ponds Streams","52",IF(R479="Coastal Areas","51",IF(R479="Meadows Dry Open","53",IF(R479="Forest &amp; Understory","52",IF(R479="Moist Open","50",IF(R479="Moist Shady","46",IF(R479="Sub-Alpine Slopes","40")))))))</f>
        <v>50</v>
      </c>
      <c r="V479" s="133" t="str">
        <f>IF(R479="Bogs Ponds Streams","84",IF(R479="Coastal Areas","76",IF(R479="Meadows Dry Open","96", IF(R479="Forest &amp; Understory","90", IF(R479="Moist Open","88", IF(R479="Moist Shady","82", IF(R479="Sub-Alpine Slopes","80")))))))</f>
        <v>88</v>
      </c>
      <c r="W479" s="104">
        <v>20</v>
      </c>
      <c r="X479" s="104">
        <v>0</v>
      </c>
      <c r="Y479" s="104">
        <v>3500</v>
      </c>
      <c r="Z479" s="104" t="s">
        <v>2519</v>
      </c>
      <c r="AA479" s="104" t="s">
        <v>2518</v>
      </c>
      <c r="AB479" s="104">
        <v>6.8</v>
      </c>
      <c r="AC479" s="107">
        <f>C479+AK479+(0.1)*AL479</f>
        <v>6</v>
      </c>
      <c r="AD479" s="113">
        <v>19</v>
      </c>
      <c r="AE479" s="104">
        <v>5</v>
      </c>
      <c r="AF479" s="104">
        <v>5</v>
      </c>
      <c r="AG479" s="104">
        <v>1900</v>
      </c>
      <c r="AH479" s="113">
        <v>0</v>
      </c>
      <c r="AI479" s="104">
        <f ca="1">AJ479</f>
        <v>2019</v>
      </c>
      <c r="AJ479" s="108">
        <f ca="1">YEAR(TODAY())</f>
        <v>2019</v>
      </c>
      <c r="AK479" s="108">
        <v>4</v>
      </c>
      <c r="AL479" s="108">
        <v>0</v>
      </c>
      <c r="AM479" s="108">
        <v>1</v>
      </c>
      <c r="AN479" s="108">
        <v>1</v>
      </c>
      <c r="AO479" s="108">
        <v>5</v>
      </c>
      <c r="AP479" s="108">
        <v>1</v>
      </c>
      <c r="AQ479" s="108">
        <v>0</v>
      </c>
      <c r="AR479" s="108">
        <v>0</v>
      </c>
      <c r="AS479" s="108">
        <v>0</v>
      </c>
      <c r="AT479" s="108">
        <v>0</v>
      </c>
      <c r="AU479" s="108">
        <v>0</v>
      </c>
      <c r="AV479" s="108">
        <v>0</v>
      </c>
      <c r="AW479" s="108">
        <v>0</v>
      </c>
      <c r="AX479" s="108">
        <v>0</v>
      </c>
      <c r="AY479" s="233"/>
      <c r="AZ479" s="4"/>
      <c r="BA479" s="35" t="str">
        <f ca="1">IF(OR(S479="North America",S479="Rocky Mountain"), "Widespread",BC479)</f>
        <v>Abundant</v>
      </c>
      <c r="BB479" s="4"/>
      <c r="BC479" s="35" t="str">
        <f ca="1">IF(BE479&gt;2046, "Abundant",BE479)</f>
        <v>Abundant</v>
      </c>
      <c r="BD479" s="4"/>
      <c r="BE479" s="81">
        <f ca="1">YEAR($C$13)+(BG479*80)</f>
        <v>2066.1459308377898</v>
      </c>
      <c r="BF479" s="4"/>
      <c r="BG479" s="137">
        <f ca="1">BH479*$BH$14</f>
        <v>0.58932413547237072</v>
      </c>
      <c r="BH479" s="137">
        <f ca="1">(((BJ479+BK479+BM479+BN479)/4)*$BM$11)+(((BP479+BQ479)/2)*$BQ$11)+(((BU479+BV479+BW479)/3)*$BU$11)+(((BY479+BZ479+CA479+CB479+CC479)/5)*$CA$11)</f>
        <v>0.58932413547237072</v>
      </c>
      <c r="BI479" s="4"/>
      <c r="BJ479" s="33">
        <f>AP479/(AM479+AO479)</f>
        <v>0.16666666666666666</v>
      </c>
      <c r="BK479" s="33">
        <f>(AN479+AO479)/(AM479+AO479)</f>
        <v>1</v>
      </c>
      <c r="BL479" s="4"/>
      <c r="BM479" s="127">
        <f>CF479/102</f>
        <v>5.8823529411764705E-2</v>
      </c>
      <c r="BN479" s="127">
        <f>C479/2</f>
        <v>1</v>
      </c>
      <c r="BO479" s="4"/>
      <c r="BP479" s="127">
        <f>(AK479)/($AW$6)</f>
        <v>4.0404040404040407E-2</v>
      </c>
      <c r="BQ479" s="127">
        <f ca="1">(CH479-$AW$4)/((YEAR($C$13))-$AW$4)</f>
        <v>1</v>
      </c>
      <c r="BR479" s="127">
        <f>(AL479)/($AW$6)</f>
        <v>0</v>
      </c>
      <c r="BS479" s="4"/>
      <c r="BT479" s="127"/>
      <c r="BU479" s="127">
        <f ca="1">(CG479-$AW$4)/((YEAR($C$13))-$AW$4)</f>
        <v>1</v>
      </c>
      <c r="BV479" s="127">
        <f>AE479/5</f>
        <v>1</v>
      </c>
      <c r="BW479" s="127">
        <f>AF479/5</f>
        <v>1</v>
      </c>
      <c r="BX479" s="4"/>
      <c r="BY479" s="148" t="str">
        <f>IF(E479="A",".98",IF(E479="B",".99",IF(E479="C","1.00",IF(E479="D","1.00" ))))</f>
        <v>1.00</v>
      </c>
      <c r="BZ479" s="127">
        <f>(CE479+7)/10</f>
        <v>1</v>
      </c>
      <c r="CA479" s="76" t="str">
        <f>IF(D479="Fern",".97",IF(D479="Grass",".99",IF(D479="Herb",".97",IF(D479="Shrub",".99",IF(D479="Tree","1.00",IF(D479="Vine",".98"))))))</f>
        <v>.98</v>
      </c>
      <c r="CB479" s="149" t="str">
        <f>IF(R479="Bogs Ponds Streams",".96", IF(R479="Coastal Areas",".97",IF(R479="Meadows Dry Open",".96",IF(R479="Forest &amp; Understory",".97",IF(R479="Moist Open",".98",IF(R479="Moist Shady",".96",IF(R479="Sub-Alpine","1.0")))))))</f>
        <v>.98</v>
      </c>
      <c r="CC479" s="76" t="str">
        <f>IF(S479="Local Endemic",".50",IF(S479="Regional Endemic",".70",IF(S479="Cascadia",".90",IF(S479="Rocky Mountain",".95",IF(S479="North America",".99")))))</f>
        <v>.90</v>
      </c>
      <c r="CD479" s="4"/>
      <c r="CE479" s="21">
        <f>IF(W479&gt;3,3,W479)</f>
        <v>3</v>
      </c>
      <c r="CF479" s="21">
        <f>IF(AC479&gt;102,102,AC479)</f>
        <v>6</v>
      </c>
      <c r="CG479" s="34">
        <f ca="1">IF(AI479&lt;$AW$4,$AW$4,AI479)</f>
        <v>2019</v>
      </c>
      <c r="CH479" s="34">
        <f ca="1">IF(AJ479&lt;$AW$4,$AW$4,AJ479)</f>
        <v>2019</v>
      </c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</row>
    <row r="480" spans="1:116" ht="15" customHeight="1" x14ac:dyDescent="0.3">
      <c r="A480" s="235"/>
      <c r="B480" s="218"/>
      <c r="C480" s="225">
        <v>8</v>
      </c>
      <c r="D480" s="59" t="s">
        <v>61</v>
      </c>
      <c r="E480" s="59" t="s">
        <v>2501</v>
      </c>
      <c r="F480" s="397" t="str">
        <f ca="1">IF(BC480&lt;2025, "Extinct&lt; 6Yrs?",BA480)</f>
        <v>Abundant</v>
      </c>
      <c r="G480" s="363" t="s">
        <v>525</v>
      </c>
      <c r="H480" s="363" t="s">
        <v>684</v>
      </c>
      <c r="I480" s="366" t="s">
        <v>3083</v>
      </c>
      <c r="J480" s="365" t="s">
        <v>3396</v>
      </c>
      <c r="K480" s="365" t="s">
        <v>1025</v>
      </c>
      <c r="L480" s="10" t="s">
        <v>1542</v>
      </c>
      <c r="M480" s="8" t="s">
        <v>4555</v>
      </c>
      <c r="N480" s="8" t="s">
        <v>5452</v>
      </c>
      <c r="O480" s="8" t="s">
        <v>6350</v>
      </c>
      <c r="P480" s="9" t="s">
        <v>160</v>
      </c>
      <c r="Q480" s="59" t="s">
        <v>2552</v>
      </c>
      <c r="R480" s="9" t="s">
        <v>2500</v>
      </c>
      <c r="S480" s="9" t="s">
        <v>2459</v>
      </c>
      <c r="T480" s="123" t="str">
        <f>IF(R480="Bogs Ponds Streams","20",IF(R480="Coastal Areas","26",IF(R480="Meadows Dry Open","10",IF(R480="Forest &amp; Understory","14",IF(R480="Moist Open","12",IF(R480="Moist Shady","10",IF(R480="Sub-Alpine Slopes","0")))))))</f>
        <v>10</v>
      </c>
      <c r="U480" s="123" t="str">
        <f>IF(R480="Bogs Ponds Streams","52",IF(R480="Coastal Areas","51",IF(R480="Meadows Dry Open","53",IF(R480="Forest &amp; Understory","52",IF(R480="Moist Open","50",IF(R480="Moist Shady","46",IF(R480="Sub-Alpine Slopes","40")))))))</f>
        <v>53</v>
      </c>
      <c r="V480" s="123" t="str">
        <f>IF(R480="Bogs Ponds Streams","84",IF(R480="Coastal Areas","76",IF(R480="Meadows Dry Open","96", IF(R480="Forest &amp; Understory","90", IF(R480="Moist Open","88", IF(R480="Moist Shady","82", IF(R480="Sub-Alpine Slopes","80")))))))</f>
        <v>96</v>
      </c>
      <c r="W480" s="59">
        <v>20</v>
      </c>
      <c r="X480" s="59">
        <v>0</v>
      </c>
      <c r="Y480" s="59">
        <v>3500</v>
      </c>
      <c r="Z480" s="59" t="s">
        <v>2519</v>
      </c>
      <c r="AA480" s="59" t="s">
        <v>2518</v>
      </c>
      <c r="AB480" s="59">
        <v>6.8</v>
      </c>
      <c r="AC480" s="45">
        <f>C480+AK480+(0.1)*AL480</f>
        <v>41</v>
      </c>
      <c r="AD480" s="77">
        <v>64</v>
      </c>
      <c r="AE480" s="59">
        <v>5</v>
      </c>
      <c r="AF480" s="59">
        <v>5</v>
      </c>
      <c r="AG480" s="59">
        <v>1900</v>
      </c>
      <c r="AH480" s="77">
        <v>0</v>
      </c>
      <c r="AI480" s="59">
        <f ca="1">AJ480</f>
        <v>2019</v>
      </c>
      <c r="AJ480" s="18">
        <f ca="1">YEAR(TODAY())</f>
        <v>2019</v>
      </c>
      <c r="AK480" s="18">
        <v>33</v>
      </c>
      <c r="AL480" s="18">
        <v>0</v>
      </c>
      <c r="AM480" s="18">
        <v>1</v>
      </c>
      <c r="AN480" s="18">
        <v>1</v>
      </c>
      <c r="AO480" s="18">
        <v>5</v>
      </c>
      <c r="AP480" s="18">
        <v>1</v>
      </c>
      <c r="AQ480" s="18">
        <v>0</v>
      </c>
      <c r="AR480" s="18">
        <v>0</v>
      </c>
      <c r="AS480" s="18">
        <v>0</v>
      </c>
      <c r="AT480" s="18">
        <v>0</v>
      </c>
      <c r="AU480" s="18">
        <v>0</v>
      </c>
      <c r="AV480" s="18">
        <v>0</v>
      </c>
      <c r="AW480" s="18">
        <v>0</v>
      </c>
      <c r="AX480" s="18">
        <v>0</v>
      </c>
      <c r="AY480" s="233"/>
      <c r="AZ480" s="4"/>
      <c r="BA480" s="35" t="str">
        <f ca="1">IF(OR(S480="North America",S480="Rocky Mountain"), "Widespread",BC480)</f>
        <v>Abundant</v>
      </c>
      <c r="BB480" s="4"/>
      <c r="BC480" s="35" t="str">
        <f ca="1">IF(BE480&gt;2046, "Abundant",BE480)</f>
        <v>Abundant</v>
      </c>
      <c r="BD480" s="4"/>
      <c r="BE480" s="81">
        <f ca="1">YEAR($C$13)+(BG480*80)</f>
        <v>2109.7723294117645</v>
      </c>
      <c r="BF480" s="4"/>
      <c r="BG480" s="137">
        <f ca="1">BH480*$BH$14</f>
        <v>1.1346541176470588</v>
      </c>
      <c r="BH480" s="137">
        <f ca="1">(((BJ480+BK480+BM480+BN480)/4)*$BM$11)+(((BP480+BQ480)/2)*$BQ$11)+(((BU480+BV480+BW480)/3)*$BU$11)+(((BY480+BZ480+CA480+CB480+CC480)/5)*$CA$11)</f>
        <v>1.1346541176470588</v>
      </c>
      <c r="BI480" s="4"/>
      <c r="BJ480" s="33">
        <f>AP480/(AM480+AO480)</f>
        <v>0.16666666666666666</v>
      </c>
      <c r="BK480" s="33">
        <f>(AN480+AO480)/(AM480+AO480)</f>
        <v>1</v>
      </c>
      <c r="BL480" s="4"/>
      <c r="BM480" s="127">
        <f>CF480/102</f>
        <v>0.40196078431372551</v>
      </c>
      <c r="BN480" s="127">
        <f>C480/2</f>
        <v>4</v>
      </c>
      <c r="BO480" s="4"/>
      <c r="BP480" s="127">
        <f>(AK480)/($AW$6)</f>
        <v>0.33333333333333331</v>
      </c>
      <c r="BQ480" s="127">
        <f ca="1">(CH480-$AW$4)/((YEAR($C$13))-$AW$4)</f>
        <v>1</v>
      </c>
      <c r="BR480" s="127">
        <f>(AL480)/($AW$6)</f>
        <v>0</v>
      </c>
      <c r="BS480" s="4"/>
      <c r="BT480" s="127"/>
      <c r="BU480" s="127">
        <f ca="1">(CG480-$AW$4)/((YEAR($C$13))-$AW$4)</f>
        <v>1</v>
      </c>
      <c r="BV480" s="127">
        <f>AE480/5</f>
        <v>1</v>
      </c>
      <c r="BW480" s="127">
        <f>AF480/5</f>
        <v>1</v>
      </c>
      <c r="BX480" s="4"/>
      <c r="BY480" s="148" t="str">
        <f>IF(E480="A",".98",IF(E480="B",".99",IF(E480="C","1.00",IF(E480="D","1.00" ))))</f>
        <v>1.00</v>
      </c>
      <c r="BZ480" s="127">
        <f>(CE480+7)/10</f>
        <v>1</v>
      </c>
      <c r="CA480" s="76" t="str">
        <f>IF(D480="Fern",".97",IF(D480="Grass",".99",IF(D480="Herb",".97",IF(D480="Shrub",".99",IF(D480="Tree","1.00",IF(D480="Vine",".98"))))))</f>
        <v>.98</v>
      </c>
      <c r="CB480" s="149" t="str">
        <f>IF(R480="Bogs Ponds Streams",".96", IF(R480="Coastal Areas",".97",IF(R480="Meadows Dry Open",".96",IF(R480="Forest &amp; Understory",".97",IF(R480="Moist Open",".98",IF(R480="Moist Shady",".96",IF(R480="Sub-Alpine","1.0")))))))</f>
        <v>.96</v>
      </c>
      <c r="CC480" s="76" t="str">
        <f>IF(S480="Local Endemic",".50",IF(S480="Regional Endemic",".70",IF(S480="Cascadia",".90",IF(S480="Rocky Mountain",".95",IF(S480="North America",".99")))))</f>
        <v>.90</v>
      </c>
      <c r="CD480" s="4"/>
      <c r="CE480" s="21">
        <f>IF(W480&gt;3,3,W480)</f>
        <v>3</v>
      </c>
      <c r="CF480" s="21">
        <f>IF(AC480&gt;102,102,AC480)</f>
        <v>41</v>
      </c>
      <c r="CG480" s="34">
        <f ca="1">IF(AI480&lt;$AW$4,$AW$4,AI480)</f>
        <v>2019</v>
      </c>
      <c r="CH480" s="34">
        <f ca="1">IF(AJ480&lt;$AW$4,$AW$4,AJ480)</f>
        <v>2019</v>
      </c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</row>
    <row r="481" spans="1:116" ht="15" customHeight="1" x14ac:dyDescent="0.3">
      <c r="A481" s="235"/>
      <c r="B481" s="218"/>
      <c r="C481" s="225">
        <v>8</v>
      </c>
      <c r="D481" s="59" t="s">
        <v>61</v>
      </c>
      <c r="E481" s="59" t="s">
        <v>2501</v>
      </c>
      <c r="F481" s="397" t="str">
        <f ca="1">IF(BC481&lt;2025, "Extinct&lt; 6Yrs?",BA481)</f>
        <v>Widespread</v>
      </c>
      <c r="G481" s="363" t="s">
        <v>525</v>
      </c>
      <c r="H481" s="363" t="s">
        <v>696</v>
      </c>
      <c r="I481" s="366" t="s">
        <v>3084</v>
      </c>
      <c r="J481" s="365" t="s">
        <v>3397</v>
      </c>
      <c r="K481" s="365" t="s">
        <v>1028</v>
      </c>
      <c r="L481" s="10" t="s">
        <v>1543</v>
      </c>
      <c r="M481" s="8" t="s">
        <v>4556</v>
      </c>
      <c r="N481" s="8" t="s">
        <v>5453</v>
      </c>
      <c r="O481" s="8" t="s">
        <v>6351</v>
      </c>
      <c r="P481" s="9" t="s">
        <v>160</v>
      </c>
      <c r="Q481" s="59" t="s">
        <v>2552</v>
      </c>
      <c r="R481" s="9" t="s">
        <v>2530</v>
      </c>
      <c r="S481" s="9" t="s">
        <v>2495</v>
      </c>
      <c r="T481" s="123" t="str">
        <f>IF(R481="Bogs Ponds Streams","20",IF(R481="Coastal Areas","26",IF(R481="Meadows Dry Open","10",IF(R481="Forest &amp; Understory","14",IF(R481="Moist Open","12",IF(R481="Moist Shady","10",IF(R481="Sub-Alpine Slopes","0")))))))</f>
        <v>14</v>
      </c>
      <c r="U481" s="123" t="str">
        <f>IF(R481="Bogs Ponds Streams","52",IF(R481="Coastal Areas","51",IF(R481="Meadows Dry Open","53",IF(R481="Forest &amp; Understory","52",IF(R481="Moist Open","50",IF(R481="Moist Shady","46",IF(R481="Sub-Alpine Slopes","40")))))))</f>
        <v>52</v>
      </c>
      <c r="V481" s="123" t="str">
        <f>IF(R481="Bogs Ponds Streams","84",IF(R481="Coastal Areas","76",IF(R481="Meadows Dry Open","96", IF(R481="Forest &amp; Understory","90", IF(R481="Moist Open","88", IF(R481="Moist Shady","82", IF(R481="Sub-Alpine Slopes","80")))))))</f>
        <v>90</v>
      </c>
      <c r="W481" s="59">
        <v>20</v>
      </c>
      <c r="X481" s="59">
        <v>0</v>
      </c>
      <c r="Y481" s="59">
        <v>3500</v>
      </c>
      <c r="Z481" s="59" t="s">
        <v>2519</v>
      </c>
      <c r="AA481" s="59" t="s">
        <v>2518</v>
      </c>
      <c r="AB481" s="59">
        <v>6.8</v>
      </c>
      <c r="AC481" s="45">
        <f>C481+AK481+(0.1)*AL481</f>
        <v>45.4</v>
      </c>
      <c r="AD481" s="77">
        <v>231</v>
      </c>
      <c r="AE481" s="59">
        <v>5</v>
      </c>
      <c r="AF481" s="59">
        <v>5</v>
      </c>
      <c r="AG481" s="59">
        <v>1900</v>
      </c>
      <c r="AH481" s="77">
        <v>0</v>
      </c>
      <c r="AI481" s="59">
        <f ca="1">AJ481</f>
        <v>2019</v>
      </c>
      <c r="AJ481" s="18">
        <f ca="1">YEAR(TODAY())</f>
        <v>2019</v>
      </c>
      <c r="AK481" s="18">
        <v>33</v>
      </c>
      <c r="AL481" s="18">
        <v>44</v>
      </c>
      <c r="AM481" s="18">
        <v>1</v>
      </c>
      <c r="AN481" s="18">
        <v>1</v>
      </c>
      <c r="AO481" s="18">
        <v>5</v>
      </c>
      <c r="AP481" s="18">
        <v>1</v>
      </c>
      <c r="AQ481" s="18">
        <v>0</v>
      </c>
      <c r="AR481" s="18">
        <v>0</v>
      </c>
      <c r="AS481" s="18">
        <v>0</v>
      </c>
      <c r="AT481" s="18">
        <v>0</v>
      </c>
      <c r="AU481" s="18">
        <v>0</v>
      </c>
      <c r="AV481" s="18">
        <v>0</v>
      </c>
      <c r="AW481" s="18">
        <v>0</v>
      </c>
      <c r="AX481" s="18">
        <v>0</v>
      </c>
      <c r="AY481" s="233"/>
      <c r="AZ481" s="4"/>
      <c r="BA481" s="35" t="str">
        <f>IF(OR(S481="North America",S481="Rocky Mountain"), "Widespread",BC481)</f>
        <v>Widespread</v>
      </c>
      <c r="BB481" s="4"/>
      <c r="BC481" s="35" t="str">
        <f ca="1">IF(BE481&gt;2046, "Abundant",BE481)</f>
        <v>Abundant</v>
      </c>
      <c r="BD481" s="4"/>
      <c r="BE481" s="81">
        <f ca="1">YEAR($C$13)+(BG481*80)</f>
        <v>2110.3219764705882</v>
      </c>
      <c r="BF481" s="4"/>
      <c r="BG481" s="137">
        <f ca="1">BH481*$BH$14</f>
        <v>1.141524705882353</v>
      </c>
      <c r="BH481" s="137">
        <f ca="1">(((BJ481+BK481+BM481+BN481)/4)*$BM$11)+(((BP481+BQ481)/2)*$BQ$11)+(((BU481+BV481+BW481)/3)*$BU$11)+(((BY481+BZ481+CA481+CB481+CC481)/5)*$CA$11)</f>
        <v>1.141524705882353</v>
      </c>
      <c r="BI481" s="4"/>
      <c r="BJ481" s="33">
        <f>AP481/(AM481+AO481)</f>
        <v>0.16666666666666666</v>
      </c>
      <c r="BK481" s="33">
        <f>(AN481+AO481)/(AM481+AO481)</f>
        <v>1</v>
      </c>
      <c r="BL481" s="4"/>
      <c r="BM481" s="127">
        <f>CF481/102</f>
        <v>0.44509803921568625</v>
      </c>
      <c r="BN481" s="127">
        <f>C481/2</f>
        <v>4</v>
      </c>
      <c r="BO481" s="4"/>
      <c r="BP481" s="127">
        <f>(AK481)/($AW$6)</f>
        <v>0.33333333333333331</v>
      </c>
      <c r="BQ481" s="127">
        <f ca="1">(CH481-$AW$4)/((YEAR($C$13))-$AW$4)</f>
        <v>1</v>
      </c>
      <c r="BR481" s="127">
        <f>(AL481)/($AW$6)</f>
        <v>0.44444444444444442</v>
      </c>
      <c r="BS481" s="4"/>
      <c r="BT481" s="127"/>
      <c r="BU481" s="127">
        <f ca="1">(CG481-$AW$4)/((YEAR($C$13))-$AW$4)</f>
        <v>1</v>
      </c>
      <c r="BV481" s="127">
        <f>AE481/5</f>
        <v>1</v>
      </c>
      <c r="BW481" s="127">
        <f>AF481/5</f>
        <v>1</v>
      </c>
      <c r="BX481" s="4"/>
      <c r="BY481" s="148" t="str">
        <f>IF(E481="A",".98",IF(E481="B",".99",IF(E481="C","1.00",IF(E481="D","1.00" ))))</f>
        <v>1.00</v>
      </c>
      <c r="BZ481" s="127">
        <f>(CE481+7)/10</f>
        <v>1</v>
      </c>
      <c r="CA481" s="76" t="str">
        <f>IF(D481="Fern",".97",IF(D481="Grass",".99",IF(D481="Herb",".97",IF(D481="Shrub",".99",IF(D481="Tree","1.00",IF(D481="Vine",".98"))))))</f>
        <v>.98</v>
      </c>
      <c r="CB481" s="149" t="str">
        <f>IF(R481="Bogs Ponds Streams",".96", IF(R481="Coastal Areas",".97",IF(R481="Meadows Dry Open",".96",IF(R481="Forest &amp; Understory",".97",IF(R481="Moist Open",".98",IF(R481="Moist Shady",".96",IF(R481="Sub-Alpine","1.0")))))))</f>
        <v>.97</v>
      </c>
      <c r="CC481" s="76" t="str">
        <f>IF(S481="Local Endemic",".50",IF(S481="Regional Endemic",".70",IF(S481="Cascadia",".90",IF(S481="Rocky Mountain",".95",IF(S481="North America",".99")))))</f>
        <v>.99</v>
      </c>
      <c r="CD481" s="4"/>
      <c r="CE481" s="21">
        <f>IF(W481&gt;3,3,W481)</f>
        <v>3</v>
      </c>
      <c r="CF481" s="21">
        <f>IF(AC481&gt;102,102,AC481)</f>
        <v>45.4</v>
      </c>
      <c r="CG481" s="34">
        <f ca="1">IF(AI481&lt;$AW$4,$AW$4,AI481)</f>
        <v>2019</v>
      </c>
      <c r="CH481" s="34">
        <f ca="1">IF(AJ481&lt;$AW$4,$AW$4,AJ481)</f>
        <v>2019</v>
      </c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</row>
    <row r="482" spans="1:116" ht="15" customHeight="1" x14ac:dyDescent="0.3">
      <c r="A482" s="235"/>
      <c r="B482" s="218"/>
      <c r="C482" s="225">
        <v>8</v>
      </c>
      <c r="D482" s="59" t="s">
        <v>61</v>
      </c>
      <c r="E482" s="59" t="s">
        <v>2501</v>
      </c>
      <c r="F482" s="397" t="str">
        <f ca="1">IF(BC482&lt;2025, "Extinct&lt; 6Yrs?",BA482)</f>
        <v>Widespread</v>
      </c>
      <c r="G482" s="363" t="s">
        <v>525</v>
      </c>
      <c r="H482" s="363" t="s">
        <v>690</v>
      </c>
      <c r="I482" s="364" t="s">
        <v>2670</v>
      </c>
      <c r="J482" s="365" t="s">
        <v>3398</v>
      </c>
      <c r="K482" s="365" t="s">
        <v>2786</v>
      </c>
      <c r="L482" s="17" t="s">
        <v>1544</v>
      </c>
      <c r="M482" s="8" t="s">
        <v>4557</v>
      </c>
      <c r="N482" s="8" t="s">
        <v>5454</v>
      </c>
      <c r="O482" s="8" t="s">
        <v>6352</v>
      </c>
      <c r="P482" s="398" t="s">
        <v>160</v>
      </c>
      <c r="Q482" s="59" t="s">
        <v>2552</v>
      </c>
      <c r="R482" s="9" t="s">
        <v>2500</v>
      </c>
      <c r="S482" s="9" t="s">
        <v>2479</v>
      </c>
      <c r="T482" s="123" t="str">
        <f>IF(R482="Bogs Ponds Streams","20",IF(R482="Coastal Areas","26",IF(R482="Meadows Dry Open","10",IF(R482="Forest &amp; Understory","14",IF(R482="Moist Open","12",IF(R482="Moist Shady","10",IF(R482="Sub-Alpine Slopes","0")))))))</f>
        <v>10</v>
      </c>
      <c r="U482" s="123" t="str">
        <f>IF(R482="Bogs Ponds Streams","52",IF(R482="Coastal Areas","51",IF(R482="Meadows Dry Open","53",IF(R482="Forest &amp; Understory","52",IF(R482="Moist Open","50",IF(R482="Moist Shady","46",IF(R482="Sub-Alpine Slopes","40")))))))</f>
        <v>53</v>
      </c>
      <c r="V482" s="123" t="str">
        <f>IF(R482="Bogs Ponds Streams","84",IF(R482="Coastal Areas","76",IF(R482="Meadows Dry Open","96", IF(R482="Forest &amp; Understory","90", IF(R482="Moist Open","88", IF(R482="Moist Shady","82", IF(R482="Sub-Alpine Slopes","80")))))))</f>
        <v>96</v>
      </c>
      <c r="W482" s="59">
        <v>20</v>
      </c>
      <c r="X482" s="59">
        <v>0</v>
      </c>
      <c r="Y482" s="59">
        <v>3500</v>
      </c>
      <c r="Z482" s="59" t="s">
        <v>2519</v>
      </c>
      <c r="AA482" s="59" t="s">
        <v>2518</v>
      </c>
      <c r="AB482" s="59">
        <v>6.8</v>
      </c>
      <c r="AC482" s="45">
        <f>C482+AK482+(0.1)*AL482</f>
        <v>13.1</v>
      </c>
      <c r="AD482" s="77">
        <v>119</v>
      </c>
      <c r="AE482" s="59">
        <v>5</v>
      </c>
      <c r="AF482" s="59">
        <v>5</v>
      </c>
      <c r="AG482" s="59">
        <v>1900</v>
      </c>
      <c r="AH482" s="77">
        <v>0</v>
      </c>
      <c r="AI482" s="59">
        <f ca="1">AJ482</f>
        <v>2019</v>
      </c>
      <c r="AJ482" s="18">
        <f ca="1">YEAR(TODAY())</f>
        <v>2019</v>
      </c>
      <c r="AK482" s="18">
        <v>4</v>
      </c>
      <c r="AL482" s="18">
        <v>11</v>
      </c>
      <c r="AM482" s="18">
        <v>1</v>
      </c>
      <c r="AN482" s="18">
        <v>1</v>
      </c>
      <c r="AO482" s="18">
        <v>5</v>
      </c>
      <c r="AP482" s="18">
        <v>1</v>
      </c>
      <c r="AQ482" s="18">
        <v>0</v>
      </c>
      <c r="AR482" s="18">
        <v>0</v>
      </c>
      <c r="AS482" s="18">
        <v>0</v>
      </c>
      <c r="AT482" s="18">
        <v>0</v>
      </c>
      <c r="AU482" s="18">
        <v>0</v>
      </c>
      <c r="AV482" s="18">
        <v>0</v>
      </c>
      <c r="AW482" s="18">
        <v>0</v>
      </c>
      <c r="AX482" s="18">
        <v>0</v>
      </c>
      <c r="AY482" s="233"/>
      <c r="AZ482" s="4"/>
      <c r="BA482" s="35" t="str">
        <f>IF(OR(S482="North America",S482="Rocky Mountain"), "Widespread",BC482)</f>
        <v>Widespread</v>
      </c>
      <c r="BB482" s="4"/>
      <c r="BC482" s="35" t="str">
        <f ca="1">IF(BE482&gt;2046, "Abundant",BE482)</f>
        <v>Abundant</v>
      </c>
      <c r="BD482" s="4"/>
      <c r="BE482" s="81">
        <f ca="1">YEAR($C$13)+(BG482*80)</f>
        <v>2102.9908249554369</v>
      </c>
      <c r="BF482" s="4"/>
      <c r="BG482" s="137">
        <f ca="1">BH482*$BH$14</f>
        <v>1.049885311942959</v>
      </c>
      <c r="BH482" s="137">
        <f ca="1">(((BJ482+BK482+BM482+BN482)/4)*$BM$11)+(((BP482+BQ482)/2)*$BQ$11)+(((BU482+BV482+BW482)/3)*$BU$11)+(((BY482+BZ482+CA482+CB482+CC482)/5)*$CA$11)</f>
        <v>1.049885311942959</v>
      </c>
      <c r="BI482" s="4"/>
      <c r="BJ482" s="33">
        <f>AP482/(AM482+AO482)</f>
        <v>0.16666666666666666</v>
      </c>
      <c r="BK482" s="33">
        <f>(AN482+AO482)/(AM482+AO482)</f>
        <v>1</v>
      </c>
      <c r="BL482" s="4"/>
      <c r="BM482" s="127">
        <f>CF482/102</f>
        <v>0.1284313725490196</v>
      </c>
      <c r="BN482" s="127">
        <f>C482/2</f>
        <v>4</v>
      </c>
      <c r="BO482" s="4"/>
      <c r="BP482" s="127">
        <f>(AK482)/($AW$6)</f>
        <v>4.0404040404040407E-2</v>
      </c>
      <c r="BQ482" s="127">
        <f ca="1">(CH482-$AW$4)/((YEAR($C$13))-$AW$4)</f>
        <v>1</v>
      </c>
      <c r="BR482" s="127">
        <f>(AL482)/($AW$6)</f>
        <v>0.1111111111111111</v>
      </c>
      <c r="BS482" s="4"/>
      <c r="BT482" s="127"/>
      <c r="BU482" s="127">
        <f ca="1">(CG482-$AW$4)/((YEAR($C$13))-$AW$4)</f>
        <v>1</v>
      </c>
      <c r="BV482" s="127">
        <f>AE482/5</f>
        <v>1</v>
      </c>
      <c r="BW482" s="127">
        <f>AF482/5</f>
        <v>1</v>
      </c>
      <c r="BX482" s="4"/>
      <c r="BY482" s="148" t="str">
        <f>IF(E482="A",".98",IF(E482="B",".99",IF(E482="C","1.00",IF(E482="D","1.00" ))))</f>
        <v>1.00</v>
      </c>
      <c r="BZ482" s="127">
        <f>(CE482+7)/10</f>
        <v>1</v>
      </c>
      <c r="CA482" s="76" t="str">
        <f>IF(D482="Fern",".97",IF(D482="Grass",".99",IF(D482="Herb",".97",IF(D482="Shrub",".99",IF(D482="Tree","1.00",IF(D482="Vine",".98"))))))</f>
        <v>.98</v>
      </c>
      <c r="CB482" s="149" t="str">
        <f>IF(R482="Bogs Ponds Streams",".96", IF(R482="Coastal Areas",".97",IF(R482="Meadows Dry Open",".96",IF(R482="Forest &amp; Understory",".97",IF(R482="Moist Open",".98",IF(R482="Moist Shady",".96",IF(R482="Sub-Alpine","1.0")))))))</f>
        <v>.96</v>
      </c>
      <c r="CC482" s="76" t="str">
        <f>IF(S482="Local Endemic",".50",IF(S482="Regional Endemic",".70",IF(S482="Cascadia",".90",IF(S482="Rocky Mountain",".95",IF(S482="North America",".99")))))</f>
        <v>.95</v>
      </c>
      <c r="CD482" s="4"/>
      <c r="CE482" s="21">
        <f>IF(W482&gt;3,3,W482)</f>
        <v>3</v>
      </c>
      <c r="CF482" s="21">
        <f>IF(AC482&gt;102,102,AC482)</f>
        <v>13.1</v>
      </c>
      <c r="CG482" s="34">
        <f ca="1">IF(AI482&lt;$AW$4,$AW$4,AI482)</f>
        <v>2019</v>
      </c>
      <c r="CH482" s="34">
        <f ca="1">IF(AJ482&lt;$AW$4,$AW$4,AJ482)</f>
        <v>2019</v>
      </c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</row>
    <row r="483" spans="1:116" ht="15" customHeight="1" x14ac:dyDescent="0.3">
      <c r="A483" s="235"/>
      <c r="B483" s="218"/>
      <c r="C483" s="375">
        <v>1</v>
      </c>
      <c r="D483" s="67" t="s">
        <v>2505</v>
      </c>
      <c r="E483" s="67" t="s">
        <v>2501</v>
      </c>
      <c r="F483" s="403">
        <f ca="1">IF(BC483&lt;2025, "Extinct&lt; 6Yrs?",BA483)</f>
        <v>2031.6582559714795</v>
      </c>
      <c r="G483" s="376" t="s">
        <v>525</v>
      </c>
      <c r="H483" s="376" t="s">
        <v>4028</v>
      </c>
      <c r="I483" s="378" t="s">
        <v>3175</v>
      </c>
      <c r="J483" s="378" t="s">
        <v>3581</v>
      </c>
      <c r="K483" s="378" t="s">
        <v>3173</v>
      </c>
      <c r="L483" s="63" t="s">
        <v>3172</v>
      </c>
      <c r="M483" s="64" t="s">
        <v>4558</v>
      </c>
      <c r="N483" s="64" t="s">
        <v>5455</v>
      </c>
      <c r="O483" s="64" t="s">
        <v>6353</v>
      </c>
      <c r="P483" s="404" t="s">
        <v>576</v>
      </c>
      <c r="Q483" s="67" t="s">
        <v>2557</v>
      </c>
      <c r="R483" s="61" t="s">
        <v>2500</v>
      </c>
      <c r="S483" s="61" t="s">
        <v>2459</v>
      </c>
      <c r="T483" s="134" t="str">
        <f>IF(R483="Bogs Ponds Streams","20",IF(R483="Coastal Areas","26",IF(R483="Meadows Dry Open","10",IF(R483="Forest &amp; Understory","14",IF(R483="Moist Open","12",IF(R483="Moist Shady","10",IF(R483="Sub-Alpine Slopes","0")))))))</f>
        <v>10</v>
      </c>
      <c r="U483" s="134" t="str">
        <f>IF(R483="Bogs Ponds Streams","52",IF(R483="Coastal Areas","51",IF(R483="Meadows Dry Open","53",IF(R483="Forest &amp; Understory","52",IF(R483="Moist Open","50",IF(R483="Moist Shady","46",IF(R483="Sub-Alpine Slopes","40")))))))</f>
        <v>53</v>
      </c>
      <c r="V483" s="134" t="str">
        <f>IF(R483="Bogs Ponds Streams","84",IF(R483="Coastal Areas","76",IF(R483="Meadows Dry Open","96", IF(R483="Forest &amp; Understory","90", IF(R483="Moist Open","88", IF(R483="Moist Shady","82", IF(R483="Sub-Alpine Slopes","80")))))))</f>
        <v>96</v>
      </c>
      <c r="W483" s="67">
        <v>20</v>
      </c>
      <c r="X483" s="67">
        <v>0</v>
      </c>
      <c r="Y483" s="67">
        <v>3500</v>
      </c>
      <c r="Z483" s="67" t="s">
        <v>2519</v>
      </c>
      <c r="AA483" s="67" t="s">
        <v>2518</v>
      </c>
      <c r="AB483" s="67">
        <v>6.8</v>
      </c>
      <c r="AC483" s="85">
        <f>C483+AK483+(0.1)*AL483</f>
        <v>4.0999999999999996</v>
      </c>
      <c r="AD483" s="67">
        <v>5</v>
      </c>
      <c r="AE483" s="67">
        <v>5</v>
      </c>
      <c r="AF483" s="67">
        <v>5</v>
      </c>
      <c r="AG483" s="67">
        <v>1900</v>
      </c>
      <c r="AH483" s="78">
        <v>0</v>
      </c>
      <c r="AI483" s="67">
        <f>AJ483</f>
        <v>2004</v>
      </c>
      <c r="AJ483" s="69">
        <v>2004</v>
      </c>
      <c r="AK483" s="69">
        <v>3</v>
      </c>
      <c r="AL483" s="69">
        <v>1</v>
      </c>
      <c r="AM483" s="70">
        <v>5</v>
      </c>
      <c r="AN483" s="70">
        <v>0</v>
      </c>
      <c r="AO483" s="86">
        <v>0</v>
      </c>
      <c r="AP483" s="70">
        <v>0</v>
      </c>
      <c r="AQ483" s="70">
        <v>0</v>
      </c>
      <c r="AR483" s="70">
        <v>0</v>
      </c>
      <c r="AS483" s="86">
        <v>0</v>
      </c>
      <c r="AT483" s="70">
        <v>0</v>
      </c>
      <c r="AU483" s="70">
        <v>0</v>
      </c>
      <c r="AV483" s="70">
        <v>0</v>
      </c>
      <c r="AW483" s="86">
        <v>0</v>
      </c>
      <c r="AX483" s="70">
        <v>0</v>
      </c>
      <c r="AY483" s="233"/>
      <c r="AZ483" s="4"/>
      <c r="BA483" s="35">
        <f ca="1">IF(OR(S483="North America",S483="Rocky Mountain"), "Widespread",BC483)</f>
        <v>2031.6582559714795</v>
      </c>
      <c r="BB483" s="4"/>
      <c r="BC483" s="35">
        <f ca="1">IF(BE483&gt;2046, "Abundant",BE483)</f>
        <v>2031.6582559714795</v>
      </c>
      <c r="BD483" s="4"/>
      <c r="BE483" s="81">
        <f ca="1">YEAR($C$13)+(BG483*80)</f>
        <v>2031.6582559714795</v>
      </c>
      <c r="BF483" s="4"/>
      <c r="BG483" s="137">
        <f ca="1">BH483*$BH$14</f>
        <v>0.15822819964349377</v>
      </c>
      <c r="BH483" s="137">
        <f ca="1">(((BJ483+BK483+BM483+BN483)/4)*$BM$11)+(((BP483+BQ483)/2)*$BQ$11)+(((BU483+BV483+BW483)/3)*$BU$11)+(((BY483+BZ483+CA483+CB483+CC483)/5)*$CA$11)</f>
        <v>0.15822819964349377</v>
      </c>
      <c r="BI483" s="4"/>
      <c r="BJ483" s="33">
        <f>AP483/(AM483+AO483)</f>
        <v>0</v>
      </c>
      <c r="BK483" s="33">
        <f>(AN483+AO483)/(AM483+AO483)</f>
        <v>0</v>
      </c>
      <c r="BL483" s="4"/>
      <c r="BM483" s="127">
        <f>CF483/102</f>
        <v>4.0196078431372545E-2</v>
      </c>
      <c r="BN483" s="127">
        <f>C483/2</f>
        <v>0.5</v>
      </c>
      <c r="BO483" s="4"/>
      <c r="BP483" s="127">
        <f>(AK483)/($AW$6)</f>
        <v>3.0303030303030304E-2</v>
      </c>
      <c r="BQ483" s="127">
        <f ca="1">(CH483-$AW$4)/((YEAR($C$13))-$AW$4)</f>
        <v>0</v>
      </c>
      <c r="BR483" s="127">
        <f>(AL483)/($AW$6)</f>
        <v>1.0101010101010102E-2</v>
      </c>
      <c r="BS483" s="4"/>
      <c r="BT483" s="127"/>
      <c r="BU483" s="127">
        <f ca="1">(CG483-$AW$4)/((YEAR($C$13))-$AW$4)</f>
        <v>0</v>
      </c>
      <c r="BV483" s="127">
        <f>AE483/5</f>
        <v>1</v>
      </c>
      <c r="BW483" s="127">
        <f>AF483/5</f>
        <v>1</v>
      </c>
      <c r="BX483" s="4"/>
      <c r="BY483" s="148" t="str">
        <f>IF(E483="A",".98",  IF(E483="B",".99",  IF(E483="C","1.00",  IF(E483="D","1.00" ))))</f>
        <v>1.00</v>
      </c>
      <c r="BZ483" s="127">
        <f>(CE483+7)/10</f>
        <v>1</v>
      </c>
      <c r="CA483" s="76" t="str">
        <f>IF(D483="Fern",".97",IF(D483="Grass",".99",IF(D483="Herb",".97",IF(D483="Shrub",".99",IF(D483="Tree","1.00",IF(D483="Vine",".98"))))))</f>
        <v>.97</v>
      </c>
      <c r="CB483" s="149" t="str">
        <f>IF(R483="Bogs Ponds Streams",".96", IF(R483="Coastal Areas",".97",IF(R483="Meadows Dry Open",".96",IF(R483="Forest &amp; Understory",".97",IF(R483="Moist Open",".98",IF(R483="Moist Shady",".96",IF(R483="Sub-Alpine","1.0")))))))</f>
        <v>.96</v>
      </c>
      <c r="CC483" s="76" t="str">
        <f>IF(S483="Local Endemic",".50",IF(S483="Regional Endemic",".70",IF(S483="Cascadia",".90",IF(S483="Rocky Mountain",".95",IF(S483="North America",".99")))))</f>
        <v>.90</v>
      </c>
      <c r="CD483" s="4"/>
      <c r="CE483" s="21">
        <f>IF(W483&gt;3,3,W483)</f>
        <v>3</v>
      </c>
      <c r="CF483" s="21">
        <f>IF(AC483&gt;102,102,AC483)</f>
        <v>4.0999999999999996</v>
      </c>
      <c r="CG483" s="34">
        <f>IF(AI483&lt;$AW$4,$AW$4,AI483)</f>
        <v>2004</v>
      </c>
      <c r="CH483" s="34">
        <f>IF(AJ483&lt;$AW$4,$AW$4,AJ483)</f>
        <v>2004</v>
      </c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13"/>
      <c r="DJ483" s="13"/>
    </row>
    <row r="484" spans="1:116" ht="15" customHeight="1" x14ac:dyDescent="0.3">
      <c r="A484" s="235"/>
      <c r="B484" s="218"/>
      <c r="C484" s="226">
        <v>2</v>
      </c>
      <c r="D484" s="104" t="s">
        <v>2505</v>
      </c>
      <c r="E484" s="104" t="s">
        <v>2501</v>
      </c>
      <c r="F484" s="400" t="str">
        <f ca="1">IF(BC484&lt;2025, "Extinct&lt; 6Yrs?",BA484)</f>
        <v>Widespread</v>
      </c>
      <c r="G484" s="369" t="s">
        <v>525</v>
      </c>
      <c r="H484" s="369" t="s">
        <v>4028</v>
      </c>
      <c r="I484" s="370" t="s">
        <v>659</v>
      </c>
      <c r="J484" s="371" t="s">
        <v>3747</v>
      </c>
      <c r="K484" s="371" t="s">
        <v>1031</v>
      </c>
      <c r="L484" s="106" t="s">
        <v>1545</v>
      </c>
      <c r="M484" s="111" t="s">
        <v>4559</v>
      </c>
      <c r="N484" s="111" t="s">
        <v>5456</v>
      </c>
      <c r="O484" s="111" t="s">
        <v>6354</v>
      </c>
      <c r="P484" s="105" t="s">
        <v>660</v>
      </c>
      <c r="Q484" s="104" t="s">
        <v>2552</v>
      </c>
      <c r="R484" s="105" t="s">
        <v>2499</v>
      </c>
      <c r="S484" s="105" t="s">
        <v>2495</v>
      </c>
      <c r="T484" s="133" t="str">
        <f>IF(R484="Bogs Ponds Streams","20",IF(R484="Coastal Areas","26",IF(R484="Meadows Dry Open","10",IF(R484="Forest &amp; Understory","14",IF(R484="Moist Open","12",IF(R484="Moist Shady","10",IF(R484="Sub-Alpine Slopes","0")))))))</f>
        <v>20</v>
      </c>
      <c r="U484" s="133" t="str">
        <f>IF(R484="Bogs Ponds Streams","52",IF(R484="Coastal Areas","51",IF(R484="Meadows Dry Open","53",IF(R484="Forest &amp; Understory","52",IF(R484="Moist Open","50",IF(R484="Moist Shady","46",IF(R484="Sub-Alpine Slopes","40")))))))</f>
        <v>52</v>
      </c>
      <c r="V484" s="133" t="str">
        <f>IF(R484="Bogs Ponds Streams","84",IF(R484="Coastal Areas","76",IF(R484="Meadows Dry Open","96", IF(R484="Forest &amp; Understory","90", IF(R484="Moist Open","88", IF(R484="Moist Shady","82", IF(R484="Sub-Alpine Slopes","80")))))))</f>
        <v>84</v>
      </c>
      <c r="W484" s="104">
        <v>20</v>
      </c>
      <c r="X484" s="104">
        <v>0</v>
      </c>
      <c r="Y484" s="104">
        <v>3500</v>
      </c>
      <c r="Z484" s="104" t="s">
        <v>2519</v>
      </c>
      <c r="AA484" s="104" t="s">
        <v>2518</v>
      </c>
      <c r="AB484" s="104">
        <v>6.8</v>
      </c>
      <c r="AC484" s="107">
        <f>C484+AK484+(0.1)*AL484</f>
        <v>35.5</v>
      </c>
      <c r="AD484" s="113">
        <v>47</v>
      </c>
      <c r="AE484" s="104">
        <v>5</v>
      </c>
      <c r="AF484" s="104">
        <v>5</v>
      </c>
      <c r="AG484" s="104">
        <v>1900</v>
      </c>
      <c r="AH484" s="113">
        <v>0</v>
      </c>
      <c r="AI484" s="104">
        <f>AJ484</f>
        <v>2004</v>
      </c>
      <c r="AJ484" s="108">
        <v>2004</v>
      </c>
      <c r="AK484" s="108">
        <v>33</v>
      </c>
      <c r="AL484" s="108">
        <v>5</v>
      </c>
      <c r="AM484" s="109">
        <v>5</v>
      </c>
      <c r="AN484" s="109">
        <v>1</v>
      </c>
      <c r="AO484" s="110">
        <v>0</v>
      </c>
      <c r="AP484" s="109">
        <v>0</v>
      </c>
      <c r="AQ484" s="109">
        <v>0</v>
      </c>
      <c r="AR484" s="109">
        <v>0</v>
      </c>
      <c r="AS484" s="110">
        <v>0</v>
      </c>
      <c r="AT484" s="109">
        <v>0</v>
      </c>
      <c r="AU484" s="109">
        <v>0</v>
      </c>
      <c r="AV484" s="109">
        <v>0</v>
      </c>
      <c r="AW484" s="110">
        <v>0</v>
      </c>
      <c r="AX484" s="109">
        <v>0</v>
      </c>
      <c r="AY484" s="233"/>
      <c r="AZ484" s="4"/>
      <c r="BA484" s="35" t="str">
        <f>IF(OR(S484="North America",S484="Rocky Mountain"), "Widespread",BC484)</f>
        <v>Widespread</v>
      </c>
      <c r="BB484" s="4"/>
      <c r="BC484" s="35" t="str">
        <f ca="1">IF(BE484&gt;2046, "Abundant",BE484)</f>
        <v>Abundant</v>
      </c>
      <c r="BD484" s="4"/>
      <c r="BE484" s="81">
        <f ca="1">YEAR($C$13)+(BG484*80)</f>
        <v>2047.4175372549021</v>
      </c>
      <c r="BF484" s="4"/>
      <c r="BG484" s="137">
        <f ca="1">BH484*$BH$14</f>
        <v>0.35521921568627451</v>
      </c>
      <c r="BH484" s="137">
        <f ca="1">(((BJ484+BK484+BM484+BN484)/4)*$BM$11)+(((BP484+BQ484)/2)*$BQ$11)+(((BU484+BV484+BW484)/3)*$BU$11)+(((BY484+BZ484+CA484+CB484+CC484)/5)*$CA$11)</f>
        <v>0.35521921568627451</v>
      </c>
      <c r="BI484" s="4"/>
      <c r="BJ484" s="33">
        <f>AP484/(AM484+AO484)</f>
        <v>0</v>
      </c>
      <c r="BK484" s="33">
        <f>(AN484+AO484)/(AM484+AO484)</f>
        <v>0.2</v>
      </c>
      <c r="BL484" s="4"/>
      <c r="BM484" s="127">
        <f>CF484/102</f>
        <v>0.34803921568627449</v>
      </c>
      <c r="BN484" s="127">
        <f>C484/2</f>
        <v>1</v>
      </c>
      <c r="BO484" s="4"/>
      <c r="BP484" s="127">
        <f>(AK484)/($AW$6)</f>
        <v>0.33333333333333331</v>
      </c>
      <c r="BQ484" s="127">
        <f ca="1">(CH484-$AW$4)/((YEAR($C$13))-$AW$4)</f>
        <v>0</v>
      </c>
      <c r="BR484" s="127">
        <f>(AL484)/($AW$6)</f>
        <v>5.0505050505050504E-2</v>
      </c>
      <c r="BS484" s="4"/>
      <c r="BT484" s="127"/>
      <c r="BU484" s="127">
        <f ca="1">(CG484-$AW$4)/((YEAR($C$13))-$AW$4)</f>
        <v>0</v>
      </c>
      <c r="BV484" s="127">
        <f>AE484/5</f>
        <v>1</v>
      </c>
      <c r="BW484" s="127">
        <f>AF484/5</f>
        <v>1</v>
      </c>
      <c r="BX484" s="4"/>
      <c r="BY484" s="148" t="str">
        <f>IF(E484="A",".98",IF(E484="B",".99",IF(E484="C","1.00",IF(E484="D","1.00" ))))</f>
        <v>1.00</v>
      </c>
      <c r="BZ484" s="127">
        <f>(CE484+7)/10</f>
        <v>1</v>
      </c>
      <c r="CA484" s="76" t="str">
        <f>IF(D484="Fern",".97",IF(D484="Grass",".99",IF(D484="Herb",".97",IF(D484="Shrub",".99",IF(D484="Tree","1.00",IF(D484="Vine",".98"))))))</f>
        <v>.97</v>
      </c>
      <c r="CB484" s="149" t="str">
        <f>IF(R484="Bogs Ponds Streams",".96", IF(R484="Coastal Areas",".97",IF(R484="Meadows Dry Open",".96",IF(R484="Forest &amp; Understory",".97",IF(R484="Moist Open",".98",IF(R484="Moist Shady",".96",IF(R484="Sub-Alpine","1.0")))))))</f>
        <v>.96</v>
      </c>
      <c r="CC484" s="76" t="str">
        <f>IF(S484="Local Endemic",".50",IF(S484="Regional Endemic",".70",IF(S484="Cascadia",".90",IF(S484="Rocky Mountain",".95",IF(S484="North America",".99")))))</f>
        <v>.99</v>
      </c>
      <c r="CD484" s="4"/>
      <c r="CE484" s="21">
        <f>IF(W484&gt;3,3,W484)</f>
        <v>3</v>
      </c>
      <c r="CF484" s="21">
        <f>IF(AC484&gt;102,102,AC484)</f>
        <v>35.5</v>
      </c>
      <c r="CG484" s="34">
        <f>IF(AI484&lt;$AW$4,$AW$4,AI484)</f>
        <v>2004</v>
      </c>
      <c r="CH484" s="34">
        <f>IF(AJ484&lt;$AW$4,$AW$4,AJ484)</f>
        <v>2004</v>
      </c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</row>
    <row r="485" spans="1:116" ht="15" customHeight="1" x14ac:dyDescent="0.3">
      <c r="A485" s="235"/>
      <c r="B485" s="218"/>
      <c r="C485" s="225">
        <v>8</v>
      </c>
      <c r="D485" s="59" t="s">
        <v>2505</v>
      </c>
      <c r="E485" s="59" t="s">
        <v>2501</v>
      </c>
      <c r="F485" s="397" t="str">
        <f ca="1">IF(BC485&lt;2025, "Extinct&lt; 6Yrs?",BA485)</f>
        <v>Abundant</v>
      </c>
      <c r="G485" s="363" t="s">
        <v>525</v>
      </c>
      <c r="H485" s="363" t="s">
        <v>688</v>
      </c>
      <c r="I485" s="366" t="s">
        <v>260</v>
      </c>
      <c r="J485" s="365" t="s">
        <v>3399</v>
      </c>
      <c r="K485" s="365" t="s">
        <v>79</v>
      </c>
      <c r="L485" s="10" t="s">
        <v>1546</v>
      </c>
      <c r="M485" s="8" t="s">
        <v>4560</v>
      </c>
      <c r="N485" s="8" t="s">
        <v>5457</v>
      </c>
      <c r="O485" s="8" t="s">
        <v>6355</v>
      </c>
      <c r="P485" s="9" t="s">
        <v>303</v>
      </c>
      <c r="Q485" s="59" t="s">
        <v>2552</v>
      </c>
      <c r="R485" s="9" t="s">
        <v>2500</v>
      </c>
      <c r="S485" s="9" t="s">
        <v>2459</v>
      </c>
      <c r="T485" s="123" t="str">
        <f>IF(R485="Bogs Ponds Streams","20",IF(R485="Coastal Areas","26",IF(R485="Meadows Dry Open","10",IF(R485="Forest &amp; Understory","14",IF(R485="Moist Open","12",IF(R485="Moist Shady","10",IF(R485="Sub-Alpine Slopes","0")))))))</f>
        <v>10</v>
      </c>
      <c r="U485" s="123" t="str">
        <f>IF(R485="Bogs Ponds Streams","52",IF(R485="Coastal Areas","51",IF(R485="Meadows Dry Open","53",IF(R485="Forest &amp; Understory","52",IF(R485="Moist Open","50",IF(R485="Moist Shady","46",IF(R485="Sub-Alpine Slopes","40")))))))</f>
        <v>53</v>
      </c>
      <c r="V485" s="123" t="str">
        <f>IF(R485="Bogs Ponds Streams","84",IF(R485="Coastal Areas","76",IF(R485="Meadows Dry Open","96", IF(R485="Forest &amp; Understory","90", IF(R485="Moist Open","88", IF(R485="Moist Shady","82", IF(R485="Sub-Alpine Slopes","80")))))))</f>
        <v>96</v>
      </c>
      <c r="W485" s="59">
        <v>20</v>
      </c>
      <c r="X485" s="59">
        <v>0</v>
      </c>
      <c r="Y485" s="59">
        <v>3500</v>
      </c>
      <c r="Z485" s="59" t="s">
        <v>2519</v>
      </c>
      <c r="AA485" s="59" t="s">
        <v>2518</v>
      </c>
      <c r="AB485" s="59">
        <v>6.8</v>
      </c>
      <c r="AC485" s="45">
        <f>C485+AK485+(0.1)*AL485</f>
        <v>43.2</v>
      </c>
      <c r="AD485" s="77">
        <v>151</v>
      </c>
      <c r="AE485" s="59">
        <v>5</v>
      </c>
      <c r="AF485" s="59">
        <v>5</v>
      </c>
      <c r="AG485" s="59">
        <v>1900</v>
      </c>
      <c r="AH485" s="77">
        <v>0</v>
      </c>
      <c r="AI485" s="59">
        <f ca="1">AJ485</f>
        <v>2019</v>
      </c>
      <c r="AJ485" s="18">
        <f ca="1">YEAR(TODAY())</f>
        <v>2019</v>
      </c>
      <c r="AK485" s="18">
        <v>33</v>
      </c>
      <c r="AL485" s="18">
        <v>22</v>
      </c>
      <c r="AM485" s="18">
        <v>1</v>
      </c>
      <c r="AN485" s="18">
        <v>1</v>
      </c>
      <c r="AO485" s="24">
        <v>1</v>
      </c>
      <c r="AP485" s="24">
        <v>0</v>
      </c>
      <c r="AQ485" s="18">
        <v>0</v>
      </c>
      <c r="AR485" s="18">
        <v>0</v>
      </c>
      <c r="AS485" s="18">
        <v>0</v>
      </c>
      <c r="AT485" s="18">
        <v>0</v>
      </c>
      <c r="AU485" s="18">
        <v>0</v>
      </c>
      <c r="AV485" s="18">
        <v>0</v>
      </c>
      <c r="AW485" s="18">
        <v>0</v>
      </c>
      <c r="AX485" s="18">
        <v>0</v>
      </c>
      <c r="AY485" s="233"/>
      <c r="AZ485" s="4"/>
      <c r="BA485" s="35" t="str">
        <f ca="1">IF(OR(S485="North America",S485="Rocky Mountain"), "Widespread",BC485)</f>
        <v>Abundant</v>
      </c>
      <c r="BB485" s="4"/>
      <c r="BC485" s="35" t="str">
        <f ca="1">IF(BE485&gt;2046, "Abundant",BE485)</f>
        <v>Abundant</v>
      </c>
      <c r="BD485" s="4"/>
      <c r="BE485" s="81">
        <f ca="1">YEAR($C$13)+(BG485*80)</f>
        <v>2108.0279529411764</v>
      </c>
      <c r="BF485" s="4"/>
      <c r="BG485" s="137">
        <f ca="1">BH485*$BH$14</f>
        <v>1.1128494117647061</v>
      </c>
      <c r="BH485" s="137">
        <f ca="1">(((BJ485+BK485+BM485+BN485)/4)*$BM$11)+(((BP485+BQ485)/2)*$BQ$11)+(((BU485+BV485+BW485)/3)*$BU$11)+(((BY485+BZ485+CA485+CB485+CC485)/5)*$CA$11)</f>
        <v>1.1128494117647061</v>
      </c>
      <c r="BI485" s="4"/>
      <c r="BJ485" s="33">
        <f>AP485/(AM485+AO485)</f>
        <v>0</v>
      </c>
      <c r="BK485" s="33">
        <f>(AN485+AO485)/(AM485+AO485)</f>
        <v>1</v>
      </c>
      <c r="BL485" s="4"/>
      <c r="BM485" s="127">
        <f>CF485/102</f>
        <v>0.42352941176470593</v>
      </c>
      <c r="BN485" s="127">
        <f>C485/2</f>
        <v>4</v>
      </c>
      <c r="BO485" s="4"/>
      <c r="BP485" s="127">
        <f>(AK485)/($AW$6)</f>
        <v>0.33333333333333331</v>
      </c>
      <c r="BQ485" s="127">
        <f ca="1">(CH485-$AW$4)/((YEAR($C$13))-$AW$4)</f>
        <v>1</v>
      </c>
      <c r="BR485" s="127">
        <f>(AL485)/($AW$6)</f>
        <v>0.22222222222222221</v>
      </c>
      <c r="BS485" s="4"/>
      <c r="BT485" s="127"/>
      <c r="BU485" s="127">
        <f ca="1">(CG485-$AW$4)/((YEAR($C$13))-$AW$4)</f>
        <v>1</v>
      </c>
      <c r="BV485" s="127">
        <f>AE485/5</f>
        <v>1</v>
      </c>
      <c r="BW485" s="127">
        <f>AF485/5</f>
        <v>1</v>
      </c>
      <c r="BX485" s="4"/>
      <c r="BY485" s="148" t="str">
        <f>IF(E485="A",".98",IF(E485="B",".99",IF(E485="C","1.00",IF(E485="D","1.00" ))))</f>
        <v>1.00</v>
      </c>
      <c r="BZ485" s="127">
        <f>(CE485+7)/10</f>
        <v>1</v>
      </c>
      <c r="CA485" s="76" t="str">
        <f>IF(D485="Fern",".97",IF(D485="Grass",".99",IF(D485="Herb",".97",IF(D485="Shrub",".99",IF(D485="Tree","1.00",IF(D485="Vine",".98"))))))</f>
        <v>.97</v>
      </c>
      <c r="CB485" s="149" t="str">
        <f>IF(R485="Bogs Ponds Streams",".96", IF(R485="Coastal Areas",".97",IF(R485="Meadows Dry Open",".96",IF(R485="Forest &amp; Understory",".97",IF(R485="Moist Open",".98",IF(R485="Moist Shady",".96",IF(R485="Sub-Alpine","1.0")))))))</f>
        <v>.96</v>
      </c>
      <c r="CC485" s="76" t="str">
        <f>IF(S485="Local Endemic",".50",IF(S485="Regional Endemic",".70",IF(S485="Cascadia",".90",IF(S485="Rocky Mountain",".95",IF(S485="North America",".99")))))</f>
        <v>.90</v>
      </c>
      <c r="CD485" s="4"/>
      <c r="CE485" s="21">
        <f>IF(W485&gt;3,3,W485)</f>
        <v>3</v>
      </c>
      <c r="CF485" s="21">
        <f>IF(AC485&gt;102,102,AC485)</f>
        <v>43.2</v>
      </c>
      <c r="CG485" s="34">
        <f ca="1">IF(AI485&lt;$AW$4,$AW$4,AI485)</f>
        <v>2019</v>
      </c>
      <c r="CH485" s="34">
        <f ca="1">IF(AJ485&lt;$AW$4,$AW$4,AJ485)</f>
        <v>2019</v>
      </c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13"/>
    </row>
    <row r="486" spans="1:116" ht="15" customHeight="1" x14ac:dyDescent="0.3">
      <c r="A486" s="235"/>
      <c r="B486" s="218"/>
      <c r="C486" s="225">
        <v>8</v>
      </c>
      <c r="D486" s="59" t="s">
        <v>2505</v>
      </c>
      <c r="E486" s="59" t="s">
        <v>2501</v>
      </c>
      <c r="F486" s="397" t="str">
        <f ca="1">IF(BC486&lt;2025, "Extinct&lt; 6Yrs?",BA486)</f>
        <v>Abundant</v>
      </c>
      <c r="G486" s="363" t="s">
        <v>525</v>
      </c>
      <c r="H486" s="363" t="s">
        <v>691</v>
      </c>
      <c r="I486" s="366" t="s">
        <v>587</v>
      </c>
      <c r="J486" s="365" t="s">
        <v>3400</v>
      </c>
      <c r="K486" s="365" t="s">
        <v>586</v>
      </c>
      <c r="L486" s="10" t="s">
        <v>1547</v>
      </c>
      <c r="M486" s="8" t="s">
        <v>4561</v>
      </c>
      <c r="N486" s="8" t="s">
        <v>5458</v>
      </c>
      <c r="O486" s="8" t="s">
        <v>6356</v>
      </c>
      <c r="P486" s="9" t="s">
        <v>576</v>
      </c>
      <c r="Q486" s="59" t="s">
        <v>2552</v>
      </c>
      <c r="R486" s="9" t="s">
        <v>2500</v>
      </c>
      <c r="S486" s="9" t="s">
        <v>2459</v>
      </c>
      <c r="T486" s="123" t="str">
        <f>IF(R486="Bogs Ponds Streams","20",IF(R486="Coastal Areas","26",IF(R486="Meadows Dry Open","10",IF(R486="Forest &amp; Understory","14",IF(R486="Moist Open","12",IF(R486="Moist Shady","10",IF(R486="Sub-Alpine Slopes","0")))))))</f>
        <v>10</v>
      </c>
      <c r="U486" s="123" t="str">
        <f>IF(R486="Bogs Ponds Streams","52",IF(R486="Coastal Areas","51",IF(R486="Meadows Dry Open","53",IF(R486="Forest &amp; Understory","52",IF(R486="Moist Open","50",IF(R486="Moist Shady","46",IF(R486="Sub-Alpine Slopes","40")))))))</f>
        <v>53</v>
      </c>
      <c r="V486" s="123" t="str">
        <f>IF(R486="Bogs Ponds Streams","84",IF(R486="Coastal Areas","76",IF(R486="Meadows Dry Open","96", IF(R486="Forest &amp; Understory","90", IF(R486="Moist Open","88", IF(R486="Moist Shady","82", IF(R486="Sub-Alpine Slopes","80")))))))</f>
        <v>96</v>
      </c>
      <c r="W486" s="59">
        <v>20</v>
      </c>
      <c r="X486" s="59">
        <v>0</v>
      </c>
      <c r="Y486" s="59">
        <v>3500</v>
      </c>
      <c r="Z486" s="59" t="s">
        <v>2519</v>
      </c>
      <c r="AA486" s="59" t="s">
        <v>2518</v>
      </c>
      <c r="AB486" s="59">
        <v>6.8</v>
      </c>
      <c r="AC486" s="45">
        <f>C486+AK486+(0.1)*AL486</f>
        <v>30.5</v>
      </c>
      <c r="AD486" s="77">
        <v>69</v>
      </c>
      <c r="AE486" s="59">
        <v>5</v>
      </c>
      <c r="AF486" s="59">
        <v>5</v>
      </c>
      <c r="AG486" s="59">
        <v>1900</v>
      </c>
      <c r="AH486" s="77">
        <v>0</v>
      </c>
      <c r="AI486" s="59">
        <f ca="1">AJ486</f>
        <v>2019</v>
      </c>
      <c r="AJ486" s="18">
        <f ca="1">YEAR(TODAY())</f>
        <v>2019</v>
      </c>
      <c r="AK486" s="18">
        <v>22</v>
      </c>
      <c r="AL486" s="18">
        <v>5</v>
      </c>
      <c r="AM486" s="18">
        <v>1</v>
      </c>
      <c r="AN486" s="18">
        <v>1</v>
      </c>
      <c r="AO486" s="24">
        <v>1</v>
      </c>
      <c r="AP486" s="24">
        <v>0</v>
      </c>
      <c r="AQ486" s="18">
        <v>0</v>
      </c>
      <c r="AR486" s="18">
        <v>0</v>
      </c>
      <c r="AS486" s="18">
        <v>0</v>
      </c>
      <c r="AT486" s="18">
        <v>0</v>
      </c>
      <c r="AU486" s="18">
        <v>0</v>
      </c>
      <c r="AV486" s="18">
        <v>0</v>
      </c>
      <c r="AW486" s="18">
        <v>0</v>
      </c>
      <c r="AX486" s="18">
        <v>0</v>
      </c>
      <c r="AY486" s="233"/>
      <c r="AZ486" s="4"/>
      <c r="BA486" s="35" t="str">
        <f ca="1">IF(OR(S486="North America",S486="Rocky Mountain"), "Widespread",BC486)</f>
        <v>Abundant</v>
      </c>
      <c r="BB486" s="4"/>
      <c r="BC486" s="35" t="str">
        <f ca="1">IF(BE486&gt;2046, "Abundant",BE486)</f>
        <v>Abundant</v>
      </c>
      <c r="BD486" s="4"/>
      <c r="BE486" s="81">
        <f ca="1">YEAR($C$13)+(BG486*80)</f>
        <v>2105.2005019607841</v>
      </c>
      <c r="BF486" s="4"/>
      <c r="BG486" s="137">
        <f ca="1">BH486*$BH$14</f>
        <v>1.0775062745098039</v>
      </c>
      <c r="BH486" s="137">
        <f ca="1">(((BJ486+BK486+BM486+BN486)/4)*$BM$11)+(((BP486+BQ486)/2)*$BQ$11)+(((BU486+BV486+BW486)/3)*$BU$11)+(((BY486+BZ486+CA486+CB486+CC486)/5)*$CA$11)</f>
        <v>1.0775062745098039</v>
      </c>
      <c r="BI486" s="4"/>
      <c r="BJ486" s="33">
        <f>AP486/(AM486+AO486)</f>
        <v>0</v>
      </c>
      <c r="BK486" s="33">
        <f>(AN486+AO486)/(AM486+AO486)</f>
        <v>1</v>
      </c>
      <c r="BL486" s="4"/>
      <c r="BM486" s="127">
        <f>CF486/102</f>
        <v>0.29901960784313725</v>
      </c>
      <c r="BN486" s="127">
        <f>C486/2</f>
        <v>4</v>
      </c>
      <c r="BO486" s="4"/>
      <c r="BP486" s="127">
        <f>(AK486)/($AW$6)</f>
        <v>0.22222222222222221</v>
      </c>
      <c r="BQ486" s="127">
        <f ca="1">(CH486-$AW$4)/((YEAR($C$13))-$AW$4)</f>
        <v>1</v>
      </c>
      <c r="BR486" s="127">
        <f>(AL486)/($AW$6)</f>
        <v>5.0505050505050504E-2</v>
      </c>
      <c r="BS486" s="4"/>
      <c r="BT486" s="127"/>
      <c r="BU486" s="127">
        <f ca="1">(CG486-$AW$4)/((YEAR($C$13))-$AW$4)</f>
        <v>1</v>
      </c>
      <c r="BV486" s="127">
        <f>AE486/5</f>
        <v>1</v>
      </c>
      <c r="BW486" s="127">
        <f>AF486/5</f>
        <v>1</v>
      </c>
      <c r="BX486" s="4"/>
      <c r="BY486" s="148" t="str">
        <f>IF(E486="A",".98",IF(E486="B",".99",IF(E486="C","1.00",IF(E486="D","1.00" ))))</f>
        <v>1.00</v>
      </c>
      <c r="BZ486" s="127">
        <f>(CE486+7)/10</f>
        <v>1</v>
      </c>
      <c r="CA486" s="76" t="str">
        <f>IF(D486="Fern",".97",IF(D486="Grass",".99",IF(D486="Herb",".97",IF(D486="Shrub",".99",IF(D486="Tree","1.00",IF(D486="Vine",".98"))))))</f>
        <v>.97</v>
      </c>
      <c r="CB486" s="149" t="str">
        <f>IF(R486="Bogs Ponds Streams",".96", IF(R486="Coastal Areas",".97",IF(R486="Meadows Dry Open",".96",IF(R486="Forest &amp; Understory",".97",IF(R486="Moist Open",".98",IF(R486="Moist Shady",".96",IF(R486="Sub-Alpine","1.0")))))))</f>
        <v>.96</v>
      </c>
      <c r="CC486" s="76" t="str">
        <f>IF(S486="Local Endemic",".50",IF(S486="Regional Endemic",".70",IF(S486="Cascadia",".90",IF(S486="Rocky Mountain",".95",IF(S486="North America",".99")))))</f>
        <v>.90</v>
      </c>
      <c r="CD486" s="4"/>
      <c r="CE486" s="21">
        <f>IF(W486&gt;3,3,W486)</f>
        <v>3</v>
      </c>
      <c r="CF486" s="21">
        <f>IF(AC486&gt;102,102,AC486)</f>
        <v>30.5</v>
      </c>
      <c r="CG486" s="34">
        <f ca="1">IF(AI486&lt;$AW$4,$AW$4,AI486)</f>
        <v>2019</v>
      </c>
      <c r="CH486" s="34">
        <f ca="1">IF(AJ486&lt;$AW$4,$AW$4,AJ486)</f>
        <v>2019</v>
      </c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13"/>
    </row>
    <row r="487" spans="1:116" ht="15" customHeight="1" x14ac:dyDescent="0.3">
      <c r="A487" s="235"/>
      <c r="B487" s="218"/>
      <c r="C487" s="375">
        <v>1</v>
      </c>
      <c r="D487" s="67" t="s">
        <v>2505</v>
      </c>
      <c r="E487" s="67" t="s">
        <v>2501</v>
      </c>
      <c r="F487" s="403">
        <f ca="1">IF(BC487&lt;2025, "Extinct&lt; 6Yrs?",BA487)</f>
        <v>2038.8828549019609</v>
      </c>
      <c r="G487" s="376" t="s">
        <v>525</v>
      </c>
      <c r="H487" s="376" t="s">
        <v>4028</v>
      </c>
      <c r="I487" s="380" t="s">
        <v>583</v>
      </c>
      <c r="J487" s="378" t="s">
        <v>3580</v>
      </c>
      <c r="K487" s="378" t="s">
        <v>1032</v>
      </c>
      <c r="L487" s="63" t="s">
        <v>1548</v>
      </c>
      <c r="M487" s="64" t="s">
        <v>4562</v>
      </c>
      <c r="N487" s="64" t="s">
        <v>5459</v>
      </c>
      <c r="O487" s="64" t="s">
        <v>6357</v>
      </c>
      <c r="P487" s="61" t="s">
        <v>576</v>
      </c>
      <c r="Q487" s="67" t="s">
        <v>2552</v>
      </c>
      <c r="R487" s="61" t="s">
        <v>2500</v>
      </c>
      <c r="S487" s="61" t="s">
        <v>2459</v>
      </c>
      <c r="T487" s="134" t="str">
        <f>IF(R487="Bogs Ponds Streams","20",IF(R487="Coastal Areas","26",IF(R487="Meadows Dry Open","10",IF(R487="Forest &amp; Understory","14",IF(R487="Moist Open","12",IF(R487="Moist Shady","10",IF(R487="Sub-Alpine Slopes","0")))))))</f>
        <v>10</v>
      </c>
      <c r="U487" s="134" t="str">
        <f>IF(R487="Bogs Ponds Streams","52",IF(R487="Coastal Areas","51",IF(R487="Meadows Dry Open","53",IF(R487="Forest &amp; Understory","52",IF(R487="Moist Open","50",IF(R487="Moist Shady","46",IF(R487="Sub-Alpine Slopes","40")))))))</f>
        <v>53</v>
      </c>
      <c r="V487" s="134" t="str">
        <f>IF(R487="Bogs Ponds Streams","84",IF(R487="Coastal Areas","76",IF(R487="Meadows Dry Open","96", IF(R487="Forest &amp; Understory","90", IF(R487="Moist Open","88", IF(R487="Moist Shady","82", IF(R487="Sub-Alpine Slopes","80")))))))</f>
        <v>96</v>
      </c>
      <c r="W487" s="67">
        <v>20</v>
      </c>
      <c r="X487" s="67">
        <v>0</v>
      </c>
      <c r="Y487" s="67">
        <v>3500</v>
      </c>
      <c r="Z487" s="67" t="s">
        <v>2519</v>
      </c>
      <c r="AA487" s="67" t="s">
        <v>2518</v>
      </c>
      <c r="AB487" s="67">
        <v>6.8</v>
      </c>
      <c r="AC487" s="85">
        <f>C487+AK487+(0.1)*AL487</f>
        <v>34.6</v>
      </c>
      <c r="AD487" s="78">
        <v>115</v>
      </c>
      <c r="AE487" s="67">
        <v>5</v>
      </c>
      <c r="AF487" s="67">
        <v>5</v>
      </c>
      <c r="AG487" s="67">
        <v>1900</v>
      </c>
      <c r="AH487" s="78">
        <v>0</v>
      </c>
      <c r="AI487" s="67">
        <f>AJ487</f>
        <v>2004</v>
      </c>
      <c r="AJ487" s="69">
        <v>2004</v>
      </c>
      <c r="AK487" s="69">
        <v>33</v>
      </c>
      <c r="AL487" s="69">
        <v>6</v>
      </c>
      <c r="AM487" s="70">
        <v>5</v>
      </c>
      <c r="AN487" s="70">
        <v>0</v>
      </c>
      <c r="AO487" s="86">
        <v>0</v>
      </c>
      <c r="AP487" s="70">
        <v>0</v>
      </c>
      <c r="AQ487" s="70">
        <v>0</v>
      </c>
      <c r="AR487" s="70">
        <v>0</v>
      </c>
      <c r="AS487" s="86">
        <v>0</v>
      </c>
      <c r="AT487" s="70">
        <v>0</v>
      </c>
      <c r="AU487" s="70">
        <v>0</v>
      </c>
      <c r="AV487" s="70">
        <v>0</v>
      </c>
      <c r="AW487" s="86">
        <v>0</v>
      </c>
      <c r="AX487" s="70">
        <v>0</v>
      </c>
      <c r="AY487" s="233"/>
      <c r="AZ487" s="4"/>
      <c r="BA487" s="35">
        <f ca="1">IF(OR(S487="North America",S487="Rocky Mountain"), "Widespread",BC487)</f>
        <v>2038.8828549019609</v>
      </c>
      <c r="BB487" s="4"/>
      <c r="BC487" s="35">
        <f ca="1">IF(BE487&gt;2046, "Abundant",BE487)</f>
        <v>2038.8828549019609</v>
      </c>
      <c r="BD487" s="4"/>
      <c r="BE487" s="81">
        <f ca="1">YEAR($C$13)+(BG487*80)</f>
        <v>2038.8828549019609</v>
      </c>
      <c r="BF487" s="4"/>
      <c r="BG487" s="137">
        <f ca="1">BH487*$BH$14</f>
        <v>0.24853568627450978</v>
      </c>
      <c r="BH487" s="137">
        <f ca="1">(((BJ487+BK487+BM487+BN487)/4)*$BM$11)+(((BP487+BQ487)/2)*$BQ$11)+(((BU487+BV487+BW487)/3)*$BU$11)+(((BY487+BZ487+CA487+CB487+CC487)/5)*$CA$11)</f>
        <v>0.24853568627450978</v>
      </c>
      <c r="BI487" s="4"/>
      <c r="BJ487" s="33">
        <f>AP487/(AM487+AO487)</f>
        <v>0</v>
      </c>
      <c r="BK487" s="33">
        <f>(AN487+AO487)/(AM487+AO487)</f>
        <v>0</v>
      </c>
      <c r="BL487" s="4"/>
      <c r="BM487" s="127">
        <f>CF487/102</f>
        <v>0.33921568627450982</v>
      </c>
      <c r="BN487" s="127">
        <f>C487/2</f>
        <v>0.5</v>
      </c>
      <c r="BO487" s="4"/>
      <c r="BP487" s="127">
        <f>(AK487)/($AW$6)</f>
        <v>0.33333333333333331</v>
      </c>
      <c r="BQ487" s="127">
        <f ca="1">(CH487-$AW$4)/((YEAR($C$13))-$AW$4)</f>
        <v>0</v>
      </c>
      <c r="BR487" s="127">
        <f>(AL487)/($AW$6)</f>
        <v>6.0606060606060608E-2</v>
      </c>
      <c r="BS487" s="4"/>
      <c r="BT487" s="127"/>
      <c r="BU487" s="127">
        <f ca="1">(CG487-$AW$4)/((YEAR($C$13))-$AW$4)</f>
        <v>0</v>
      </c>
      <c r="BV487" s="127">
        <f>AE487/5</f>
        <v>1</v>
      </c>
      <c r="BW487" s="127">
        <f>AF487/5</f>
        <v>1</v>
      </c>
      <c r="BX487" s="4"/>
      <c r="BY487" s="148" t="str">
        <f>IF(E487="A",".98",IF(E487="B",".99",IF(E487="C","1.00",IF(E487="D","1.00" ))))</f>
        <v>1.00</v>
      </c>
      <c r="BZ487" s="127">
        <f>(CE487+7)/10</f>
        <v>1</v>
      </c>
      <c r="CA487" s="76" t="str">
        <f>IF(D487="Fern",".97",IF(D487="Grass",".99",IF(D487="Herb",".97",IF(D487="Shrub",".99",IF(D487="Tree","1.00",IF(D487="Vine",".98"))))))</f>
        <v>.97</v>
      </c>
      <c r="CB487" s="149" t="str">
        <f>IF(R487="Bogs Ponds Streams",".96", IF(R487="Coastal Areas",".97",IF(R487="Meadows Dry Open",".96",IF(R487="Forest &amp; Understory",".97",IF(R487="Moist Open",".98",IF(R487="Moist Shady",".96",IF(R487="Sub-Alpine","1.0")))))))</f>
        <v>.96</v>
      </c>
      <c r="CC487" s="76" t="str">
        <f>IF(S487="Local Endemic",".50",IF(S487="Regional Endemic",".70",IF(S487="Cascadia",".90",IF(S487="Rocky Mountain",".95",IF(S487="North America",".99")))))</f>
        <v>.90</v>
      </c>
      <c r="CD487" s="4"/>
      <c r="CE487" s="21">
        <f>IF(W487&gt;3,3,W487)</f>
        <v>3</v>
      </c>
      <c r="CF487" s="21">
        <f>IF(AC487&gt;102,102,AC487)</f>
        <v>34.6</v>
      </c>
      <c r="CG487" s="34">
        <f>IF(AI487&lt;$AW$4,$AW$4,AI487)</f>
        <v>2004</v>
      </c>
      <c r="CH487" s="34">
        <f>IF(AJ487&lt;$AW$4,$AW$4,AJ487)</f>
        <v>2004</v>
      </c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</row>
    <row r="488" spans="1:116" ht="15" customHeight="1" x14ac:dyDescent="0.3">
      <c r="A488" s="235"/>
      <c r="B488" s="218"/>
      <c r="C488" s="225">
        <v>8</v>
      </c>
      <c r="D488" s="59" t="s">
        <v>2505</v>
      </c>
      <c r="E488" s="59" t="s">
        <v>2501</v>
      </c>
      <c r="F488" s="397" t="str">
        <f ca="1">IF(BC488&lt;2025, "Extinct&lt; 6Yrs?",BA488)</f>
        <v>Abundant</v>
      </c>
      <c r="G488" s="363" t="s">
        <v>525</v>
      </c>
      <c r="H488" s="363" t="s">
        <v>691</v>
      </c>
      <c r="I488" s="366" t="s">
        <v>588</v>
      </c>
      <c r="J488" s="365" t="s">
        <v>3401</v>
      </c>
      <c r="K488" s="365" t="s">
        <v>22</v>
      </c>
      <c r="L488" s="10" t="s">
        <v>1549</v>
      </c>
      <c r="M488" s="8" t="s">
        <v>4563</v>
      </c>
      <c r="N488" s="8" t="s">
        <v>5460</v>
      </c>
      <c r="O488" s="8" t="s">
        <v>6358</v>
      </c>
      <c r="P488" s="9" t="s">
        <v>576</v>
      </c>
      <c r="Q488" s="59" t="s">
        <v>2552</v>
      </c>
      <c r="R488" s="9" t="s">
        <v>2497</v>
      </c>
      <c r="S488" s="9" t="s">
        <v>2459</v>
      </c>
      <c r="T488" s="123" t="str">
        <f>IF(R488="Bogs Ponds Streams","20",IF(R488="Coastal Areas","26",IF(R488="Meadows Dry Open","10",IF(R488="Forest &amp; Understory","14",IF(R488="Moist Open","12",IF(R488="Moist Shady","10",IF(R488="Sub-Alpine Slopes","0")))))))</f>
        <v>12</v>
      </c>
      <c r="U488" s="123" t="str">
        <f>IF(R488="Bogs Ponds Streams","52",IF(R488="Coastal Areas","51",IF(R488="Meadows Dry Open","53",IF(R488="Forest &amp; Understory","52",IF(R488="Moist Open","50",IF(R488="Moist Shady","46",IF(R488="Sub-Alpine Slopes","40")))))))</f>
        <v>50</v>
      </c>
      <c r="V488" s="123" t="str">
        <f>IF(R488="Bogs Ponds Streams","84",IF(R488="Coastal Areas","76",IF(R488="Meadows Dry Open","96", IF(R488="Forest &amp; Understory","90", IF(R488="Moist Open","88", IF(R488="Moist Shady","82", IF(R488="Sub-Alpine Slopes","80")))))))</f>
        <v>88</v>
      </c>
      <c r="W488" s="59">
        <v>20</v>
      </c>
      <c r="X488" s="59">
        <v>0</v>
      </c>
      <c r="Y488" s="59">
        <v>3500</v>
      </c>
      <c r="Z488" s="59" t="s">
        <v>2519</v>
      </c>
      <c r="AA488" s="59" t="s">
        <v>2518</v>
      </c>
      <c r="AB488" s="59">
        <v>6.8</v>
      </c>
      <c r="AC488" s="45">
        <f>C488+AK488+(0.1)*AL488</f>
        <v>54.2</v>
      </c>
      <c r="AD488" s="77">
        <v>186</v>
      </c>
      <c r="AE488" s="59">
        <v>5</v>
      </c>
      <c r="AF488" s="59">
        <v>5</v>
      </c>
      <c r="AG488" s="59">
        <v>1900</v>
      </c>
      <c r="AH488" s="77">
        <v>0</v>
      </c>
      <c r="AI488" s="59">
        <f ca="1">AJ488</f>
        <v>2019</v>
      </c>
      <c r="AJ488" s="18">
        <f ca="1">YEAR(TODAY())</f>
        <v>2019</v>
      </c>
      <c r="AK488" s="18">
        <v>44</v>
      </c>
      <c r="AL488" s="18">
        <v>22</v>
      </c>
      <c r="AM488" s="18">
        <v>1</v>
      </c>
      <c r="AN488" s="18">
        <v>1</v>
      </c>
      <c r="AO488" s="24">
        <v>1</v>
      </c>
      <c r="AP488" s="24">
        <v>0</v>
      </c>
      <c r="AQ488" s="18">
        <v>0</v>
      </c>
      <c r="AR488" s="18">
        <v>0</v>
      </c>
      <c r="AS488" s="18">
        <v>0</v>
      </c>
      <c r="AT488" s="18">
        <v>0</v>
      </c>
      <c r="AU488" s="18">
        <v>0</v>
      </c>
      <c r="AV488" s="18">
        <v>0</v>
      </c>
      <c r="AW488" s="18">
        <v>0</v>
      </c>
      <c r="AX488" s="18">
        <v>0</v>
      </c>
      <c r="AY488" s="233"/>
      <c r="AZ488" s="4"/>
      <c r="BA488" s="35" t="str">
        <f ca="1">IF(OR(S488="North America",S488="Rocky Mountain"), "Widespread",BC488)</f>
        <v>Abundant</v>
      </c>
      <c r="BB488" s="4"/>
      <c r="BC488" s="35" t="str">
        <f ca="1">IF(BE488&gt;2046, "Abundant",BE488)</f>
        <v>Abundant</v>
      </c>
      <c r="BD488" s="4"/>
      <c r="BE488" s="81">
        <f ca="1">YEAR($C$13)+(BG488*80)</f>
        <v>2110.6618039215687</v>
      </c>
      <c r="BF488" s="4"/>
      <c r="BG488" s="137">
        <f ca="1">BH488*$BH$14</f>
        <v>1.145772549019608</v>
      </c>
      <c r="BH488" s="137">
        <f ca="1">(((BJ488+BK488+BM488+BN488)/4)*$BM$11)+(((BP488+BQ488)/2)*$BQ$11)+(((BU488+BV488+BW488)/3)*$BU$11)+(((BY488+BZ488+CA488+CB488+CC488)/5)*$CA$11)</f>
        <v>1.145772549019608</v>
      </c>
      <c r="BI488" s="4"/>
      <c r="BJ488" s="33">
        <f>AP488/(AM488+AO488)</f>
        <v>0</v>
      </c>
      <c r="BK488" s="33">
        <f>(AN488+AO488)/(AM488+AO488)</f>
        <v>1</v>
      </c>
      <c r="BL488" s="4"/>
      <c r="BM488" s="127">
        <f>CF488/102</f>
        <v>0.53137254901960784</v>
      </c>
      <c r="BN488" s="127">
        <f>C488/2</f>
        <v>4</v>
      </c>
      <c r="BO488" s="4"/>
      <c r="BP488" s="127">
        <f>(AK488)/($AW$6)</f>
        <v>0.44444444444444442</v>
      </c>
      <c r="BQ488" s="127">
        <f ca="1">(CH488-$AW$4)/((YEAR($C$13))-$AW$4)</f>
        <v>1</v>
      </c>
      <c r="BR488" s="127">
        <f>(AL488)/($AW$6)</f>
        <v>0.22222222222222221</v>
      </c>
      <c r="BS488" s="4"/>
      <c r="BT488" s="127"/>
      <c r="BU488" s="127">
        <f ca="1">(CG488-$AW$4)/((YEAR($C$13))-$AW$4)</f>
        <v>1</v>
      </c>
      <c r="BV488" s="127">
        <f>AE488/5</f>
        <v>1</v>
      </c>
      <c r="BW488" s="127">
        <f>AF488/5</f>
        <v>1</v>
      </c>
      <c r="BX488" s="4"/>
      <c r="BY488" s="148" t="str">
        <f>IF(E488="A",".98",IF(E488="B",".99",IF(E488="C","1.00",IF(E488="D","1.00" ))))</f>
        <v>1.00</v>
      </c>
      <c r="BZ488" s="127">
        <f>(CE488+7)/10</f>
        <v>1</v>
      </c>
      <c r="CA488" s="76" t="str">
        <f>IF(D488="Fern",".97",IF(D488="Grass",".99",IF(D488="Herb",".97",IF(D488="Shrub",".99",IF(D488="Tree","1.00",IF(D488="Vine",".98"))))))</f>
        <v>.97</v>
      </c>
      <c r="CB488" s="149" t="str">
        <f>IF(R488="Bogs Ponds Streams",".96", IF(R488="Coastal Areas",".97",IF(R488="Meadows Dry Open",".96",IF(R488="Forest &amp; Understory",".97",IF(R488="Moist Open",".98",IF(R488="Moist Shady",".96",IF(R488="Sub-Alpine","1.0")))))))</f>
        <v>.98</v>
      </c>
      <c r="CC488" s="76" t="str">
        <f>IF(S488="Local Endemic",".50",IF(S488="Regional Endemic",".70",IF(S488="Cascadia",".90",IF(S488="Rocky Mountain",".95",IF(S488="North America",".99")))))</f>
        <v>.90</v>
      </c>
      <c r="CD488" s="4"/>
      <c r="CE488" s="21">
        <f>IF(W488&gt;3,3,W488)</f>
        <v>3</v>
      </c>
      <c r="CF488" s="21">
        <f>IF(AC488&gt;102,102,AC488)</f>
        <v>54.2</v>
      </c>
      <c r="CG488" s="34">
        <f ca="1">IF(AI488&lt;$AW$4,$AW$4,AI488)</f>
        <v>2019</v>
      </c>
      <c r="CH488" s="34">
        <f ca="1">IF(AJ488&lt;$AW$4,$AW$4,AJ488)</f>
        <v>2019</v>
      </c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13"/>
    </row>
    <row r="489" spans="1:116" ht="15" customHeight="1" x14ac:dyDescent="0.3">
      <c r="A489" s="235"/>
      <c r="B489" s="218"/>
      <c r="C489" s="225">
        <v>8</v>
      </c>
      <c r="D489" s="59" t="s">
        <v>2505</v>
      </c>
      <c r="E489" s="59" t="s">
        <v>2501</v>
      </c>
      <c r="F489" s="397" t="str">
        <f ca="1">IF(BC489&lt;2025, "Extinct&lt; 6Yrs?",BA489)</f>
        <v>Abundant</v>
      </c>
      <c r="G489" s="363" t="s">
        <v>525</v>
      </c>
      <c r="H489" s="363" t="s">
        <v>691</v>
      </c>
      <c r="I489" s="366" t="s">
        <v>589</v>
      </c>
      <c r="J489" s="365" t="s">
        <v>3402</v>
      </c>
      <c r="K489" s="365" t="s">
        <v>23</v>
      </c>
      <c r="L489" s="10" t="s">
        <v>1550</v>
      </c>
      <c r="M489" s="8" t="s">
        <v>4564</v>
      </c>
      <c r="N489" s="8" t="s">
        <v>5461</v>
      </c>
      <c r="O489" s="8" t="s">
        <v>6359</v>
      </c>
      <c r="P489" s="9" t="s">
        <v>576</v>
      </c>
      <c r="Q489" s="59" t="s">
        <v>2552</v>
      </c>
      <c r="R489" s="9" t="s">
        <v>2500</v>
      </c>
      <c r="S489" s="9" t="s">
        <v>2309</v>
      </c>
      <c r="T489" s="123" t="str">
        <f>IF(R489="Bogs Ponds Streams","20",IF(R489="Coastal Areas","26",IF(R489="Meadows Dry Open","10",IF(R489="Forest &amp; Understory","14",IF(R489="Moist Open","12",IF(R489="Moist Shady","10",IF(R489="Sub-Alpine Slopes","0")))))))</f>
        <v>10</v>
      </c>
      <c r="U489" s="123" t="str">
        <f>IF(R489="Bogs Ponds Streams","52",IF(R489="Coastal Areas","51",IF(R489="Meadows Dry Open","53",IF(R489="Forest &amp; Understory","52",IF(R489="Moist Open","50",IF(R489="Moist Shady","46",IF(R489="Sub-Alpine Slopes","40")))))))</f>
        <v>53</v>
      </c>
      <c r="V489" s="123" t="str">
        <f>IF(R489="Bogs Ponds Streams","84",IF(R489="Coastal Areas","76",IF(R489="Meadows Dry Open","96", IF(R489="Forest &amp; Understory","90", IF(R489="Moist Open","88", IF(R489="Moist Shady","82", IF(R489="Sub-Alpine Slopes","80")))))))</f>
        <v>96</v>
      </c>
      <c r="W489" s="59">
        <v>20</v>
      </c>
      <c r="X489" s="59">
        <v>0</v>
      </c>
      <c r="Y489" s="59">
        <v>3500</v>
      </c>
      <c r="Z489" s="59" t="s">
        <v>2519</v>
      </c>
      <c r="AA489" s="59" t="s">
        <v>2518</v>
      </c>
      <c r="AB489" s="59">
        <v>6.8</v>
      </c>
      <c r="AC489" s="45">
        <f>C489+AK489+(0.1)*AL489</f>
        <v>44.3</v>
      </c>
      <c r="AD489" s="77">
        <v>339</v>
      </c>
      <c r="AE489" s="59">
        <v>5</v>
      </c>
      <c r="AF489" s="59">
        <v>5</v>
      </c>
      <c r="AG489" s="59">
        <v>1900</v>
      </c>
      <c r="AH489" s="77">
        <v>0</v>
      </c>
      <c r="AI489" s="59">
        <f>AJ489</f>
        <v>2018</v>
      </c>
      <c r="AJ489" s="18">
        <v>2018</v>
      </c>
      <c r="AK489" s="18">
        <v>33</v>
      </c>
      <c r="AL489" s="18">
        <v>33</v>
      </c>
      <c r="AM489" s="18">
        <v>1</v>
      </c>
      <c r="AN489" s="18">
        <v>1</v>
      </c>
      <c r="AO489" s="18">
        <v>10</v>
      </c>
      <c r="AP489" s="18">
        <v>5</v>
      </c>
      <c r="AQ489" s="18">
        <v>0</v>
      </c>
      <c r="AR489" s="18">
        <v>0</v>
      </c>
      <c r="AS489" s="18">
        <v>0</v>
      </c>
      <c r="AT489" s="18">
        <v>0</v>
      </c>
      <c r="AU489" s="18">
        <v>0</v>
      </c>
      <c r="AV489" s="18">
        <v>0</v>
      </c>
      <c r="AW489" s="18">
        <v>0</v>
      </c>
      <c r="AX489" s="18">
        <v>0</v>
      </c>
      <c r="AY489" s="233"/>
      <c r="AZ489" s="4"/>
      <c r="BA489" s="35" t="str">
        <f ca="1">IF(OR(S489="North America",S489="Rocky Mountain"), "Widespread",BC489)</f>
        <v>Abundant</v>
      </c>
      <c r="BB489" s="4"/>
      <c r="BC489" s="35" t="str">
        <f ca="1">IF(BE489&gt;2046, "Abundant",BE489)</f>
        <v>Abundant</v>
      </c>
      <c r="BD489" s="4"/>
      <c r="BE489" s="81">
        <f ca="1">YEAR($C$13)+(BG489*80)</f>
        <v>2112.6056879382054</v>
      </c>
      <c r="BF489" s="4"/>
      <c r="BG489" s="137">
        <f ca="1">BH489*$BH$14</f>
        <v>1.1700710992275698</v>
      </c>
      <c r="BH489" s="137">
        <f ca="1">(((BJ489+BK489+BM489+BN489)/4)*$BM$11)+(((BP489+BQ489)/2)*$BQ$11)+(((BU489+BV489+BW489)/3)*$BU$11)+(((BY489+BZ489+CA489+CB489+CC489)/5)*$CA$11)</f>
        <v>1.1700710992275698</v>
      </c>
      <c r="BI489" s="4"/>
      <c r="BJ489" s="33">
        <f>AP489/(AM489+AO489)</f>
        <v>0.45454545454545453</v>
      </c>
      <c r="BK489" s="33">
        <f>(AN489+AO489)/(AM489+AO489)</f>
        <v>1</v>
      </c>
      <c r="BL489" s="4"/>
      <c r="BM489" s="127">
        <f>CF489/102</f>
        <v>0.43431372549019603</v>
      </c>
      <c r="BN489" s="127">
        <f>C489/2</f>
        <v>4</v>
      </c>
      <c r="BO489" s="4"/>
      <c r="BP489" s="127">
        <f>(AK489)/($AW$6)</f>
        <v>0.33333333333333331</v>
      </c>
      <c r="BQ489" s="127">
        <f ca="1">(CH489-$AW$4)/((YEAR($C$13))-$AW$4)</f>
        <v>0.93333333333333335</v>
      </c>
      <c r="BR489" s="127">
        <f>(AL489)/($AW$6)</f>
        <v>0.33333333333333331</v>
      </c>
      <c r="BS489" s="4"/>
      <c r="BT489" s="127"/>
      <c r="BU489" s="127">
        <f ca="1">(CG489-$AW$4)/((YEAR($C$13))-$AW$4)</f>
        <v>0.93333333333333335</v>
      </c>
      <c r="BV489" s="127">
        <f>AE489/5</f>
        <v>1</v>
      </c>
      <c r="BW489" s="127">
        <f>AF489/5</f>
        <v>1</v>
      </c>
      <c r="BX489" s="4"/>
      <c r="BY489" s="148" t="str">
        <f>IF(E489="A",".98",IF(E489="B",".99",IF(E489="C","1.00",IF(E489="D","1.00" ))))</f>
        <v>1.00</v>
      </c>
      <c r="BZ489" s="127">
        <f>(CE489+7)/10</f>
        <v>1</v>
      </c>
      <c r="CA489" s="76" t="str">
        <f>IF(D489="Fern",".97",IF(D489="Grass",".99",IF(D489="Herb",".97",IF(D489="Shrub",".99",IF(D489="Tree","1.00",IF(D489="Vine",".98"))))))</f>
        <v>.97</v>
      </c>
      <c r="CB489" s="149" t="str">
        <f>IF(R489="Bogs Ponds Streams",".96", IF(R489="Coastal Areas",".97",IF(R489="Meadows Dry Open",".96",IF(R489="Forest &amp; Understory",".97",IF(R489="Moist Open",".98",IF(R489="Moist Shady",".96",IF(R489="Sub-Alpine","1.0")))))))</f>
        <v>.96</v>
      </c>
      <c r="CC489" s="76" t="str">
        <f>IF(S489="Local Endemic",".50",IF(S489="Regional Endemic",".70",IF(S489="Cascadia",".90",IF(S489="Rocky Mountain",".95",IF(S489="North America",".99")))))</f>
        <v>.70</v>
      </c>
      <c r="CD489" s="4"/>
      <c r="CE489" s="21">
        <f>IF(W489&gt;3,3,W489)</f>
        <v>3</v>
      </c>
      <c r="CF489" s="21">
        <f>IF(AC489&gt;102,102,AC489)</f>
        <v>44.3</v>
      </c>
      <c r="CG489" s="34">
        <f>IF(AI489&lt;$AW$4,$AW$4,AI489)</f>
        <v>2018</v>
      </c>
      <c r="CH489" s="34">
        <f>IF(AJ489&lt;$AW$4,$AW$4,AJ489)</f>
        <v>2018</v>
      </c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13"/>
    </row>
    <row r="490" spans="1:116" ht="15" customHeight="1" x14ac:dyDescent="0.3">
      <c r="A490" s="235"/>
      <c r="B490" s="218"/>
      <c r="C490" s="225">
        <v>8</v>
      </c>
      <c r="D490" s="59" t="s">
        <v>2505</v>
      </c>
      <c r="E490" s="59" t="s">
        <v>2501</v>
      </c>
      <c r="F490" s="397" t="str">
        <f ca="1">IF(BC490&lt;2025, "Extinct&lt; 6Yrs?",BA490)</f>
        <v>Abundant</v>
      </c>
      <c r="G490" s="363" t="s">
        <v>525</v>
      </c>
      <c r="H490" s="363" t="s">
        <v>685</v>
      </c>
      <c r="I490" s="366" t="s">
        <v>3085</v>
      </c>
      <c r="J490" s="365" t="s">
        <v>3403</v>
      </c>
      <c r="K490" s="365" t="s">
        <v>584</v>
      </c>
      <c r="L490" s="10" t="s">
        <v>1551</v>
      </c>
      <c r="M490" s="8" t="s">
        <v>4565</v>
      </c>
      <c r="N490" s="8" t="s">
        <v>5462</v>
      </c>
      <c r="O490" s="8" t="s">
        <v>6360</v>
      </c>
      <c r="P490" s="9" t="s">
        <v>576</v>
      </c>
      <c r="Q490" s="59" t="s">
        <v>2552</v>
      </c>
      <c r="R490" s="160" t="s">
        <v>2497</v>
      </c>
      <c r="S490" s="17" t="s">
        <v>2459</v>
      </c>
      <c r="T490" s="123" t="str">
        <f>IF(R490="Bogs Ponds Streams","20",IF(R490="Coastal Areas","26",IF(R490="Meadows Dry Open","10",IF(R490="Forest &amp; Understory","14",IF(R490="Moist Open","12",IF(R490="Moist Shady","10",IF(R490="Sub-Alpine Slopes","0")))))))</f>
        <v>12</v>
      </c>
      <c r="U490" s="123" t="str">
        <f>IF(R490="Bogs Ponds Streams","52",IF(R490="Coastal Areas","51",IF(R490="Meadows Dry Open","53",IF(R490="Forest &amp; Understory","52",IF(R490="Moist Open","50",IF(R490="Moist Shady","46",IF(R490="Sub-Alpine Slopes","40")))))))</f>
        <v>50</v>
      </c>
      <c r="V490" s="123" t="str">
        <f>IF(R490="Bogs Ponds Streams","84",IF(R490="Coastal Areas","76",IF(R490="Meadows Dry Open","96", IF(R490="Forest &amp; Understory","90", IF(R490="Moist Open","88", IF(R490="Moist Shady","82", IF(R490="Sub-Alpine Slopes","80")))))))</f>
        <v>88</v>
      </c>
      <c r="W490" s="59">
        <v>20</v>
      </c>
      <c r="X490" s="59">
        <v>0</v>
      </c>
      <c r="Y490" s="59">
        <v>3500</v>
      </c>
      <c r="Z490" s="59" t="s">
        <v>2519</v>
      </c>
      <c r="AA490" s="59" t="s">
        <v>2518</v>
      </c>
      <c r="AB490" s="59">
        <v>6.8</v>
      </c>
      <c r="AC490" s="45">
        <f>C490+AK490+(0.1)*AL490</f>
        <v>30.3</v>
      </c>
      <c r="AD490" s="77">
        <v>32</v>
      </c>
      <c r="AE490" s="59">
        <v>5</v>
      </c>
      <c r="AF490" s="59">
        <v>5</v>
      </c>
      <c r="AG490" s="59">
        <v>1900</v>
      </c>
      <c r="AH490" s="77">
        <v>0</v>
      </c>
      <c r="AI490" s="59">
        <f ca="1">AJ490</f>
        <v>2019</v>
      </c>
      <c r="AJ490" s="18">
        <f ca="1">YEAR(TODAY())</f>
        <v>2019</v>
      </c>
      <c r="AK490" s="18">
        <v>22</v>
      </c>
      <c r="AL490" s="18">
        <v>3</v>
      </c>
      <c r="AM490" s="18">
        <v>1</v>
      </c>
      <c r="AN490" s="18">
        <v>1</v>
      </c>
      <c r="AO490" s="24">
        <v>4</v>
      </c>
      <c r="AP490" s="24">
        <v>4</v>
      </c>
      <c r="AQ490" s="18">
        <v>0</v>
      </c>
      <c r="AR490" s="18">
        <v>0</v>
      </c>
      <c r="AS490" s="18">
        <v>0</v>
      </c>
      <c r="AT490" s="18">
        <v>0</v>
      </c>
      <c r="AU490" s="18">
        <v>0</v>
      </c>
      <c r="AV490" s="18">
        <v>0</v>
      </c>
      <c r="AW490" s="18">
        <v>0</v>
      </c>
      <c r="AX490" s="18">
        <v>0</v>
      </c>
      <c r="AY490" s="233"/>
      <c r="AZ490" s="4"/>
      <c r="BA490" s="35" t="str">
        <f ca="1">IF(OR(S490="North America",S490="Rocky Mountain"), "Widespread",BC490)</f>
        <v>Abundant</v>
      </c>
      <c r="BB490" s="4"/>
      <c r="BC490" s="35" t="str">
        <f ca="1">IF(BE490&gt;2046, "Abundant",BE490)</f>
        <v>Abundant</v>
      </c>
      <c r="BD490" s="4"/>
      <c r="BE490" s="81">
        <f ca="1">YEAR($C$13)+(BG490*80)</f>
        <v>2114.7833725490195</v>
      </c>
      <c r="BF490" s="4"/>
      <c r="BG490" s="137">
        <f ca="1">BH490*$BH$14</f>
        <v>1.1972921568627453</v>
      </c>
      <c r="BH490" s="137">
        <f ca="1">(((BJ490+BK490+BM490+BN490)/4)*$BM$11)+(((BP490+BQ490)/2)*$BQ$11)+(((BU490+BV490+BW490)/3)*$BU$11)+(((BY490+BZ490+CA490+CB490+CC490)/5)*$CA$11)</f>
        <v>1.1972921568627453</v>
      </c>
      <c r="BI490" s="4"/>
      <c r="BJ490" s="33">
        <f>AP490/(AM490+AO490)</f>
        <v>0.8</v>
      </c>
      <c r="BK490" s="33">
        <f>(AN490+AO490)/(AM490+AO490)</f>
        <v>1</v>
      </c>
      <c r="BL490" s="4"/>
      <c r="BM490" s="127">
        <f>CF490/102</f>
        <v>0.29705882352941176</v>
      </c>
      <c r="BN490" s="127">
        <f>C490/2</f>
        <v>4</v>
      </c>
      <c r="BO490" s="4"/>
      <c r="BP490" s="127">
        <f>(AK490)/($AW$6)</f>
        <v>0.22222222222222221</v>
      </c>
      <c r="BQ490" s="127">
        <f ca="1">(CH490-$AW$4)/((YEAR($C$13))-$AW$4)</f>
        <v>1</v>
      </c>
      <c r="BR490" s="127">
        <f>(AL490)/($AW$6)</f>
        <v>3.0303030303030304E-2</v>
      </c>
      <c r="BS490" s="4"/>
      <c r="BT490" s="127"/>
      <c r="BU490" s="127">
        <f ca="1">(CG490-$AW$4)/((YEAR($C$13))-$AW$4)</f>
        <v>1</v>
      </c>
      <c r="BV490" s="127">
        <f>AE490/5</f>
        <v>1</v>
      </c>
      <c r="BW490" s="127">
        <f>AF490/5</f>
        <v>1</v>
      </c>
      <c r="BX490" s="4"/>
      <c r="BY490" s="148" t="str">
        <f>IF(E490="A",".98",IF(E490="B",".99",IF(E490="C","1.00",IF(E490="D","1.00" ))))</f>
        <v>1.00</v>
      </c>
      <c r="BZ490" s="127">
        <f>(CE490+7)/10</f>
        <v>1</v>
      </c>
      <c r="CA490" s="76" t="str">
        <f>IF(D490="Fern",".97",IF(D490="Grass",".99",IF(D490="Herb",".97",IF(D490="Shrub",".99",IF(D490="Tree","1.00",IF(D490="Vine",".98"))))))</f>
        <v>.97</v>
      </c>
      <c r="CB490" s="149" t="str">
        <f>IF(R490="Bogs Ponds Streams",".96", IF(R490="Coastal Areas",".97",IF(R490="Meadows Dry Open",".96",IF(R490="Forest &amp; Understory",".97",IF(R490="Moist Open",".98",IF(R490="Moist Shady",".96",IF(R490="Sub-Alpine","1.0")))))))</f>
        <v>.98</v>
      </c>
      <c r="CC490" s="76" t="str">
        <f>IF(S490="Local Endemic",".50",IF(S490="Regional Endemic",".70",IF(S490="Cascadia",".90",IF(S490="Rocky Mountain",".95",IF(S490="North America",".99")))))</f>
        <v>.90</v>
      </c>
      <c r="CD490" s="4"/>
      <c r="CE490" s="21">
        <f>IF(W490&gt;3,3,W490)</f>
        <v>3</v>
      </c>
      <c r="CF490" s="21">
        <f>IF(AC490&gt;102,102,AC490)</f>
        <v>30.3</v>
      </c>
      <c r="CG490" s="34">
        <f ca="1">IF(AI490&lt;$AW$4,$AW$4,AI490)</f>
        <v>2019</v>
      </c>
      <c r="CH490" s="34">
        <f ca="1">IF(AJ490&lt;$AW$4,$AW$4,AJ490)</f>
        <v>2019</v>
      </c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13"/>
    </row>
    <row r="491" spans="1:116" s="20" customFormat="1" ht="15" customHeight="1" x14ac:dyDescent="0.3">
      <c r="A491" s="235"/>
      <c r="B491" s="218"/>
      <c r="C491" s="375">
        <v>1</v>
      </c>
      <c r="D491" s="67" t="s">
        <v>2505</v>
      </c>
      <c r="E491" s="67" t="s">
        <v>2501</v>
      </c>
      <c r="F491" s="403">
        <f ca="1">IF(BC491&lt;2025, "Extinct&lt; 6Yrs?",BA491)</f>
        <v>2031.8971151515152</v>
      </c>
      <c r="G491" s="376" t="s">
        <v>525</v>
      </c>
      <c r="H491" s="376" t="s">
        <v>4028</v>
      </c>
      <c r="I491" s="379" t="s">
        <v>2671</v>
      </c>
      <c r="J491" s="378" t="s">
        <v>3579</v>
      </c>
      <c r="K491" s="378" t="s">
        <v>2787</v>
      </c>
      <c r="L491" s="65" t="s">
        <v>4034</v>
      </c>
      <c r="M491" s="64" t="s">
        <v>4566</v>
      </c>
      <c r="N491" s="64" t="s">
        <v>5463</v>
      </c>
      <c r="O491" s="64" t="s">
        <v>6361</v>
      </c>
      <c r="P491" s="404" t="s">
        <v>576</v>
      </c>
      <c r="Q491" s="67" t="s">
        <v>2552</v>
      </c>
      <c r="R491" s="66" t="s">
        <v>2500</v>
      </c>
      <c r="S491" s="61" t="s">
        <v>2459</v>
      </c>
      <c r="T491" s="134" t="str">
        <f>IF(R491="Bogs Ponds Streams","20",IF(R491="Coastal Areas","26",IF(R491="Meadows Dry Open","10",IF(R491="Forest &amp; Understory","14",IF(R491="Moist Open","12",IF(R491="Moist Shady","10",IF(R491="Sub-Alpine Slopes","0")))))))</f>
        <v>10</v>
      </c>
      <c r="U491" s="134" t="str">
        <f>IF(R491="Bogs Ponds Streams","52",IF(R491="Coastal Areas","51",IF(R491="Meadows Dry Open","53",IF(R491="Forest &amp; Understory","52",IF(R491="Moist Open","50",IF(R491="Moist Shady","46",IF(R491="Sub-Alpine Slopes","40")))))))</f>
        <v>53</v>
      </c>
      <c r="V491" s="134" t="str">
        <f>IF(R491="Bogs Ponds Streams","84",IF(R491="Coastal Areas","76",IF(R491="Meadows Dry Open","96", IF(R491="Forest &amp; Understory","90", IF(R491="Moist Open","88", IF(R491="Moist Shady","82", IF(R491="Sub-Alpine Slopes","80")))))))</f>
        <v>96</v>
      </c>
      <c r="W491" s="67">
        <v>20</v>
      </c>
      <c r="X491" s="67">
        <v>0</v>
      </c>
      <c r="Y491" s="67">
        <v>3500</v>
      </c>
      <c r="Z491" s="67" t="s">
        <v>2519</v>
      </c>
      <c r="AA491" s="67" t="s">
        <v>2518</v>
      </c>
      <c r="AB491" s="67">
        <v>6.8</v>
      </c>
      <c r="AC491" s="85">
        <f>C491+AK491+(0.1)*AL491</f>
        <v>5.0999999999999996</v>
      </c>
      <c r="AD491" s="78">
        <v>37</v>
      </c>
      <c r="AE491" s="67">
        <v>5</v>
      </c>
      <c r="AF491" s="67">
        <v>5</v>
      </c>
      <c r="AG491" s="67">
        <v>1900</v>
      </c>
      <c r="AH491" s="78">
        <v>0</v>
      </c>
      <c r="AI491" s="67">
        <f>AJ491</f>
        <v>2004</v>
      </c>
      <c r="AJ491" s="69">
        <v>2004</v>
      </c>
      <c r="AK491" s="69">
        <v>4</v>
      </c>
      <c r="AL491" s="69">
        <v>1</v>
      </c>
      <c r="AM491" s="70">
        <v>5</v>
      </c>
      <c r="AN491" s="70">
        <v>0</v>
      </c>
      <c r="AO491" s="86">
        <v>0</v>
      </c>
      <c r="AP491" s="70">
        <v>0</v>
      </c>
      <c r="AQ491" s="70">
        <v>0</v>
      </c>
      <c r="AR491" s="70">
        <v>0</v>
      </c>
      <c r="AS491" s="86">
        <v>0</v>
      </c>
      <c r="AT491" s="70">
        <v>0</v>
      </c>
      <c r="AU491" s="70">
        <v>0</v>
      </c>
      <c r="AV491" s="70">
        <v>0</v>
      </c>
      <c r="AW491" s="86">
        <v>0</v>
      </c>
      <c r="AX491" s="70">
        <v>0</v>
      </c>
      <c r="AY491" s="233"/>
      <c r="AZ491" s="4"/>
      <c r="BA491" s="35">
        <f ca="1">IF(OR(S491="North America",S491="Rocky Mountain"), "Widespread",BC491)</f>
        <v>2031.8971151515152</v>
      </c>
      <c r="BB491" s="4"/>
      <c r="BC491" s="35">
        <f ca="1">IF(BE491&gt;2046, "Abundant",BE491)</f>
        <v>2031.8971151515152</v>
      </c>
      <c r="BD491" s="4"/>
      <c r="BE491" s="81">
        <f ca="1">YEAR($C$13)+(BG491*80)</f>
        <v>2031.8971151515152</v>
      </c>
      <c r="BF491" s="4"/>
      <c r="BG491" s="137">
        <f ca="1">BH491*$BH$14</f>
        <v>0.16121393939393941</v>
      </c>
      <c r="BH491" s="137">
        <f ca="1">(((BJ491+BK491+BM491+BN491)/4)*$BM$11)+(((BP491+BQ491)/2)*$BQ$11)+(((BU491+BV491+BW491)/3)*$BU$11)+(((BY491+BZ491+CA491+CB491+CC491)/5)*$CA$11)</f>
        <v>0.16121393939393941</v>
      </c>
      <c r="BI491" s="4"/>
      <c r="BJ491" s="33">
        <f>AP491/(AM491+AO491)</f>
        <v>0</v>
      </c>
      <c r="BK491" s="33">
        <f>(AN491+AO491)/(AM491+AO491)</f>
        <v>0</v>
      </c>
      <c r="BL491" s="4"/>
      <c r="BM491" s="127">
        <f>CF491/102</f>
        <v>4.9999999999999996E-2</v>
      </c>
      <c r="BN491" s="127">
        <f>C491/2</f>
        <v>0.5</v>
      </c>
      <c r="BO491" s="4"/>
      <c r="BP491" s="127">
        <f>(AK491)/($AW$6)</f>
        <v>4.0404040404040407E-2</v>
      </c>
      <c r="BQ491" s="127">
        <f ca="1">(CH491-$AW$4)/((YEAR($C$13))-$AW$4)</f>
        <v>0</v>
      </c>
      <c r="BR491" s="127">
        <f>(AL491)/($AW$6)</f>
        <v>1.0101010101010102E-2</v>
      </c>
      <c r="BS491" s="4"/>
      <c r="BT491" s="127"/>
      <c r="BU491" s="127">
        <f ca="1">(CG491-$AW$4)/((YEAR($C$13))-$AW$4)</f>
        <v>0</v>
      </c>
      <c r="BV491" s="127">
        <f>AE491/5</f>
        <v>1</v>
      </c>
      <c r="BW491" s="127">
        <f>AF491/5</f>
        <v>1</v>
      </c>
      <c r="BX491" s="4"/>
      <c r="BY491" s="148" t="str">
        <f>IF(E491="A",".98",IF(E491="B",".99",IF(E491="C","1.00",IF(E491="D","1.00" ))))</f>
        <v>1.00</v>
      </c>
      <c r="BZ491" s="127">
        <f>(CE491+7)/10</f>
        <v>1</v>
      </c>
      <c r="CA491" s="76" t="str">
        <f>IF(D491="Fern",".97",IF(D491="Grass",".99",IF(D491="Herb",".97",IF(D491="Shrub",".99",IF(D491="Tree","1.00",IF(D491="Vine",".98"))))))</f>
        <v>.97</v>
      </c>
      <c r="CB491" s="149" t="str">
        <f>IF(R491="Bogs Ponds Streams",".96", IF(R491="Coastal Areas",".97",IF(R491="Meadows Dry Open",".96",IF(R491="Forest &amp; Understory",".97",IF(R491="Moist Open",".98",IF(R491="Moist Shady",".96",IF(R491="Sub-Alpine","1.0")))))))</f>
        <v>.96</v>
      </c>
      <c r="CC491" s="76" t="str">
        <f>IF(S491="Local Endemic",".50",IF(S491="Regional Endemic",".70",IF(S491="Cascadia",".90",IF(S491="Rocky Mountain",".95",IF(S491="North America",".99")))))</f>
        <v>.90</v>
      </c>
      <c r="CD491" s="4"/>
      <c r="CE491" s="21">
        <f>IF(W491&gt;3,3,W491)</f>
        <v>3</v>
      </c>
      <c r="CF491" s="21">
        <f>IF(AC491&gt;102,102,AC491)</f>
        <v>5.0999999999999996</v>
      </c>
      <c r="CG491" s="34">
        <f>IF(AI491&lt;$AW$4,$AW$4,AI491)</f>
        <v>2004</v>
      </c>
      <c r="CH491" s="34">
        <f>IF(AJ491&lt;$AW$4,$AW$4,AJ491)</f>
        <v>2004</v>
      </c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12"/>
      <c r="DL491" s="12"/>
    </row>
    <row r="492" spans="1:116" ht="15" customHeight="1" x14ac:dyDescent="0.3">
      <c r="A492" s="235"/>
      <c r="B492" s="218"/>
      <c r="C492" s="375">
        <v>1</v>
      </c>
      <c r="D492" s="67" t="s">
        <v>2505</v>
      </c>
      <c r="E492" s="67" t="s">
        <v>2501</v>
      </c>
      <c r="F492" s="403">
        <f ca="1">IF(BC492&lt;2025, "Extinct&lt; 6Yrs?",BA492)</f>
        <v>2031.2078098633392</v>
      </c>
      <c r="G492" s="376" t="s">
        <v>525</v>
      </c>
      <c r="H492" s="376" t="s">
        <v>4028</v>
      </c>
      <c r="I492" s="377" t="s">
        <v>2407</v>
      </c>
      <c r="J492" s="378" t="s">
        <v>2409</v>
      </c>
      <c r="K492" s="378" t="s">
        <v>2357</v>
      </c>
      <c r="L492" s="63" t="s">
        <v>2408</v>
      </c>
      <c r="M492" s="64" t="s">
        <v>4567</v>
      </c>
      <c r="N492" s="64" t="s">
        <v>5464</v>
      </c>
      <c r="O492" s="64" t="s">
        <v>6362</v>
      </c>
      <c r="P492" s="404" t="s">
        <v>576</v>
      </c>
      <c r="Q492" s="67" t="s">
        <v>2552</v>
      </c>
      <c r="R492" s="163" t="s">
        <v>2497</v>
      </c>
      <c r="S492" s="164" t="s">
        <v>2309</v>
      </c>
      <c r="T492" s="134" t="str">
        <f>IF(R492="Bogs Ponds Streams","20",IF(R492="Coastal Areas","26",IF(R492="Meadows Dry Open","10",IF(R492="Forest &amp; Understory","14",IF(R492="Moist Open","12",IF(R492="Moist Shady","10",IF(R492="Sub-Alpine Slopes","0")))))))</f>
        <v>12</v>
      </c>
      <c r="U492" s="134" t="str">
        <f>IF(R492="Bogs Ponds Streams","52",IF(R492="Coastal Areas","51",IF(R492="Meadows Dry Open","53",IF(R492="Forest &amp; Understory","52",IF(R492="Moist Open","50",IF(R492="Moist Shady","46",IF(R492="Sub-Alpine Slopes","40")))))))</f>
        <v>50</v>
      </c>
      <c r="V492" s="134" t="str">
        <f>IF(R492="Bogs Ponds Streams","84",IF(R492="Coastal Areas","76",IF(R492="Meadows Dry Open","96", IF(R492="Forest &amp; Understory","90", IF(R492="Moist Open","88", IF(R492="Moist Shady","82", IF(R492="Sub-Alpine Slopes","80")))))))</f>
        <v>88</v>
      </c>
      <c r="W492" s="67">
        <v>20</v>
      </c>
      <c r="X492" s="67">
        <v>0</v>
      </c>
      <c r="Y492" s="67">
        <v>3500</v>
      </c>
      <c r="Z492" s="67" t="s">
        <v>2519</v>
      </c>
      <c r="AA492" s="67" t="s">
        <v>2518</v>
      </c>
      <c r="AB492" s="67">
        <v>6.8</v>
      </c>
      <c r="AC492" s="85">
        <f>C492+AK492+(0.1)*AL492</f>
        <v>3</v>
      </c>
      <c r="AD492" s="78">
        <v>13</v>
      </c>
      <c r="AE492" s="68">
        <v>1</v>
      </c>
      <c r="AF492" s="68">
        <v>4</v>
      </c>
      <c r="AG492" s="78">
        <v>1970</v>
      </c>
      <c r="AH492" s="78">
        <v>0</v>
      </c>
      <c r="AI492" s="78">
        <v>2018</v>
      </c>
      <c r="AJ492" s="67">
        <v>1995</v>
      </c>
      <c r="AK492" s="67">
        <v>2</v>
      </c>
      <c r="AL492" s="67">
        <v>0</v>
      </c>
      <c r="AM492" s="70">
        <v>5</v>
      </c>
      <c r="AN492" s="70">
        <v>0</v>
      </c>
      <c r="AO492" s="86">
        <v>0</v>
      </c>
      <c r="AP492" s="70">
        <v>0</v>
      </c>
      <c r="AQ492" s="70">
        <v>0</v>
      </c>
      <c r="AR492" s="70">
        <v>0</v>
      </c>
      <c r="AS492" s="86">
        <v>0</v>
      </c>
      <c r="AT492" s="70">
        <v>0</v>
      </c>
      <c r="AU492" s="70">
        <v>0</v>
      </c>
      <c r="AV492" s="70">
        <v>0</v>
      </c>
      <c r="AW492" s="86">
        <v>0</v>
      </c>
      <c r="AX492" s="70">
        <v>0</v>
      </c>
      <c r="AY492" s="233"/>
      <c r="AZ492" s="11"/>
      <c r="BA492" s="35">
        <f ca="1">IF(OR(S492="North America",S492="Rocky Mountain"), "Widespread",BC492)</f>
        <v>2031.2078098633392</v>
      </c>
      <c r="BB492" s="11"/>
      <c r="BC492" s="35">
        <f ca="1">IF(BE492&gt;2046, "Abundant",BE492)</f>
        <v>2031.2078098633392</v>
      </c>
      <c r="BD492" s="11"/>
      <c r="BE492" s="81">
        <f ca="1">YEAR($C$13)+(BG492*80)</f>
        <v>2031.2078098633392</v>
      </c>
      <c r="BF492" s="11"/>
      <c r="BG492" s="137">
        <f ca="1">BH492*$BH$14</f>
        <v>0.15259762329174095</v>
      </c>
      <c r="BH492" s="137">
        <f ca="1">(((BJ492+BK492+BM492+BN492)/4)*$BM$11)+(((BP492+BQ492)/2)*$BQ$11)+(((BU492+BV492+BW492)/3)*$BU$11)+(((BY492+BZ492+CA492+CB492+CC492)/5)*$CA$11)</f>
        <v>0.15259762329174095</v>
      </c>
      <c r="BI492" s="11"/>
      <c r="BJ492" s="33">
        <f>AP492/(AM492+AO492)</f>
        <v>0</v>
      </c>
      <c r="BK492" s="33">
        <f>(AN492+AO492)/(AM492+AO492)</f>
        <v>0</v>
      </c>
      <c r="BL492" s="11"/>
      <c r="BM492" s="127">
        <f>CF492/102</f>
        <v>2.9411764705882353E-2</v>
      </c>
      <c r="BN492" s="127">
        <f>C492/2</f>
        <v>0.5</v>
      </c>
      <c r="BO492" s="11"/>
      <c r="BP492" s="127">
        <f>(AK492)/($AW$6)</f>
        <v>2.0202020202020204E-2</v>
      </c>
      <c r="BQ492" s="127">
        <f ca="1">(CH492-$AW$4)/((YEAR($C$13))-$AW$4)</f>
        <v>0</v>
      </c>
      <c r="BR492" s="127">
        <f>(AL492)/($AW$6)</f>
        <v>0</v>
      </c>
      <c r="BS492" s="11"/>
      <c r="BT492" s="127"/>
      <c r="BU492" s="127">
        <f ca="1">(CG492-$AW$4)/((YEAR($C$13))-$AW$4)</f>
        <v>0.93333333333333335</v>
      </c>
      <c r="BV492" s="127">
        <f>AE492/5</f>
        <v>0.2</v>
      </c>
      <c r="BW492" s="127">
        <f>AF492/5</f>
        <v>0.8</v>
      </c>
      <c r="BX492" s="11"/>
      <c r="BY492" s="148" t="str">
        <f>IF(E492="A",".98",IF(E492="B",".99",IF(E492="C","1.00",IF(E492="D","1.00" ))))</f>
        <v>1.00</v>
      </c>
      <c r="BZ492" s="127">
        <f>(CE492+7)/10</f>
        <v>1</v>
      </c>
      <c r="CA492" s="76" t="str">
        <f>IF(D492="Fern",".97",IF(D492="Grass",".99",IF(D492="Herb",".97",IF(D492="Shrub",".99",IF(D492="Tree","1.00",IF(D492="Vine",".98"))))))</f>
        <v>.97</v>
      </c>
      <c r="CB492" s="149" t="str">
        <f>IF(R492="Bogs Ponds Streams",".96", IF(R492="Coastal Areas",".97",IF(R492="Meadows Dry Open",".96",IF(R492="Forest &amp; Understory",".97",IF(R492="Moist Open",".98",IF(R492="Moist Shady",".96",IF(R492="Sub-Alpine","1.0")))))))</f>
        <v>.98</v>
      </c>
      <c r="CC492" s="76" t="str">
        <f>IF(S492="Local Endemic",".50",IF(S492="Regional Endemic",".70",IF(S492="Cascadia",".90",IF(S492="Rocky Mountain",".95",IF(S492="North America",".99")))))</f>
        <v>.70</v>
      </c>
      <c r="CD492" s="11"/>
      <c r="CE492" s="21">
        <f>IF(W492&gt;3,3,W492)</f>
        <v>3</v>
      </c>
      <c r="CF492" s="21">
        <f>IF(AC492&gt;102,102,AC492)</f>
        <v>3</v>
      </c>
      <c r="CG492" s="34">
        <f>IF(AI492&lt;$AW$4,$AW$4,AI492)</f>
        <v>2018</v>
      </c>
      <c r="CH492" s="34">
        <f>IF(AJ492&lt;$AW$4,$AW$4,AJ492)</f>
        <v>2004</v>
      </c>
      <c r="CI492" s="11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11"/>
      <c r="DC492" s="11"/>
      <c r="DD492" s="11"/>
      <c r="DE492" s="11"/>
      <c r="DF492" s="11"/>
      <c r="DG492" s="11"/>
      <c r="DH492" s="11"/>
      <c r="DI492" s="11"/>
      <c r="DJ492" s="11"/>
    </row>
    <row r="493" spans="1:116" ht="15" customHeight="1" x14ac:dyDescent="0.3">
      <c r="A493" s="235"/>
      <c r="B493" s="218"/>
      <c r="C493" s="225">
        <v>8</v>
      </c>
      <c r="D493" s="59" t="s">
        <v>2505</v>
      </c>
      <c r="E493" s="59" t="s">
        <v>2501</v>
      </c>
      <c r="F493" s="397" t="str">
        <f ca="1">IF(BC493&lt;2025, "Extinct&lt; 6Yrs?",BA493)</f>
        <v>Widespread</v>
      </c>
      <c r="G493" s="363" t="s">
        <v>525</v>
      </c>
      <c r="H493" s="363" t="s">
        <v>681</v>
      </c>
      <c r="I493" s="366" t="s">
        <v>585</v>
      </c>
      <c r="J493" s="365" t="s">
        <v>3404</v>
      </c>
      <c r="K493" s="365" t="s">
        <v>1034</v>
      </c>
      <c r="L493" s="10" t="s">
        <v>1552</v>
      </c>
      <c r="M493" s="8" t="s">
        <v>4568</v>
      </c>
      <c r="N493" s="8" t="s">
        <v>5465</v>
      </c>
      <c r="O493" s="8" t="s">
        <v>6363</v>
      </c>
      <c r="P493" s="9" t="s">
        <v>576</v>
      </c>
      <c r="Q493" s="59" t="s">
        <v>2552</v>
      </c>
      <c r="R493" s="160" t="s">
        <v>2497</v>
      </c>
      <c r="S493" s="17" t="s">
        <v>2495</v>
      </c>
      <c r="T493" s="123" t="str">
        <f>IF(R493="Bogs Ponds Streams","20",IF(R493="Coastal Areas","26",IF(R493="Meadows Dry Open","10",IF(R493="Forest &amp; Understory","14",IF(R493="Moist Open","12",IF(R493="Moist Shady","10",IF(R493="Sub-Alpine Slopes","0")))))))</f>
        <v>12</v>
      </c>
      <c r="U493" s="123" t="str">
        <f>IF(R493="Bogs Ponds Streams","52",IF(R493="Coastal Areas","51",IF(R493="Meadows Dry Open","53",IF(R493="Forest &amp; Understory","52",IF(R493="Moist Open","50",IF(R493="Moist Shady","46",IF(R493="Sub-Alpine Slopes","40")))))))</f>
        <v>50</v>
      </c>
      <c r="V493" s="123" t="str">
        <f>IF(R493="Bogs Ponds Streams","84",IF(R493="Coastal Areas","76",IF(R493="Meadows Dry Open","96", IF(R493="Forest &amp; Understory","90", IF(R493="Moist Open","88", IF(R493="Moist Shady","82", IF(R493="Sub-Alpine Slopes","80")))))))</f>
        <v>88</v>
      </c>
      <c r="W493" s="59">
        <v>20</v>
      </c>
      <c r="X493" s="59">
        <v>0</v>
      </c>
      <c r="Y493" s="59">
        <v>3500</v>
      </c>
      <c r="Z493" s="59" t="s">
        <v>2519</v>
      </c>
      <c r="AA493" s="59" t="s">
        <v>2518</v>
      </c>
      <c r="AB493" s="59">
        <v>6.8</v>
      </c>
      <c r="AC493" s="45">
        <f>C493+AK493+(0.1)*AL493</f>
        <v>37.700000000000003</v>
      </c>
      <c r="AD493" s="77">
        <v>396</v>
      </c>
      <c r="AE493" s="59">
        <v>5</v>
      </c>
      <c r="AF493" s="59">
        <v>5</v>
      </c>
      <c r="AG493" s="59">
        <v>1900</v>
      </c>
      <c r="AH493" s="77">
        <v>0</v>
      </c>
      <c r="AI493" s="59">
        <f ca="1">AJ493</f>
        <v>2019</v>
      </c>
      <c r="AJ493" s="18">
        <f ca="1">YEAR(TODAY())</f>
        <v>2019</v>
      </c>
      <c r="AK493" s="18">
        <v>22</v>
      </c>
      <c r="AL493" s="18">
        <v>77</v>
      </c>
      <c r="AM493" s="18">
        <v>1</v>
      </c>
      <c r="AN493" s="18">
        <v>1</v>
      </c>
      <c r="AO493" s="18">
        <v>5</v>
      </c>
      <c r="AP493" s="18">
        <v>1</v>
      </c>
      <c r="AQ493" s="18">
        <v>0</v>
      </c>
      <c r="AR493" s="18">
        <v>0</v>
      </c>
      <c r="AS493" s="18">
        <v>0</v>
      </c>
      <c r="AT493" s="18">
        <v>0</v>
      </c>
      <c r="AU493" s="18">
        <v>0</v>
      </c>
      <c r="AV493" s="18">
        <v>0</v>
      </c>
      <c r="AW493" s="18">
        <v>0</v>
      </c>
      <c r="AX493" s="18">
        <v>0</v>
      </c>
      <c r="AY493" s="233"/>
      <c r="AZ493" s="4"/>
      <c r="BA493" s="35" t="str">
        <f>IF(OR(S493="North America",S493="Rocky Mountain"), "Widespread",BC493)</f>
        <v>Widespread</v>
      </c>
      <c r="BB493" s="4"/>
      <c r="BC493" s="35" t="str">
        <f ca="1">IF(BE493&gt;2046, "Abundant",BE493)</f>
        <v>Abundant</v>
      </c>
      <c r="BD493" s="4"/>
      <c r="BE493" s="81">
        <f ca="1">YEAR($C$13)+(BG493*80)</f>
        <v>2108.0827607843139</v>
      </c>
      <c r="BF493" s="4"/>
      <c r="BG493" s="137">
        <f ca="1">BH493*$BH$14</f>
        <v>1.1135345098039215</v>
      </c>
      <c r="BH493" s="137">
        <f ca="1">(((BJ493+BK493+BM493+BN493)/4)*$BM$11)+(((BP493+BQ493)/2)*$BQ$11)+(((BU493+BV493+BW493)/3)*$BU$11)+(((BY493+BZ493+CA493+CB493+CC493)/5)*$CA$11)</f>
        <v>1.1135345098039215</v>
      </c>
      <c r="BI493" s="4"/>
      <c r="BJ493" s="33">
        <f>AP493/(AM493+AO493)</f>
        <v>0.16666666666666666</v>
      </c>
      <c r="BK493" s="33">
        <f>(AN493+AO493)/(AM493+AO493)</f>
        <v>1</v>
      </c>
      <c r="BL493" s="4"/>
      <c r="BM493" s="127">
        <f>CF493/102</f>
        <v>0.36960784313725492</v>
      </c>
      <c r="BN493" s="127">
        <f>C493/2</f>
        <v>4</v>
      </c>
      <c r="BO493" s="4"/>
      <c r="BP493" s="127">
        <f>(AK493)/($AW$6)</f>
        <v>0.22222222222222221</v>
      </c>
      <c r="BQ493" s="127">
        <f ca="1">(CH493-$AW$4)/((YEAR($C$13))-$AW$4)</f>
        <v>1</v>
      </c>
      <c r="BR493" s="127">
        <f>(AL493)/($AW$6)</f>
        <v>0.77777777777777779</v>
      </c>
      <c r="BS493" s="4"/>
      <c r="BT493" s="127"/>
      <c r="BU493" s="127">
        <f ca="1">(CG493-$AW$4)/((YEAR($C$13))-$AW$4)</f>
        <v>1</v>
      </c>
      <c r="BV493" s="127">
        <f>AE493/5</f>
        <v>1</v>
      </c>
      <c r="BW493" s="127">
        <f>AF493/5</f>
        <v>1</v>
      </c>
      <c r="BX493" s="4"/>
      <c r="BY493" s="148" t="str">
        <f>IF(E493="A",".98",IF(E493="B",".99",IF(E493="C","1.00",IF(E493="D","1.00" ))))</f>
        <v>1.00</v>
      </c>
      <c r="BZ493" s="127">
        <f>(CE493+7)/10</f>
        <v>1</v>
      </c>
      <c r="CA493" s="76" t="str">
        <f>IF(D493="Fern",".97",IF(D493="Grass",".99",IF(D493="Herb",".97",IF(D493="Shrub",".99",IF(D493="Tree","1.00",IF(D493="Vine",".98"))))))</f>
        <v>.97</v>
      </c>
      <c r="CB493" s="149" t="str">
        <f>IF(R493="Bogs Ponds Streams",".96", IF(R493="Coastal Areas",".97",IF(R493="Meadows Dry Open",".96",IF(R493="Forest &amp; Understory",".97",IF(R493="Moist Open",".98",IF(R493="Moist Shady",".96",IF(R493="Sub-Alpine","1.0")))))))</f>
        <v>.98</v>
      </c>
      <c r="CC493" s="76" t="str">
        <f>IF(S493="Local Endemic",".50",IF(S493="Regional Endemic",".70",IF(S493="Cascadia",".90",IF(S493="Rocky Mountain",".95",IF(S493="North America",".99")))))</f>
        <v>.99</v>
      </c>
      <c r="CD493" s="4"/>
      <c r="CE493" s="21">
        <f>IF(W493&gt;3,3,W493)</f>
        <v>3</v>
      </c>
      <c r="CF493" s="21">
        <f>IF(AC493&gt;102,102,AC493)</f>
        <v>37.700000000000003</v>
      </c>
      <c r="CG493" s="34">
        <f ca="1">IF(AI493&lt;$AW$4,$AW$4,AI493)</f>
        <v>2019</v>
      </c>
      <c r="CH493" s="34">
        <f ca="1">IF(AJ493&lt;$AW$4,$AW$4,AJ493)</f>
        <v>2019</v>
      </c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13"/>
      <c r="DL493" s="20"/>
    </row>
    <row r="494" spans="1:116" ht="15" customHeight="1" x14ac:dyDescent="0.3">
      <c r="A494" s="235"/>
      <c r="B494" s="218"/>
      <c r="C494" s="225">
        <v>7</v>
      </c>
      <c r="D494" s="59" t="s">
        <v>2505</v>
      </c>
      <c r="E494" s="59" t="s">
        <v>2501</v>
      </c>
      <c r="F494" s="397" t="str">
        <f ca="1">IF(BC494&lt;2025, "Extinct&lt; 6Yrs?",BA494)</f>
        <v>Abundant</v>
      </c>
      <c r="G494" s="363" t="s">
        <v>525</v>
      </c>
      <c r="H494" s="363" t="s">
        <v>691</v>
      </c>
      <c r="I494" s="366" t="s">
        <v>3086</v>
      </c>
      <c r="J494" s="365" t="s">
        <v>3405</v>
      </c>
      <c r="K494" s="365" t="s">
        <v>1033</v>
      </c>
      <c r="L494" s="10" t="s">
        <v>1553</v>
      </c>
      <c r="M494" s="8" t="s">
        <v>4569</v>
      </c>
      <c r="N494" s="8" t="s">
        <v>5466</v>
      </c>
      <c r="O494" s="8" t="s">
        <v>6364</v>
      </c>
      <c r="P494" s="9" t="s">
        <v>576</v>
      </c>
      <c r="Q494" s="59" t="s">
        <v>2552</v>
      </c>
      <c r="R494" s="160" t="s">
        <v>2497</v>
      </c>
      <c r="S494" s="17" t="s">
        <v>2459</v>
      </c>
      <c r="T494" s="123" t="str">
        <f>IF(R494="Bogs Ponds Streams","20",IF(R494="Coastal Areas","26",IF(R494="Meadows Dry Open","10",IF(R494="Forest &amp; Understory","14",IF(R494="Moist Open","12",IF(R494="Moist Shady","10",IF(R494="Sub-Alpine Slopes","0")))))))</f>
        <v>12</v>
      </c>
      <c r="U494" s="123" t="str">
        <f>IF(R494="Bogs Ponds Streams","52",IF(R494="Coastal Areas","51",IF(R494="Meadows Dry Open","53",IF(R494="Forest &amp; Understory","52",IF(R494="Moist Open","50",IF(R494="Moist Shady","46",IF(R494="Sub-Alpine Slopes","40")))))))</f>
        <v>50</v>
      </c>
      <c r="V494" s="123" t="str">
        <f>IF(R494="Bogs Ponds Streams","84",IF(R494="Coastal Areas","76",IF(R494="Meadows Dry Open","96", IF(R494="Forest &amp; Understory","90", IF(R494="Moist Open","88", IF(R494="Moist Shady","82", IF(R494="Sub-Alpine Slopes","80")))))))</f>
        <v>88</v>
      </c>
      <c r="W494" s="59">
        <v>20</v>
      </c>
      <c r="X494" s="59">
        <v>0</v>
      </c>
      <c r="Y494" s="59">
        <v>3500</v>
      </c>
      <c r="Z494" s="59" t="s">
        <v>2519</v>
      </c>
      <c r="AA494" s="59" t="s">
        <v>2518</v>
      </c>
      <c r="AB494" s="59">
        <v>6.8</v>
      </c>
      <c r="AC494" s="45">
        <f>C494+AK494+(0.1)*AL494</f>
        <v>53.2</v>
      </c>
      <c r="AD494" s="77">
        <v>153</v>
      </c>
      <c r="AE494" s="59">
        <v>5</v>
      </c>
      <c r="AF494" s="59">
        <v>5</v>
      </c>
      <c r="AG494" s="59">
        <v>1900</v>
      </c>
      <c r="AH494" s="77">
        <v>0</v>
      </c>
      <c r="AI494" s="59">
        <f ca="1">AJ494</f>
        <v>2019</v>
      </c>
      <c r="AJ494" s="18">
        <f ca="1">YEAR(TODAY())</f>
        <v>2019</v>
      </c>
      <c r="AK494" s="18">
        <v>44</v>
      </c>
      <c r="AL494" s="18">
        <v>22</v>
      </c>
      <c r="AM494" s="18">
        <v>1</v>
      </c>
      <c r="AN494" s="18">
        <v>1</v>
      </c>
      <c r="AO494" s="18">
        <v>5</v>
      </c>
      <c r="AP494" s="18">
        <v>1</v>
      </c>
      <c r="AQ494" s="18">
        <v>0</v>
      </c>
      <c r="AR494" s="18">
        <v>0</v>
      </c>
      <c r="AS494" s="18">
        <v>0</v>
      </c>
      <c r="AT494" s="18">
        <v>0</v>
      </c>
      <c r="AU494" s="18">
        <v>0</v>
      </c>
      <c r="AV494" s="18">
        <v>0</v>
      </c>
      <c r="AW494" s="18">
        <v>0</v>
      </c>
      <c r="AX494" s="18">
        <v>0</v>
      </c>
      <c r="AY494" s="233"/>
      <c r="AZ494" s="4"/>
      <c r="BA494" s="35" t="str">
        <f ca="1">IF(OR(S494="North America",S494="Rocky Mountain"), "Widespread",BC494)</f>
        <v>Abundant</v>
      </c>
      <c r="BB494" s="4"/>
      <c r="BC494" s="35" t="str">
        <f ca="1">IF(BE494&gt;2046, "Abundant",BE494)</f>
        <v>Abundant</v>
      </c>
      <c r="BD494" s="4"/>
      <c r="BE494" s="81">
        <f ca="1">YEAR($C$13)+(BG494*80)</f>
        <v>2106.5441568627452</v>
      </c>
      <c r="BF494" s="4"/>
      <c r="BG494" s="137">
        <f ca="1">BH494*$BH$14</f>
        <v>1.0943019607843139</v>
      </c>
      <c r="BH494" s="137">
        <f ca="1">(((BJ494+BK494+BM494+BN494)/4)*$BM$11)+(((BP494+BQ494)/2)*$BQ$11)+(((BU494+BV494+BW494)/3)*$BU$11)+(((BY494+BZ494+CA494+CB494+CC494)/5)*$CA$11)</f>
        <v>1.0943019607843139</v>
      </c>
      <c r="BI494" s="4"/>
      <c r="BJ494" s="33">
        <f>AP494/(AM494+AO494)</f>
        <v>0.16666666666666666</v>
      </c>
      <c r="BK494" s="33">
        <f>(AN494+AO494)/(AM494+AO494)</f>
        <v>1</v>
      </c>
      <c r="BL494" s="4"/>
      <c r="BM494" s="127">
        <f>CF494/102</f>
        <v>0.52156862745098043</v>
      </c>
      <c r="BN494" s="127">
        <f>C494/2</f>
        <v>3.5</v>
      </c>
      <c r="BO494" s="4"/>
      <c r="BP494" s="127">
        <f>(AK494)/($AW$6)</f>
        <v>0.44444444444444442</v>
      </c>
      <c r="BQ494" s="127">
        <f ca="1">(CH494-$AW$4)/((YEAR($C$13))-$AW$4)</f>
        <v>1</v>
      </c>
      <c r="BR494" s="127">
        <f>(AL494)/($AW$6)</f>
        <v>0.22222222222222221</v>
      </c>
      <c r="BS494" s="4"/>
      <c r="BT494" s="127"/>
      <c r="BU494" s="127">
        <f ca="1">(CG494-$AW$4)/((YEAR($C$13))-$AW$4)</f>
        <v>1</v>
      </c>
      <c r="BV494" s="127">
        <f>AE494/5</f>
        <v>1</v>
      </c>
      <c r="BW494" s="127">
        <f>AF494/5</f>
        <v>1</v>
      </c>
      <c r="BX494" s="4"/>
      <c r="BY494" s="148" t="str">
        <f>IF(E494="A",".98",IF(E494="B",".99",IF(E494="C","1.00",IF(E494="D","1.00" ))))</f>
        <v>1.00</v>
      </c>
      <c r="BZ494" s="127">
        <f>(CE494+7)/10</f>
        <v>1</v>
      </c>
      <c r="CA494" s="76" t="str">
        <f>IF(D494="Fern",".97",IF(D494="Grass",".99",IF(D494="Herb",".97",IF(D494="Shrub",".99",IF(D494="Tree","1.00",IF(D494="Vine",".98"))))))</f>
        <v>.97</v>
      </c>
      <c r="CB494" s="149" t="str">
        <f>IF(R494="Bogs Ponds Streams",".96", IF(R494="Coastal Areas",".97",IF(R494="Meadows Dry Open",".96",IF(R494="Forest &amp; Understory",".97",IF(R494="Moist Open",".98",IF(R494="Moist Shady",".96",IF(R494="Sub-Alpine","1.0")))))))</f>
        <v>.98</v>
      </c>
      <c r="CC494" s="76" t="str">
        <f>IF(S494="Local Endemic",".50",IF(S494="Regional Endemic",".70",IF(S494="Cascadia",".90",IF(S494="Rocky Mountain",".95",IF(S494="North America",".99")))))</f>
        <v>.90</v>
      </c>
      <c r="CD494" s="4"/>
      <c r="CE494" s="21">
        <f>IF(W494&gt;3,3,W494)</f>
        <v>3</v>
      </c>
      <c r="CF494" s="21">
        <f>IF(AC494&gt;102,102,AC494)</f>
        <v>53.2</v>
      </c>
      <c r="CG494" s="34">
        <f ca="1">IF(AI494&lt;$AW$4,$AW$4,AI494)</f>
        <v>2019</v>
      </c>
      <c r="CH494" s="34">
        <f ca="1">IF(AJ494&lt;$AW$4,$AW$4,AJ494)</f>
        <v>2019</v>
      </c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13"/>
    </row>
    <row r="495" spans="1:116" ht="15" customHeight="1" x14ac:dyDescent="0.3">
      <c r="A495" s="235"/>
      <c r="B495" s="218"/>
      <c r="C495" s="225">
        <v>8</v>
      </c>
      <c r="D495" s="59" t="s">
        <v>2505</v>
      </c>
      <c r="E495" s="59" t="s">
        <v>2501</v>
      </c>
      <c r="F495" s="397" t="str">
        <f ca="1">IF(BC495&lt;2025, "Extinct&lt; 6Yrs?",BA495)</f>
        <v>Widespread</v>
      </c>
      <c r="G495" s="363" t="s">
        <v>525</v>
      </c>
      <c r="H495" s="363" t="s">
        <v>681</v>
      </c>
      <c r="I495" s="366" t="s">
        <v>1329</v>
      </c>
      <c r="J495" s="365" t="s">
        <v>3406</v>
      </c>
      <c r="K495" s="365" t="s">
        <v>429</v>
      </c>
      <c r="L495" s="10" t="s">
        <v>1554</v>
      </c>
      <c r="M495" s="8" t="s">
        <v>4570</v>
      </c>
      <c r="N495" s="8" t="s">
        <v>5467</v>
      </c>
      <c r="O495" s="8" t="s">
        <v>6365</v>
      </c>
      <c r="P495" s="9" t="s">
        <v>115</v>
      </c>
      <c r="Q495" s="59" t="s">
        <v>2552</v>
      </c>
      <c r="R495" s="9" t="s">
        <v>2500</v>
      </c>
      <c r="S495" s="9" t="s">
        <v>2479</v>
      </c>
      <c r="T495" s="123" t="str">
        <f>IF(R495="Bogs Ponds Streams","20",IF(R495="Coastal Areas","26",IF(R495="Meadows Dry Open","10",IF(R495="Forest &amp; Understory","14",IF(R495="Moist Open","12",IF(R495="Moist Shady","10",IF(R495="Sub-Alpine Slopes","0")))))))</f>
        <v>10</v>
      </c>
      <c r="U495" s="123" t="str">
        <f>IF(R495="Bogs Ponds Streams","52",IF(R495="Coastal Areas","51",IF(R495="Meadows Dry Open","53",IF(R495="Forest &amp; Understory","52",IF(R495="Moist Open","50",IF(R495="Moist Shady","46",IF(R495="Sub-Alpine Slopes","40")))))))</f>
        <v>53</v>
      </c>
      <c r="V495" s="123" t="str">
        <f>IF(R495="Bogs Ponds Streams","84",IF(R495="Coastal Areas","76",IF(R495="Meadows Dry Open","96", IF(R495="Forest &amp; Understory","90", IF(R495="Moist Open","88", IF(R495="Moist Shady","82", IF(R495="Sub-Alpine Slopes","80")))))))</f>
        <v>96</v>
      </c>
      <c r="W495" s="59">
        <v>20</v>
      </c>
      <c r="X495" s="59">
        <v>0</v>
      </c>
      <c r="Y495" s="59">
        <v>3500</v>
      </c>
      <c r="Z495" s="59" t="s">
        <v>2519</v>
      </c>
      <c r="AA495" s="59" t="s">
        <v>2518</v>
      </c>
      <c r="AB495" s="59">
        <v>6.8</v>
      </c>
      <c r="AC495" s="45">
        <f>C495+AK495+(0.1)*AL495</f>
        <v>64.2</v>
      </c>
      <c r="AD495" s="77">
        <v>161</v>
      </c>
      <c r="AE495" s="59">
        <v>5</v>
      </c>
      <c r="AF495" s="59">
        <v>5</v>
      </c>
      <c r="AG495" s="59">
        <v>1900</v>
      </c>
      <c r="AH495" s="77">
        <v>0</v>
      </c>
      <c r="AI495" s="59">
        <f ca="1">AJ495</f>
        <v>2019</v>
      </c>
      <c r="AJ495" s="18">
        <f ca="1">YEAR(TODAY())</f>
        <v>2019</v>
      </c>
      <c r="AK495" s="18">
        <v>55</v>
      </c>
      <c r="AL495" s="18">
        <v>12</v>
      </c>
      <c r="AM495" s="18">
        <v>1</v>
      </c>
      <c r="AN495" s="18">
        <v>1</v>
      </c>
      <c r="AO495" s="18">
        <v>5</v>
      </c>
      <c r="AP495" s="18">
        <v>1</v>
      </c>
      <c r="AQ495" s="18">
        <v>0</v>
      </c>
      <c r="AR495" s="18">
        <v>0</v>
      </c>
      <c r="AS495" s="18">
        <v>0</v>
      </c>
      <c r="AT495" s="18">
        <v>0</v>
      </c>
      <c r="AU495" s="18">
        <v>0</v>
      </c>
      <c r="AV495" s="18">
        <v>0</v>
      </c>
      <c r="AW495" s="18">
        <v>0</v>
      </c>
      <c r="AX495" s="18">
        <v>0</v>
      </c>
      <c r="AY495" s="233"/>
      <c r="AZ495" s="4"/>
      <c r="BA495" s="35" t="str">
        <f>IF(OR(S495="North America",S495="Rocky Mountain"), "Widespread",BC495)</f>
        <v>Widespread</v>
      </c>
      <c r="BB495" s="4"/>
      <c r="BC495" s="35" t="str">
        <f ca="1">IF(BE495&gt;2046, "Abundant",BE495)</f>
        <v>Abundant</v>
      </c>
      <c r="BD495" s="4"/>
      <c r="BE495" s="81">
        <f ca="1">YEAR($C$13)+(BG495*80)</f>
        <v>2115.1812078431371</v>
      </c>
      <c r="BF495" s="4"/>
      <c r="BG495" s="137">
        <f ca="1">BH495*$BH$14</f>
        <v>1.2022650980392158</v>
      </c>
      <c r="BH495" s="137">
        <f ca="1">(((BJ495+BK495+BM495+BN495)/4)*$BM$11)+(((BP495+BQ495)/2)*$BQ$11)+(((BU495+BV495+BW495)/3)*$BU$11)+(((BY495+BZ495+CA495+CB495+CC495)/5)*$CA$11)</f>
        <v>1.2022650980392158</v>
      </c>
      <c r="BI495" s="4"/>
      <c r="BJ495" s="33">
        <f>AP495/(AM495+AO495)</f>
        <v>0.16666666666666666</v>
      </c>
      <c r="BK495" s="33">
        <f>(AN495+AO495)/(AM495+AO495)</f>
        <v>1</v>
      </c>
      <c r="BL495" s="4"/>
      <c r="BM495" s="127">
        <f>CF495/102</f>
        <v>0.62941176470588234</v>
      </c>
      <c r="BN495" s="127">
        <f>C495/2</f>
        <v>4</v>
      </c>
      <c r="BO495" s="4"/>
      <c r="BP495" s="127">
        <f>(AK495)/($AW$6)</f>
        <v>0.55555555555555558</v>
      </c>
      <c r="BQ495" s="127">
        <f ca="1">(CH495-$AW$4)/((YEAR($C$13))-$AW$4)</f>
        <v>1</v>
      </c>
      <c r="BR495" s="127">
        <f>(AL495)/($AW$6)</f>
        <v>0.12121212121212122</v>
      </c>
      <c r="BS495" s="4"/>
      <c r="BT495" s="127"/>
      <c r="BU495" s="127">
        <f ca="1">(CG495-$AW$4)/((YEAR($C$13))-$AW$4)</f>
        <v>1</v>
      </c>
      <c r="BV495" s="127">
        <f>AE495/5</f>
        <v>1</v>
      </c>
      <c r="BW495" s="127">
        <f>AF495/5</f>
        <v>1</v>
      </c>
      <c r="BX495" s="4"/>
      <c r="BY495" s="148" t="str">
        <f>IF(E495="A",".98",IF(E495="B",".99",IF(E495="C","1.00",IF(E495="D","1.00" ))))</f>
        <v>1.00</v>
      </c>
      <c r="BZ495" s="127">
        <f>(CE495+7)/10</f>
        <v>1</v>
      </c>
      <c r="CA495" s="76" t="str">
        <f>IF(D495="Fern",".97",IF(D495="Grass",".99",IF(D495="Herb",".97",IF(D495="Shrub",".99",IF(D495="Tree","1.00",IF(D495="Vine",".98"))))))</f>
        <v>.97</v>
      </c>
      <c r="CB495" s="149" t="str">
        <f>IF(R495="Bogs Ponds Streams",".96", IF(R495="Coastal Areas",".97",IF(R495="Meadows Dry Open",".96",IF(R495="Forest &amp; Understory",".97",IF(R495="Moist Open",".98",IF(R495="Moist Shady",".96",IF(R495="Sub-Alpine","1.0")))))))</f>
        <v>.96</v>
      </c>
      <c r="CC495" s="76" t="str">
        <f>IF(S495="Local Endemic",".50",IF(S495="Regional Endemic",".70",IF(S495="Cascadia",".90",IF(S495="Rocky Mountain",".95",IF(S495="North America",".99")))))</f>
        <v>.95</v>
      </c>
      <c r="CD495" s="4"/>
      <c r="CE495" s="21">
        <f>IF(W495&gt;3,3,W495)</f>
        <v>3</v>
      </c>
      <c r="CF495" s="21">
        <f>IF(AC495&gt;102,102,AC495)</f>
        <v>64.2</v>
      </c>
      <c r="CG495" s="34">
        <f ca="1">IF(AI495&lt;$AW$4,$AW$4,AI495)</f>
        <v>2019</v>
      </c>
      <c r="CH495" s="34">
        <f ca="1">IF(AJ495&lt;$AW$4,$AW$4,AJ495)</f>
        <v>2019</v>
      </c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13"/>
    </row>
    <row r="496" spans="1:116" ht="15" customHeight="1" x14ac:dyDescent="0.3">
      <c r="A496" s="235"/>
      <c r="B496" s="218"/>
      <c r="C496" s="225">
        <v>8</v>
      </c>
      <c r="D496" s="96" t="s">
        <v>2505</v>
      </c>
      <c r="E496" s="59" t="s">
        <v>2501</v>
      </c>
      <c r="F496" s="397" t="str">
        <f ca="1">IF(BC496&lt;2025, "Extinct&lt; 6Yrs?",BA496)</f>
        <v>Widespread</v>
      </c>
      <c r="G496" s="363" t="s">
        <v>525</v>
      </c>
      <c r="H496" s="363" t="s">
        <v>682</v>
      </c>
      <c r="I496" s="366" t="s">
        <v>427</v>
      </c>
      <c r="J496" s="365" t="s">
        <v>3407</v>
      </c>
      <c r="K496" s="365" t="s">
        <v>1035</v>
      </c>
      <c r="L496" s="10" t="s">
        <v>1555</v>
      </c>
      <c r="M496" s="8" t="s">
        <v>4571</v>
      </c>
      <c r="N496" s="8" t="s">
        <v>5468</v>
      </c>
      <c r="O496" s="8" t="s">
        <v>6366</v>
      </c>
      <c r="P496" s="9" t="s">
        <v>115</v>
      </c>
      <c r="Q496" s="59" t="s">
        <v>2552</v>
      </c>
      <c r="R496" s="160" t="s">
        <v>2497</v>
      </c>
      <c r="S496" s="17" t="s">
        <v>2495</v>
      </c>
      <c r="T496" s="123" t="str">
        <f>IF(R496="Bogs Ponds Streams","20",IF(R496="Coastal Areas","26",IF(R496="Meadows Dry Open","10",IF(R496="Forest &amp; Understory","14",IF(R496="Moist Open","12",IF(R496="Moist Shady","10",IF(R496="Sub-Alpine Slopes","0")))))))</f>
        <v>12</v>
      </c>
      <c r="U496" s="123" t="str">
        <f>IF(R496="Bogs Ponds Streams","52",IF(R496="Coastal Areas","51",IF(R496="Meadows Dry Open","53",IF(R496="Forest &amp; Understory","52",IF(R496="Moist Open","50",IF(R496="Moist Shady","46",IF(R496="Sub-Alpine Slopes","40")))))))</f>
        <v>50</v>
      </c>
      <c r="V496" s="123" t="str">
        <f>IF(R496="Bogs Ponds Streams","84",IF(R496="Coastal Areas","76",IF(R496="Meadows Dry Open","96", IF(R496="Forest &amp; Understory","90", IF(R496="Moist Open","88", IF(R496="Moist Shady","82", IF(R496="Sub-Alpine Slopes","80")))))))</f>
        <v>88</v>
      </c>
      <c r="W496" s="59">
        <v>20</v>
      </c>
      <c r="X496" s="59">
        <v>0</v>
      </c>
      <c r="Y496" s="59">
        <v>3500</v>
      </c>
      <c r="Z496" s="59" t="s">
        <v>2519</v>
      </c>
      <c r="AA496" s="59" t="s">
        <v>2518</v>
      </c>
      <c r="AB496" s="59">
        <v>6.8</v>
      </c>
      <c r="AC496" s="45">
        <f>C496+AK496+(0.1)*AL496</f>
        <v>43.2</v>
      </c>
      <c r="AD496" s="77">
        <v>121</v>
      </c>
      <c r="AE496" s="59">
        <v>5</v>
      </c>
      <c r="AF496" s="59">
        <v>5</v>
      </c>
      <c r="AG496" s="59">
        <v>1900</v>
      </c>
      <c r="AH496" s="77">
        <v>0</v>
      </c>
      <c r="AI496" s="59">
        <f ca="1">AJ496</f>
        <v>2019</v>
      </c>
      <c r="AJ496" s="18">
        <f ca="1">YEAR(TODAY())</f>
        <v>2019</v>
      </c>
      <c r="AK496" s="18">
        <v>33</v>
      </c>
      <c r="AL496" s="18">
        <v>22</v>
      </c>
      <c r="AM496" s="18">
        <v>1</v>
      </c>
      <c r="AN496" s="18">
        <v>1</v>
      </c>
      <c r="AO496" s="18">
        <v>5</v>
      </c>
      <c r="AP496" s="18">
        <v>1</v>
      </c>
      <c r="AQ496" s="18">
        <v>0</v>
      </c>
      <c r="AR496" s="18">
        <v>0</v>
      </c>
      <c r="AS496" s="18">
        <v>0</v>
      </c>
      <c r="AT496" s="18">
        <v>0</v>
      </c>
      <c r="AU496" s="18">
        <v>0</v>
      </c>
      <c r="AV496" s="18">
        <v>0</v>
      </c>
      <c r="AW496" s="18">
        <v>0</v>
      </c>
      <c r="AX496" s="18">
        <v>0</v>
      </c>
      <c r="AY496" s="233"/>
      <c r="AZ496" s="4"/>
      <c r="BA496" s="35" t="str">
        <f>IF(OR(S496="North America",S496="Rocky Mountain"), "Widespread",BC496)</f>
        <v>Widespread</v>
      </c>
      <c r="BB496" s="4"/>
      <c r="BC496" s="35" t="str">
        <f ca="1">IF(BE496&gt;2046, "Abundant",BE496)</f>
        <v>Abundant</v>
      </c>
      <c r="BD496" s="4"/>
      <c r="BE496" s="81">
        <f ca="1">YEAR($C$13)+(BG496*80)</f>
        <v>2110.0631529411767</v>
      </c>
      <c r="BF496" s="4"/>
      <c r="BG496" s="137">
        <f ca="1">BH496*$BH$14</f>
        <v>1.138289411764706</v>
      </c>
      <c r="BH496" s="137">
        <f ca="1">(((BJ496+BK496+BM496+BN496)/4)*$BM$11)+(((BP496+BQ496)/2)*$BQ$11)+(((BU496+BV496+BW496)/3)*$BU$11)+(((BY496+BZ496+CA496+CB496+CC496)/5)*$CA$11)</f>
        <v>1.138289411764706</v>
      </c>
      <c r="BI496" s="4"/>
      <c r="BJ496" s="33">
        <f>AP496/(AM496+AO496)</f>
        <v>0.16666666666666666</v>
      </c>
      <c r="BK496" s="33">
        <f>(AN496+AO496)/(AM496+AO496)</f>
        <v>1</v>
      </c>
      <c r="BL496" s="4"/>
      <c r="BM496" s="127">
        <f>CF496/102</f>
        <v>0.42352941176470593</v>
      </c>
      <c r="BN496" s="127">
        <f>C496/2</f>
        <v>4</v>
      </c>
      <c r="BO496" s="4"/>
      <c r="BP496" s="127">
        <f>(AK496)/($AW$6)</f>
        <v>0.33333333333333331</v>
      </c>
      <c r="BQ496" s="127">
        <f ca="1">(CH496-$AW$4)/((YEAR($C$13))-$AW$4)</f>
        <v>1</v>
      </c>
      <c r="BR496" s="127">
        <f>(AL496)/($AW$6)</f>
        <v>0.22222222222222221</v>
      </c>
      <c r="BS496" s="4"/>
      <c r="BT496" s="127"/>
      <c r="BU496" s="127">
        <f ca="1">(CG496-$AW$4)/((YEAR($C$13))-$AW$4)</f>
        <v>1</v>
      </c>
      <c r="BV496" s="127">
        <f>AE496/5</f>
        <v>1</v>
      </c>
      <c r="BW496" s="127">
        <f>AF496/5</f>
        <v>1</v>
      </c>
      <c r="BX496" s="4"/>
      <c r="BY496" s="148" t="str">
        <f>IF(E496="A",".98",IF(E496="B",".99",IF(E496="C","1.00",IF(E496="D","1.00" ))))</f>
        <v>1.00</v>
      </c>
      <c r="BZ496" s="127">
        <f>(CE496+7)/10</f>
        <v>1</v>
      </c>
      <c r="CA496" s="76" t="str">
        <f>IF(D496="Fern",".97",IF(D496="Grass",".99",IF(D496="Herb",".97",IF(D496="Shrub",".99",IF(D496="Tree","1.00",IF(D496="Vine",".98"))))))</f>
        <v>.97</v>
      </c>
      <c r="CB496" s="149" t="str">
        <f>IF(R496="Bogs Ponds Streams",".96", IF(R496="Coastal Areas",".97",IF(R496="Meadows Dry Open",".96",IF(R496="Forest &amp; Understory",".97",IF(R496="Moist Open",".98",IF(R496="Moist Shady",".96",IF(R496="Sub-Alpine","1.0")))))))</f>
        <v>.98</v>
      </c>
      <c r="CC496" s="76" t="str">
        <f>IF(S496="Local Endemic",".50",IF(S496="Regional Endemic",".70",IF(S496="Cascadia",".90",IF(S496="Rocky Mountain",".95",IF(S496="North America",".99")))))</f>
        <v>.99</v>
      </c>
      <c r="CD496" s="4"/>
      <c r="CE496" s="21">
        <f>IF(W496&gt;3,3,W496)</f>
        <v>3</v>
      </c>
      <c r="CF496" s="21">
        <f>IF(AC496&gt;102,102,AC496)</f>
        <v>43.2</v>
      </c>
      <c r="CG496" s="34">
        <f ca="1">IF(AI496&lt;$AW$4,$AW$4,AI496)</f>
        <v>2019</v>
      </c>
      <c r="CH496" s="34">
        <f ca="1">IF(AJ496&lt;$AW$4,$AW$4,AJ496)</f>
        <v>2019</v>
      </c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13"/>
    </row>
    <row r="497" spans="1:116" ht="15" customHeight="1" x14ac:dyDescent="0.3">
      <c r="A497" s="235"/>
      <c r="B497" s="218"/>
      <c r="C497" s="225">
        <v>8</v>
      </c>
      <c r="D497" s="96" t="s">
        <v>2505</v>
      </c>
      <c r="E497" s="59" t="s">
        <v>2501</v>
      </c>
      <c r="F497" s="397" t="str">
        <f ca="1">IF(BC497&lt;2025, "Extinct&lt; 6Yrs?",BA497)</f>
        <v>Widespread</v>
      </c>
      <c r="G497" s="363" t="s">
        <v>525</v>
      </c>
      <c r="H497" s="363" t="s">
        <v>682</v>
      </c>
      <c r="I497" s="366" t="s">
        <v>428</v>
      </c>
      <c r="J497" s="365" t="s">
        <v>3408</v>
      </c>
      <c r="K497" s="365" t="s">
        <v>341</v>
      </c>
      <c r="L497" s="10" t="s">
        <v>1556</v>
      </c>
      <c r="M497" s="8" t="s">
        <v>4572</v>
      </c>
      <c r="N497" s="8" t="s">
        <v>5469</v>
      </c>
      <c r="O497" s="8" t="s">
        <v>6367</v>
      </c>
      <c r="P497" s="9" t="s">
        <v>115</v>
      </c>
      <c r="Q497" s="59" t="s">
        <v>2552</v>
      </c>
      <c r="R497" s="9" t="s">
        <v>2498</v>
      </c>
      <c r="S497" s="9" t="s">
        <v>2495</v>
      </c>
      <c r="T497" s="123" t="str">
        <f>IF(R497="Bogs Ponds Streams","20",IF(R497="Coastal Areas","26",IF(R497="Meadows Dry Open","10",IF(R497="Forest &amp; Understory","14",IF(R497="Moist Open","12",IF(R497="Moist Shady","10",IF(R497="Sub-Alpine Slopes","0")))))))</f>
        <v>10</v>
      </c>
      <c r="U497" s="123" t="str">
        <f>IF(R497="Bogs Ponds Streams","52",IF(R497="Coastal Areas","51",IF(R497="Meadows Dry Open","53",IF(R497="Forest &amp; Understory","52",IF(R497="Moist Open","50",IF(R497="Moist Shady","46",IF(R497="Sub-Alpine Slopes","40")))))))</f>
        <v>46</v>
      </c>
      <c r="V497" s="123" t="str">
        <f>IF(R497="Bogs Ponds Streams","84",IF(R497="Coastal Areas","76",IF(R497="Meadows Dry Open","96", IF(R497="Forest &amp; Understory","90", IF(R497="Moist Open","88", IF(R497="Moist Shady","82", IF(R497="Sub-Alpine Slopes","80")))))))</f>
        <v>82</v>
      </c>
      <c r="W497" s="59">
        <v>20</v>
      </c>
      <c r="X497" s="59">
        <v>0</v>
      </c>
      <c r="Y497" s="59">
        <v>3500</v>
      </c>
      <c r="Z497" s="59" t="s">
        <v>2519</v>
      </c>
      <c r="AA497" s="59" t="s">
        <v>2518</v>
      </c>
      <c r="AB497" s="59">
        <v>6.8</v>
      </c>
      <c r="AC497" s="45">
        <f>C497+AK497+(0.1)*AL497</f>
        <v>54.2</v>
      </c>
      <c r="AD497" s="77">
        <v>266</v>
      </c>
      <c r="AE497" s="59">
        <v>5</v>
      </c>
      <c r="AF497" s="59">
        <v>5</v>
      </c>
      <c r="AG497" s="59">
        <v>1900</v>
      </c>
      <c r="AH497" s="77">
        <v>0</v>
      </c>
      <c r="AI497" s="59">
        <f ca="1">AJ497</f>
        <v>2019</v>
      </c>
      <c r="AJ497" s="18">
        <f ca="1">YEAR(TODAY())</f>
        <v>2019</v>
      </c>
      <c r="AK497" s="18">
        <v>44</v>
      </c>
      <c r="AL497" s="18">
        <v>22</v>
      </c>
      <c r="AM497" s="18">
        <v>1</v>
      </c>
      <c r="AN497" s="18">
        <v>1</v>
      </c>
      <c r="AO497" s="25">
        <v>0</v>
      </c>
      <c r="AP497" s="24">
        <v>0</v>
      </c>
      <c r="AQ497" s="18">
        <v>0</v>
      </c>
      <c r="AR497" s="18">
        <v>0</v>
      </c>
      <c r="AS497" s="18">
        <v>0</v>
      </c>
      <c r="AT497" s="18">
        <v>0</v>
      </c>
      <c r="AU497" s="18">
        <v>0</v>
      </c>
      <c r="AV497" s="18">
        <v>0</v>
      </c>
      <c r="AW497" s="18">
        <v>0</v>
      </c>
      <c r="AX497" s="18">
        <v>0</v>
      </c>
      <c r="AY497" s="233"/>
      <c r="AZ497" s="4"/>
      <c r="BA497" s="35" t="str">
        <f>IF(OR(S497="North America",S497="Rocky Mountain"), "Widespread",BC497)</f>
        <v>Widespread</v>
      </c>
      <c r="BB497" s="4"/>
      <c r="BC497" s="35" t="str">
        <f ca="1">IF(BE497&gt;2046, "Abundant",BE497)</f>
        <v>Abundant</v>
      </c>
      <c r="BD497" s="4"/>
      <c r="BE497" s="81">
        <f ca="1">YEAR($C$13)+(BG497*80)</f>
        <v>2110.6842039215685</v>
      </c>
      <c r="BF497" s="4"/>
      <c r="BG497" s="137">
        <f ca="1">BH497*$BH$14</f>
        <v>1.1460525490196078</v>
      </c>
      <c r="BH497" s="137">
        <f ca="1">(((BJ497+BK497+BM497+BN497)/4)*$BM$11)+(((BP497+BQ497)/2)*$BQ$11)+(((BU497+BV497+BW497)/3)*$BU$11)+(((BY497+BZ497+CA497+CB497+CC497)/5)*$CA$11)</f>
        <v>1.1460525490196078</v>
      </c>
      <c r="BI497" s="4"/>
      <c r="BJ497" s="33">
        <f>AP497/(AM497+AO497)</f>
        <v>0</v>
      </c>
      <c r="BK497" s="33">
        <f>(AN497+AO497)/(AM497+AO497)</f>
        <v>1</v>
      </c>
      <c r="BL497" s="4"/>
      <c r="BM497" s="127">
        <f>CF497/102</f>
        <v>0.53137254901960784</v>
      </c>
      <c r="BN497" s="127">
        <f>C497/2</f>
        <v>4</v>
      </c>
      <c r="BO497" s="4"/>
      <c r="BP497" s="127">
        <f>(AK497)/($AW$6)</f>
        <v>0.44444444444444442</v>
      </c>
      <c r="BQ497" s="127">
        <f ca="1">(CH497-$AW$4)/((YEAR($C$13))-$AW$4)</f>
        <v>1</v>
      </c>
      <c r="BR497" s="127">
        <f>(AL497)/($AW$6)</f>
        <v>0.22222222222222221</v>
      </c>
      <c r="BS497" s="4"/>
      <c r="BT497" s="127"/>
      <c r="BU497" s="127">
        <f ca="1">(CG497-$AW$4)/((YEAR($C$13))-$AW$4)</f>
        <v>1</v>
      </c>
      <c r="BV497" s="127">
        <f>AE497/5</f>
        <v>1</v>
      </c>
      <c r="BW497" s="127">
        <f>AF497/5</f>
        <v>1</v>
      </c>
      <c r="BX497" s="4"/>
      <c r="BY497" s="148" t="str">
        <f>IF(E497="A",".98",IF(E497="B",".99",IF(E497="C","1.00",IF(E497="D","1.00" ))))</f>
        <v>1.00</v>
      </c>
      <c r="BZ497" s="127">
        <f>(CE497+7)/10</f>
        <v>1</v>
      </c>
      <c r="CA497" s="76" t="str">
        <f>IF(D497="Fern",".97",IF(D497="Grass",".99",IF(D497="Herb",".97",IF(D497="Shrub",".99",IF(D497="Tree","1.00",IF(D497="Vine",".98"))))))</f>
        <v>.97</v>
      </c>
      <c r="CB497" s="149" t="str">
        <f>IF(R497="Bogs Ponds Streams",".96", IF(R497="Coastal Areas",".97",IF(R497="Meadows Dry Open",".96",IF(R497="Forest &amp; Understory",".97",IF(R497="Moist Open",".98",IF(R497="Moist Shady",".96",IF(R497="Sub-Alpine","1.0")))))))</f>
        <v>.96</v>
      </c>
      <c r="CC497" s="76" t="str">
        <f>IF(S497="Local Endemic",".50",IF(S497="Regional Endemic",".70",IF(S497="Cascadia",".90",IF(S497="Rocky Mountain",".95",IF(S497="North America",".99")))))</f>
        <v>.99</v>
      </c>
      <c r="CD497" s="4"/>
      <c r="CE497" s="21">
        <f>IF(W497&gt;3,3,W497)</f>
        <v>3</v>
      </c>
      <c r="CF497" s="21">
        <f>IF(AC497&gt;102,102,AC497)</f>
        <v>54.2</v>
      </c>
      <c r="CG497" s="34">
        <f ca="1">IF(AI497&lt;$AW$4,$AW$4,AI497)</f>
        <v>2019</v>
      </c>
      <c r="CH497" s="34">
        <f ca="1">IF(AJ497&lt;$AW$4,$AW$4,AJ497)</f>
        <v>2019</v>
      </c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13"/>
    </row>
    <row r="498" spans="1:116" ht="15" customHeight="1" x14ac:dyDescent="0.3">
      <c r="A498" s="235"/>
      <c r="B498" s="218"/>
      <c r="C498" s="375">
        <v>1</v>
      </c>
      <c r="D498" s="67" t="s">
        <v>1154</v>
      </c>
      <c r="E498" s="67" t="s">
        <v>2501</v>
      </c>
      <c r="F498" s="403" t="str">
        <f ca="1">IF(BC498&lt;2025, "Extinct&lt; 6Yrs?",BA498)</f>
        <v>Widespread</v>
      </c>
      <c r="G498" s="376" t="s">
        <v>525</v>
      </c>
      <c r="H498" s="376" t="s">
        <v>4028</v>
      </c>
      <c r="I498" s="380" t="s">
        <v>72</v>
      </c>
      <c r="J498" s="378" t="s">
        <v>3746</v>
      </c>
      <c r="K498" s="378" t="s">
        <v>71</v>
      </c>
      <c r="L498" s="63" t="s">
        <v>1557</v>
      </c>
      <c r="M498" s="64" t="s">
        <v>4573</v>
      </c>
      <c r="N498" s="64" t="s">
        <v>5470</v>
      </c>
      <c r="O498" s="64" t="s">
        <v>6368</v>
      </c>
      <c r="P498" s="61" t="s">
        <v>481</v>
      </c>
      <c r="Q498" s="67" t="s">
        <v>2552</v>
      </c>
      <c r="R498" s="61" t="s">
        <v>2498</v>
      </c>
      <c r="S498" s="61" t="s">
        <v>2495</v>
      </c>
      <c r="T498" s="134" t="str">
        <f>IF(R498="Bogs Ponds Streams","20",IF(R498="Coastal Areas","26",IF(R498="Meadows Dry Open","10",IF(R498="Forest &amp; Understory","14",IF(R498="Moist Open","12",IF(R498="Moist Shady","10",IF(R498="Sub-Alpine Slopes","0")))))))</f>
        <v>10</v>
      </c>
      <c r="U498" s="134" t="str">
        <f>IF(R498="Bogs Ponds Streams","52",IF(R498="Coastal Areas","51",IF(R498="Meadows Dry Open","53",IF(R498="Forest &amp; Understory","52",IF(R498="Moist Open","50",IF(R498="Moist Shady","46",IF(R498="Sub-Alpine Slopes","40")))))))</f>
        <v>46</v>
      </c>
      <c r="V498" s="134" t="str">
        <f>IF(R498="Bogs Ponds Streams","84",IF(R498="Coastal Areas","76",IF(R498="Meadows Dry Open","96", IF(R498="Forest &amp; Understory","90", IF(R498="Moist Open","88", IF(R498="Moist Shady","82", IF(R498="Sub-Alpine Slopes","80")))))))</f>
        <v>82</v>
      </c>
      <c r="W498" s="67">
        <v>20</v>
      </c>
      <c r="X498" s="67">
        <v>0</v>
      </c>
      <c r="Y498" s="67">
        <v>3500</v>
      </c>
      <c r="Z498" s="67" t="s">
        <v>2519</v>
      </c>
      <c r="AA498" s="67" t="s">
        <v>2518</v>
      </c>
      <c r="AB498" s="67">
        <v>6.8</v>
      </c>
      <c r="AC498" s="85">
        <f>C498+AK498+(0.1)*AL498</f>
        <v>5</v>
      </c>
      <c r="AD498" s="78">
        <v>49</v>
      </c>
      <c r="AE498" s="68">
        <v>3</v>
      </c>
      <c r="AF498" s="68">
        <v>5</v>
      </c>
      <c r="AG498" s="78">
        <v>1902</v>
      </c>
      <c r="AH498" s="78">
        <v>0</v>
      </c>
      <c r="AI498" s="78">
        <v>2004</v>
      </c>
      <c r="AJ498" s="69">
        <f ca="1">YEAR(TODAY())</f>
        <v>2019</v>
      </c>
      <c r="AK498" s="69">
        <v>4</v>
      </c>
      <c r="AL498" s="69">
        <v>0</v>
      </c>
      <c r="AM498" s="69">
        <v>1</v>
      </c>
      <c r="AN498" s="69">
        <v>1</v>
      </c>
      <c r="AO498" s="86">
        <v>0</v>
      </c>
      <c r="AP498" s="70">
        <v>0</v>
      </c>
      <c r="AQ498" s="69">
        <v>0</v>
      </c>
      <c r="AR498" s="69">
        <v>0</v>
      </c>
      <c r="AS498" s="69">
        <v>0</v>
      </c>
      <c r="AT498" s="69">
        <v>0</v>
      </c>
      <c r="AU498" s="69">
        <v>0</v>
      </c>
      <c r="AV498" s="69">
        <v>0</v>
      </c>
      <c r="AW498" s="69">
        <v>0</v>
      </c>
      <c r="AX498" s="69">
        <v>0</v>
      </c>
      <c r="AY498" s="233"/>
      <c r="AZ498" s="4"/>
      <c r="BA498" s="35" t="str">
        <f>IF(OR(S498="North America",S498="Rocky Mountain"), "Widespread",BC498)</f>
        <v>Widespread</v>
      </c>
      <c r="BB498" s="4"/>
      <c r="BC498" s="35" t="str">
        <f ca="1">IF(BE498&gt;2046, "Abundant",BE498)</f>
        <v>Abundant</v>
      </c>
      <c r="BD498" s="4"/>
      <c r="BE498" s="81">
        <f ca="1">YEAR($C$13)+(BG498*80)</f>
        <v>2055.0608171122994</v>
      </c>
      <c r="BF498" s="4"/>
      <c r="BG498" s="137">
        <f ca="1">BH498*$BH$14</f>
        <v>0.45076021390374332</v>
      </c>
      <c r="BH498" s="137">
        <f ca="1">(((BJ498+BK498+BM498+BN498)/4)*$BM$11)+(((BP498+BQ498)/2)*$BQ$11)+(((BU498+BV498+BW498)/3)*$BU$11)+(((BY498+BZ498+CA498+CB498+CC498)/5)*$CA$11)</f>
        <v>0.45076021390374332</v>
      </c>
      <c r="BI498" s="4"/>
      <c r="BJ498" s="33">
        <f>AP498/(AM498+AO498)</f>
        <v>0</v>
      </c>
      <c r="BK498" s="33">
        <f>(AN498+AO498)/(AM498+AO498)</f>
        <v>1</v>
      </c>
      <c r="BL498" s="4"/>
      <c r="BM498" s="127">
        <f>CF498/102</f>
        <v>4.9019607843137254E-2</v>
      </c>
      <c r="BN498" s="127">
        <f>C498/2</f>
        <v>0.5</v>
      </c>
      <c r="BO498" s="4"/>
      <c r="BP498" s="127">
        <f>(AK498)/($AW$6)</f>
        <v>4.0404040404040407E-2</v>
      </c>
      <c r="BQ498" s="127">
        <f ca="1">(CH498-$AW$4)/((YEAR($C$13))-$AW$4)</f>
        <v>1</v>
      </c>
      <c r="BR498" s="127">
        <f>(AL498)/($AW$6)</f>
        <v>0</v>
      </c>
      <c r="BS498" s="4"/>
      <c r="BT498" s="127"/>
      <c r="BU498" s="127">
        <f ca="1">(CG498-$AW$4)/((YEAR($C$13))-$AW$4)</f>
        <v>0</v>
      </c>
      <c r="BV498" s="127">
        <f>AE498/5</f>
        <v>0.6</v>
      </c>
      <c r="BW498" s="127">
        <f>AF498/5</f>
        <v>1</v>
      </c>
      <c r="BX498" s="4"/>
      <c r="BY498" s="148" t="str">
        <f>IF(E498="A",".98",IF(E498="B",".99",IF(E498="C","1.00",IF(E498="D","1.00" ))))</f>
        <v>1.00</v>
      </c>
      <c r="BZ498" s="127">
        <f>(CE498+7)/10</f>
        <v>1</v>
      </c>
      <c r="CA498" s="76" t="str">
        <f>IF(D498="Fern",".97",IF(D498="Grass",".99",IF(D498="Herb",".97",IF(D498="Shrub",".99",IF(D498="Tree","1.00",IF(D498="Vine",".98"))))))</f>
        <v>.97</v>
      </c>
      <c r="CB498" s="149" t="str">
        <f>IF(R498="Bogs Ponds Streams",".96", IF(R498="Coastal Areas",".97",IF(R498="Meadows Dry Open",".96",IF(R498="Forest &amp; Understory",".97",IF(R498="Moist Open",".98",IF(R498="Moist Shady",".96",IF(R498="Sub-Alpine","1.0")))))))</f>
        <v>.96</v>
      </c>
      <c r="CC498" s="76" t="str">
        <f>IF(S498="Local Endemic",".50",IF(S498="Regional Endemic",".70",IF(S498="Cascadia",".90",IF(S498="Rocky Mountain",".95",IF(S498="North America",".99")))))</f>
        <v>.99</v>
      </c>
      <c r="CD498" s="4"/>
      <c r="CE498" s="21">
        <f>IF(W498&gt;3,3,W498)</f>
        <v>3</v>
      </c>
      <c r="CF498" s="21">
        <f>IF(AC498&gt;102,102,AC498)</f>
        <v>5</v>
      </c>
      <c r="CG498" s="34">
        <f>IF(AI498&lt;$AW$4,$AW$4,AI498)</f>
        <v>2004</v>
      </c>
      <c r="CH498" s="34">
        <f ca="1">IF(AJ498&lt;$AW$4,$AW$4,AJ498)</f>
        <v>2019</v>
      </c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13"/>
    </row>
    <row r="499" spans="1:116" ht="15" customHeight="1" x14ac:dyDescent="0.3">
      <c r="A499" s="235"/>
      <c r="B499" s="218"/>
      <c r="C499" s="225">
        <v>8</v>
      </c>
      <c r="D499" s="59" t="s">
        <v>1154</v>
      </c>
      <c r="E499" s="59" t="s">
        <v>2501</v>
      </c>
      <c r="F499" s="397" t="str">
        <f ca="1">IF(BC499&lt;2025, "Extinct&lt; 6Yrs?",BA499)</f>
        <v>Widespread</v>
      </c>
      <c r="G499" s="363" t="s">
        <v>525</v>
      </c>
      <c r="H499" s="363" t="s">
        <v>688</v>
      </c>
      <c r="I499" s="366" t="s">
        <v>482</v>
      </c>
      <c r="J499" s="365" t="s">
        <v>3409</v>
      </c>
      <c r="K499" s="365" t="s">
        <v>1036</v>
      </c>
      <c r="L499" s="10" t="s">
        <v>1558</v>
      </c>
      <c r="M499" s="8" t="s">
        <v>4574</v>
      </c>
      <c r="N499" s="8" t="s">
        <v>5471</v>
      </c>
      <c r="O499" s="8" t="s">
        <v>6369</v>
      </c>
      <c r="P499" s="9" t="s">
        <v>481</v>
      </c>
      <c r="Q499" s="59" t="s">
        <v>2552</v>
      </c>
      <c r="R499" s="9" t="s">
        <v>2498</v>
      </c>
      <c r="S499" s="9" t="s">
        <v>2495</v>
      </c>
      <c r="T499" s="123" t="str">
        <f>IF(R499="Bogs Ponds Streams","20",IF(R499="Coastal Areas","26",IF(R499="Meadows Dry Open","10",IF(R499="Forest &amp; Understory","14",IF(R499="Moist Open","12",IF(R499="Moist Shady","10",IF(R499="Sub-Alpine Slopes","0")))))))</f>
        <v>10</v>
      </c>
      <c r="U499" s="123" t="str">
        <f>IF(R499="Bogs Ponds Streams","52",IF(R499="Coastal Areas","51",IF(R499="Meadows Dry Open","53",IF(R499="Forest &amp; Understory","52",IF(R499="Moist Open","50",IF(R499="Moist Shady","46",IF(R499="Sub-Alpine Slopes","40")))))))</f>
        <v>46</v>
      </c>
      <c r="V499" s="123" t="str">
        <f>IF(R499="Bogs Ponds Streams","84",IF(R499="Coastal Areas","76",IF(R499="Meadows Dry Open","96", IF(R499="Forest &amp; Understory","90", IF(R499="Moist Open","88", IF(R499="Moist Shady","82", IF(R499="Sub-Alpine Slopes","80")))))))</f>
        <v>82</v>
      </c>
      <c r="W499" s="59">
        <v>20</v>
      </c>
      <c r="X499" s="59">
        <v>0</v>
      </c>
      <c r="Y499" s="59">
        <v>3500</v>
      </c>
      <c r="Z499" s="59" t="s">
        <v>2519</v>
      </c>
      <c r="AA499" s="59" t="s">
        <v>2518</v>
      </c>
      <c r="AB499" s="59">
        <v>6.8</v>
      </c>
      <c r="AC499" s="45">
        <f>C499+AK499+(0.1)*AL499</f>
        <v>52.3</v>
      </c>
      <c r="AD499" s="77">
        <v>200</v>
      </c>
      <c r="AE499" s="59">
        <v>5</v>
      </c>
      <c r="AF499" s="59">
        <v>5</v>
      </c>
      <c r="AG499" s="59">
        <v>1900</v>
      </c>
      <c r="AH499" s="77">
        <v>0</v>
      </c>
      <c r="AI499" s="59">
        <f ca="1">AJ499</f>
        <v>2019</v>
      </c>
      <c r="AJ499" s="18">
        <f ca="1">YEAR(TODAY())</f>
        <v>2019</v>
      </c>
      <c r="AK499" s="18">
        <v>44</v>
      </c>
      <c r="AL499" s="18">
        <v>3</v>
      </c>
      <c r="AM499" s="18">
        <v>1</v>
      </c>
      <c r="AN499" s="18">
        <v>1</v>
      </c>
      <c r="AO499" s="18">
        <v>5</v>
      </c>
      <c r="AP499" s="18">
        <v>1</v>
      </c>
      <c r="AQ499" s="18">
        <v>0</v>
      </c>
      <c r="AR499" s="18">
        <v>0</v>
      </c>
      <c r="AS499" s="18">
        <v>0</v>
      </c>
      <c r="AT499" s="18">
        <v>0</v>
      </c>
      <c r="AU499" s="18">
        <v>0</v>
      </c>
      <c r="AV499" s="18">
        <v>0</v>
      </c>
      <c r="AW499" s="18">
        <v>0</v>
      </c>
      <c r="AX499" s="18">
        <v>0</v>
      </c>
      <c r="AY499" s="233"/>
      <c r="AZ499" s="4"/>
      <c r="BA499" s="35" t="str">
        <f>IF(OR(S499="North America",S499="Rocky Mountain"), "Widespread",BC499)</f>
        <v>Widespread</v>
      </c>
      <c r="BB499" s="4"/>
      <c r="BC499" s="35" t="str">
        <f ca="1">IF(BE499&gt;2046, "Abundant",BE499)</f>
        <v>Abundant</v>
      </c>
      <c r="BD499" s="4"/>
      <c r="BE499" s="81">
        <f ca="1">YEAR($C$13)+(BG499*80)</f>
        <v>2112.460674509804</v>
      </c>
      <c r="BF499" s="4"/>
      <c r="BG499" s="137">
        <f ca="1">BH499*$BH$14</f>
        <v>1.168258431372549</v>
      </c>
      <c r="BH499" s="137">
        <f ca="1">(((BJ499+BK499+BM499+BN499)/4)*$BM$11)+(((BP499+BQ499)/2)*$BQ$11)+(((BU499+BV499+BW499)/3)*$BU$11)+(((BY499+BZ499+CA499+CB499+CC499)/5)*$CA$11)</f>
        <v>1.168258431372549</v>
      </c>
      <c r="BI499" s="4"/>
      <c r="BJ499" s="33">
        <f>AP499/(AM499+AO499)</f>
        <v>0.16666666666666666</v>
      </c>
      <c r="BK499" s="33">
        <f>(AN499+AO499)/(AM499+AO499)</f>
        <v>1</v>
      </c>
      <c r="BL499" s="4"/>
      <c r="BM499" s="127">
        <f>CF499/102</f>
        <v>0.51274509803921564</v>
      </c>
      <c r="BN499" s="127">
        <f>C499/2</f>
        <v>4</v>
      </c>
      <c r="BO499" s="4"/>
      <c r="BP499" s="127">
        <f>(AK499)/($AW$6)</f>
        <v>0.44444444444444442</v>
      </c>
      <c r="BQ499" s="127">
        <f ca="1">(CH499-$AW$4)/((YEAR($C$13))-$AW$4)</f>
        <v>1</v>
      </c>
      <c r="BR499" s="127">
        <f>(AL499)/($AW$6)</f>
        <v>3.0303030303030304E-2</v>
      </c>
      <c r="BS499" s="4"/>
      <c r="BT499" s="127"/>
      <c r="BU499" s="127">
        <f ca="1">(CG499-$AW$4)/((YEAR($C$13))-$AW$4)</f>
        <v>1</v>
      </c>
      <c r="BV499" s="127">
        <f>AE499/5</f>
        <v>1</v>
      </c>
      <c r="BW499" s="127">
        <f>AF499/5</f>
        <v>1</v>
      </c>
      <c r="BX499" s="4"/>
      <c r="BY499" s="148" t="str">
        <f>IF(E499="A",".98",IF(E499="B",".99",IF(E499="C","1.00",IF(E499="D","1.00" ))))</f>
        <v>1.00</v>
      </c>
      <c r="BZ499" s="127">
        <f>(CE499+7)/10</f>
        <v>1</v>
      </c>
      <c r="CA499" s="76" t="str">
        <f>IF(D499="Fern",".97",IF(D499="Grass",".99",IF(D499="Herb",".97",IF(D499="Shrub",".99",IF(D499="Tree","1.00",IF(D499="Vine",".98"))))))</f>
        <v>.97</v>
      </c>
      <c r="CB499" s="149" t="str">
        <f>IF(R499="Bogs Ponds Streams",".96", IF(R499="Coastal Areas",".97",IF(R499="Meadows Dry Open",".96",IF(R499="Forest &amp; Understory",".97",IF(R499="Moist Open",".98",IF(R499="Moist Shady",".96",IF(R499="Sub-Alpine","1.0")))))))</f>
        <v>.96</v>
      </c>
      <c r="CC499" s="76" t="str">
        <f>IF(S499="Local Endemic",".50",IF(S499="Regional Endemic",".70",IF(S499="Cascadia",".90",IF(S499="Rocky Mountain",".95",IF(S499="North America",".99")))))</f>
        <v>.99</v>
      </c>
      <c r="CD499" s="4"/>
      <c r="CE499" s="21">
        <f>IF(W499&gt;3,3,W499)</f>
        <v>3</v>
      </c>
      <c r="CF499" s="21">
        <f>IF(AC499&gt;102,102,AC499)</f>
        <v>52.3</v>
      </c>
      <c r="CG499" s="34">
        <f ca="1">IF(AI499&lt;$AW$4,$AW$4,AI499)</f>
        <v>2019</v>
      </c>
      <c r="CH499" s="34">
        <f ca="1">IF(AJ499&lt;$AW$4,$AW$4,AJ499)</f>
        <v>2019</v>
      </c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13"/>
    </row>
    <row r="500" spans="1:116" ht="15" customHeight="1" x14ac:dyDescent="0.3">
      <c r="A500" s="235"/>
      <c r="B500" s="218"/>
      <c r="C500" s="375">
        <v>1</v>
      </c>
      <c r="D500" s="67" t="s">
        <v>2505</v>
      </c>
      <c r="E500" s="67" t="s">
        <v>2501</v>
      </c>
      <c r="F500" s="403" t="str">
        <f ca="1">IF(BC500&lt;2025, "Extinct&lt; 6Yrs?",BA500)</f>
        <v>Widespread</v>
      </c>
      <c r="G500" s="376" t="s">
        <v>525</v>
      </c>
      <c r="H500" s="376" t="s">
        <v>4028</v>
      </c>
      <c r="I500" s="380" t="s">
        <v>638</v>
      </c>
      <c r="J500" s="378" t="s">
        <v>4089</v>
      </c>
      <c r="K500" s="378" t="s">
        <v>1037</v>
      </c>
      <c r="L500" s="63" t="s">
        <v>1559</v>
      </c>
      <c r="M500" s="64" t="s">
        <v>4575</v>
      </c>
      <c r="N500" s="64" t="s">
        <v>5472</v>
      </c>
      <c r="O500" s="64" t="s">
        <v>6370</v>
      </c>
      <c r="P500" s="61" t="s">
        <v>637</v>
      </c>
      <c r="Q500" s="67" t="s">
        <v>2552</v>
      </c>
      <c r="R500" s="61" t="s">
        <v>2498</v>
      </c>
      <c r="S500" s="61" t="s">
        <v>2495</v>
      </c>
      <c r="T500" s="134" t="str">
        <f>IF(R500="Bogs Ponds Streams","20",IF(R500="Coastal Areas","26",IF(R500="Meadows Dry Open","10",IF(R500="Forest &amp; Understory","14",IF(R500="Moist Open","12",IF(R500="Moist Shady","10",IF(R500="Sub-Alpine Slopes","0")))))))</f>
        <v>10</v>
      </c>
      <c r="U500" s="134" t="str">
        <f>IF(R500="Bogs Ponds Streams","52",IF(R500="Coastal Areas","51",IF(R500="Meadows Dry Open","53",IF(R500="Forest &amp; Understory","52",IF(R500="Moist Open","50",IF(R500="Moist Shady","46",IF(R500="Sub-Alpine Slopes","40")))))))</f>
        <v>46</v>
      </c>
      <c r="V500" s="134" t="str">
        <f>IF(R500="Bogs Ponds Streams","84",IF(R500="Coastal Areas","76",IF(R500="Meadows Dry Open","96", IF(R500="Forest &amp; Understory","90", IF(R500="Moist Open","88", IF(R500="Moist Shady","82", IF(R500="Sub-Alpine Slopes","80")))))))</f>
        <v>82</v>
      </c>
      <c r="W500" s="67">
        <v>20</v>
      </c>
      <c r="X500" s="67">
        <v>0</v>
      </c>
      <c r="Y500" s="67">
        <v>3500</v>
      </c>
      <c r="Z500" s="67" t="s">
        <v>2519</v>
      </c>
      <c r="AA500" s="67" t="s">
        <v>2518</v>
      </c>
      <c r="AB500" s="67">
        <v>6.8</v>
      </c>
      <c r="AC500" s="85">
        <f>C500+AK500+(0.1)*AL500</f>
        <v>6.7</v>
      </c>
      <c r="AD500" s="78">
        <v>40</v>
      </c>
      <c r="AE500" s="67">
        <v>5</v>
      </c>
      <c r="AF500" s="67">
        <v>5</v>
      </c>
      <c r="AG500" s="67">
        <v>1900</v>
      </c>
      <c r="AH500" s="78">
        <v>0</v>
      </c>
      <c r="AI500" s="67">
        <f>AJ500</f>
        <v>2004</v>
      </c>
      <c r="AJ500" s="69">
        <v>2004</v>
      </c>
      <c r="AK500" s="69">
        <v>5</v>
      </c>
      <c r="AL500" s="69">
        <v>7</v>
      </c>
      <c r="AM500" s="70">
        <v>5</v>
      </c>
      <c r="AN500" s="70">
        <v>0</v>
      </c>
      <c r="AO500" s="86">
        <v>0</v>
      </c>
      <c r="AP500" s="70">
        <v>0</v>
      </c>
      <c r="AQ500" s="70">
        <v>0</v>
      </c>
      <c r="AR500" s="70">
        <v>0</v>
      </c>
      <c r="AS500" s="86">
        <v>0</v>
      </c>
      <c r="AT500" s="70">
        <v>0</v>
      </c>
      <c r="AU500" s="70">
        <v>0</v>
      </c>
      <c r="AV500" s="70">
        <v>0</v>
      </c>
      <c r="AW500" s="86">
        <v>0</v>
      </c>
      <c r="AX500" s="70">
        <v>0</v>
      </c>
      <c r="AY500" s="233"/>
      <c r="AZ500" s="4"/>
      <c r="BA500" s="35" t="str">
        <f>IF(OR(S500="North America",S500="Rocky Mountain"), "Widespread",BC500)</f>
        <v>Widespread</v>
      </c>
      <c r="BB500" s="4"/>
      <c r="BC500" s="35">
        <f ca="1">IF(BE500&gt;2046, "Abundant",BE500)</f>
        <v>2032.235362566845</v>
      </c>
      <c r="BD500" s="4"/>
      <c r="BE500" s="81">
        <f ca="1">YEAR($C$13)+(BG500*80)</f>
        <v>2032.235362566845</v>
      </c>
      <c r="BF500" s="4"/>
      <c r="BG500" s="137">
        <f ca="1">BH500*$BH$14</f>
        <v>0.16544203208556149</v>
      </c>
      <c r="BH500" s="137">
        <f ca="1">(((BJ500+BK500+BM500+BN500)/4)*$BM$11)+(((BP500+BQ500)/2)*$BQ$11)+(((BU500+BV500+BW500)/3)*$BU$11)+(((BY500+BZ500+CA500+CB500+CC500)/5)*$CA$11)</f>
        <v>0.16544203208556149</v>
      </c>
      <c r="BI500" s="4"/>
      <c r="BJ500" s="33">
        <f>AP500/(AM500+AO500)</f>
        <v>0</v>
      </c>
      <c r="BK500" s="33">
        <f>(AN500+AO500)/(AM500+AO500)</f>
        <v>0</v>
      </c>
      <c r="BL500" s="4"/>
      <c r="BM500" s="127">
        <f>CF500/102</f>
        <v>6.5686274509803924E-2</v>
      </c>
      <c r="BN500" s="127">
        <f>C500/2</f>
        <v>0.5</v>
      </c>
      <c r="BO500" s="4"/>
      <c r="BP500" s="127">
        <f>(AK500)/($AW$6)</f>
        <v>5.0505050505050504E-2</v>
      </c>
      <c r="BQ500" s="127">
        <f ca="1">(CH500-$AW$4)/((YEAR($C$13))-$AW$4)</f>
        <v>0</v>
      </c>
      <c r="BR500" s="127">
        <f>(AL500)/($AW$6)</f>
        <v>7.0707070707070704E-2</v>
      </c>
      <c r="BS500" s="4"/>
      <c r="BT500" s="127"/>
      <c r="BU500" s="127">
        <f ca="1">(CG500-$AW$4)/((YEAR($C$13))-$AW$4)</f>
        <v>0</v>
      </c>
      <c r="BV500" s="127">
        <f>AE500/5</f>
        <v>1</v>
      </c>
      <c r="BW500" s="127">
        <f>AF500/5</f>
        <v>1</v>
      </c>
      <c r="BX500" s="4"/>
      <c r="BY500" s="148" t="str">
        <f>IF(E500="A",".98",IF(E500="B",".99",IF(E500="C","1.00",IF(E500="D","1.00" ))))</f>
        <v>1.00</v>
      </c>
      <c r="BZ500" s="127">
        <f>(CE500+7)/10</f>
        <v>1</v>
      </c>
      <c r="CA500" s="76" t="str">
        <f>IF(D500="Fern",".97",IF(D500="Grass",".99",IF(D500="Herb",".97",IF(D500="Shrub",".99",IF(D500="Tree","1.00",IF(D500="Vine",".98"))))))</f>
        <v>.97</v>
      </c>
      <c r="CB500" s="149" t="str">
        <f>IF(R500="Bogs Ponds Streams",".96", IF(R500="Coastal Areas",".97",IF(R500="Meadows Dry Open",".96",IF(R500="Forest &amp; Understory",".97",IF(R500="Moist Open",".98",IF(R500="Moist Shady",".96",IF(R500="Sub-Alpine","1.0")))))))</f>
        <v>.96</v>
      </c>
      <c r="CC500" s="76" t="str">
        <f>IF(S500="Local Endemic",".50",IF(S500="Regional Endemic",".70",IF(S500="Cascadia",".90",IF(S500="Rocky Mountain",".95",IF(S500="North America",".99")))))</f>
        <v>.99</v>
      </c>
      <c r="CD500" s="4"/>
      <c r="CE500" s="21">
        <f>IF(W500&gt;3,3,W500)</f>
        <v>3</v>
      </c>
      <c r="CF500" s="21">
        <f>IF(AC500&gt;102,102,AC500)</f>
        <v>6.7</v>
      </c>
      <c r="CG500" s="34">
        <f>IF(AI500&lt;$AW$4,$AW$4,AI500)</f>
        <v>2004</v>
      </c>
      <c r="CH500" s="34">
        <f>IF(AJ500&lt;$AW$4,$AW$4,AJ500)</f>
        <v>2004</v>
      </c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</row>
    <row r="501" spans="1:116" ht="15" customHeight="1" x14ac:dyDescent="0.3">
      <c r="A501" s="235"/>
      <c r="B501" s="218"/>
      <c r="C501" s="375">
        <v>1</v>
      </c>
      <c r="D501" s="67" t="s">
        <v>2505</v>
      </c>
      <c r="E501" s="67" t="s">
        <v>2501</v>
      </c>
      <c r="F501" s="403" t="str">
        <f ca="1">IF(BC501&lt;2025, "Extinct&lt; 6Yrs?",BA501)</f>
        <v>Widespread</v>
      </c>
      <c r="G501" s="376" t="s">
        <v>525</v>
      </c>
      <c r="H501" s="376" t="s">
        <v>4028</v>
      </c>
      <c r="I501" s="380" t="s">
        <v>639</v>
      </c>
      <c r="J501" s="378" t="s">
        <v>1038</v>
      </c>
      <c r="K501" s="378" t="s">
        <v>1046</v>
      </c>
      <c r="L501" s="63" t="s">
        <v>1560</v>
      </c>
      <c r="M501" s="64" t="s">
        <v>4576</v>
      </c>
      <c r="N501" s="64" t="s">
        <v>5473</v>
      </c>
      <c r="O501" s="64" t="s">
        <v>6371</v>
      </c>
      <c r="P501" s="61" t="s">
        <v>637</v>
      </c>
      <c r="Q501" s="67" t="s">
        <v>2552</v>
      </c>
      <c r="R501" s="61" t="s">
        <v>2497</v>
      </c>
      <c r="S501" s="61" t="s">
        <v>2495</v>
      </c>
      <c r="T501" s="134" t="str">
        <f>IF(R501="Bogs Ponds Streams","20",IF(R501="Coastal Areas","26",IF(R501="Meadows Dry Open","10",IF(R501="Forest &amp; Understory","14",IF(R501="Moist Open","12",IF(R501="Moist Shady","10",IF(R501="Sub-Alpine Slopes","0")))))))</f>
        <v>12</v>
      </c>
      <c r="U501" s="134" t="str">
        <f>IF(R501="Bogs Ponds Streams","52",IF(R501="Coastal Areas","51",IF(R501="Meadows Dry Open","53",IF(R501="Forest &amp; Understory","52",IF(R501="Moist Open","50",IF(R501="Moist Shady","46",IF(R501="Sub-Alpine Slopes","40")))))))</f>
        <v>50</v>
      </c>
      <c r="V501" s="134" t="str">
        <f>IF(R501="Bogs Ponds Streams","84",IF(R501="Coastal Areas","76",IF(R501="Meadows Dry Open","96", IF(R501="Forest &amp; Understory","90", IF(R501="Moist Open","88", IF(R501="Moist Shady","82", IF(R501="Sub-Alpine Slopes","80")))))))</f>
        <v>88</v>
      </c>
      <c r="W501" s="67">
        <v>20</v>
      </c>
      <c r="X501" s="67">
        <v>0</v>
      </c>
      <c r="Y501" s="67">
        <v>3500</v>
      </c>
      <c r="Z501" s="67" t="s">
        <v>2519</v>
      </c>
      <c r="AA501" s="67" t="s">
        <v>2518</v>
      </c>
      <c r="AB501" s="67">
        <v>6.8</v>
      </c>
      <c r="AC501" s="85">
        <f>C501+AK501+(0.1)*AL501</f>
        <v>45.8</v>
      </c>
      <c r="AD501" s="78">
        <v>78</v>
      </c>
      <c r="AE501" s="67">
        <v>5</v>
      </c>
      <c r="AF501" s="67">
        <v>5</v>
      </c>
      <c r="AG501" s="67">
        <v>1900</v>
      </c>
      <c r="AH501" s="78">
        <v>0</v>
      </c>
      <c r="AI501" s="67">
        <f>AJ501</f>
        <v>2004</v>
      </c>
      <c r="AJ501" s="69">
        <v>2004</v>
      </c>
      <c r="AK501" s="69">
        <v>44</v>
      </c>
      <c r="AL501" s="69">
        <v>8</v>
      </c>
      <c r="AM501" s="70">
        <v>5</v>
      </c>
      <c r="AN501" s="70">
        <v>0</v>
      </c>
      <c r="AO501" s="86">
        <v>0</v>
      </c>
      <c r="AP501" s="70">
        <v>0</v>
      </c>
      <c r="AQ501" s="70">
        <v>0</v>
      </c>
      <c r="AR501" s="70">
        <v>0</v>
      </c>
      <c r="AS501" s="86">
        <v>0</v>
      </c>
      <c r="AT501" s="70">
        <v>0</v>
      </c>
      <c r="AU501" s="70">
        <v>0</v>
      </c>
      <c r="AV501" s="70">
        <v>0</v>
      </c>
      <c r="AW501" s="86">
        <v>0</v>
      </c>
      <c r="AX501" s="70">
        <v>0</v>
      </c>
      <c r="AY501" s="233"/>
      <c r="AZ501" s="4"/>
      <c r="BA501" s="35" t="str">
        <f>IF(OR(S501="North America",S501="Rocky Mountain"), "Widespread",BC501)</f>
        <v>Widespread</v>
      </c>
      <c r="BB501" s="4"/>
      <c r="BC501" s="35">
        <f ca="1">IF(BE501&gt;2046, "Abundant",BE501)</f>
        <v>2041.5690352941176</v>
      </c>
      <c r="BD501" s="4"/>
      <c r="BE501" s="81">
        <f ca="1">YEAR($C$13)+(BG501*80)</f>
        <v>2041.5690352941176</v>
      </c>
      <c r="BF501" s="4"/>
      <c r="BG501" s="137">
        <f ca="1">BH501*$BH$14</f>
        <v>0.28211294117647057</v>
      </c>
      <c r="BH501" s="137">
        <f ca="1">(((BJ501+BK501+BM501+BN501)/4)*$BM$11)+(((BP501+BQ501)/2)*$BQ$11)+(((BU501+BV501+BW501)/3)*$BU$11)+(((BY501+BZ501+CA501+CB501+CC501)/5)*$CA$11)</f>
        <v>0.28211294117647057</v>
      </c>
      <c r="BI501" s="4"/>
      <c r="BJ501" s="33">
        <f>AP501/(AM501+AO501)</f>
        <v>0</v>
      </c>
      <c r="BK501" s="33">
        <f>(AN501+AO501)/(AM501+AO501)</f>
        <v>0</v>
      </c>
      <c r="BL501" s="4"/>
      <c r="BM501" s="127">
        <f>CF501/102</f>
        <v>0.44901960784313721</v>
      </c>
      <c r="BN501" s="127">
        <f>C501/2</f>
        <v>0.5</v>
      </c>
      <c r="BO501" s="4"/>
      <c r="BP501" s="127">
        <f>(AK501)/($AW$6)</f>
        <v>0.44444444444444442</v>
      </c>
      <c r="BQ501" s="127">
        <f ca="1">(CH501-$AW$4)/((YEAR($C$13))-$AW$4)</f>
        <v>0</v>
      </c>
      <c r="BR501" s="127">
        <f>(AL501)/($AW$6)</f>
        <v>8.0808080808080815E-2</v>
      </c>
      <c r="BS501" s="4"/>
      <c r="BT501" s="127"/>
      <c r="BU501" s="127">
        <f ca="1">(CG501-$AW$4)/((YEAR($C$13))-$AW$4)</f>
        <v>0</v>
      </c>
      <c r="BV501" s="127">
        <f>AE501/5</f>
        <v>1</v>
      </c>
      <c r="BW501" s="127">
        <f>AF501/5</f>
        <v>1</v>
      </c>
      <c r="BX501" s="4"/>
      <c r="BY501" s="148" t="str">
        <f>IF(E501="A",".98",IF(E501="B",".99",IF(E501="C","1.00",IF(E501="D","1.00" ))))</f>
        <v>1.00</v>
      </c>
      <c r="BZ501" s="127">
        <f>(CE501+7)/10</f>
        <v>1</v>
      </c>
      <c r="CA501" s="76" t="str">
        <f>IF(D501="Fern",".97",IF(D501="Grass",".99",IF(D501="Herb",".97",IF(D501="Shrub",".99",IF(D501="Tree","1.00",IF(D501="Vine",".98"))))))</f>
        <v>.97</v>
      </c>
      <c r="CB501" s="149" t="str">
        <f>IF(R501="Bogs Ponds Streams",".96", IF(R501="Coastal Areas",".97",IF(R501="Meadows Dry Open",".96",IF(R501="Forest &amp; Understory",".97",IF(R501="Moist Open",".98",IF(R501="Moist Shady",".96",IF(R501="Sub-Alpine","1.0")))))))</f>
        <v>.98</v>
      </c>
      <c r="CC501" s="76" t="str">
        <f>IF(S501="Local Endemic",".50",IF(S501="Regional Endemic",".70",IF(S501="Cascadia",".90",IF(S501="Rocky Mountain",".95",IF(S501="North America",".99")))))</f>
        <v>.99</v>
      </c>
      <c r="CD501" s="4"/>
      <c r="CE501" s="21">
        <f>IF(W501&gt;3,3,W501)</f>
        <v>3</v>
      </c>
      <c r="CF501" s="21">
        <f>IF(AC501&gt;102,102,AC501)</f>
        <v>45.8</v>
      </c>
      <c r="CG501" s="34">
        <f>IF(AI501&lt;$AW$4,$AW$4,AI501)</f>
        <v>2004</v>
      </c>
      <c r="CH501" s="34">
        <f>IF(AJ501&lt;$AW$4,$AW$4,AJ501)</f>
        <v>2004</v>
      </c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</row>
    <row r="502" spans="1:116" s="13" customFormat="1" ht="15" customHeight="1" x14ac:dyDescent="0.3">
      <c r="A502" s="235"/>
      <c r="B502" s="218"/>
      <c r="C502" s="225">
        <v>8</v>
      </c>
      <c r="D502" s="59" t="s">
        <v>2505</v>
      </c>
      <c r="E502" s="59" t="s">
        <v>2501</v>
      </c>
      <c r="F502" s="397" t="str">
        <f ca="1">IF(BC502&lt;2025, "Extinct&lt; 6Yrs?",BA502)</f>
        <v>Widespread</v>
      </c>
      <c r="G502" s="363" t="s">
        <v>525</v>
      </c>
      <c r="H502" s="363" t="s">
        <v>682</v>
      </c>
      <c r="I502" s="366" t="s">
        <v>400</v>
      </c>
      <c r="J502" s="365" t="s">
        <v>3411</v>
      </c>
      <c r="K502" s="365" t="s">
        <v>1039</v>
      </c>
      <c r="L502" s="10" t="s">
        <v>1561</v>
      </c>
      <c r="M502" s="8" t="s">
        <v>4577</v>
      </c>
      <c r="N502" s="8" t="s">
        <v>5474</v>
      </c>
      <c r="O502" s="8" t="s">
        <v>6372</v>
      </c>
      <c r="P502" s="9" t="s">
        <v>401</v>
      </c>
      <c r="Q502" s="59" t="s">
        <v>2552</v>
      </c>
      <c r="R502" s="9" t="s">
        <v>2499</v>
      </c>
      <c r="S502" s="9" t="s">
        <v>2495</v>
      </c>
      <c r="T502" s="123" t="str">
        <f>IF(R502="Bogs Ponds Streams","20",IF(R502="Coastal Areas","26",IF(R502="Meadows Dry Open","10",IF(R502="Forest &amp; Understory","14",IF(R502="Moist Open","12",IF(R502="Moist Shady","10",IF(R502="Sub-Alpine Slopes","0")))))))</f>
        <v>20</v>
      </c>
      <c r="U502" s="123" t="str">
        <f>IF(R502="Bogs Ponds Streams","52",IF(R502="Coastal Areas","51",IF(R502="Meadows Dry Open","53",IF(R502="Forest &amp; Understory","52",IF(R502="Moist Open","50",IF(R502="Moist Shady","46",IF(R502="Sub-Alpine Slopes","40")))))))</f>
        <v>52</v>
      </c>
      <c r="V502" s="123" t="str">
        <f>IF(R502="Bogs Ponds Streams","84",IF(R502="Coastal Areas","76",IF(R502="Meadows Dry Open","96", IF(R502="Forest &amp; Understory","90", IF(R502="Moist Open","88", IF(R502="Moist Shady","82", IF(R502="Sub-Alpine Slopes","80")))))))</f>
        <v>84</v>
      </c>
      <c r="W502" s="59">
        <v>20</v>
      </c>
      <c r="X502" s="59">
        <v>0</v>
      </c>
      <c r="Y502" s="59">
        <v>3500</v>
      </c>
      <c r="Z502" s="59" t="s">
        <v>2519</v>
      </c>
      <c r="AA502" s="59" t="s">
        <v>2518</v>
      </c>
      <c r="AB502" s="59">
        <v>6.8</v>
      </c>
      <c r="AC502" s="45">
        <f>C502+AK502+(0.1)*AL502</f>
        <v>96.5</v>
      </c>
      <c r="AD502" s="77">
        <v>64</v>
      </c>
      <c r="AE502" s="59">
        <v>5</v>
      </c>
      <c r="AF502" s="59">
        <v>5</v>
      </c>
      <c r="AG502" s="59">
        <v>1900</v>
      </c>
      <c r="AH502" s="77">
        <v>0</v>
      </c>
      <c r="AI502" s="59">
        <f ca="1">AJ502</f>
        <v>2019</v>
      </c>
      <c r="AJ502" s="18">
        <f ca="1">YEAR(TODAY())</f>
        <v>2019</v>
      </c>
      <c r="AK502" s="18">
        <v>88</v>
      </c>
      <c r="AL502" s="18">
        <v>5</v>
      </c>
      <c r="AM502" s="18">
        <v>1</v>
      </c>
      <c r="AN502" s="18">
        <v>1</v>
      </c>
      <c r="AO502" s="25">
        <v>0</v>
      </c>
      <c r="AP502" s="24">
        <v>0</v>
      </c>
      <c r="AQ502" s="18">
        <v>0</v>
      </c>
      <c r="AR502" s="18">
        <v>0</v>
      </c>
      <c r="AS502" s="18">
        <v>0</v>
      </c>
      <c r="AT502" s="18">
        <v>0</v>
      </c>
      <c r="AU502" s="18">
        <v>0</v>
      </c>
      <c r="AV502" s="18">
        <v>0</v>
      </c>
      <c r="AW502" s="18">
        <v>0</v>
      </c>
      <c r="AX502" s="18">
        <v>0</v>
      </c>
      <c r="AY502" s="233"/>
      <c r="AZ502" s="4"/>
      <c r="BA502" s="35" t="str">
        <f>IF(OR(S502="North America",S502="Rocky Mountain"), "Widespread",BC502)</f>
        <v>Widespread</v>
      </c>
      <c r="BB502" s="4"/>
      <c r="BC502" s="35" t="str">
        <f ca="1">IF(BE502&gt;2046, "Abundant",BE502)</f>
        <v>Abundant</v>
      </c>
      <c r="BD502" s="4"/>
      <c r="BE502" s="81">
        <f ca="1">YEAR($C$13)+(BG502*80)</f>
        <v>2120.9940078431373</v>
      </c>
      <c r="BF502" s="4"/>
      <c r="BG502" s="137">
        <f ca="1">BH502*$BH$14</f>
        <v>1.2749250980392157</v>
      </c>
      <c r="BH502" s="137">
        <f ca="1">(((BJ502+BK502+BM502+BN502)/4)*$BM$11)+(((BP502+BQ502)/2)*$BQ$11)+(((BU502+BV502+BW502)/3)*$BU$11)+(((BY502+BZ502+CA502+CB502+CC502)/5)*$CA$11)</f>
        <v>1.2749250980392157</v>
      </c>
      <c r="BI502" s="4"/>
      <c r="BJ502" s="33">
        <f>AP502/(AM502+AO502)</f>
        <v>0</v>
      </c>
      <c r="BK502" s="33">
        <f>(AN502+AO502)/(AM502+AO502)</f>
        <v>1</v>
      </c>
      <c r="BL502" s="4"/>
      <c r="BM502" s="127">
        <f>CF502/102</f>
        <v>0.94607843137254899</v>
      </c>
      <c r="BN502" s="127">
        <f>C502/2</f>
        <v>4</v>
      </c>
      <c r="BO502" s="4"/>
      <c r="BP502" s="127">
        <f>(AK502)/($AW$6)</f>
        <v>0.88888888888888884</v>
      </c>
      <c r="BQ502" s="127">
        <f ca="1">(CH502-$AW$4)/((YEAR($C$13))-$AW$4)</f>
        <v>1</v>
      </c>
      <c r="BR502" s="127">
        <f>(AL502)/($AW$6)</f>
        <v>5.0505050505050504E-2</v>
      </c>
      <c r="BS502" s="4"/>
      <c r="BT502" s="127"/>
      <c r="BU502" s="127">
        <f ca="1">(CG502-$AW$4)/((YEAR($C$13))-$AW$4)</f>
        <v>1</v>
      </c>
      <c r="BV502" s="127">
        <f>AE502/5</f>
        <v>1</v>
      </c>
      <c r="BW502" s="127">
        <f>AF502/5</f>
        <v>1</v>
      </c>
      <c r="BX502" s="4"/>
      <c r="BY502" s="148" t="str">
        <f>IF(E502="A",".98",IF(E502="B",".99",IF(E502="C","1.00",IF(E502="D","1.00" ))))</f>
        <v>1.00</v>
      </c>
      <c r="BZ502" s="127">
        <f>(CE502+7)/10</f>
        <v>1</v>
      </c>
      <c r="CA502" s="76" t="str">
        <f>IF(D502="Fern",".97",IF(D502="Grass",".99",IF(D502="Herb",".97",IF(D502="Shrub",".99",IF(D502="Tree","1.00",IF(D502="Vine",".98"))))))</f>
        <v>.97</v>
      </c>
      <c r="CB502" s="149" t="str">
        <f>IF(R502="Bogs Ponds Streams",".96", IF(R502="Coastal Areas",".97",IF(R502="Meadows Dry Open",".96",IF(R502="Forest &amp; Understory",".97",IF(R502="Moist Open",".98",IF(R502="Moist Shady",".96",IF(R502="Sub-Alpine","1.0")))))))</f>
        <v>.96</v>
      </c>
      <c r="CC502" s="76" t="str">
        <f>IF(S502="Local Endemic",".50",IF(S502="Regional Endemic",".70",IF(S502="Cascadia",".90",IF(S502="Rocky Mountain",".95",IF(S502="North America",".99")))))</f>
        <v>.99</v>
      </c>
      <c r="CD502" s="4"/>
      <c r="CE502" s="21">
        <f>IF(W502&gt;3,3,W502)</f>
        <v>3</v>
      </c>
      <c r="CF502" s="21">
        <f>IF(AC502&gt;102,102,AC502)</f>
        <v>96.5</v>
      </c>
      <c r="CG502" s="34">
        <f ca="1">IF(AI502&lt;$AW$4,$AW$4,AI502)</f>
        <v>2019</v>
      </c>
      <c r="CH502" s="34">
        <f ca="1">IF(AJ502&lt;$AW$4,$AW$4,AJ502)</f>
        <v>2019</v>
      </c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L502" s="12"/>
    </row>
    <row r="503" spans="1:116" ht="15" customHeight="1" x14ac:dyDescent="0.3">
      <c r="A503" s="235"/>
      <c r="B503" s="218"/>
      <c r="C503" s="375">
        <v>1</v>
      </c>
      <c r="D503" s="67" t="s">
        <v>2505</v>
      </c>
      <c r="E503" s="67" t="s">
        <v>2501</v>
      </c>
      <c r="F503" s="403">
        <f ca="1">IF(BC503&lt;2025, "Extinct&lt; 6Yrs?",BA503)</f>
        <v>2041.4397176470588</v>
      </c>
      <c r="G503" s="376" t="s">
        <v>525</v>
      </c>
      <c r="H503" s="376" t="s">
        <v>4028</v>
      </c>
      <c r="I503" s="379" t="s">
        <v>3166</v>
      </c>
      <c r="J503" s="378" t="s">
        <v>3578</v>
      </c>
      <c r="K503" s="378" t="s">
        <v>1305</v>
      </c>
      <c r="L503" s="64" t="s">
        <v>2141</v>
      </c>
      <c r="M503" s="64" t="s">
        <v>4578</v>
      </c>
      <c r="N503" s="64" t="s">
        <v>5475</v>
      </c>
      <c r="O503" s="64" t="s">
        <v>6373</v>
      </c>
      <c r="P503" s="404" t="s">
        <v>280</v>
      </c>
      <c r="Q503" s="67" t="s">
        <v>2552</v>
      </c>
      <c r="R503" s="61" t="s">
        <v>2499</v>
      </c>
      <c r="S503" s="61" t="s">
        <v>2459</v>
      </c>
      <c r="T503" s="134" t="str">
        <f>IF(R503="Bogs Ponds Streams","20",IF(R503="Coastal Areas","26",IF(R503="Meadows Dry Open","10",IF(R503="Forest &amp; Understory","14",IF(R503="Moist Open","12",IF(R503="Moist Shady","10",IF(R503="Sub-Alpine Slopes","0")))))))</f>
        <v>20</v>
      </c>
      <c r="U503" s="134" t="str">
        <f>IF(R503="Bogs Ponds Streams","52",IF(R503="Coastal Areas","51",IF(R503="Meadows Dry Open","53",IF(R503="Forest &amp; Understory","52",IF(R503="Moist Open","50",IF(R503="Moist Shady","46",IF(R503="Sub-Alpine Slopes","40")))))))</f>
        <v>52</v>
      </c>
      <c r="V503" s="134" t="str">
        <f>IF(R503="Bogs Ponds Streams","84",IF(R503="Coastal Areas","76",IF(R503="Meadows Dry Open","96", IF(R503="Forest &amp; Understory","90", IF(R503="Moist Open","88", IF(R503="Moist Shady","82", IF(R503="Sub-Alpine Slopes","80")))))))</f>
        <v>84</v>
      </c>
      <c r="W503" s="67">
        <v>20</v>
      </c>
      <c r="X503" s="67">
        <v>0</v>
      </c>
      <c r="Y503" s="67">
        <v>3500</v>
      </c>
      <c r="Z503" s="67" t="s">
        <v>2519</v>
      </c>
      <c r="AA503" s="67" t="s">
        <v>2518</v>
      </c>
      <c r="AB503" s="67">
        <v>6.8</v>
      </c>
      <c r="AC503" s="85">
        <f>C503+AK503+(0.1)*AL503</f>
        <v>45</v>
      </c>
      <c r="AD503" s="78">
        <v>79</v>
      </c>
      <c r="AE503" s="67">
        <v>5</v>
      </c>
      <c r="AF503" s="67">
        <v>5</v>
      </c>
      <c r="AG503" s="67">
        <v>1900</v>
      </c>
      <c r="AH503" s="78">
        <v>0</v>
      </c>
      <c r="AI503" s="67">
        <f>AJ503</f>
        <v>2004</v>
      </c>
      <c r="AJ503" s="69">
        <v>2004</v>
      </c>
      <c r="AK503" s="69">
        <v>44</v>
      </c>
      <c r="AL503" s="69">
        <v>0</v>
      </c>
      <c r="AM503" s="70">
        <v>5</v>
      </c>
      <c r="AN503" s="70">
        <v>0</v>
      </c>
      <c r="AO503" s="86">
        <v>0</v>
      </c>
      <c r="AP503" s="70">
        <v>0</v>
      </c>
      <c r="AQ503" s="70">
        <v>0</v>
      </c>
      <c r="AR503" s="70">
        <v>0</v>
      </c>
      <c r="AS503" s="86">
        <v>0</v>
      </c>
      <c r="AT503" s="70">
        <v>0</v>
      </c>
      <c r="AU503" s="70">
        <v>0</v>
      </c>
      <c r="AV503" s="70">
        <v>0</v>
      </c>
      <c r="AW503" s="86">
        <v>0</v>
      </c>
      <c r="AX503" s="70">
        <v>0</v>
      </c>
      <c r="AY503" s="233"/>
      <c r="AZ503" s="4"/>
      <c r="BA503" s="35">
        <f ca="1">IF(OR(S503="North America",S503="Rocky Mountain"), "Widespread",BC503)</f>
        <v>2041.4397176470588</v>
      </c>
      <c r="BB503" s="4"/>
      <c r="BC503" s="35">
        <f ca="1">IF(BE503&gt;2046, "Abundant",BE503)</f>
        <v>2041.4397176470588</v>
      </c>
      <c r="BD503" s="4"/>
      <c r="BE503" s="81">
        <f ca="1">YEAR($C$13)+(BG503*80)</f>
        <v>2041.4397176470588</v>
      </c>
      <c r="BF503" s="4"/>
      <c r="BG503" s="137">
        <f ca="1">BH503*$BH$14</f>
        <v>0.28049647058823529</v>
      </c>
      <c r="BH503" s="137">
        <f ca="1">(((BJ503+BK503+BM503+BN503)/4)*$BM$11)+(((BP503+BQ503)/2)*$BQ$11)+(((BU503+BV503+BW503)/3)*$BU$11)+(((BY503+BZ503+CA503+CB503+CC503)/5)*$CA$11)</f>
        <v>0.28049647058823529</v>
      </c>
      <c r="BI503" s="4"/>
      <c r="BJ503" s="33">
        <f>AP503/(AM503+AO503)</f>
        <v>0</v>
      </c>
      <c r="BK503" s="33">
        <f>(AN503+AO503)/(AM503+AO503)</f>
        <v>0</v>
      </c>
      <c r="BL503" s="4"/>
      <c r="BM503" s="127">
        <f>CF503/102</f>
        <v>0.44117647058823528</v>
      </c>
      <c r="BN503" s="127">
        <f>C503/2</f>
        <v>0.5</v>
      </c>
      <c r="BO503" s="4"/>
      <c r="BP503" s="127">
        <f>(AK503)/($AW$6)</f>
        <v>0.44444444444444442</v>
      </c>
      <c r="BQ503" s="127">
        <f ca="1">(CH503-$AW$4)/((YEAR($C$13))-$AW$4)</f>
        <v>0</v>
      </c>
      <c r="BR503" s="127">
        <f>(AL503)/($AW$6)</f>
        <v>0</v>
      </c>
      <c r="BS503" s="4"/>
      <c r="BT503" s="127"/>
      <c r="BU503" s="127">
        <f ca="1">(CG503-$AW$4)/((YEAR($C$13))-$AW$4)</f>
        <v>0</v>
      </c>
      <c r="BV503" s="127">
        <f>AE503/5</f>
        <v>1</v>
      </c>
      <c r="BW503" s="127">
        <f>AF503/5</f>
        <v>1</v>
      </c>
      <c r="BX503" s="4"/>
      <c r="BY503" s="148" t="str">
        <f>IF(E503="A",".98",IF(E503="B",".99",IF(E503="C","1.00",IF(E503="D","1.00" ))))</f>
        <v>1.00</v>
      </c>
      <c r="BZ503" s="127">
        <f>(CE503+7)/10</f>
        <v>1</v>
      </c>
      <c r="CA503" s="76" t="str">
        <f>IF(D503="Fern",".97",IF(D503="Grass",".99",IF(D503="Herb",".97",IF(D503="Shrub",".99",IF(D503="Tree","1.00",IF(D503="Vine",".98"))))))</f>
        <v>.97</v>
      </c>
      <c r="CB503" s="149" t="str">
        <f>IF(R503="Bogs Ponds Streams",".96", IF(R503="Coastal Areas",".97",IF(R503="Meadows Dry Open",".96",IF(R503="Forest &amp; Understory",".97",IF(R503="Moist Open",".98",IF(R503="Moist Shady",".96",IF(R503="Sub-Alpine","1.0")))))))</f>
        <v>.96</v>
      </c>
      <c r="CC503" s="76" t="str">
        <f>IF(S503="Local Endemic",".50",IF(S503="Regional Endemic",".70",IF(S503="Cascadia",".90",IF(S503="Rocky Mountain",".95",IF(S503="North America",".99")))))</f>
        <v>.90</v>
      </c>
      <c r="CD503" s="4"/>
      <c r="CE503" s="21">
        <f>IF(W503&gt;3,3,W503)</f>
        <v>3</v>
      </c>
      <c r="CF503" s="21">
        <f>IF(AC503&gt;102,102,AC503)</f>
        <v>45</v>
      </c>
      <c r="CG503" s="34">
        <f>IF(AI503&lt;$AW$4,$AW$4,AI503)</f>
        <v>2004</v>
      </c>
      <c r="CH503" s="34">
        <f>IF(AJ503&lt;$AW$4,$AW$4,AJ503)</f>
        <v>2004</v>
      </c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</row>
    <row r="504" spans="1:116" ht="15" customHeight="1" x14ac:dyDescent="0.3">
      <c r="A504" s="235"/>
      <c r="B504" s="218"/>
      <c r="C504" s="225">
        <v>8</v>
      </c>
      <c r="D504" s="59" t="s">
        <v>2505</v>
      </c>
      <c r="E504" s="59" t="s">
        <v>2501</v>
      </c>
      <c r="F504" s="397" t="str">
        <f ca="1">IF(BC504&lt;2025, "Extinct&lt; 6Yrs?",BA504)</f>
        <v>Abundant</v>
      </c>
      <c r="G504" s="363" t="s">
        <v>525</v>
      </c>
      <c r="H504" s="363" t="s">
        <v>687</v>
      </c>
      <c r="I504" s="364" t="s">
        <v>4049</v>
      </c>
      <c r="J504" s="365" t="s">
        <v>3891</v>
      </c>
      <c r="K504" s="365" t="s">
        <v>801</v>
      </c>
      <c r="L504" s="8" t="s">
        <v>2140</v>
      </c>
      <c r="M504" s="8" t="s">
        <v>4579</v>
      </c>
      <c r="N504" s="8" t="s">
        <v>5476</v>
      </c>
      <c r="O504" s="8" t="s">
        <v>6374</v>
      </c>
      <c r="P504" s="9" t="s">
        <v>280</v>
      </c>
      <c r="Q504" s="59" t="s">
        <v>2552</v>
      </c>
      <c r="R504" s="9" t="s">
        <v>2530</v>
      </c>
      <c r="S504" s="9" t="s">
        <v>2459</v>
      </c>
      <c r="T504" s="123" t="str">
        <f>IF(R504="Bogs Ponds Streams","20",IF(R504="Coastal Areas","26",IF(R504="Meadows Dry Open","10",IF(R504="Forest &amp; Understory","14",IF(R504="Moist Open","12",IF(R504="Moist Shady","10",IF(R504="Sub-Alpine Slopes","0")))))))</f>
        <v>14</v>
      </c>
      <c r="U504" s="123" t="str">
        <f>IF(R504="Bogs Ponds Streams","52",IF(R504="Coastal Areas","51",IF(R504="Meadows Dry Open","53",IF(R504="Forest &amp; Understory","52",IF(R504="Moist Open","50",IF(R504="Moist Shady","46",IF(R504="Sub-Alpine Slopes","40")))))))</f>
        <v>52</v>
      </c>
      <c r="V504" s="123" t="str">
        <f>IF(R504="Bogs Ponds Streams","84",IF(R504="Coastal Areas","76",IF(R504="Meadows Dry Open","96", IF(R504="Forest &amp; Understory","90", IF(R504="Moist Open","88", IF(R504="Moist Shady","82", IF(R504="Sub-Alpine Slopes","80")))))))</f>
        <v>90</v>
      </c>
      <c r="W504" s="59">
        <v>20</v>
      </c>
      <c r="X504" s="59">
        <v>0</v>
      </c>
      <c r="Y504" s="59">
        <v>3500</v>
      </c>
      <c r="Z504" s="59" t="s">
        <v>2519</v>
      </c>
      <c r="AA504" s="59" t="s">
        <v>2518</v>
      </c>
      <c r="AB504" s="59">
        <v>6.8</v>
      </c>
      <c r="AC504" s="45">
        <f>C504+AK504+(0.1)*AL504</f>
        <v>40</v>
      </c>
      <c r="AD504" s="77">
        <v>118</v>
      </c>
      <c r="AE504" s="59">
        <v>5</v>
      </c>
      <c r="AF504" s="59">
        <v>5</v>
      </c>
      <c r="AG504" s="59">
        <v>1900</v>
      </c>
      <c r="AH504" s="77">
        <v>0</v>
      </c>
      <c r="AI504" s="59">
        <f ca="1">AJ504</f>
        <v>2019</v>
      </c>
      <c r="AJ504" s="18">
        <f ca="1">YEAR(TODAY())</f>
        <v>2019</v>
      </c>
      <c r="AK504" s="18">
        <v>30</v>
      </c>
      <c r="AL504" s="18">
        <v>20</v>
      </c>
      <c r="AM504" s="18">
        <v>1</v>
      </c>
      <c r="AN504" s="18">
        <v>1</v>
      </c>
      <c r="AO504" s="25">
        <v>0</v>
      </c>
      <c r="AP504" s="24">
        <v>0</v>
      </c>
      <c r="AQ504" s="18">
        <v>0</v>
      </c>
      <c r="AR504" s="18">
        <v>0</v>
      </c>
      <c r="AS504" s="18">
        <v>0</v>
      </c>
      <c r="AT504" s="18">
        <v>0</v>
      </c>
      <c r="AU504" s="18">
        <v>0</v>
      </c>
      <c r="AV504" s="18">
        <v>0</v>
      </c>
      <c r="AW504" s="18">
        <v>0</v>
      </c>
      <c r="AX504" s="18">
        <v>0</v>
      </c>
      <c r="AY504" s="233"/>
      <c r="AZ504" s="4"/>
      <c r="BA504" s="35" t="str">
        <f ca="1">IF(OR(S504="North America",S504="Rocky Mountain"), "Widespread",BC504)</f>
        <v>Abundant</v>
      </c>
      <c r="BB504" s="4"/>
      <c r="BC504" s="35" t="str">
        <f ca="1">IF(BE504&gt;2046, "Abundant",BE504)</f>
        <v>Abundant</v>
      </c>
      <c r="BD504" s="4"/>
      <c r="BE504" s="81">
        <f ca="1">YEAR($C$13)+(BG504*80)</f>
        <v>2107.2910459893046</v>
      </c>
      <c r="BF504" s="4"/>
      <c r="BG504" s="137">
        <f ca="1">BH504*$BH$14</f>
        <v>1.1036380748663104</v>
      </c>
      <c r="BH504" s="137">
        <f ca="1">(((BJ504+BK504+BM504+BN504)/4)*$BM$11)+(((BP504+BQ504)/2)*$BQ$11)+(((BU504+BV504+BW504)/3)*$BU$11)+(((BY504+BZ504+CA504+CB504+CC504)/5)*$CA$11)</f>
        <v>1.1036380748663104</v>
      </c>
      <c r="BI504" s="4"/>
      <c r="BJ504" s="33">
        <f>AP504/(AM504+AO504)</f>
        <v>0</v>
      </c>
      <c r="BK504" s="33">
        <f>(AN504+AO504)/(AM504+AO504)</f>
        <v>1</v>
      </c>
      <c r="BL504" s="4"/>
      <c r="BM504" s="127">
        <f>CF504/102</f>
        <v>0.39215686274509803</v>
      </c>
      <c r="BN504" s="127">
        <f>C504/2</f>
        <v>4</v>
      </c>
      <c r="BO504" s="4"/>
      <c r="BP504" s="127">
        <f>(AK504)/($AW$6)</f>
        <v>0.30303030303030304</v>
      </c>
      <c r="BQ504" s="127">
        <f ca="1">(CH504-$AW$4)/((YEAR($C$13))-$AW$4)</f>
        <v>1</v>
      </c>
      <c r="BR504" s="127">
        <f>(AL504)/($AW$6)</f>
        <v>0.20202020202020202</v>
      </c>
      <c r="BS504" s="4"/>
      <c r="BT504" s="127"/>
      <c r="BU504" s="127">
        <f ca="1">(CG504-$AW$4)/((YEAR($C$13))-$AW$4)</f>
        <v>1</v>
      </c>
      <c r="BV504" s="127">
        <f>AE504/5</f>
        <v>1</v>
      </c>
      <c r="BW504" s="127">
        <f>AF504/5</f>
        <v>1</v>
      </c>
      <c r="BX504" s="4"/>
      <c r="BY504" s="148" t="str">
        <f>IF(E504="A",".98",IF(E504="B",".99",IF(E504="C","1.00",IF(E504="D","1.00" ))))</f>
        <v>1.00</v>
      </c>
      <c r="BZ504" s="127">
        <f>(CE504+7)/10</f>
        <v>1</v>
      </c>
      <c r="CA504" s="76" t="str">
        <f>IF(D504="Fern",".97",IF(D504="Grass",".99",IF(D504="Herb",".97",IF(D504="Shrub",".99",IF(D504="Tree","1.00",IF(D504="Vine",".98"))))))</f>
        <v>.97</v>
      </c>
      <c r="CB504" s="149" t="str">
        <f>IF(R504="Bogs Ponds Streams",".96", IF(R504="Coastal Areas",".97",IF(R504="Meadows Dry Open",".96",IF(R504="Forest &amp; Understory",".97",IF(R504="Moist Open",".98",IF(R504="Moist Shady",".96",IF(R504="Sub-Alpine","1.0")))))))</f>
        <v>.97</v>
      </c>
      <c r="CC504" s="76" t="str">
        <f>IF(S504="Local Endemic",".50",IF(S504="Regional Endemic",".70",IF(S504="Cascadia",".90",IF(S504="Rocky Mountain",".95",IF(S504="North America",".99")))))</f>
        <v>.90</v>
      </c>
      <c r="CD504" s="4"/>
      <c r="CE504" s="21">
        <f>IF(W504&gt;3,3,W504)</f>
        <v>3</v>
      </c>
      <c r="CF504" s="21">
        <f>IF(AC504&gt;102,102,AC504)</f>
        <v>40</v>
      </c>
      <c r="CG504" s="34">
        <f ca="1">IF(AI504&lt;$AW$4,$AW$4,AI504)</f>
        <v>2019</v>
      </c>
      <c r="CH504" s="34">
        <f ca="1">IF(AJ504&lt;$AW$4,$AW$4,AJ504)</f>
        <v>2019</v>
      </c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13"/>
    </row>
    <row r="505" spans="1:116" ht="15" customHeight="1" x14ac:dyDescent="0.3">
      <c r="A505" s="235"/>
      <c r="B505" s="218"/>
      <c r="C505" s="375">
        <v>1</v>
      </c>
      <c r="D505" s="67" t="s">
        <v>2505</v>
      </c>
      <c r="E505" s="67" t="s">
        <v>2501</v>
      </c>
      <c r="F505" s="403" t="str">
        <f ca="1">IF(BC505&lt;2025, "Extinct&lt; 6Yrs?",BA505)</f>
        <v>Widespread</v>
      </c>
      <c r="G505" s="376" t="s">
        <v>525</v>
      </c>
      <c r="H505" s="376" t="s">
        <v>4028</v>
      </c>
      <c r="I505" s="380" t="s">
        <v>284</v>
      </c>
      <c r="J505" s="378" t="s">
        <v>3577</v>
      </c>
      <c r="K505" s="378" t="s">
        <v>283</v>
      </c>
      <c r="L505" s="63" t="s">
        <v>1562</v>
      </c>
      <c r="M505" s="64" t="s">
        <v>4580</v>
      </c>
      <c r="N505" s="64" t="s">
        <v>5477</v>
      </c>
      <c r="O505" s="64" t="s">
        <v>6375</v>
      </c>
      <c r="P505" s="61" t="s">
        <v>280</v>
      </c>
      <c r="Q505" s="67" t="s">
        <v>2552</v>
      </c>
      <c r="R505" s="61" t="s">
        <v>2499</v>
      </c>
      <c r="S505" s="61" t="s">
        <v>2495</v>
      </c>
      <c r="T505" s="134" t="str">
        <f>IF(R505="Bogs Ponds Streams","20",IF(R505="Coastal Areas","26",IF(R505="Meadows Dry Open","10",IF(R505="Forest &amp; Understory","14",IF(R505="Moist Open","12",IF(R505="Moist Shady","10",IF(R505="Sub-Alpine Slopes","0")))))))</f>
        <v>20</v>
      </c>
      <c r="U505" s="134" t="str">
        <f>IF(R505="Bogs Ponds Streams","52",IF(R505="Coastal Areas","51",IF(R505="Meadows Dry Open","53",IF(R505="Forest &amp; Understory","52",IF(R505="Moist Open","50",IF(R505="Moist Shady","46",IF(R505="Sub-Alpine Slopes","40")))))))</f>
        <v>52</v>
      </c>
      <c r="V505" s="134" t="str">
        <f>IF(R505="Bogs Ponds Streams","84",IF(R505="Coastal Areas","76",IF(R505="Meadows Dry Open","96", IF(R505="Forest &amp; Understory","90", IF(R505="Moist Open","88", IF(R505="Moist Shady","82", IF(R505="Sub-Alpine Slopes","80")))))))</f>
        <v>84</v>
      </c>
      <c r="W505" s="67">
        <v>20</v>
      </c>
      <c r="X505" s="67">
        <v>0</v>
      </c>
      <c r="Y505" s="67">
        <v>3500</v>
      </c>
      <c r="Z505" s="67" t="s">
        <v>2519</v>
      </c>
      <c r="AA505" s="67" t="s">
        <v>2518</v>
      </c>
      <c r="AB505" s="67">
        <v>6.8</v>
      </c>
      <c r="AC505" s="85">
        <f>C505+AK505+(0.1)*AL505</f>
        <v>5.6</v>
      </c>
      <c r="AD505" s="78">
        <v>47</v>
      </c>
      <c r="AE505" s="67">
        <v>5</v>
      </c>
      <c r="AF505" s="67">
        <v>5</v>
      </c>
      <c r="AG505" s="67">
        <v>1900</v>
      </c>
      <c r="AH505" s="78">
        <v>0</v>
      </c>
      <c r="AI505" s="67">
        <f>AJ505</f>
        <v>2004</v>
      </c>
      <c r="AJ505" s="69">
        <v>2004</v>
      </c>
      <c r="AK505" s="69">
        <v>4</v>
      </c>
      <c r="AL505" s="69">
        <v>6</v>
      </c>
      <c r="AM505" s="70">
        <v>5</v>
      </c>
      <c r="AN505" s="70">
        <v>0</v>
      </c>
      <c r="AO505" s="86">
        <v>0</v>
      </c>
      <c r="AP505" s="70">
        <v>0</v>
      </c>
      <c r="AQ505" s="70">
        <v>0</v>
      </c>
      <c r="AR505" s="70">
        <v>0</v>
      </c>
      <c r="AS505" s="86">
        <v>0</v>
      </c>
      <c r="AT505" s="70">
        <v>0</v>
      </c>
      <c r="AU505" s="70">
        <v>0</v>
      </c>
      <c r="AV505" s="70">
        <v>0</v>
      </c>
      <c r="AW505" s="86">
        <v>0</v>
      </c>
      <c r="AX505" s="70">
        <v>0</v>
      </c>
      <c r="AY505" s="233"/>
      <c r="AZ505" s="4"/>
      <c r="BA505" s="35" t="str">
        <f>IF(OR(S505="North America",S505="Rocky Mountain"), "Widespread",BC505)</f>
        <v>Widespread</v>
      </c>
      <c r="BB505" s="4"/>
      <c r="BC505" s="35">
        <f ca="1">IF(BE505&gt;2046, "Abundant",BE505)</f>
        <v>2031.984738680927</v>
      </c>
      <c r="BD505" s="4"/>
      <c r="BE505" s="81">
        <f ca="1">YEAR($C$13)+(BG505*80)</f>
        <v>2031.984738680927</v>
      </c>
      <c r="BF505" s="4"/>
      <c r="BG505" s="137">
        <f ca="1">BH505*$BH$14</f>
        <v>0.16230923351158646</v>
      </c>
      <c r="BH505" s="137">
        <f ca="1">(((BJ505+BK505+BM505+BN505)/4)*$BM$11)+(((BP505+BQ505)/2)*$BQ$11)+(((BU505+BV505+BW505)/3)*$BU$11)+(((BY505+BZ505+CA505+CB505+CC505)/5)*$CA$11)</f>
        <v>0.16230923351158646</v>
      </c>
      <c r="BI505" s="4"/>
      <c r="BJ505" s="33">
        <f>AP505/(AM505+AO505)</f>
        <v>0</v>
      </c>
      <c r="BK505" s="33">
        <f>(AN505+AO505)/(AM505+AO505)</f>
        <v>0</v>
      </c>
      <c r="BL505" s="4"/>
      <c r="BM505" s="127">
        <f>CF505/102</f>
        <v>5.4901960784313725E-2</v>
      </c>
      <c r="BN505" s="127">
        <f>C505/2</f>
        <v>0.5</v>
      </c>
      <c r="BO505" s="4"/>
      <c r="BP505" s="127">
        <f>(AK505)/($AW$6)</f>
        <v>4.0404040404040407E-2</v>
      </c>
      <c r="BQ505" s="127">
        <f ca="1">(CH505-$AW$4)/((YEAR($C$13))-$AW$4)</f>
        <v>0</v>
      </c>
      <c r="BR505" s="127">
        <f>(AL505)/($AW$6)</f>
        <v>6.0606060606060608E-2</v>
      </c>
      <c r="BS505" s="4"/>
      <c r="BT505" s="127"/>
      <c r="BU505" s="127">
        <f ca="1">(CG505-$AW$4)/((YEAR($C$13))-$AW$4)</f>
        <v>0</v>
      </c>
      <c r="BV505" s="127">
        <f>AE505/5</f>
        <v>1</v>
      </c>
      <c r="BW505" s="127">
        <f>AF505/5</f>
        <v>1</v>
      </c>
      <c r="BX505" s="4"/>
      <c r="BY505" s="148" t="str">
        <f>IF(E505="A",".98",IF(E505="B",".99",IF(E505="C","1.00",IF(E505="D","1.00" ))))</f>
        <v>1.00</v>
      </c>
      <c r="BZ505" s="127">
        <f>(CE505+7)/10</f>
        <v>1</v>
      </c>
      <c r="CA505" s="76" t="str">
        <f>IF(D505="Fern",".97",IF(D505="Grass",".99",IF(D505="Herb",".97",IF(D505="Shrub",".99",IF(D505="Tree","1.00",IF(D505="Vine",".98"))))))</f>
        <v>.97</v>
      </c>
      <c r="CB505" s="149" t="str">
        <f>IF(R505="Bogs Ponds Streams",".96", IF(R505="Coastal Areas",".97",IF(R505="Meadows Dry Open",".96",IF(R505="Forest &amp; Understory",".97",IF(R505="Moist Open",".98",IF(R505="Moist Shady",".96",IF(R505="Sub-Alpine","1.0")))))))</f>
        <v>.96</v>
      </c>
      <c r="CC505" s="76" t="str">
        <f>IF(S505="Local Endemic",".50",IF(S505="Regional Endemic",".70",IF(S505="Cascadia",".90",IF(S505="Rocky Mountain",".95",IF(S505="North America",".99")))))</f>
        <v>.99</v>
      </c>
      <c r="CD505" s="4"/>
      <c r="CE505" s="21">
        <f>IF(W505&gt;3,3,W505)</f>
        <v>3</v>
      </c>
      <c r="CF505" s="21">
        <f>IF(AC505&gt;102,102,AC505)</f>
        <v>5.6</v>
      </c>
      <c r="CG505" s="34">
        <f>IF(AI505&lt;$AW$4,$AW$4,AI505)</f>
        <v>2004</v>
      </c>
      <c r="CH505" s="34">
        <f>IF(AJ505&lt;$AW$4,$AW$4,AJ505)</f>
        <v>2004</v>
      </c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L505" s="13"/>
    </row>
    <row r="506" spans="1:116" ht="15" customHeight="1" x14ac:dyDescent="0.3">
      <c r="A506" s="235"/>
      <c r="B506" s="218"/>
      <c r="C506" s="226">
        <v>2</v>
      </c>
      <c r="D506" s="104" t="s">
        <v>2505</v>
      </c>
      <c r="E506" s="104" t="s">
        <v>2502</v>
      </c>
      <c r="F506" s="400" t="str">
        <f ca="1">IF(BC506&lt;2025, "Extinct&lt; 6Yrs?",BA506)</f>
        <v>Abundant</v>
      </c>
      <c r="G506" s="369" t="s">
        <v>525</v>
      </c>
      <c r="H506" s="369" t="s">
        <v>4028</v>
      </c>
      <c r="I506" s="370" t="s">
        <v>3087</v>
      </c>
      <c r="J506" s="371" t="s">
        <v>3745</v>
      </c>
      <c r="K506" s="371" t="s">
        <v>1281</v>
      </c>
      <c r="L506" s="106" t="s">
        <v>1563</v>
      </c>
      <c r="M506" s="111" t="s">
        <v>4581</v>
      </c>
      <c r="N506" s="111" t="s">
        <v>5478</v>
      </c>
      <c r="O506" s="111" t="s">
        <v>6376</v>
      </c>
      <c r="P506" s="105" t="s">
        <v>51</v>
      </c>
      <c r="Q506" s="104" t="s">
        <v>2552</v>
      </c>
      <c r="R506" s="105" t="s">
        <v>2500</v>
      </c>
      <c r="S506" s="162" t="s">
        <v>2309</v>
      </c>
      <c r="T506" s="133" t="str">
        <f>IF(R506="Bogs Ponds Streams","20",IF(R506="Coastal Areas","26",IF(R506="Meadows Dry Open","10",IF(R506="Forest &amp; Understory","14",IF(R506="Moist Open","12",IF(R506="Moist Shady","10",IF(R506="Sub-Alpine Slopes","0")))))))</f>
        <v>10</v>
      </c>
      <c r="U506" s="133" t="str">
        <f>IF(R506="Bogs Ponds Streams","52",IF(R506="Coastal Areas","51",IF(R506="Meadows Dry Open","53",IF(R506="Forest &amp; Understory","52",IF(R506="Moist Open","50",IF(R506="Moist Shady","46",IF(R506="Sub-Alpine Slopes","40")))))))</f>
        <v>53</v>
      </c>
      <c r="V506" s="133" t="str">
        <f>IF(R506="Bogs Ponds Streams","84",IF(R506="Coastal Areas","76",IF(R506="Meadows Dry Open","96", IF(R506="Forest &amp; Understory","90", IF(R506="Moist Open","88", IF(R506="Moist Shady","82", IF(R506="Sub-Alpine Slopes","80")))))))</f>
        <v>96</v>
      </c>
      <c r="W506" s="104">
        <v>1</v>
      </c>
      <c r="X506" s="104">
        <v>0</v>
      </c>
      <c r="Y506" s="104">
        <v>3500</v>
      </c>
      <c r="Z506" s="104" t="s">
        <v>2519</v>
      </c>
      <c r="AA506" s="104" t="s">
        <v>2518</v>
      </c>
      <c r="AB506" s="104">
        <v>6.8</v>
      </c>
      <c r="AC506" s="107">
        <f>C506+AK506+(0.1)*AL506</f>
        <v>5.2</v>
      </c>
      <c r="AD506" s="113">
        <v>20</v>
      </c>
      <c r="AE506" s="104">
        <v>5</v>
      </c>
      <c r="AF506" s="104">
        <v>5</v>
      </c>
      <c r="AG506" s="104">
        <v>1900</v>
      </c>
      <c r="AH506" s="113">
        <v>0</v>
      </c>
      <c r="AI506" s="104">
        <f>AJ506</f>
        <v>2004</v>
      </c>
      <c r="AJ506" s="108">
        <v>2004</v>
      </c>
      <c r="AK506" s="108">
        <v>3</v>
      </c>
      <c r="AL506" s="108">
        <v>2</v>
      </c>
      <c r="AM506" s="108">
        <v>1</v>
      </c>
      <c r="AN506" s="108">
        <v>1</v>
      </c>
      <c r="AO506" s="108">
        <v>0</v>
      </c>
      <c r="AP506" s="108">
        <v>0</v>
      </c>
      <c r="AQ506" s="108">
        <v>0</v>
      </c>
      <c r="AR506" s="108">
        <v>0</v>
      </c>
      <c r="AS506" s="108">
        <v>0</v>
      </c>
      <c r="AT506" s="108">
        <v>0</v>
      </c>
      <c r="AU506" s="108">
        <v>0</v>
      </c>
      <c r="AV506" s="108">
        <v>0</v>
      </c>
      <c r="AW506" s="108">
        <v>0</v>
      </c>
      <c r="AX506" s="108">
        <v>0</v>
      </c>
      <c r="AY506" s="233"/>
      <c r="AZ506" s="4"/>
      <c r="BA506" s="35" t="str">
        <f ca="1">IF(OR(S506="North America",S506="Rocky Mountain"), "Widespread",BC506)</f>
        <v>Abundant</v>
      </c>
      <c r="BB506" s="4"/>
      <c r="BC506" s="35" t="str">
        <f ca="1">IF(BE506&gt;2046, "Abundant",BE506)</f>
        <v>Abundant</v>
      </c>
      <c r="BD506" s="4"/>
      <c r="BE506" s="81">
        <f ca="1">YEAR($C$13)+(BG506*80)</f>
        <v>2049.6532677361852</v>
      </c>
      <c r="BF506" s="4"/>
      <c r="BG506" s="137">
        <f ca="1">BH506*$BH$14</f>
        <v>0.38316584670231724</v>
      </c>
      <c r="BH506" s="137">
        <f ca="1">(((BJ506+BK506+BM506+BN506)/4)*$BM$11)+(((BP506+BQ506)/2)*$BQ$11)+(((BU506+BV506+BW506)/3)*$BU$11)+(((BY506+BZ506+CA506+CB506+CC506)/5)*$CA$11)</f>
        <v>0.38316584670231724</v>
      </c>
      <c r="BI506" s="4"/>
      <c r="BJ506" s="33">
        <f>AP506/(AM506+AO506)</f>
        <v>0</v>
      </c>
      <c r="BK506" s="33">
        <f>(AN506+AO506)/(AM506+AO506)</f>
        <v>1</v>
      </c>
      <c r="BL506" s="4"/>
      <c r="BM506" s="127">
        <f>CF506/102</f>
        <v>5.0980392156862744E-2</v>
      </c>
      <c r="BN506" s="127">
        <f>C506/2</f>
        <v>1</v>
      </c>
      <c r="BO506" s="4"/>
      <c r="BP506" s="127">
        <f>(AK506)/($AW$6)</f>
        <v>3.0303030303030304E-2</v>
      </c>
      <c r="BQ506" s="127">
        <f ca="1">(CH506-$AW$4)/((YEAR($C$13))-$AW$4)</f>
        <v>0</v>
      </c>
      <c r="BR506" s="127">
        <f>(AL506)/($AW$6)</f>
        <v>2.0202020202020204E-2</v>
      </c>
      <c r="BS506" s="4"/>
      <c r="BT506" s="127"/>
      <c r="BU506" s="127">
        <f ca="1">(CG506-$AW$4)/((YEAR($C$13))-$AW$4)</f>
        <v>0</v>
      </c>
      <c r="BV506" s="127">
        <f>AE506/5</f>
        <v>1</v>
      </c>
      <c r="BW506" s="127">
        <f>AF506/5</f>
        <v>1</v>
      </c>
      <c r="BX506" s="4"/>
      <c r="BY506" s="148" t="str">
        <f>IF(E506="A",".98",IF(E506="B",".99",IF(E506="C","1.00",IF(E506="D","1.00" ))))</f>
        <v>.98</v>
      </c>
      <c r="BZ506" s="127">
        <f>(CE506+7)/10</f>
        <v>0.8</v>
      </c>
      <c r="CA506" s="76" t="str">
        <f>IF(D506="Fern",".97",IF(D506="Grass",".99",IF(D506="Herb",".97",IF(D506="Shrub",".99",IF(D506="Tree","1.00",IF(D506="Vine",".98"))))))</f>
        <v>.97</v>
      </c>
      <c r="CB506" s="149" t="str">
        <f>IF(R506="Bogs Ponds Streams",".96", IF(R506="Coastal Areas",".97",IF(R506="Meadows Dry Open",".96",IF(R506="Forest &amp; Understory",".97",IF(R506="Moist Open",".98",IF(R506="Moist Shady",".96",IF(R506="Sub-Alpine","1.0")))))))</f>
        <v>.96</v>
      </c>
      <c r="CC506" s="76" t="str">
        <f>IF(S506="Local Endemic",".50",IF(S506="Regional Endemic",".70",IF(S506="Cascadia",".90",IF(S506="Rocky Mountain",".95",IF(S506="North America",".99")))))</f>
        <v>.70</v>
      </c>
      <c r="CD506" s="4"/>
      <c r="CE506" s="21">
        <f>IF(W506&gt;3,3,W506)</f>
        <v>1</v>
      </c>
      <c r="CF506" s="21">
        <f>IF(AC506&gt;102,102,AC506)</f>
        <v>5.2</v>
      </c>
      <c r="CG506" s="34">
        <f>IF(AI506&lt;$AW$4,$AW$4,AI506)</f>
        <v>2004</v>
      </c>
      <c r="CH506" s="34">
        <f>IF(AJ506&lt;$AW$4,$AW$4,AJ506)</f>
        <v>2004</v>
      </c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13"/>
    </row>
    <row r="507" spans="1:116" ht="15" customHeight="1" x14ac:dyDescent="0.3">
      <c r="A507" s="235"/>
      <c r="B507" s="218"/>
      <c r="C507" s="225">
        <v>8</v>
      </c>
      <c r="D507" s="59" t="s">
        <v>2505</v>
      </c>
      <c r="E507" s="59" t="s">
        <v>2502</v>
      </c>
      <c r="F507" s="397" t="str">
        <f ca="1">IF(BC507&lt;2025, "Extinct&lt; 6Yrs?",BA507)</f>
        <v>Abundant</v>
      </c>
      <c r="G507" s="363" t="s">
        <v>525</v>
      </c>
      <c r="H507" s="363" t="s">
        <v>678</v>
      </c>
      <c r="I507" s="366" t="s">
        <v>98</v>
      </c>
      <c r="J507" s="365" t="s">
        <v>3412</v>
      </c>
      <c r="K507" s="365" t="s">
        <v>1047</v>
      </c>
      <c r="L507" s="10" t="s">
        <v>1564</v>
      </c>
      <c r="M507" s="8" t="s">
        <v>4582</v>
      </c>
      <c r="N507" s="8" t="s">
        <v>5479</v>
      </c>
      <c r="O507" s="8" t="s">
        <v>6377</v>
      </c>
      <c r="P507" s="9" t="s">
        <v>51</v>
      </c>
      <c r="Q507" s="59" t="s">
        <v>2552</v>
      </c>
      <c r="R507" s="9" t="s">
        <v>2500</v>
      </c>
      <c r="S507" s="9" t="s">
        <v>2309</v>
      </c>
      <c r="T507" s="123" t="str">
        <f>IF(R507="Bogs Ponds Streams","20",IF(R507="Coastal Areas","26",IF(R507="Meadows Dry Open","10",IF(R507="Forest &amp; Understory","14",IF(R507="Moist Open","12",IF(R507="Moist Shady","10",IF(R507="Sub-Alpine Slopes","0")))))))</f>
        <v>10</v>
      </c>
      <c r="U507" s="123" t="str">
        <f>IF(R507="Bogs Ponds Streams","52",IF(R507="Coastal Areas","51",IF(R507="Meadows Dry Open","53",IF(R507="Forest &amp; Understory","52",IF(R507="Moist Open","50",IF(R507="Moist Shady","46",IF(R507="Sub-Alpine Slopes","40")))))))</f>
        <v>53</v>
      </c>
      <c r="V507" s="123" t="str">
        <f>IF(R507="Bogs Ponds Streams","84",IF(R507="Coastal Areas","76",IF(R507="Meadows Dry Open","96", IF(R507="Forest &amp; Understory","90", IF(R507="Moist Open","88", IF(R507="Moist Shady","82", IF(R507="Sub-Alpine Slopes","80")))))))</f>
        <v>96</v>
      </c>
      <c r="W507" s="59">
        <v>1</v>
      </c>
      <c r="X507" s="59">
        <v>0</v>
      </c>
      <c r="Y507" s="59">
        <v>3500</v>
      </c>
      <c r="Z507" s="59" t="s">
        <v>2519</v>
      </c>
      <c r="AA507" s="59" t="s">
        <v>2518</v>
      </c>
      <c r="AB507" s="59">
        <v>6.8</v>
      </c>
      <c r="AC507" s="45">
        <f>C507+AK507+(0.1)*AL507</f>
        <v>17.2</v>
      </c>
      <c r="AD507" s="77">
        <v>101</v>
      </c>
      <c r="AE507" s="59">
        <v>5</v>
      </c>
      <c r="AF507" s="59">
        <v>5</v>
      </c>
      <c r="AG507" s="59">
        <v>1900</v>
      </c>
      <c r="AH507" s="77">
        <v>0</v>
      </c>
      <c r="AI507" s="59">
        <f ca="1">AJ507</f>
        <v>2019</v>
      </c>
      <c r="AJ507" s="18">
        <f ca="1">YEAR(TODAY())</f>
        <v>2019</v>
      </c>
      <c r="AK507" s="18">
        <v>7</v>
      </c>
      <c r="AL507" s="18">
        <v>22</v>
      </c>
      <c r="AM507" s="18">
        <v>1</v>
      </c>
      <c r="AN507" s="18">
        <v>1</v>
      </c>
      <c r="AO507" s="25">
        <v>0</v>
      </c>
      <c r="AP507" s="24">
        <v>0</v>
      </c>
      <c r="AQ507" s="18">
        <v>0</v>
      </c>
      <c r="AR507" s="18">
        <v>0</v>
      </c>
      <c r="AS507" s="18">
        <v>0</v>
      </c>
      <c r="AT507" s="18">
        <v>0</v>
      </c>
      <c r="AU507" s="18">
        <v>0</v>
      </c>
      <c r="AV507" s="18">
        <v>0</v>
      </c>
      <c r="AW507" s="18">
        <v>0</v>
      </c>
      <c r="AX507" s="18">
        <v>0</v>
      </c>
      <c r="AY507" s="233"/>
      <c r="AZ507" s="4"/>
      <c r="BA507" s="35" t="str">
        <f ca="1">IF(OR(S507="North America",S507="Rocky Mountain"), "Widespread",BC507)</f>
        <v>Abundant</v>
      </c>
      <c r="BB507" s="4"/>
      <c r="BC507" s="35" t="str">
        <f ca="1">IF(BE507&gt;2046, "Abundant",BE507)</f>
        <v>Abundant</v>
      </c>
      <c r="BD507" s="4"/>
      <c r="BE507" s="81">
        <f ca="1">YEAR($C$13)+(BG507*80)</f>
        <v>2101.6832142602498</v>
      </c>
      <c r="BF507" s="4"/>
      <c r="BG507" s="137">
        <f ca="1">BH507*$BH$14</f>
        <v>1.0335401782531195</v>
      </c>
      <c r="BH507" s="137">
        <f ca="1">(((BJ507+BK507+BM507+BN507)/4)*$BM$11)+(((BP507+BQ507)/2)*$BQ$11)+(((BU507+BV507+BW507)/3)*$BU$11)+(((BY507+BZ507+CA507+CB507+CC507)/5)*$CA$11)</f>
        <v>1.0335401782531195</v>
      </c>
      <c r="BI507" s="4"/>
      <c r="BJ507" s="33">
        <f>AP507/(AM507+AO507)</f>
        <v>0</v>
      </c>
      <c r="BK507" s="33">
        <f>(AN507+AO507)/(AM507+AO507)</f>
        <v>1</v>
      </c>
      <c r="BL507" s="4"/>
      <c r="BM507" s="127">
        <f>CF507/102</f>
        <v>0.16862745098039214</v>
      </c>
      <c r="BN507" s="127">
        <f>C507/2</f>
        <v>4</v>
      </c>
      <c r="BO507" s="4"/>
      <c r="BP507" s="127">
        <f>(AK507)/($AW$6)</f>
        <v>7.0707070707070704E-2</v>
      </c>
      <c r="BQ507" s="127">
        <f ca="1">(CH507-$AW$4)/((YEAR($C$13))-$AW$4)</f>
        <v>1</v>
      </c>
      <c r="BR507" s="127">
        <f>(AL507)/($AW$6)</f>
        <v>0.22222222222222221</v>
      </c>
      <c r="BS507" s="4"/>
      <c r="BT507" s="127"/>
      <c r="BU507" s="127">
        <f ca="1">(CG507-$AW$4)/((YEAR($C$13))-$AW$4)</f>
        <v>1</v>
      </c>
      <c r="BV507" s="127">
        <f>AE507/5</f>
        <v>1</v>
      </c>
      <c r="BW507" s="127">
        <f>AF507/5</f>
        <v>1</v>
      </c>
      <c r="BX507" s="4"/>
      <c r="BY507" s="148" t="str">
        <f>IF(E507="A",".98",IF(E507="B",".99",IF(E507="C","1.00",IF(E507="D","1.00" ))))</f>
        <v>.98</v>
      </c>
      <c r="BZ507" s="127">
        <f>(CE507+7)/10</f>
        <v>0.8</v>
      </c>
      <c r="CA507" s="76" t="str">
        <f>IF(D507="Fern",".97",IF(D507="Grass",".99",IF(D507="Herb",".97",IF(D507="Shrub",".99",IF(D507="Tree","1.00",IF(D507="Vine",".98"))))))</f>
        <v>.97</v>
      </c>
      <c r="CB507" s="149" t="str">
        <f>IF(R507="Bogs Ponds Streams",".96", IF(R507="Coastal Areas",".97",IF(R507="Meadows Dry Open",".96",IF(R507="Forest &amp; Understory",".97",IF(R507="Moist Open",".98",IF(R507="Moist Shady",".96",IF(R507="Sub-Alpine","1.0")))))))</f>
        <v>.96</v>
      </c>
      <c r="CC507" s="76" t="str">
        <f>IF(S507="Local Endemic",".50",IF(S507="Regional Endemic",".70",IF(S507="Cascadia",".90",IF(S507="Rocky Mountain",".95",IF(S507="North America",".99")))))</f>
        <v>.70</v>
      </c>
      <c r="CD507" s="4"/>
      <c r="CE507" s="21">
        <f>IF(W507&gt;3,3,W507)</f>
        <v>1</v>
      </c>
      <c r="CF507" s="21">
        <f>IF(AC507&gt;102,102,AC507)</f>
        <v>17.2</v>
      </c>
      <c r="CG507" s="34">
        <f ca="1">IF(AI507&lt;$AW$4,$AW$4,AI507)</f>
        <v>2019</v>
      </c>
      <c r="CH507" s="34">
        <f ca="1">IF(AJ507&lt;$AW$4,$AW$4,AJ507)</f>
        <v>2019</v>
      </c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13"/>
    </row>
    <row r="508" spans="1:116" ht="15" customHeight="1" x14ac:dyDescent="0.3">
      <c r="A508" s="235"/>
      <c r="B508" s="218"/>
      <c r="C508" s="226">
        <v>2</v>
      </c>
      <c r="D508" s="104" t="s">
        <v>2505</v>
      </c>
      <c r="E508" s="104" t="s">
        <v>2502</v>
      </c>
      <c r="F508" s="400" t="str">
        <f ca="1">IF(BC508&lt;2025, "Extinct&lt; 6Yrs?",BA508)</f>
        <v>Widespread</v>
      </c>
      <c r="G508" s="369" t="s">
        <v>525</v>
      </c>
      <c r="H508" s="369" t="s">
        <v>4028</v>
      </c>
      <c r="I508" s="370" t="s">
        <v>99</v>
      </c>
      <c r="J508" s="371" t="s">
        <v>3744</v>
      </c>
      <c r="K508" s="371" t="s">
        <v>1048</v>
      </c>
      <c r="L508" s="106" t="s">
        <v>1565</v>
      </c>
      <c r="M508" s="111" t="s">
        <v>4583</v>
      </c>
      <c r="N508" s="111" t="s">
        <v>5480</v>
      </c>
      <c r="O508" s="111" t="s">
        <v>6378</v>
      </c>
      <c r="P508" s="105" t="s">
        <v>51</v>
      </c>
      <c r="Q508" s="104" t="s">
        <v>2552</v>
      </c>
      <c r="R508" s="105" t="s">
        <v>2500</v>
      </c>
      <c r="S508" s="105" t="s">
        <v>2495</v>
      </c>
      <c r="T508" s="133" t="str">
        <f>IF(R508="Bogs Ponds Streams","20",IF(R508="Coastal Areas","26",IF(R508="Meadows Dry Open","10",IF(R508="Forest &amp; Understory","14",IF(R508="Moist Open","12",IF(R508="Moist Shady","10",IF(R508="Sub-Alpine Slopes","0")))))))</f>
        <v>10</v>
      </c>
      <c r="U508" s="133" t="str">
        <f>IF(R508="Bogs Ponds Streams","52",IF(R508="Coastal Areas","51",IF(R508="Meadows Dry Open","53",IF(R508="Forest &amp; Understory","52",IF(R508="Moist Open","50",IF(R508="Moist Shady","46",IF(R508="Sub-Alpine Slopes","40")))))))</f>
        <v>53</v>
      </c>
      <c r="V508" s="133" t="str">
        <f>IF(R508="Bogs Ponds Streams","84",IF(R508="Coastal Areas","76",IF(R508="Meadows Dry Open","96", IF(R508="Forest &amp; Understory","90", IF(R508="Moist Open","88", IF(R508="Moist Shady","82", IF(R508="Sub-Alpine Slopes","80")))))))</f>
        <v>96</v>
      </c>
      <c r="W508" s="104">
        <v>1</v>
      </c>
      <c r="X508" s="104">
        <v>0</v>
      </c>
      <c r="Y508" s="104">
        <v>3500</v>
      </c>
      <c r="Z508" s="104" t="s">
        <v>2519</v>
      </c>
      <c r="AA508" s="104" t="s">
        <v>2518</v>
      </c>
      <c r="AB508" s="104">
        <v>6.8</v>
      </c>
      <c r="AC508" s="107">
        <f>C508+AK508+(0.1)*AL508</f>
        <v>9.1999999999999993</v>
      </c>
      <c r="AD508" s="113">
        <v>97</v>
      </c>
      <c r="AE508" s="104">
        <v>5</v>
      </c>
      <c r="AF508" s="104">
        <v>5</v>
      </c>
      <c r="AG508" s="104">
        <v>1900</v>
      </c>
      <c r="AH508" s="113">
        <v>0</v>
      </c>
      <c r="AI508" s="104">
        <f>AJ508</f>
        <v>2004</v>
      </c>
      <c r="AJ508" s="108">
        <v>2004</v>
      </c>
      <c r="AK508" s="108">
        <v>5</v>
      </c>
      <c r="AL508" s="108">
        <v>22</v>
      </c>
      <c r="AM508" s="109">
        <v>5</v>
      </c>
      <c r="AN508" s="109">
        <v>1</v>
      </c>
      <c r="AO508" s="110">
        <v>0</v>
      </c>
      <c r="AP508" s="109">
        <v>0</v>
      </c>
      <c r="AQ508" s="109">
        <v>0</v>
      </c>
      <c r="AR508" s="109">
        <v>0</v>
      </c>
      <c r="AS508" s="110">
        <v>0</v>
      </c>
      <c r="AT508" s="109">
        <v>0</v>
      </c>
      <c r="AU508" s="109">
        <v>0</v>
      </c>
      <c r="AV508" s="109">
        <v>0</v>
      </c>
      <c r="AW508" s="110">
        <v>0</v>
      </c>
      <c r="AX508" s="109">
        <v>0</v>
      </c>
      <c r="AY508" s="233"/>
      <c r="AZ508" s="4"/>
      <c r="BA508" s="35" t="str">
        <f>IF(OR(S508="North America",S508="Rocky Mountain"), "Widespread",BC508)</f>
        <v>Widespread</v>
      </c>
      <c r="BB508" s="4"/>
      <c r="BC508" s="35">
        <f ca="1">IF(BE508&gt;2046, "Abundant",BE508)</f>
        <v>2040.8590802139038</v>
      </c>
      <c r="BD508" s="4"/>
      <c r="BE508" s="81">
        <f ca="1">YEAR($C$13)+(BG508*80)</f>
        <v>2040.8590802139038</v>
      </c>
      <c r="BF508" s="4"/>
      <c r="BG508" s="137">
        <f ca="1">BH508*$BH$14</f>
        <v>0.27323850267379679</v>
      </c>
      <c r="BH508" s="137">
        <f ca="1">(((BJ508+BK508+BM508+BN508)/4)*$BM$11)+(((BP508+BQ508)/2)*$BQ$11)+(((BU508+BV508+BW508)/3)*$BU$11)+(((BY508+BZ508+CA508+CB508+CC508)/5)*$CA$11)</f>
        <v>0.27323850267379679</v>
      </c>
      <c r="BI508" s="4"/>
      <c r="BJ508" s="33">
        <f>AP508/(AM508+AO508)</f>
        <v>0</v>
      </c>
      <c r="BK508" s="33">
        <f>(AN508+AO508)/(AM508+AO508)</f>
        <v>0.2</v>
      </c>
      <c r="BL508" s="4"/>
      <c r="BM508" s="127">
        <f>CF508/102</f>
        <v>9.0196078431372548E-2</v>
      </c>
      <c r="BN508" s="127">
        <f>C508/2</f>
        <v>1</v>
      </c>
      <c r="BO508" s="4"/>
      <c r="BP508" s="127">
        <f>(AK508)/($AW$6)</f>
        <v>5.0505050505050504E-2</v>
      </c>
      <c r="BQ508" s="127">
        <f ca="1">(CH508-$AW$4)/((YEAR($C$13))-$AW$4)</f>
        <v>0</v>
      </c>
      <c r="BR508" s="127">
        <f>(AL508)/($AW$6)</f>
        <v>0.22222222222222221</v>
      </c>
      <c r="BS508" s="4"/>
      <c r="BT508" s="127"/>
      <c r="BU508" s="127">
        <f ca="1">(CG508-$AW$4)/((YEAR($C$13))-$AW$4)</f>
        <v>0</v>
      </c>
      <c r="BV508" s="127">
        <f>AE508/5</f>
        <v>1</v>
      </c>
      <c r="BW508" s="127">
        <f>AF508/5</f>
        <v>1</v>
      </c>
      <c r="BX508" s="4"/>
      <c r="BY508" s="148" t="str">
        <f>IF(E508="A",".98",IF(E508="B",".99",IF(E508="C","1.00",IF(E508="D","1.00" ))))</f>
        <v>.98</v>
      </c>
      <c r="BZ508" s="127">
        <f>(CE508+7)/10</f>
        <v>0.8</v>
      </c>
      <c r="CA508" s="76" t="str">
        <f>IF(D508="Fern",".97",IF(D508="Grass",".99",IF(D508="Herb",".97",IF(D508="Shrub",".99",IF(D508="Tree","1.00",IF(D508="Vine",".98"))))))</f>
        <v>.97</v>
      </c>
      <c r="CB508" s="149" t="str">
        <f>IF(R508="Bogs Ponds Streams",".96", IF(R508="Coastal Areas",".97",IF(R508="Meadows Dry Open",".96",IF(R508="Forest &amp; Understory",".97",IF(R508="Moist Open",".98",IF(R508="Moist Shady",".96",IF(R508="Sub-Alpine","1.0")))))))</f>
        <v>.96</v>
      </c>
      <c r="CC508" s="76" t="str">
        <f>IF(S508="Local Endemic",".50",IF(S508="Regional Endemic",".70",IF(S508="Cascadia",".90",IF(S508="Rocky Mountain",".95",IF(S508="North America",".99")))))</f>
        <v>.99</v>
      </c>
      <c r="CD508" s="4"/>
      <c r="CE508" s="21">
        <f>IF(W508&gt;3,3,W508)</f>
        <v>1</v>
      </c>
      <c r="CF508" s="21">
        <f>IF(AC508&gt;102,102,AC508)</f>
        <v>9.1999999999999993</v>
      </c>
      <c r="CG508" s="34">
        <f>IF(AI508&lt;$AW$4,$AW$4,AI508)</f>
        <v>2004</v>
      </c>
      <c r="CH508" s="34">
        <f>IF(AJ508&lt;$AW$4,$AW$4,AJ508)</f>
        <v>2004</v>
      </c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</row>
    <row r="509" spans="1:116" ht="15" customHeight="1" x14ac:dyDescent="0.3">
      <c r="A509" s="235"/>
      <c r="B509" s="218"/>
      <c r="C509" s="375">
        <v>1</v>
      </c>
      <c r="D509" s="67" t="s">
        <v>2505</v>
      </c>
      <c r="E509" s="67" t="s">
        <v>2502</v>
      </c>
      <c r="F509" s="403" t="str">
        <f ca="1">IF(BC509&lt;2025, "Extinct&lt; 6Yrs?",BA509)</f>
        <v>Widespread</v>
      </c>
      <c r="G509" s="376" t="s">
        <v>525</v>
      </c>
      <c r="H509" s="376" t="s">
        <v>4028</v>
      </c>
      <c r="I509" s="380" t="s">
        <v>100</v>
      </c>
      <c r="J509" s="378" t="s">
        <v>3576</v>
      </c>
      <c r="K509" s="378" t="s">
        <v>1049</v>
      </c>
      <c r="L509" s="63" t="s">
        <v>1566</v>
      </c>
      <c r="M509" s="64" t="s">
        <v>4584</v>
      </c>
      <c r="N509" s="64" t="s">
        <v>5481</v>
      </c>
      <c r="O509" s="64" t="s">
        <v>6379</v>
      </c>
      <c r="P509" s="61" t="s">
        <v>51</v>
      </c>
      <c r="Q509" s="67" t="s">
        <v>2552</v>
      </c>
      <c r="R509" s="61" t="s">
        <v>2500</v>
      </c>
      <c r="S509" s="61" t="s">
        <v>2479</v>
      </c>
      <c r="T509" s="134" t="str">
        <f>IF(R509="Bogs Ponds Streams","20",IF(R509="Coastal Areas","26",IF(R509="Meadows Dry Open","10",IF(R509="Forest &amp; Understory","14",IF(R509="Moist Open","12",IF(R509="Moist Shady","10",IF(R509="Sub-Alpine Slopes","0")))))))</f>
        <v>10</v>
      </c>
      <c r="U509" s="134" t="str">
        <f>IF(R509="Bogs Ponds Streams","52",IF(R509="Coastal Areas","51",IF(R509="Meadows Dry Open","53",IF(R509="Forest &amp; Understory","52",IF(R509="Moist Open","50",IF(R509="Moist Shady","46",IF(R509="Sub-Alpine Slopes","40")))))))</f>
        <v>53</v>
      </c>
      <c r="V509" s="134" t="str">
        <f>IF(R509="Bogs Ponds Streams","84",IF(R509="Coastal Areas","76",IF(R509="Meadows Dry Open","96", IF(R509="Forest &amp; Understory","90", IF(R509="Moist Open","88", IF(R509="Moist Shady","82", IF(R509="Sub-Alpine Slopes","80")))))))</f>
        <v>96</v>
      </c>
      <c r="W509" s="67">
        <v>1</v>
      </c>
      <c r="X509" s="67">
        <v>0</v>
      </c>
      <c r="Y509" s="67">
        <v>3500</v>
      </c>
      <c r="Z509" s="67" t="s">
        <v>2519</v>
      </c>
      <c r="AA509" s="67" t="s">
        <v>2518</v>
      </c>
      <c r="AB509" s="67">
        <v>6.8</v>
      </c>
      <c r="AC509" s="85">
        <f>C509+AK509+(0.1)*AL509</f>
        <v>16.3</v>
      </c>
      <c r="AD509" s="78">
        <v>142</v>
      </c>
      <c r="AE509" s="67">
        <v>5</v>
      </c>
      <c r="AF509" s="67">
        <v>5</v>
      </c>
      <c r="AG509" s="67">
        <v>1900</v>
      </c>
      <c r="AH509" s="78">
        <v>0</v>
      </c>
      <c r="AI509" s="67">
        <f>AJ509</f>
        <v>2004</v>
      </c>
      <c r="AJ509" s="69">
        <v>2004</v>
      </c>
      <c r="AK509" s="69">
        <v>12</v>
      </c>
      <c r="AL509" s="69">
        <v>33</v>
      </c>
      <c r="AM509" s="70">
        <v>5</v>
      </c>
      <c r="AN509" s="70">
        <v>0</v>
      </c>
      <c r="AO509" s="86">
        <v>0</v>
      </c>
      <c r="AP509" s="70">
        <v>0</v>
      </c>
      <c r="AQ509" s="70">
        <v>0</v>
      </c>
      <c r="AR509" s="70">
        <v>0</v>
      </c>
      <c r="AS509" s="86">
        <v>0</v>
      </c>
      <c r="AT509" s="70">
        <v>0</v>
      </c>
      <c r="AU509" s="70">
        <v>0</v>
      </c>
      <c r="AV509" s="70">
        <v>0</v>
      </c>
      <c r="AW509" s="86">
        <v>0</v>
      </c>
      <c r="AX509" s="70">
        <v>0</v>
      </c>
      <c r="AY509" s="233"/>
      <c r="AZ509" s="4"/>
      <c r="BA509" s="35" t="str">
        <f>IF(OR(S509="North America",S509="Rocky Mountain"), "Widespread",BC509)</f>
        <v>Widespread</v>
      </c>
      <c r="BB509" s="4"/>
      <c r="BC509" s="35">
        <f ca="1">IF(BE509&gt;2046, "Abundant",BE509)</f>
        <v>2034.1300591800357</v>
      </c>
      <c r="BD509" s="4"/>
      <c r="BE509" s="81">
        <f ca="1">YEAR($C$13)+(BG509*80)</f>
        <v>2034.1300591800357</v>
      </c>
      <c r="BF509" s="4"/>
      <c r="BG509" s="137">
        <f ca="1">BH509*$BH$14</f>
        <v>0.18912573975044561</v>
      </c>
      <c r="BH509" s="137">
        <f ca="1">(((BJ509+BK509+BM509+BN509)/4)*$BM$11)+(((BP509+BQ509)/2)*$BQ$11)+(((BU509+BV509+BW509)/3)*$BU$11)+(((BY509+BZ509+CA509+CB509+CC509)/5)*$CA$11)</f>
        <v>0.18912573975044561</v>
      </c>
      <c r="BI509" s="4"/>
      <c r="BJ509" s="33">
        <f>AP509/(AM509+AO509)</f>
        <v>0</v>
      </c>
      <c r="BK509" s="33">
        <f>(AN509+AO509)/(AM509+AO509)</f>
        <v>0</v>
      </c>
      <c r="BL509" s="4"/>
      <c r="BM509" s="127">
        <f>CF509/102</f>
        <v>0.15980392156862747</v>
      </c>
      <c r="BN509" s="127">
        <f>C509/2</f>
        <v>0.5</v>
      </c>
      <c r="BO509" s="4"/>
      <c r="BP509" s="127">
        <f>(AK509)/($AW$6)</f>
        <v>0.12121212121212122</v>
      </c>
      <c r="BQ509" s="127">
        <f ca="1">(CH509-$AW$4)/((YEAR($C$13))-$AW$4)</f>
        <v>0</v>
      </c>
      <c r="BR509" s="127">
        <f>(AL509)/($AW$6)</f>
        <v>0.33333333333333331</v>
      </c>
      <c r="BS509" s="4"/>
      <c r="BT509" s="127"/>
      <c r="BU509" s="127">
        <f ca="1">(CG509-$AW$4)/((YEAR($C$13))-$AW$4)</f>
        <v>0</v>
      </c>
      <c r="BV509" s="127">
        <f>AE509/5</f>
        <v>1</v>
      </c>
      <c r="BW509" s="127">
        <f>AF509/5</f>
        <v>1</v>
      </c>
      <c r="BX509" s="4"/>
      <c r="BY509" s="148" t="str">
        <f>IF(E509="A",".98",IF(E509="B",".99",IF(E509="C","1.00",IF(E509="D","1.00" ))))</f>
        <v>.98</v>
      </c>
      <c r="BZ509" s="127">
        <f>(CE509+7)/10</f>
        <v>0.8</v>
      </c>
      <c r="CA509" s="76" t="str">
        <f>IF(D509="Fern",".97",IF(D509="Grass",".99",IF(D509="Herb",".97",IF(D509="Shrub",".99",IF(D509="Tree","1.00",IF(D509="Vine",".98"))))))</f>
        <v>.97</v>
      </c>
      <c r="CB509" s="149" t="str">
        <f>IF(R509="Bogs Ponds Streams",".96", IF(R509="Coastal Areas",".97",IF(R509="Meadows Dry Open",".96",IF(R509="Forest &amp; Understory",".97",IF(R509="Moist Open",".98",IF(R509="Moist Shady",".96",IF(R509="Sub-Alpine","1.0")))))))</f>
        <v>.96</v>
      </c>
      <c r="CC509" s="76" t="str">
        <f>IF(S509="Local Endemic",".50",IF(S509="Regional Endemic",".70",IF(S509="Cascadia",".90",IF(S509="Rocky Mountain",".95",IF(S509="North America",".99")))))</f>
        <v>.95</v>
      </c>
      <c r="CD509" s="4"/>
      <c r="CE509" s="21">
        <f>IF(W509&gt;3,3,W509)</f>
        <v>1</v>
      </c>
      <c r="CF509" s="21">
        <f>IF(AC509&gt;102,102,AC509)</f>
        <v>16.3</v>
      </c>
      <c r="CG509" s="34">
        <f>IF(AI509&lt;$AW$4,$AW$4,AI509)</f>
        <v>2004</v>
      </c>
      <c r="CH509" s="34">
        <f>IF(AJ509&lt;$AW$4,$AW$4,AJ509)</f>
        <v>2004</v>
      </c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</row>
    <row r="510" spans="1:116" ht="15" customHeight="1" x14ac:dyDescent="0.3">
      <c r="A510" s="235"/>
      <c r="B510" s="218"/>
      <c r="C510" s="375">
        <v>1</v>
      </c>
      <c r="D510" s="67" t="s">
        <v>2505</v>
      </c>
      <c r="E510" s="67" t="s">
        <v>2502</v>
      </c>
      <c r="F510" s="403" t="str">
        <f ca="1">IF(BC510&lt;2025, "Extinct&lt; 6Yrs?",BA510)</f>
        <v>Widespread</v>
      </c>
      <c r="G510" s="376" t="s">
        <v>525</v>
      </c>
      <c r="H510" s="376" t="s">
        <v>4028</v>
      </c>
      <c r="I510" s="380" t="s">
        <v>102</v>
      </c>
      <c r="J510" s="378" t="s">
        <v>3575</v>
      </c>
      <c r="K510" s="378" t="s">
        <v>101</v>
      </c>
      <c r="L510" s="63" t="s">
        <v>1567</v>
      </c>
      <c r="M510" s="64" t="s">
        <v>4585</v>
      </c>
      <c r="N510" s="64" t="s">
        <v>5482</v>
      </c>
      <c r="O510" s="64" t="s">
        <v>6380</v>
      </c>
      <c r="P510" s="61" t="s">
        <v>51</v>
      </c>
      <c r="Q510" s="67" t="s">
        <v>2552</v>
      </c>
      <c r="R510" s="61" t="s">
        <v>2500</v>
      </c>
      <c r="S510" s="61" t="s">
        <v>2495</v>
      </c>
      <c r="T510" s="134" t="str">
        <f>IF(R510="Bogs Ponds Streams","20",IF(R510="Coastal Areas","26",IF(R510="Meadows Dry Open","10",IF(R510="Forest &amp; Understory","14",IF(R510="Moist Open","12",IF(R510="Moist Shady","10",IF(R510="Sub-Alpine Slopes","0")))))))</f>
        <v>10</v>
      </c>
      <c r="U510" s="134" t="str">
        <f>IF(R510="Bogs Ponds Streams","52",IF(R510="Coastal Areas","51",IF(R510="Meadows Dry Open","53",IF(R510="Forest &amp; Understory","52",IF(R510="Moist Open","50",IF(R510="Moist Shady","46",IF(R510="Sub-Alpine Slopes","40")))))))</f>
        <v>53</v>
      </c>
      <c r="V510" s="134" t="str">
        <f>IF(R510="Bogs Ponds Streams","84",IF(R510="Coastal Areas","76",IF(R510="Meadows Dry Open","96", IF(R510="Forest &amp; Understory","90", IF(R510="Moist Open","88", IF(R510="Moist Shady","82", IF(R510="Sub-Alpine Slopes","80")))))))</f>
        <v>96</v>
      </c>
      <c r="W510" s="67">
        <v>1</v>
      </c>
      <c r="X510" s="67">
        <v>0</v>
      </c>
      <c r="Y510" s="67">
        <v>3500</v>
      </c>
      <c r="Z510" s="67" t="s">
        <v>2519</v>
      </c>
      <c r="AA510" s="67" t="s">
        <v>2518</v>
      </c>
      <c r="AB510" s="67">
        <v>6.8</v>
      </c>
      <c r="AC510" s="85">
        <f>C510+AK510+(0.1)*AL510</f>
        <v>6.8</v>
      </c>
      <c r="AD510" s="78">
        <v>33</v>
      </c>
      <c r="AE510" s="67">
        <v>5</v>
      </c>
      <c r="AF510" s="67">
        <v>5</v>
      </c>
      <c r="AG510" s="67">
        <v>1900</v>
      </c>
      <c r="AH510" s="78">
        <v>0</v>
      </c>
      <c r="AI510" s="67">
        <f>AJ510</f>
        <v>2004</v>
      </c>
      <c r="AJ510" s="69">
        <v>2004</v>
      </c>
      <c r="AK510" s="69">
        <v>5</v>
      </c>
      <c r="AL510" s="69">
        <v>8</v>
      </c>
      <c r="AM510" s="70">
        <v>5</v>
      </c>
      <c r="AN510" s="70">
        <v>0</v>
      </c>
      <c r="AO510" s="86">
        <v>0</v>
      </c>
      <c r="AP510" s="70">
        <v>0</v>
      </c>
      <c r="AQ510" s="70">
        <v>0</v>
      </c>
      <c r="AR510" s="70">
        <v>0</v>
      </c>
      <c r="AS510" s="86">
        <v>0</v>
      </c>
      <c r="AT510" s="70">
        <v>0</v>
      </c>
      <c r="AU510" s="70">
        <v>0</v>
      </c>
      <c r="AV510" s="70">
        <v>0</v>
      </c>
      <c r="AW510" s="86">
        <v>0</v>
      </c>
      <c r="AX510" s="70">
        <v>0</v>
      </c>
      <c r="AY510" s="233"/>
      <c r="AZ510" s="4"/>
      <c r="BA510" s="35" t="str">
        <f>IF(OR(S510="North America",S510="Rocky Mountain"), "Widespread",BC510)</f>
        <v>Widespread</v>
      </c>
      <c r="BB510" s="4"/>
      <c r="BC510" s="35">
        <f ca="1">IF(BE510&gt;2046, "Abundant",BE510)</f>
        <v>2032.1767272727272</v>
      </c>
      <c r="BD510" s="4"/>
      <c r="BE510" s="81">
        <f ca="1">YEAR($C$13)+(BG510*80)</f>
        <v>2032.1767272727272</v>
      </c>
      <c r="BF510" s="4"/>
      <c r="BG510" s="137">
        <f ca="1">BH510*$BH$14</f>
        <v>0.16470909090909089</v>
      </c>
      <c r="BH510" s="137">
        <f ca="1">(((BJ510+BK510+BM510+BN510)/4)*$BM$11)+(((BP510+BQ510)/2)*$BQ$11)+(((BU510+BV510+BW510)/3)*$BU$11)+(((BY510+BZ510+CA510+CB510+CC510)/5)*$CA$11)</f>
        <v>0.16470909090909089</v>
      </c>
      <c r="BI510" s="4"/>
      <c r="BJ510" s="33">
        <f>AP510/(AM510+AO510)</f>
        <v>0</v>
      </c>
      <c r="BK510" s="33">
        <f>(AN510+AO510)/(AM510+AO510)</f>
        <v>0</v>
      </c>
      <c r="BL510" s="4"/>
      <c r="BM510" s="127">
        <f>CF510/102</f>
        <v>6.6666666666666666E-2</v>
      </c>
      <c r="BN510" s="127">
        <f>C510/2</f>
        <v>0.5</v>
      </c>
      <c r="BO510" s="4"/>
      <c r="BP510" s="127">
        <f>(AK510)/($AW$6)</f>
        <v>5.0505050505050504E-2</v>
      </c>
      <c r="BQ510" s="127">
        <f ca="1">(CH510-$AW$4)/((YEAR($C$13))-$AW$4)</f>
        <v>0</v>
      </c>
      <c r="BR510" s="127">
        <f>(AL510)/($AW$6)</f>
        <v>8.0808080808080815E-2</v>
      </c>
      <c r="BS510" s="4"/>
      <c r="BT510" s="127"/>
      <c r="BU510" s="127">
        <f ca="1">(CG510-$AW$4)/((YEAR($C$13))-$AW$4)</f>
        <v>0</v>
      </c>
      <c r="BV510" s="127">
        <f>AE510/5</f>
        <v>1</v>
      </c>
      <c r="BW510" s="127">
        <f>AF510/5</f>
        <v>1</v>
      </c>
      <c r="BX510" s="4"/>
      <c r="BY510" s="148" t="str">
        <f>IF(E510="A",".98",IF(E510="B",".99",IF(E510="C","1.00",IF(E510="D","1.00" ))))</f>
        <v>.98</v>
      </c>
      <c r="BZ510" s="127">
        <f>(CE510+7)/10</f>
        <v>0.8</v>
      </c>
      <c r="CA510" s="76" t="str">
        <f>IF(D510="Fern",".97",IF(D510="Grass",".99",IF(D510="Herb",".97",IF(D510="Shrub",".99",IF(D510="Tree","1.00",IF(D510="Vine",".98"))))))</f>
        <v>.97</v>
      </c>
      <c r="CB510" s="149" t="str">
        <f>IF(R510="Bogs Ponds Streams",".96", IF(R510="Coastal Areas",".97",IF(R510="Meadows Dry Open",".96",IF(R510="Forest &amp; Understory",".97",IF(R510="Moist Open",".98",IF(R510="Moist Shady",".96",IF(R510="Sub-Alpine","1.0")))))))</f>
        <v>.96</v>
      </c>
      <c r="CC510" s="76" t="str">
        <f>IF(S510="Local Endemic",".50",IF(S510="Regional Endemic",".70",IF(S510="Cascadia",".90",IF(S510="Rocky Mountain",".95",IF(S510="North America",".99")))))</f>
        <v>.99</v>
      </c>
      <c r="CD510" s="4"/>
      <c r="CE510" s="21">
        <f>IF(W510&gt;3,3,W510)</f>
        <v>1</v>
      </c>
      <c r="CF510" s="21">
        <f>IF(AC510&gt;102,102,AC510)</f>
        <v>6.8</v>
      </c>
      <c r="CG510" s="34">
        <f>IF(AI510&lt;$AW$4,$AW$4,AI510)</f>
        <v>2004</v>
      </c>
      <c r="CH510" s="34">
        <f>IF(AJ510&lt;$AW$4,$AW$4,AJ510)</f>
        <v>2004</v>
      </c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</row>
    <row r="511" spans="1:116" ht="15" customHeight="1" x14ac:dyDescent="0.3">
      <c r="A511" s="235"/>
      <c r="B511" s="218"/>
      <c r="C511" s="225">
        <v>8</v>
      </c>
      <c r="D511" s="59" t="s">
        <v>2505</v>
      </c>
      <c r="E511" s="59" t="s">
        <v>2501</v>
      </c>
      <c r="F511" s="397" t="str">
        <f ca="1">IF(BC511&lt;2025, "Extinct&lt; 6Yrs?",BA511)</f>
        <v>Abundant</v>
      </c>
      <c r="G511" s="363" t="s">
        <v>525</v>
      </c>
      <c r="H511" s="363" t="s">
        <v>684</v>
      </c>
      <c r="I511" s="366" t="s">
        <v>3088</v>
      </c>
      <c r="J511" s="365" t="s">
        <v>3413</v>
      </c>
      <c r="K511" s="365" t="s">
        <v>438</v>
      </c>
      <c r="L511" s="10" t="s">
        <v>1568</v>
      </c>
      <c r="M511" s="8" t="s">
        <v>4586</v>
      </c>
      <c r="N511" s="8" t="s">
        <v>5483</v>
      </c>
      <c r="O511" s="8" t="s">
        <v>6381</v>
      </c>
      <c r="P511" s="9" t="s">
        <v>749</v>
      </c>
      <c r="Q511" s="59" t="s">
        <v>2552</v>
      </c>
      <c r="R511" s="9" t="s">
        <v>2530</v>
      </c>
      <c r="S511" s="9" t="s">
        <v>2459</v>
      </c>
      <c r="T511" s="123" t="str">
        <f>IF(R511="Bogs Ponds Streams","20",IF(R511="Coastal Areas","26",IF(R511="Meadows Dry Open","10",IF(R511="Forest &amp; Understory","14",IF(R511="Moist Open","12",IF(R511="Moist Shady","10",IF(R511="Sub-Alpine Slopes","0")))))))</f>
        <v>14</v>
      </c>
      <c r="U511" s="123" t="str">
        <f>IF(R511="Bogs Ponds Streams","52",IF(R511="Coastal Areas","51",IF(R511="Meadows Dry Open","53",IF(R511="Forest &amp; Understory","52",IF(R511="Moist Open","50",IF(R511="Moist Shady","46",IF(R511="Sub-Alpine Slopes","40")))))))</f>
        <v>52</v>
      </c>
      <c r="V511" s="123" t="str">
        <f>IF(R511="Bogs Ponds Streams","84",IF(R511="Coastal Areas","76",IF(R511="Meadows Dry Open","96", IF(R511="Forest &amp; Understory","90", IF(R511="Moist Open","88", IF(R511="Moist Shady","82", IF(R511="Sub-Alpine Slopes","80")))))))</f>
        <v>90</v>
      </c>
      <c r="W511" s="59">
        <v>20</v>
      </c>
      <c r="X511" s="59">
        <v>0</v>
      </c>
      <c r="Y511" s="59">
        <v>3500</v>
      </c>
      <c r="Z511" s="59" t="s">
        <v>2519</v>
      </c>
      <c r="AA511" s="59" t="s">
        <v>2518</v>
      </c>
      <c r="AB511" s="59">
        <v>6.8</v>
      </c>
      <c r="AC511" s="45">
        <f>C511+AK511+(0.1)*AL511</f>
        <v>52.2</v>
      </c>
      <c r="AD511" s="77">
        <v>117</v>
      </c>
      <c r="AE511" s="59">
        <v>5</v>
      </c>
      <c r="AF511" s="59">
        <v>5</v>
      </c>
      <c r="AG511" s="59">
        <v>1900</v>
      </c>
      <c r="AH511" s="77">
        <v>0</v>
      </c>
      <c r="AI511" s="59">
        <f ca="1">AJ511</f>
        <v>2019</v>
      </c>
      <c r="AJ511" s="18">
        <f ca="1">YEAR(TODAY())</f>
        <v>2019</v>
      </c>
      <c r="AK511" s="18">
        <v>44</v>
      </c>
      <c r="AL511" s="18">
        <v>2</v>
      </c>
      <c r="AM511" s="18">
        <v>1</v>
      </c>
      <c r="AN511" s="18">
        <v>1</v>
      </c>
      <c r="AO511" s="18">
        <v>5</v>
      </c>
      <c r="AP511" s="18">
        <v>1</v>
      </c>
      <c r="AQ511" s="18">
        <v>0</v>
      </c>
      <c r="AR511" s="18">
        <v>0</v>
      </c>
      <c r="AS511" s="18">
        <v>0</v>
      </c>
      <c r="AT511" s="18">
        <v>0</v>
      </c>
      <c r="AU511" s="18">
        <v>0</v>
      </c>
      <c r="AV511" s="18">
        <v>0</v>
      </c>
      <c r="AW511" s="18">
        <v>0</v>
      </c>
      <c r="AX511" s="18">
        <v>0</v>
      </c>
      <c r="AY511" s="233"/>
      <c r="AZ511" s="4"/>
      <c r="BA511" s="35" t="str">
        <f ca="1">IF(OR(S511="North America",S511="Rocky Mountain"), "Widespread",BC511)</f>
        <v>Abundant</v>
      </c>
      <c r="BB511" s="4"/>
      <c r="BC511" s="35" t="str">
        <f ca="1">IF(BE511&gt;2046, "Abundant",BE511)</f>
        <v>Abundant</v>
      </c>
      <c r="BD511" s="4"/>
      <c r="BE511" s="81">
        <f ca="1">YEAR($C$13)+(BG511*80)</f>
        <v>2112.4233098039217</v>
      </c>
      <c r="BF511" s="4"/>
      <c r="BG511" s="137">
        <f ca="1">BH511*$BH$14</f>
        <v>1.1677913725490197</v>
      </c>
      <c r="BH511" s="137">
        <f ca="1">(((BJ511+BK511+BM511+BN511)/4)*$BM$11)+(((BP511+BQ511)/2)*$BQ$11)+(((BU511+BV511+BW511)/3)*$BU$11)+(((BY511+BZ511+CA511+CB511+CC511)/5)*$CA$11)</f>
        <v>1.1677913725490197</v>
      </c>
      <c r="BI511" s="4"/>
      <c r="BJ511" s="33">
        <f>AP511/(AM511+AO511)</f>
        <v>0.16666666666666666</v>
      </c>
      <c r="BK511" s="33">
        <f>(AN511+AO511)/(AM511+AO511)</f>
        <v>1</v>
      </c>
      <c r="BL511" s="4"/>
      <c r="BM511" s="127">
        <f>CF511/102</f>
        <v>0.51176470588235301</v>
      </c>
      <c r="BN511" s="127">
        <f>C511/2</f>
        <v>4</v>
      </c>
      <c r="BO511" s="4"/>
      <c r="BP511" s="127">
        <f>(AK511)/($AW$6)</f>
        <v>0.44444444444444442</v>
      </c>
      <c r="BQ511" s="127">
        <f ca="1">(CH511-$AW$4)/((YEAR($C$13))-$AW$4)</f>
        <v>1</v>
      </c>
      <c r="BR511" s="127">
        <f>(AL511)/($AW$6)</f>
        <v>2.0202020202020204E-2</v>
      </c>
      <c r="BS511" s="4"/>
      <c r="BT511" s="127"/>
      <c r="BU511" s="127">
        <f ca="1">(CG511-$AW$4)/((YEAR($C$13))-$AW$4)</f>
        <v>1</v>
      </c>
      <c r="BV511" s="127">
        <f>AE511/5</f>
        <v>1</v>
      </c>
      <c r="BW511" s="127">
        <f>AF511/5</f>
        <v>1</v>
      </c>
      <c r="BX511" s="4"/>
      <c r="BY511" s="148" t="str">
        <f>IF(E511="A",".98",IF(E511="B",".99",IF(E511="C","1.00",IF(E511="D","1.00" ))))</f>
        <v>1.00</v>
      </c>
      <c r="BZ511" s="127">
        <f>(CE511+7)/10</f>
        <v>1</v>
      </c>
      <c r="CA511" s="76" t="str">
        <f>IF(D511="Fern",".97",IF(D511="Grass",".99",IF(D511="Herb",".97",IF(D511="Shrub",".99",IF(D511="Tree","1.00",IF(D511="Vine",".98"))))))</f>
        <v>.97</v>
      </c>
      <c r="CB511" s="149" t="str">
        <f>IF(R511="Bogs Ponds Streams",".96", IF(R511="Coastal Areas",".97",IF(R511="Meadows Dry Open",".96",IF(R511="Forest &amp; Understory",".97",IF(R511="Moist Open",".98",IF(R511="Moist Shady",".96",IF(R511="Sub-Alpine","1.0")))))))</f>
        <v>.97</v>
      </c>
      <c r="CC511" s="76" t="str">
        <f>IF(S511="Local Endemic",".50",IF(S511="Regional Endemic",".70",IF(S511="Cascadia",".90",IF(S511="Rocky Mountain",".95",IF(S511="North America",".99")))))</f>
        <v>.90</v>
      </c>
      <c r="CD511" s="4"/>
      <c r="CE511" s="21">
        <f>IF(W511&gt;3,3,W511)</f>
        <v>3</v>
      </c>
      <c r="CF511" s="21">
        <f>IF(AC511&gt;102,102,AC511)</f>
        <v>52.2</v>
      </c>
      <c r="CG511" s="34">
        <f ca="1">IF(AI511&lt;$AW$4,$AW$4,AI511)</f>
        <v>2019</v>
      </c>
      <c r="CH511" s="34">
        <f ca="1">IF(AJ511&lt;$AW$4,$AW$4,AJ511)</f>
        <v>2019</v>
      </c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13"/>
    </row>
    <row r="512" spans="1:116" ht="15" customHeight="1" x14ac:dyDescent="0.3">
      <c r="A512" s="235"/>
      <c r="B512" s="218"/>
      <c r="C512" s="225">
        <v>8</v>
      </c>
      <c r="D512" s="59" t="s">
        <v>2505</v>
      </c>
      <c r="E512" s="59" t="s">
        <v>2501</v>
      </c>
      <c r="F512" s="397" t="str">
        <f ca="1">IF(BC512&lt;2025, "Extinct&lt; 6Yrs?",BA512)</f>
        <v>Widespread</v>
      </c>
      <c r="G512" s="363" t="s">
        <v>525</v>
      </c>
      <c r="H512" s="363" t="s">
        <v>683</v>
      </c>
      <c r="I512" s="366" t="s">
        <v>448</v>
      </c>
      <c r="J512" s="365" t="s">
        <v>3414</v>
      </c>
      <c r="K512" s="365" t="s">
        <v>1042</v>
      </c>
      <c r="L512" s="10" t="s">
        <v>1569</v>
      </c>
      <c r="M512" s="8" t="s">
        <v>4587</v>
      </c>
      <c r="N512" s="8" t="s">
        <v>5484</v>
      </c>
      <c r="O512" s="8" t="s">
        <v>6382</v>
      </c>
      <c r="P512" s="9" t="s">
        <v>749</v>
      </c>
      <c r="Q512" s="59" t="s">
        <v>2552</v>
      </c>
      <c r="R512" s="9" t="s">
        <v>2498</v>
      </c>
      <c r="S512" s="9" t="s">
        <v>2495</v>
      </c>
      <c r="T512" s="123" t="str">
        <f>IF(R512="Bogs Ponds Streams","20",IF(R512="Coastal Areas","26",IF(R512="Meadows Dry Open","10",IF(R512="Forest &amp; Understory","14",IF(R512="Moist Open","12",IF(R512="Moist Shady","10",IF(R512="Sub-Alpine Slopes","0")))))))</f>
        <v>10</v>
      </c>
      <c r="U512" s="123" t="str">
        <f>IF(R512="Bogs Ponds Streams","52",IF(R512="Coastal Areas","51",IF(R512="Meadows Dry Open","53",IF(R512="Forest &amp; Understory","52",IF(R512="Moist Open","50",IF(R512="Moist Shady","46",IF(R512="Sub-Alpine Slopes","40")))))))</f>
        <v>46</v>
      </c>
      <c r="V512" s="123" t="str">
        <f>IF(R512="Bogs Ponds Streams","84",IF(R512="Coastal Areas","76",IF(R512="Meadows Dry Open","96", IF(R512="Forest &amp; Understory","90", IF(R512="Moist Open","88", IF(R512="Moist Shady","82", IF(R512="Sub-Alpine Slopes","80")))))))</f>
        <v>82</v>
      </c>
      <c r="W512" s="59">
        <v>20</v>
      </c>
      <c r="X512" s="59">
        <v>0</v>
      </c>
      <c r="Y512" s="59">
        <v>3500</v>
      </c>
      <c r="Z512" s="59" t="s">
        <v>2519</v>
      </c>
      <c r="AA512" s="59" t="s">
        <v>2518</v>
      </c>
      <c r="AB512" s="59">
        <v>6.8</v>
      </c>
      <c r="AC512" s="45">
        <f>C512+AK512+(0.1)*AL512</f>
        <v>55.3</v>
      </c>
      <c r="AD512" s="77">
        <v>190</v>
      </c>
      <c r="AE512" s="59">
        <v>5</v>
      </c>
      <c r="AF512" s="59">
        <v>5</v>
      </c>
      <c r="AG512" s="59">
        <v>1900</v>
      </c>
      <c r="AH512" s="77">
        <v>0</v>
      </c>
      <c r="AI512" s="59">
        <f ca="1">AJ512</f>
        <v>2019</v>
      </c>
      <c r="AJ512" s="18">
        <f ca="1">YEAR(TODAY())</f>
        <v>2019</v>
      </c>
      <c r="AK512" s="18">
        <v>44</v>
      </c>
      <c r="AL512" s="18">
        <v>33</v>
      </c>
      <c r="AM512" s="18">
        <v>1</v>
      </c>
      <c r="AN512" s="18">
        <v>1</v>
      </c>
      <c r="AO512" s="24">
        <v>1</v>
      </c>
      <c r="AP512" s="24">
        <v>0</v>
      </c>
      <c r="AQ512" s="18">
        <v>0</v>
      </c>
      <c r="AR512" s="18">
        <v>0</v>
      </c>
      <c r="AS512" s="18">
        <v>0</v>
      </c>
      <c r="AT512" s="18">
        <v>0</v>
      </c>
      <c r="AU512" s="18">
        <v>0</v>
      </c>
      <c r="AV512" s="18">
        <v>0</v>
      </c>
      <c r="AW512" s="18">
        <v>0</v>
      </c>
      <c r="AX512" s="18">
        <v>0</v>
      </c>
      <c r="AY512" s="233"/>
      <c r="AZ512" s="4"/>
      <c r="BA512" s="35" t="str">
        <f>IF(OR(S512="North America",S512="Rocky Mountain"), "Widespread",BC512)</f>
        <v>Widespread</v>
      </c>
      <c r="BB512" s="4"/>
      <c r="BC512" s="35" t="str">
        <f ca="1">IF(BE512&gt;2046, "Abundant",BE512)</f>
        <v>Abundant</v>
      </c>
      <c r="BD512" s="4"/>
      <c r="BE512" s="81">
        <f ca="1">YEAR($C$13)+(BG512*80)</f>
        <v>2110.8136156862747</v>
      </c>
      <c r="BF512" s="4"/>
      <c r="BG512" s="137">
        <f ca="1">BH512*$BH$14</f>
        <v>1.1476701960784312</v>
      </c>
      <c r="BH512" s="137">
        <f ca="1">(((BJ512+BK512+BM512+BN512)/4)*$BM$11)+(((BP512+BQ512)/2)*$BQ$11)+(((BU512+BV512+BW512)/3)*$BU$11)+(((BY512+BZ512+CA512+CB512+CC512)/5)*$CA$11)</f>
        <v>1.1476701960784312</v>
      </c>
      <c r="BI512" s="4"/>
      <c r="BJ512" s="33">
        <f>AP512/(AM512+AO512)</f>
        <v>0</v>
      </c>
      <c r="BK512" s="33">
        <f>(AN512+AO512)/(AM512+AO512)</f>
        <v>1</v>
      </c>
      <c r="BL512" s="4"/>
      <c r="BM512" s="127">
        <f>CF512/102</f>
        <v>0.542156862745098</v>
      </c>
      <c r="BN512" s="127">
        <f>C512/2</f>
        <v>4</v>
      </c>
      <c r="BO512" s="4"/>
      <c r="BP512" s="127">
        <f>(AK512)/($AW$6)</f>
        <v>0.44444444444444442</v>
      </c>
      <c r="BQ512" s="127">
        <f ca="1">(CH512-$AW$4)/((YEAR($C$13))-$AW$4)</f>
        <v>1</v>
      </c>
      <c r="BR512" s="127">
        <f>(AL512)/($AW$6)</f>
        <v>0.33333333333333331</v>
      </c>
      <c r="BS512" s="4"/>
      <c r="BT512" s="127"/>
      <c r="BU512" s="127">
        <f ca="1">(CG512-$AW$4)/((YEAR($C$13))-$AW$4)</f>
        <v>1</v>
      </c>
      <c r="BV512" s="127">
        <f>AE512/5</f>
        <v>1</v>
      </c>
      <c r="BW512" s="127">
        <f>AF512/5</f>
        <v>1</v>
      </c>
      <c r="BX512" s="4"/>
      <c r="BY512" s="148" t="str">
        <f>IF(E512="A",".98",IF(E512="B",".99",IF(E512="C","1.00",IF(E512="D","1.00" ))))</f>
        <v>1.00</v>
      </c>
      <c r="BZ512" s="127">
        <f>(CE512+7)/10</f>
        <v>1</v>
      </c>
      <c r="CA512" s="76" t="str">
        <f>IF(D512="Fern",".97",IF(D512="Grass",".99",IF(D512="Herb",".97",IF(D512="Shrub",".99",IF(D512="Tree","1.00",IF(D512="Vine",".98"))))))</f>
        <v>.97</v>
      </c>
      <c r="CB512" s="149" t="str">
        <f>IF(R512="Bogs Ponds Streams",".96", IF(R512="Coastal Areas",".97",IF(R512="Meadows Dry Open",".96",IF(R512="Forest &amp; Understory",".97",IF(R512="Moist Open",".98",IF(R512="Moist Shady",".96",IF(R512="Sub-Alpine","1.0")))))))</f>
        <v>.96</v>
      </c>
      <c r="CC512" s="76" t="str">
        <f>IF(S512="Local Endemic",".50",IF(S512="Regional Endemic",".70",IF(S512="Cascadia",".90",IF(S512="Rocky Mountain",".95",IF(S512="North America",".99")))))</f>
        <v>.99</v>
      </c>
      <c r="CD512" s="4"/>
      <c r="CE512" s="21">
        <f>IF(W512&gt;3,3,W512)</f>
        <v>3</v>
      </c>
      <c r="CF512" s="21">
        <f>IF(AC512&gt;102,102,AC512)</f>
        <v>55.3</v>
      </c>
      <c r="CG512" s="34">
        <f ca="1">IF(AI512&lt;$AW$4,$AW$4,AI512)</f>
        <v>2019</v>
      </c>
      <c r="CH512" s="34">
        <f ca="1">IF(AJ512&lt;$AW$4,$AW$4,AJ512)</f>
        <v>2019</v>
      </c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13"/>
    </row>
    <row r="513" spans="1:115" ht="15" customHeight="1" x14ac:dyDescent="0.3">
      <c r="A513" s="235"/>
      <c r="B513" s="218"/>
      <c r="C513" s="225">
        <v>8</v>
      </c>
      <c r="D513" s="59" t="s">
        <v>2505</v>
      </c>
      <c r="E513" s="59" t="s">
        <v>2501</v>
      </c>
      <c r="F513" s="397" t="str">
        <f ca="1">IF(BC513&lt;2025, "Extinct&lt; 6Yrs?",BA513)</f>
        <v>Widespread</v>
      </c>
      <c r="G513" s="363" t="s">
        <v>525</v>
      </c>
      <c r="H513" s="363" t="s">
        <v>683</v>
      </c>
      <c r="I513" s="366" t="s">
        <v>449</v>
      </c>
      <c r="J513" s="365" t="s">
        <v>3415</v>
      </c>
      <c r="K513" s="365" t="s">
        <v>1040</v>
      </c>
      <c r="L513" s="10" t="s">
        <v>1570</v>
      </c>
      <c r="M513" s="8" t="s">
        <v>4588</v>
      </c>
      <c r="N513" s="8" t="s">
        <v>5485</v>
      </c>
      <c r="O513" s="8" t="s">
        <v>6383</v>
      </c>
      <c r="P513" s="9" t="s">
        <v>749</v>
      </c>
      <c r="Q513" s="59" t="s">
        <v>2552</v>
      </c>
      <c r="R513" s="9" t="s">
        <v>2498</v>
      </c>
      <c r="S513" s="9" t="s">
        <v>2495</v>
      </c>
      <c r="T513" s="123" t="str">
        <f>IF(R513="Bogs Ponds Streams","20",IF(R513="Coastal Areas","26",IF(R513="Meadows Dry Open","10",IF(R513="Forest &amp; Understory","14",IF(R513="Moist Open","12",IF(R513="Moist Shady","10",IF(R513="Sub-Alpine Slopes","0")))))))</f>
        <v>10</v>
      </c>
      <c r="U513" s="123" t="str">
        <f>IF(R513="Bogs Ponds Streams","52",IF(R513="Coastal Areas","51",IF(R513="Meadows Dry Open","53",IF(R513="Forest &amp; Understory","52",IF(R513="Moist Open","50",IF(R513="Moist Shady","46",IF(R513="Sub-Alpine Slopes","40")))))))</f>
        <v>46</v>
      </c>
      <c r="V513" s="123" t="str">
        <f>IF(R513="Bogs Ponds Streams","84",IF(R513="Coastal Areas","76",IF(R513="Meadows Dry Open","96", IF(R513="Forest &amp; Understory","90", IF(R513="Moist Open","88", IF(R513="Moist Shady","82", IF(R513="Sub-Alpine Slopes","80")))))))</f>
        <v>82</v>
      </c>
      <c r="W513" s="59">
        <v>20</v>
      </c>
      <c r="X513" s="59">
        <v>0</v>
      </c>
      <c r="Y513" s="59">
        <v>3500</v>
      </c>
      <c r="Z513" s="59" t="s">
        <v>2519</v>
      </c>
      <c r="AA513" s="59" t="s">
        <v>2518</v>
      </c>
      <c r="AB513" s="59">
        <v>6.8</v>
      </c>
      <c r="AC513" s="45">
        <f>C513+AK513+(0.1)*AL513</f>
        <v>32.200000000000003</v>
      </c>
      <c r="AD513" s="77">
        <v>250</v>
      </c>
      <c r="AE513" s="59">
        <v>5</v>
      </c>
      <c r="AF513" s="59">
        <v>5</v>
      </c>
      <c r="AG513" s="59">
        <v>1900</v>
      </c>
      <c r="AH513" s="77">
        <v>0</v>
      </c>
      <c r="AI513" s="59">
        <f ca="1">AJ513</f>
        <v>2019</v>
      </c>
      <c r="AJ513" s="18">
        <f ca="1">YEAR(TODAY())</f>
        <v>2019</v>
      </c>
      <c r="AK513" s="18">
        <v>22</v>
      </c>
      <c r="AL513" s="18">
        <v>22</v>
      </c>
      <c r="AM513" s="18">
        <v>1</v>
      </c>
      <c r="AN513" s="18">
        <v>1</v>
      </c>
      <c r="AO513" s="18">
        <v>5</v>
      </c>
      <c r="AP513" s="18">
        <v>1</v>
      </c>
      <c r="AQ513" s="18">
        <v>0</v>
      </c>
      <c r="AR513" s="18">
        <v>0</v>
      </c>
      <c r="AS513" s="18">
        <v>0</v>
      </c>
      <c r="AT513" s="18">
        <v>0</v>
      </c>
      <c r="AU513" s="18">
        <v>0</v>
      </c>
      <c r="AV513" s="18">
        <v>0</v>
      </c>
      <c r="AW513" s="18">
        <v>0</v>
      </c>
      <c r="AX513" s="18">
        <v>0</v>
      </c>
      <c r="AY513" s="233"/>
      <c r="AZ513" s="4"/>
      <c r="BA513" s="35" t="str">
        <f>IF(OR(S513="North America",S513="Rocky Mountain"), "Widespread",BC513)</f>
        <v>Widespread</v>
      </c>
      <c r="BB513" s="4"/>
      <c r="BC513" s="35" t="str">
        <f ca="1">IF(BE513&gt;2046, "Abundant",BE513)</f>
        <v>Abundant</v>
      </c>
      <c r="BD513" s="4"/>
      <c r="BE513" s="81">
        <f ca="1">YEAR($C$13)+(BG513*80)</f>
        <v>2107.4293019607844</v>
      </c>
      <c r="BF513" s="4"/>
      <c r="BG513" s="137">
        <f ca="1">BH513*$BH$14</f>
        <v>1.1053662745098041</v>
      </c>
      <c r="BH513" s="137">
        <f ca="1">(((BJ513+BK513+BM513+BN513)/4)*$BM$11)+(((BP513+BQ513)/2)*$BQ$11)+(((BU513+BV513+BW513)/3)*$BU$11)+(((BY513+BZ513+CA513+CB513+CC513)/5)*$CA$11)</f>
        <v>1.1053662745098041</v>
      </c>
      <c r="BI513" s="4"/>
      <c r="BJ513" s="33">
        <f>AP513/(AM513+AO513)</f>
        <v>0.16666666666666666</v>
      </c>
      <c r="BK513" s="33">
        <f>(AN513+AO513)/(AM513+AO513)</f>
        <v>1</v>
      </c>
      <c r="BL513" s="4"/>
      <c r="BM513" s="127">
        <f>CF513/102</f>
        <v>0.31568627450980397</v>
      </c>
      <c r="BN513" s="127">
        <f>C513/2</f>
        <v>4</v>
      </c>
      <c r="BO513" s="4"/>
      <c r="BP513" s="127">
        <f>(AK513)/($AW$6)</f>
        <v>0.22222222222222221</v>
      </c>
      <c r="BQ513" s="127">
        <f ca="1">(CH513-$AW$4)/((YEAR($C$13))-$AW$4)</f>
        <v>1</v>
      </c>
      <c r="BR513" s="127">
        <f>(AL513)/($AW$6)</f>
        <v>0.22222222222222221</v>
      </c>
      <c r="BS513" s="4"/>
      <c r="BT513" s="127"/>
      <c r="BU513" s="127">
        <f ca="1">(CG513-$AW$4)/((YEAR($C$13))-$AW$4)</f>
        <v>1</v>
      </c>
      <c r="BV513" s="127">
        <f>AE513/5</f>
        <v>1</v>
      </c>
      <c r="BW513" s="127">
        <f>AF513/5</f>
        <v>1</v>
      </c>
      <c r="BX513" s="4"/>
      <c r="BY513" s="148" t="str">
        <f>IF(E513="A",".98",IF(E513="B",".99",IF(E513="C","1.00",IF(E513="D","1.00" ))))</f>
        <v>1.00</v>
      </c>
      <c r="BZ513" s="127">
        <f>(CE513+7)/10</f>
        <v>1</v>
      </c>
      <c r="CA513" s="76" t="str">
        <f>IF(D513="Fern",".97",IF(D513="Grass",".99",IF(D513="Herb",".97",IF(D513="Shrub",".99",IF(D513="Tree","1.00",IF(D513="Vine",".98"))))))</f>
        <v>.97</v>
      </c>
      <c r="CB513" s="149" t="str">
        <f>IF(R513="Bogs Ponds Streams",".96", IF(R513="Coastal Areas",".97",IF(R513="Meadows Dry Open",".96",IF(R513="Forest &amp; Understory",".97",IF(R513="Moist Open",".98",IF(R513="Moist Shady",".96",IF(R513="Sub-Alpine","1.0")))))))</f>
        <v>.96</v>
      </c>
      <c r="CC513" s="76" t="str">
        <f>IF(S513="Local Endemic",".50",IF(S513="Regional Endemic",".70",IF(S513="Cascadia",".90",IF(S513="Rocky Mountain",".95",IF(S513="North America",".99")))))</f>
        <v>.99</v>
      </c>
      <c r="CD513" s="4"/>
      <c r="CE513" s="21">
        <f>IF(W513&gt;3,3,W513)</f>
        <v>3</v>
      </c>
      <c r="CF513" s="21">
        <f>IF(AC513&gt;102,102,AC513)</f>
        <v>32.200000000000003</v>
      </c>
      <c r="CG513" s="34">
        <f ca="1">IF(AI513&lt;$AW$4,$AW$4,AI513)</f>
        <v>2019</v>
      </c>
      <c r="CH513" s="34">
        <f ca="1">IF(AJ513&lt;$AW$4,$AW$4,AJ513)</f>
        <v>2019</v>
      </c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13"/>
    </row>
    <row r="514" spans="1:115" ht="15" customHeight="1" x14ac:dyDescent="0.3">
      <c r="A514" s="235"/>
      <c r="B514" s="218"/>
      <c r="C514" s="375">
        <v>1</v>
      </c>
      <c r="D514" s="67" t="s">
        <v>2505</v>
      </c>
      <c r="E514" s="67" t="s">
        <v>2501</v>
      </c>
      <c r="F514" s="403">
        <f ca="1">IF(BC514&lt;2025, "Extinct&lt; 6Yrs?",BA514)</f>
        <v>2030.0060320855614</v>
      </c>
      <c r="G514" s="376" t="s">
        <v>525</v>
      </c>
      <c r="H514" s="376" t="s">
        <v>4028</v>
      </c>
      <c r="I514" s="377" t="s">
        <v>2410</v>
      </c>
      <c r="J514" s="378" t="s">
        <v>2412</v>
      </c>
      <c r="K514" s="378" t="s">
        <v>2364</v>
      </c>
      <c r="L514" s="64" t="s">
        <v>2411</v>
      </c>
      <c r="M514" s="64" t="s">
        <v>4589</v>
      </c>
      <c r="N514" s="64" t="s">
        <v>5486</v>
      </c>
      <c r="O514" s="64" t="s">
        <v>6384</v>
      </c>
      <c r="P514" s="61" t="s">
        <v>458</v>
      </c>
      <c r="Q514" s="67" t="s">
        <v>2552</v>
      </c>
      <c r="R514" s="163" t="s">
        <v>2497</v>
      </c>
      <c r="S514" s="164" t="s">
        <v>2316</v>
      </c>
      <c r="T514" s="134" t="str">
        <f>IF(R514="Bogs Ponds Streams","20",IF(R514="Coastal Areas","26",IF(R514="Meadows Dry Open","10",IF(R514="Forest &amp; Understory","14",IF(R514="Moist Open","12",IF(R514="Moist Shady","10",IF(R514="Sub-Alpine Slopes","0")))))))</f>
        <v>12</v>
      </c>
      <c r="U514" s="134" t="str">
        <f>IF(R514="Bogs Ponds Streams","52",IF(R514="Coastal Areas","51",IF(R514="Meadows Dry Open","53",IF(R514="Forest &amp; Understory","52",IF(R514="Moist Open","50",IF(R514="Moist Shady","46",IF(R514="Sub-Alpine Slopes","40")))))))</f>
        <v>50</v>
      </c>
      <c r="V514" s="134" t="str">
        <f>IF(R514="Bogs Ponds Streams","84",IF(R514="Coastal Areas","76",IF(R514="Meadows Dry Open","96", IF(R514="Forest &amp; Understory","90", IF(R514="Moist Open","88", IF(R514="Moist Shady","82", IF(R514="Sub-Alpine Slopes","80")))))))</f>
        <v>88</v>
      </c>
      <c r="W514" s="67">
        <v>20</v>
      </c>
      <c r="X514" s="67">
        <v>0</v>
      </c>
      <c r="Y514" s="67">
        <v>3500</v>
      </c>
      <c r="Z514" s="67" t="s">
        <v>2519</v>
      </c>
      <c r="AA514" s="67" t="s">
        <v>2518</v>
      </c>
      <c r="AB514" s="67">
        <v>6.8</v>
      </c>
      <c r="AC514" s="85">
        <f>C514+AK514+(0.1)*AL514</f>
        <v>3</v>
      </c>
      <c r="AD514" s="78">
        <v>10</v>
      </c>
      <c r="AE514" s="68">
        <v>3</v>
      </c>
      <c r="AF514" s="68">
        <v>4</v>
      </c>
      <c r="AG514" s="78">
        <v>1925</v>
      </c>
      <c r="AH514" s="78">
        <v>0</v>
      </c>
      <c r="AI514" s="78">
        <v>2000</v>
      </c>
      <c r="AJ514" s="67">
        <v>1990</v>
      </c>
      <c r="AK514" s="67">
        <v>2</v>
      </c>
      <c r="AL514" s="67">
        <v>0</v>
      </c>
      <c r="AM514" s="70">
        <v>5</v>
      </c>
      <c r="AN514" s="70">
        <v>0</v>
      </c>
      <c r="AO514" s="86">
        <v>0</v>
      </c>
      <c r="AP514" s="70">
        <v>0</v>
      </c>
      <c r="AQ514" s="70">
        <v>0</v>
      </c>
      <c r="AR514" s="70">
        <v>0</v>
      </c>
      <c r="AS514" s="86">
        <v>0</v>
      </c>
      <c r="AT514" s="70">
        <v>0</v>
      </c>
      <c r="AU514" s="70">
        <v>0</v>
      </c>
      <c r="AV514" s="70">
        <v>0</v>
      </c>
      <c r="AW514" s="86">
        <v>0</v>
      </c>
      <c r="AX514" s="70">
        <v>0</v>
      </c>
      <c r="AY514" s="233"/>
      <c r="AZ514" s="11"/>
      <c r="BA514" s="35">
        <f ca="1">IF(OR(S514="North America",S514="Rocky Mountain"), "Widespread",BC514)</f>
        <v>2030.0060320855614</v>
      </c>
      <c r="BB514" s="11"/>
      <c r="BC514" s="35">
        <f ca="1">IF(BE514&gt;2046, "Abundant",BE514)</f>
        <v>2030.0060320855614</v>
      </c>
      <c r="BD514" s="11"/>
      <c r="BE514" s="81">
        <f ca="1">YEAR($C$13)+(BG514*80)</f>
        <v>2030.0060320855614</v>
      </c>
      <c r="BF514" s="11"/>
      <c r="BG514" s="137">
        <f ca="1">BH514*$BH$14</f>
        <v>0.13757540106951871</v>
      </c>
      <c r="BH514" s="137">
        <f ca="1">(((BJ514+BK514+BM514+BN514)/4)*$BM$11)+(((BP514+BQ514)/2)*$BQ$11)+(((BU514+BV514+BW514)/3)*$BU$11)+(((BY514+BZ514+CA514+CB514+CC514)/5)*$CA$11)</f>
        <v>0.13757540106951871</v>
      </c>
      <c r="BI514" s="11"/>
      <c r="BJ514" s="33">
        <f>AP514/(AM514+AO514)</f>
        <v>0</v>
      </c>
      <c r="BK514" s="33">
        <f>(AN514+AO514)/(AM514+AO514)</f>
        <v>0</v>
      </c>
      <c r="BL514" s="11"/>
      <c r="BM514" s="127">
        <f>CF514/102</f>
        <v>2.9411764705882353E-2</v>
      </c>
      <c r="BN514" s="127">
        <f>C514/2</f>
        <v>0.5</v>
      </c>
      <c r="BO514" s="11"/>
      <c r="BP514" s="127">
        <f>(AK514)/($AW$6)</f>
        <v>2.0202020202020204E-2</v>
      </c>
      <c r="BQ514" s="127">
        <f ca="1">(CH514-$AW$4)/((YEAR($C$13))-$AW$4)</f>
        <v>0</v>
      </c>
      <c r="BR514" s="127">
        <f>(AL514)/($AW$6)</f>
        <v>0</v>
      </c>
      <c r="BS514" s="11"/>
      <c r="BT514" s="127"/>
      <c r="BU514" s="127">
        <f ca="1">(CG514-$AW$4)/((YEAR($C$13))-$AW$4)</f>
        <v>0</v>
      </c>
      <c r="BV514" s="127">
        <f>AE514/5</f>
        <v>0.6</v>
      </c>
      <c r="BW514" s="127">
        <f>AF514/5</f>
        <v>0.8</v>
      </c>
      <c r="BX514" s="11"/>
      <c r="BY514" s="148" t="str">
        <f>IF(E514="A",".98",IF(E514="B",".99",IF(E514="C","1.00",IF(E514="D","1.00" ))))</f>
        <v>1.00</v>
      </c>
      <c r="BZ514" s="127">
        <f>(CE514+7)/10</f>
        <v>1</v>
      </c>
      <c r="CA514" s="76" t="str">
        <f>IF(D514="Fern",".97",IF(D514="Grass",".99",IF(D514="Herb",".97",IF(D514="Shrub",".99",IF(D514="Tree","1.00",IF(D514="Vine",".98"))))))</f>
        <v>.97</v>
      </c>
      <c r="CB514" s="149" t="str">
        <f>IF(R514="Bogs Ponds Streams",".96", IF(R514="Coastal Areas",".97",IF(R514="Meadows Dry Open",".96",IF(R514="Forest &amp; Understory",".97",IF(R514="Moist Open",".98",IF(R514="Moist Shady",".96",IF(R514="Sub-Alpine","1.0")))))))</f>
        <v>.98</v>
      </c>
      <c r="CC514" s="76" t="str">
        <f>IF(S514="Local Endemic",".50",IF(S514="Regional Endemic",".70",IF(S514="Cascadia",".90",IF(S514="Rocky Mountain",".95",IF(S514="North America",".99")))))</f>
        <v>.50</v>
      </c>
      <c r="CD514" s="11"/>
      <c r="CE514" s="21">
        <f>IF(W514&gt;3,3,W514)</f>
        <v>3</v>
      </c>
      <c r="CF514" s="21">
        <f>IF(AC514&gt;102,102,AC514)</f>
        <v>3</v>
      </c>
      <c r="CG514" s="34">
        <f>IF(AI514&lt;$AW$4,$AW$4,AI514)</f>
        <v>2004</v>
      </c>
      <c r="CH514" s="34">
        <f>IF(AJ514&lt;$AW$4,$AW$4,AJ514)</f>
        <v>2004</v>
      </c>
      <c r="CI514" s="11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11"/>
      <c r="DC514" s="11"/>
      <c r="DD514" s="11"/>
      <c r="DE514" s="11"/>
      <c r="DF514" s="11"/>
      <c r="DG514" s="11"/>
      <c r="DH514" s="11"/>
      <c r="DI514" s="11"/>
      <c r="DJ514" s="11"/>
    </row>
    <row r="515" spans="1:115" ht="15" customHeight="1" x14ac:dyDescent="0.3">
      <c r="A515" s="235"/>
      <c r="B515" s="218"/>
      <c r="C515" s="225">
        <v>8</v>
      </c>
      <c r="D515" s="59" t="s">
        <v>2507</v>
      </c>
      <c r="E515" s="59" t="s">
        <v>2501</v>
      </c>
      <c r="F515" s="397" t="str">
        <f ca="1">IF(BC515&lt;2025, "Extinct&lt; 6Yrs?",BA515)</f>
        <v>Abundant</v>
      </c>
      <c r="G515" s="363" t="s">
        <v>525</v>
      </c>
      <c r="H515" s="363" t="s">
        <v>682</v>
      </c>
      <c r="I515" s="366" t="s">
        <v>732</v>
      </c>
      <c r="J515" s="365" t="s">
        <v>3416</v>
      </c>
      <c r="K515" s="365" t="s">
        <v>1041</v>
      </c>
      <c r="L515" s="10" t="s">
        <v>2188</v>
      </c>
      <c r="M515" s="8" t="s">
        <v>4590</v>
      </c>
      <c r="N515" s="8" t="s">
        <v>5487</v>
      </c>
      <c r="O515" s="8" t="s">
        <v>6385</v>
      </c>
      <c r="P515" s="9" t="s">
        <v>303</v>
      </c>
      <c r="Q515" s="59" t="s">
        <v>2552</v>
      </c>
      <c r="R515" s="9" t="s">
        <v>2498</v>
      </c>
      <c r="S515" s="9" t="s">
        <v>2459</v>
      </c>
      <c r="T515" s="123" t="str">
        <f>IF(R515="Bogs Ponds Streams","20",IF(R515="Coastal Areas","26",IF(R515="Meadows Dry Open","10",IF(R515="Forest &amp; Understory","14",IF(R515="Moist Open","12",IF(R515="Moist Shady","10",IF(R515="Sub-Alpine Slopes","0")))))))</f>
        <v>10</v>
      </c>
      <c r="U515" s="123" t="str">
        <f>IF(R515="Bogs Ponds Streams","52",IF(R515="Coastal Areas","51",IF(R515="Meadows Dry Open","53",IF(R515="Forest &amp; Understory","52",IF(R515="Moist Open","50",IF(R515="Moist Shady","46",IF(R515="Sub-Alpine Slopes","40")))))))</f>
        <v>46</v>
      </c>
      <c r="V515" s="123" t="str">
        <f>IF(R515="Bogs Ponds Streams","84",IF(R515="Coastal Areas","76",IF(R515="Meadows Dry Open","96", IF(R515="Forest &amp; Understory","90", IF(R515="Moist Open","88", IF(R515="Moist Shady","82", IF(R515="Sub-Alpine Slopes","80")))))))</f>
        <v>82</v>
      </c>
      <c r="W515" s="59">
        <v>20</v>
      </c>
      <c r="X515" s="59">
        <v>0</v>
      </c>
      <c r="Y515" s="59">
        <v>3500</v>
      </c>
      <c r="Z515" s="59" t="s">
        <v>2519</v>
      </c>
      <c r="AA515" s="59" t="s">
        <v>2518</v>
      </c>
      <c r="AB515" s="59">
        <v>6.8</v>
      </c>
      <c r="AC515" s="45">
        <f>C515+AK515+(0.1)*AL515</f>
        <v>41</v>
      </c>
      <c r="AD515" s="77">
        <v>107</v>
      </c>
      <c r="AE515" s="59">
        <v>5</v>
      </c>
      <c r="AF515" s="59">
        <v>5</v>
      </c>
      <c r="AG515" s="59">
        <v>1900</v>
      </c>
      <c r="AH515" s="77">
        <v>0</v>
      </c>
      <c r="AI515" s="59">
        <f ca="1">AJ515</f>
        <v>2019</v>
      </c>
      <c r="AJ515" s="18">
        <f ca="1">YEAR(TODAY())</f>
        <v>2019</v>
      </c>
      <c r="AK515" s="18">
        <v>33</v>
      </c>
      <c r="AL515" s="18">
        <v>0</v>
      </c>
      <c r="AM515" s="18">
        <v>1</v>
      </c>
      <c r="AN515" s="18">
        <v>1</v>
      </c>
      <c r="AO515" s="18">
        <v>5</v>
      </c>
      <c r="AP515" s="18">
        <v>1</v>
      </c>
      <c r="AQ515" s="18">
        <v>0</v>
      </c>
      <c r="AR515" s="18">
        <v>0</v>
      </c>
      <c r="AS515" s="18">
        <v>0</v>
      </c>
      <c r="AT515" s="18">
        <v>0</v>
      </c>
      <c r="AU515" s="18">
        <v>0</v>
      </c>
      <c r="AV515" s="18">
        <v>0</v>
      </c>
      <c r="AW515" s="18">
        <v>0</v>
      </c>
      <c r="AX515" s="18">
        <v>0</v>
      </c>
      <c r="AY515" s="233"/>
      <c r="AZ515" s="4"/>
      <c r="BA515" s="35" t="str">
        <f ca="1">IF(OR(S515="North America",S515="Rocky Mountain"), "Widespread",BC515)</f>
        <v>Abundant</v>
      </c>
      <c r="BB515" s="4"/>
      <c r="BC515" s="35" t="str">
        <f ca="1">IF(BE515&gt;2046, "Abundant",BE515)</f>
        <v>Abundant</v>
      </c>
      <c r="BD515" s="4"/>
      <c r="BE515" s="81">
        <f ca="1">YEAR($C$13)+(BG515*80)</f>
        <v>2109.7787294117647</v>
      </c>
      <c r="BF515" s="4"/>
      <c r="BG515" s="137">
        <f ca="1">BH515*$BH$14</f>
        <v>1.1347341176470587</v>
      </c>
      <c r="BH515" s="137">
        <f ca="1">(((BJ515+BK515+BM515+BN515)/4)*$BM$11)+(((BP515+BQ515)/2)*$BQ$11)+(((BU515+BV515+BW515)/3)*$BU$11)+(((BY515+BZ515+CA515+CB515+CC515)/5)*$CA$11)</f>
        <v>1.1347341176470587</v>
      </c>
      <c r="BI515" s="4"/>
      <c r="BJ515" s="33">
        <f>AP515/(AM515+AO515)</f>
        <v>0.16666666666666666</v>
      </c>
      <c r="BK515" s="33">
        <f>(AN515+AO515)/(AM515+AO515)</f>
        <v>1</v>
      </c>
      <c r="BL515" s="4"/>
      <c r="BM515" s="127">
        <f>CF515/102</f>
        <v>0.40196078431372551</v>
      </c>
      <c r="BN515" s="127">
        <f>C515/2</f>
        <v>4</v>
      </c>
      <c r="BO515" s="4"/>
      <c r="BP515" s="127">
        <f>(AK515)/($AW$6)</f>
        <v>0.33333333333333331</v>
      </c>
      <c r="BQ515" s="127">
        <f ca="1">(CH515-$AW$4)/((YEAR($C$13))-$AW$4)</f>
        <v>1</v>
      </c>
      <c r="BR515" s="127">
        <f>(AL515)/($AW$6)</f>
        <v>0</v>
      </c>
      <c r="BS515" s="4"/>
      <c r="BT515" s="127"/>
      <c r="BU515" s="127">
        <f ca="1">(CG515-$AW$4)/((YEAR($C$13))-$AW$4)</f>
        <v>1</v>
      </c>
      <c r="BV515" s="127">
        <f>AE515/5</f>
        <v>1</v>
      </c>
      <c r="BW515" s="127">
        <f>AF515/5</f>
        <v>1</v>
      </c>
      <c r="BX515" s="4"/>
      <c r="BY515" s="148" t="str">
        <f>IF(E515="A",".98",IF(E515="B",".99",IF(E515="C","1.00",IF(E515="D","1.00" ))))</f>
        <v>1.00</v>
      </c>
      <c r="BZ515" s="127">
        <f>(CE515+7)/10</f>
        <v>1</v>
      </c>
      <c r="CA515" s="76" t="str">
        <f>IF(D515="Fern",".97",IF(D515="Grass",".99",IF(D515="Herb",".97",IF(D515="Shrub",".99",IF(D515="Tree","1.00",IF(D515="Vine",".98"))))))</f>
        <v>1.00</v>
      </c>
      <c r="CB515" s="149" t="str">
        <f>IF(R515="Bogs Ponds Streams",".96", IF(R515="Coastal Areas",".97",IF(R515="Meadows Dry Open",".96",IF(R515="Forest &amp; Understory",".97",IF(R515="Moist Open",".98",IF(R515="Moist Shady",".96",IF(R515="Sub-Alpine","1.0")))))))</f>
        <v>.96</v>
      </c>
      <c r="CC515" s="76" t="str">
        <f>IF(S515="Local Endemic",".50",IF(S515="Regional Endemic",".70",IF(S515="Cascadia",".90",IF(S515="Rocky Mountain",".95",IF(S515="North America",".99")))))</f>
        <v>.90</v>
      </c>
      <c r="CD515" s="4"/>
      <c r="CE515" s="21">
        <f>IF(W515&gt;3,3,W515)</f>
        <v>3</v>
      </c>
      <c r="CF515" s="21">
        <f>IF(AC515&gt;102,102,AC515)</f>
        <v>41</v>
      </c>
      <c r="CG515" s="34">
        <f ca="1">IF(AI515&lt;$AW$4,$AW$4,AI515)</f>
        <v>2019</v>
      </c>
      <c r="CH515" s="34">
        <f ca="1">IF(AJ515&lt;$AW$4,$AW$4,AJ515)</f>
        <v>2019</v>
      </c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</row>
    <row r="516" spans="1:115" ht="15" customHeight="1" x14ac:dyDescent="0.3">
      <c r="A516" s="235"/>
      <c r="B516" s="218"/>
      <c r="C516" s="225">
        <v>8</v>
      </c>
      <c r="D516" s="59" t="s">
        <v>2505</v>
      </c>
      <c r="E516" s="59" t="s">
        <v>2501</v>
      </c>
      <c r="F516" s="397" t="str">
        <f ca="1">IF(BC516&lt;2025, "Extinct&lt; 6Yrs?",BA516)</f>
        <v>Abundant</v>
      </c>
      <c r="G516" s="363" t="s">
        <v>525</v>
      </c>
      <c r="H516" s="363" t="s">
        <v>682</v>
      </c>
      <c r="I516" s="366" t="s">
        <v>1283</v>
      </c>
      <c r="J516" s="365" t="s">
        <v>3417</v>
      </c>
      <c r="K516" s="365" t="s">
        <v>1282</v>
      </c>
      <c r="L516" s="10" t="s">
        <v>2189</v>
      </c>
      <c r="M516" s="8" t="s">
        <v>4591</v>
      </c>
      <c r="N516" s="8" t="s">
        <v>5488</v>
      </c>
      <c r="O516" s="8" t="s">
        <v>6386</v>
      </c>
      <c r="P516" s="9" t="s">
        <v>1284</v>
      </c>
      <c r="Q516" s="59" t="s">
        <v>2552</v>
      </c>
      <c r="R516" s="10" t="s">
        <v>2497</v>
      </c>
      <c r="S516" s="10" t="s">
        <v>2459</v>
      </c>
      <c r="T516" s="123" t="str">
        <f>IF(R516="Bogs Ponds Streams","20",IF(R516="Coastal Areas","26",IF(R516="Meadows Dry Open","10",IF(R516="Forest &amp; Understory","14",IF(R516="Moist Open","12",IF(R516="Moist Shady","10",IF(R516="Sub-Alpine Slopes","0")))))))</f>
        <v>12</v>
      </c>
      <c r="U516" s="123" t="str">
        <f>IF(R516="Bogs Ponds Streams","52",IF(R516="Coastal Areas","51",IF(R516="Meadows Dry Open","53",IF(R516="Forest &amp; Understory","52",IF(R516="Moist Open","50",IF(R516="Moist Shady","46",IF(R516="Sub-Alpine Slopes","40")))))))</f>
        <v>50</v>
      </c>
      <c r="V516" s="123" t="str">
        <f>IF(R516="Bogs Ponds Streams","84",IF(R516="Coastal Areas","76",IF(R516="Meadows Dry Open","96", IF(R516="Forest &amp; Understory","90", IF(R516="Moist Open","88", IF(R516="Moist Shady","82", IF(R516="Sub-Alpine Slopes","80")))))))</f>
        <v>88</v>
      </c>
      <c r="W516" s="59">
        <v>20</v>
      </c>
      <c r="X516" s="59">
        <v>0</v>
      </c>
      <c r="Y516" s="59">
        <v>3500</v>
      </c>
      <c r="Z516" s="59" t="s">
        <v>2519</v>
      </c>
      <c r="AA516" s="59" t="s">
        <v>2518</v>
      </c>
      <c r="AB516" s="59">
        <v>6.8</v>
      </c>
      <c r="AC516" s="45">
        <f>C516+AK516+(0.1)*AL516</f>
        <v>12</v>
      </c>
      <c r="AD516" s="77">
        <v>62</v>
      </c>
      <c r="AE516" s="59">
        <v>5</v>
      </c>
      <c r="AF516" s="59">
        <v>5</v>
      </c>
      <c r="AG516" s="59">
        <v>1900</v>
      </c>
      <c r="AH516" s="77">
        <v>0</v>
      </c>
      <c r="AI516" s="59">
        <f ca="1">AJ516</f>
        <v>2019</v>
      </c>
      <c r="AJ516" s="18">
        <f ca="1">YEAR(TODAY())</f>
        <v>2019</v>
      </c>
      <c r="AK516" s="18">
        <v>4</v>
      </c>
      <c r="AL516" s="18">
        <v>0</v>
      </c>
      <c r="AM516" s="18">
        <v>1</v>
      </c>
      <c r="AN516" s="18">
        <v>1</v>
      </c>
      <c r="AO516" s="25">
        <v>0</v>
      </c>
      <c r="AP516" s="18">
        <v>1</v>
      </c>
      <c r="AQ516" s="18">
        <v>0</v>
      </c>
      <c r="AR516" s="18">
        <v>0</v>
      </c>
      <c r="AS516" s="18">
        <v>0</v>
      </c>
      <c r="AT516" s="18">
        <v>0</v>
      </c>
      <c r="AU516" s="18">
        <v>0</v>
      </c>
      <c r="AV516" s="18">
        <v>0</v>
      </c>
      <c r="AW516" s="18">
        <v>0</v>
      </c>
      <c r="AX516" s="18">
        <v>0</v>
      </c>
      <c r="AY516" s="233"/>
      <c r="AZ516" s="4"/>
      <c r="BA516" s="35" t="str">
        <f ca="1">IF(OR(S516="North America",S516="Rocky Mountain"), "Widespread",BC516)</f>
        <v>Abundant</v>
      </c>
      <c r="BB516" s="4"/>
      <c r="BC516" s="35" t="str">
        <f ca="1">IF(BE516&gt;2046, "Abundant",BE516)</f>
        <v>Abundant</v>
      </c>
      <c r="BD516" s="4"/>
      <c r="BE516" s="81">
        <f ca="1">YEAR($C$13)+(BG516*80)</f>
        <v>2112.8486131907307</v>
      </c>
      <c r="BF516" s="4"/>
      <c r="BG516" s="137">
        <f ca="1">BH516*$BH$14</f>
        <v>1.1731076648841354</v>
      </c>
      <c r="BH516" s="137">
        <f ca="1">(((BJ516+BK516+BM516+BN516)/4)*$BM$11)+(((BP516+BQ516)/2)*$BQ$11)+(((BU516+BV516+BW516)/3)*$BU$11)+(((BY516+BZ516+CA516+CB516+CC516)/5)*$CA$11)</f>
        <v>1.1731076648841354</v>
      </c>
      <c r="BI516" s="4"/>
      <c r="BJ516" s="33">
        <f>AP516/(AM516+AO516)</f>
        <v>1</v>
      </c>
      <c r="BK516" s="33">
        <f>(AN516+AO516)/(AM516+AO516)</f>
        <v>1</v>
      </c>
      <c r="BL516" s="4"/>
      <c r="BM516" s="127">
        <f>CF516/102</f>
        <v>0.11764705882352941</v>
      </c>
      <c r="BN516" s="127">
        <f>C516/2</f>
        <v>4</v>
      </c>
      <c r="BO516" s="4"/>
      <c r="BP516" s="127">
        <f>(AK516)/($AW$6)</f>
        <v>4.0404040404040407E-2</v>
      </c>
      <c r="BQ516" s="127">
        <f ca="1">(CH516-$AW$4)/((YEAR($C$13))-$AW$4)</f>
        <v>1</v>
      </c>
      <c r="BR516" s="127">
        <f>(AL516)/($AW$6)</f>
        <v>0</v>
      </c>
      <c r="BS516" s="4"/>
      <c r="BT516" s="127"/>
      <c r="BU516" s="127">
        <f ca="1">(CG516-$AW$4)/((YEAR($C$13))-$AW$4)</f>
        <v>1</v>
      </c>
      <c r="BV516" s="127">
        <f>AE516/5</f>
        <v>1</v>
      </c>
      <c r="BW516" s="127">
        <f>AF516/5</f>
        <v>1</v>
      </c>
      <c r="BX516" s="4"/>
      <c r="BY516" s="148" t="str">
        <f>IF(E516="A",".98",IF(E516="B",".99",IF(E516="C","1.00",IF(E516="D","1.00" ))))</f>
        <v>1.00</v>
      </c>
      <c r="BZ516" s="127">
        <f>(CE516+7)/10</f>
        <v>1</v>
      </c>
      <c r="CA516" s="76" t="str">
        <f>IF(D516="Fern",".97",IF(D516="Grass",".99",IF(D516="Herb",".97",IF(D516="Shrub",".99",IF(D516="Tree","1.00",IF(D516="Vine",".98"))))))</f>
        <v>.97</v>
      </c>
      <c r="CB516" s="149" t="str">
        <f>IF(R516="Bogs Ponds Streams",".96", IF(R516="Coastal Areas",".97",IF(R516="Meadows Dry Open",".96",IF(R516="Forest &amp; Understory",".97",IF(R516="Moist Open",".98",IF(R516="Moist Shady",".96",IF(R516="Sub-Alpine","1.0")))))))</f>
        <v>.98</v>
      </c>
      <c r="CC516" s="76" t="str">
        <f>IF(S516="Local Endemic",".50",IF(S516="Regional Endemic",".70",IF(S516="Cascadia",".90",IF(S516="Rocky Mountain",".95",IF(S516="North America",".99")))))</f>
        <v>.90</v>
      </c>
      <c r="CD516" s="4"/>
      <c r="CE516" s="21">
        <f>IF(W516&gt;3,3,W516)</f>
        <v>3</v>
      </c>
      <c r="CF516" s="21">
        <f>IF(AC516&gt;102,102,AC516)</f>
        <v>12</v>
      </c>
      <c r="CG516" s="34">
        <f ca="1">IF(AI516&lt;$AW$4,$AW$4,AI516)</f>
        <v>2019</v>
      </c>
      <c r="CH516" s="34">
        <f ca="1">IF(AJ516&lt;$AW$4,$AW$4,AJ516)</f>
        <v>2019</v>
      </c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13"/>
    </row>
    <row r="517" spans="1:115" ht="15" customHeight="1" x14ac:dyDescent="0.3">
      <c r="A517" s="235"/>
      <c r="B517" s="218"/>
      <c r="C517" s="225">
        <v>8</v>
      </c>
      <c r="D517" s="59" t="s">
        <v>1154</v>
      </c>
      <c r="E517" s="59" t="s">
        <v>2501</v>
      </c>
      <c r="F517" s="397" t="str">
        <f ca="1">IF(BC517&lt;2025, "Extinct&lt; 6Yrs?",BA517)</f>
        <v>Widespread</v>
      </c>
      <c r="G517" s="363" t="s">
        <v>525</v>
      </c>
      <c r="H517" s="363" t="s">
        <v>689</v>
      </c>
      <c r="I517" s="364" t="s">
        <v>2585</v>
      </c>
      <c r="J517" s="365" t="s">
        <v>3418</v>
      </c>
      <c r="K517" s="365" t="s">
        <v>1330</v>
      </c>
      <c r="L517" s="10" t="s">
        <v>2190</v>
      </c>
      <c r="M517" s="8" t="s">
        <v>4592</v>
      </c>
      <c r="N517" s="8" t="s">
        <v>5489</v>
      </c>
      <c r="O517" s="8" t="s">
        <v>6387</v>
      </c>
      <c r="P517" s="8" t="s">
        <v>1340</v>
      </c>
      <c r="Q517" s="59" t="s">
        <v>2552</v>
      </c>
      <c r="R517" s="9" t="s">
        <v>2500</v>
      </c>
      <c r="S517" s="9" t="s">
        <v>2495</v>
      </c>
      <c r="T517" s="123" t="str">
        <f>IF(R517="Bogs Ponds Streams","20",IF(R517="Coastal Areas","26",IF(R517="Meadows Dry Open","10",IF(R517="Forest &amp; Understory","14",IF(R517="Moist Open","12",IF(R517="Moist Shady","10",IF(R517="Sub-Alpine Slopes","0")))))))</f>
        <v>10</v>
      </c>
      <c r="U517" s="123" t="str">
        <f>IF(R517="Bogs Ponds Streams","52",IF(R517="Coastal Areas","51",IF(R517="Meadows Dry Open","53",IF(R517="Forest &amp; Understory","52",IF(R517="Moist Open","50",IF(R517="Moist Shady","46",IF(R517="Sub-Alpine Slopes","40")))))))</f>
        <v>53</v>
      </c>
      <c r="V517" s="123" t="str">
        <f>IF(R517="Bogs Ponds Streams","84",IF(R517="Coastal Areas","76",IF(R517="Meadows Dry Open","96", IF(R517="Forest &amp; Understory","90", IF(R517="Moist Open","88", IF(R517="Moist Shady","82", IF(R517="Sub-Alpine Slopes","80")))))))</f>
        <v>96</v>
      </c>
      <c r="W517" s="59">
        <v>20</v>
      </c>
      <c r="X517" s="59">
        <v>0</v>
      </c>
      <c r="Y517" s="59">
        <v>3500</v>
      </c>
      <c r="Z517" s="59" t="s">
        <v>2519</v>
      </c>
      <c r="AA517" s="59" t="s">
        <v>2518</v>
      </c>
      <c r="AB517" s="59">
        <v>6.8</v>
      </c>
      <c r="AC517" s="45">
        <f>C517+AK517+(0.1)*AL517</f>
        <v>12</v>
      </c>
      <c r="AD517" s="77">
        <v>7</v>
      </c>
      <c r="AE517" s="59">
        <v>5</v>
      </c>
      <c r="AF517" s="59">
        <v>5</v>
      </c>
      <c r="AG517" s="59">
        <v>1900</v>
      </c>
      <c r="AH517" s="77">
        <v>0</v>
      </c>
      <c r="AI517" s="59">
        <f ca="1">AJ517</f>
        <v>2019</v>
      </c>
      <c r="AJ517" s="18">
        <f ca="1">YEAR(TODAY())</f>
        <v>2019</v>
      </c>
      <c r="AK517" s="18">
        <v>4</v>
      </c>
      <c r="AL517" s="18">
        <v>0</v>
      </c>
      <c r="AM517" s="18">
        <v>1</v>
      </c>
      <c r="AN517" s="18">
        <v>1</v>
      </c>
      <c r="AO517" s="25">
        <v>0</v>
      </c>
      <c r="AP517" s="18">
        <v>1</v>
      </c>
      <c r="AQ517" s="18">
        <v>0</v>
      </c>
      <c r="AR517" s="18">
        <v>0</v>
      </c>
      <c r="AS517" s="18">
        <v>0</v>
      </c>
      <c r="AT517" s="18">
        <v>0</v>
      </c>
      <c r="AU517" s="18">
        <v>0</v>
      </c>
      <c r="AV517" s="18">
        <v>0</v>
      </c>
      <c r="AW517" s="18">
        <v>0</v>
      </c>
      <c r="AX517" s="18">
        <v>0</v>
      </c>
      <c r="AY517" s="233"/>
      <c r="AZ517" s="4"/>
      <c r="BA517" s="35" t="str">
        <f>IF(OR(S517="North America",S517="Rocky Mountain"), "Widespread",BC517)</f>
        <v>Widespread</v>
      </c>
      <c r="BB517" s="4"/>
      <c r="BC517" s="35" t="str">
        <f ca="1">IF(BE517&gt;2046, "Abundant",BE517)</f>
        <v>Abundant</v>
      </c>
      <c r="BD517" s="4"/>
      <c r="BE517" s="81">
        <f ca="1">YEAR($C$13)+(BG517*80)</f>
        <v>2112.871013190731</v>
      </c>
      <c r="BF517" s="4"/>
      <c r="BG517" s="137">
        <f ca="1">BH517*$BH$14</f>
        <v>1.1733876648841353</v>
      </c>
      <c r="BH517" s="137">
        <f ca="1">(((BJ517+BK517+BM517+BN517)/4)*$BM$11)+(((BP517+BQ517)/2)*$BQ$11)+(((BU517+BV517+BW517)/3)*$BU$11)+(((BY517+BZ517+CA517+CB517+CC517)/5)*$CA$11)</f>
        <v>1.1733876648841353</v>
      </c>
      <c r="BI517" s="4"/>
      <c r="BJ517" s="33">
        <f>AP517/(AM517+AO517)</f>
        <v>1</v>
      </c>
      <c r="BK517" s="33">
        <f>(AN517+AO517)/(AM517+AO517)</f>
        <v>1</v>
      </c>
      <c r="BL517" s="4"/>
      <c r="BM517" s="127">
        <f>CF517/102</f>
        <v>0.11764705882352941</v>
      </c>
      <c r="BN517" s="127">
        <f>C517/2</f>
        <v>4</v>
      </c>
      <c r="BO517" s="4"/>
      <c r="BP517" s="127">
        <f>(AK517)/($AW$6)</f>
        <v>4.0404040404040407E-2</v>
      </c>
      <c r="BQ517" s="127">
        <f ca="1">(CH517-$AW$4)/((YEAR($C$13))-$AW$4)</f>
        <v>1</v>
      </c>
      <c r="BR517" s="127">
        <f>(AL517)/($AW$6)</f>
        <v>0</v>
      </c>
      <c r="BS517" s="4"/>
      <c r="BT517" s="127"/>
      <c r="BU517" s="127">
        <f ca="1">(CG517-$AW$4)/((YEAR($C$13))-$AW$4)</f>
        <v>1</v>
      </c>
      <c r="BV517" s="127">
        <f>AE517/5</f>
        <v>1</v>
      </c>
      <c r="BW517" s="127">
        <f>AF517/5</f>
        <v>1</v>
      </c>
      <c r="BX517" s="4"/>
      <c r="BY517" s="148" t="str">
        <f>IF(E517="A",".98",IF(E517="B",".99",IF(E517="C","1.00",IF(E517="D","1.00" ))))</f>
        <v>1.00</v>
      </c>
      <c r="BZ517" s="127">
        <f>(CE517+7)/10</f>
        <v>1</v>
      </c>
      <c r="CA517" s="76" t="str">
        <f>IF(D517="Fern",".97",IF(D517="Grass",".99",IF(D517="Herb",".97",IF(D517="Shrub",".99",IF(D517="Tree","1.00",IF(D517="Vine",".98"))))))</f>
        <v>.97</v>
      </c>
      <c r="CB517" s="149" t="str">
        <f>IF(R517="Bogs Ponds Streams",".96", IF(R517="Coastal Areas",".97",IF(R517="Meadows Dry Open",".96",IF(R517="Forest &amp; Understory",".97",IF(R517="Moist Open",".98",IF(R517="Moist Shady",".96",IF(R517="Sub-Alpine","1.0")))))))</f>
        <v>.96</v>
      </c>
      <c r="CC517" s="76" t="str">
        <f>IF(S517="Local Endemic",".50",IF(S517="Regional Endemic",".70",IF(S517="Cascadia",".90",IF(S517="Rocky Mountain",".95",IF(S517="North America",".99")))))</f>
        <v>.99</v>
      </c>
      <c r="CD517" s="4"/>
      <c r="CE517" s="21">
        <f>IF(W517&gt;3,3,W517)</f>
        <v>3</v>
      </c>
      <c r="CF517" s="21">
        <f>IF(AC517&gt;102,102,AC517)</f>
        <v>12</v>
      </c>
      <c r="CG517" s="34">
        <f ca="1">IF(AI517&lt;$AW$4,$AW$4,AI517)</f>
        <v>2019</v>
      </c>
      <c r="CH517" s="34">
        <f ca="1">IF(AJ517&lt;$AW$4,$AW$4,AJ517)</f>
        <v>2019</v>
      </c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13"/>
    </row>
    <row r="518" spans="1:115" ht="15" customHeight="1" x14ac:dyDescent="0.3">
      <c r="A518" s="235"/>
      <c r="B518" s="218"/>
      <c r="C518" s="226">
        <v>2</v>
      </c>
      <c r="D518" s="104" t="s">
        <v>2505</v>
      </c>
      <c r="E518" s="104" t="s">
        <v>2502</v>
      </c>
      <c r="F518" s="400">
        <f ca="1">IF(BC518&lt;2025, "Extinct&lt; 6Yrs?",BA518)</f>
        <v>2038.3870716577539</v>
      </c>
      <c r="G518" s="369" t="s">
        <v>525</v>
      </c>
      <c r="H518" s="369" t="s">
        <v>4028</v>
      </c>
      <c r="I518" s="370" t="s">
        <v>3089</v>
      </c>
      <c r="J518" s="371" t="s">
        <v>3743</v>
      </c>
      <c r="K518" s="371" t="s">
        <v>1043</v>
      </c>
      <c r="L518" s="106" t="s">
        <v>1571</v>
      </c>
      <c r="M518" s="111" t="s">
        <v>4593</v>
      </c>
      <c r="N518" s="111" t="s">
        <v>5490</v>
      </c>
      <c r="O518" s="111" t="s">
        <v>6388</v>
      </c>
      <c r="P518" s="105" t="s">
        <v>670</v>
      </c>
      <c r="Q518" s="104" t="s">
        <v>2552</v>
      </c>
      <c r="R518" s="105" t="s">
        <v>2500</v>
      </c>
      <c r="S518" s="105" t="s">
        <v>2459</v>
      </c>
      <c r="T518" s="133" t="str">
        <f>IF(R518="Bogs Ponds Streams","20",IF(R518="Coastal Areas","26",IF(R518="Meadows Dry Open","10",IF(R518="Forest &amp; Understory","14",IF(R518="Moist Open","12",IF(R518="Moist Shady","10",IF(R518="Sub-Alpine Slopes","0")))))))</f>
        <v>10</v>
      </c>
      <c r="U518" s="133" t="str">
        <f>IF(R518="Bogs Ponds Streams","52",IF(R518="Coastal Areas","51",IF(R518="Meadows Dry Open","53",IF(R518="Forest &amp; Understory","52",IF(R518="Moist Open","50",IF(R518="Moist Shady","46",IF(R518="Sub-Alpine Slopes","40")))))))</f>
        <v>53</v>
      </c>
      <c r="V518" s="133" t="str">
        <f>IF(R518="Bogs Ponds Streams","84",IF(R518="Coastal Areas","76",IF(R518="Meadows Dry Open","96", IF(R518="Forest &amp; Understory","90", IF(R518="Moist Open","88", IF(R518="Moist Shady","82", IF(R518="Sub-Alpine Slopes","80")))))))</f>
        <v>96</v>
      </c>
      <c r="W518" s="104">
        <v>1</v>
      </c>
      <c r="X518" s="104">
        <v>0</v>
      </c>
      <c r="Y518" s="104">
        <v>3500</v>
      </c>
      <c r="Z518" s="104" t="s">
        <v>2519</v>
      </c>
      <c r="AA518" s="104" t="s">
        <v>2518</v>
      </c>
      <c r="AB518" s="104">
        <v>6.8</v>
      </c>
      <c r="AC518" s="107">
        <f>C518+AK518+(0.1)*AL518</f>
        <v>5</v>
      </c>
      <c r="AD518" s="113">
        <v>8</v>
      </c>
      <c r="AE518" s="104">
        <v>3</v>
      </c>
      <c r="AF518" s="104">
        <v>3</v>
      </c>
      <c r="AG518" s="104">
        <v>1900</v>
      </c>
      <c r="AH518" s="113">
        <v>0</v>
      </c>
      <c r="AI518" s="104">
        <f>AJ518</f>
        <v>2004</v>
      </c>
      <c r="AJ518" s="108">
        <v>2004</v>
      </c>
      <c r="AK518" s="108">
        <v>3</v>
      </c>
      <c r="AL518" s="108">
        <v>0</v>
      </c>
      <c r="AM518" s="109">
        <v>5</v>
      </c>
      <c r="AN518" s="109">
        <v>1</v>
      </c>
      <c r="AO518" s="110">
        <v>0</v>
      </c>
      <c r="AP518" s="109">
        <v>0</v>
      </c>
      <c r="AQ518" s="109">
        <v>0</v>
      </c>
      <c r="AR518" s="109">
        <v>0</v>
      </c>
      <c r="AS518" s="110">
        <v>0</v>
      </c>
      <c r="AT518" s="109">
        <v>0</v>
      </c>
      <c r="AU518" s="109">
        <v>0</v>
      </c>
      <c r="AV518" s="109">
        <v>0</v>
      </c>
      <c r="AW518" s="110">
        <v>0</v>
      </c>
      <c r="AX518" s="109">
        <v>0</v>
      </c>
      <c r="AY518" s="233"/>
      <c r="AZ518" s="4"/>
      <c r="BA518" s="35">
        <f ca="1">IF(OR(S518="North America",S518="Rocky Mountain"), "Widespread",BC518)</f>
        <v>2038.3870716577539</v>
      </c>
      <c r="BB518" s="4"/>
      <c r="BC518" s="35">
        <f ca="1">IF(BE518&gt;2046, "Abundant",BE518)</f>
        <v>2038.3870716577539</v>
      </c>
      <c r="BD518" s="4"/>
      <c r="BE518" s="81">
        <f ca="1">YEAR($C$13)+(BG518*80)</f>
        <v>2038.3870716577539</v>
      </c>
      <c r="BF518" s="4"/>
      <c r="BG518" s="137">
        <f ca="1">BH518*$BH$14</f>
        <v>0.24233839572192514</v>
      </c>
      <c r="BH518" s="137">
        <f ca="1">(((BJ518+BK518+BM518+BN518)/4)*$BM$11)+(((BP518+BQ518)/2)*$BQ$11)+(((BU518+BV518+BW518)/3)*$BU$11)+(((BY518+BZ518+CA518+CB518+CC518)/5)*$CA$11)</f>
        <v>0.24233839572192514</v>
      </c>
      <c r="BI518" s="4"/>
      <c r="BJ518" s="33">
        <f>AP518/(AM518+AO518)</f>
        <v>0</v>
      </c>
      <c r="BK518" s="33">
        <f>(AN518+AO518)/(AM518+AO518)</f>
        <v>0.2</v>
      </c>
      <c r="BL518" s="4"/>
      <c r="BM518" s="127">
        <f>CF518/102</f>
        <v>4.9019607843137254E-2</v>
      </c>
      <c r="BN518" s="127">
        <f>C518/2</f>
        <v>1</v>
      </c>
      <c r="BO518" s="4"/>
      <c r="BP518" s="127">
        <f>(AK518)/($AW$6)</f>
        <v>3.0303030303030304E-2</v>
      </c>
      <c r="BQ518" s="127">
        <f ca="1">(CH518-$AW$4)/((YEAR($C$13))-$AW$4)</f>
        <v>0</v>
      </c>
      <c r="BR518" s="127">
        <f>(AL518)/($AW$6)</f>
        <v>0</v>
      </c>
      <c r="BS518" s="4"/>
      <c r="BT518" s="127"/>
      <c r="BU518" s="127">
        <f ca="1">(CG518-$AW$4)/((YEAR($C$13))-$AW$4)</f>
        <v>0</v>
      </c>
      <c r="BV518" s="127">
        <f>AE518/5</f>
        <v>0.6</v>
      </c>
      <c r="BW518" s="127">
        <f>AF518/5</f>
        <v>0.6</v>
      </c>
      <c r="BX518" s="4"/>
      <c r="BY518" s="148" t="str">
        <f>IF(E518="A",".98",IF(E518="B",".99",IF(E518="C","1.00",IF(E518="D","1.00" ))))</f>
        <v>.98</v>
      </c>
      <c r="BZ518" s="127">
        <f>(CE518+7)/10</f>
        <v>0.8</v>
      </c>
      <c r="CA518" s="76" t="str">
        <f>IF(D518="Fern",".97",IF(D518="Grass",".99",IF(D518="Herb",".97",IF(D518="Shrub",".99",IF(D518="Tree","1.00",IF(D518="Vine",".98"))))))</f>
        <v>.97</v>
      </c>
      <c r="CB518" s="149" t="str">
        <f>IF(R518="Bogs Ponds Streams",".96", IF(R518="Coastal Areas",".97",IF(R518="Meadows Dry Open",".96",IF(R518="Forest &amp; Understory",".97",IF(R518="Moist Open",".98",IF(R518="Moist Shady",".96",IF(R518="Sub-Alpine","1.0")))))))</f>
        <v>.96</v>
      </c>
      <c r="CC518" s="76" t="str">
        <f>IF(S518="Local Endemic",".50",IF(S518="Regional Endemic",".70",IF(S518="Cascadia",".90",IF(S518="Rocky Mountain",".95",IF(S518="North America",".99")))))</f>
        <v>.90</v>
      </c>
      <c r="CD518" s="4"/>
      <c r="CE518" s="21">
        <f>IF(W518&gt;3,3,W518)</f>
        <v>1</v>
      </c>
      <c r="CF518" s="21">
        <f>IF(AC518&gt;102,102,AC518)</f>
        <v>5</v>
      </c>
      <c r="CG518" s="34">
        <f>IF(AI518&lt;$AW$4,$AW$4,AI518)</f>
        <v>2004</v>
      </c>
      <c r="CH518" s="34">
        <f>IF(AJ518&lt;$AW$4,$AW$4,AJ518)</f>
        <v>2004</v>
      </c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13"/>
    </row>
    <row r="519" spans="1:115" ht="15" customHeight="1" x14ac:dyDescent="0.3">
      <c r="A519" s="235"/>
      <c r="B519" s="218"/>
      <c r="C519" s="375">
        <v>1</v>
      </c>
      <c r="D519" s="95" t="s">
        <v>1155</v>
      </c>
      <c r="E519" s="67" t="s">
        <v>2501</v>
      </c>
      <c r="F519" s="403" t="str">
        <f ca="1">IF(BC519&lt;2025, "Extinct&lt; 6Yrs?",BA519)</f>
        <v>Widespread</v>
      </c>
      <c r="G519" s="376" t="s">
        <v>525</v>
      </c>
      <c r="H519" s="376" t="s">
        <v>4028</v>
      </c>
      <c r="I519" s="380" t="s">
        <v>229</v>
      </c>
      <c r="J519" s="378" t="s">
        <v>3574</v>
      </c>
      <c r="K519" s="378" t="s">
        <v>135</v>
      </c>
      <c r="L519" s="63" t="s">
        <v>1572</v>
      </c>
      <c r="M519" s="64" t="s">
        <v>4594</v>
      </c>
      <c r="N519" s="64" t="s">
        <v>5491</v>
      </c>
      <c r="O519" s="64" t="s">
        <v>6389</v>
      </c>
      <c r="P519" s="61" t="s">
        <v>468</v>
      </c>
      <c r="Q519" s="67" t="s">
        <v>2552</v>
      </c>
      <c r="R519" s="61" t="s">
        <v>2498</v>
      </c>
      <c r="S519" s="61" t="s">
        <v>2495</v>
      </c>
      <c r="T519" s="134" t="str">
        <f>IF(R519="Bogs Ponds Streams","20",IF(R519="Coastal Areas","26",IF(R519="Meadows Dry Open","10",IF(R519="Forest &amp; Understory","14",IF(R519="Moist Open","12",IF(R519="Moist Shady","10",IF(R519="Sub-Alpine Slopes","0")))))))</f>
        <v>10</v>
      </c>
      <c r="U519" s="134" t="str">
        <f>IF(R519="Bogs Ponds Streams","52",IF(R519="Coastal Areas","51",IF(R519="Meadows Dry Open","53",IF(R519="Forest &amp; Understory","52",IF(R519="Moist Open","50",IF(R519="Moist Shady","46",IF(R519="Sub-Alpine Slopes","40")))))))</f>
        <v>46</v>
      </c>
      <c r="V519" s="134" t="str">
        <f>IF(R519="Bogs Ponds Streams","84",IF(R519="Coastal Areas","76",IF(R519="Meadows Dry Open","96", IF(R519="Forest &amp; Understory","90", IF(R519="Moist Open","88", IF(R519="Moist Shady","82", IF(R519="Sub-Alpine Slopes","80")))))))</f>
        <v>82</v>
      </c>
      <c r="W519" s="67">
        <v>20</v>
      </c>
      <c r="X519" s="67">
        <v>0</v>
      </c>
      <c r="Y519" s="67">
        <v>3500</v>
      </c>
      <c r="Z519" s="67" t="s">
        <v>2519</v>
      </c>
      <c r="AA519" s="67" t="s">
        <v>2518</v>
      </c>
      <c r="AB519" s="67">
        <v>6.8</v>
      </c>
      <c r="AC519" s="85">
        <f>C519+AK519+(0.1)*AL519</f>
        <v>6.2</v>
      </c>
      <c r="AD519" s="78">
        <v>11</v>
      </c>
      <c r="AE519" s="67">
        <v>5</v>
      </c>
      <c r="AF519" s="67">
        <v>5</v>
      </c>
      <c r="AG519" s="67">
        <v>1900</v>
      </c>
      <c r="AH519" s="78">
        <v>0</v>
      </c>
      <c r="AI519" s="67">
        <f>AJ519</f>
        <v>2004</v>
      </c>
      <c r="AJ519" s="69">
        <v>2004</v>
      </c>
      <c r="AK519" s="69">
        <v>5</v>
      </c>
      <c r="AL519" s="69">
        <v>2</v>
      </c>
      <c r="AM519" s="70">
        <v>5</v>
      </c>
      <c r="AN519" s="70">
        <v>0</v>
      </c>
      <c r="AO519" s="86">
        <v>0</v>
      </c>
      <c r="AP519" s="70">
        <v>0</v>
      </c>
      <c r="AQ519" s="70">
        <v>0</v>
      </c>
      <c r="AR519" s="70">
        <v>0</v>
      </c>
      <c r="AS519" s="86">
        <v>0</v>
      </c>
      <c r="AT519" s="70">
        <v>0</v>
      </c>
      <c r="AU519" s="70">
        <v>0</v>
      </c>
      <c r="AV519" s="70">
        <v>0</v>
      </c>
      <c r="AW519" s="86">
        <v>0</v>
      </c>
      <c r="AX519" s="70">
        <v>0</v>
      </c>
      <c r="AY519" s="233"/>
      <c r="AZ519" s="4"/>
      <c r="BA519" s="35" t="str">
        <f>IF(OR(S519="North America",S519="Rocky Mountain"), "Widespread",BC519)</f>
        <v>Widespread</v>
      </c>
      <c r="BB519" s="4"/>
      <c r="BC519" s="35">
        <f ca="1">IF(BE519&gt;2046, "Abundant",BE519)</f>
        <v>2032.1829390374332</v>
      </c>
      <c r="BD519" s="4"/>
      <c r="BE519" s="81">
        <f ca="1">YEAR($C$13)+(BG519*80)</f>
        <v>2032.1829390374332</v>
      </c>
      <c r="BF519" s="4"/>
      <c r="BG519" s="137">
        <f ca="1">BH519*$BH$14</f>
        <v>0.16478673796791443</v>
      </c>
      <c r="BH519" s="137">
        <f ca="1">(((BJ519+BK519+BM519+BN519)/4)*$BM$11)+(((BP519+BQ519)/2)*$BQ$11)+(((BU519+BV519+BW519)/3)*$BU$11)+(((BY519+BZ519+CA519+CB519+CC519)/5)*$CA$11)</f>
        <v>0.16478673796791443</v>
      </c>
      <c r="BI519" s="4"/>
      <c r="BJ519" s="33">
        <f>AP519/(AM519+AO519)</f>
        <v>0</v>
      </c>
      <c r="BK519" s="33">
        <f>(AN519+AO519)/(AM519+AO519)</f>
        <v>0</v>
      </c>
      <c r="BL519" s="4"/>
      <c r="BM519" s="127">
        <f>CF519/102</f>
        <v>6.0784313725490195E-2</v>
      </c>
      <c r="BN519" s="127">
        <f>C519/2</f>
        <v>0.5</v>
      </c>
      <c r="BO519" s="4"/>
      <c r="BP519" s="127">
        <f>(AK519)/($AW$6)</f>
        <v>5.0505050505050504E-2</v>
      </c>
      <c r="BQ519" s="127">
        <f ca="1">(CH519-$AW$4)/((YEAR($C$13))-$AW$4)</f>
        <v>0</v>
      </c>
      <c r="BR519" s="127">
        <f>(AL519)/($AW$6)</f>
        <v>2.0202020202020204E-2</v>
      </c>
      <c r="BS519" s="4"/>
      <c r="BT519" s="127"/>
      <c r="BU519" s="127">
        <f ca="1">(CG519-$AW$4)/((YEAR($C$13))-$AW$4)</f>
        <v>0</v>
      </c>
      <c r="BV519" s="127">
        <f>AE519/5</f>
        <v>1</v>
      </c>
      <c r="BW519" s="127">
        <f>AF519/5</f>
        <v>1</v>
      </c>
      <c r="BX519" s="4"/>
      <c r="BY519" s="148" t="str">
        <f>IF(E519="A",".98",IF(E519="B",".99",IF(E519="C","1.00",IF(E519="D","1.00" ))))</f>
        <v>1.00</v>
      </c>
      <c r="BZ519" s="127">
        <f>(CE519+7)/10</f>
        <v>1</v>
      </c>
      <c r="CA519" s="76" t="str">
        <f>IF(D519="Fern",".97",IF(D519="Grass",".99",IF(D519="Herb",".97",IF(D519="Shrub",".99",IF(D519="Tree","1.00",IF(D519="Vine",".98"))))))</f>
        <v>.99</v>
      </c>
      <c r="CB519" s="149" t="str">
        <f>IF(R519="Bogs Ponds Streams",".96", IF(R519="Coastal Areas",".97",IF(R519="Meadows Dry Open",".96",IF(R519="Forest &amp; Understory",".97",IF(R519="Moist Open",".98",IF(R519="Moist Shady",".96",IF(R519="Sub-Alpine","1.0")))))))</f>
        <v>.96</v>
      </c>
      <c r="CC519" s="76" t="str">
        <f>IF(S519="Local Endemic",".50",IF(S519="Regional Endemic",".70",IF(S519="Cascadia",".90",IF(S519="Rocky Mountain",".95",IF(S519="North America",".99")))))</f>
        <v>.99</v>
      </c>
      <c r="CD519" s="4"/>
      <c r="CE519" s="21">
        <f>IF(W519&gt;3,3,W519)</f>
        <v>3</v>
      </c>
      <c r="CF519" s="21">
        <f>IF(AC519&gt;102,102,AC519)</f>
        <v>6.2</v>
      </c>
      <c r="CG519" s="34">
        <f>IF(AI519&lt;$AW$4,$AW$4,AI519)</f>
        <v>2004</v>
      </c>
      <c r="CH519" s="34">
        <f>IF(AJ519&lt;$AW$4,$AW$4,AJ519)</f>
        <v>2004</v>
      </c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13"/>
    </row>
    <row r="520" spans="1:115" ht="15" customHeight="1" x14ac:dyDescent="0.3">
      <c r="A520" s="235"/>
      <c r="B520" s="218"/>
      <c r="C520" s="375">
        <v>1</v>
      </c>
      <c r="D520" s="95" t="s">
        <v>1155</v>
      </c>
      <c r="E520" s="67" t="s">
        <v>2501</v>
      </c>
      <c r="F520" s="403" t="str">
        <f ca="1">IF(BC520&lt;2025, "Extinct&lt; 6Yrs?",BA520)</f>
        <v>Widespread</v>
      </c>
      <c r="G520" s="376" t="s">
        <v>525</v>
      </c>
      <c r="H520" s="376" t="s">
        <v>4028</v>
      </c>
      <c r="I520" s="380" t="s">
        <v>231</v>
      </c>
      <c r="J520" s="378" t="s">
        <v>3573</v>
      </c>
      <c r="K520" s="378" t="s">
        <v>230</v>
      </c>
      <c r="L520" s="63" t="s">
        <v>1573</v>
      </c>
      <c r="M520" s="64" t="s">
        <v>4595</v>
      </c>
      <c r="N520" s="64" t="s">
        <v>5492</v>
      </c>
      <c r="O520" s="64" t="s">
        <v>6390</v>
      </c>
      <c r="P520" s="61" t="s">
        <v>468</v>
      </c>
      <c r="Q520" s="67" t="s">
        <v>2552</v>
      </c>
      <c r="R520" s="61" t="s">
        <v>2500</v>
      </c>
      <c r="S520" s="61" t="s">
        <v>2479</v>
      </c>
      <c r="T520" s="134" t="str">
        <f>IF(R520="Bogs Ponds Streams","20",IF(R520="Coastal Areas","26",IF(R520="Meadows Dry Open","10",IF(R520="Forest &amp; Understory","14",IF(R520="Moist Open","12",IF(R520="Moist Shady","10",IF(R520="Sub-Alpine Slopes","0")))))))</f>
        <v>10</v>
      </c>
      <c r="U520" s="134" t="str">
        <f>IF(R520="Bogs Ponds Streams","52",IF(R520="Coastal Areas","51",IF(R520="Meadows Dry Open","53",IF(R520="Forest &amp; Understory","52",IF(R520="Moist Open","50",IF(R520="Moist Shady","46",IF(R520="Sub-Alpine Slopes","40")))))))</f>
        <v>53</v>
      </c>
      <c r="V520" s="134" t="str">
        <f>IF(R520="Bogs Ponds Streams","84",IF(R520="Coastal Areas","76",IF(R520="Meadows Dry Open","96", IF(R520="Forest &amp; Understory","90", IF(R520="Moist Open","88", IF(R520="Moist Shady","82", IF(R520="Sub-Alpine Slopes","80")))))))</f>
        <v>96</v>
      </c>
      <c r="W520" s="67">
        <v>20</v>
      </c>
      <c r="X520" s="67">
        <v>0</v>
      </c>
      <c r="Y520" s="67">
        <v>3500</v>
      </c>
      <c r="Z520" s="67" t="s">
        <v>2519</v>
      </c>
      <c r="AA520" s="67" t="s">
        <v>2518</v>
      </c>
      <c r="AB520" s="67">
        <v>6.8</v>
      </c>
      <c r="AC520" s="85">
        <f>C520+AK520+(0.1)*AL520</f>
        <v>34.299999999999997</v>
      </c>
      <c r="AD520" s="78">
        <v>106</v>
      </c>
      <c r="AE520" s="67">
        <v>5</v>
      </c>
      <c r="AF520" s="67">
        <v>5</v>
      </c>
      <c r="AG520" s="67">
        <v>1900</v>
      </c>
      <c r="AH520" s="78">
        <v>0</v>
      </c>
      <c r="AI520" s="67">
        <f>AJ520</f>
        <v>2004</v>
      </c>
      <c r="AJ520" s="69">
        <v>2004</v>
      </c>
      <c r="AK520" s="69">
        <v>33</v>
      </c>
      <c r="AL520" s="69">
        <v>3</v>
      </c>
      <c r="AM520" s="70">
        <v>5</v>
      </c>
      <c r="AN520" s="70">
        <v>0</v>
      </c>
      <c r="AO520" s="86">
        <v>0</v>
      </c>
      <c r="AP520" s="70">
        <v>0</v>
      </c>
      <c r="AQ520" s="70">
        <v>0</v>
      </c>
      <c r="AR520" s="70">
        <v>0</v>
      </c>
      <c r="AS520" s="86">
        <v>0</v>
      </c>
      <c r="AT520" s="70">
        <v>0</v>
      </c>
      <c r="AU520" s="70">
        <v>0</v>
      </c>
      <c r="AV520" s="70">
        <v>0</v>
      </c>
      <c r="AW520" s="86">
        <v>0</v>
      </c>
      <c r="AX520" s="70">
        <v>0</v>
      </c>
      <c r="AY520" s="233"/>
      <c r="AZ520" s="4"/>
      <c r="BA520" s="35" t="str">
        <f>IF(OR(S520="North America",S520="Rocky Mountain"), "Widespread",BC520)</f>
        <v>Widespread</v>
      </c>
      <c r="BB520" s="4"/>
      <c r="BC520" s="35">
        <f ca="1">IF(BE520&gt;2046, "Abundant",BE520)</f>
        <v>2038.8699607843137</v>
      </c>
      <c r="BD520" s="4"/>
      <c r="BE520" s="81">
        <f ca="1">YEAR($C$13)+(BG520*80)</f>
        <v>2038.8699607843137</v>
      </c>
      <c r="BF520" s="4"/>
      <c r="BG520" s="137">
        <f ca="1">BH520*$BH$14</f>
        <v>0.24837450980392156</v>
      </c>
      <c r="BH520" s="137">
        <f ca="1">(((BJ520+BK520+BM520+BN520)/4)*$BM$11)+(((BP520+BQ520)/2)*$BQ$11)+(((BU520+BV520+BW520)/3)*$BU$11)+(((BY520+BZ520+CA520+CB520+CC520)/5)*$CA$11)</f>
        <v>0.24837450980392156</v>
      </c>
      <c r="BI520" s="4"/>
      <c r="BJ520" s="33">
        <f>AP520/(AM520+AO520)</f>
        <v>0</v>
      </c>
      <c r="BK520" s="33">
        <f>(AN520+AO520)/(AM520+AO520)</f>
        <v>0</v>
      </c>
      <c r="BL520" s="4"/>
      <c r="BM520" s="127">
        <f>CF520/102</f>
        <v>0.33627450980392154</v>
      </c>
      <c r="BN520" s="127">
        <f>C520/2</f>
        <v>0.5</v>
      </c>
      <c r="BO520" s="4"/>
      <c r="BP520" s="127">
        <f>(AK520)/($AW$6)</f>
        <v>0.33333333333333331</v>
      </c>
      <c r="BQ520" s="127">
        <f ca="1">(CH520-$AW$4)/((YEAR($C$13))-$AW$4)</f>
        <v>0</v>
      </c>
      <c r="BR520" s="127">
        <f>(AL520)/($AW$6)</f>
        <v>3.0303030303030304E-2</v>
      </c>
      <c r="BS520" s="4"/>
      <c r="BT520" s="127"/>
      <c r="BU520" s="127">
        <f ca="1">(CG520-$AW$4)/((YEAR($C$13))-$AW$4)</f>
        <v>0</v>
      </c>
      <c r="BV520" s="127">
        <f>AE520/5</f>
        <v>1</v>
      </c>
      <c r="BW520" s="127">
        <f>AF520/5</f>
        <v>1</v>
      </c>
      <c r="BX520" s="4"/>
      <c r="BY520" s="148" t="str">
        <f>IF(E520="A",".98",IF(E520="B",".99",IF(E520="C","1.00",IF(E520="D","1.00" ))))</f>
        <v>1.00</v>
      </c>
      <c r="BZ520" s="127">
        <f>(CE520+7)/10</f>
        <v>1</v>
      </c>
      <c r="CA520" s="76" t="str">
        <f>IF(D520="Fern",".97",IF(D520="Grass",".99",IF(D520="Herb",".97",IF(D520="Shrub",".99",IF(D520="Tree","1.00",IF(D520="Vine",".98"))))))</f>
        <v>.99</v>
      </c>
      <c r="CB520" s="149" t="str">
        <f>IF(R520="Bogs Ponds Streams",".96", IF(R520="Coastal Areas",".97",IF(R520="Meadows Dry Open",".96",IF(R520="Forest &amp; Understory",".97",IF(R520="Moist Open",".98",IF(R520="Moist Shady",".96",IF(R520="Sub-Alpine","1.0")))))))</f>
        <v>.96</v>
      </c>
      <c r="CC520" s="76" t="str">
        <f>IF(S520="Local Endemic",".50",IF(S520="Regional Endemic",".70",IF(S520="Cascadia",".90",IF(S520="Rocky Mountain",".95",IF(S520="North America",".99")))))</f>
        <v>.95</v>
      </c>
      <c r="CD520" s="4"/>
      <c r="CE520" s="21">
        <f>IF(W520&gt;3,3,W520)</f>
        <v>3</v>
      </c>
      <c r="CF520" s="21">
        <f>IF(AC520&gt;102,102,AC520)</f>
        <v>34.299999999999997</v>
      </c>
      <c r="CG520" s="34">
        <f>IF(AI520&lt;$AW$4,$AW$4,AI520)</f>
        <v>2004</v>
      </c>
      <c r="CH520" s="34">
        <f>IF(AJ520&lt;$AW$4,$AW$4,AJ520)</f>
        <v>2004</v>
      </c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13"/>
    </row>
    <row r="521" spans="1:115" ht="15" customHeight="1" x14ac:dyDescent="0.3">
      <c r="A521" s="235"/>
      <c r="B521" s="218"/>
      <c r="C521" s="226">
        <v>2</v>
      </c>
      <c r="D521" s="104" t="s">
        <v>2505</v>
      </c>
      <c r="E521" s="104" t="s">
        <v>2501</v>
      </c>
      <c r="F521" s="400" t="str">
        <f ca="1">IF(BC521&lt;2025, "Extinct&lt; 6Yrs?",BA521)</f>
        <v>Widespread</v>
      </c>
      <c r="G521" s="369" t="s">
        <v>525</v>
      </c>
      <c r="H521" s="369" t="s">
        <v>4028</v>
      </c>
      <c r="I521" s="370" t="s">
        <v>2191</v>
      </c>
      <c r="J521" s="371" t="s">
        <v>3742</v>
      </c>
      <c r="K521" s="371" t="s">
        <v>1044</v>
      </c>
      <c r="L521" s="106" t="s">
        <v>2192</v>
      </c>
      <c r="M521" s="111" t="s">
        <v>4596</v>
      </c>
      <c r="N521" s="111" t="s">
        <v>5493</v>
      </c>
      <c r="O521" s="111" t="s">
        <v>6391</v>
      </c>
      <c r="P521" s="105" t="s">
        <v>637</v>
      </c>
      <c r="Q521" s="104" t="s">
        <v>2552</v>
      </c>
      <c r="R521" s="105" t="s">
        <v>2498</v>
      </c>
      <c r="S521" s="105" t="s">
        <v>2495</v>
      </c>
      <c r="T521" s="133" t="str">
        <f>IF(R521="Bogs Ponds Streams","20",IF(R521="Coastal Areas","26",IF(R521="Meadows Dry Open","10",IF(R521="Forest &amp; Understory","14",IF(R521="Moist Open","12",IF(R521="Moist Shady","10",IF(R521="Sub-Alpine Slopes","0")))))))</f>
        <v>10</v>
      </c>
      <c r="U521" s="133" t="str">
        <f>IF(R521="Bogs Ponds Streams","52",IF(R521="Coastal Areas","51",IF(R521="Meadows Dry Open","53",IF(R521="Forest &amp; Understory","52",IF(R521="Moist Open","50",IF(R521="Moist Shady","46",IF(R521="Sub-Alpine Slopes","40")))))))</f>
        <v>46</v>
      </c>
      <c r="V521" s="133" t="str">
        <f>IF(R521="Bogs Ponds Streams","84",IF(R521="Coastal Areas","76",IF(R521="Meadows Dry Open","96", IF(R521="Forest &amp; Understory","90", IF(R521="Moist Open","88", IF(R521="Moist Shady","82", IF(R521="Sub-Alpine Slopes","80")))))))</f>
        <v>82</v>
      </c>
      <c r="W521" s="104">
        <v>20</v>
      </c>
      <c r="X521" s="104">
        <v>0</v>
      </c>
      <c r="Y521" s="104">
        <v>3500</v>
      </c>
      <c r="Z521" s="104" t="s">
        <v>2519</v>
      </c>
      <c r="AA521" s="104" t="s">
        <v>2518</v>
      </c>
      <c r="AB521" s="104">
        <v>6.8</v>
      </c>
      <c r="AC521" s="107">
        <f>C520+AK521+(0.1)*AL521</f>
        <v>7.7</v>
      </c>
      <c r="AD521" s="113">
        <v>23</v>
      </c>
      <c r="AE521" s="104">
        <v>5</v>
      </c>
      <c r="AF521" s="104">
        <v>5</v>
      </c>
      <c r="AG521" s="104">
        <v>1900</v>
      </c>
      <c r="AH521" s="113">
        <v>0</v>
      </c>
      <c r="AI521" s="104">
        <f>AJ521</f>
        <v>2018</v>
      </c>
      <c r="AJ521" s="108">
        <v>2018</v>
      </c>
      <c r="AK521" s="108">
        <v>6</v>
      </c>
      <c r="AL521" s="108">
        <v>7</v>
      </c>
      <c r="AM521" s="109">
        <v>5</v>
      </c>
      <c r="AN521" s="109">
        <v>1</v>
      </c>
      <c r="AO521" s="110">
        <v>0</v>
      </c>
      <c r="AP521" s="109">
        <v>1</v>
      </c>
      <c r="AQ521" s="109">
        <v>0</v>
      </c>
      <c r="AR521" s="109">
        <v>0</v>
      </c>
      <c r="AS521" s="110">
        <v>0</v>
      </c>
      <c r="AT521" s="109">
        <v>0</v>
      </c>
      <c r="AU521" s="109">
        <v>0</v>
      </c>
      <c r="AV521" s="109">
        <v>0</v>
      </c>
      <c r="AW521" s="110">
        <v>0</v>
      </c>
      <c r="AX521" s="109">
        <v>0</v>
      </c>
      <c r="AY521" s="233"/>
      <c r="AZ521" s="4"/>
      <c r="BA521" s="35" t="str">
        <f>IF(OR(S521="North America",S521="Rocky Mountain"), "Widespread",BC521)</f>
        <v>Widespread</v>
      </c>
      <c r="BB521" s="4"/>
      <c r="BC521" s="35" t="str">
        <f ca="1">IF(BE521&gt;2046, "Abundant",BE521)</f>
        <v>Abundant</v>
      </c>
      <c r="BD521" s="4"/>
      <c r="BE521" s="81">
        <f ca="1">YEAR($C$13)+(BG521*80)</f>
        <v>2050.4653328579916</v>
      </c>
      <c r="BF521" s="4"/>
      <c r="BG521" s="137">
        <f ca="1">BH521*$BH$14</f>
        <v>0.39331666072489602</v>
      </c>
      <c r="BH521" s="137">
        <f ca="1">(((BJ521+BK521+BM521+BN521)/4)*$BM$11)+(((BP521+BQ521)/2)*$BQ$11)+(((BU521+BV521+BW521)/3)*$BU$11)+(((BY521+BZ521+CA521+CB521+CC521)/5)*$CA$11)</f>
        <v>0.39331666072489602</v>
      </c>
      <c r="BI521" s="4"/>
      <c r="BJ521" s="33">
        <f>AP521/(AM521+AO521)</f>
        <v>0.2</v>
      </c>
      <c r="BK521" s="33">
        <f>(AN521+AO521)/(AM521+AO521)</f>
        <v>0.2</v>
      </c>
      <c r="BL521" s="4"/>
      <c r="BM521" s="127">
        <f>CF521/102</f>
        <v>7.5490196078431368E-2</v>
      </c>
      <c r="BN521" s="127">
        <f>C520/2</f>
        <v>0.5</v>
      </c>
      <c r="BO521" s="4"/>
      <c r="BP521" s="127">
        <f>(AK521)/($AW$6)</f>
        <v>6.0606060606060608E-2</v>
      </c>
      <c r="BQ521" s="127">
        <f ca="1">(CH521-$AW$4)/((YEAR($C$13))-$AW$4)</f>
        <v>0.93333333333333335</v>
      </c>
      <c r="BR521" s="127">
        <f>(AL521)/($AW$6)</f>
        <v>7.0707070707070704E-2</v>
      </c>
      <c r="BS521" s="4"/>
      <c r="BT521" s="127"/>
      <c r="BU521" s="127">
        <f ca="1">(CG521-$AW$4)/((YEAR($C$13))-$AW$4)</f>
        <v>0.93333333333333335</v>
      </c>
      <c r="BV521" s="127">
        <f>AE521/5</f>
        <v>1</v>
      </c>
      <c r="BW521" s="127">
        <f>AF521/5</f>
        <v>1</v>
      </c>
      <c r="BX521" s="4"/>
      <c r="BY521" s="148" t="str">
        <f>IF(E521="A",".98",IF(E521="B",".99",IF(E521="C","1.00",IF(E521="D","1.00" ))))</f>
        <v>1.00</v>
      </c>
      <c r="BZ521" s="127">
        <f>(CE521+7)/10</f>
        <v>1</v>
      </c>
      <c r="CA521" s="76" t="str">
        <f>IF(D521="Fern",".97",IF(D521="Grass",".99",IF(D521="Herb",".97",IF(D521="Shrub",".99",IF(D521="Tree","1.00",IF(D521="Vine",".98"))))))</f>
        <v>.97</v>
      </c>
      <c r="CB521" s="149" t="str">
        <f>IF(R521="Bogs Ponds Streams",".96", IF(R521="Coastal Areas",".97",IF(R521="Meadows Dry Open",".96",IF(R521="Forest &amp; Understory",".97",IF(R521="Moist Open",".98",IF(R521="Moist Shady",".96",IF(R521="Sub-Alpine","1.0")))))))</f>
        <v>.96</v>
      </c>
      <c r="CC521" s="76" t="str">
        <f>IF(S521="Local Endemic",".50",IF(S521="Regional Endemic",".70",IF(S521="Cascadia",".90",IF(S521="Rocky Mountain",".95",IF(S521="North America",".99")))))</f>
        <v>.99</v>
      </c>
      <c r="CD521" s="4"/>
      <c r="CE521" s="21">
        <f>IF(W521&gt;3,3,W521)</f>
        <v>3</v>
      </c>
      <c r="CF521" s="21">
        <f>IF(AC521&gt;102,102,AC521)</f>
        <v>7.7</v>
      </c>
      <c r="CG521" s="34">
        <f>IF(AI521&lt;$AW$4,$AW$4,AI521)</f>
        <v>2018</v>
      </c>
      <c r="CH521" s="34">
        <f>IF(AJ521&lt;$AW$4,$AW$4,AJ521)</f>
        <v>2018</v>
      </c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13"/>
    </row>
    <row r="522" spans="1:115" ht="15" customHeight="1" x14ac:dyDescent="0.3">
      <c r="A522" s="235"/>
      <c r="B522" s="218"/>
      <c r="C522" s="226">
        <v>2</v>
      </c>
      <c r="D522" s="104" t="s">
        <v>2505</v>
      </c>
      <c r="E522" s="104" t="s">
        <v>2501</v>
      </c>
      <c r="F522" s="400" t="str">
        <f ca="1">IF(BC522&lt;2025, "Extinct&lt; 6Yrs?",BA522)</f>
        <v>Widespread</v>
      </c>
      <c r="G522" s="369" t="s">
        <v>525</v>
      </c>
      <c r="H522" s="369" t="s">
        <v>4028</v>
      </c>
      <c r="I522" s="370" t="s">
        <v>649</v>
      </c>
      <c r="J522" s="371" t="s">
        <v>3741</v>
      </c>
      <c r="K522" s="371" t="s">
        <v>648</v>
      </c>
      <c r="L522" s="106" t="s">
        <v>4041</v>
      </c>
      <c r="M522" s="111" t="s">
        <v>4597</v>
      </c>
      <c r="N522" s="111" t="s">
        <v>5494</v>
      </c>
      <c r="O522" s="111" t="s">
        <v>6392</v>
      </c>
      <c r="P522" s="105" t="s">
        <v>650</v>
      </c>
      <c r="Q522" s="104" t="s">
        <v>2552</v>
      </c>
      <c r="R522" s="105" t="s">
        <v>2499</v>
      </c>
      <c r="S522" s="105" t="s">
        <v>2495</v>
      </c>
      <c r="T522" s="133" t="str">
        <f>IF(R522="Bogs Ponds Streams","20",IF(R522="Coastal Areas","26",IF(R522="Meadows Dry Open","10",IF(R522="Forest &amp; Understory","14",IF(R522="Moist Open","12",IF(R522="Moist Shady","10",IF(R522="Sub-Alpine Slopes","0")))))))</f>
        <v>20</v>
      </c>
      <c r="U522" s="133" t="str">
        <f>IF(R522="Bogs Ponds Streams","52",IF(R522="Coastal Areas","51",IF(R522="Meadows Dry Open","53",IF(R522="Forest &amp; Understory","52",IF(R522="Moist Open","50",IF(R522="Moist Shady","46",IF(R522="Sub-Alpine Slopes","40")))))))</f>
        <v>52</v>
      </c>
      <c r="V522" s="133" t="str">
        <f>IF(R522="Bogs Ponds Streams","84",IF(R522="Coastal Areas","76",IF(R522="Meadows Dry Open","96", IF(R522="Forest &amp; Understory","90", IF(R522="Moist Open","88", IF(R522="Moist Shady","82", IF(R522="Sub-Alpine Slopes","80")))))))</f>
        <v>84</v>
      </c>
      <c r="W522" s="104">
        <v>20</v>
      </c>
      <c r="X522" s="104">
        <v>0</v>
      </c>
      <c r="Y522" s="104">
        <v>3500</v>
      </c>
      <c r="Z522" s="104" t="s">
        <v>2519</v>
      </c>
      <c r="AA522" s="104" t="s">
        <v>2518</v>
      </c>
      <c r="AB522" s="104">
        <v>6.8</v>
      </c>
      <c r="AC522" s="107">
        <f>C522+AK522+(0.1)*AL522</f>
        <v>36.1</v>
      </c>
      <c r="AD522" s="113">
        <v>77</v>
      </c>
      <c r="AE522" s="104">
        <v>5</v>
      </c>
      <c r="AF522" s="104">
        <v>5</v>
      </c>
      <c r="AG522" s="104">
        <v>1900</v>
      </c>
      <c r="AH522" s="113">
        <v>0</v>
      </c>
      <c r="AI522" s="104">
        <f>AJ522</f>
        <v>2004</v>
      </c>
      <c r="AJ522" s="108">
        <v>2004</v>
      </c>
      <c r="AK522" s="108">
        <v>33</v>
      </c>
      <c r="AL522" s="108">
        <v>11</v>
      </c>
      <c r="AM522" s="109">
        <v>5</v>
      </c>
      <c r="AN522" s="109">
        <v>1</v>
      </c>
      <c r="AO522" s="110">
        <v>0</v>
      </c>
      <c r="AP522" s="109">
        <v>0</v>
      </c>
      <c r="AQ522" s="109">
        <v>0</v>
      </c>
      <c r="AR522" s="109">
        <v>0</v>
      </c>
      <c r="AS522" s="110">
        <v>0</v>
      </c>
      <c r="AT522" s="109">
        <v>0</v>
      </c>
      <c r="AU522" s="109">
        <v>0</v>
      </c>
      <c r="AV522" s="109">
        <v>0</v>
      </c>
      <c r="AW522" s="110">
        <v>0</v>
      </c>
      <c r="AX522" s="109">
        <v>0</v>
      </c>
      <c r="AY522" s="233"/>
      <c r="AZ522" s="4"/>
      <c r="BA522" s="35" t="str">
        <f>IF(OR(S522="North America",S522="Rocky Mountain"), "Widespread",BC522)</f>
        <v>Widespread</v>
      </c>
      <c r="BB522" s="4"/>
      <c r="BC522" s="35" t="str">
        <f ca="1">IF(BE522&gt;2046, "Abundant",BE522)</f>
        <v>Abundant</v>
      </c>
      <c r="BD522" s="4"/>
      <c r="BE522" s="81">
        <f ca="1">YEAR($C$13)+(BG522*80)</f>
        <v>2047.4881254901961</v>
      </c>
      <c r="BF522" s="4"/>
      <c r="BG522" s="137">
        <f ca="1">BH522*$BH$14</f>
        <v>0.35610156862745096</v>
      </c>
      <c r="BH522" s="137">
        <f ca="1">(((BJ522+BK522+BM522+BN522)/4)*$BM$11)+(((BP522+BQ522)/2)*$BQ$11)+(((BU522+BV522+BW522)/3)*$BU$11)+(((BY522+BZ522+CA522+CB522+CC522)/5)*$CA$11)</f>
        <v>0.35610156862745096</v>
      </c>
      <c r="BI522" s="4"/>
      <c r="BJ522" s="33">
        <f>AP522/(AM522+AO522)</f>
        <v>0</v>
      </c>
      <c r="BK522" s="33">
        <f>(AN522+AO522)/(AM522+AO522)</f>
        <v>0.2</v>
      </c>
      <c r="BL522" s="4"/>
      <c r="BM522" s="127">
        <f>CF522/102</f>
        <v>0.353921568627451</v>
      </c>
      <c r="BN522" s="127">
        <f>C522/2</f>
        <v>1</v>
      </c>
      <c r="BO522" s="4"/>
      <c r="BP522" s="127">
        <f>(AK522)/($AW$6)</f>
        <v>0.33333333333333331</v>
      </c>
      <c r="BQ522" s="127">
        <f ca="1">(CH522-$AW$4)/((YEAR($C$13))-$AW$4)</f>
        <v>0</v>
      </c>
      <c r="BR522" s="127">
        <f>(AL522)/($AW$6)</f>
        <v>0.1111111111111111</v>
      </c>
      <c r="BS522" s="4"/>
      <c r="BT522" s="127"/>
      <c r="BU522" s="127">
        <f ca="1">(CG522-$AW$4)/((YEAR($C$13))-$AW$4)</f>
        <v>0</v>
      </c>
      <c r="BV522" s="127">
        <f>AE522/5</f>
        <v>1</v>
      </c>
      <c r="BW522" s="127">
        <f>AF522/5</f>
        <v>1</v>
      </c>
      <c r="BX522" s="4"/>
      <c r="BY522" s="148" t="str">
        <f>IF(E522="A",".98",IF(E522="B",".99",IF(E522="C","1.00",IF(E522="D","1.00" ))))</f>
        <v>1.00</v>
      </c>
      <c r="BZ522" s="127">
        <f>(CE522+7)/10</f>
        <v>1</v>
      </c>
      <c r="CA522" s="76" t="str">
        <f>IF(D522="Fern",".97",IF(D522="Grass",".99",IF(D522="Herb",".97",IF(D522="Shrub",".99",IF(D522="Tree","1.00",IF(D522="Vine",".98"))))))</f>
        <v>.97</v>
      </c>
      <c r="CB522" s="149" t="str">
        <f>IF(R522="Bogs Ponds Streams",".96", IF(R522="Coastal Areas",".97",IF(R522="Meadows Dry Open",".96",IF(R522="Forest &amp; Understory",".97",IF(R522="Moist Open",".98",IF(R522="Moist Shady",".96",IF(R522="Sub-Alpine","1.0")))))))</f>
        <v>.96</v>
      </c>
      <c r="CC522" s="76" t="str">
        <f>IF(S522="Local Endemic",".50",IF(S522="Regional Endemic",".70",IF(S522="Cascadia",".90",IF(S522="Rocky Mountain",".95",IF(S522="North America",".99")))))</f>
        <v>.99</v>
      </c>
      <c r="CD522" s="4"/>
      <c r="CE522" s="21">
        <f>IF(W522&gt;3,3,W522)</f>
        <v>3</v>
      </c>
      <c r="CF522" s="21">
        <f>IF(AC522&gt;102,102,AC522)</f>
        <v>36.1</v>
      </c>
      <c r="CG522" s="34">
        <f>IF(AI522&lt;$AW$4,$AW$4,AI522)</f>
        <v>2004</v>
      </c>
      <c r="CH522" s="34">
        <f>IF(AJ522&lt;$AW$4,$AW$4,AJ522)</f>
        <v>2004</v>
      </c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</row>
    <row r="523" spans="1:115" ht="15" customHeight="1" x14ac:dyDescent="0.3">
      <c r="A523" s="235"/>
      <c r="B523" s="218"/>
      <c r="C523" s="375">
        <v>1</v>
      </c>
      <c r="D523" s="67" t="s">
        <v>2505</v>
      </c>
      <c r="E523" s="67" t="s">
        <v>2501</v>
      </c>
      <c r="F523" s="403">
        <f ca="1">IF(BC523&lt;2025, "Extinct&lt; 6Yrs?",BA523)</f>
        <v>2032.0901390374331</v>
      </c>
      <c r="G523" s="376" t="s">
        <v>525</v>
      </c>
      <c r="H523" s="376" t="s">
        <v>4028</v>
      </c>
      <c r="I523" s="380" t="s">
        <v>3090</v>
      </c>
      <c r="J523" s="378" t="s">
        <v>3572</v>
      </c>
      <c r="K523" s="378" t="s">
        <v>1050</v>
      </c>
      <c r="L523" s="63" t="s">
        <v>1574</v>
      </c>
      <c r="M523" s="64" t="s">
        <v>4598</v>
      </c>
      <c r="N523" s="64" t="s">
        <v>5495</v>
      </c>
      <c r="O523" s="64" t="s">
        <v>6393</v>
      </c>
      <c r="P523" s="61" t="s">
        <v>549</v>
      </c>
      <c r="Q523" s="67" t="s">
        <v>2552</v>
      </c>
      <c r="R523" s="61" t="s">
        <v>2497</v>
      </c>
      <c r="S523" s="61" t="s">
        <v>2309</v>
      </c>
      <c r="T523" s="134" t="str">
        <f>IF(R523="Bogs Ponds Streams","20",IF(R523="Coastal Areas","26",IF(R523="Meadows Dry Open","10",IF(R523="Forest &amp; Understory","14",IF(R523="Moist Open","12",IF(R523="Moist Shady","10",IF(R523="Sub-Alpine Slopes","0")))))))</f>
        <v>12</v>
      </c>
      <c r="U523" s="134" t="str">
        <f>IF(R523="Bogs Ponds Streams","52",IF(R523="Coastal Areas","51",IF(R523="Meadows Dry Open","53",IF(R523="Forest &amp; Understory","52",IF(R523="Moist Open","50",IF(R523="Moist Shady","46",IF(R523="Sub-Alpine Slopes","40")))))))</f>
        <v>50</v>
      </c>
      <c r="V523" s="134" t="str">
        <f>IF(R523="Bogs Ponds Streams","84",IF(R523="Coastal Areas","76",IF(R523="Meadows Dry Open","96", IF(R523="Forest &amp; Understory","90", IF(R523="Moist Open","88", IF(R523="Moist Shady","82", IF(R523="Sub-Alpine Slopes","80")))))))</f>
        <v>88</v>
      </c>
      <c r="W523" s="67">
        <v>20</v>
      </c>
      <c r="X523" s="67">
        <v>0</v>
      </c>
      <c r="Y523" s="67">
        <v>3500</v>
      </c>
      <c r="Z523" s="67" t="s">
        <v>2519</v>
      </c>
      <c r="AA523" s="67" t="s">
        <v>2518</v>
      </c>
      <c r="AB523" s="67">
        <v>6.8</v>
      </c>
      <c r="AC523" s="85">
        <f>C523+AK523+(0.1)*AL523</f>
        <v>6.2</v>
      </c>
      <c r="AD523" s="78">
        <v>15</v>
      </c>
      <c r="AE523" s="67">
        <v>5</v>
      </c>
      <c r="AF523" s="67">
        <v>5</v>
      </c>
      <c r="AG523" s="67">
        <v>1900</v>
      </c>
      <c r="AH523" s="78">
        <v>0</v>
      </c>
      <c r="AI523" s="67">
        <f>AJ523</f>
        <v>2004</v>
      </c>
      <c r="AJ523" s="69">
        <v>2004</v>
      </c>
      <c r="AK523" s="69">
        <v>5</v>
      </c>
      <c r="AL523" s="69">
        <v>2</v>
      </c>
      <c r="AM523" s="70">
        <v>5</v>
      </c>
      <c r="AN523" s="70">
        <v>0</v>
      </c>
      <c r="AO523" s="86">
        <v>0</v>
      </c>
      <c r="AP523" s="70">
        <v>0</v>
      </c>
      <c r="AQ523" s="70">
        <v>0</v>
      </c>
      <c r="AR523" s="70">
        <v>0</v>
      </c>
      <c r="AS523" s="86">
        <v>0</v>
      </c>
      <c r="AT523" s="70">
        <v>0</v>
      </c>
      <c r="AU523" s="70">
        <v>0</v>
      </c>
      <c r="AV523" s="70">
        <v>0</v>
      </c>
      <c r="AW523" s="86">
        <v>0</v>
      </c>
      <c r="AX523" s="70">
        <v>0</v>
      </c>
      <c r="AY523" s="233"/>
      <c r="AZ523" s="4"/>
      <c r="BA523" s="35">
        <f ca="1">IF(OR(S523="North America",S523="Rocky Mountain"), "Widespread",BC523)</f>
        <v>2032.0901390374331</v>
      </c>
      <c r="BB523" s="4"/>
      <c r="BC523" s="35">
        <f ca="1">IF(BE523&gt;2046, "Abundant",BE523)</f>
        <v>2032.0901390374331</v>
      </c>
      <c r="BD523" s="4"/>
      <c r="BE523" s="81">
        <f ca="1">YEAR($C$13)+(BG523*80)</f>
        <v>2032.0901390374331</v>
      </c>
      <c r="BF523" s="4"/>
      <c r="BG523" s="137">
        <f ca="1">BH523*$BH$14</f>
        <v>0.16362673796791444</v>
      </c>
      <c r="BH523" s="137">
        <f ca="1">(((BJ523+BK523+BM523+BN523)/4)*$BM$11)+(((BP523+BQ523)/2)*$BQ$11)+(((BU523+BV523+BW523)/3)*$BU$11)+(((BY523+BZ523+CA523+CB523+CC523)/5)*$CA$11)</f>
        <v>0.16362673796791444</v>
      </c>
      <c r="BI523" s="4"/>
      <c r="BJ523" s="33">
        <f>AP523/(AM523+AO523)</f>
        <v>0</v>
      </c>
      <c r="BK523" s="33">
        <f>(AN523+AO523)/(AM523+AO523)</f>
        <v>0</v>
      </c>
      <c r="BL523" s="4"/>
      <c r="BM523" s="127">
        <f>CF523/102</f>
        <v>6.0784313725490195E-2</v>
      </c>
      <c r="BN523" s="127">
        <f>C523/2</f>
        <v>0.5</v>
      </c>
      <c r="BO523" s="4"/>
      <c r="BP523" s="127">
        <f>(AK523)/($AW$6)</f>
        <v>5.0505050505050504E-2</v>
      </c>
      <c r="BQ523" s="127">
        <f ca="1">(CH523-$AW$4)/((YEAR($C$13))-$AW$4)</f>
        <v>0</v>
      </c>
      <c r="BR523" s="127">
        <f>(AL523)/($AW$6)</f>
        <v>2.0202020202020204E-2</v>
      </c>
      <c r="BS523" s="4"/>
      <c r="BT523" s="127"/>
      <c r="BU523" s="127">
        <f ca="1">(CG523-$AW$4)/((YEAR($C$13))-$AW$4)</f>
        <v>0</v>
      </c>
      <c r="BV523" s="127">
        <f>AE523/5</f>
        <v>1</v>
      </c>
      <c r="BW523" s="127">
        <f>AF523/5</f>
        <v>1</v>
      </c>
      <c r="BX523" s="4"/>
      <c r="BY523" s="148" t="str">
        <f>IF(E523="A",".98",IF(E523="B",".99",IF(E523="C","1.00",IF(E523="D","1.00" ))))</f>
        <v>1.00</v>
      </c>
      <c r="BZ523" s="127">
        <f>(CE523+7)/10</f>
        <v>1</v>
      </c>
      <c r="CA523" s="76" t="str">
        <f>IF(D523="Fern",".97",IF(D523="Grass",".99",IF(D523="Herb",".97",IF(D523="Shrub",".99",IF(D523="Tree","1.00",IF(D523="Vine",".98"))))))</f>
        <v>.97</v>
      </c>
      <c r="CB523" s="149" t="str">
        <f>IF(R523="Bogs Ponds Streams",".96", IF(R523="Coastal Areas",".97",IF(R523="Meadows Dry Open",".96",IF(R523="Forest &amp; Understory",".97",IF(R523="Moist Open",".98",IF(R523="Moist Shady",".96",IF(R523="Sub-Alpine","1.0")))))))</f>
        <v>.98</v>
      </c>
      <c r="CC523" s="76" t="str">
        <f>IF(S523="Local Endemic",".50",IF(S523="Regional Endemic",".70",IF(S523="Cascadia",".90",IF(S523="Rocky Mountain",".95",IF(S523="North America",".99")))))</f>
        <v>.70</v>
      </c>
      <c r="CD523" s="4"/>
      <c r="CE523" s="21">
        <f>IF(W523&gt;3,3,W523)</f>
        <v>3</v>
      </c>
      <c r="CF523" s="21">
        <f>IF(AC523&gt;102,102,AC523)</f>
        <v>6.2</v>
      </c>
      <c r="CG523" s="34">
        <f>IF(AI523&lt;$AW$4,$AW$4,AI523)</f>
        <v>2004</v>
      </c>
      <c r="CH523" s="34">
        <f>IF(AJ523&lt;$AW$4,$AW$4,AJ523)</f>
        <v>2004</v>
      </c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</row>
    <row r="524" spans="1:115" ht="15" customHeight="1" x14ac:dyDescent="0.3">
      <c r="A524" s="235"/>
      <c r="B524" s="218"/>
      <c r="C524" s="225">
        <v>9</v>
      </c>
      <c r="D524" s="59" t="s">
        <v>2505</v>
      </c>
      <c r="E524" s="59" t="s">
        <v>2501</v>
      </c>
      <c r="F524" s="397" t="str">
        <f ca="1">IF(BC524&lt;2025, "Extinct&lt; 6Yrs?",BA524)</f>
        <v>Widespread</v>
      </c>
      <c r="G524" s="363" t="s">
        <v>525</v>
      </c>
      <c r="H524" s="363" t="s">
        <v>686</v>
      </c>
      <c r="I524" s="365" t="s">
        <v>1357</v>
      </c>
      <c r="J524" s="365" t="s">
        <v>3419</v>
      </c>
      <c r="K524" s="365" t="s">
        <v>1358</v>
      </c>
      <c r="L524" s="10" t="s">
        <v>2481</v>
      </c>
      <c r="M524" s="8" t="s">
        <v>2481</v>
      </c>
      <c r="N524" s="8" t="s">
        <v>2481</v>
      </c>
      <c r="O524" s="8" t="s">
        <v>6394</v>
      </c>
      <c r="P524" s="9" t="s">
        <v>1359</v>
      </c>
      <c r="Q524" s="59" t="s">
        <v>2552</v>
      </c>
      <c r="R524" s="9" t="s">
        <v>2497</v>
      </c>
      <c r="S524" s="9" t="s">
        <v>2495</v>
      </c>
      <c r="T524" s="123" t="str">
        <f>IF(R524="Bogs Ponds Streams","20",IF(R524="Coastal Areas","26",IF(R524="Meadows Dry Open","10",IF(R524="Forest &amp; Understory","14",IF(R524="Moist Open","12",IF(R524="Moist Shady","10",IF(R524="Sub-Alpine Slopes","0")))))))</f>
        <v>12</v>
      </c>
      <c r="U524" s="123" t="str">
        <f>IF(R524="Bogs Ponds Streams","52",IF(R524="Coastal Areas","51",IF(R524="Meadows Dry Open","53",IF(R524="Forest &amp; Understory","52",IF(R524="Moist Open","50",IF(R524="Moist Shady","46",IF(R524="Sub-Alpine Slopes","40")))))))</f>
        <v>50</v>
      </c>
      <c r="V524" s="123" t="str">
        <f>IF(R524="Bogs Ponds Streams","84",IF(R524="Coastal Areas","76",IF(R524="Meadows Dry Open","96", IF(R524="Forest &amp; Understory","90", IF(R524="Moist Open","88", IF(R524="Moist Shady","82", IF(R524="Sub-Alpine Slopes","80")))))))</f>
        <v>88</v>
      </c>
      <c r="W524" s="59">
        <v>20</v>
      </c>
      <c r="X524" s="59">
        <v>0</v>
      </c>
      <c r="Y524" s="59">
        <v>3500</v>
      </c>
      <c r="Z524" s="59" t="s">
        <v>2519</v>
      </c>
      <c r="AA524" s="59" t="s">
        <v>2518</v>
      </c>
      <c r="AB524" s="59">
        <v>6.8</v>
      </c>
      <c r="AC524" s="45">
        <f>C524+AK524+(0.1)*AL524</f>
        <v>11</v>
      </c>
      <c r="AD524" s="77">
        <v>0</v>
      </c>
      <c r="AE524" s="59">
        <v>5</v>
      </c>
      <c r="AF524" s="59">
        <v>5</v>
      </c>
      <c r="AG524" s="59">
        <v>1900</v>
      </c>
      <c r="AH524" s="77">
        <v>0</v>
      </c>
      <c r="AI524" s="59">
        <f ca="1">AJ524</f>
        <v>2019</v>
      </c>
      <c r="AJ524" s="18">
        <f ca="1">YEAR(TODAY())</f>
        <v>2019</v>
      </c>
      <c r="AK524" s="18">
        <v>2</v>
      </c>
      <c r="AL524" s="18">
        <v>0</v>
      </c>
      <c r="AM524" s="18">
        <v>1</v>
      </c>
      <c r="AN524" s="18">
        <v>1</v>
      </c>
      <c r="AO524" s="25">
        <v>0</v>
      </c>
      <c r="AP524" s="18">
        <v>1</v>
      </c>
      <c r="AQ524" s="18">
        <v>0</v>
      </c>
      <c r="AR524" s="18">
        <v>0</v>
      </c>
      <c r="AS524" s="18">
        <v>0</v>
      </c>
      <c r="AT524" s="18">
        <v>0</v>
      </c>
      <c r="AU524" s="18">
        <v>0</v>
      </c>
      <c r="AV524" s="18">
        <v>0</v>
      </c>
      <c r="AW524" s="18">
        <v>0</v>
      </c>
      <c r="AX524" s="18">
        <v>0</v>
      </c>
      <c r="AY524" s="233"/>
      <c r="AZ524" s="4"/>
      <c r="BA524" s="35" t="str">
        <f>IF(OR(S524="North America",S524="Rocky Mountain"), "Widespread",BC524)</f>
        <v>Widespread</v>
      </c>
      <c r="BB524" s="4"/>
      <c r="BC524" s="35" t="str">
        <f ca="1">IF(BE524&gt;2046, "Abundant",BE524)</f>
        <v>Abundant</v>
      </c>
      <c r="BD524" s="4"/>
      <c r="BE524" s="81">
        <f ca="1">YEAR($C$13)+(BG524*80)</f>
        <v>2118.5173418894829</v>
      </c>
      <c r="BF524" s="4"/>
      <c r="BG524" s="137">
        <f ca="1">BH524*$BH$14</f>
        <v>1.2439667736185382</v>
      </c>
      <c r="BH524" s="137">
        <f ca="1">(((BJ524+BK524+BM524+BN524)/4)*$BM$11)+(((BP524+BQ524)/2)*$BQ$11)+(((BU524+BV524+BW524)/3)*$BU$11)+(((BY524+BZ524+CA524+CB524+CC524)/5)*$CA$11)</f>
        <v>1.2439667736185382</v>
      </c>
      <c r="BI524" s="4"/>
      <c r="BJ524" s="33">
        <f>AP524/(AM524+AO524)</f>
        <v>1</v>
      </c>
      <c r="BK524" s="33">
        <f>(AN524+AO524)/(AM524+AO524)</f>
        <v>1</v>
      </c>
      <c r="BL524" s="4"/>
      <c r="BM524" s="127">
        <f>CF524/102</f>
        <v>0.10784313725490197</v>
      </c>
      <c r="BN524" s="127">
        <f>C524/2</f>
        <v>4.5</v>
      </c>
      <c r="BO524" s="4"/>
      <c r="BP524" s="127">
        <f>(AK524)/($AW$6)</f>
        <v>2.0202020202020204E-2</v>
      </c>
      <c r="BQ524" s="127">
        <f ca="1">(CH524-$AW$4)/((YEAR($C$13))-$AW$4)</f>
        <v>1</v>
      </c>
      <c r="BR524" s="127">
        <f>(AL524)/($AW$6)</f>
        <v>0</v>
      </c>
      <c r="BS524" s="4"/>
      <c r="BT524" s="127"/>
      <c r="BU524" s="127">
        <f ca="1">(CG524-$AW$4)/((YEAR($C$13))-$AW$4)</f>
        <v>1</v>
      </c>
      <c r="BV524" s="127">
        <f>AE524/5</f>
        <v>1</v>
      </c>
      <c r="BW524" s="127">
        <f>AF524/5</f>
        <v>1</v>
      </c>
      <c r="BX524" s="4"/>
      <c r="BY524" s="148" t="str">
        <f>IF(E524="A",".98",IF(E524="B",".99",IF(E524="C","1.00",IF(E524="D","1.00" ))))</f>
        <v>1.00</v>
      </c>
      <c r="BZ524" s="127">
        <f>(CE524+7)/10</f>
        <v>1</v>
      </c>
      <c r="CA524" s="76" t="str">
        <f>IF(D524="Fern",".97",IF(D524="Grass",".99",IF(D524="Herb",".97",IF(D524="Shrub",".99",IF(D524="Tree","1.00",IF(D524="Vine",".98"))))))</f>
        <v>.97</v>
      </c>
      <c r="CB524" s="149" t="str">
        <f>IF(R524="Bogs Ponds Streams",".96", IF(R524="Coastal Areas",".97",IF(R524="Meadows Dry Open",".96",IF(R524="Forest &amp; Understory",".97",IF(R524="Moist Open",".98",IF(R524="Moist Shady",".96",IF(R524="Sub-Alpine","1.0")))))))</f>
        <v>.98</v>
      </c>
      <c r="CC524" s="76" t="str">
        <f>IF(S524="Local Endemic",".50",IF(S524="Regional Endemic",".70",IF(S524="Cascadia",".90",IF(S524="Rocky Mountain",".95",IF(S524="North America",".99")))))</f>
        <v>.99</v>
      </c>
      <c r="CD524" s="4"/>
      <c r="CE524" s="21">
        <f>IF(W524&gt;3,3,W524)</f>
        <v>3</v>
      </c>
      <c r="CF524" s="21">
        <f>IF(AC524&gt;102,102,AC524)</f>
        <v>11</v>
      </c>
      <c r="CG524" s="34">
        <f ca="1">IF(AI524&lt;$AW$4,$AW$4,AI524)</f>
        <v>2019</v>
      </c>
      <c r="CH524" s="34">
        <f ca="1">IF(AJ524&lt;$AW$4,$AW$4,AJ524)</f>
        <v>2019</v>
      </c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13"/>
    </row>
    <row r="525" spans="1:115" ht="15" customHeight="1" x14ac:dyDescent="0.3">
      <c r="A525" s="235"/>
      <c r="B525" s="218"/>
      <c r="C525" s="226">
        <v>2</v>
      </c>
      <c r="D525" s="104" t="s">
        <v>2505</v>
      </c>
      <c r="E525" s="104" t="s">
        <v>2501</v>
      </c>
      <c r="F525" s="400" t="str">
        <f ca="1">IF(BC525&lt;2025, "Extinct&lt; 6Yrs?",BA525)</f>
        <v>Widespread</v>
      </c>
      <c r="G525" s="369" t="s">
        <v>525</v>
      </c>
      <c r="H525" s="369" t="s">
        <v>4028</v>
      </c>
      <c r="I525" s="372" t="s">
        <v>2672</v>
      </c>
      <c r="J525" s="371" t="s">
        <v>3740</v>
      </c>
      <c r="K525" s="371" t="s">
        <v>2788</v>
      </c>
      <c r="L525" s="114" t="s">
        <v>4040</v>
      </c>
      <c r="M525" s="111" t="s">
        <v>4599</v>
      </c>
      <c r="N525" s="111" t="s">
        <v>5496</v>
      </c>
      <c r="O525" s="111" t="s">
        <v>6395</v>
      </c>
      <c r="P525" s="401" t="s">
        <v>361</v>
      </c>
      <c r="Q525" s="104" t="s">
        <v>2552</v>
      </c>
      <c r="R525" s="105" t="s">
        <v>2500</v>
      </c>
      <c r="S525" s="105" t="s">
        <v>2479</v>
      </c>
      <c r="T525" s="133" t="str">
        <f>IF(R525="Bogs Ponds Streams","20",IF(R525="Coastal Areas","26",IF(R525="Meadows Dry Open","10",IF(R525="Forest &amp; Understory","14",IF(R525="Moist Open","12",IF(R525="Moist Shady","10",IF(R525="Sub-Alpine Slopes","0")))))))</f>
        <v>10</v>
      </c>
      <c r="U525" s="133" t="str">
        <f>IF(R525="Bogs Ponds Streams","52",IF(R525="Coastal Areas","51",IF(R525="Meadows Dry Open","53",IF(R525="Forest &amp; Understory","52",IF(R525="Moist Open","50",IF(R525="Moist Shady","46",IF(R525="Sub-Alpine Slopes","40")))))))</f>
        <v>53</v>
      </c>
      <c r="V525" s="133" t="str">
        <f>IF(R525="Bogs Ponds Streams","84",IF(R525="Coastal Areas","76",IF(R525="Meadows Dry Open","96", IF(R525="Forest &amp; Understory","90", IF(R525="Moist Open","88", IF(R525="Moist Shady","82", IF(R525="Sub-Alpine Slopes","80")))))))</f>
        <v>96</v>
      </c>
      <c r="W525" s="104">
        <v>20</v>
      </c>
      <c r="X525" s="104">
        <v>0</v>
      </c>
      <c r="Y525" s="104">
        <v>3500</v>
      </c>
      <c r="Z525" s="104" t="s">
        <v>2519</v>
      </c>
      <c r="AA525" s="104" t="s">
        <v>2518</v>
      </c>
      <c r="AB525" s="104">
        <v>6.8</v>
      </c>
      <c r="AC525" s="107">
        <f>C525+AK525+(0.1)*AL525</f>
        <v>37.200000000000003</v>
      </c>
      <c r="AD525" s="113">
        <v>181</v>
      </c>
      <c r="AE525" s="104">
        <v>5</v>
      </c>
      <c r="AF525" s="104">
        <v>5</v>
      </c>
      <c r="AG525" s="104">
        <v>1900</v>
      </c>
      <c r="AH525" s="113">
        <v>0</v>
      </c>
      <c r="AI525" s="104">
        <f>AJ525</f>
        <v>2004</v>
      </c>
      <c r="AJ525" s="108">
        <v>2004</v>
      </c>
      <c r="AK525" s="108">
        <v>33</v>
      </c>
      <c r="AL525" s="108">
        <v>22</v>
      </c>
      <c r="AM525" s="109">
        <v>5</v>
      </c>
      <c r="AN525" s="109">
        <v>1</v>
      </c>
      <c r="AO525" s="110">
        <v>0</v>
      </c>
      <c r="AP525" s="109">
        <v>0</v>
      </c>
      <c r="AQ525" s="109">
        <v>0</v>
      </c>
      <c r="AR525" s="109">
        <v>0</v>
      </c>
      <c r="AS525" s="110">
        <v>0</v>
      </c>
      <c r="AT525" s="109">
        <v>0</v>
      </c>
      <c r="AU525" s="109">
        <v>0</v>
      </c>
      <c r="AV525" s="109">
        <v>0</v>
      </c>
      <c r="AW525" s="110">
        <v>0</v>
      </c>
      <c r="AX525" s="109">
        <v>0</v>
      </c>
      <c r="AY525" s="233"/>
      <c r="AZ525" s="4"/>
      <c r="BA525" s="35" t="str">
        <f>IF(OR(S525="North America",S525="Rocky Mountain"), "Widespread",BC525)</f>
        <v>Widespread</v>
      </c>
      <c r="BB525" s="4"/>
      <c r="BC525" s="35" t="str">
        <f ca="1">IF(BE525&gt;2046, "Abundant",BE525)</f>
        <v>Abundant</v>
      </c>
      <c r="BD525" s="4"/>
      <c r="BE525" s="81">
        <f ca="1">YEAR($C$13)+(BG525*80)</f>
        <v>2047.6047372549019</v>
      </c>
      <c r="BF525" s="4"/>
      <c r="BG525" s="137">
        <f ca="1">BH525*$BH$14</f>
        <v>0.35755921568627447</v>
      </c>
      <c r="BH525" s="137">
        <f ca="1">(((BJ525+BK525+BM525+BN525)/4)*$BM$11)+(((BP525+BQ525)/2)*$BQ$11)+(((BU525+BV525+BW525)/3)*$BU$11)+(((BY525+BZ525+CA525+CB525+CC525)/5)*$CA$11)</f>
        <v>0.35755921568627447</v>
      </c>
      <c r="BI525" s="4"/>
      <c r="BJ525" s="33">
        <f>AP525/(AM525+AO525)</f>
        <v>0</v>
      </c>
      <c r="BK525" s="33">
        <f>(AN525+AO525)/(AM525+AO525)</f>
        <v>0.2</v>
      </c>
      <c r="BL525" s="4"/>
      <c r="BM525" s="127">
        <f>CF525/102</f>
        <v>0.36470588235294121</v>
      </c>
      <c r="BN525" s="127">
        <f>C525/2</f>
        <v>1</v>
      </c>
      <c r="BO525" s="4"/>
      <c r="BP525" s="127">
        <f>(AK525)/($AW$6)</f>
        <v>0.33333333333333331</v>
      </c>
      <c r="BQ525" s="127">
        <f ca="1">(CH525-$AW$4)/((YEAR($C$13))-$AW$4)</f>
        <v>0</v>
      </c>
      <c r="BR525" s="127">
        <f>(AL525)/($AW$6)</f>
        <v>0.22222222222222221</v>
      </c>
      <c r="BS525" s="4"/>
      <c r="BT525" s="127"/>
      <c r="BU525" s="127">
        <f ca="1">(CG525-$AW$4)/((YEAR($C$13))-$AW$4)</f>
        <v>0</v>
      </c>
      <c r="BV525" s="127">
        <f>AE525/5</f>
        <v>1</v>
      </c>
      <c r="BW525" s="127">
        <f>AF525/5</f>
        <v>1</v>
      </c>
      <c r="BX525" s="4"/>
      <c r="BY525" s="148" t="str">
        <f>IF(E525="A",".98",IF(E525="B",".99",IF(E525="C","1.00",IF(E525="D","1.00" ))))</f>
        <v>1.00</v>
      </c>
      <c r="BZ525" s="127">
        <f>(CE525+7)/10</f>
        <v>1</v>
      </c>
      <c r="CA525" s="76" t="str">
        <f>IF(D525="Fern",".97",IF(D525="Grass",".99",IF(D525="Herb",".97",IF(D525="Shrub",".99",IF(D525="Tree","1.00",IF(D525="Vine",".98"))))))</f>
        <v>.97</v>
      </c>
      <c r="CB525" s="149" t="str">
        <f>IF(R525="Bogs Ponds Streams",".96", IF(R525="Coastal Areas",".97",IF(R525="Meadows Dry Open",".96",IF(R525="Forest &amp; Understory",".97",IF(R525="Moist Open",".98",IF(R525="Moist Shady",".96",IF(R525="Sub-Alpine","1.0")))))))</f>
        <v>.96</v>
      </c>
      <c r="CC525" s="76" t="str">
        <f>IF(S525="Local Endemic",".50",IF(S525="Regional Endemic",".70",IF(S525="Cascadia",".90",IF(S525="Rocky Mountain",".95",IF(S525="North America",".99")))))</f>
        <v>.95</v>
      </c>
      <c r="CD525" s="4"/>
      <c r="CE525" s="21">
        <f>IF(W525&gt;3,3,W525)</f>
        <v>3</v>
      </c>
      <c r="CF525" s="21">
        <f>IF(AC525&gt;102,102,AC525)</f>
        <v>37.200000000000003</v>
      </c>
      <c r="CG525" s="34">
        <f>IF(AI525&lt;$AW$4,$AW$4,AI525)</f>
        <v>2004</v>
      </c>
      <c r="CH525" s="34">
        <f>IF(AJ525&lt;$AW$4,$AW$4,AJ525)</f>
        <v>2004</v>
      </c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13"/>
    </row>
    <row r="526" spans="1:115" ht="15" customHeight="1" x14ac:dyDescent="0.3">
      <c r="A526" s="235"/>
      <c r="B526" s="218"/>
      <c r="C526" s="226">
        <v>2</v>
      </c>
      <c r="D526" s="104" t="s">
        <v>2505</v>
      </c>
      <c r="E526" s="104" t="s">
        <v>2501</v>
      </c>
      <c r="F526" s="400">
        <f ca="1">IF(BC526&lt;2025, "Extinct&lt; 6Yrs?",BA526)</f>
        <v>2043.2069190730838</v>
      </c>
      <c r="G526" s="369" t="s">
        <v>525</v>
      </c>
      <c r="H526" s="369" t="s">
        <v>4028</v>
      </c>
      <c r="I526" s="372" t="s">
        <v>2673</v>
      </c>
      <c r="J526" s="371" t="s">
        <v>3739</v>
      </c>
      <c r="K526" s="371" t="s">
        <v>2789</v>
      </c>
      <c r="L526" s="114" t="s">
        <v>2193</v>
      </c>
      <c r="M526" s="111" t="s">
        <v>4600</v>
      </c>
      <c r="N526" s="111" t="s">
        <v>5497</v>
      </c>
      <c r="O526" s="111" t="s">
        <v>6396</v>
      </c>
      <c r="P526" s="401" t="s">
        <v>361</v>
      </c>
      <c r="Q526" s="104" t="s">
        <v>2552</v>
      </c>
      <c r="R526" s="105" t="s">
        <v>2500</v>
      </c>
      <c r="S526" s="105" t="s">
        <v>2459</v>
      </c>
      <c r="T526" s="133" t="str">
        <f>IF(R526="Bogs Ponds Streams","20",IF(R526="Coastal Areas","26",IF(R526="Meadows Dry Open","10",IF(R526="Forest &amp; Understory","14",IF(R526="Moist Open","12",IF(R526="Moist Shady","10",IF(R526="Sub-Alpine Slopes","0")))))))</f>
        <v>10</v>
      </c>
      <c r="U526" s="133" t="str">
        <f>IF(R526="Bogs Ponds Streams","52",IF(R526="Coastal Areas","51",IF(R526="Meadows Dry Open","53",IF(R526="Forest &amp; Understory","52",IF(R526="Moist Open","50",IF(R526="Moist Shady","46",IF(R526="Sub-Alpine Slopes","40")))))))</f>
        <v>53</v>
      </c>
      <c r="V526" s="133" t="str">
        <f>IF(R526="Bogs Ponds Streams","84",IF(R526="Coastal Areas","76",IF(R526="Meadows Dry Open","96", IF(R526="Forest &amp; Understory","90", IF(R526="Moist Open","88", IF(R526="Moist Shady","82", IF(R526="Sub-Alpine Slopes","80")))))))</f>
        <v>96</v>
      </c>
      <c r="W526" s="104">
        <v>20</v>
      </c>
      <c r="X526" s="104">
        <v>0</v>
      </c>
      <c r="Y526" s="104">
        <v>3500</v>
      </c>
      <c r="Z526" s="104" t="s">
        <v>2519</v>
      </c>
      <c r="AA526" s="104" t="s">
        <v>2518</v>
      </c>
      <c r="AB526" s="104">
        <v>6.8</v>
      </c>
      <c r="AC526" s="107">
        <f>C526+AK526+(0.1)*AL526</f>
        <v>18.5</v>
      </c>
      <c r="AD526" s="113">
        <v>142</v>
      </c>
      <c r="AE526" s="104">
        <v>5</v>
      </c>
      <c r="AF526" s="104">
        <v>5</v>
      </c>
      <c r="AG526" s="104">
        <v>1900</v>
      </c>
      <c r="AH526" s="113">
        <v>0</v>
      </c>
      <c r="AI526" s="104">
        <f>AJ526</f>
        <v>2004</v>
      </c>
      <c r="AJ526" s="108">
        <v>2004</v>
      </c>
      <c r="AK526" s="108">
        <v>15</v>
      </c>
      <c r="AL526" s="108">
        <v>15</v>
      </c>
      <c r="AM526" s="109">
        <v>5</v>
      </c>
      <c r="AN526" s="109">
        <v>1</v>
      </c>
      <c r="AO526" s="110">
        <v>0</v>
      </c>
      <c r="AP526" s="109">
        <v>0</v>
      </c>
      <c r="AQ526" s="109">
        <v>0</v>
      </c>
      <c r="AR526" s="109">
        <v>0</v>
      </c>
      <c r="AS526" s="110">
        <v>0</v>
      </c>
      <c r="AT526" s="109">
        <v>0</v>
      </c>
      <c r="AU526" s="109">
        <v>0</v>
      </c>
      <c r="AV526" s="109">
        <v>0</v>
      </c>
      <c r="AW526" s="110">
        <v>0</v>
      </c>
      <c r="AX526" s="109">
        <v>0</v>
      </c>
      <c r="AY526" s="233"/>
      <c r="AZ526" s="4"/>
      <c r="BA526" s="35">
        <f ca="1">IF(OR(S526="North America",S526="Rocky Mountain"), "Widespread",BC526)</f>
        <v>2043.2069190730838</v>
      </c>
      <c r="BB526" s="4"/>
      <c r="BC526" s="35">
        <f ca="1">IF(BE526&gt;2046, "Abundant",BE526)</f>
        <v>2043.2069190730838</v>
      </c>
      <c r="BD526" s="4"/>
      <c r="BE526" s="81">
        <f ca="1">YEAR($C$13)+(BG526*80)</f>
        <v>2043.2069190730838</v>
      </c>
      <c r="BF526" s="4"/>
      <c r="BG526" s="137">
        <f ca="1">BH526*$BH$14</f>
        <v>0.30258648841354724</v>
      </c>
      <c r="BH526" s="137">
        <f ca="1">(((BJ526+BK526+BM526+BN526)/4)*$BM$11)+(((BP526+BQ526)/2)*$BQ$11)+(((BU526+BV526+BW526)/3)*$BU$11)+(((BY526+BZ526+CA526+CB526+CC526)/5)*$CA$11)</f>
        <v>0.30258648841354724</v>
      </c>
      <c r="BI526" s="4"/>
      <c r="BJ526" s="33">
        <f>AP526/(AM526+AO526)</f>
        <v>0</v>
      </c>
      <c r="BK526" s="33">
        <f>(AN526+AO526)/(AM526+AO526)</f>
        <v>0.2</v>
      </c>
      <c r="BL526" s="4"/>
      <c r="BM526" s="127">
        <f>CF526/102</f>
        <v>0.18137254901960784</v>
      </c>
      <c r="BN526" s="127">
        <f>C526/2</f>
        <v>1</v>
      </c>
      <c r="BO526" s="4"/>
      <c r="BP526" s="127">
        <f>(AK526)/($AW$6)</f>
        <v>0.15151515151515152</v>
      </c>
      <c r="BQ526" s="127">
        <f ca="1">(CH526-$AW$4)/((YEAR($C$13))-$AW$4)</f>
        <v>0</v>
      </c>
      <c r="BR526" s="127">
        <f>(AL526)/($AW$6)</f>
        <v>0.15151515151515152</v>
      </c>
      <c r="BS526" s="4"/>
      <c r="BT526" s="127"/>
      <c r="BU526" s="127">
        <f ca="1">(CG526-$AW$4)/((YEAR($C$13))-$AW$4)</f>
        <v>0</v>
      </c>
      <c r="BV526" s="127">
        <f>AE526/5</f>
        <v>1</v>
      </c>
      <c r="BW526" s="127">
        <f>AF526/5</f>
        <v>1</v>
      </c>
      <c r="BX526" s="4"/>
      <c r="BY526" s="148" t="str">
        <f>IF(E526="A",".98",IF(E526="B",".99",IF(E526="C","1.00",IF(E526="D","1.00" ))))</f>
        <v>1.00</v>
      </c>
      <c r="BZ526" s="127">
        <f>(CE526+7)/10</f>
        <v>1</v>
      </c>
      <c r="CA526" s="76" t="str">
        <f>IF(D526="Fern",".97",IF(D526="Grass",".99",IF(D526="Herb",".97",IF(D526="Shrub",".99",IF(D526="Tree","1.00",IF(D526="Vine",".98"))))))</f>
        <v>.97</v>
      </c>
      <c r="CB526" s="149" t="str">
        <f>IF(R526="Bogs Ponds Streams",".96", IF(R526="Coastal Areas",".97",IF(R526="Meadows Dry Open",".96",IF(R526="Forest &amp; Understory",".97",IF(R526="Moist Open",".98",IF(R526="Moist Shady",".96",IF(R526="Sub-Alpine","1.0")))))))</f>
        <v>.96</v>
      </c>
      <c r="CC526" s="76" t="str">
        <f>IF(S526="Local Endemic",".50",IF(S526="Regional Endemic",".70",IF(S526="Cascadia",".90",IF(S526="Rocky Mountain",".95",IF(S526="North America",".99")))))</f>
        <v>.90</v>
      </c>
      <c r="CD526" s="4"/>
      <c r="CE526" s="21">
        <f>IF(W526&gt;3,3,W526)</f>
        <v>3</v>
      </c>
      <c r="CF526" s="21">
        <f>IF(AC526&gt;102,102,AC526)</f>
        <v>18.5</v>
      </c>
      <c r="CG526" s="34">
        <f>IF(AI526&lt;$AW$4,$AW$4,AI526)</f>
        <v>2004</v>
      </c>
      <c r="CH526" s="34">
        <f>IF(AJ526&lt;$AW$4,$AW$4,AJ526)</f>
        <v>2004</v>
      </c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13"/>
    </row>
    <row r="527" spans="1:115" ht="15" customHeight="1" x14ac:dyDescent="0.3">
      <c r="A527" s="235"/>
      <c r="B527" s="218"/>
      <c r="C527" s="226">
        <v>2</v>
      </c>
      <c r="D527" s="104" t="s">
        <v>2505</v>
      </c>
      <c r="E527" s="104" t="s">
        <v>2501</v>
      </c>
      <c r="F527" s="400" t="str">
        <f ca="1">IF(BC527&lt;2025, "Extinct&lt; 6Yrs?",BA527)</f>
        <v>Widespread</v>
      </c>
      <c r="G527" s="369" t="s">
        <v>525</v>
      </c>
      <c r="H527" s="369" t="s">
        <v>4028</v>
      </c>
      <c r="I527" s="372" t="s">
        <v>2674</v>
      </c>
      <c r="J527" s="371" t="s">
        <v>3738</v>
      </c>
      <c r="K527" s="371" t="s">
        <v>2790</v>
      </c>
      <c r="L527" s="114" t="s">
        <v>2194</v>
      </c>
      <c r="M527" s="111" t="s">
        <v>4601</v>
      </c>
      <c r="N527" s="111" t="s">
        <v>5498</v>
      </c>
      <c r="O527" s="111" t="s">
        <v>6397</v>
      </c>
      <c r="P527" s="401" t="s">
        <v>361</v>
      </c>
      <c r="Q527" s="104" t="s">
        <v>2552</v>
      </c>
      <c r="R527" s="105" t="s">
        <v>2500</v>
      </c>
      <c r="S527" s="105" t="s">
        <v>2479</v>
      </c>
      <c r="T527" s="133" t="str">
        <f>IF(R527="Bogs Ponds Streams","20",IF(R527="Coastal Areas","26",IF(R527="Meadows Dry Open","10",IF(R527="Forest &amp; Understory","14",IF(R527="Moist Open","12",IF(R527="Moist Shady","10",IF(R527="Sub-Alpine Slopes","0")))))))</f>
        <v>10</v>
      </c>
      <c r="U527" s="133" t="str">
        <f>IF(R527="Bogs Ponds Streams","52",IF(R527="Coastal Areas","51",IF(R527="Meadows Dry Open","53",IF(R527="Forest &amp; Understory","52",IF(R527="Moist Open","50",IF(R527="Moist Shady","46",IF(R527="Sub-Alpine Slopes","40")))))))</f>
        <v>53</v>
      </c>
      <c r="V527" s="133" t="str">
        <f>IF(R527="Bogs Ponds Streams","84",IF(R527="Coastal Areas","76",IF(R527="Meadows Dry Open","96", IF(R527="Forest &amp; Understory","90", IF(R527="Moist Open","88", IF(R527="Moist Shady","82", IF(R527="Sub-Alpine Slopes","80")))))))</f>
        <v>96</v>
      </c>
      <c r="W527" s="104">
        <v>20</v>
      </c>
      <c r="X527" s="104">
        <v>0</v>
      </c>
      <c r="Y527" s="104">
        <v>3500</v>
      </c>
      <c r="Z527" s="104" t="s">
        <v>2519</v>
      </c>
      <c r="AA527" s="104" t="s">
        <v>2518</v>
      </c>
      <c r="AB527" s="104">
        <v>6.8</v>
      </c>
      <c r="AC527" s="107">
        <f>C527+AK527+(0.1)*AL527</f>
        <v>9.3000000000000007</v>
      </c>
      <c r="AD527" s="113">
        <v>141</v>
      </c>
      <c r="AE527" s="104">
        <v>5</v>
      </c>
      <c r="AF527" s="104">
        <v>5</v>
      </c>
      <c r="AG527" s="104">
        <v>1900</v>
      </c>
      <c r="AH527" s="113">
        <v>0</v>
      </c>
      <c r="AI527" s="104">
        <f>AJ527</f>
        <v>2004</v>
      </c>
      <c r="AJ527" s="108">
        <v>2004</v>
      </c>
      <c r="AK527" s="108">
        <v>4</v>
      </c>
      <c r="AL527" s="108">
        <v>33</v>
      </c>
      <c r="AM527" s="109">
        <v>5</v>
      </c>
      <c r="AN527" s="109">
        <v>1</v>
      </c>
      <c r="AO527" s="109">
        <v>1</v>
      </c>
      <c r="AP527" s="109">
        <v>0</v>
      </c>
      <c r="AQ527" s="109">
        <v>0</v>
      </c>
      <c r="AR527" s="109">
        <v>0</v>
      </c>
      <c r="AS527" s="110">
        <v>0</v>
      </c>
      <c r="AT527" s="109">
        <v>0</v>
      </c>
      <c r="AU527" s="109">
        <v>0</v>
      </c>
      <c r="AV527" s="109">
        <v>0</v>
      </c>
      <c r="AW527" s="110">
        <v>0</v>
      </c>
      <c r="AX527" s="109">
        <v>0</v>
      </c>
      <c r="AY527" s="233"/>
      <c r="AZ527" s="4"/>
      <c r="BA527" s="35" t="str">
        <f>IF(OR(S527="North America",S527="Rocky Mountain"), "Widespread",BC527)</f>
        <v>Widespread</v>
      </c>
      <c r="BB527" s="4"/>
      <c r="BC527" s="35">
        <f ca="1">IF(BE527&gt;2046, "Abundant",BE527)</f>
        <v>2042.4072327985739</v>
      </c>
      <c r="BD527" s="4"/>
      <c r="BE527" s="81">
        <f ca="1">YEAR($C$13)+(BG527*80)</f>
        <v>2042.4072327985739</v>
      </c>
      <c r="BF527" s="4"/>
      <c r="BG527" s="137">
        <f ca="1">BH527*$BH$14</f>
        <v>0.29259040998217467</v>
      </c>
      <c r="BH527" s="137">
        <f ca="1">(((BJ527+BK527+BM527+BN527)/4)*$BM$11)+(((BP527+BQ527)/2)*$BQ$11)+(((BU527+BV527+BW527)/3)*$BU$11)+(((BY527+BZ527+CA527+CB527+CC527)/5)*$CA$11)</f>
        <v>0.29259040998217467</v>
      </c>
      <c r="BI527" s="4"/>
      <c r="BJ527" s="33">
        <f>AP527/(AM527+AO527)</f>
        <v>0</v>
      </c>
      <c r="BK527" s="33">
        <f>(AN527+AO527)/(AM527+AO527)</f>
        <v>0.33333333333333331</v>
      </c>
      <c r="BL527" s="4"/>
      <c r="BM527" s="127">
        <f>CF527/102</f>
        <v>9.1176470588235303E-2</v>
      </c>
      <c r="BN527" s="127">
        <f>C527/2</f>
        <v>1</v>
      </c>
      <c r="BO527" s="4"/>
      <c r="BP527" s="127">
        <f>(AK527)/($AW$6)</f>
        <v>4.0404040404040407E-2</v>
      </c>
      <c r="BQ527" s="127">
        <f ca="1">(CH527-$AW$4)/((YEAR($C$13))-$AW$4)</f>
        <v>0</v>
      </c>
      <c r="BR527" s="127">
        <f>(AL527)/($AW$6)</f>
        <v>0.33333333333333331</v>
      </c>
      <c r="BS527" s="4"/>
      <c r="BT527" s="127"/>
      <c r="BU527" s="127">
        <f ca="1">(CG527-$AW$4)/((YEAR($C$13))-$AW$4)</f>
        <v>0</v>
      </c>
      <c r="BV527" s="127">
        <f>AE527/5</f>
        <v>1</v>
      </c>
      <c r="BW527" s="127">
        <f>AF527/5</f>
        <v>1</v>
      </c>
      <c r="BX527" s="4"/>
      <c r="BY527" s="148" t="str">
        <f>IF(E527="A",".98",IF(E527="B",".99",IF(E527="C","1.00",IF(E527="D","1.00" ))))</f>
        <v>1.00</v>
      </c>
      <c r="BZ527" s="127">
        <f>(CE527+7)/10</f>
        <v>1</v>
      </c>
      <c r="CA527" s="76" t="str">
        <f>IF(D527="Fern",".97",IF(D527="Grass",".99",IF(D527="Herb",".97",IF(D527="Shrub",".99",IF(D527="Tree","1.00",IF(D527="Vine",".98"))))))</f>
        <v>.97</v>
      </c>
      <c r="CB527" s="149" t="str">
        <f>IF(R527="Bogs Ponds Streams",".96", IF(R527="Coastal Areas",".97",IF(R527="Meadows Dry Open",".96",IF(R527="Forest &amp; Understory",".97",IF(R527="Moist Open",".98",IF(R527="Moist Shady",".96",IF(R527="Sub-Alpine","1.0")))))))</f>
        <v>.96</v>
      </c>
      <c r="CC527" s="76" t="str">
        <f>IF(S527="Local Endemic",".50",IF(S527="Regional Endemic",".70",IF(S527="Cascadia",".90",IF(S527="Rocky Mountain",".95",IF(S527="North America",".99")))))</f>
        <v>.95</v>
      </c>
      <c r="CD527" s="4"/>
      <c r="CE527" s="21">
        <f>IF(W527&gt;3,3,W527)</f>
        <v>3</v>
      </c>
      <c r="CF527" s="21">
        <f>IF(AC527&gt;102,102,AC527)</f>
        <v>9.3000000000000007</v>
      </c>
      <c r="CG527" s="34">
        <f>IF(AI527&lt;$AW$4,$AW$4,AI527)</f>
        <v>2004</v>
      </c>
      <c r="CH527" s="34">
        <f>IF(AJ527&lt;$AW$4,$AW$4,AJ527)</f>
        <v>2004</v>
      </c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13"/>
    </row>
    <row r="528" spans="1:115" ht="15" customHeight="1" x14ac:dyDescent="0.3">
      <c r="A528" s="235"/>
      <c r="B528" s="218"/>
      <c r="C528" s="225">
        <v>8</v>
      </c>
      <c r="D528" s="59" t="s">
        <v>2505</v>
      </c>
      <c r="E528" s="59" t="s">
        <v>2502</v>
      </c>
      <c r="F528" s="397" t="str">
        <f ca="1">IF(BC528&lt;2025, "Extinct&lt; 6Yrs?",BA528)</f>
        <v>Widespread</v>
      </c>
      <c r="G528" s="363" t="s">
        <v>525</v>
      </c>
      <c r="H528" s="363" t="s">
        <v>681</v>
      </c>
      <c r="I528" s="364" t="s">
        <v>2675</v>
      </c>
      <c r="J528" s="365" t="s">
        <v>3420</v>
      </c>
      <c r="K528" s="365" t="s">
        <v>2791</v>
      </c>
      <c r="L528" s="17" t="s">
        <v>2194</v>
      </c>
      <c r="M528" s="8" t="s">
        <v>4602</v>
      </c>
      <c r="N528" s="8" t="s">
        <v>5499</v>
      </c>
      <c r="O528" s="8" t="s">
        <v>6398</v>
      </c>
      <c r="P528" s="398" t="s">
        <v>361</v>
      </c>
      <c r="Q528" s="59" t="s">
        <v>2552</v>
      </c>
      <c r="R528" s="9" t="s">
        <v>2499</v>
      </c>
      <c r="S528" s="9" t="s">
        <v>2479</v>
      </c>
      <c r="T528" s="123" t="str">
        <f>IF(R528="Bogs Ponds Streams","20",IF(R528="Coastal Areas","26",IF(R528="Meadows Dry Open","10",IF(R528="Forest &amp; Understory","14",IF(R528="Moist Open","12",IF(R528="Moist Shady","10",IF(R528="Sub-Alpine Slopes","0")))))))</f>
        <v>20</v>
      </c>
      <c r="U528" s="123" t="str">
        <f>IF(R528="Bogs Ponds Streams","52",IF(R528="Coastal Areas","51",IF(R528="Meadows Dry Open","53",IF(R528="Forest &amp; Understory","52",IF(R528="Moist Open","50",IF(R528="Moist Shady","46",IF(R528="Sub-Alpine Slopes","40")))))))</f>
        <v>52</v>
      </c>
      <c r="V528" s="123" t="str">
        <f>IF(R528="Bogs Ponds Streams","84",IF(R528="Coastal Areas","76",IF(R528="Meadows Dry Open","96", IF(R528="Forest &amp; Understory","90", IF(R528="Moist Open","88", IF(R528="Moist Shady","82", IF(R528="Sub-Alpine Slopes","80")))))))</f>
        <v>84</v>
      </c>
      <c r="W528" s="59">
        <v>1</v>
      </c>
      <c r="X528" s="59">
        <v>0</v>
      </c>
      <c r="Y528" s="59">
        <v>3500</v>
      </c>
      <c r="Z528" s="59" t="s">
        <v>2519</v>
      </c>
      <c r="AA528" s="59" t="s">
        <v>2518</v>
      </c>
      <c r="AB528" s="59">
        <v>6.8</v>
      </c>
      <c r="AC528" s="45">
        <f>C528+AK528+(0.1)*AL528</f>
        <v>20.2</v>
      </c>
      <c r="AD528" s="77">
        <v>86</v>
      </c>
      <c r="AE528" s="59">
        <v>5</v>
      </c>
      <c r="AF528" s="59">
        <v>5</v>
      </c>
      <c r="AG528" s="59">
        <v>1900</v>
      </c>
      <c r="AH528" s="77">
        <v>0</v>
      </c>
      <c r="AI528" s="59">
        <f ca="1">AJ528</f>
        <v>2019</v>
      </c>
      <c r="AJ528" s="18">
        <f ca="1">YEAR(TODAY())</f>
        <v>2019</v>
      </c>
      <c r="AK528" s="18">
        <v>12</v>
      </c>
      <c r="AL528" s="18">
        <v>2</v>
      </c>
      <c r="AM528" s="18">
        <v>1</v>
      </c>
      <c r="AN528" s="18">
        <v>1</v>
      </c>
      <c r="AO528" s="18">
        <v>5</v>
      </c>
      <c r="AP528" s="18">
        <v>1</v>
      </c>
      <c r="AQ528" s="18">
        <v>0</v>
      </c>
      <c r="AR528" s="18">
        <v>0</v>
      </c>
      <c r="AS528" s="18">
        <v>0</v>
      </c>
      <c r="AT528" s="18">
        <v>0</v>
      </c>
      <c r="AU528" s="18">
        <v>0</v>
      </c>
      <c r="AV528" s="18">
        <v>0</v>
      </c>
      <c r="AW528" s="18">
        <v>0</v>
      </c>
      <c r="AX528" s="18">
        <v>0</v>
      </c>
      <c r="AY528" s="233"/>
      <c r="AZ528" s="4"/>
      <c r="BA528" s="35" t="str">
        <f>IF(OR(S528="North America",S528="Rocky Mountain"), "Widespread",BC528)</f>
        <v>Widespread</v>
      </c>
      <c r="BB528" s="4"/>
      <c r="BC528" s="35" t="str">
        <f ca="1">IF(BE528&gt;2046, "Abundant",BE528)</f>
        <v>Abundant</v>
      </c>
      <c r="BD528" s="4"/>
      <c r="BE528" s="81">
        <f ca="1">YEAR($C$13)+(BG528*80)</f>
        <v>2104.7222160427809</v>
      </c>
      <c r="BF528" s="4"/>
      <c r="BG528" s="137">
        <f ca="1">BH528*$BH$14</f>
        <v>1.0715277005347594</v>
      </c>
      <c r="BH528" s="137">
        <f ca="1">(((BJ528+BK528+BM528+BN528)/4)*$BM$11)+(((BP528+BQ528)/2)*$BQ$11)+(((BU528+BV528+BW528)/3)*$BU$11)+(((BY528+BZ528+CA528+CB528+CC528)/5)*$CA$11)</f>
        <v>1.0715277005347594</v>
      </c>
      <c r="BI528" s="4"/>
      <c r="BJ528" s="33">
        <f>AP528/(AM528+AO528)</f>
        <v>0.16666666666666666</v>
      </c>
      <c r="BK528" s="33">
        <f>(AN528+AO528)/(AM528+AO528)</f>
        <v>1</v>
      </c>
      <c r="BL528" s="4"/>
      <c r="BM528" s="127">
        <f>CF528/102</f>
        <v>0.1980392156862745</v>
      </c>
      <c r="BN528" s="127">
        <f>C528/2</f>
        <v>4</v>
      </c>
      <c r="BO528" s="4"/>
      <c r="BP528" s="127">
        <f>(AK528)/($AW$6)</f>
        <v>0.12121212121212122</v>
      </c>
      <c r="BQ528" s="127">
        <f ca="1">(CH528-$AW$4)/((YEAR($C$13))-$AW$4)</f>
        <v>1</v>
      </c>
      <c r="BR528" s="127">
        <f>(AL528)/($AW$6)</f>
        <v>2.0202020202020204E-2</v>
      </c>
      <c r="BS528" s="4"/>
      <c r="BT528" s="127"/>
      <c r="BU528" s="127">
        <f ca="1">(CG528-$AW$4)/((YEAR($C$13))-$AW$4)</f>
        <v>1</v>
      </c>
      <c r="BV528" s="127">
        <f>AE528/5</f>
        <v>1</v>
      </c>
      <c r="BW528" s="127">
        <f>AF528/5</f>
        <v>1</v>
      </c>
      <c r="BX528" s="4"/>
      <c r="BY528" s="148" t="str">
        <f>IF(E528="A",".98",IF(E528="B",".99",IF(E528="C","1.00",IF(E528="D","1.00" ))))</f>
        <v>.98</v>
      </c>
      <c r="BZ528" s="127">
        <f>(CE528+7)/10</f>
        <v>0.8</v>
      </c>
      <c r="CA528" s="76" t="str">
        <f>IF(D528="Fern",".97",IF(D528="Grass",".99",IF(D528="Herb",".97",IF(D528="Shrub",".99",IF(D528="Tree","1.00",IF(D528="Vine",".98"))))))</f>
        <v>.97</v>
      </c>
      <c r="CB528" s="149" t="str">
        <f>IF(R528="Bogs Ponds Streams",".96", IF(R528="Coastal Areas",".97",IF(R528="Meadows Dry Open",".96",IF(R528="Forest &amp; Understory",".97",IF(R528="Moist Open",".98",IF(R528="Moist Shady",".96",IF(R528="Sub-Alpine","1.0")))))))</f>
        <v>.96</v>
      </c>
      <c r="CC528" s="76" t="str">
        <f>IF(S528="Local Endemic",".50",IF(S528="Regional Endemic",".70",IF(S528="Cascadia",".90",IF(S528="Rocky Mountain",".95",IF(S528="North America",".99")))))</f>
        <v>.95</v>
      </c>
      <c r="CD528" s="4"/>
      <c r="CE528" s="21">
        <f>IF(W528&gt;3,3,W528)</f>
        <v>1</v>
      </c>
      <c r="CF528" s="21">
        <f>IF(AC528&gt;102,102,AC528)</f>
        <v>20.2</v>
      </c>
      <c r="CG528" s="34">
        <f ca="1">IF(AI528&lt;$AW$4,$AW$4,AI528)</f>
        <v>2019</v>
      </c>
      <c r="CH528" s="34">
        <f ca="1">IF(AJ528&lt;$AW$4,$AW$4,AJ528)</f>
        <v>2019</v>
      </c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14"/>
    </row>
    <row r="529" spans="1:115" ht="15" customHeight="1" x14ac:dyDescent="0.3">
      <c r="A529" s="235"/>
      <c r="B529" s="218"/>
      <c r="C529" s="375">
        <v>1</v>
      </c>
      <c r="D529" s="67" t="s">
        <v>2505</v>
      </c>
      <c r="E529" s="67" t="s">
        <v>2501</v>
      </c>
      <c r="F529" s="403">
        <f ca="1">IF(BC529&lt;2025, "Extinct&lt; 6Yrs?",BA529)</f>
        <v>2029.0528617944146</v>
      </c>
      <c r="G529" s="376" t="s">
        <v>525</v>
      </c>
      <c r="H529" s="376" t="s">
        <v>4028</v>
      </c>
      <c r="I529" s="378" t="s">
        <v>2325</v>
      </c>
      <c r="J529" s="378" t="s">
        <v>2413</v>
      </c>
      <c r="K529" s="378" t="s">
        <v>2324</v>
      </c>
      <c r="L529" s="63" t="s">
        <v>2414</v>
      </c>
      <c r="M529" s="64" t="s">
        <v>4603</v>
      </c>
      <c r="N529" s="64" t="s">
        <v>5500</v>
      </c>
      <c r="O529" s="64" t="s">
        <v>6399</v>
      </c>
      <c r="P529" s="61" t="s">
        <v>361</v>
      </c>
      <c r="Q529" s="67" t="s">
        <v>2552</v>
      </c>
      <c r="R529" s="61" t="s">
        <v>2530</v>
      </c>
      <c r="S529" s="61" t="s">
        <v>2316</v>
      </c>
      <c r="T529" s="134" t="str">
        <f>IF(R529="Bogs Ponds Streams","20",IF(R529="Coastal Areas","26",IF(R529="Meadows Dry Open","10",IF(R529="Forest &amp; Understory","14",IF(R529="Moist Open","12",IF(R529="Moist Shady","10",IF(R529="Sub-Alpine Slopes","0")))))))</f>
        <v>14</v>
      </c>
      <c r="U529" s="134" t="str">
        <f>IF(R529="Bogs Ponds Streams","52",IF(R529="Coastal Areas","51",IF(R529="Meadows Dry Open","53",IF(R529="Forest &amp; Understory","52",IF(R529="Moist Open","50",IF(R529="Moist Shady","46",IF(R529="Sub-Alpine Slopes","40")))))))</f>
        <v>52</v>
      </c>
      <c r="V529" s="134" t="str">
        <f>IF(R529="Bogs Ponds Streams","84",IF(R529="Coastal Areas","76",IF(R529="Meadows Dry Open","96", IF(R529="Forest &amp; Understory","90", IF(R529="Moist Open","88", IF(R529="Moist Shady","82", IF(R529="Sub-Alpine Slopes","80")))))))</f>
        <v>90</v>
      </c>
      <c r="W529" s="67">
        <v>20</v>
      </c>
      <c r="X529" s="67">
        <v>0</v>
      </c>
      <c r="Y529" s="67">
        <v>3500</v>
      </c>
      <c r="Z529" s="67" t="s">
        <v>2519</v>
      </c>
      <c r="AA529" s="67" t="s">
        <v>2518</v>
      </c>
      <c r="AB529" s="67">
        <v>6.8</v>
      </c>
      <c r="AC529" s="85">
        <f>C529+AK529+(0.1)*AL529</f>
        <v>2</v>
      </c>
      <c r="AD529" s="78">
        <v>8</v>
      </c>
      <c r="AE529" s="68">
        <v>3</v>
      </c>
      <c r="AF529" s="68">
        <v>1</v>
      </c>
      <c r="AG529" s="78">
        <v>1907</v>
      </c>
      <c r="AH529" s="78">
        <v>0</v>
      </c>
      <c r="AI529" s="78">
        <v>2008</v>
      </c>
      <c r="AJ529" s="67">
        <v>1990</v>
      </c>
      <c r="AK529" s="67">
        <v>1</v>
      </c>
      <c r="AL529" s="67">
        <v>0</v>
      </c>
      <c r="AM529" s="70">
        <v>5</v>
      </c>
      <c r="AN529" s="70">
        <v>0</v>
      </c>
      <c r="AO529" s="86">
        <v>0</v>
      </c>
      <c r="AP529" s="70">
        <v>0</v>
      </c>
      <c r="AQ529" s="70">
        <v>0</v>
      </c>
      <c r="AR529" s="70">
        <v>0</v>
      </c>
      <c r="AS529" s="86">
        <v>0</v>
      </c>
      <c r="AT529" s="70">
        <v>0</v>
      </c>
      <c r="AU529" s="70">
        <v>0</v>
      </c>
      <c r="AV529" s="70">
        <v>0</v>
      </c>
      <c r="AW529" s="86">
        <v>0</v>
      </c>
      <c r="AX529" s="70">
        <v>0</v>
      </c>
      <c r="AY529" s="233"/>
      <c r="AZ529" s="11"/>
      <c r="BA529" s="35">
        <f ca="1">IF(OR(S529="North America",S529="Rocky Mountain"), "Widespread",BC529)</f>
        <v>2029.0528617944146</v>
      </c>
      <c r="BB529" s="11"/>
      <c r="BC529" s="35">
        <f ca="1">IF(BE529&gt;2046, "Abundant",BE529)</f>
        <v>2029.0528617944146</v>
      </c>
      <c r="BD529" s="11"/>
      <c r="BE529" s="81">
        <f ca="1">YEAR($C$13)+(BG529*80)</f>
        <v>2029.0528617944146</v>
      </c>
      <c r="BF529" s="11"/>
      <c r="BG529" s="137">
        <f ca="1">BH529*$BH$14</f>
        <v>0.1256607724301842</v>
      </c>
      <c r="BH529" s="137">
        <f ca="1">(((BJ529+BK529+BM529+BN529)/4)*$BM$11)+(((BP529+BQ529)/2)*$BQ$11)+(((BU529+BV529+BW529)/3)*$BU$11)+(((BY529+BZ529+CA529+CB529+CC529)/5)*$CA$11)</f>
        <v>0.1256607724301842</v>
      </c>
      <c r="BI529" s="11"/>
      <c r="BJ529" s="33">
        <f>AP529/(AM529+AO529)</f>
        <v>0</v>
      </c>
      <c r="BK529" s="33">
        <f>(AN529+AO529)/(AM529+AO529)</f>
        <v>0</v>
      </c>
      <c r="BL529" s="11"/>
      <c r="BM529" s="127">
        <f>CF529/102</f>
        <v>1.9607843137254902E-2</v>
      </c>
      <c r="BN529" s="127">
        <f>C529/2</f>
        <v>0.5</v>
      </c>
      <c r="BO529" s="11"/>
      <c r="BP529" s="127">
        <f>(AK529)/($AW$6)</f>
        <v>1.0101010101010102E-2</v>
      </c>
      <c r="BQ529" s="127">
        <f ca="1">(CH529-$AW$4)/((YEAR($C$13))-$AW$4)</f>
        <v>0</v>
      </c>
      <c r="BR529" s="127">
        <f>(AL529)/($AW$6)</f>
        <v>0</v>
      </c>
      <c r="BS529" s="11"/>
      <c r="BT529" s="127"/>
      <c r="BU529" s="127">
        <f ca="1">(CG529-$AW$4)/((YEAR($C$13))-$AW$4)</f>
        <v>0.26666666666666666</v>
      </c>
      <c r="BV529" s="127">
        <f>AE529/5</f>
        <v>0.6</v>
      </c>
      <c r="BW529" s="127">
        <f>AF529/5</f>
        <v>0.2</v>
      </c>
      <c r="BX529" s="11"/>
      <c r="BY529" s="148" t="str">
        <f>IF(E529="A",".98",IF(E529="B",".99",IF(E529="C","1.00",IF(E529="D","1.00" ))))</f>
        <v>1.00</v>
      </c>
      <c r="BZ529" s="127">
        <f>(CE529+7)/10</f>
        <v>1</v>
      </c>
      <c r="CA529" s="76" t="str">
        <f>IF(D529="Fern",".97",IF(D529="Grass",".99",IF(D529="Herb",".97",IF(D529="Shrub",".99",IF(D529="Tree","1.00",IF(D529="Vine",".98"))))))</f>
        <v>.97</v>
      </c>
      <c r="CB529" s="149" t="str">
        <f>IF(R529="Bogs Ponds Streams",".96", IF(R529="Coastal Areas",".97",IF(R529="Meadows Dry Open",".96",IF(R529="Forest &amp; Understory",".97",IF(R529="Moist Open",".98",IF(R529="Moist Shady",".96",IF(R529="Sub-Alpine","1.0")))))))</f>
        <v>.97</v>
      </c>
      <c r="CC529" s="76" t="str">
        <f>IF(S529="Local Endemic",".50",IF(S529="Regional Endemic",".70",IF(S529="Cascadia",".90",IF(S529="Rocky Mountain",".95",IF(S529="North America",".99")))))</f>
        <v>.50</v>
      </c>
      <c r="CD529" s="11"/>
      <c r="CE529" s="21">
        <f>IF(W529&gt;3,3,W529)</f>
        <v>3</v>
      </c>
      <c r="CF529" s="21">
        <f>IF(AC529&gt;102,102,AC529)</f>
        <v>2</v>
      </c>
      <c r="CG529" s="34">
        <f>IF(AI529&lt;$AW$4,$AW$4,AI529)</f>
        <v>2008</v>
      </c>
      <c r="CH529" s="34">
        <f>IF(AJ529&lt;$AW$4,$AW$4,AJ529)</f>
        <v>2004</v>
      </c>
      <c r="CI529" s="11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11"/>
      <c r="DC529" s="11"/>
      <c r="DD529" s="11"/>
      <c r="DE529" s="11"/>
      <c r="DF529" s="11"/>
      <c r="DG529" s="11"/>
      <c r="DH529" s="11"/>
      <c r="DI529" s="11"/>
      <c r="DJ529" s="11"/>
    </row>
    <row r="530" spans="1:115" ht="15" customHeight="1" x14ac:dyDescent="0.3">
      <c r="A530" s="235"/>
      <c r="B530" s="218"/>
      <c r="C530" s="375">
        <v>1</v>
      </c>
      <c r="D530" s="67" t="s">
        <v>2505</v>
      </c>
      <c r="E530" s="67" t="s">
        <v>2501</v>
      </c>
      <c r="F530" s="403">
        <f ca="1">IF(BC530&lt;2025, "Extinct&lt; 6Yrs?",BA530)</f>
        <v>2036.215380154486</v>
      </c>
      <c r="G530" s="376" t="s">
        <v>525</v>
      </c>
      <c r="H530" s="376" t="s">
        <v>4028</v>
      </c>
      <c r="I530" s="377" t="s">
        <v>2344</v>
      </c>
      <c r="J530" s="378" t="s">
        <v>3571</v>
      </c>
      <c r="K530" s="378" t="s">
        <v>2343</v>
      </c>
      <c r="L530" s="63" t="s">
        <v>2415</v>
      </c>
      <c r="M530" s="64" t="s">
        <v>4604</v>
      </c>
      <c r="N530" s="64" t="s">
        <v>5501</v>
      </c>
      <c r="O530" s="64" t="s">
        <v>6400</v>
      </c>
      <c r="P530" s="61" t="s">
        <v>51</v>
      </c>
      <c r="Q530" s="67" t="s">
        <v>2552</v>
      </c>
      <c r="R530" s="61" t="s">
        <v>2500</v>
      </c>
      <c r="S530" s="164" t="s">
        <v>2459</v>
      </c>
      <c r="T530" s="134" t="str">
        <f>IF(R530="Bogs Ponds Streams","20",IF(R530="Coastal Areas","26",IF(R530="Meadows Dry Open","10",IF(R530="Forest &amp; Understory","14",IF(R530="Moist Open","12",IF(R530="Moist Shady","10",IF(R530="Sub-Alpine Slopes","0")))))))</f>
        <v>10</v>
      </c>
      <c r="U530" s="134" t="str">
        <f>IF(R530="Bogs Ponds Streams","52",IF(R530="Coastal Areas","51",IF(R530="Meadows Dry Open","53",IF(R530="Forest &amp; Understory","52",IF(R530="Moist Open","50",IF(R530="Moist Shady","46",IF(R530="Sub-Alpine Slopes","40")))))))</f>
        <v>53</v>
      </c>
      <c r="V530" s="134" t="str">
        <f>IF(R530="Bogs Ponds Streams","84",IF(R530="Coastal Areas","76",IF(R530="Meadows Dry Open","96", IF(R530="Forest &amp; Understory","90", IF(R530="Moist Open","88", IF(R530="Moist Shady","82", IF(R530="Sub-Alpine Slopes","80")))))))</f>
        <v>96</v>
      </c>
      <c r="W530" s="67">
        <v>20</v>
      </c>
      <c r="X530" s="67">
        <v>0</v>
      </c>
      <c r="Y530" s="67">
        <v>3500</v>
      </c>
      <c r="Z530" s="67" t="s">
        <v>2519</v>
      </c>
      <c r="AA530" s="67" t="s">
        <v>2518</v>
      </c>
      <c r="AB530" s="67">
        <v>6.8</v>
      </c>
      <c r="AC530" s="85">
        <f>C530+AK530+(0.1)*AL530</f>
        <v>4</v>
      </c>
      <c r="AD530" s="78">
        <v>24</v>
      </c>
      <c r="AE530" s="68">
        <v>3</v>
      </c>
      <c r="AF530" s="68">
        <v>5</v>
      </c>
      <c r="AG530" s="78">
        <v>1919</v>
      </c>
      <c r="AH530" s="78">
        <v>0</v>
      </c>
      <c r="AI530" s="78">
        <v>2014</v>
      </c>
      <c r="AJ530" s="67">
        <v>2009</v>
      </c>
      <c r="AK530" s="67">
        <v>3</v>
      </c>
      <c r="AL530" s="67">
        <v>0</v>
      </c>
      <c r="AM530" s="70">
        <v>5</v>
      </c>
      <c r="AN530" s="70">
        <v>0</v>
      </c>
      <c r="AO530" s="86">
        <v>0</v>
      </c>
      <c r="AP530" s="70">
        <v>0</v>
      </c>
      <c r="AQ530" s="70">
        <v>0</v>
      </c>
      <c r="AR530" s="70">
        <v>0</v>
      </c>
      <c r="AS530" s="86">
        <v>0</v>
      </c>
      <c r="AT530" s="70">
        <v>0</v>
      </c>
      <c r="AU530" s="70">
        <v>0</v>
      </c>
      <c r="AV530" s="70">
        <v>0</v>
      </c>
      <c r="AW530" s="86">
        <v>0</v>
      </c>
      <c r="AX530" s="70">
        <v>0</v>
      </c>
      <c r="AY530" s="233"/>
      <c r="AZ530" s="11"/>
      <c r="BA530" s="35">
        <f ca="1">IF(OR(S530="North America",S530="Rocky Mountain"), "Widespread",BC530)</f>
        <v>2036.215380154486</v>
      </c>
      <c r="BB530" s="11"/>
      <c r="BC530" s="35">
        <f ca="1">IF(BE530&gt;2046, "Abundant",BE530)</f>
        <v>2036.215380154486</v>
      </c>
      <c r="BD530" s="11"/>
      <c r="BE530" s="81">
        <f ca="1">YEAR($C$13)+(BG530*80)</f>
        <v>2036.215380154486</v>
      </c>
      <c r="BF530" s="11"/>
      <c r="BG530" s="137">
        <f ca="1">BH530*$BH$14</f>
        <v>0.21519225193107544</v>
      </c>
      <c r="BH530" s="137">
        <f ca="1">(((BJ530+BK530+BM530+BN530)/4)*$BM$11)+(((BP530+BQ530)/2)*$BQ$11)+(((BU530+BV530+BW530)/3)*$BU$11)+(((BY530+BZ530+CA530+CB530+CC530)/5)*$CA$11)</f>
        <v>0.21519225193107544</v>
      </c>
      <c r="BI530" s="11"/>
      <c r="BJ530" s="33">
        <f>AP530/(AM530+AO530)</f>
        <v>0</v>
      </c>
      <c r="BK530" s="33">
        <f>(AN530+AO530)/(AM530+AO530)</f>
        <v>0</v>
      </c>
      <c r="BL530" s="11"/>
      <c r="BM530" s="127">
        <f>CF530/102</f>
        <v>3.9215686274509803E-2</v>
      </c>
      <c r="BN530" s="127">
        <f>C530/2</f>
        <v>0.5</v>
      </c>
      <c r="BO530" s="11"/>
      <c r="BP530" s="127">
        <f>(AK530)/($AW$6)</f>
        <v>3.0303030303030304E-2</v>
      </c>
      <c r="BQ530" s="127">
        <f ca="1">(CH530-$AW$4)/((YEAR($C$13))-$AW$4)</f>
        <v>0.33333333333333331</v>
      </c>
      <c r="BR530" s="127">
        <f>(AL530)/($AW$6)</f>
        <v>0</v>
      </c>
      <c r="BS530" s="11"/>
      <c r="BT530" s="127"/>
      <c r="BU530" s="127">
        <f ca="1">(CG530-$AW$4)/((YEAR($C$13))-$AW$4)</f>
        <v>0.66666666666666663</v>
      </c>
      <c r="BV530" s="127">
        <f>AE530/5</f>
        <v>0.6</v>
      </c>
      <c r="BW530" s="127">
        <f>AF530/5</f>
        <v>1</v>
      </c>
      <c r="BX530" s="11"/>
      <c r="BY530" s="148" t="str">
        <f>IF(E530="A",".98",IF(E530="B",".99",IF(E530="C","1.00",IF(E530="D","1.00" ))))</f>
        <v>1.00</v>
      </c>
      <c r="BZ530" s="127">
        <f>(CE530+7)/10</f>
        <v>1</v>
      </c>
      <c r="CA530" s="76" t="str">
        <f>IF(D530="Fern",".97",IF(D530="Grass",".99",IF(D530="Herb",".97",IF(D530="Shrub",".99",IF(D530="Tree","1.00",IF(D530="Vine",".98"))))))</f>
        <v>.97</v>
      </c>
      <c r="CB530" s="149" t="str">
        <f>IF(R530="Bogs Ponds Streams",".96", IF(R530="Coastal Areas",".97",IF(R530="Meadows Dry Open",".96",IF(R530="Forest &amp; Understory",".97",IF(R530="Moist Open",".98",IF(R530="Moist Shady",".96",IF(R530="Sub-Alpine","1.0")))))))</f>
        <v>.96</v>
      </c>
      <c r="CC530" s="76" t="str">
        <f>IF(S530="Local Endemic",".50",IF(S530="Regional Endemic",".70",IF(S530="Cascadia",".90",IF(S530="Rocky Mountain",".95",IF(S530="North America",".99")))))</f>
        <v>.90</v>
      </c>
      <c r="CD530" s="11"/>
      <c r="CE530" s="21">
        <f>IF(W530&gt;3,3,W530)</f>
        <v>3</v>
      </c>
      <c r="CF530" s="21">
        <f>IF(AC530&gt;102,102,AC530)</f>
        <v>4</v>
      </c>
      <c r="CG530" s="34">
        <f>IF(AI530&lt;$AW$4,$AW$4,AI530)</f>
        <v>2014</v>
      </c>
      <c r="CH530" s="34">
        <f>IF(AJ530&lt;$AW$4,$AW$4,AJ530)</f>
        <v>2009</v>
      </c>
      <c r="CI530" s="11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11"/>
      <c r="DC530" s="11"/>
      <c r="DD530" s="11"/>
      <c r="DE530" s="11"/>
      <c r="DF530" s="11"/>
      <c r="DG530" s="11"/>
      <c r="DH530" s="11"/>
      <c r="DI530" s="11"/>
      <c r="DJ530" s="11"/>
    </row>
    <row r="531" spans="1:115" ht="15" customHeight="1" x14ac:dyDescent="0.3">
      <c r="A531" s="235"/>
      <c r="B531" s="218"/>
      <c r="C531" s="375">
        <v>1</v>
      </c>
      <c r="D531" s="67" t="s">
        <v>2505</v>
      </c>
      <c r="E531" s="67" t="s">
        <v>2501</v>
      </c>
      <c r="F531" s="403">
        <f ca="1">IF(BC531&lt;2025, "Extinct&lt; 6Yrs?",BA531)</f>
        <v>2032.8407871657755</v>
      </c>
      <c r="G531" s="376" t="s">
        <v>525</v>
      </c>
      <c r="H531" s="376" t="s">
        <v>4028</v>
      </c>
      <c r="I531" s="380" t="s">
        <v>104</v>
      </c>
      <c r="J531" s="378" t="s">
        <v>3570</v>
      </c>
      <c r="K531" s="378" t="s">
        <v>103</v>
      </c>
      <c r="L531" s="63" t="s">
        <v>2195</v>
      </c>
      <c r="M531" s="64" t="s">
        <v>4605</v>
      </c>
      <c r="N531" s="64" t="s">
        <v>5502</v>
      </c>
      <c r="O531" s="64" t="s">
        <v>6401</v>
      </c>
      <c r="P531" s="61" t="s">
        <v>51</v>
      </c>
      <c r="Q531" s="67" t="s">
        <v>2552</v>
      </c>
      <c r="R531" s="61" t="s">
        <v>2498</v>
      </c>
      <c r="S531" s="61" t="s">
        <v>2459</v>
      </c>
      <c r="T531" s="134" t="str">
        <f>IF(R531="Bogs Ponds Streams","20",IF(R531="Coastal Areas","26",IF(R531="Meadows Dry Open","10",IF(R531="Forest &amp; Understory","14",IF(R531="Moist Open","12",IF(R531="Moist Shady","10",IF(R531="Sub-Alpine Slopes","0")))))))</f>
        <v>10</v>
      </c>
      <c r="U531" s="134" t="str">
        <f>IF(R531="Bogs Ponds Streams","52",IF(R531="Coastal Areas","51",IF(R531="Meadows Dry Open","53",IF(R531="Forest &amp; Understory","52",IF(R531="Moist Open","50",IF(R531="Moist Shady","46",IF(R531="Sub-Alpine Slopes","40")))))))</f>
        <v>46</v>
      </c>
      <c r="V531" s="134" t="str">
        <f>IF(R531="Bogs Ponds Streams","84",IF(R531="Coastal Areas","76",IF(R531="Meadows Dry Open","96", IF(R531="Forest &amp; Understory","90", IF(R531="Moist Open","88", IF(R531="Moist Shady","82", IF(R531="Sub-Alpine Slopes","80")))))))</f>
        <v>82</v>
      </c>
      <c r="W531" s="67">
        <v>20</v>
      </c>
      <c r="X531" s="67">
        <v>0</v>
      </c>
      <c r="Y531" s="67">
        <v>3500</v>
      </c>
      <c r="Z531" s="67" t="s">
        <v>2519</v>
      </c>
      <c r="AA531" s="67" t="s">
        <v>2518</v>
      </c>
      <c r="AB531" s="67">
        <v>6.8</v>
      </c>
      <c r="AC531" s="85">
        <f>C531+AK531+(0.1)*AL531</f>
        <v>9</v>
      </c>
      <c r="AD531" s="78">
        <v>28</v>
      </c>
      <c r="AE531" s="67">
        <v>5</v>
      </c>
      <c r="AF531" s="67">
        <v>5</v>
      </c>
      <c r="AG531" s="67">
        <v>1900</v>
      </c>
      <c r="AH531" s="78">
        <v>0</v>
      </c>
      <c r="AI531" s="67">
        <f>AJ531</f>
        <v>2004</v>
      </c>
      <c r="AJ531" s="69">
        <v>2004</v>
      </c>
      <c r="AK531" s="69">
        <v>8</v>
      </c>
      <c r="AL531" s="69">
        <v>0</v>
      </c>
      <c r="AM531" s="70">
        <v>5</v>
      </c>
      <c r="AN531" s="70">
        <v>0</v>
      </c>
      <c r="AO531" s="86">
        <v>0</v>
      </c>
      <c r="AP531" s="70">
        <v>0</v>
      </c>
      <c r="AQ531" s="70">
        <v>0</v>
      </c>
      <c r="AR531" s="70">
        <v>0</v>
      </c>
      <c r="AS531" s="86">
        <v>0</v>
      </c>
      <c r="AT531" s="70">
        <v>0</v>
      </c>
      <c r="AU531" s="70">
        <v>0</v>
      </c>
      <c r="AV531" s="70">
        <v>0</v>
      </c>
      <c r="AW531" s="86">
        <v>0</v>
      </c>
      <c r="AX531" s="70">
        <v>0</v>
      </c>
      <c r="AY531" s="233"/>
      <c r="AZ531" s="4"/>
      <c r="BA531" s="35">
        <f ca="1">IF(OR(S531="North America",S531="Rocky Mountain"), "Widespread",BC531)</f>
        <v>2032.8407871657755</v>
      </c>
      <c r="BB531" s="4"/>
      <c r="BC531" s="35">
        <f ca="1">IF(BE531&gt;2046, "Abundant",BE531)</f>
        <v>2032.8407871657755</v>
      </c>
      <c r="BD531" s="4"/>
      <c r="BE531" s="81">
        <f ca="1">YEAR($C$13)+(BG531*80)</f>
        <v>2032.8407871657755</v>
      </c>
      <c r="BF531" s="4"/>
      <c r="BG531" s="137">
        <f ca="1">BH531*$BH$14</f>
        <v>0.17300983957219251</v>
      </c>
      <c r="BH531" s="137">
        <f ca="1">(((BJ531+BK531+BM531+BN531)/4)*$BM$11)+(((BP531+BQ531)/2)*$BQ$11)+(((BU531+BV531+BW531)/3)*$BU$11)+(((BY531+BZ531+CA531+CB531+CC531)/5)*$CA$11)</f>
        <v>0.17300983957219251</v>
      </c>
      <c r="BI531" s="4"/>
      <c r="BJ531" s="33">
        <f>AP531/(AM531+AO531)</f>
        <v>0</v>
      </c>
      <c r="BK531" s="33">
        <f>(AN531+AO531)/(AM531+AO531)</f>
        <v>0</v>
      </c>
      <c r="BL531" s="4"/>
      <c r="BM531" s="127">
        <f>CF531/102</f>
        <v>8.8235294117647065E-2</v>
      </c>
      <c r="BN531" s="127">
        <f>C531/2</f>
        <v>0.5</v>
      </c>
      <c r="BO531" s="4"/>
      <c r="BP531" s="127">
        <f>(AK531)/($AW$6)</f>
        <v>8.0808080808080815E-2</v>
      </c>
      <c r="BQ531" s="127">
        <f ca="1">(CH531-$AW$4)/((YEAR($C$13))-$AW$4)</f>
        <v>0</v>
      </c>
      <c r="BR531" s="127">
        <f>(AL531)/($AW$6)</f>
        <v>0</v>
      </c>
      <c r="BS531" s="4"/>
      <c r="BT531" s="127"/>
      <c r="BU531" s="127">
        <f ca="1">(CG531-$AW$4)/((YEAR($C$13))-$AW$4)</f>
        <v>0</v>
      </c>
      <c r="BV531" s="127">
        <f>AE531/5</f>
        <v>1</v>
      </c>
      <c r="BW531" s="127">
        <f>AF531/5</f>
        <v>1</v>
      </c>
      <c r="BX531" s="4"/>
      <c r="BY531" s="148" t="str">
        <f>IF(E531="A",".98",IF(E531="B",".99",IF(E531="C","1.00",IF(E531="D","1.00" ))))</f>
        <v>1.00</v>
      </c>
      <c r="BZ531" s="127">
        <f>(CE531+7)/10</f>
        <v>1</v>
      </c>
      <c r="CA531" s="76" t="str">
        <f>IF(D531="Fern",".97",IF(D531="Grass",".99",IF(D531="Herb",".97",IF(D531="Shrub",".99",IF(D531="Tree","1.00",IF(D531="Vine",".98"))))))</f>
        <v>.97</v>
      </c>
      <c r="CB531" s="149" t="str">
        <f>IF(R531="Bogs Ponds Streams",".96", IF(R531="Coastal Areas",".97",IF(R531="Meadows Dry Open",".96",IF(R531="Forest &amp; Understory",".97",IF(R531="Moist Open",".98",IF(R531="Moist Shady",".96",IF(R531="Sub-Alpine","1.0")))))))</f>
        <v>.96</v>
      </c>
      <c r="CC531" s="76" t="str">
        <f>IF(S531="Local Endemic",".50",IF(S531="Regional Endemic",".70",IF(S531="Cascadia",".90",IF(S531="Rocky Mountain",".95",IF(S531="North America",".99")))))</f>
        <v>.90</v>
      </c>
      <c r="CD531" s="4"/>
      <c r="CE531" s="21">
        <f>IF(W531&gt;3,3,W531)</f>
        <v>3</v>
      </c>
      <c r="CF531" s="21">
        <f>IF(AC531&gt;102,102,AC531)</f>
        <v>9</v>
      </c>
      <c r="CG531" s="34">
        <f>IF(AI531&lt;$AW$4,$AW$4,AI531)</f>
        <v>2004</v>
      </c>
      <c r="CH531" s="34">
        <f>IF(AJ531&lt;$AW$4,$AW$4,AJ531)</f>
        <v>2004</v>
      </c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</row>
    <row r="532" spans="1:115" ht="15" customHeight="1" x14ac:dyDescent="0.3">
      <c r="A532" s="235"/>
      <c r="B532" s="218"/>
      <c r="C532" s="225">
        <v>8</v>
      </c>
      <c r="D532" s="59" t="s">
        <v>2505</v>
      </c>
      <c r="E532" s="59" t="s">
        <v>2502</v>
      </c>
      <c r="F532" s="397" t="str">
        <f ca="1">IF(BC532&lt;2025, "Extinct&lt; 6Yrs?",BA532)</f>
        <v>Widespread</v>
      </c>
      <c r="G532" s="363" t="s">
        <v>525</v>
      </c>
      <c r="H532" s="363" t="s">
        <v>680</v>
      </c>
      <c r="I532" s="364" t="s">
        <v>2676</v>
      </c>
      <c r="J532" s="365" t="s">
        <v>3421</v>
      </c>
      <c r="K532" s="365" t="s">
        <v>2792</v>
      </c>
      <c r="L532" s="17" t="s">
        <v>2196</v>
      </c>
      <c r="M532" s="8" t="s">
        <v>4606</v>
      </c>
      <c r="N532" s="8" t="s">
        <v>5503</v>
      </c>
      <c r="O532" s="8" t="s">
        <v>6402</v>
      </c>
      <c r="P532" s="9" t="s">
        <v>674</v>
      </c>
      <c r="Q532" s="59" t="s">
        <v>2552</v>
      </c>
      <c r="R532" s="9" t="s">
        <v>2498</v>
      </c>
      <c r="S532" s="9" t="s">
        <v>2479</v>
      </c>
      <c r="T532" s="123" t="str">
        <f>IF(R532="Bogs Ponds Streams","20",IF(R532="Coastal Areas","26",IF(R532="Meadows Dry Open","10",IF(R532="Forest &amp; Understory","14",IF(R532="Moist Open","12",IF(R532="Moist Shady","10",IF(R532="Sub-Alpine Slopes","0")))))))</f>
        <v>10</v>
      </c>
      <c r="U532" s="123" t="str">
        <f>IF(R532="Bogs Ponds Streams","52",IF(R532="Coastal Areas","51",IF(R532="Meadows Dry Open","53",IF(R532="Forest &amp; Understory","52",IF(R532="Moist Open","50",IF(R532="Moist Shady","46",IF(R532="Sub-Alpine Slopes","40")))))))</f>
        <v>46</v>
      </c>
      <c r="V532" s="123" t="str">
        <f>IF(R532="Bogs Ponds Streams","84",IF(R532="Coastal Areas","76",IF(R532="Meadows Dry Open","96", IF(R532="Forest &amp; Understory","90", IF(R532="Moist Open","88", IF(R532="Moist Shady","82", IF(R532="Sub-Alpine Slopes","80")))))))</f>
        <v>82</v>
      </c>
      <c r="W532" s="59">
        <v>1</v>
      </c>
      <c r="X532" s="59">
        <v>0</v>
      </c>
      <c r="Y532" s="59">
        <v>3500</v>
      </c>
      <c r="Z532" s="59" t="s">
        <v>2519</v>
      </c>
      <c r="AA532" s="59" t="s">
        <v>2518</v>
      </c>
      <c r="AB532" s="59">
        <v>6.8</v>
      </c>
      <c r="AC532" s="45">
        <f>C532+AK532+(0.1)*AL532</f>
        <v>34.4</v>
      </c>
      <c r="AD532" s="77">
        <v>37</v>
      </c>
      <c r="AE532" s="59">
        <v>5</v>
      </c>
      <c r="AF532" s="59">
        <v>5</v>
      </c>
      <c r="AG532" s="59">
        <v>1900</v>
      </c>
      <c r="AH532" s="77">
        <v>0</v>
      </c>
      <c r="AI532" s="59">
        <f ca="1">AJ532</f>
        <v>2019</v>
      </c>
      <c r="AJ532" s="18">
        <f ca="1">YEAR(TODAY())</f>
        <v>2019</v>
      </c>
      <c r="AK532" s="18">
        <v>22</v>
      </c>
      <c r="AL532" s="18">
        <v>44</v>
      </c>
      <c r="AM532" s="18">
        <v>1</v>
      </c>
      <c r="AN532" s="18">
        <v>1</v>
      </c>
      <c r="AO532" s="18">
        <v>5</v>
      </c>
      <c r="AP532" s="18">
        <v>1</v>
      </c>
      <c r="AQ532" s="18">
        <v>0</v>
      </c>
      <c r="AR532" s="18">
        <v>0</v>
      </c>
      <c r="AS532" s="18">
        <v>0</v>
      </c>
      <c r="AT532" s="18">
        <v>0</v>
      </c>
      <c r="AU532" s="18">
        <v>0</v>
      </c>
      <c r="AV532" s="18">
        <v>0</v>
      </c>
      <c r="AW532" s="18">
        <v>0</v>
      </c>
      <c r="AX532" s="18">
        <v>0</v>
      </c>
      <c r="AY532" s="233"/>
      <c r="AZ532" s="4"/>
      <c r="BA532" s="35" t="str">
        <f>IF(OR(S532="North America",S532="Rocky Mountain"), "Widespread",BC532)</f>
        <v>Widespread</v>
      </c>
      <c r="BB532" s="4"/>
      <c r="BC532" s="35" t="str">
        <f ca="1">IF(BE532&gt;2046, "Abundant",BE532)</f>
        <v>Abundant</v>
      </c>
      <c r="BD532" s="4"/>
      <c r="BE532" s="81">
        <f ca="1">YEAR($C$13)+(BG532*80)</f>
        <v>2107.6049254901959</v>
      </c>
      <c r="BF532" s="4"/>
      <c r="BG532" s="137">
        <f ca="1">BH532*$BH$14</f>
        <v>1.1075615686274509</v>
      </c>
      <c r="BH532" s="137">
        <f ca="1">(((BJ532+BK532+BM532+BN532)/4)*$BM$11)+(((BP532+BQ532)/2)*$BQ$11)+(((BU532+BV532+BW532)/3)*$BU$11)+(((BY532+BZ532+CA532+CB532+CC532)/5)*$CA$11)</f>
        <v>1.1075615686274509</v>
      </c>
      <c r="BI532" s="4"/>
      <c r="BJ532" s="33">
        <f>AP532/(AM532+AO532)</f>
        <v>0.16666666666666666</v>
      </c>
      <c r="BK532" s="33">
        <f>(AN532+AO532)/(AM532+AO532)</f>
        <v>1</v>
      </c>
      <c r="BL532" s="4"/>
      <c r="BM532" s="127">
        <f>CF532/102</f>
        <v>0.33725490196078428</v>
      </c>
      <c r="BN532" s="127">
        <f>C532/2</f>
        <v>4</v>
      </c>
      <c r="BO532" s="4"/>
      <c r="BP532" s="127">
        <f>(AK532)/($AW$6)</f>
        <v>0.22222222222222221</v>
      </c>
      <c r="BQ532" s="127">
        <f ca="1">(CH532-$AW$4)/((YEAR($C$13))-$AW$4)</f>
        <v>1</v>
      </c>
      <c r="BR532" s="127">
        <f>(AL532)/($AW$6)</f>
        <v>0.44444444444444442</v>
      </c>
      <c r="BS532" s="4"/>
      <c r="BT532" s="127"/>
      <c r="BU532" s="127">
        <f ca="1">(CG532-$AW$4)/((YEAR($C$13))-$AW$4)</f>
        <v>1</v>
      </c>
      <c r="BV532" s="127">
        <f>AE532/5</f>
        <v>1</v>
      </c>
      <c r="BW532" s="127">
        <f>AF532/5</f>
        <v>1</v>
      </c>
      <c r="BX532" s="4"/>
      <c r="BY532" s="148" t="str">
        <f>IF(E532="A",".98",IF(E532="B",".99",IF(E532="C","1.00",IF(E532="D","1.00" ))))</f>
        <v>.98</v>
      </c>
      <c r="BZ532" s="127">
        <f>(CE532+7)/10</f>
        <v>0.8</v>
      </c>
      <c r="CA532" s="76" t="str">
        <f>IF(D532="Fern",".97",IF(D532="Grass",".99",IF(D532="Herb",".97",IF(D532="Shrub",".99",IF(D532="Tree","1.00",IF(D532="Vine",".98"))))))</f>
        <v>.97</v>
      </c>
      <c r="CB532" s="149" t="str">
        <f>IF(R532="Bogs Ponds Streams",".96", IF(R532="Coastal Areas",".97",IF(R532="Meadows Dry Open",".96",IF(R532="Forest &amp; Understory",".97",IF(R532="Moist Open",".98",IF(R532="Moist Shady",".96",IF(R532="Sub-Alpine","1.0")))))))</f>
        <v>.96</v>
      </c>
      <c r="CC532" s="76" t="str">
        <f>IF(S532="Local Endemic",".50",IF(S532="Regional Endemic",".70",IF(S532="Cascadia",".90",IF(S532="Rocky Mountain",".95",IF(S532="North America",".99")))))</f>
        <v>.95</v>
      </c>
      <c r="CD532" s="4"/>
      <c r="CE532" s="21">
        <f>IF(W532&gt;3,3,W532)</f>
        <v>1</v>
      </c>
      <c r="CF532" s="21">
        <f>IF(AC532&gt;102,102,AC532)</f>
        <v>34.4</v>
      </c>
      <c r="CG532" s="34">
        <f ca="1">IF(AI532&lt;$AW$4,$AW$4,AI532)</f>
        <v>2019</v>
      </c>
      <c r="CH532" s="34">
        <f ca="1">IF(AJ532&lt;$AW$4,$AW$4,AJ532)</f>
        <v>2019</v>
      </c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13"/>
    </row>
    <row r="533" spans="1:115" ht="15" customHeight="1" x14ac:dyDescent="0.3">
      <c r="A533" s="235"/>
      <c r="B533" s="218"/>
      <c r="C533" s="225">
        <v>8</v>
      </c>
      <c r="D533" s="59" t="s">
        <v>2505</v>
      </c>
      <c r="E533" s="59" t="s">
        <v>2502</v>
      </c>
      <c r="F533" s="397" t="str">
        <f ca="1">IF(BC533&lt;2025, "Extinct&lt; 6Yrs?",BA533)</f>
        <v>Abundant</v>
      </c>
      <c r="G533" s="363" t="s">
        <v>525</v>
      </c>
      <c r="H533" s="363" t="s">
        <v>685</v>
      </c>
      <c r="I533" s="366" t="s">
        <v>2200</v>
      </c>
      <c r="J533" s="365" t="s">
        <v>3422</v>
      </c>
      <c r="K533" s="365" t="s">
        <v>2203</v>
      </c>
      <c r="L533" s="17" t="s">
        <v>2199</v>
      </c>
      <c r="M533" s="8" t="s">
        <v>4607</v>
      </c>
      <c r="N533" s="8" t="s">
        <v>5504</v>
      </c>
      <c r="O533" s="8" t="s">
        <v>6403</v>
      </c>
      <c r="P533" s="9" t="s">
        <v>361</v>
      </c>
      <c r="Q533" s="59" t="s">
        <v>2552</v>
      </c>
      <c r="R533" s="9" t="s">
        <v>2530</v>
      </c>
      <c r="S533" s="9" t="s">
        <v>2459</v>
      </c>
      <c r="T533" s="123" t="str">
        <f>IF(R533="Bogs Ponds Streams","20",IF(R533="Coastal Areas","26",IF(R533="Meadows Dry Open","10",IF(R533="Forest &amp; Understory","14",IF(R533="Moist Open","12",IF(R533="Moist Shady","10",IF(R533="Sub-Alpine Slopes","0")))))))</f>
        <v>14</v>
      </c>
      <c r="U533" s="123" t="str">
        <f>IF(R533="Bogs Ponds Streams","52",IF(R533="Coastal Areas","51",IF(R533="Meadows Dry Open","53",IF(R533="Forest &amp; Understory","52",IF(R533="Moist Open","50",IF(R533="Moist Shady","46",IF(R533="Sub-Alpine Slopes","40")))))))</f>
        <v>52</v>
      </c>
      <c r="V533" s="123" t="str">
        <f>IF(R533="Bogs Ponds Streams","84",IF(R533="Coastal Areas","76",IF(R533="Meadows Dry Open","96", IF(R533="Forest &amp; Understory","90", IF(R533="Moist Open","88", IF(R533="Moist Shady","82", IF(R533="Sub-Alpine Slopes","80")))))))</f>
        <v>90</v>
      </c>
      <c r="W533" s="59">
        <v>1</v>
      </c>
      <c r="X533" s="59">
        <v>0</v>
      </c>
      <c r="Y533" s="59">
        <v>3500</v>
      </c>
      <c r="Z533" s="59" t="s">
        <v>2519</v>
      </c>
      <c r="AA533" s="59" t="s">
        <v>2518</v>
      </c>
      <c r="AB533" s="59">
        <v>6.8</v>
      </c>
      <c r="AC533" s="45">
        <f>C533+AK533+(0.1)*AL533</f>
        <v>41.2</v>
      </c>
      <c r="AD533" s="77">
        <v>37</v>
      </c>
      <c r="AE533" s="59">
        <v>5</v>
      </c>
      <c r="AF533" s="59">
        <v>5</v>
      </c>
      <c r="AG533" s="59">
        <v>1900</v>
      </c>
      <c r="AH533" s="77">
        <v>0</v>
      </c>
      <c r="AI533" s="59">
        <f ca="1">AJ533</f>
        <v>2019</v>
      </c>
      <c r="AJ533" s="18">
        <f ca="1">YEAR(TODAY())</f>
        <v>2019</v>
      </c>
      <c r="AK533" s="18">
        <v>33</v>
      </c>
      <c r="AL533" s="18">
        <v>2</v>
      </c>
      <c r="AM533" s="18">
        <v>1</v>
      </c>
      <c r="AN533" s="18">
        <v>1</v>
      </c>
      <c r="AO533" s="18">
        <v>5</v>
      </c>
      <c r="AP533" s="18">
        <v>1</v>
      </c>
      <c r="AQ533" s="18">
        <v>0</v>
      </c>
      <c r="AR533" s="18">
        <v>0</v>
      </c>
      <c r="AS533" s="18">
        <v>0</v>
      </c>
      <c r="AT533" s="18">
        <v>0</v>
      </c>
      <c r="AU533" s="18">
        <v>0</v>
      </c>
      <c r="AV533" s="18">
        <v>0</v>
      </c>
      <c r="AW533" s="18">
        <v>0</v>
      </c>
      <c r="AX533" s="18">
        <v>0</v>
      </c>
      <c r="AY533" s="233"/>
      <c r="AZ533" s="4"/>
      <c r="BA533" s="35" t="str">
        <f ca="1">IF(OR(S533="North America",S533="Rocky Mountain"), "Widespread",BC533)</f>
        <v>Abundant</v>
      </c>
      <c r="BB533" s="4"/>
      <c r="BC533" s="35" t="str">
        <f ca="1">IF(BE533&gt;2046, "Abundant",BE533)</f>
        <v>Abundant</v>
      </c>
      <c r="BD533" s="4"/>
      <c r="BE533" s="81">
        <f ca="1">YEAR($C$13)+(BG533*80)</f>
        <v>2109.7254588235296</v>
      </c>
      <c r="BF533" s="4"/>
      <c r="BG533" s="137">
        <f ca="1">BH533*$BH$14</f>
        <v>1.1340682352941178</v>
      </c>
      <c r="BH533" s="137">
        <f ca="1">(((BJ533+BK533+BM533+BN533)/4)*$BM$11)+(((BP533+BQ533)/2)*$BQ$11)+(((BU533+BV533+BW533)/3)*$BU$11)+(((BY533+BZ533+CA533+CB533+CC533)/5)*$CA$11)</f>
        <v>1.1340682352941178</v>
      </c>
      <c r="BI533" s="4"/>
      <c r="BJ533" s="33">
        <f>AP533/(AM533+AO533)</f>
        <v>0.16666666666666666</v>
      </c>
      <c r="BK533" s="33">
        <f>(AN533+AO533)/(AM533+AO533)</f>
        <v>1</v>
      </c>
      <c r="BL533" s="4"/>
      <c r="BM533" s="127">
        <f>CF533/102</f>
        <v>0.40392156862745099</v>
      </c>
      <c r="BN533" s="127">
        <f>C533/2</f>
        <v>4</v>
      </c>
      <c r="BO533" s="4"/>
      <c r="BP533" s="127">
        <f>(AK533)/($AW$6)</f>
        <v>0.33333333333333331</v>
      </c>
      <c r="BQ533" s="127">
        <f ca="1">(CH533-$AW$4)/((YEAR($C$13))-$AW$4)</f>
        <v>1</v>
      </c>
      <c r="BR533" s="127">
        <f>(AL533)/($AW$6)</f>
        <v>2.0202020202020204E-2</v>
      </c>
      <c r="BS533" s="4"/>
      <c r="BT533" s="127"/>
      <c r="BU533" s="127">
        <f ca="1">(CG533-$AW$4)/((YEAR($C$13))-$AW$4)</f>
        <v>1</v>
      </c>
      <c r="BV533" s="127">
        <f>AE533/5</f>
        <v>1</v>
      </c>
      <c r="BW533" s="127">
        <f>AF533/5</f>
        <v>1</v>
      </c>
      <c r="BX533" s="4"/>
      <c r="BY533" s="148" t="str">
        <f>IF(E533="A",".98",IF(E533="B",".99",IF(E533="C","1.00",IF(E533="D","1.00" ))))</f>
        <v>.98</v>
      </c>
      <c r="BZ533" s="127">
        <f>(CE533+7)/10</f>
        <v>0.8</v>
      </c>
      <c r="CA533" s="76" t="str">
        <f>IF(D533="Fern",".97",IF(D533="Grass",".99",IF(D533="Herb",".97",IF(D533="Shrub",".99",IF(D533="Tree","1.00",IF(D533="Vine",".98"))))))</f>
        <v>.97</v>
      </c>
      <c r="CB533" s="149" t="str">
        <f>IF(R533="Bogs Ponds Streams",".96", IF(R533="Coastal Areas",".97",IF(R533="Meadows Dry Open",".96",IF(R533="Forest &amp; Understory",".97",IF(R533="Moist Open",".98",IF(R533="Moist Shady",".96",IF(R533="Sub-Alpine","1.0")))))))</f>
        <v>.97</v>
      </c>
      <c r="CC533" s="76" t="str">
        <f>IF(S533="Local Endemic",".50",IF(S533="Regional Endemic",".70",IF(S533="Cascadia",".90",IF(S533="Rocky Mountain",".95",IF(S533="North America",".99")))))</f>
        <v>.90</v>
      </c>
      <c r="CD533" s="4"/>
      <c r="CE533" s="21">
        <f>IF(W533&gt;3,3,W533)</f>
        <v>1</v>
      </c>
      <c r="CF533" s="21">
        <f>IF(AC533&gt;102,102,AC533)</f>
        <v>41.2</v>
      </c>
      <c r="CG533" s="34">
        <f ca="1">IF(AI533&lt;$AW$4,$AW$4,AI533)</f>
        <v>2019</v>
      </c>
      <c r="CH533" s="34">
        <f ca="1">IF(AJ533&lt;$AW$4,$AW$4,AJ533)</f>
        <v>2019</v>
      </c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13"/>
    </row>
    <row r="534" spans="1:115" ht="15" customHeight="1" x14ac:dyDescent="0.3">
      <c r="A534" s="235"/>
      <c r="B534" s="218"/>
      <c r="C534" s="375">
        <v>1</v>
      </c>
      <c r="D534" s="67" t="s">
        <v>2505</v>
      </c>
      <c r="E534" s="67" t="s">
        <v>2501</v>
      </c>
      <c r="F534" s="403" t="str">
        <f ca="1">IF(BC534&lt;2025, "Extinct&lt; 6Yrs?",BA534)</f>
        <v>Widespread</v>
      </c>
      <c r="G534" s="376" t="s">
        <v>525</v>
      </c>
      <c r="H534" s="376" t="s">
        <v>4028</v>
      </c>
      <c r="I534" s="379" t="s">
        <v>2677</v>
      </c>
      <c r="J534" s="378" t="s">
        <v>2793</v>
      </c>
      <c r="K534" s="378" t="s">
        <v>2793</v>
      </c>
      <c r="L534" s="65" t="s">
        <v>2204</v>
      </c>
      <c r="M534" s="64" t="s">
        <v>4608</v>
      </c>
      <c r="N534" s="64" t="s">
        <v>5505</v>
      </c>
      <c r="O534" s="64" t="s">
        <v>6404</v>
      </c>
      <c r="P534" s="404" t="s">
        <v>168</v>
      </c>
      <c r="Q534" s="67" t="s">
        <v>2552</v>
      </c>
      <c r="R534" s="61" t="s">
        <v>2530</v>
      </c>
      <c r="S534" s="61" t="s">
        <v>2495</v>
      </c>
      <c r="T534" s="134" t="str">
        <f>IF(R534="Bogs Ponds Streams","20",IF(R534="Coastal Areas","26",IF(R534="Meadows Dry Open","10",IF(R534="Forest &amp; Understory","14",IF(R534="Moist Open","12",IF(R534="Moist Shady","10",IF(R534="Sub-Alpine Slopes","0")))))))</f>
        <v>14</v>
      </c>
      <c r="U534" s="134" t="str">
        <f>IF(R534="Bogs Ponds Streams","52",IF(R534="Coastal Areas","51",IF(R534="Meadows Dry Open","53",IF(R534="Forest &amp; Understory","52",IF(R534="Moist Open","50",IF(R534="Moist Shady","46",IF(R534="Sub-Alpine Slopes","40")))))))</f>
        <v>52</v>
      </c>
      <c r="V534" s="134" t="str">
        <f>IF(R534="Bogs Ponds Streams","84",IF(R534="Coastal Areas","76",IF(R534="Meadows Dry Open","96", IF(R534="Forest &amp; Understory","90", IF(R534="Moist Open","88", IF(R534="Moist Shady","82", IF(R534="Sub-Alpine Slopes","80")))))))</f>
        <v>90</v>
      </c>
      <c r="W534" s="67">
        <v>20</v>
      </c>
      <c r="X534" s="67">
        <v>0</v>
      </c>
      <c r="Y534" s="67">
        <v>3500</v>
      </c>
      <c r="Z534" s="67" t="s">
        <v>2519</v>
      </c>
      <c r="AA534" s="67" t="s">
        <v>2518</v>
      </c>
      <c r="AB534" s="67">
        <v>6.8</v>
      </c>
      <c r="AC534" s="85">
        <f>C534+AK534+(0.1)*AL534</f>
        <v>2.7</v>
      </c>
      <c r="AD534" s="78">
        <v>61</v>
      </c>
      <c r="AE534" s="67">
        <v>5</v>
      </c>
      <c r="AF534" s="67">
        <v>5</v>
      </c>
      <c r="AG534" s="67">
        <v>1900</v>
      </c>
      <c r="AH534" s="78">
        <v>0</v>
      </c>
      <c r="AI534" s="67">
        <f>AJ534</f>
        <v>2004</v>
      </c>
      <c r="AJ534" s="69">
        <v>2004</v>
      </c>
      <c r="AK534" s="69">
        <v>1</v>
      </c>
      <c r="AL534" s="69">
        <v>7</v>
      </c>
      <c r="AM534" s="70">
        <v>5</v>
      </c>
      <c r="AN534" s="70">
        <v>0</v>
      </c>
      <c r="AO534" s="86">
        <v>0</v>
      </c>
      <c r="AP534" s="70">
        <v>0</v>
      </c>
      <c r="AQ534" s="70">
        <v>0</v>
      </c>
      <c r="AR534" s="70">
        <v>0</v>
      </c>
      <c r="AS534" s="86">
        <v>0</v>
      </c>
      <c r="AT534" s="70">
        <v>0</v>
      </c>
      <c r="AU534" s="70">
        <v>0</v>
      </c>
      <c r="AV534" s="70">
        <v>0</v>
      </c>
      <c r="AW534" s="86">
        <v>0</v>
      </c>
      <c r="AX534" s="70">
        <v>0</v>
      </c>
      <c r="AY534" s="233"/>
      <c r="AZ534" s="4"/>
      <c r="BA534" s="35" t="str">
        <f>IF(OR(S534="North America",S534="Rocky Mountain"), "Widespread",BC534)</f>
        <v>Widespread</v>
      </c>
      <c r="BB534" s="4"/>
      <c r="BC534" s="35">
        <f ca="1">IF(BE534&gt;2046, "Abundant",BE534)</f>
        <v>2031.2831258467022</v>
      </c>
      <c r="BD534" s="4"/>
      <c r="BE534" s="81">
        <f ca="1">YEAR($C$13)+(BG534*80)</f>
        <v>2031.2831258467022</v>
      </c>
      <c r="BF534" s="4"/>
      <c r="BG534" s="137">
        <f ca="1">BH534*$BH$14</f>
        <v>0.15353907308377895</v>
      </c>
      <c r="BH534" s="137">
        <f ca="1">(((BJ534+BK534+BM534+BN534)/4)*$BM$11)+(((BP534+BQ534)/2)*$BQ$11)+(((BU534+BV534+BW534)/3)*$BU$11)+(((BY534+BZ534+CA534+CB534+CC534)/5)*$CA$11)</f>
        <v>0.15353907308377895</v>
      </c>
      <c r="BI534" s="4"/>
      <c r="BJ534" s="33">
        <f>AP534/(AM534+AO534)</f>
        <v>0</v>
      </c>
      <c r="BK534" s="33">
        <f>(AN534+AO534)/(AM534+AO534)</f>
        <v>0</v>
      </c>
      <c r="BL534" s="4"/>
      <c r="BM534" s="127">
        <f>CF534/102</f>
        <v>2.6470588235294121E-2</v>
      </c>
      <c r="BN534" s="127">
        <f>C534/2</f>
        <v>0.5</v>
      </c>
      <c r="BO534" s="4"/>
      <c r="BP534" s="127">
        <f>(AK534)/($AW$6)</f>
        <v>1.0101010101010102E-2</v>
      </c>
      <c r="BQ534" s="127">
        <f ca="1">(CH534-$AW$4)/((YEAR($C$13))-$AW$4)</f>
        <v>0</v>
      </c>
      <c r="BR534" s="127">
        <f>(AL534)/($AW$6)</f>
        <v>7.0707070707070704E-2</v>
      </c>
      <c r="BS534" s="4"/>
      <c r="BT534" s="127"/>
      <c r="BU534" s="127">
        <f ca="1">(CG534-$AW$4)/((YEAR($C$13))-$AW$4)</f>
        <v>0</v>
      </c>
      <c r="BV534" s="127">
        <f>AE534/5</f>
        <v>1</v>
      </c>
      <c r="BW534" s="127">
        <f>AF534/5</f>
        <v>1</v>
      </c>
      <c r="BX534" s="4"/>
      <c r="BY534" s="148" t="str">
        <f>IF(E534="A",".98",IF(E534="B",".99",IF(E534="C","1.00",IF(E534="D","1.00" ))))</f>
        <v>1.00</v>
      </c>
      <c r="BZ534" s="127">
        <f>(CE534+7)/10</f>
        <v>1</v>
      </c>
      <c r="CA534" s="76" t="str">
        <f>IF(D534="Fern",".97",IF(D534="Grass",".99",IF(D534="Herb",".97",IF(D534="Shrub",".99",IF(D534="Tree","1.00",IF(D534="Vine",".98"))))))</f>
        <v>.97</v>
      </c>
      <c r="CB534" s="149" t="str">
        <f>IF(R534="Bogs Ponds Streams",".96", IF(R534="Coastal Areas",".97",IF(R534="Meadows Dry Open",".96",IF(R534="Forest &amp; Understory",".97",IF(R534="Moist Open",".98",IF(R534="Moist Shady",".96",IF(R534="Sub-Alpine","1.0")))))))</f>
        <v>.97</v>
      </c>
      <c r="CC534" s="76" t="str">
        <f>IF(S534="Local Endemic",".50",IF(S534="Regional Endemic",".70",IF(S534="Cascadia",".90",IF(S534="Rocky Mountain",".95",IF(S534="North America",".99")))))</f>
        <v>.99</v>
      </c>
      <c r="CD534" s="4"/>
      <c r="CE534" s="21">
        <f>IF(W534&gt;3,3,W534)</f>
        <v>3</v>
      </c>
      <c r="CF534" s="21">
        <f>IF(AC534&gt;102,102,AC534)</f>
        <v>2.7</v>
      </c>
      <c r="CG534" s="34">
        <f>IF(AI534&lt;$AW$4,$AW$4,AI534)</f>
        <v>2004</v>
      </c>
      <c r="CH534" s="34">
        <f>IF(AJ534&lt;$AW$4,$AW$4,AJ534)</f>
        <v>2004</v>
      </c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</row>
    <row r="535" spans="1:115" ht="15" customHeight="1" x14ac:dyDescent="0.3">
      <c r="A535" s="235"/>
      <c r="B535" s="218"/>
      <c r="C535" s="375">
        <v>1</v>
      </c>
      <c r="D535" s="67" t="s">
        <v>2505</v>
      </c>
      <c r="E535" s="67" t="s">
        <v>2501</v>
      </c>
      <c r="F535" s="403" t="str">
        <f ca="1">IF(BC535&lt;2025, "Extinct&lt; 6Yrs?",BA535)</f>
        <v>Widespread</v>
      </c>
      <c r="G535" s="376" t="s">
        <v>525</v>
      </c>
      <c r="H535" s="376" t="s">
        <v>4028</v>
      </c>
      <c r="I535" s="380" t="s">
        <v>418</v>
      </c>
      <c r="J535" s="378" t="s">
        <v>3569</v>
      </c>
      <c r="K535" s="378" t="s">
        <v>1052</v>
      </c>
      <c r="L535" s="63" t="s">
        <v>2205</v>
      </c>
      <c r="M535" s="64" t="s">
        <v>4609</v>
      </c>
      <c r="N535" s="64" t="s">
        <v>5506</v>
      </c>
      <c r="O535" s="64" t="s">
        <v>6405</v>
      </c>
      <c r="P535" s="61" t="s">
        <v>168</v>
      </c>
      <c r="Q535" s="67" t="s">
        <v>2552</v>
      </c>
      <c r="R535" s="61" t="s">
        <v>2498</v>
      </c>
      <c r="S535" s="61" t="s">
        <v>2495</v>
      </c>
      <c r="T535" s="134" t="str">
        <f>IF(R535="Bogs Ponds Streams","20",IF(R535="Coastal Areas","26",IF(R535="Meadows Dry Open","10",IF(R535="Forest &amp; Understory","14",IF(R535="Moist Open","12",IF(R535="Moist Shady","10",IF(R535="Sub-Alpine Slopes","0")))))))</f>
        <v>10</v>
      </c>
      <c r="U535" s="134" t="str">
        <f>IF(R535="Bogs Ponds Streams","52",IF(R535="Coastal Areas","51",IF(R535="Meadows Dry Open","53",IF(R535="Forest &amp; Understory","52",IF(R535="Moist Open","50",IF(R535="Moist Shady","46",IF(R535="Sub-Alpine Slopes","40")))))))</f>
        <v>46</v>
      </c>
      <c r="V535" s="134" t="str">
        <f>IF(R535="Bogs Ponds Streams","84",IF(R535="Coastal Areas","76",IF(R535="Meadows Dry Open","96", IF(R535="Forest &amp; Understory","90", IF(R535="Moist Open","88", IF(R535="Moist Shady","82", IF(R535="Sub-Alpine Slopes","80")))))))</f>
        <v>82</v>
      </c>
      <c r="W535" s="67">
        <v>20</v>
      </c>
      <c r="X535" s="67">
        <v>0</v>
      </c>
      <c r="Y535" s="67">
        <v>3500</v>
      </c>
      <c r="Z535" s="67" t="s">
        <v>2519</v>
      </c>
      <c r="AA535" s="67" t="s">
        <v>2518</v>
      </c>
      <c r="AB535" s="67">
        <v>6.8</v>
      </c>
      <c r="AC535" s="85">
        <f>C535+AK535+(0.1)*AL535</f>
        <v>15.2</v>
      </c>
      <c r="AD535" s="78">
        <v>135</v>
      </c>
      <c r="AE535" s="67">
        <v>5</v>
      </c>
      <c r="AF535" s="67">
        <v>5</v>
      </c>
      <c r="AG535" s="67">
        <v>1900</v>
      </c>
      <c r="AH535" s="78">
        <v>0</v>
      </c>
      <c r="AI535" s="67">
        <f>AJ535</f>
        <v>2004</v>
      </c>
      <c r="AJ535" s="69">
        <v>2004</v>
      </c>
      <c r="AK535" s="69">
        <v>12</v>
      </c>
      <c r="AL535" s="69">
        <v>22</v>
      </c>
      <c r="AM535" s="70">
        <v>5</v>
      </c>
      <c r="AN535" s="70">
        <v>0</v>
      </c>
      <c r="AO535" s="86">
        <v>0</v>
      </c>
      <c r="AP535" s="70">
        <v>0</v>
      </c>
      <c r="AQ535" s="70">
        <v>0</v>
      </c>
      <c r="AR535" s="70">
        <v>0</v>
      </c>
      <c r="AS535" s="86">
        <v>0</v>
      </c>
      <c r="AT535" s="70">
        <v>0</v>
      </c>
      <c r="AU535" s="70">
        <v>0</v>
      </c>
      <c r="AV535" s="70">
        <v>0</v>
      </c>
      <c r="AW535" s="86">
        <v>0</v>
      </c>
      <c r="AX535" s="70">
        <v>0</v>
      </c>
      <c r="AY535" s="233"/>
      <c r="AZ535" s="4"/>
      <c r="BA535" s="35" t="str">
        <f>IF(OR(S535="North America",S535="Rocky Mountain"), "Widespread",BC535)</f>
        <v>Widespread</v>
      </c>
      <c r="BB535" s="4"/>
      <c r="BC535" s="35">
        <f ca="1">IF(BE535&gt;2046, "Abundant",BE535)</f>
        <v>2034.0838474153297</v>
      </c>
      <c r="BD535" s="4"/>
      <c r="BE535" s="81">
        <f ca="1">YEAR($C$13)+(BG535*80)</f>
        <v>2034.0838474153297</v>
      </c>
      <c r="BF535" s="4"/>
      <c r="BG535" s="137">
        <f ca="1">BH535*$BH$14</f>
        <v>0.18854809269162212</v>
      </c>
      <c r="BH535" s="137">
        <f ca="1">(((BJ535+BK535+BM535+BN535)/4)*$BM$11)+(((BP535+BQ535)/2)*$BQ$11)+(((BU535+BV535+BW535)/3)*$BU$11)+(((BY535+BZ535+CA535+CB535+CC535)/5)*$CA$11)</f>
        <v>0.18854809269162212</v>
      </c>
      <c r="BI535" s="4"/>
      <c r="BJ535" s="33">
        <f>AP535/(AM535+AO535)</f>
        <v>0</v>
      </c>
      <c r="BK535" s="33">
        <f>(AN535+AO535)/(AM535+AO535)</f>
        <v>0</v>
      </c>
      <c r="BL535" s="4"/>
      <c r="BM535" s="127">
        <f>CF535/102</f>
        <v>0.14901960784313725</v>
      </c>
      <c r="BN535" s="127">
        <f>C535/2</f>
        <v>0.5</v>
      </c>
      <c r="BO535" s="4"/>
      <c r="BP535" s="127">
        <f>(AK535)/($AW$6)</f>
        <v>0.12121212121212122</v>
      </c>
      <c r="BQ535" s="127">
        <f ca="1">(CH535-$AW$4)/((YEAR($C$13))-$AW$4)</f>
        <v>0</v>
      </c>
      <c r="BR535" s="127">
        <f>(AL535)/($AW$6)</f>
        <v>0.22222222222222221</v>
      </c>
      <c r="BS535" s="4"/>
      <c r="BT535" s="127"/>
      <c r="BU535" s="127">
        <f ca="1">(CG535-$AW$4)/((YEAR($C$13))-$AW$4)</f>
        <v>0</v>
      </c>
      <c r="BV535" s="127">
        <f>AE535/5</f>
        <v>1</v>
      </c>
      <c r="BW535" s="127">
        <f>AF535/5</f>
        <v>1</v>
      </c>
      <c r="BX535" s="4"/>
      <c r="BY535" s="148" t="str">
        <f>IF(E535="A",".98",IF(E535="B",".99",IF(E535="C","1.00",IF(E535="D","1.00" ))))</f>
        <v>1.00</v>
      </c>
      <c r="BZ535" s="127">
        <f>(CE535+7)/10</f>
        <v>1</v>
      </c>
      <c r="CA535" s="76" t="str">
        <f>IF(D535="Fern",".97",IF(D535="Grass",".99",IF(D535="Herb",".97",IF(D535="Shrub",".99",IF(D535="Tree","1.00",IF(D535="Vine",".98"))))))</f>
        <v>.97</v>
      </c>
      <c r="CB535" s="149" t="str">
        <f>IF(R535="Bogs Ponds Streams",".96", IF(R535="Coastal Areas",".97",IF(R535="Meadows Dry Open",".96",IF(R535="Forest &amp; Understory",".97",IF(R535="Moist Open",".98",IF(R535="Moist Shady",".96",IF(R535="Sub-Alpine","1.0")))))))</f>
        <v>.96</v>
      </c>
      <c r="CC535" s="76" t="str">
        <f>IF(S535="Local Endemic",".50",IF(S535="Regional Endemic",".70",IF(S535="Cascadia",".90",IF(S535="Rocky Mountain",".95",IF(S535="North America",".99")))))</f>
        <v>.99</v>
      </c>
      <c r="CD535" s="4"/>
      <c r="CE535" s="21">
        <f>IF(W535&gt;3,3,W535)</f>
        <v>3</v>
      </c>
      <c r="CF535" s="21">
        <f>IF(AC535&gt;102,102,AC535)</f>
        <v>15.2</v>
      </c>
      <c r="CG535" s="34">
        <f>IF(AI535&lt;$AW$4,$AW$4,AI535)</f>
        <v>2004</v>
      </c>
      <c r="CH535" s="34">
        <f>IF(AJ535&lt;$AW$4,$AW$4,AJ535)</f>
        <v>2004</v>
      </c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</row>
    <row r="536" spans="1:115" ht="15" customHeight="1" x14ac:dyDescent="0.3">
      <c r="A536" s="235"/>
      <c r="B536" s="218"/>
      <c r="C536" s="226">
        <v>2</v>
      </c>
      <c r="D536" s="104" t="s">
        <v>2505</v>
      </c>
      <c r="E536" s="104" t="s">
        <v>2501</v>
      </c>
      <c r="F536" s="400" t="str">
        <f ca="1">IF(BC536&lt;2025, "Extinct&lt; 6Yrs?",BA536)</f>
        <v>Widespread</v>
      </c>
      <c r="G536" s="369" t="s">
        <v>525</v>
      </c>
      <c r="H536" s="369" t="s">
        <v>4028</v>
      </c>
      <c r="I536" s="372" t="s">
        <v>3091</v>
      </c>
      <c r="J536" s="371" t="s">
        <v>3737</v>
      </c>
      <c r="K536" s="371" t="s">
        <v>1053</v>
      </c>
      <c r="L536" s="106" t="s">
        <v>1575</v>
      </c>
      <c r="M536" s="111" t="s">
        <v>4610</v>
      </c>
      <c r="N536" s="111" t="s">
        <v>5507</v>
      </c>
      <c r="O536" s="111" t="s">
        <v>6406</v>
      </c>
      <c r="P536" s="105" t="s">
        <v>198</v>
      </c>
      <c r="Q536" s="104" t="s">
        <v>2552</v>
      </c>
      <c r="R536" s="105" t="s">
        <v>2498</v>
      </c>
      <c r="S536" s="105" t="s">
        <v>2495</v>
      </c>
      <c r="T536" s="133" t="str">
        <f>IF(R536="Bogs Ponds Streams","20",IF(R536="Coastal Areas","26",IF(R536="Meadows Dry Open","10",IF(R536="Forest &amp; Understory","14",IF(R536="Moist Open","12",IF(R536="Moist Shady","10",IF(R536="Sub-Alpine Slopes","0")))))))</f>
        <v>10</v>
      </c>
      <c r="U536" s="133" t="str">
        <f>IF(R536="Bogs Ponds Streams","52",IF(R536="Coastal Areas","51",IF(R536="Meadows Dry Open","53",IF(R536="Forest &amp; Understory","52",IF(R536="Moist Open","50",IF(R536="Moist Shady","46",IF(R536="Sub-Alpine Slopes","40")))))))</f>
        <v>46</v>
      </c>
      <c r="V536" s="133" t="str">
        <f>IF(R536="Bogs Ponds Streams","84",IF(R536="Coastal Areas","76",IF(R536="Meadows Dry Open","96", IF(R536="Forest &amp; Understory","90", IF(R536="Moist Open","88", IF(R536="Moist Shady","82", IF(R536="Sub-Alpine Slopes","80")))))))</f>
        <v>82</v>
      </c>
      <c r="W536" s="104">
        <v>20</v>
      </c>
      <c r="X536" s="104">
        <v>0</v>
      </c>
      <c r="Y536" s="104">
        <v>3500</v>
      </c>
      <c r="Z536" s="104" t="s">
        <v>2519</v>
      </c>
      <c r="AA536" s="104" t="s">
        <v>2518</v>
      </c>
      <c r="AB536" s="104">
        <v>6.8</v>
      </c>
      <c r="AC536" s="107">
        <f>C535+AK536+(0.1)*AL536</f>
        <v>17.600000000000001</v>
      </c>
      <c r="AD536" s="113">
        <v>119</v>
      </c>
      <c r="AE536" s="104">
        <v>5</v>
      </c>
      <c r="AF536" s="104">
        <v>5</v>
      </c>
      <c r="AG536" s="104">
        <v>1900</v>
      </c>
      <c r="AH536" s="113">
        <v>0</v>
      </c>
      <c r="AI536" s="104">
        <f>AJ536</f>
        <v>2018</v>
      </c>
      <c r="AJ536" s="108">
        <v>2018</v>
      </c>
      <c r="AK536" s="108">
        <v>14</v>
      </c>
      <c r="AL536" s="108">
        <v>26</v>
      </c>
      <c r="AM536" s="109">
        <v>5</v>
      </c>
      <c r="AN536" s="109">
        <v>1</v>
      </c>
      <c r="AO536" s="109">
        <v>1</v>
      </c>
      <c r="AP536" s="109">
        <v>1</v>
      </c>
      <c r="AQ536" s="109">
        <v>0</v>
      </c>
      <c r="AR536" s="109">
        <v>0</v>
      </c>
      <c r="AS536" s="110">
        <v>0</v>
      </c>
      <c r="AT536" s="109">
        <v>0</v>
      </c>
      <c r="AU536" s="109">
        <v>0</v>
      </c>
      <c r="AV536" s="109">
        <v>0</v>
      </c>
      <c r="AW536" s="110">
        <v>0</v>
      </c>
      <c r="AX536" s="109">
        <v>0</v>
      </c>
      <c r="AY536" s="233"/>
      <c r="AZ536" s="4"/>
      <c r="BA536" s="35" t="str">
        <f>IF(OR(S536="North America",S536="Rocky Mountain"), "Widespread",BC536)</f>
        <v>Widespread</v>
      </c>
      <c r="BB536" s="4"/>
      <c r="BC536" s="35" t="str">
        <f ca="1">IF(BE536&gt;2046, "Abundant",BE536)</f>
        <v>Abundant</v>
      </c>
      <c r="BD536" s="4"/>
      <c r="BE536" s="81">
        <f ca="1">YEAR($C$13)+(BG536*80)</f>
        <v>2053.7997357100417</v>
      </c>
      <c r="BF536" s="4"/>
      <c r="BG536" s="137">
        <f ca="1">BH536*$BH$14</f>
        <v>0.43499669637551991</v>
      </c>
      <c r="BH536" s="137">
        <f ca="1">(((BJ536+BK536+BM536+BN536)/4)*$BM$11)+(((BP536+BQ536)/2)*$BQ$11)+(((BU536+BV536+BW536)/3)*$BU$11)+(((BY536+BZ536+CA536+CB536+CC536)/5)*$CA$11)</f>
        <v>0.43499669637551991</v>
      </c>
      <c r="BI536" s="4"/>
      <c r="BJ536" s="33">
        <f>AP536/(AM536+AO536)</f>
        <v>0.16666666666666666</v>
      </c>
      <c r="BK536" s="33">
        <f>(AN536+AO536)/(AM536+AO536)</f>
        <v>0.33333333333333331</v>
      </c>
      <c r="BL536" s="4"/>
      <c r="BM536" s="127">
        <f>CF536/102</f>
        <v>0.17254901960784316</v>
      </c>
      <c r="BN536" s="127">
        <f>C535/2</f>
        <v>0.5</v>
      </c>
      <c r="BO536" s="4"/>
      <c r="BP536" s="127">
        <f>(AK536)/($AW$6)</f>
        <v>0.14141414141414141</v>
      </c>
      <c r="BQ536" s="127">
        <f ca="1">(CH536-$AW$4)/((YEAR($C$13))-$AW$4)</f>
        <v>0.93333333333333335</v>
      </c>
      <c r="BR536" s="127">
        <f>(AL536)/($AW$6)</f>
        <v>0.26262626262626265</v>
      </c>
      <c r="BS536" s="4"/>
      <c r="BT536" s="127"/>
      <c r="BU536" s="127">
        <f ca="1">(CG536-$AW$4)/((YEAR($C$13))-$AW$4)</f>
        <v>0.93333333333333335</v>
      </c>
      <c r="BV536" s="127">
        <f>AE536/5</f>
        <v>1</v>
      </c>
      <c r="BW536" s="127">
        <f>AF536/5</f>
        <v>1</v>
      </c>
      <c r="BX536" s="4"/>
      <c r="BY536" s="148" t="str">
        <f>IF(E536="A",".98",IF(E536="B",".99",IF(E536="C","1.00",IF(E536="D","1.00" ))))</f>
        <v>1.00</v>
      </c>
      <c r="BZ536" s="127">
        <f>(CE536+7)/10</f>
        <v>1</v>
      </c>
      <c r="CA536" s="76" t="str">
        <f>IF(D536="Fern",".97",IF(D536="Grass",".99",IF(D536="Herb",".97",IF(D536="Shrub",".99",IF(D536="Tree","1.00",IF(D536="Vine",".98"))))))</f>
        <v>.97</v>
      </c>
      <c r="CB536" s="149" t="str">
        <f>IF(R536="Bogs Ponds Streams",".96", IF(R536="Coastal Areas",".97",IF(R536="Meadows Dry Open",".96",IF(R536="Forest &amp; Understory",".97",IF(R536="Moist Open",".98",IF(R536="Moist Shady",".96",IF(R536="Sub-Alpine","1.0")))))))</f>
        <v>.96</v>
      </c>
      <c r="CC536" s="76" t="str">
        <f>IF(S536="Local Endemic",".50",IF(S536="Regional Endemic",".70",IF(S536="Cascadia",".90",IF(S536="Rocky Mountain",".95",IF(S536="North America",".99")))))</f>
        <v>.99</v>
      </c>
      <c r="CD536" s="4"/>
      <c r="CE536" s="21">
        <f>IF(W536&gt;3,3,W536)</f>
        <v>3</v>
      </c>
      <c r="CF536" s="21">
        <f>IF(AC536&gt;102,102,AC536)</f>
        <v>17.600000000000001</v>
      </c>
      <c r="CG536" s="34">
        <f>IF(AI536&lt;$AW$4,$AW$4,AI536)</f>
        <v>2018</v>
      </c>
      <c r="CH536" s="34">
        <f>IF(AJ536&lt;$AW$4,$AW$4,AJ536)</f>
        <v>2018</v>
      </c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13"/>
    </row>
    <row r="537" spans="1:115" ht="15" customHeight="1" x14ac:dyDescent="0.3">
      <c r="A537" s="235"/>
      <c r="B537" s="218"/>
      <c r="C537" s="226">
        <v>2</v>
      </c>
      <c r="D537" s="104" t="s">
        <v>2505</v>
      </c>
      <c r="E537" s="104" t="s">
        <v>2501</v>
      </c>
      <c r="F537" s="400" t="str">
        <f ca="1">IF(BC537&lt;2025, "Extinct&lt; 6Yrs?",BA537)</f>
        <v>Widespread</v>
      </c>
      <c r="G537" s="369" t="s">
        <v>525</v>
      </c>
      <c r="H537" s="369" t="s">
        <v>4028</v>
      </c>
      <c r="I537" s="372" t="s">
        <v>396</v>
      </c>
      <c r="J537" s="371" t="s">
        <v>3736</v>
      </c>
      <c r="K537" s="371" t="s">
        <v>4079</v>
      </c>
      <c r="L537" s="106" t="s">
        <v>1576</v>
      </c>
      <c r="M537" s="111" t="s">
        <v>4611</v>
      </c>
      <c r="N537" s="111" t="s">
        <v>5508</v>
      </c>
      <c r="O537" s="111" t="s">
        <v>6407</v>
      </c>
      <c r="P537" s="105" t="s">
        <v>198</v>
      </c>
      <c r="Q537" s="104" t="s">
        <v>2552</v>
      </c>
      <c r="R537" s="105" t="s">
        <v>2500</v>
      </c>
      <c r="S537" s="105" t="s">
        <v>2495</v>
      </c>
      <c r="T537" s="133" t="str">
        <f>IF(R537="Bogs Ponds Streams","20",IF(R537="Coastal Areas","26",IF(R537="Meadows Dry Open","10",IF(R537="Forest &amp; Understory","14",IF(R537="Moist Open","12",IF(R537="Moist Shady","10",IF(R537="Sub-Alpine Slopes","0")))))))</f>
        <v>10</v>
      </c>
      <c r="U537" s="133" t="str">
        <f>IF(R537="Bogs Ponds Streams","52",IF(R537="Coastal Areas","51",IF(R537="Meadows Dry Open","53",IF(R537="Forest &amp; Understory","52",IF(R537="Moist Open","50",IF(R537="Moist Shady","46",IF(R537="Sub-Alpine Slopes","40")))))))</f>
        <v>53</v>
      </c>
      <c r="V537" s="133" t="str">
        <f>IF(R537="Bogs Ponds Streams","84",IF(R537="Coastal Areas","76",IF(R537="Meadows Dry Open","96", IF(R537="Forest &amp; Understory","90", IF(R537="Moist Open","88", IF(R537="Moist Shady","82", IF(R537="Sub-Alpine Slopes","80")))))))</f>
        <v>96</v>
      </c>
      <c r="W537" s="104">
        <v>20</v>
      </c>
      <c r="X537" s="104">
        <v>0</v>
      </c>
      <c r="Y537" s="104">
        <v>3500</v>
      </c>
      <c r="Z537" s="104" t="s">
        <v>2519</v>
      </c>
      <c r="AA537" s="104" t="s">
        <v>2518</v>
      </c>
      <c r="AB537" s="104">
        <v>6.8</v>
      </c>
      <c r="AC537" s="107">
        <f>C537+AK537+(0.1)*AL537</f>
        <v>32.6</v>
      </c>
      <c r="AD537" s="113">
        <v>84</v>
      </c>
      <c r="AE537" s="104">
        <v>5</v>
      </c>
      <c r="AF537" s="104">
        <v>5</v>
      </c>
      <c r="AG537" s="104">
        <v>1900</v>
      </c>
      <c r="AH537" s="113">
        <v>0</v>
      </c>
      <c r="AI537" s="104">
        <f>AJ537</f>
        <v>2004</v>
      </c>
      <c r="AJ537" s="108">
        <v>2004</v>
      </c>
      <c r="AK537" s="108">
        <v>30</v>
      </c>
      <c r="AL537" s="108">
        <v>6</v>
      </c>
      <c r="AM537" s="109">
        <v>5</v>
      </c>
      <c r="AN537" s="109">
        <v>1</v>
      </c>
      <c r="AO537" s="110">
        <v>0</v>
      </c>
      <c r="AP537" s="109">
        <v>0</v>
      </c>
      <c r="AQ537" s="109">
        <v>0</v>
      </c>
      <c r="AR537" s="109">
        <v>0</v>
      </c>
      <c r="AS537" s="110">
        <v>0</v>
      </c>
      <c r="AT537" s="109">
        <v>0</v>
      </c>
      <c r="AU537" s="109">
        <v>0</v>
      </c>
      <c r="AV537" s="109">
        <v>0</v>
      </c>
      <c r="AW537" s="110">
        <v>0</v>
      </c>
      <c r="AX537" s="109">
        <v>0</v>
      </c>
      <c r="AY537" s="233"/>
      <c r="AZ537" s="4"/>
      <c r="BA537" s="35" t="str">
        <f>IF(OR(S537="North America",S537="Rocky Mountain"), "Widespread",BC537)</f>
        <v>Widespread</v>
      </c>
      <c r="BB537" s="4"/>
      <c r="BC537" s="35" t="str">
        <f ca="1">IF(BE537&gt;2046, "Abundant",BE537)</f>
        <v>Abundant</v>
      </c>
      <c r="BD537" s="4"/>
      <c r="BE537" s="81">
        <f ca="1">YEAR($C$13)+(BG537*80)</f>
        <v>2046.7127244206774</v>
      </c>
      <c r="BF537" s="4"/>
      <c r="BG537" s="137">
        <f ca="1">BH537*$BH$14</f>
        <v>0.34640905525846699</v>
      </c>
      <c r="BH537" s="137">
        <f ca="1">(((BJ537+BK537+BM537+BN537)/4)*$BM$11)+(((BP537+BQ537)/2)*$BQ$11)+(((BU537+BV537+BW537)/3)*$BU$11)+(((BY537+BZ537+CA537+CB537+CC537)/5)*$CA$11)</f>
        <v>0.34640905525846699</v>
      </c>
      <c r="BI537" s="4"/>
      <c r="BJ537" s="33">
        <f>AP537/(AM537+AO537)</f>
        <v>0</v>
      </c>
      <c r="BK537" s="33">
        <f>(AN537+AO537)/(AM537+AO537)</f>
        <v>0.2</v>
      </c>
      <c r="BL537" s="4"/>
      <c r="BM537" s="127">
        <f>CF537/102</f>
        <v>0.31960784313725493</v>
      </c>
      <c r="BN537" s="127">
        <f>C537/2</f>
        <v>1</v>
      </c>
      <c r="BO537" s="4"/>
      <c r="BP537" s="127">
        <f>(AK537)/($AW$6)</f>
        <v>0.30303030303030304</v>
      </c>
      <c r="BQ537" s="127">
        <f ca="1">(CH537-$AW$4)/((YEAR($C$13))-$AW$4)</f>
        <v>0</v>
      </c>
      <c r="BR537" s="127">
        <f>(AL537)/($AW$6)</f>
        <v>6.0606060606060608E-2</v>
      </c>
      <c r="BS537" s="4"/>
      <c r="BT537" s="127"/>
      <c r="BU537" s="127">
        <f ca="1">(CG537-$AW$4)/((YEAR($C$13))-$AW$4)</f>
        <v>0</v>
      </c>
      <c r="BV537" s="127">
        <f>AE537/5</f>
        <v>1</v>
      </c>
      <c r="BW537" s="127">
        <f>AF537/5</f>
        <v>1</v>
      </c>
      <c r="BX537" s="4"/>
      <c r="BY537" s="148" t="str">
        <f>IF(E537="A",".98",IF(E537="B",".99",IF(E537="C","1.00",IF(E537="D","1.00" ))))</f>
        <v>1.00</v>
      </c>
      <c r="BZ537" s="127">
        <f>(CE537+7)/10</f>
        <v>1</v>
      </c>
      <c r="CA537" s="76" t="str">
        <f>IF(D537="Fern",".97",IF(D537="Grass",".99",IF(D537="Herb",".97",IF(D537="Shrub",".99",IF(D537="Tree","1.00",IF(D537="Vine",".98"))))))</f>
        <v>.97</v>
      </c>
      <c r="CB537" s="149" t="str">
        <f>IF(R537="Bogs Ponds Streams",".96", IF(R537="Coastal Areas",".97",IF(R537="Meadows Dry Open",".96",IF(R537="Forest &amp; Understory",".97",IF(R537="Moist Open",".98",IF(R537="Moist Shady",".96",IF(R537="Sub-Alpine","1.0")))))))</f>
        <v>.96</v>
      </c>
      <c r="CC537" s="76" t="str">
        <f>IF(S537="Local Endemic",".50",IF(S537="Regional Endemic",".70",IF(S537="Cascadia",".90",IF(S537="Rocky Mountain",".95",IF(S537="North America",".99")))))</f>
        <v>.99</v>
      </c>
      <c r="CD537" s="4"/>
      <c r="CE537" s="21">
        <f>IF(W537&gt;3,3,W537)</f>
        <v>3</v>
      </c>
      <c r="CF537" s="21">
        <f>IF(AC537&gt;102,102,AC537)</f>
        <v>32.6</v>
      </c>
      <c r="CG537" s="34">
        <f>IF(AI537&lt;$AW$4,$AW$4,AI537)</f>
        <v>2004</v>
      </c>
      <c r="CH537" s="34">
        <f>IF(AJ537&lt;$AW$4,$AW$4,AJ537)</f>
        <v>2004</v>
      </c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</row>
    <row r="538" spans="1:115" ht="15" customHeight="1" x14ac:dyDescent="0.3">
      <c r="A538" s="235"/>
      <c r="B538" s="218"/>
      <c r="C538" s="226">
        <v>2</v>
      </c>
      <c r="D538" s="104" t="s">
        <v>2505</v>
      </c>
      <c r="E538" s="104" t="s">
        <v>2501</v>
      </c>
      <c r="F538" s="400" t="str">
        <f ca="1">IF(BC538&lt;2025, "Extinct&lt; 6Yrs?",BA538)</f>
        <v>Widespread</v>
      </c>
      <c r="G538" s="369" t="s">
        <v>525</v>
      </c>
      <c r="H538" s="369" t="s">
        <v>4028</v>
      </c>
      <c r="I538" s="372" t="s">
        <v>200</v>
      </c>
      <c r="J538" s="371" t="s">
        <v>4069</v>
      </c>
      <c r="K538" s="371" t="s">
        <v>1202</v>
      </c>
      <c r="L538" s="106" t="s">
        <v>1577</v>
      </c>
      <c r="M538" s="111" t="s">
        <v>4612</v>
      </c>
      <c r="N538" s="111" t="s">
        <v>5509</v>
      </c>
      <c r="O538" s="111" t="s">
        <v>6408</v>
      </c>
      <c r="P538" s="105" t="s">
        <v>198</v>
      </c>
      <c r="Q538" s="104" t="s">
        <v>2552</v>
      </c>
      <c r="R538" s="105" t="s">
        <v>2530</v>
      </c>
      <c r="S538" s="105" t="s">
        <v>2495</v>
      </c>
      <c r="T538" s="133" t="str">
        <f>IF(R538="Bogs Ponds Streams","20",IF(R538="Coastal Areas","26",IF(R538="Meadows Dry Open","10",IF(R538="Forest &amp; Understory","14",IF(R538="Moist Open","12",IF(R538="Moist Shady","10",IF(R538="Sub-Alpine Slopes","0")))))))</f>
        <v>14</v>
      </c>
      <c r="U538" s="133" t="str">
        <f>IF(R538="Bogs Ponds Streams","52",IF(R538="Coastal Areas","51",IF(R538="Meadows Dry Open","53",IF(R538="Forest &amp; Understory","52",IF(R538="Moist Open","50",IF(R538="Moist Shady","46",IF(R538="Sub-Alpine Slopes","40")))))))</f>
        <v>52</v>
      </c>
      <c r="V538" s="133" t="str">
        <f>IF(R538="Bogs Ponds Streams","84",IF(R538="Coastal Areas","76",IF(R538="Meadows Dry Open","96", IF(R538="Forest &amp; Understory","90", IF(R538="Moist Open","88", IF(R538="Moist Shady","82", IF(R538="Sub-Alpine Slopes","80")))))))</f>
        <v>90</v>
      </c>
      <c r="W538" s="104">
        <v>20</v>
      </c>
      <c r="X538" s="104">
        <v>0</v>
      </c>
      <c r="Y538" s="104">
        <v>3500</v>
      </c>
      <c r="Z538" s="104" t="s">
        <v>2519</v>
      </c>
      <c r="AA538" s="104" t="s">
        <v>2518</v>
      </c>
      <c r="AB538" s="104">
        <v>6.8</v>
      </c>
      <c r="AC538" s="107">
        <f>C537+AK538+(0.1)*AL538</f>
        <v>17.8</v>
      </c>
      <c r="AD538" s="113">
        <v>58</v>
      </c>
      <c r="AE538" s="104">
        <v>5</v>
      </c>
      <c r="AF538" s="104">
        <v>5</v>
      </c>
      <c r="AG538" s="104">
        <v>1900</v>
      </c>
      <c r="AH538" s="113">
        <v>0</v>
      </c>
      <c r="AI538" s="104">
        <f>AJ538</f>
        <v>2018</v>
      </c>
      <c r="AJ538" s="108">
        <v>2018</v>
      </c>
      <c r="AK538" s="108">
        <v>15</v>
      </c>
      <c r="AL538" s="108">
        <v>8</v>
      </c>
      <c r="AM538" s="109">
        <v>5</v>
      </c>
      <c r="AN538" s="109">
        <v>1</v>
      </c>
      <c r="AO538" s="110">
        <v>0</v>
      </c>
      <c r="AP538" s="109">
        <v>1</v>
      </c>
      <c r="AQ538" s="109">
        <v>0</v>
      </c>
      <c r="AR538" s="109">
        <v>0</v>
      </c>
      <c r="AS538" s="110">
        <v>0</v>
      </c>
      <c r="AT538" s="109">
        <v>0</v>
      </c>
      <c r="AU538" s="109">
        <v>0</v>
      </c>
      <c r="AV538" s="109">
        <v>0</v>
      </c>
      <c r="AW538" s="110">
        <v>0</v>
      </c>
      <c r="AX538" s="109">
        <v>0</v>
      </c>
      <c r="AY538" s="233"/>
      <c r="AZ538" s="4"/>
      <c r="BA538" s="35" t="str">
        <f>IF(OR(S538="North America",S538="Rocky Mountain"), "Widespread",BC538)</f>
        <v>Widespread</v>
      </c>
      <c r="BB538" s="4"/>
      <c r="BC538" s="35" t="str">
        <f ca="1">IF(BE538&gt;2046, "Abundant",BE538)</f>
        <v>Abundant</v>
      </c>
      <c r="BD538" s="4"/>
      <c r="BE538" s="81">
        <f ca="1">YEAR($C$13)+(BG538*80)</f>
        <v>2058.7476772430186</v>
      </c>
      <c r="BF538" s="4"/>
      <c r="BG538" s="137">
        <f ca="1">BH538*$BH$14</f>
        <v>0.49684596553773031</v>
      </c>
      <c r="BH538" s="137">
        <f ca="1">(((BJ538+BK538+BM538+BN538)/4)*$BM$11)+(((BP538+BQ538)/2)*$BQ$11)+(((BU538+BV538+BW538)/3)*$BU$11)+(((BY538+BZ538+CA538+CB538+CC538)/5)*$CA$11)</f>
        <v>0.49684596553773031</v>
      </c>
      <c r="BI538" s="4"/>
      <c r="BJ538" s="33">
        <f>AP538/(AM538+AO538)</f>
        <v>0.2</v>
      </c>
      <c r="BK538" s="33">
        <f>(AN538+AO538)/(AM538+AO538)</f>
        <v>0.2</v>
      </c>
      <c r="BL538" s="4"/>
      <c r="BM538" s="127">
        <f>CF538/102</f>
        <v>0.17450980392156865</v>
      </c>
      <c r="BN538" s="127">
        <f>C537/2</f>
        <v>1</v>
      </c>
      <c r="BO538" s="4"/>
      <c r="BP538" s="127">
        <f>(AK538)/($AW$6)</f>
        <v>0.15151515151515152</v>
      </c>
      <c r="BQ538" s="127">
        <f ca="1">(CH538-$AW$4)/((YEAR($C$13))-$AW$4)</f>
        <v>0.93333333333333335</v>
      </c>
      <c r="BR538" s="127">
        <f>(AL538)/($AW$6)</f>
        <v>8.0808080808080815E-2</v>
      </c>
      <c r="BS538" s="4"/>
      <c r="BT538" s="127"/>
      <c r="BU538" s="127">
        <f ca="1">(CG538-$AW$4)/((YEAR($C$13))-$AW$4)</f>
        <v>0.93333333333333335</v>
      </c>
      <c r="BV538" s="127">
        <f>AE538/5</f>
        <v>1</v>
      </c>
      <c r="BW538" s="127">
        <f>AF538/5</f>
        <v>1</v>
      </c>
      <c r="BX538" s="4"/>
      <c r="BY538" s="148" t="str">
        <f>IF(E538="A",".98",IF(E538="B",".99",IF(E538="C","1.00",IF(E538="D","1.00" ))))</f>
        <v>1.00</v>
      </c>
      <c r="BZ538" s="127">
        <f>(CE538+7)/10</f>
        <v>1</v>
      </c>
      <c r="CA538" s="76" t="str">
        <f>IF(D538="Fern",".97",IF(D538="Grass",".99",IF(D538="Herb",".97",IF(D538="Shrub",".99",IF(D538="Tree","1.00",IF(D538="Vine",".98"))))))</f>
        <v>.97</v>
      </c>
      <c r="CB538" s="149" t="str">
        <f>IF(R538="Bogs Ponds Streams",".96", IF(R538="Coastal Areas",".97",IF(R538="Meadows Dry Open",".96",IF(R538="Forest &amp; Understory",".97",IF(R538="Moist Open",".98",IF(R538="Moist Shady",".96",IF(R538="Sub-Alpine","1.0")))))))</f>
        <v>.97</v>
      </c>
      <c r="CC538" s="76" t="str">
        <f>IF(S538="Local Endemic",".50",IF(S538="Regional Endemic",".70",IF(S538="Cascadia",".90",IF(S538="Rocky Mountain",".95",IF(S538="North America",".99")))))</f>
        <v>.99</v>
      </c>
      <c r="CD538" s="4"/>
      <c r="CE538" s="21">
        <f>IF(W538&gt;3,3,W538)</f>
        <v>3</v>
      </c>
      <c r="CF538" s="21">
        <f>IF(AC538&gt;102,102,AC538)</f>
        <v>17.8</v>
      </c>
      <c r="CG538" s="34">
        <f>IF(AI538&lt;$AW$4,$AW$4,AI538)</f>
        <v>2018</v>
      </c>
      <c r="CH538" s="34">
        <f>IF(AJ538&lt;$AW$4,$AW$4,AJ538)</f>
        <v>2018</v>
      </c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13"/>
    </row>
    <row r="539" spans="1:115" ht="15" customHeight="1" x14ac:dyDescent="0.3">
      <c r="A539" s="235"/>
      <c r="B539" s="218"/>
      <c r="C539" s="375">
        <v>1</v>
      </c>
      <c r="D539" s="67" t="s">
        <v>2505</v>
      </c>
      <c r="E539" s="67" t="s">
        <v>2501</v>
      </c>
      <c r="F539" s="403">
        <f ca="1">IF(BC539&lt;2025, "Extinct&lt; 6Yrs?",BA539)</f>
        <v>2031.7876677361853</v>
      </c>
      <c r="G539" s="376" t="s">
        <v>525</v>
      </c>
      <c r="H539" s="376" t="s">
        <v>4028</v>
      </c>
      <c r="I539" s="380" t="s">
        <v>3156</v>
      </c>
      <c r="J539" s="378" t="s">
        <v>1285</v>
      </c>
      <c r="K539" s="378" t="s">
        <v>1285</v>
      </c>
      <c r="L539" s="63" t="s">
        <v>1578</v>
      </c>
      <c r="M539" s="64" t="s">
        <v>4613</v>
      </c>
      <c r="N539" s="64" t="s">
        <v>5510</v>
      </c>
      <c r="O539" s="64" t="s">
        <v>6409</v>
      </c>
      <c r="P539" s="61" t="s">
        <v>752</v>
      </c>
      <c r="Q539" s="67" t="s">
        <v>2552</v>
      </c>
      <c r="R539" s="61" t="s">
        <v>2498</v>
      </c>
      <c r="S539" s="61" t="s">
        <v>2459</v>
      </c>
      <c r="T539" s="134" t="str">
        <f>IF(R539="Bogs Ponds Streams","20",IF(R539="Coastal Areas","26",IF(R539="Meadows Dry Open","10",IF(R539="Forest &amp; Understory","14",IF(R539="Moist Open","12",IF(R539="Moist Shady","10",IF(R539="Sub-Alpine Slopes","0")))))))</f>
        <v>10</v>
      </c>
      <c r="U539" s="134" t="str">
        <f>IF(R539="Bogs Ponds Streams","52",IF(R539="Coastal Areas","51",IF(R539="Meadows Dry Open","53",IF(R539="Forest &amp; Understory","52",IF(R539="Moist Open","50",IF(R539="Moist Shady","46",IF(R539="Sub-Alpine Slopes","40")))))))</f>
        <v>46</v>
      </c>
      <c r="V539" s="134" t="str">
        <f>IF(R539="Bogs Ponds Streams","84",IF(R539="Coastal Areas","76",IF(R539="Meadows Dry Open","96", IF(R539="Forest &amp; Understory","90", IF(R539="Moist Open","88", IF(R539="Moist Shady","82", IF(R539="Sub-Alpine Slopes","80")))))))</f>
        <v>82</v>
      </c>
      <c r="W539" s="67">
        <v>20</v>
      </c>
      <c r="X539" s="67">
        <v>0</v>
      </c>
      <c r="Y539" s="67">
        <v>3500</v>
      </c>
      <c r="Z539" s="67" t="s">
        <v>2519</v>
      </c>
      <c r="AA539" s="67" t="s">
        <v>2518</v>
      </c>
      <c r="AB539" s="67">
        <v>6.8</v>
      </c>
      <c r="AC539" s="85">
        <f>C539+AK539+(0.1)*AL539</f>
        <v>5.2</v>
      </c>
      <c r="AD539" s="78">
        <v>34</v>
      </c>
      <c r="AE539" s="67">
        <v>5</v>
      </c>
      <c r="AF539" s="67">
        <v>5</v>
      </c>
      <c r="AG539" s="67">
        <v>1900</v>
      </c>
      <c r="AH539" s="78">
        <v>0</v>
      </c>
      <c r="AI539" s="67">
        <f>AJ539</f>
        <v>2004</v>
      </c>
      <c r="AJ539" s="69">
        <v>2004</v>
      </c>
      <c r="AK539" s="69">
        <v>3</v>
      </c>
      <c r="AL539" s="69">
        <v>12</v>
      </c>
      <c r="AM539" s="70">
        <v>5</v>
      </c>
      <c r="AN539" s="70">
        <v>0</v>
      </c>
      <c r="AO539" s="86">
        <v>0</v>
      </c>
      <c r="AP539" s="70">
        <v>0</v>
      </c>
      <c r="AQ539" s="70">
        <v>0</v>
      </c>
      <c r="AR539" s="70">
        <v>0</v>
      </c>
      <c r="AS539" s="86">
        <v>0</v>
      </c>
      <c r="AT539" s="70">
        <v>0</v>
      </c>
      <c r="AU539" s="70">
        <v>0</v>
      </c>
      <c r="AV539" s="70">
        <v>0</v>
      </c>
      <c r="AW539" s="86">
        <v>0</v>
      </c>
      <c r="AX539" s="70">
        <v>0</v>
      </c>
      <c r="AY539" s="233"/>
      <c r="AZ539" s="4"/>
      <c r="BA539" s="35">
        <f ca="1">IF(OR(S539="North America",S539="Rocky Mountain"), "Widespread",BC539)</f>
        <v>2031.7876677361853</v>
      </c>
      <c r="BB539" s="4"/>
      <c r="BC539" s="35">
        <f ca="1">IF(BE539&gt;2046, "Abundant",BE539)</f>
        <v>2031.7876677361853</v>
      </c>
      <c r="BD539" s="4"/>
      <c r="BE539" s="81">
        <f ca="1">YEAR($C$13)+(BG539*80)</f>
        <v>2031.7876677361853</v>
      </c>
      <c r="BF539" s="4"/>
      <c r="BG539" s="137">
        <f ca="1">BH539*$BH$14</f>
        <v>0.1598458467023173</v>
      </c>
      <c r="BH539" s="137">
        <f ca="1">(((BJ539+BK539+BM539+BN539)/4)*$BM$11)+(((BP539+BQ539)/2)*$BQ$11)+(((BU539+BV539+BW539)/3)*$BU$11)+(((BY539+BZ539+CA539+CB539+CC539)/5)*$CA$11)</f>
        <v>0.1598458467023173</v>
      </c>
      <c r="BI539" s="4"/>
      <c r="BJ539" s="33">
        <f>AP539/(AM539+AO539)</f>
        <v>0</v>
      </c>
      <c r="BK539" s="33">
        <f>(AN539+AO539)/(AM539+AO539)</f>
        <v>0</v>
      </c>
      <c r="BL539" s="4"/>
      <c r="BM539" s="127">
        <f>CF539/102</f>
        <v>5.0980392156862744E-2</v>
      </c>
      <c r="BN539" s="127">
        <f>C539/2</f>
        <v>0.5</v>
      </c>
      <c r="BO539" s="4"/>
      <c r="BP539" s="127">
        <f>(AK539)/($AW$6)</f>
        <v>3.0303030303030304E-2</v>
      </c>
      <c r="BQ539" s="127">
        <f ca="1">(CH539-$AW$4)/((YEAR($C$13))-$AW$4)</f>
        <v>0</v>
      </c>
      <c r="BR539" s="127">
        <f>(AL539)/($AW$6)</f>
        <v>0.12121212121212122</v>
      </c>
      <c r="BS539" s="4"/>
      <c r="BT539" s="127"/>
      <c r="BU539" s="127">
        <f ca="1">(CG539-$AW$4)/((YEAR($C$13))-$AW$4)</f>
        <v>0</v>
      </c>
      <c r="BV539" s="127">
        <f>AE539/5</f>
        <v>1</v>
      </c>
      <c r="BW539" s="127">
        <f>AF539/5</f>
        <v>1</v>
      </c>
      <c r="BX539" s="4"/>
      <c r="BY539" s="148" t="str">
        <f>IF(E539="A",".98",IF(E539="B",".99",IF(E539="C","1.00",IF(E539="D","1.00" ))))</f>
        <v>1.00</v>
      </c>
      <c r="BZ539" s="127">
        <f>(CE539+7)/10</f>
        <v>1</v>
      </c>
      <c r="CA539" s="76" t="str">
        <f>IF(D539="Fern",".97",IF(D539="Grass",".99",IF(D539="Herb",".97",IF(D539="Shrub",".99",IF(D539="Tree","1.00",IF(D539="Vine",".98"))))))</f>
        <v>.97</v>
      </c>
      <c r="CB539" s="149" t="str">
        <f>IF(R539="Bogs Ponds Streams",".96", IF(R539="Coastal Areas",".97",IF(R539="Meadows Dry Open",".96",IF(R539="Forest &amp; Understory",".97",IF(R539="Moist Open",".98",IF(R539="Moist Shady",".96",IF(R539="Sub-Alpine","1.0")))))))</f>
        <v>.96</v>
      </c>
      <c r="CC539" s="76" t="str">
        <f>IF(S539="Local Endemic",".50",IF(S539="Regional Endemic",".70",IF(S539="Cascadia",".90",IF(S539="Rocky Mountain",".95",IF(S539="North America",".99")))))</f>
        <v>.90</v>
      </c>
      <c r="CD539" s="4"/>
      <c r="CE539" s="21">
        <f>IF(W539&gt;3,3,W539)</f>
        <v>3</v>
      </c>
      <c r="CF539" s="21">
        <f>IF(AC539&gt;102,102,AC539)</f>
        <v>5.2</v>
      </c>
      <c r="CG539" s="34">
        <f>IF(AI539&lt;$AW$4,$AW$4,AI539)</f>
        <v>2004</v>
      </c>
      <c r="CH539" s="34">
        <f>IF(AJ539&lt;$AW$4,$AW$4,AJ539)</f>
        <v>2004</v>
      </c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</row>
    <row r="540" spans="1:115" ht="15" customHeight="1" x14ac:dyDescent="0.3">
      <c r="A540" s="235"/>
      <c r="B540" s="218"/>
      <c r="C540" s="375">
        <v>1</v>
      </c>
      <c r="D540" s="67" t="s">
        <v>2505</v>
      </c>
      <c r="E540" s="67" t="s">
        <v>2502</v>
      </c>
      <c r="F540" s="403">
        <f ca="1">IF(BC540&lt;2025, "Extinct&lt; 6Yrs?",BA540)</f>
        <v>2030.3078559714795</v>
      </c>
      <c r="G540" s="376" t="s">
        <v>525</v>
      </c>
      <c r="H540" s="376" t="s">
        <v>4028</v>
      </c>
      <c r="I540" s="380" t="s">
        <v>275</v>
      </c>
      <c r="J540" s="378" t="s">
        <v>3568</v>
      </c>
      <c r="K540" s="378" t="s">
        <v>1054</v>
      </c>
      <c r="L540" s="63" t="s">
        <v>1579</v>
      </c>
      <c r="M540" s="64" t="s">
        <v>4614</v>
      </c>
      <c r="N540" s="64" t="s">
        <v>5511</v>
      </c>
      <c r="O540" s="64" t="s">
        <v>6410</v>
      </c>
      <c r="P540" s="61" t="s">
        <v>752</v>
      </c>
      <c r="Q540" s="67" t="s">
        <v>2552</v>
      </c>
      <c r="R540" s="61" t="s">
        <v>2498</v>
      </c>
      <c r="S540" s="61" t="s">
        <v>2459</v>
      </c>
      <c r="T540" s="134" t="str">
        <f>IF(R540="Bogs Ponds Streams","20",IF(R540="Coastal Areas","26",IF(R540="Meadows Dry Open","10",IF(R540="Forest &amp; Understory","14",IF(R540="Moist Open","12",IF(R540="Moist Shady","10",IF(R540="Sub-Alpine Slopes","0")))))))</f>
        <v>10</v>
      </c>
      <c r="U540" s="134" t="str">
        <f>IF(R540="Bogs Ponds Streams","52",IF(R540="Coastal Areas","51",IF(R540="Meadows Dry Open","53",IF(R540="Forest &amp; Understory","52",IF(R540="Moist Open","50",IF(R540="Moist Shady","46",IF(R540="Sub-Alpine Slopes","40")))))))</f>
        <v>46</v>
      </c>
      <c r="V540" s="134" t="str">
        <f>IF(R540="Bogs Ponds Streams","84",IF(R540="Coastal Areas","76",IF(R540="Meadows Dry Open","96", IF(R540="Forest &amp; Understory","90", IF(R540="Moist Open","88", IF(R540="Moist Shady","82", IF(R540="Sub-Alpine Slopes","80")))))))</f>
        <v>82</v>
      </c>
      <c r="W540" s="67">
        <v>1</v>
      </c>
      <c r="X540" s="67">
        <v>0</v>
      </c>
      <c r="Y540" s="67">
        <v>3500</v>
      </c>
      <c r="Z540" s="67" t="s">
        <v>2519</v>
      </c>
      <c r="AA540" s="67" t="s">
        <v>2518</v>
      </c>
      <c r="AB540" s="67">
        <v>6.8</v>
      </c>
      <c r="AC540" s="85">
        <f>C540+AK540+(0.1)*AL540</f>
        <v>4.0999999999999996</v>
      </c>
      <c r="AD540" s="78">
        <v>11</v>
      </c>
      <c r="AE540" s="68">
        <v>3</v>
      </c>
      <c r="AF540" s="68">
        <v>4</v>
      </c>
      <c r="AG540" s="78">
        <v>1859</v>
      </c>
      <c r="AH540" s="78">
        <v>0</v>
      </c>
      <c r="AI540" s="78">
        <v>2001</v>
      </c>
      <c r="AJ540" s="69">
        <v>2004</v>
      </c>
      <c r="AK540" s="69">
        <v>3</v>
      </c>
      <c r="AL540" s="69">
        <v>1</v>
      </c>
      <c r="AM540" s="70">
        <v>5</v>
      </c>
      <c r="AN540" s="70">
        <v>0</v>
      </c>
      <c r="AO540" s="86">
        <v>0</v>
      </c>
      <c r="AP540" s="70">
        <v>0</v>
      </c>
      <c r="AQ540" s="70">
        <v>0</v>
      </c>
      <c r="AR540" s="70">
        <v>0</v>
      </c>
      <c r="AS540" s="86">
        <v>0</v>
      </c>
      <c r="AT540" s="70">
        <v>0</v>
      </c>
      <c r="AU540" s="70">
        <v>0</v>
      </c>
      <c r="AV540" s="70">
        <v>0</v>
      </c>
      <c r="AW540" s="86">
        <v>0</v>
      </c>
      <c r="AX540" s="70">
        <v>0</v>
      </c>
      <c r="AY540" s="233"/>
      <c r="AZ540" s="4"/>
      <c r="BA540" s="35">
        <f ca="1">IF(OR(S540="North America",S540="Rocky Mountain"), "Widespread",BC540)</f>
        <v>2030.3078559714795</v>
      </c>
      <c r="BB540" s="4"/>
      <c r="BC540" s="35">
        <f ca="1">IF(BE540&gt;2046, "Abundant",BE540)</f>
        <v>2030.3078559714795</v>
      </c>
      <c r="BD540" s="4"/>
      <c r="BE540" s="81">
        <f ca="1">YEAR($C$13)+(BG540*80)</f>
        <v>2030.3078559714795</v>
      </c>
      <c r="BF540" s="4"/>
      <c r="BG540" s="137">
        <f ca="1">BH540*$BH$14</f>
        <v>0.14134819964349377</v>
      </c>
      <c r="BH540" s="137">
        <f ca="1">(((BJ540+BK540+BM540+BN540)/4)*$BM$11)+(((BP540+BQ540)/2)*$BQ$11)+(((BU540+BV540+BW540)/3)*$BU$11)+(((BY540+BZ540+CA540+CB540+CC540)/5)*$CA$11)</f>
        <v>0.14134819964349377</v>
      </c>
      <c r="BI540" s="4"/>
      <c r="BJ540" s="33">
        <f>AP540/(AM540+AO540)</f>
        <v>0</v>
      </c>
      <c r="BK540" s="33">
        <f>(AN540+AO540)/(AM540+AO540)</f>
        <v>0</v>
      </c>
      <c r="BL540" s="4"/>
      <c r="BM540" s="127">
        <f>CF540/102</f>
        <v>4.0196078431372545E-2</v>
      </c>
      <c r="BN540" s="127">
        <f>C540/2</f>
        <v>0.5</v>
      </c>
      <c r="BO540" s="4"/>
      <c r="BP540" s="127">
        <f>(AK540)/($AW$6)</f>
        <v>3.0303030303030304E-2</v>
      </c>
      <c r="BQ540" s="127">
        <f ca="1">(CH540-$AW$4)/((YEAR($C$13))-$AW$4)</f>
        <v>0</v>
      </c>
      <c r="BR540" s="127">
        <f>(AL540)/($AW$6)</f>
        <v>1.0101010101010102E-2</v>
      </c>
      <c r="BS540" s="4"/>
      <c r="BT540" s="127"/>
      <c r="BU540" s="127">
        <f ca="1">(CG540-$AW$4)/((YEAR($C$13))-$AW$4)</f>
        <v>0</v>
      </c>
      <c r="BV540" s="127">
        <f>AE540/5</f>
        <v>0.6</v>
      </c>
      <c r="BW540" s="127">
        <f>AF540/5</f>
        <v>0.8</v>
      </c>
      <c r="BX540" s="4"/>
      <c r="BY540" s="148" t="str">
        <f>IF(E540="A",".98",IF(E540="B",".99",IF(E540="C","1.00",IF(E540="D","1.00" ))))</f>
        <v>.98</v>
      </c>
      <c r="BZ540" s="127">
        <f>(CE540+7)/10</f>
        <v>0.8</v>
      </c>
      <c r="CA540" s="76" t="str">
        <f>IF(D540="Fern",".97",IF(D540="Grass",".99",IF(D540="Herb",".97",IF(D540="Shrub",".99",IF(D540="Tree","1.00",IF(D540="Vine",".98"))))))</f>
        <v>.97</v>
      </c>
      <c r="CB540" s="149" t="str">
        <f>IF(R540="Bogs Ponds Streams",".96", IF(R540="Coastal Areas",".97",IF(R540="Meadows Dry Open",".96",IF(R540="Forest &amp; Understory",".97",IF(R540="Moist Open",".98",IF(R540="Moist Shady",".96",IF(R540="Sub-Alpine","1.0")))))))</f>
        <v>.96</v>
      </c>
      <c r="CC540" s="76" t="str">
        <f>IF(S540="Local Endemic",".50",IF(S540="Regional Endemic",".70",IF(S540="Cascadia",".90",IF(S540="Rocky Mountain",".95",IF(S540="North America",".99")))))</f>
        <v>.90</v>
      </c>
      <c r="CD540" s="4"/>
      <c r="CE540" s="21">
        <f>IF(W540&gt;3,3,W540)</f>
        <v>1</v>
      </c>
      <c r="CF540" s="21">
        <f>IF(AC540&gt;102,102,AC540)</f>
        <v>4.0999999999999996</v>
      </c>
      <c r="CG540" s="34">
        <f>IF(AI540&lt;$AW$4,$AW$4,AI540)</f>
        <v>2004</v>
      </c>
      <c r="CH540" s="34">
        <f>IF(AJ540&lt;$AW$4,$AW$4,AJ540)</f>
        <v>2004</v>
      </c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</row>
    <row r="541" spans="1:115" ht="15" customHeight="1" x14ac:dyDescent="0.3">
      <c r="A541" s="235"/>
      <c r="B541" s="218"/>
      <c r="C541" s="226">
        <v>2</v>
      </c>
      <c r="D541" s="104" t="s">
        <v>2505</v>
      </c>
      <c r="E541" s="104" t="s">
        <v>2502</v>
      </c>
      <c r="F541" s="400" t="str">
        <f ca="1">IF(BC541&lt;2025, "Extinct&lt; 6Yrs?",BA541)</f>
        <v>Widespread</v>
      </c>
      <c r="G541" s="369" t="s">
        <v>525</v>
      </c>
      <c r="H541" s="369" t="s">
        <v>4028</v>
      </c>
      <c r="I541" s="370" t="s">
        <v>3157</v>
      </c>
      <c r="J541" s="371" t="s">
        <v>4088</v>
      </c>
      <c r="K541" s="371" t="s">
        <v>1055</v>
      </c>
      <c r="L541" s="106" t="s">
        <v>1580</v>
      </c>
      <c r="M541" s="111" t="s">
        <v>4615</v>
      </c>
      <c r="N541" s="111" t="s">
        <v>5512</v>
      </c>
      <c r="O541" s="111" t="s">
        <v>6411</v>
      </c>
      <c r="P541" s="105" t="s">
        <v>752</v>
      </c>
      <c r="Q541" s="104" t="s">
        <v>2552</v>
      </c>
      <c r="R541" s="105" t="s">
        <v>2498</v>
      </c>
      <c r="S541" s="105" t="s">
        <v>2495</v>
      </c>
      <c r="T541" s="133" t="str">
        <f>IF(R541="Bogs Ponds Streams","20",IF(R541="Coastal Areas","26",IF(R541="Meadows Dry Open","10",IF(R541="Forest &amp; Understory","14",IF(R541="Moist Open","12",IF(R541="Moist Shady","10",IF(R541="Sub-Alpine Slopes","0")))))))</f>
        <v>10</v>
      </c>
      <c r="U541" s="133" t="str">
        <f>IF(R541="Bogs Ponds Streams","52",IF(R541="Coastal Areas","51",IF(R541="Meadows Dry Open","53",IF(R541="Forest &amp; Understory","52",IF(R541="Moist Open","50",IF(R541="Moist Shady","46",IF(R541="Sub-Alpine Slopes","40")))))))</f>
        <v>46</v>
      </c>
      <c r="V541" s="133" t="str">
        <f>IF(R541="Bogs Ponds Streams","84",IF(R541="Coastal Areas","76",IF(R541="Meadows Dry Open","96", IF(R541="Forest &amp; Understory","90", IF(R541="Moist Open","88", IF(R541="Moist Shady","82", IF(R541="Sub-Alpine Slopes","80")))))))</f>
        <v>82</v>
      </c>
      <c r="W541" s="104">
        <v>1</v>
      </c>
      <c r="X541" s="104">
        <v>0</v>
      </c>
      <c r="Y541" s="104">
        <v>3500</v>
      </c>
      <c r="Z541" s="104" t="s">
        <v>2519</v>
      </c>
      <c r="AA541" s="104" t="s">
        <v>2518</v>
      </c>
      <c r="AB541" s="104">
        <v>6.8</v>
      </c>
      <c r="AC541" s="107">
        <f>C541+AK541+(0.1)*AL541</f>
        <v>18.5</v>
      </c>
      <c r="AD541" s="113">
        <v>88</v>
      </c>
      <c r="AE541" s="104">
        <v>5</v>
      </c>
      <c r="AF541" s="104">
        <v>5</v>
      </c>
      <c r="AG541" s="104">
        <v>1900</v>
      </c>
      <c r="AH541" s="113">
        <v>0</v>
      </c>
      <c r="AI541" s="104">
        <f>AJ541</f>
        <v>2004</v>
      </c>
      <c r="AJ541" s="108">
        <v>2004</v>
      </c>
      <c r="AK541" s="108">
        <v>15</v>
      </c>
      <c r="AL541" s="108">
        <v>15</v>
      </c>
      <c r="AM541" s="109">
        <v>5</v>
      </c>
      <c r="AN541" s="109">
        <v>1</v>
      </c>
      <c r="AO541" s="110">
        <v>0</v>
      </c>
      <c r="AP541" s="109">
        <v>0</v>
      </c>
      <c r="AQ541" s="109">
        <v>0</v>
      </c>
      <c r="AR541" s="109">
        <v>0</v>
      </c>
      <c r="AS541" s="110">
        <v>0</v>
      </c>
      <c r="AT541" s="109">
        <v>0</v>
      </c>
      <c r="AU541" s="109">
        <v>0</v>
      </c>
      <c r="AV541" s="109">
        <v>0</v>
      </c>
      <c r="AW541" s="110">
        <v>0</v>
      </c>
      <c r="AX541" s="109">
        <v>0</v>
      </c>
      <c r="AY541" s="233"/>
      <c r="AZ541" s="4"/>
      <c r="BA541" s="35" t="str">
        <f>IF(OR(S541="North America",S541="Rocky Mountain"), "Widespread",BC541)</f>
        <v>Widespread</v>
      </c>
      <c r="BB541" s="4"/>
      <c r="BC541" s="35">
        <f ca="1">IF(BE541&gt;2046, "Abundant",BE541)</f>
        <v>2043.1653190730838</v>
      </c>
      <c r="BD541" s="4"/>
      <c r="BE541" s="81">
        <f ca="1">YEAR($C$13)+(BG541*80)</f>
        <v>2043.1653190730838</v>
      </c>
      <c r="BF541" s="4"/>
      <c r="BG541" s="137">
        <f ca="1">BH541*$BH$14</f>
        <v>0.30206648841354722</v>
      </c>
      <c r="BH541" s="137">
        <f ca="1">(((BJ541+BK541+BM541+BN541)/4)*$BM$11)+(((BP541+BQ541)/2)*$BQ$11)+(((BU541+BV541+BW541)/3)*$BU$11)+(((BY541+BZ541+CA541+CB541+CC541)/5)*$CA$11)</f>
        <v>0.30206648841354722</v>
      </c>
      <c r="BI541" s="4"/>
      <c r="BJ541" s="33">
        <f>AP541/(AM541+AO541)</f>
        <v>0</v>
      </c>
      <c r="BK541" s="33">
        <f>(AN541+AO541)/(AM541+AO541)</f>
        <v>0.2</v>
      </c>
      <c r="BL541" s="4"/>
      <c r="BM541" s="127">
        <f>CF541/102</f>
        <v>0.18137254901960784</v>
      </c>
      <c r="BN541" s="127">
        <f>C541/2</f>
        <v>1</v>
      </c>
      <c r="BO541" s="4"/>
      <c r="BP541" s="127">
        <f>(AK541)/($AW$6)</f>
        <v>0.15151515151515152</v>
      </c>
      <c r="BQ541" s="127">
        <f ca="1">(CH541-$AW$4)/((YEAR($C$13))-$AW$4)</f>
        <v>0</v>
      </c>
      <c r="BR541" s="127">
        <f>(AL541)/($AW$6)</f>
        <v>0.15151515151515152</v>
      </c>
      <c r="BS541" s="4"/>
      <c r="BT541" s="127"/>
      <c r="BU541" s="127">
        <f ca="1">(CG541-$AW$4)/((YEAR($C$13))-$AW$4)</f>
        <v>0</v>
      </c>
      <c r="BV541" s="127">
        <f>AE541/5</f>
        <v>1</v>
      </c>
      <c r="BW541" s="127">
        <f>AF541/5</f>
        <v>1</v>
      </c>
      <c r="BX541" s="4"/>
      <c r="BY541" s="148" t="str">
        <f>IF(E541="A",".98",IF(E541="B",".99",IF(E541="C","1.00",IF(E541="D","1.00" ))))</f>
        <v>.98</v>
      </c>
      <c r="BZ541" s="127">
        <f>(CE541+7)/10</f>
        <v>0.8</v>
      </c>
      <c r="CA541" s="76" t="str">
        <f>IF(D541="Fern",".97",IF(D541="Grass",".99",IF(D541="Herb",".97",IF(D541="Shrub",".99",IF(D541="Tree","1.00",IF(D541="Vine",".98"))))))</f>
        <v>.97</v>
      </c>
      <c r="CB541" s="149" t="str">
        <f>IF(R541="Bogs Ponds Streams",".96", IF(R541="Coastal Areas",".97",IF(R541="Meadows Dry Open",".96",IF(R541="Forest &amp; Understory",".97",IF(R541="Moist Open",".98",IF(R541="Moist Shady",".96",IF(R541="Sub-Alpine","1.0")))))))</f>
        <v>.96</v>
      </c>
      <c r="CC541" s="76" t="str">
        <f>IF(S541="Local Endemic",".50",IF(S541="Regional Endemic",".70",IF(S541="Cascadia",".90",IF(S541="Rocky Mountain",".95",IF(S541="North America",".99")))))</f>
        <v>.99</v>
      </c>
      <c r="CD541" s="4"/>
      <c r="CE541" s="21">
        <f>IF(W541&gt;3,3,W541)</f>
        <v>1</v>
      </c>
      <c r="CF541" s="21">
        <f>IF(AC541&gt;102,102,AC541)</f>
        <v>18.5</v>
      </c>
      <c r="CG541" s="34">
        <f>IF(AI541&lt;$AW$4,$AW$4,AI541)</f>
        <v>2004</v>
      </c>
      <c r="CH541" s="34">
        <f>IF(AJ541&lt;$AW$4,$AW$4,AJ541)</f>
        <v>2004</v>
      </c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</row>
    <row r="542" spans="1:115" ht="15" customHeight="1" x14ac:dyDescent="0.3">
      <c r="A542" s="235"/>
      <c r="B542" s="218"/>
      <c r="C542" s="375">
        <v>1</v>
      </c>
      <c r="D542" s="67" t="s">
        <v>2505</v>
      </c>
      <c r="E542" s="67" t="s">
        <v>2502</v>
      </c>
      <c r="F542" s="403">
        <f ca="1">IF(BC542&lt;2025, "Extinct&lt; 6Yrs?",BA542)</f>
        <v>2033.7375885918004</v>
      </c>
      <c r="G542" s="376" t="s">
        <v>525</v>
      </c>
      <c r="H542" s="376" t="s">
        <v>4028</v>
      </c>
      <c r="I542" s="380" t="s">
        <v>276</v>
      </c>
      <c r="J542" s="378" t="s">
        <v>3567</v>
      </c>
      <c r="K542" s="378" t="s">
        <v>1056</v>
      </c>
      <c r="L542" s="63" t="s">
        <v>1581</v>
      </c>
      <c r="M542" s="64" t="s">
        <v>4616</v>
      </c>
      <c r="N542" s="64" t="s">
        <v>5513</v>
      </c>
      <c r="O542" s="64" t="s">
        <v>6412</v>
      </c>
      <c r="P542" s="61" t="s">
        <v>752</v>
      </c>
      <c r="Q542" s="67" t="s">
        <v>2552</v>
      </c>
      <c r="R542" s="61" t="s">
        <v>2498</v>
      </c>
      <c r="S542" s="61" t="s">
        <v>2459</v>
      </c>
      <c r="T542" s="134" t="str">
        <f>IF(R542="Bogs Ponds Streams","20",IF(R542="Coastal Areas","26",IF(R542="Meadows Dry Open","10",IF(R542="Forest &amp; Understory","14",IF(R542="Moist Open","12",IF(R542="Moist Shady","10",IF(R542="Sub-Alpine Slopes","0")))))))</f>
        <v>10</v>
      </c>
      <c r="U542" s="134" t="str">
        <f>IF(R542="Bogs Ponds Streams","52",IF(R542="Coastal Areas","51",IF(R542="Meadows Dry Open","53",IF(R542="Forest &amp; Understory","52",IF(R542="Moist Open","50",IF(R542="Moist Shady","46",IF(R542="Sub-Alpine Slopes","40")))))))</f>
        <v>46</v>
      </c>
      <c r="V542" s="134" t="str">
        <f>IF(R542="Bogs Ponds Streams","84",IF(R542="Coastal Areas","76",IF(R542="Meadows Dry Open","96", IF(R542="Forest &amp; Understory","90", IF(R542="Moist Open","88", IF(R542="Moist Shady","82", IF(R542="Sub-Alpine Slopes","80")))))))</f>
        <v>82</v>
      </c>
      <c r="W542" s="67">
        <v>1</v>
      </c>
      <c r="X542" s="67">
        <v>0</v>
      </c>
      <c r="Y542" s="67">
        <v>3500</v>
      </c>
      <c r="Z542" s="67" t="s">
        <v>2519</v>
      </c>
      <c r="AA542" s="67" t="s">
        <v>2518</v>
      </c>
      <c r="AB542" s="67">
        <v>6.8</v>
      </c>
      <c r="AC542" s="85">
        <f>C542+AK542+(0.1)*AL542</f>
        <v>13.1</v>
      </c>
      <c r="AD542" s="78">
        <v>26</v>
      </c>
      <c r="AE542" s="67">
        <v>5</v>
      </c>
      <c r="AF542" s="67">
        <v>5</v>
      </c>
      <c r="AG542" s="67">
        <v>1900</v>
      </c>
      <c r="AH542" s="78">
        <v>0</v>
      </c>
      <c r="AI542" s="67">
        <f>AJ542</f>
        <v>2004</v>
      </c>
      <c r="AJ542" s="69">
        <v>2004</v>
      </c>
      <c r="AK542" s="69">
        <v>12</v>
      </c>
      <c r="AL542" s="69">
        <v>1</v>
      </c>
      <c r="AM542" s="70">
        <v>5</v>
      </c>
      <c r="AN542" s="70">
        <v>0</v>
      </c>
      <c r="AO542" s="86">
        <v>0</v>
      </c>
      <c r="AP542" s="70">
        <v>0</v>
      </c>
      <c r="AQ542" s="70">
        <v>0</v>
      </c>
      <c r="AR542" s="70">
        <v>0</v>
      </c>
      <c r="AS542" s="86">
        <v>0</v>
      </c>
      <c r="AT542" s="70">
        <v>0</v>
      </c>
      <c r="AU542" s="70">
        <v>0</v>
      </c>
      <c r="AV542" s="70">
        <v>0</v>
      </c>
      <c r="AW542" s="86">
        <v>0</v>
      </c>
      <c r="AX542" s="70">
        <v>0</v>
      </c>
      <c r="AY542" s="233"/>
      <c r="AZ542" s="4"/>
      <c r="BA542" s="35">
        <f ca="1">IF(OR(S542="North America",S542="Rocky Mountain"), "Widespread",BC542)</f>
        <v>2033.7375885918004</v>
      </c>
      <c r="BB542" s="4"/>
      <c r="BC542" s="35">
        <f ca="1">IF(BE542&gt;2046, "Abundant",BE542)</f>
        <v>2033.7375885918004</v>
      </c>
      <c r="BD542" s="4"/>
      <c r="BE542" s="81">
        <f ca="1">YEAR($C$13)+(BG542*80)</f>
        <v>2033.7375885918004</v>
      </c>
      <c r="BF542" s="4"/>
      <c r="BG542" s="137">
        <f ca="1">BH542*$BH$14</f>
        <v>0.18421985739750446</v>
      </c>
      <c r="BH542" s="137">
        <f ca="1">(((BJ542+BK542+BM542+BN542)/4)*$BM$11)+(((BP542+BQ542)/2)*$BQ$11)+(((BU542+BV542+BW542)/3)*$BU$11)+(((BY542+BZ542+CA542+CB542+CC542)/5)*$CA$11)</f>
        <v>0.18421985739750446</v>
      </c>
      <c r="BI542" s="4"/>
      <c r="BJ542" s="33">
        <f>AP542/(AM542+AO542)</f>
        <v>0</v>
      </c>
      <c r="BK542" s="33">
        <f>(AN542+AO542)/(AM542+AO542)</f>
        <v>0</v>
      </c>
      <c r="BL542" s="4"/>
      <c r="BM542" s="127">
        <f>CF542/102</f>
        <v>0.1284313725490196</v>
      </c>
      <c r="BN542" s="127">
        <f>C542/2</f>
        <v>0.5</v>
      </c>
      <c r="BO542" s="4"/>
      <c r="BP542" s="127">
        <f>(AK542)/($AW$6)</f>
        <v>0.12121212121212122</v>
      </c>
      <c r="BQ542" s="127">
        <f ca="1">(CH542-$AW$4)/((YEAR($C$13))-$AW$4)</f>
        <v>0</v>
      </c>
      <c r="BR542" s="127">
        <f>(AL542)/($AW$6)</f>
        <v>1.0101010101010102E-2</v>
      </c>
      <c r="BS542" s="4"/>
      <c r="BT542" s="127"/>
      <c r="BU542" s="127">
        <f ca="1">(CG542-$AW$4)/((YEAR($C$13))-$AW$4)</f>
        <v>0</v>
      </c>
      <c r="BV542" s="127">
        <f>AE542/5</f>
        <v>1</v>
      </c>
      <c r="BW542" s="127">
        <f>AF542/5</f>
        <v>1</v>
      </c>
      <c r="BX542" s="4"/>
      <c r="BY542" s="148" t="str">
        <f>IF(E542="A",".98",IF(E542="B",".99",IF(E542="C","1.00",IF(E542="D","1.00" ))))</f>
        <v>.98</v>
      </c>
      <c r="BZ542" s="127">
        <f>(CE542+7)/10</f>
        <v>0.8</v>
      </c>
      <c r="CA542" s="76" t="str">
        <f>IF(D542="Fern",".97",IF(D542="Grass",".99",IF(D542="Herb",".97",IF(D542="Shrub",".99",IF(D542="Tree","1.00",IF(D542="Vine",".98"))))))</f>
        <v>.97</v>
      </c>
      <c r="CB542" s="149" t="str">
        <f>IF(R542="Bogs Ponds Streams",".96", IF(R542="Coastal Areas",".97",IF(R542="Meadows Dry Open",".96",IF(R542="Forest &amp; Understory",".97",IF(R542="Moist Open",".98",IF(R542="Moist Shady",".96",IF(R542="Sub-Alpine","1.0")))))))</f>
        <v>.96</v>
      </c>
      <c r="CC542" s="76" t="str">
        <f>IF(S542="Local Endemic",".50",IF(S542="Regional Endemic",".70",IF(S542="Cascadia",".90",IF(S542="Rocky Mountain",".95",IF(S542="North America",".99")))))</f>
        <v>.90</v>
      </c>
      <c r="CD542" s="4"/>
      <c r="CE542" s="21">
        <f>IF(W542&gt;3,3,W542)</f>
        <v>1</v>
      </c>
      <c r="CF542" s="21">
        <f>IF(AC542&gt;102,102,AC542)</f>
        <v>13.1</v>
      </c>
      <c r="CG542" s="34">
        <f>IF(AI542&lt;$AW$4,$AW$4,AI542)</f>
        <v>2004</v>
      </c>
      <c r="CH542" s="34">
        <f>IF(AJ542&lt;$AW$4,$AW$4,AJ542)</f>
        <v>2004</v>
      </c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</row>
    <row r="543" spans="1:115" ht="15" customHeight="1" x14ac:dyDescent="0.3">
      <c r="A543" s="235"/>
      <c r="B543" s="218"/>
      <c r="C543" s="375">
        <v>1</v>
      </c>
      <c r="D543" s="67" t="s">
        <v>2505</v>
      </c>
      <c r="E543" s="67" t="s">
        <v>2502</v>
      </c>
      <c r="F543" s="403" t="str">
        <f ca="1">IF(BC543&lt;2025, "Extinct&lt; 6Yrs?",BA543)</f>
        <v>Widespread</v>
      </c>
      <c r="G543" s="376" t="s">
        <v>525</v>
      </c>
      <c r="H543" s="376" t="s">
        <v>4028</v>
      </c>
      <c r="I543" s="379" t="s">
        <v>2678</v>
      </c>
      <c r="J543" s="378" t="s">
        <v>3566</v>
      </c>
      <c r="K543" s="378" t="s">
        <v>1057</v>
      </c>
      <c r="L543" s="65" t="s">
        <v>2206</v>
      </c>
      <c r="M543" s="64" t="s">
        <v>4617</v>
      </c>
      <c r="N543" s="64" t="s">
        <v>5514</v>
      </c>
      <c r="O543" s="64" t="s">
        <v>6413</v>
      </c>
      <c r="P543" s="404" t="s">
        <v>752</v>
      </c>
      <c r="Q543" s="67" t="s">
        <v>2552</v>
      </c>
      <c r="R543" s="61" t="s">
        <v>2498</v>
      </c>
      <c r="S543" s="61" t="s">
        <v>2479</v>
      </c>
      <c r="T543" s="134" t="str">
        <f>IF(R543="Bogs Ponds Streams","20",IF(R543="Coastal Areas","26",IF(R543="Meadows Dry Open","10",IF(R543="Forest &amp; Understory","14",IF(R543="Moist Open","12",IF(R543="Moist Shady","10",IF(R543="Sub-Alpine Slopes","0")))))))</f>
        <v>10</v>
      </c>
      <c r="U543" s="134" t="str">
        <f>IF(R543="Bogs Ponds Streams","52",IF(R543="Coastal Areas","51",IF(R543="Meadows Dry Open","53",IF(R543="Forest &amp; Understory","52",IF(R543="Moist Open","50",IF(R543="Moist Shady","46",IF(R543="Sub-Alpine Slopes","40")))))))</f>
        <v>46</v>
      </c>
      <c r="V543" s="134" t="str">
        <f>IF(R543="Bogs Ponds Streams","84",IF(R543="Coastal Areas","76",IF(R543="Meadows Dry Open","96", IF(R543="Forest &amp; Understory","90", IF(R543="Moist Open","88", IF(R543="Moist Shady","82", IF(R543="Sub-Alpine Slopes","80")))))))</f>
        <v>82</v>
      </c>
      <c r="W543" s="67">
        <v>1</v>
      </c>
      <c r="X543" s="67">
        <v>0</v>
      </c>
      <c r="Y543" s="67">
        <v>3500</v>
      </c>
      <c r="Z543" s="67" t="s">
        <v>2519</v>
      </c>
      <c r="AA543" s="67" t="s">
        <v>2518</v>
      </c>
      <c r="AB543" s="67">
        <v>6.8</v>
      </c>
      <c r="AC543" s="85">
        <f>C543+AK543+(0.1)*AL543</f>
        <v>23.4</v>
      </c>
      <c r="AD543" s="78">
        <v>135</v>
      </c>
      <c r="AE543" s="67">
        <v>5</v>
      </c>
      <c r="AF543" s="67">
        <v>5</v>
      </c>
      <c r="AG543" s="67">
        <v>1900</v>
      </c>
      <c r="AH543" s="78">
        <v>0</v>
      </c>
      <c r="AI543" s="67">
        <f>AJ543</f>
        <v>2004</v>
      </c>
      <c r="AJ543" s="69">
        <v>2004</v>
      </c>
      <c r="AK543" s="69">
        <v>18</v>
      </c>
      <c r="AL543" s="69">
        <v>44</v>
      </c>
      <c r="AM543" s="70">
        <v>5</v>
      </c>
      <c r="AN543" s="70">
        <v>0</v>
      </c>
      <c r="AO543" s="86">
        <v>0</v>
      </c>
      <c r="AP543" s="70">
        <v>0</v>
      </c>
      <c r="AQ543" s="70">
        <v>0</v>
      </c>
      <c r="AR543" s="70">
        <v>0</v>
      </c>
      <c r="AS543" s="86">
        <v>0</v>
      </c>
      <c r="AT543" s="70">
        <v>0</v>
      </c>
      <c r="AU543" s="70">
        <v>0</v>
      </c>
      <c r="AV543" s="70">
        <v>0</v>
      </c>
      <c r="AW543" s="86">
        <v>0</v>
      </c>
      <c r="AX543" s="70">
        <v>0</v>
      </c>
      <c r="AY543" s="233"/>
      <c r="AZ543" s="4"/>
      <c r="BA543" s="35" t="str">
        <f>IF(OR(S543="North America",S543="Rocky Mountain"), "Widespread",BC543)</f>
        <v>Widespread</v>
      </c>
      <c r="BB543" s="4"/>
      <c r="BC543" s="35">
        <f ca="1">IF(BE543&gt;2046, "Abundant",BE543)</f>
        <v>2035.6926260249554</v>
      </c>
      <c r="BD543" s="4"/>
      <c r="BE543" s="81">
        <f ca="1">YEAR($C$13)+(BG543*80)</f>
        <v>2035.6926260249554</v>
      </c>
      <c r="BF543" s="4"/>
      <c r="BG543" s="137">
        <f ca="1">BH543*$BH$14</f>
        <v>0.20865782531194293</v>
      </c>
      <c r="BH543" s="137">
        <f ca="1">(((BJ543+BK543+BM543+BN543)/4)*$BM$11)+(((BP543+BQ543)/2)*$BQ$11)+(((BU543+BV543+BW543)/3)*$BU$11)+(((BY543+BZ543+CA543+CB543+CC543)/5)*$CA$11)</f>
        <v>0.20865782531194293</v>
      </c>
      <c r="BI543" s="4"/>
      <c r="BJ543" s="33">
        <f>AP543/(AM543+AO543)</f>
        <v>0</v>
      </c>
      <c r="BK543" s="33">
        <f>(AN543+AO543)/(AM543+AO543)</f>
        <v>0</v>
      </c>
      <c r="BL543" s="4"/>
      <c r="BM543" s="127">
        <f>CF543/102</f>
        <v>0.22941176470588234</v>
      </c>
      <c r="BN543" s="127">
        <f>C543/2</f>
        <v>0.5</v>
      </c>
      <c r="BO543" s="4"/>
      <c r="BP543" s="127">
        <f>(AK543)/($AW$6)</f>
        <v>0.18181818181818182</v>
      </c>
      <c r="BQ543" s="127">
        <f ca="1">(CH543-$AW$4)/((YEAR($C$13))-$AW$4)</f>
        <v>0</v>
      </c>
      <c r="BR543" s="127">
        <f>(AL543)/($AW$6)</f>
        <v>0.44444444444444442</v>
      </c>
      <c r="BS543" s="4"/>
      <c r="BT543" s="127"/>
      <c r="BU543" s="127">
        <f ca="1">(CG543-$AW$4)/((YEAR($C$13))-$AW$4)</f>
        <v>0</v>
      </c>
      <c r="BV543" s="127">
        <f>AE543/5</f>
        <v>1</v>
      </c>
      <c r="BW543" s="127">
        <f>AF543/5</f>
        <v>1</v>
      </c>
      <c r="BX543" s="4"/>
      <c r="BY543" s="148" t="str">
        <f>IF(E543="A",".98",IF(E543="B",".99",IF(E543="C","1.00",IF(E543="D","1.00" ))))</f>
        <v>.98</v>
      </c>
      <c r="BZ543" s="127">
        <f>(CE543+7)/10</f>
        <v>0.8</v>
      </c>
      <c r="CA543" s="76" t="str">
        <f>IF(D543="Fern",".97",IF(D543="Grass",".99",IF(D543="Herb",".97",IF(D543="Shrub",".99",IF(D543="Tree","1.00",IF(D543="Vine",".98"))))))</f>
        <v>.97</v>
      </c>
      <c r="CB543" s="149" t="str">
        <f>IF(R543="Bogs Ponds Streams",".96", IF(R543="Coastal Areas",".97",IF(R543="Meadows Dry Open",".96",IF(R543="Forest &amp; Understory",".97",IF(R543="Moist Open",".98",IF(R543="Moist Shady",".96",IF(R543="Sub-Alpine","1.0")))))))</f>
        <v>.96</v>
      </c>
      <c r="CC543" s="76" t="str">
        <f>IF(S543="Local Endemic",".50",IF(S543="Regional Endemic",".70",IF(S543="Cascadia",".90",IF(S543="Rocky Mountain",".95",IF(S543="North America",".99")))))</f>
        <v>.95</v>
      </c>
      <c r="CD543" s="4"/>
      <c r="CE543" s="21">
        <f>IF(W543&gt;3,3,W543)</f>
        <v>1</v>
      </c>
      <c r="CF543" s="21">
        <f>IF(AC543&gt;102,102,AC543)</f>
        <v>23.4</v>
      </c>
      <c r="CG543" s="34">
        <f>IF(AI543&lt;$AW$4,$AW$4,AI543)</f>
        <v>2004</v>
      </c>
      <c r="CH543" s="34">
        <f>IF(AJ543&lt;$AW$4,$AW$4,AJ543)</f>
        <v>2004</v>
      </c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</row>
    <row r="544" spans="1:115" ht="15" customHeight="1" x14ac:dyDescent="0.3">
      <c r="A544" s="235"/>
      <c r="B544" s="218"/>
      <c r="C544" s="225">
        <v>8</v>
      </c>
      <c r="D544" s="59" t="s">
        <v>2505</v>
      </c>
      <c r="E544" s="59" t="s">
        <v>2501</v>
      </c>
      <c r="F544" s="397" t="str">
        <f ca="1">IF(BC544&lt;2025, "Extinct&lt; 6Yrs?",BA544)</f>
        <v>Abundant</v>
      </c>
      <c r="G544" s="363" t="s">
        <v>525</v>
      </c>
      <c r="H544" s="363" t="s">
        <v>686</v>
      </c>
      <c r="I544" s="364" t="s">
        <v>2679</v>
      </c>
      <c r="J544" s="365" t="s">
        <v>3423</v>
      </c>
      <c r="K544" s="365" t="s">
        <v>2794</v>
      </c>
      <c r="L544" s="17" t="s">
        <v>3453</v>
      </c>
      <c r="M544" s="8" t="s">
        <v>4618</v>
      </c>
      <c r="N544" s="8" t="s">
        <v>5515</v>
      </c>
      <c r="O544" s="8" t="s">
        <v>6414</v>
      </c>
      <c r="P544" s="398" t="s">
        <v>274</v>
      </c>
      <c r="Q544" s="59" t="s">
        <v>2552</v>
      </c>
      <c r="R544" s="9" t="s">
        <v>2500</v>
      </c>
      <c r="S544" s="9" t="s">
        <v>2459</v>
      </c>
      <c r="T544" s="123" t="str">
        <f>IF(R544="Bogs Ponds Streams","20",IF(R544="Coastal Areas","26",IF(R544="Meadows Dry Open","10",IF(R544="Forest &amp; Understory","14",IF(R544="Moist Open","12",IF(R544="Moist Shady","10",IF(R544="Sub-Alpine Slopes","0")))))))</f>
        <v>10</v>
      </c>
      <c r="U544" s="123" t="str">
        <f>IF(R544="Bogs Ponds Streams","52",IF(R544="Coastal Areas","51",IF(R544="Meadows Dry Open","53",IF(R544="Forest &amp; Understory","52",IF(R544="Moist Open","50",IF(R544="Moist Shady","46",IF(R544="Sub-Alpine Slopes","40")))))))</f>
        <v>53</v>
      </c>
      <c r="V544" s="123" t="str">
        <f>IF(R544="Bogs Ponds Streams","84",IF(R544="Coastal Areas","76",IF(R544="Meadows Dry Open","96", IF(R544="Forest &amp; Understory","90", IF(R544="Moist Open","88", IF(R544="Moist Shady","82", IF(R544="Sub-Alpine Slopes","80")))))))</f>
        <v>96</v>
      </c>
      <c r="W544" s="59">
        <v>20</v>
      </c>
      <c r="X544" s="59">
        <v>0</v>
      </c>
      <c r="Y544" s="59">
        <v>3500</v>
      </c>
      <c r="Z544" s="59" t="s">
        <v>2519</v>
      </c>
      <c r="AA544" s="59" t="s">
        <v>2518</v>
      </c>
      <c r="AB544" s="59">
        <v>6.8</v>
      </c>
      <c r="AC544" s="45">
        <f>C544+AK544+(0.1)*AL544</f>
        <v>39.1</v>
      </c>
      <c r="AD544" s="77">
        <v>131</v>
      </c>
      <c r="AE544" s="59">
        <v>5</v>
      </c>
      <c r="AF544" s="59">
        <v>5</v>
      </c>
      <c r="AG544" s="59">
        <v>1900</v>
      </c>
      <c r="AH544" s="77">
        <v>0</v>
      </c>
      <c r="AI544" s="59">
        <f ca="1">AJ544</f>
        <v>2019</v>
      </c>
      <c r="AJ544" s="18">
        <f ca="1">YEAR(TODAY())</f>
        <v>2019</v>
      </c>
      <c r="AK544" s="18">
        <v>30</v>
      </c>
      <c r="AL544" s="18">
        <v>11</v>
      </c>
      <c r="AM544" s="18">
        <v>1</v>
      </c>
      <c r="AN544" s="18">
        <v>1</v>
      </c>
      <c r="AO544" s="18">
        <v>5</v>
      </c>
      <c r="AP544" s="18">
        <v>1</v>
      </c>
      <c r="AQ544" s="18">
        <v>0</v>
      </c>
      <c r="AR544" s="18">
        <v>0</v>
      </c>
      <c r="AS544" s="18">
        <v>0</v>
      </c>
      <c r="AT544" s="18">
        <v>0</v>
      </c>
      <c r="AU544" s="18">
        <v>0</v>
      </c>
      <c r="AV544" s="18">
        <v>0</v>
      </c>
      <c r="AW544" s="18">
        <v>0</v>
      </c>
      <c r="AX544" s="18">
        <v>0</v>
      </c>
      <c r="AY544" s="233"/>
      <c r="AZ544" s="4"/>
      <c r="BA544" s="35" t="str">
        <f ca="1">IF(OR(S544="North America",S544="Rocky Mountain"), "Widespread",BC544)</f>
        <v>Abundant</v>
      </c>
      <c r="BB544" s="4"/>
      <c r="BC544" s="35" t="str">
        <f ca="1">IF(BE544&gt;2046, "Abundant",BE544)</f>
        <v>Abundant</v>
      </c>
      <c r="BD544" s="4"/>
      <c r="BE544" s="81">
        <f ca="1">YEAR($C$13)+(BG544*80)</f>
        <v>2109.1819636363634</v>
      </c>
      <c r="BF544" s="4"/>
      <c r="BG544" s="137">
        <f ca="1">BH544*$BH$14</f>
        <v>1.1272745454545454</v>
      </c>
      <c r="BH544" s="137">
        <f ca="1">(((BJ544+BK544+BM544+BN544)/4)*$BM$11)+(((BP544+BQ544)/2)*$BQ$11)+(((BU544+BV544+BW544)/3)*$BU$11)+(((BY544+BZ544+CA544+CB544+CC544)/5)*$CA$11)</f>
        <v>1.1272745454545454</v>
      </c>
      <c r="BI544" s="4"/>
      <c r="BJ544" s="33">
        <f>AP544/(AM544+AO544)</f>
        <v>0.16666666666666666</v>
      </c>
      <c r="BK544" s="33">
        <f>(AN544+AO544)/(AM544+AO544)</f>
        <v>1</v>
      </c>
      <c r="BL544" s="4"/>
      <c r="BM544" s="127">
        <f>CF544/102</f>
        <v>0.38333333333333336</v>
      </c>
      <c r="BN544" s="127">
        <f>C544/2</f>
        <v>4</v>
      </c>
      <c r="BO544" s="4"/>
      <c r="BP544" s="127">
        <f>(AK544)/($AW$6)</f>
        <v>0.30303030303030304</v>
      </c>
      <c r="BQ544" s="127">
        <f ca="1">(CH544-$AW$4)/((YEAR($C$13))-$AW$4)</f>
        <v>1</v>
      </c>
      <c r="BR544" s="127">
        <f>(AL544)/($AW$6)</f>
        <v>0.1111111111111111</v>
      </c>
      <c r="BS544" s="4"/>
      <c r="BT544" s="127"/>
      <c r="BU544" s="127">
        <f ca="1">(CG544-$AW$4)/((YEAR($C$13))-$AW$4)</f>
        <v>1</v>
      </c>
      <c r="BV544" s="127">
        <f>AE544/5</f>
        <v>1</v>
      </c>
      <c r="BW544" s="127">
        <f>AF544/5</f>
        <v>1</v>
      </c>
      <c r="BX544" s="4"/>
      <c r="BY544" s="148" t="str">
        <f>IF(E544="A",".98",IF(E544="B",".99",IF(E544="C","1.00",IF(E544="D","1.00" ))))</f>
        <v>1.00</v>
      </c>
      <c r="BZ544" s="127">
        <f>(CE544+7)/10</f>
        <v>1</v>
      </c>
      <c r="CA544" s="76" t="str">
        <f>IF(D544="Fern",".97",IF(D544="Grass",".99",IF(D544="Herb",".97",IF(D544="Shrub",".99",IF(D544="Tree","1.00",IF(D544="Vine",".98"))))))</f>
        <v>.97</v>
      </c>
      <c r="CB544" s="149" t="str">
        <f>IF(R544="Bogs Ponds Streams",".96", IF(R544="Coastal Areas",".97",IF(R544="Meadows Dry Open",".96",IF(R544="Forest &amp; Understory",".97",IF(R544="Moist Open",".98",IF(R544="Moist Shady",".96",IF(R544="Sub-Alpine","1.0")))))))</f>
        <v>.96</v>
      </c>
      <c r="CC544" s="76" t="str">
        <f>IF(S544="Local Endemic",".50",IF(S544="Regional Endemic",".70",IF(S544="Cascadia",".90",IF(S544="Rocky Mountain",".95",IF(S544="North America",".99")))))</f>
        <v>.90</v>
      </c>
      <c r="CD544" s="4"/>
      <c r="CE544" s="21">
        <f>IF(W544&gt;3,3,W544)</f>
        <v>3</v>
      </c>
      <c r="CF544" s="21">
        <f>IF(AC544&gt;102,102,AC544)</f>
        <v>39.1</v>
      </c>
      <c r="CG544" s="34">
        <f ca="1">IF(AI544&lt;$AW$4,$AW$4,AI544)</f>
        <v>2019</v>
      </c>
      <c r="CH544" s="34">
        <f ca="1">IF(AJ544&lt;$AW$4,$AW$4,AJ544)</f>
        <v>2019</v>
      </c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13"/>
    </row>
    <row r="545" spans="1:115" ht="15" customHeight="1" x14ac:dyDescent="0.3">
      <c r="A545" s="235"/>
      <c r="B545" s="218"/>
      <c r="C545" s="375">
        <v>1</v>
      </c>
      <c r="D545" s="67" t="s">
        <v>2505</v>
      </c>
      <c r="E545" s="67" t="s">
        <v>2502</v>
      </c>
      <c r="F545" s="403" t="str">
        <f ca="1">IF(BC545&lt;2025, "Extinct&lt; 6Yrs?",BA545)</f>
        <v>Widespread</v>
      </c>
      <c r="G545" s="376" t="s">
        <v>525</v>
      </c>
      <c r="H545" s="376" t="s">
        <v>4028</v>
      </c>
      <c r="I545" s="380" t="s">
        <v>550</v>
      </c>
      <c r="J545" s="378" t="s">
        <v>3565</v>
      </c>
      <c r="K545" s="378" t="s">
        <v>4077</v>
      </c>
      <c r="L545" s="63" t="s">
        <v>1582</v>
      </c>
      <c r="M545" s="64" t="s">
        <v>4619</v>
      </c>
      <c r="N545" s="64" t="s">
        <v>5516</v>
      </c>
      <c r="O545" s="64" t="s">
        <v>6415</v>
      </c>
      <c r="P545" s="61" t="s">
        <v>549</v>
      </c>
      <c r="Q545" s="67" t="s">
        <v>2552</v>
      </c>
      <c r="R545" s="61" t="s">
        <v>2498</v>
      </c>
      <c r="S545" s="61" t="s">
        <v>2495</v>
      </c>
      <c r="T545" s="134" t="str">
        <f>IF(R545="Bogs Ponds Streams","20",IF(R545="Coastal Areas","26",IF(R545="Meadows Dry Open","10",IF(R545="Forest &amp; Understory","14",IF(R545="Moist Open","12",IF(R545="Moist Shady","10",IF(R545="Sub-Alpine Slopes","0")))))))</f>
        <v>10</v>
      </c>
      <c r="U545" s="134" t="str">
        <f>IF(R545="Bogs Ponds Streams","52",IF(R545="Coastal Areas","51",IF(R545="Meadows Dry Open","53",IF(R545="Forest &amp; Understory","52",IF(R545="Moist Open","50",IF(R545="Moist Shady","46",IF(R545="Sub-Alpine Slopes","40")))))))</f>
        <v>46</v>
      </c>
      <c r="V545" s="134" t="str">
        <f>IF(R545="Bogs Ponds Streams","84",IF(R545="Coastal Areas","76",IF(R545="Meadows Dry Open","96", IF(R545="Forest &amp; Understory","90", IF(R545="Moist Open","88", IF(R545="Moist Shady","82", IF(R545="Sub-Alpine Slopes","80")))))))</f>
        <v>82</v>
      </c>
      <c r="W545" s="67">
        <v>1</v>
      </c>
      <c r="X545" s="67">
        <v>0</v>
      </c>
      <c r="Y545" s="67">
        <v>3500</v>
      </c>
      <c r="Z545" s="67" t="s">
        <v>2519</v>
      </c>
      <c r="AA545" s="67" t="s">
        <v>2518</v>
      </c>
      <c r="AB545" s="67">
        <v>6.8</v>
      </c>
      <c r="AC545" s="85">
        <f>C545+AK545+(0.1)*AL545</f>
        <v>35.1</v>
      </c>
      <c r="AD545" s="78">
        <v>92</v>
      </c>
      <c r="AE545" s="67">
        <v>5</v>
      </c>
      <c r="AF545" s="67">
        <v>5</v>
      </c>
      <c r="AG545" s="67">
        <v>1900</v>
      </c>
      <c r="AH545" s="78">
        <v>0</v>
      </c>
      <c r="AI545" s="67">
        <f>AJ545</f>
        <v>2004</v>
      </c>
      <c r="AJ545" s="69">
        <v>2004</v>
      </c>
      <c r="AK545" s="69">
        <v>33</v>
      </c>
      <c r="AL545" s="69">
        <v>11</v>
      </c>
      <c r="AM545" s="70">
        <v>5</v>
      </c>
      <c r="AN545" s="70">
        <v>0</v>
      </c>
      <c r="AO545" s="86">
        <v>0</v>
      </c>
      <c r="AP545" s="70">
        <v>0</v>
      </c>
      <c r="AQ545" s="70">
        <v>0</v>
      </c>
      <c r="AR545" s="70">
        <v>0</v>
      </c>
      <c r="AS545" s="86">
        <v>0</v>
      </c>
      <c r="AT545" s="70">
        <v>0</v>
      </c>
      <c r="AU545" s="70">
        <v>0</v>
      </c>
      <c r="AV545" s="70">
        <v>0</v>
      </c>
      <c r="AW545" s="86">
        <v>0</v>
      </c>
      <c r="AX545" s="70">
        <v>0</v>
      </c>
      <c r="AY545" s="233"/>
      <c r="AZ545" s="4"/>
      <c r="BA545" s="35" t="str">
        <f>IF(OR(S545="North America",S545="Rocky Mountain"), "Widespread",BC545)</f>
        <v>Widespread</v>
      </c>
      <c r="BB545" s="4"/>
      <c r="BC545" s="35">
        <f ca="1">IF(BE545&gt;2046, "Abundant",BE545)</f>
        <v>2038.9000784313725</v>
      </c>
      <c r="BD545" s="4"/>
      <c r="BE545" s="81">
        <f ca="1">YEAR($C$13)+(BG545*80)</f>
        <v>2038.9000784313725</v>
      </c>
      <c r="BF545" s="4"/>
      <c r="BG545" s="137">
        <f ca="1">BH545*$BH$14</f>
        <v>0.24875098039215685</v>
      </c>
      <c r="BH545" s="137">
        <f ca="1">(((BJ545+BK545+BM545+BN545)/4)*$BM$11)+(((BP545+BQ545)/2)*$BQ$11)+(((BU545+BV545+BW545)/3)*$BU$11)+(((BY545+BZ545+CA545+CB545+CC545)/5)*$CA$11)</f>
        <v>0.24875098039215685</v>
      </c>
      <c r="BI545" s="4"/>
      <c r="BJ545" s="33">
        <f>AP545/(AM545+AO545)</f>
        <v>0</v>
      </c>
      <c r="BK545" s="33">
        <f>(AN545+AO545)/(AM545+AO545)</f>
        <v>0</v>
      </c>
      <c r="BL545" s="4"/>
      <c r="BM545" s="127">
        <f>CF545/102</f>
        <v>0.34411764705882353</v>
      </c>
      <c r="BN545" s="127">
        <f>C545/2</f>
        <v>0.5</v>
      </c>
      <c r="BO545" s="4"/>
      <c r="BP545" s="127">
        <f>(AK545)/($AW$6)</f>
        <v>0.33333333333333331</v>
      </c>
      <c r="BQ545" s="127">
        <f ca="1">(CH545-$AW$4)/((YEAR($C$13))-$AW$4)</f>
        <v>0</v>
      </c>
      <c r="BR545" s="127">
        <f>(AL545)/($AW$6)</f>
        <v>0.1111111111111111</v>
      </c>
      <c r="BS545" s="4"/>
      <c r="BT545" s="127"/>
      <c r="BU545" s="127">
        <f ca="1">(CG545-$AW$4)/((YEAR($C$13))-$AW$4)</f>
        <v>0</v>
      </c>
      <c r="BV545" s="127">
        <f>AE545/5</f>
        <v>1</v>
      </c>
      <c r="BW545" s="127">
        <f>AF545/5</f>
        <v>1</v>
      </c>
      <c r="BX545" s="4"/>
      <c r="BY545" s="148" t="str">
        <f>IF(E545="A",".98",IF(E545="B",".99",IF(E545="C","1.00",IF(E545="D","1.00" ))))</f>
        <v>.98</v>
      </c>
      <c r="BZ545" s="127">
        <f>(CE545+7)/10</f>
        <v>0.8</v>
      </c>
      <c r="CA545" s="76" t="str">
        <f>IF(D545="Fern",".97",IF(D545="Grass",".99",IF(D545="Herb",".97",IF(D545="Shrub",".99",IF(D545="Tree","1.00",IF(D545="Vine",".98"))))))</f>
        <v>.97</v>
      </c>
      <c r="CB545" s="149" t="str">
        <f>IF(R545="Bogs Ponds Streams",".96", IF(R545="Coastal Areas",".97",IF(R545="Meadows Dry Open",".96",IF(R545="Forest &amp; Understory",".97",IF(R545="Moist Open",".98",IF(R545="Moist Shady",".96",IF(R545="Sub-Alpine","1.0")))))))</f>
        <v>.96</v>
      </c>
      <c r="CC545" s="76" t="str">
        <f>IF(S545="Local Endemic",".50",IF(S545="Regional Endemic",".70",IF(S545="Cascadia",".90",IF(S545="Rocky Mountain",".95",IF(S545="North America",".99")))))</f>
        <v>.99</v>
      </c>
      <c r="CD545" s="4"/>
      <c r="CE545" s="21">
        <f>IF(W545&gt;3,3,W545)</f>
        <v>1</v>
      </c>
      <c r="CF545" s="21">
        <f>IF(AC545&gt;102,102,AC545)</f>
        <v>35.1</v>
      </c>
      <c r="CG545" s="34">
        <f>IF(AI545&lt;$AW$4,$AW$4,AI545)</f>
        <v>2004</v>
      </c>
      <c r="CH545" s="34">
        <f>IF(AJ545&lt;$AW$4,$AW$4,AJ545)</f>
        <v>2004</v>
      </c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</row>
    <row r="546" spans="1:115" ht="15" customHeight="1" x14ac:dyDescent="0.3">
      <c r="A546" s="235"/>
      <c r="B546" s="218"/>
      <c r="C546" s="375">
        <v>1</v>
      </c>
      <c r="D546" s="67" t="s">
        <v>2505</v>
      </c>
      <c r="E546" s="67" t="s">
        <v>2502</v>
      </c>
      <c r="F546" s="403" t="str">
        <f ca="1">IF(BC546&lt;2025, "Extinct&lt; 6Yrs?",BA546)</f>
        <v>Widespread</v>
      </c>
      <c r="G546" s="376" t="s">
        <v>525</v>
      </c>
      <c r="H546" s="376" t="s">
        <v>4028</v>
      </c>
      <c r="I546" s="380" t="s">
        <v>286</v>
      </c>
      <c r="J546" s="378" t="s">
        <v>3564</v>
      </c>
      <c r="K546" s="378" t="s">
        <v>2795</v>
      </c>
      <c r="L546" s="63" t="s">
        <v>1583</v>
      </c>
      <c r="M546" s="64" t="s">
        <v>4620</v>
      </c>
      <c r="N546" s="64" t="s">
        <v>5517</v>
      </c>
      <c r="O546" s="64" t="s">
        <v>6416</v>
      </c>
      <c r="P546" s="61" t="s">
        <v>285</v>
      </c>
      <c r="Q546" s="67" t="s">
        <v>2552</v>
      </c>
      <c r="R546" s="61" t="s">
        <v>2498</v>
      </c>
      <c r="S546" s="61" t="s">
        <v>2495</v>
      </c>
      <c r="T546" s="134" t="str">
        <f>IF(R546="Bogs Ponds Streams","20",IF(R546="Coastal Areas","26",IF(R546="Meadows Dry Open","10",IF(R546="Forest &amp; Understory","14",IF(R546="Moist Open","12",IF(R546="Moist Shady","10",IF(R546="Sub-Alpine Slopes","0")))))))</f>
        <v>10</v>
      </c>
      <c r="U546" s="134" t="str">
        <f>IF(R546="Bogs Ponds Streams","52",IF(R546="Coastal Areas","51",IF(R546="Meadows Dry Open","53",IF(R546="Forest &amp; Understory","52",IF(R546="Moist Open","50",IF(R546="Moist Shady","46",IF(R546="Sub-Alpine Slopes","40")))))))</f>
        <v>46</v>
      </c>
      <c r="V546" s="134" t="str">
        <f>IF(R546="Bogs Ponds Streams","84",IF(R546="Coastal Areas","76",IF(R546="Meadows Dry Open","96", IF(R546="Forest &amp; Understory","90", IF(R546="Moist Open","88", IF(R546="Moist Shady","82", IF(R546="Sub-Alpine Slopes","80")))))))</f>
        <v>82</v>
      </c>
      <c r="W546" s="67">
        <v>1</v>
      </c>
      <c r="X546" s="67">
        <v>0</v>
      </c>
      <c r="Y546" s="67">
        <v>3500</v>
      </c>
      <c r="Z546" s="67" t="s">
        <v>2519</v>
      </c>
      <c r="AA546" s="67" t="s">
        <v>2518</v>
      </c>
      <c r="AB546" s="67">
        <v>6.8</v>
      </c>
      <c r="AC546" s="85">
        <f>C546+AK546+(0.1)*AL546</f>
        <v>11.2</v>
      </c>
      <c r="AD546" s="78">
        <v>80</v>
      </c>
      <c r="AE546" s="67">
        <v>5</v>
      </c>
      <c r="AF546" s="67">
        <v>5</v>
      </c>
      <c r="AG546" s="67">
        <v>1900</v>
      </c>
      <c r="AH546" s="78">
        <v>0</v>
      </c>
      <c r="AI546" s="67">
        <f>AJ546</f>
        <v>2004</v>
      </c>
      <c r="AJ546" s="69">
        <v>2004</v>
      </c>
      <c r="AK546" s="69">
        <v>8</v>
      </c>
      <c r="AL546" s="69">
        <v>22</v>
      </c>
      <c r="AM546" s="70">
        <v>5</v>
      </c>
      <c r="AN546" s="70">
        <v>0</v>
      </c>
      <c r="AO546" s="86">
        <v>0</v>
      </c>
      <c r="AP546" s="70">
        <v>0</v>
      </c>
      <c r="AQ546" s="70">
        <v>0</v>
      </c>
      <c r="AR546" s="70">
        <v>0</v>
      </c>
      <c r="AS546" s="86">
        <v>0</v>
      </c>
      <c r="AT546" s="70">
        <v>0</v>
      </c>
      <c r="AU546" s="70">
        <v>0</v>
      </c>
      <c r="AV546" s="70">
        <v>0</v>
      </c>
      <c r="AW546" s="86">
        <v>0</v>
      </c>
      <c r="AX546" s="70">
        <v>0</v>
      </c>
      <c r="AY546" s="233"/>
      <c r="AZ546" s="4"/>
      <c r="BA546" s="35" t="str">
        <f>IF(OR(S546="North America",S546="Rocky Mountain"), "Widespread",BC546)</f>
        <v>Widespread</v>
      </c>
      <c r="BB546" s="4"/>
      <c r="BC546" s="35">
        <f ca="1">IF(BE546&gt;2046, "Abundant",BE546)</f>
        <v>2033.0580106951872</v>
      </c>
      <c r="BD546" s="4"/>
      <c r="BE546" s="81">
        <f ca="1">YEAR($C$13)+(BG546*80)</f>
        <v>2033.0580106951872</v>
      </c>
      <c r="BF546" s="4"/>
      <c r="BG546" s="137">
        <f ca="1">BH546*$BH$14</f>
        <v>0.17572513368983958</v>
      </c>
      <c r="BH546" s="137">
        <f ca="1">(((BJ546+BK546+BM546+BN546)/4)*$BM$11)+(((BP546+BQ546)/2)*$BQ$11)+(((BU546+BV546+BW546)/3)*$BU$11)+(((BY546+BZ546+CA546+CB546+CC546)/5)*$CA$11)</f>
        <v>0.17572513368983958</v>
      </c>
      <c r="BI546" s="4"/>
      <c r="BJ546" s="33">
        <f>AP546/(AM546+AO546)</f>
        <v>0</v>
      </c>
      <c r="BK546" s="33">
        <f>(AN546+AO546)/(AM546+AO546)</f>
        <v>0</v>
      </c>
      <c r="BL546" s="4"/>
      <c r="BM546" s="127">
        <f>CF546/102</f>
        <v>0.10980392156862745</v>
      </c>
      <c r="BN546" s="127">
        <f>C546/2</f>
        <v>0.5</v>
      </c>
      <c r="BO546" s="4"/>
      <c r="BP546" s="127">
        <f>(AK546)/($AW$6)</f>
        <v>8.0808080808080815E-2</v>
      </c>
      <c r="BQ546" s="127">
        <f ca="1">(CH546-$AW$4)/((YEAR($C$13))-$AW$4)</f>
        <v>0</v>
      </c>
      <c r="BR546" s="127">
        <f>(AL546)/($AW$6)</f>
        <v>0.22222222222222221</v>
      </c>
      <c r="BS546" s="4"/>
      <c r="BT546" s="127"/>
      <c r="BU546" s="127">
        <f ca="1">(CG546-$AW$4)/((YEAR($C$13))-$AW$4)</f>
        <v>0</v>
      </c>
      <c r="BV546" s="127">
        <f>AE546/5</f>
        <v>1</v>
      </c>
      <c r="BW546" s="127">
        <f>AF546/5</f>
        <v>1</v>
      </c>
      <c r="BX546" s="4"/>
      <c r="BY546" s="148" t="str">
        <f>IF(E546="A",".98",IF(E546="B",".99",IF(E546="C","1.00",IF(E546="D","1.00" ))))</f>
        <v>.98</v>
      </c>
      <c r="BZ546" s="127">
        <f>(CE546+7)/10</f>
        <v>0.8</v>
      </c>
      <c r="CA546" s="76" t="str">
        <f>IF(D546="Fern",".97",IF(D546="Grass",".99",IF(D546="Herb",".97",IF(D546="Shrub",".99",IF(D546="Tree","1.00",IF(D546="Vine",".98"))))))</f>
        <v>.97</v>
      </c>
      <c r="CB546" s="149" t="str">
        <f>IF(R546="Bogs Ponds Streams",".96", IF(R546="Coastal Areas",".97",IF(R546="Meadows Dry Open",".96",IF(R546="Forest &amp; Understory",".97",IF(R546="Moist Open",".98",IF(R546="Moist Shady",".96",IF(R546="Sub-Alpine","1.0")))))))</f>
        <v>.96</v>
      </c>
      <c r="CC546" s="76" t="str">
        <f>IF(S546="Local Endemic",".50",IF(S546="Regional Endemic",".70",IF(S546="Cascadia",".90",IF(S546="Rocky Mountain",".95",IF(S546="North America",".99")))))</f>
        <v>.99</v>
      </c>
      <c r="CD546" s="4"/>
      <c r="CE546" s="21">
        <f>IF(W546&gt;3,3,W546)</f>
        <v>1</v>
      </c>
      <c r="CF546" s="21">
        <f>IF(AC546&gt;102,102,AC546)</f>
        <v>11.2</v>
      </c>
      <c r="CG546" s="34">
        <f>IF(AI546&lt;$AW$4,$AW$4,AI546)</f>
        <v>2004</v>
      </c>
      <c r="CH546" s="34">
        <f>IF(AJ546&lt;$AW$4,$AW$4,AJ546)</f>
        <v>2004</v>
      </c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</row>
    <row r="547" spans="1:115" ht="15" customHeight="1" x14ac:dyDescent="0.3">
      <c r="A547" s="235"/>
      <c r="B547" s="218"/>
      <c r="C547" s="225">
        <v>8</v>
      </c>
      <c r="D547" s="59" t="s">
        <v>2506</v>
      </c>
      <c r="E547" s="59" t="s">
        <v>2504</v>
      </c>
      <c r="F547" s="397" t="str">
        <f ca="1">IF(BC547&lt;2025, "Extinct&lt; 6Yrs?",BA547)</f>
        <v>Abundant</v>
      </c>
      <c r="G547" s="363" t="s">
        <v>525</v>
      </c>
      <c r="H547" s="363" t="s">
        <v>688</v>
      </c>
      <c r="I547" s="366" t="s">
        <v>652</v>
      </c>
      <c r="J547" s="365" t="s">
        <v>3424</v>
      </c>
      <c r="K547" s="365" t="s">
        <v>651</v>
      </c>
      <c r="L547" s="10" t="s">
        <v>2483</v>
      </c>
      <c r="M547" s="8" t="s">
        <v>4621</v>
      </c>
      <c r="N547" s="8" t="s">
        <v>5518</v>
      </c>
      <c r="O547" s="8" t="s">
        <v>6417</v>
      </c>
      <c r="P547" s="9" t="s">
        <v>653</v>
      </c>
      <c r="Q547" s="59" t="s">
        <v>2552</v>
      </c>
      <c r="R547" s="9" t="s">
        <v>2500</v>
      </c>
      <c r="S547" s="9" t="s">
        <v>2459</v>
      </c>
      <c r="T547" s="123" t="str">
        <f>IF(R547="Bogs Ponds Streams","20",IF(R547="Coastal Areas","26",IF(R547="Meadows Dry Open","10",IF(R547="Forest &amp; Understory","14",IF(R547="Moist Open","12",IF(R547="Moist Shady","10",IF(R547="Sub-Alpine Slopes","0")))))))</f>
        <v>10</v>
      </c>
      <c r="U547" s="123" t="str">
        <f>IF(R547="Bogs Ponds Streams","52",IF(R547="Coastal Areas","51",IF(R547="Meadows Dry Open","53",IF(R547="Forest &amp; Understory","52",IF(R547="Moist Open","50",IF(R547="Moist Shady","46",IF(R547="Sub-Alpine Slopes","40")))))))</f>
        <v>53</v>
      </c>
      <c r="V547" s="123" t="str">
        <f>IF(R547="Bogs Ponds Streams","84",IF(R547="Coastal Areas","76",IF(R547="Meadows Dry Open","96", IF(R547="Forest &amp; Understory","90", IF(R547="Moist Open","88", IF(R547="Moist Shady","82", IF(R547="Sub-Alpine Slopes","80")))))))</f>
        <v>96</v>
      </c>
      <c r="W547" s="59">
        <v>20</v>
      </c>
      <c r="X547" s="59">
        <v>0</v>
      </c>
      <c r="Y547" s="59">
        <v>3500</v>
      </c>
      <c r="Z547" s="59" t="s">
        <v>2519</v>
      </c>
      <c r="AA547" s="59" t="s">
        <v>2518</v>
      </c>
      <c r="AB547" s="59">
        <v>6.8</v>
      </c>
      <c r="AC547" s="45">
        <f>C547+AK547+(0.1)*AL547</f>
        <v>30</v>
      </c>
      <c r="AD547" s="77">
        <v>21</v>
      </c>
      <c r="AE547" s="59">
        <v>5</v>
      </c>
      <c r="AF547" s="59">
        <v>5</v>
      </c>
      <c r="AG547" s="59">
        <v>1900</v>
      </c>
      <c r="AH547" s="77">
        <v>0</v>
      </c>
      <c r="AI547" s="59">
        <f ca="1">AJ547</f>
        <v>2019</v>
      </c>
      <c r="AJ547" s="18">
        <f ca="1">YEAR(TODAY())</f>
        <v>2019</v>
      </c>
      <c r="AK547" s="18">
        <v>22</v>
      </c>
      <c r="AL547" s="18">
        <v>0</v>
      </c>
      <c r="AM547" s="18">
        <v>1</v>
      </c>
      <c r="AN547" s="18">
        <v>1</v>
      </c>
      <c r="AO547" s="25">
        <v>0</v>
      </c>
      <c r="AP547" s="18">
        <v>1</v>
      </c>
      <c r="AQ547" s="18">
        <v>0</v>
      </c>
      <c r="AR547" s="18">
        <v>0</v>
      </c>
      <c r="AS547" s="18">
        <v>0</v>
      </c>
      <c r="AT547" s="18">
        <v>0</v>
      </c>
      <c r="AU547" s="18">
        <v>0</v>
      </c>
      <c r="AV547" s="18">
        <v>0</v>
      </c>
      <c r="AW547" s="18">
        <v>0</v>
      </c>
      <c r="AX547" s="18">
        <v>0</v>
      </c>
      <c r="AY547" s="233"/>
      <c r="AZ547" s="4"/>
      <c r="BA547" s="35" t="str">
        <f ca="1">IF(OR(S547="North America",S547="Rocky Mountain"), "Widespread",BC547)</f>
        <v>Abundant</v>
      </c>
      <c r="BB547" s="4"/>
      <c r="BC547" s="35" t="str">
        <f ca="1">IF(BE547&gt;2046, "Abundant",BE547)</f>
        <v>Abundant</v>
      </c>
      <c r="BD547" s="4"/>
      <c r="BE547" s="81">
        <f ca="1">YEAR($C$13)+(BG547*80)</f>
        <v>2117.1480784313726</v>
      </c>
      <c r="BF547" s="4"/>
      <c r="BG547" s="137">
        <f ca="1">BH547*$BH$14</f>
        <v>1.226850980392157</v>
      </c>
      <c r="BH547" s="137">
        <f ca="1">(((BJ547+BK547+BM547+BN547)/4)*$BM$11)+(((BP547+BQ547)/2)*$BQ$11)+(((BU547+BV547+BW547)/3)*$BU$11)+(((BY547+BZ547+CA547+CB547+CC547)/5)*$CA$11)</f>
        <v>1.226850980392157</v>
      </c>
      <c r="BI547" s="4"/>
      <c r="BJ547" s="33">
        <f>AP547/(AM547+AO547)</f>
        <v>1</v>
      </c>
      <c r="BK547" s="33">
        <f>(AN547+AO547)/(AM547+AO547)</f>
        <v>1</v>
      </c>
      <c r="BL547" s="4"/>
      <c r="BM547" s="127">
        <f>CF547/102</f>
        <v>0.29411764705882354</v>
      </c>
      <c r="BN547" s="127">
        <f>C547/2</f>
        <v>4</v>
      </c>
      <c r="BO547" s="4"/>
      <c r="BP547" s="127">
        <f>(AK547)/($AW$6)</f>
        <v>0.22222222222222221</v>
      </c>
      <c r="BQ547" s="127">
        <f ca="1">(CH547-$AW$4)/((YEAR($C$13))-$AW$4)</f>
        <v>1</v>
      </c>
      <c r="BR547" s="127">
        <f>(AL547)/($AW$6)</f>
        <v>0</v>
      </c>
      <c r="BS547" s="4"/>
      <c r="BT547" s="127"/>
      <c r="BU547" s="127">
        <f ca="1">(CG547-$AW$4)/((YEAR($C$13))-$AW$4)</f>
        <v>1</v>
      </c>
      <c r="BV547" s="127">
        <f>AE547/5</f>
        <v>1</v>
      </c>
      <c r="BW547" s="127">
        <f>AF547/5</f>
        <v>1</v>
      </c>
      <c r="BX547" s="4"/>
      <c r="BY547" s="148" t="str">
        <f>IF(E547="A",".98",IF(E547="B",".99",IF(E547="C","1.00",IF(E547="D","1.00" ))))</f>
        <v>1.00</v>
      </c>
      <c r="BZ547" s="127">
        <f>(CE547+7)/10</f>
        <v>1</v>
      </c>
      <c r="CA547" s="76" t="str">
        <f>IF(D547="Fern",".97",IF(D547="Grass",".99",IF(D547="Herb",".97",IF(D547="Shrub",".99",IF(D547="Tree","1.00",IF(D547="Vine",".98"))))))</f>
        <v>.99</v>
      </c>
      <c r="CB547" s="149" t="str">
        <f>IF(R547="Bogs Ponds Streams",".96", IF(R547="Coastal Areas",".97",IF(R547="Meadows Dry Open",".96",IF(R547="Forest &amp; Understory",".97",IF(R547="Moist Open",".98",IF(R547="Moist Shady",".96",IF(R547="Sub-Alpine","1.0")))))))</f>
        <v>.96</v>
      </c>
      <c r="CC547" s="76" t="str">
        <f>IF(S547="Local Endemic",".50",IF(S547="Regional Endemic",".70",IF(S547="Cascadia",".90",IF(S547="Rocky Mountain",".95",IF(S547="North America",".99")))))</f>
        <v>.90</v>
      </c>
      <c r="CD547" s="4"/>
      <c r="CE547" s="21">
        <f>IF(W547&gt;3,3,W547)</f>
        <v>3</v>
      </c>
      <c r="CF547" s="21">
        <f>IF(AC547&gt;102,102,AC547)</f>
        <v>30</v>
      </c>
      <c r="CG547" s="34">
        <f ca="1">IF(AI547&lt;$AW$4,$AW$4,AI547)</f>
        <v>2019</v>
      </c>
      <c r="CH547" s="34">
        <f ca="1">IF(AJ547&lt;$AW$4,$AW$4,AJ547)</f>
        <v>2019</v>
      </c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</row>
    <row r="548" spans="1:115" ht="15" customHeight="1" x14ac:dyDescent="0.3">
      <c r="A548" s="235"/>
      <c r="B548" s="218"/>
      <c r="C548" s="225">
        <v>8</v>
      </c>
      <c r="D548" s="59" t="s">
        <v>2506</v>
      </c>
      <c r="E548" s="59" t="s">
        <v>2504</v>
      </c>
      <c r="F548" s="397" t="str">
        <f ca="1">IF(BC548&lt;2025, "Extinct&lt; 6Yrs?",BA548)</f>
        <v>Widespread</v>
      </c>
      <c r="G548" s="363" t="s">
        <v>525</v>
      </c>
      <c r="H548" s="363" t="s">
        <v>680</v>
      </c>
      <c r="I548" s="366" t="s">
        <v>655</v>
      </c>
      <c r="J548" s="365" t="s">
        <v>3425</v>
      </c>
      <c r="K548" s="365" t="s">
        <v>654</v>
      </c>
      <c r="L548" s="10" t="s">
        <v>2207</v>
      </c>
      <c r="M548" s="8" t="s">
        <v>4622</v>
      </c>
      <c r="N548" s="8" t="s">
        <v>5519</v>
      </c>
      <c r="O548" s="8" t="s">
        <v>6418</v>
      </c>
      <c r="P548" s="9" t="s">
        <v>653</v>
      </c>
      <c r="Q548" s="59" t="s">
        <v>2552</v>
      </c>
      <c r="R548" s="9" t="s">
        <v>2499</v>
      </c>
      <c r="S548" s="9" t="s">
        <v>2495</v>
      </c>
      <c r="T548" s="123" t="str">
        <f>IF(R548="Bogs Ponds Streams","20",IF(R548="Coastal Areas","26",IF(R548="Meadows Dry Open","10",IF(R548="Forest &amp; Understory","14",IF(R548="Moist Open","12",IF(R548="Moist Shady","10",IF(R548="Sub-Alpine Slopes","0")))))))</f>
        <v>20</v>
      </c>
      <c r="U548" s="123" t="str">
        <f>IF(R548="Bogs Ponds Streams","52",IF(R548="Coastal Areas","51",IF(R548="Meadows Dry Open","53",IF(R548="Forest &amp; Understory","52",IF(R548="Moist Open","50",IF(R548="Moist Shady","46",IF(R548="Sub-Alpine Slopes","40")))))))</f>
        <v>52</v>
      </c>
      <c r="V548" s="123" t="str">
        <f>IF(R548="Bogs Ponds Streams","84",IF(R548="Coastal Areas","76",IF(R548="Meadows Dry Open","96", IF(R548="Forest &amp; Understory","90", IF(R548="Moist Open","88", IF(R548="Moist Shady","82", IF(R548="Sub-Alpine Slopes","80")))))))</f>
        <v>84</v>
      </c>
      <c r="W548" s="59">
        <v>20</v>
      </c>
      <c r="X548" s="59">
        <v>0</v>
      </c>
      <c r="Y548" s="59">
        <v>3500</v>
      </c>
      <c r="Z548" s="59" t="s">
        <v>2519</v>
      </c>
      <c r="AA548" s="59" t="s">
        <v>2518</v>
      </c>
      <c r="AB548" s="59">
        <v>6.8</v>
      </c>
      <c r="AC548" s="45">
        <f>C548+AK548+(0.1)*AL548</f>
        <v>34</v>
      </c>
      <c r="AD548" s="77">
        <v>68</v>
      </c>
      <c r="AE548" s="59">
        <v>5</v>
      </c>
      <c r="AF548" s="59">
        <v>5</v>
      </c>
      <c r="AG548" s="59">
        <v>1900</v>
      </c>
      <c r="AH548" s="77">
        <v>0</v>
      </c>
      <c r="AI548" s="59">
        <f ca="1">AJ548</f>
        <v>2019</v>
      </c>
      <c r="AJ548" s="18">
        <f ca="1">YEAR(TODAY())</f>
        <v>2019</v>
      </c>
      <c r="AK548" s="18">
        <v>26</v>
      </c>
      <c r="AL548" s="18">
        <v>0</v>
      </c>
      <c r="AM548" s="18">
        <v>1</v>
      </c>
      <c r="AN548" s="18">
        <v>1</v>
      </c>
      <c r="AO548" s="18">
        <v>5</v>
      </c>
      <c r="AP548" s="18">
        <v>1</v>
      </c>
      <c r="AQ548" s="18">
        <v>0</v>
      </c>
      <c r="AR548" s="18">
        <v>0</v>
      </c>
      <c r="AS548" s="18">
        <v>0</v>
      </c>
      <c r="AT548" s="18">
        <v>0</v>
      </c>
      <c r="AU548" s="18">
        <v>0</v>
      </c>
      <c r="AV548" s="18">
        <v>0</v>
      </c>
      <c r="AW548" s="18">
        <v>0</v>
      </c>
      <c r="AX548" s="18">
        <v>0</v>
      </c>
      <c r="AY548" s="233"/>
      <c r="AZ548" s="4"/>
      <c r="BA548" s="35" t="str">
        <f>IF(OR(S548="North America",S548="Rocky Mountain"), "Widespread",BC548)</f>
        <v>Widespread</v>
      </c>
      <c r="BB548" s="4"/>
      <c r="BC548" s="35" t="str">
        <f ca="1">IF(BE548&gt;2046, "Abundant",BE548)</f>
        <v>Abundant</v>
      </c>
      <c r="BD548" s="4"/>
      <c r="BE548" s="81">
        <f ca="1">YEAR($C$13)+(BG548*80)</f>
        <v>2108.1323151515153</v>
      </c>
      <c r="BF548" s="4"/>
      <c r="BG548" s="137">
        <f ca="1">BH548*$BH$14</f>
        <v>1.1141539393939395</v>
      </c>
      <c r="BH548" s="137">
        <f ca="1">(((BJ548+BK548+BM548+BN548)/4)*$BM$11)+(((BP548+BQ548)/2)*$BQ$11)+(((BU548+BV548+BW548)/3)*$BU$11)+(((BY548+BZ548+CA548+CB548+CC548)/5)*$CA$11)</f>
        <v>1.1141539393939395</v>
      </c>
      <c r="BI548" s="4"/>
      <c r="BJ548" s="33">
        <f>AP548/(AM548+AO548)</f>
        <v>0.16666666666666666</v>
      </c>
      <c r="BK548" s="33">
        <f>(AN548+AO548)/(AM548+AO548)</f>
        <v>1</v>
      </c>
      <c r="BL548" s="4"/>
      <c r="BM548" s="127">
        <f>CF548/102</f>
        <v>0.33333333333333331</v>
      </c>
      <c r="BN548" s="127">
        <f>C548/2</f>
        <v>4</v>
      </c>
      <c r="BO548" s="4"/>
      <c r="BP548" s="127">
        <f>(AK548)/($AW$6)</f>
        <v>0.26262626262626265</v>
      </c>
      <c r="BQ548" s="127">
        <f ca="1">(CH548-$AW$4)/((YEAR($C$13))-$AW$4)</f>
        <v>1</v>
      </c>
      <c r="BR548" s="127">
        <f>(AL548)/($AW$6)</f>
        <v>0</v>
      </c>
      <c r="BS548" s="4"/>
      <c r="BT548" s="127"/>
      <c r="BU548" s="127">
        <f ca="1">(CG548-$AW$4)/((YEAR($C$13))-$AW$4)</f>
        <v>1</v>
      </c>
      <c r="BV548" s="127">
        <f>AE548/5</f>
        <v>1</v>
      </c>
      <c r="BW548" s="127">
        <f>AF548/5</f>
        <v>1</v>
      </c>
      <c r="BX548" s="4"/>
      <c r="BY548" s="148" t="str">
        <f>IF(E548="A",".98",IF(E548="B",".99",IF(E548="C","1.00",IF(E548="D","1.00" ))))</f>
        <v>1.00</v>
      </c>
      <c r="BZ548" s="127">
        <f>(CE548+7)/10</f>
        <v>1</v>
      </c>
      <c r="CA548" s="76" t="str">
        <f>IF(D548="Fern",".97",IF(D548="Grass",".99",IF(D548="Herb",".97",IF(D548="Shrub",".99",IF(D548="Tree","1.00",IF(D548="Vine",".98"))))))</f>
        <v>.99</v>
      </c>
      <c r="CB548" s="149" t="str">
        <f>IF(R548="Bogs Ponds Streams",".96", IF(R548="Coastal Areas",".97",IF(R548="Meadows Dry Open",".96",IF(R548="Forest &amp; Understory",".97",IF(R548="Moist Open",".98",IF(R548="Moist Shady",".96",IF(R548="Sub-Alpine","1.0")))))))</f>
        <v>.96</v>
      </c>
      <c r="CC548" s="76" t="str">
        <f>IF(S548="Local Endemic",".50",IF(S548="Regional Endemic",".70",IF(S548="Cascadia",".90",IF(S548="Rocky Mountain",".95",IF(S548="North America",".99")))))</f>
        <v>.99</v>
      </c>
      <c r="CD548" s="4"/>
      <c r="CE548" s="21">
        <f>IF(W548&gt;3,3,W548)</f>
        <v>3</v>
      </c>
      <c r="CF548" s="21">
        <f>IF(AC548&gt;102,102,AC548)</f>
        <v>34</v>
      </c>
      <c r="CG548" s="34">
        <f ca="1">IF(AI548&lt;$AW$4,$AW$4,AI548)</f>
        <v>2019</v>
      </c>
      <c r="CH548" s="34">
        <f ca="1">IF(AJ548&lt;$AW$4,$AW$4,AJ548)</f>
        <v>2019</v>
      </c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</row>
    <row r="549" spans="1:115" ht="15" customHeight="1" x14ac:dyDescent="0.3">
      <c r="A549" s="235"/>
      <c r="B549" s="218"/>
      <c r="C549" s="375">
        <v>1</v>
      </c>
      <c r="D549" s="67" t="s">
        <v>2505</v>
      </c>
      <c r="E549" s="67" t="s">
        <v>2501</v>
      </c>
      <c r="F549" s="403">
        <f ca="1">IF(BC549&lt;2025, "Extinct&lt; 6Yrs?",BA549)</f>
        <v>2032.1477390374332</v>
      </c>
      <c r="G549" s="376" t="s">
        <v>525</v>
      </c>
      <c r="H549" s="376" t="s">
        <v>4028</v>
      </c>
      <c r="I549" s="380" t="s">
        <v>3092</v>
      </c>
      <c r="J549" s="378" t="s">
        <v>3563</v>
      </c>
      <c r="K549" s="378" t="s">
        <v>1058</v>
      </c>
      <c r="L549" s="63" t="s">
        <v>1584</v>
      </c>
      <c r="M549" s="64" t="s">
        <v>4623</v>
      </c>
      <c r="N549" s="64" t="s">
        <v>5520</v>
      </c>
      <c r="O549" s="64" t="s">
        <v>6419</v>
      </c>
      <c r="P549" s="61" t="s">
        <v>622</v>
      </c>
      <c r="Q549" s="67" t="s">
        <v>2552</v>
      </c>
      <c r="R549" s="61" t="s">
        <v>2499</v>
      </c>
      <c r="S549" s="61" t="s">
        <v>2459</v>
      </c>
      <c r="T549" s="134" t="str">
        <f>IF(R549="Bogs Ponds Streams","20",IF(R549="Coastal Areas","26",IF(R549="Meadows Dry Open","10",IF(R549="Forest &amp; Understory","14",IF(R549="Moist Open","12",IF(R549="Moist Shady","10",IF(R549="Sub-Alpine Slopes","0")))))))</f>
        <v>20</v>
      </c>
      <c r="U549" s="134" t="str">
        <f>IF(R549="Bogs Ponds Streams","52",IF(R549="Coastal Areas","51",IF(R549="Meadows Dry Open","53",IF(R549="Forest &amp; Understory","52",IF(R549="Moist Open","50",IF(R549="Moist Shady","46",IF(R549="Sub-Alpine Slopes","40")))))))</f>
        <v>52</v>
      </c>
      <c r="V549" s="134" t="str">
        <f>IF(R549="Bogs Ponds Streams","84",IF(R549="Coastal Areas","76",IF(R549="Meadows Dry Open","96", IF(R549="Forest &amp; Understory","90", IF(R549="Moist Open","88", IF(R549="Moist Shady","82", IF(R549="Sub-Alpine Slopes","80")))))))</f>
        <v>84</v>
      </c>
      <c r="W549" s="67">
        <v>20</v>
      </c>
      <c r="X549" s="67">
        <v>0</v>
      </c>
      <c r="Y549" s="67">
        <v>3500</v>
      </c>
      <c r="Z549" s="67" t="s">
        <v>2519</v>
      </c>
      <c r="AA549" s="67" t="s">
        <v>2518</v>
      </c>
      <c r="AB549" s="67">
        <v>6.8</v>
      </c>
      <c r="AC549" s="85">
        <f>C549+AK549+(0.1)*AL549</f>
        <v>6.2</v>
      </c>
      <c r="AD549" s="78">
        <v>23</v>
      </c>
      <c r="AE549" s="67">
        <v>5</v>
      </c>
      <c r="AF549" s="67">
        <v>5</v>
      </c>
      <c r="AG549" s="67">
        <v>1900</v>
      </c>
      <c r="AH549" s="78">
        <v>0</v>
      </c>
      <c r="AI549" s="67">
        <f>AJ549</f>
        <v>2004</v>
      </c>
      <c r="AJ549" s="69">
        <v>2004</v>
      </c>
      <c r="AK549" s="69">
        <v>5</v>
      </c>
      <c r="AL549" s="69">
        <v>2</v>
      </c>
      <c r="AM549" s="70">
        <v>5</v>
      </c>
      <c r="AN549" s="70">
        <v>0</v>
      </c>
      <c r="AO549" s="86">
        <v>0</v>
      </c>
      <c r="AP549" s="70">
        <v>0</v>
      </c>
      <c r="AQ549" s="70">
        <v>0</v>
      </c>
      <c r="AR549" s="70">
        <v>0</v>
      </c>
      <c r="AS549" s="86">
        <v>0</v>
      </c>
      <c r="AT549" s="70">
        <v>0</v>
      </c>
      <c r="AU549" s="70">
        <v>0</v>
      </c>
      <c r="AV549" s="70">
        <v>0</v>
      </c>
      <c r="AW549" s="86">
        <v>0</v>
      </c>
      <c r="AX549" s="70">
        <v>0</v>
      </c>
      <c r="AY549" s="233"/>
      <c r="AZ549" s="4"/>
      <c r="BA549" s="35">
        <f ca="1">IF(OR(S549="North America",S549="Rocky Mountain"), "Widespread",BC549)</f>
        <v>2032.1477390374332</v>
      </c>
      <c r="BB549" s="4"/>
      <c r="BC549" s="35">
        <f ca="1">IF(BE549&gt;2046, "Abundant",BE549)</f>
        <v>2032.1477390374332</v>
      </c>
      <c r="BD549" s="4"/>
      <c r="BE549" s="81">
        <f ca="1">YEAR($C$13)+(BG549*80)</f>
        <v>2032.1477390374332</v>
      </c>
      <c r="BF549" s="4"/>
      <c r="BG549" s="137">
        <f ca="1">BH549*$BH$14</f>
        <v>0.16434673796791444</v>
      </c>
      <c r="BH549" s="137">
        <f ca="1">(((BJ549+BK549+BM549+BN549)/4)*$BM$11)+(((BP549+BQ549)/2)*$BQ$11)+(((BU549+BV549+BW549)/3)*$BU$11)+(((BY549+BZ549+CA549+CB549+CC549)/5)*$CA$11)</f>
        <v>0.16434673796791444</v>
      </c>
      <c r="BI549" s="4"/>
      <c r="BJ549" s="33">
        <f>AP549/(AM549+AO549)</f>
        <v>0</v>
      </c>
      <c r="BK549" s="33">
        <f>(AN549+AO549)/(AM549+AO549)</f>
        <v>0</v>
      </c>
      <c r="BL549" s="4"/>
      <c r="BM549" s="127">
        <f>CF549/102</f>
        <v>6.0784313725490195E-2</v>
      </c>
      <c r="BN549" s="127">
        <f>C549/2</f>
        <v>0.5</v>
      </c>
      <c r="BO549" s="4"/>
      <c r="BP549" s="127">
        <f>(AK549)/($AW$6)</f>
        <v>5.0505050505050504E-2</v>
      </c>
      <c r="BQ549" s="127">
        <f ca="1">(CH549-$AW$4)/((YEAR($C$13))-$AW$4)</f>
        <v>0</v>
      </c>
      <c r="BR549" s="127">
        <f>(AL549)/($AW$6)</f>
        <v>2.0202020202020204E-2</v>
      </c>
      <c r="BS549" s="4"/>
      <c r="BT549" s="127"/>
      <c r="BU549" s="127">
        <f ca="1">(CG549-$AW$4)/((YEAR($C$13))-$AW$4)</f>
        <v>0</v>
      </c>
      <c r="BV549" s="127">
        <f>AE549/5</f>
        <v>1</v>
      </c>
      <c r="BW549" s="127">
        <f>AF549/5</f>
        <v>1</v>
      </c>
      <c r="BX549" s="4"/>
      <c r="BY549" s="148" t="str">
        <f>IF(E549="A",".98",IF(E549="B",".99",IF(E549="C","1.00",IF(E549="D","1.00" ))))</f>
        <v>1.00</v>
      </c>
      <c r="BZ549" s="127">
        <f>(CE549+7)/10</f>
        <v>1</v>
      </c>
      <c r="CA549" s="76" t="str">
        <f>IF(D549="Fern",".97",IF(D549="Grass",".99",IF(D549="Herb",".97",IF(D549="Shrub",".99",IF(D549="Tree","1.00",IF(D549="Vine",".98"))))))</f>
        <v>.97</v>
      </c>
      <c r="CB549" s="149" t="str">
        <f>IF(R549="Bogs Ponds Streams",".96", IF(R549="Coastal Areas",".97",IF(R549="Meadows Dry Open",".96",IF(R549="Forest &amp; Understory",".97",IF(R549="Moist Open",".98",IF(R549="Moist Shady",".96",IF(R549="Sub-Alpine","1.0")))))))</f>
        <v>.96</v>
      </c>
      <c r="CC549" s="76" t="str">
        <f>IF(S549="Local Endemic",".50",IF(S549="Regional Endemic",".70",IF(S549="Cascadia",".90",IF(S549="Rocky Mountain",".95",IF(S549="North America",".99")))))</f>
        <v>.90</v>
      </c>
      <c r="CD549" s="4"/>
      <c r="CE549" s="21">
        <f>IF(W549&gt;3,3,W549)</f>
        <v>3</v>
      </c>
      <c r="CF549" s="21">
        <f>IF(AC549&gt;102,102,AC549)</f>
        <v>6.2</v>
      </c>
      <c r="CG549" s="34">
        <f>IF(AI549&lt;$AW$4,$AW$4,AI549)</f>
        <v>2004</v>
      </c>
      <c r="CH549" s="34">
        <f>IF(AJ549&lt;$AW$4,$AW$4,AJ549)</f>
        <v>2004</v>
      </c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</row>
    <row r="550" spans="1:115" ht="15" customHeight="1" x14ac:dyDescent="0.3">
      <c r="A550" s="235"/>
      <c r="B550" s="218"/>
      <c r="C550" s="375">
        <v>1</v>
      </c>
      <c r="D550" s="67" t="s">
        <v>2505</v>
      </c>
      <c r="E550" s="67" t="s">
        <v>2501</v>
      </c>
      <c r="F550" s="403">
        <f ca="1">IF(BC550&lt;2025, "Extinct&lt; 6Yrs?",BA550)</f>
        <v>2031.1805376114082</v>
      </c>
      <c r="G550" s="376" t="s">
        <v>525</v>
      </c>
      <c r="H550" s="376" t="s">
        <v>4028</v>
      </c>
      <c r="I550" s="380" t="s">
        <v>623</v>
      </c>
      <c r="J550" s="378" t="s">
        <v>3562</v>
      </c>
      <c r="K550" s="378" t="s">
        <v>1059</v>
      </c>
      <c r="L550" s="63" t="s">
        <v>1585</v>
      </c>
      <c r="M550" s="64" t="s">
        <v>4624</v>
      </c>
      <c r="N550" s="64" t="s">
        <v>5521</v>
      </c>
      <c r="O550" s="64" t="s">
        <v>6420</v>
      </c>
      <c r="P550" s="61" t="s">
        <v>622</v>
      </c>
      <c r="Q550" s="67" t="s">
        <v>2552</v>
      </c>
      <c r="R550" s="61" t="s">
        <v>2499</v>
      </c>
      <c r="S550" s="61" t="s">
        <v>2459</v>
      </c>
      <c r="T550" s="134" t="str">
        <f>IF(R550="Bogs Ponds Streams","20",IF(R550="Coastal Areas","26",IF(R550="Meadows Dry Open","10",IF(R550="Forest &amp; Understory","14",IF(R550="Moist Open","12",IF(R550="Moist Shady","10",IF(R550="Sub-Alpine Slopes","0")))))))</f>
        <v>20</v>
      </c>
      <c r="U550" s="134" t="str">
        <f>IF(R550="Bogs Ponds Streams","52",IF(R550="Coastal Areas","51",IF(R550="Meadows Dry Open","53",IF(R550="Forest &amp; Understory","52",IF(R550="Moist Open","50",IF(R550="Moist Shady","46",IF(R550="Sub-Alpine Slopes","40")))))))</f>
        <v>52</v>
      </c>
      <c r="V550" s="134" t="str">
        <f>IF(R550="Bogs Ponds Streams","84",IF(R550="Coastal Areas","76",IF(R550="Meadows Dry Open","96", IF(R550="Forest &amp; Understory","90", IF(R550="Moist Open","88", IF(R550="Moist Shady","82", IF(R550="Sub-Alpine Slopes","80")))))))</f>
        <v>84</v>
      </c>
      <c r="W550" s="67">
        <v>20</v>
      </c>
      <c r="X550" s="67">
        <v>0</v>
      </c>
      <c r="Y550" s="67">
        <v>3500</v>
      </c>
      <c r="Z550" s="67" t="s">
        <v>2519</v>
      </c>
      <c r="AA550" s="67" t="s">
        <v>2518</v>
      </c>
      <c r="AB550" s="67">
        <v>6.8</v>
      </c>
      <c r="AC550" s="85">
        <f>C550+AK550+(0.1)*AL550</f>
        <v>2.1</v>
      </c>
      <c r="AD550" s="78">
        <v>19</v>
      </c>
      <c r="AE550" s="67">
        <v>5</v>
      </c>
      <c r="AF550" s="67">
        <v>5</v>
      </c>
      <c r="AG550" s="67">
        <v>1900</v>
      </c>
      <c r="AH550" s="78">
        <v>0</v>
      </c>
      <c r="AI550" s="67">
        <f>AJ550</f>
        <v>2004</v>
      </c>
      <c r="AJ550" s="69">
        <v>2004</v>
      </c>
      <c r="AK550" s="69">
        <v>1</v>
      </c>
      <c r="AL550" s="69">
        <v>1</v>
      </c>
      <c r="AM550" s="70">
        <v>5</v>
      </c>
      <c r="AN550" s="70">
        <v>0</v>
      </c>
      <c r="AO550" s="86">
        <v>0</v>
      </c>
      <c r="AP550" s="70">
        <v>0</v>
      </c>
      <c r="AQ550" s="70">
        <v>0</v>
      </c>
      <c r="AR550" s="70">
        <v>0</v>
      </c>
      <c r="AS550" s="86">
        <v>0</v>
      </c>
      <c r="AT550" s="70">
        <v>0</v>
      </c>
      <c r="AU550" s="70">
        <v>0</v>
      </c>
      <c r="AV550" s="70">
        <v>0</v>
      </c>
      <c r="AW550" s="86">
        <v>0</v>
      </c>
      <c r="AX550" s="70">
        <v>0</v>
      </c>
      <c r="AY550" s="233"/>
      <c r="AZ550" s="4"/>
      <c r="BA550" s="35">
        <f ca="1">IF(OR(S550="North America",S550="Rocky Mountain"), "Widespread",BC550)</f>
        <v>2031.1805376114082</v>
      </c>
      <c r="BB550" s="4"/>
      <c r="BC550" s="35">
        <f ca="1">IF(BE550&gt;2046, "Abundant",BE550)</f>
        <v>2031.1805376114082</v>
      </c>
      <c r="BD550" s="4"/>
      <c r="BE550" s="81">
        <f ca="1">YEAR($C$13)+(BG550*80)</f>
        <v>2031.1805376114082</v>
      </c>
      <c r="BF550" s="4"/>
      <c r="BG550" s="137">
        <f ca="1">BH550*$BH$14</f>
        <v>0.1522567201426025</v>
      </c>
      <c r="BH550" s="137">
        <f ca="1">(((BJ550+BK550+BM550+BN550)/4)*$BM$11)+(((BP550+BQ550)/2)*$BQ$11)+(((BU550+BV550+BW550)/3)*$BU$11)+(((BY550+BZ550+CA550+CB550+CC550)/5)*$CA$11)</f>
        <v>0.1522567201426025</v>
      </c>
      <c r="BI550" s="4"/>
      <c r="BJ550" s="33">
        <f>AP550/(AM550+AO550)</f>
        <v>0</v>
      </c>
      <c r="BK550" s="33">
        <f>(AN550+AO550)/(AM550+AO550)</f>
        <v>0</v>
      </c>
      <c r="BL550" s="4"/>
      <c r="BM550" s="127">
        <f>CF550/102</f>
        <v>2.0588235294117647E-2</v>
      </c>
      <c r="BN550" s="127">
        <f>C550/2</f>
        <v>0.5</v>
      </c>
      <c r="BO550" s="4"/>
      <c r="BP550" s="127">
        <f>(AK550)/($AW$6)</f>
        <v>1.0101010101010102E-2</v>
      </c>
      <c r="BQ550" s="127">
        <f ca="1">(CH550-$AW$4)/((YEAR($C$13))-$AW$4)</f>
        <v>0</v>
      </c>
      <c r="BR550" s="127">
        <f>(AL550)/($AW$6)</f>
        <v>1.0101010101010102E-2</v>
      </c>
      <c r="BS550" s="4"/>
      <c r="BT550" s="127"/>
      <c r="BU550" s="127">
        <f ca="1">(CG550-$AW$4)/((YEAR($C$13))-$AW$4)</f>
        <v>0</v>
      </c>
      <c r="BV550" s="127">
        <f>AE550/5</f>
        <v>1</v>
      </c>
      <c r="BW550" s="127">
        <f>AF550/5</f>
        <v>1</v>
      </c>
      <c r="BX550" s="4"/>
      <c r="BY550" s="148" t="str">
        <f>IF(E550="A",".98",IF(E550="B",".99",IF(E550="C","1.00",IF(E550="D","1.00" ))))</f>
        <v>1.00</v>
      </c>
      <c r="BZ550" s="127">
        <f>(CE550+7)/10</f>
        <v>1</v>
      </c>
      <c r="CA550" s="76" t="str">
        <f>IF(D550="Fern",".97",IF(D550="Grass",".99",IF(D550="Herb",".97",IF(D550="Shrub",".99",IF(D550="Tree","1.00",IF(D550="Vine",".98"))))))</f>
        <v>.97</v>
      </c>
      <c r="CB550" s="149" t="str">
        <f>IF(R550="Bogs Ponds Streams",".96", IF(R550="Coastal Areas",".97",IF(R550="Meadows Dry Open",".96",IF(R550="Forest &amp; Understory",".97",IF(R550="Moist Open",".98",IF(R550="Moist Shady",".96",IF(R550="Sub-Alpine","1.0")))))))</f>
        <v>.96</v>
      </c>
      <c r="CC550" s="76" t="str">
        <f>IF(S550="Local Endemic",".50",IF(S550="Regional Endemic",".70",IF(S550="Cascadia",".90",IF(S550="Rocky Mountain",".95",IF(S550="North America",".99")))))</f>
        <v>.90</v>
      </c>
      <c r="CD550" s="4"/>
      <c r="CE550" s="21">
        <f>IF(W550&gt;3,3,W550)</f>
        <v>3</v>
      </c>
      <c r="CF550" s="21">
        <f>IF(AC550&gt;102,102,AC550)</f>
        <v>2.1</v>
      </c>
      <c r="CG550" s="34">
        <f>IF(AI550&lt;$AW$4,$AW$4,AI550)</f>
        <v>2004</v>
      </c>
      <c r="CH550" s="34">
        <f>IF(AJ550&lt;$AW$4,$AW$4,AJ550)</f>
        <v>2004</v>
      </c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</row>
    <row r="551" spans="1:115" ht="15" customHeight="1" x14ac:dyDescent="0.3">
      <c r="A551" s="235"/>
      <c r="B551" s="218"/>
      <c r="C551" s="226">
        <v>2</v>
      </c>
      <c r="D551" s="104" t="s">
        <v>2505</v>
      </c>
      <c r="E551" s="104" t="s">
        <v>2501</v>
      </c>
      <c r="F551" s="400" t="str">
        <f ca="1">IF(BC551&lt;2025, "Extinct&lt; 6Yrs?",BA551)</f>
        <v>Widespread</v>
      </c>
      <c r="G551" s="369" t="s">
        <v>525</v>
      </c>
      <c r="H551" s="369" t="s">
        <v>4028</v>
      </c>
      <c r="I551" s="372" t="s">
        <v>2680</v>
      </c>
      <c r="J551" s="371" t="s">
        <v>3735</v>
      </c>
      <c r="K551" s="371" t="s">
        <v>1063</v>
      </c>
      <c r="L551" s="114" t="s">
        <v>1586</v>
      </c>
      <c r="M551" s="111" t="s">
        <v>4625</v>
      </c>
      <c r="N551" s="111" t="s">
        <v>5522</v>
      </c>
      <c r="O551" s="111" t="s">
        <v>6421</v>
      </c>
      <c r="P551" s="401" t="s">
        <v>622</v>
      </c>
      <c r="Q551" s="104" t="s">
        <v>2552</v>
      </c>
      <c r="R551" s="105" t="s">
        <v>2499</v>
      </c>
      <c r="S551" s="105" t="s">
        <v>2495</v>
      </c>
      <c r="T551" s="133" t="str">
        <f>IF(R551="Bogs Ponds Streams","20",IF(R551="Coastal Areas","26",IF(R551="Meadows Dry Open","10",IF(R551="Forest &amp; Understory","14",IF(R551="Moist Open","12",IF(R551="Moist Shady","10",IF(R551="Sub-Alpine Slopes","0")))))))</f>
        <v>20</v>
      </c>
      <c r="U551" s="133" t="str">
        <f>IF(R551="Bogs Ponds Streams","52",IF(R551="Coastal Areas","51",IF(R551="Meadows Dry Open","53",IF(R551="Forest &amp; Understory","52",IF(R551="Moist Open","50",IF(R551="Moist Shady","46",IF(R551="Sub-Alpine Slopes","40")))))))</f>
        <v>52</v>
      </c>
      <c r="V551" s="133" t="str">
        <f>IF(R551="Bogs Ponds Streams","84",IF(R551="Coastal Areas","76",IF(R551="Meadows Dry Open","96", IF(R551="Forest &amp; Understory","90", IF(R551="Moist Open","88", IF(R551="Moist Shady","82", IF(R551="Sub-Alpine Slopes","80")))))))</f>
        <v>84</v>
      </c>
      <c r="W551" s="104">
        <v>20</v>
      </c>
      <c r="X551" s="104">
        <v>0</v>
      </c>
      <c r="Y551" s="104">
        <v>3500</v>
      </c>
      <c r="Z551" s="104" t="s">
        <v>2519</v>
      </c>
      <c r="AA551" s="104" t="s">
        <v>2518</v>
      </c>
      <c r="AB551" s="104">
        <v>6.8</v>
      </c>
      <c r="AC551" s="107">
        <f>C551+AK551+(0.1)*AL551</f>
        <v>11.2</v>
      </c>
      <c r="AD551" s="113">
        <v>82</v>
      </c>
      <c r="AE551" s="104">
        <v>5</v>
      </c>
      <c r="AF551" s="104">
        <v>5</v>
      </c>
      <c r="AG551" s="104">
        <v>1900</v>
      </c>
      <c r="AH551" s="113">
        <v>0</v>
      </c>
      <c r="AI551" s="104">
        <f>AJ551</f>
        <v>2004</v>
      </c>
      <c r="AJ551" s="108">
        <v>2004</v>
      </c>
      <c r="AK551" s="108">
        <v>7</v>
      </c>
      <c r="AL551" s="108">
        <v>22</v>
      </c>
      <c r="AM551" s="109">
        <v>5</v>
      </c>
      <c r="AN551" s="109">
        <v>1</v>
      </c>
      <c r="AO551" s="109">
        <v>1</v>
      </c>
      <c r="AP551" s="109">
        <v>0</v>
      </c>
      <c r="AQ551" s="109">
        <v>0</v>
      </c>
      <c r="AR551" s="109">
        <v>0</v>
      </c>
      <c r="AS551" s="110">
        <v>0</v>
      </c>
      <c r="AT551" s="109">
        <v>0</v>
      </c>
      <c r="AU551" s="109">
        <v>0</v>
      </c>
      <c r="AV551" s="109">
        <v>0</v>
      </c>
      <c r="AW551" s="110">
        <v>0</v>
      </c>
      <c r="AX551" s="109">
        <v>0</v>
      </c>
      <c r="AY551" s="233"/>
      <c r="AZ551" s="4"/>
      <c r="BA551" s="35" t="str">
        <f>IF(OR(S551="North America",S551="Rocky Mountain"), "Widespread",BC551)</f>
        <v>Widespread</v>
      </c>
      <c r="BB551" s="4"/>
      <c r="BC551" s="35">
        <f ca="1">IF(BE551&gt;2046, "Abundant",BE551)</f>
        <v>2043.0071985739751</v>
      </c>
      <c r="BD551" s="4"/>
      <c r="BE551" s="81">
        <f ca="1">YEAR($C$13)+(BG551*80)</f>
        <v>2043.0071985739751</v>
      </c>
      <c r="BF551" s="4"/>
      <c r="BG551" s="137">
        <f ca="1">BH551*$BH$14</f>
        <v>0.30008998217468802</v>
      </c>
      <c r="BH551" s="137">
        <f ca="1">(((BJ551+BK551+BM551+BN551)/4)*$BM$11)+(((BP551+BQ551)/2)*$BQ$11)+(((BU551+BV551+BW551)/3)*$BU$11)+(((BY551+BZ551+CA551+CB551+CC551)/5)*$CA$11)</f>
        <v>0.30008998217468802</v>
      </c>
      <c r="BI551" s="4"/>
      <c r="BJ551" s="33">
        <f>AP551/(AM551+AO551)</f>
        <v>0</v>
      </c>
      <c r="BK551" s="33">
        <f>(AN551+AO551)/(AM551+AO551)</f>
        <v>0.33333333333333331</v>
      </c>
      <c r="BL551" s="4"/>
      <c r="BM551" s="127">
        <f>CF551/102</f>
        <v>0.10980392156862745</v>
      </c>
      <c r="BN551" s="127">
        <f>C551/2</f>
        <v>1</v>
      </c>
      <c r="BO551" s="4"/>
      <c r="BP551" s="127">
        <f>(AK551)/($AW$6)</f>
        <v>7.0707070707070704E-2</v>
      </c>
      <c r="BQ551" s="127">
        <f ca="1">(CH551-$AW$4)/((YEAR($C$13))-$AW$4)</f>
        <v>0</v>
      </c>
      <c r="BR551" s="127">
        <f>(AL551)/($AW$6)</f>
        <v>0.22222222222222221</v>
      </c>
      <c r="BS551" s="4"/>
      <c r="BT551" s="127"/>
      <c r="BU551" s="127">
        <f ca="1">(CG551-$AW$4)/((YEAR($C$13))-$AW$4)</f>
        <v>0</v>
      </c>
      <c r="BV551" s="127">
        <f>AE551/5</f>
        <v>1</v>
      </c>
      <c r="BW551" s="127">
        <f>AF551/5</f>
        <v>1</v>
      </c>
      <c r="BX551" s="4"/>
      <c r="BY551" s="148" t="str">
        <f>IF(E551="A",".98",IF(E551="B",".99",IF(E551="C","1.00",IF(E551="D","1.00" ))))</f>
        <v>1.00</v>
      </c>
      <c r="BZ551" s="127">
        <f>(CE551+7)/10</f>
        <v>1</v>
      </c>
      <c r="CA551" s="76" t="str">
        <f>IF(D551="Fern",".97",IF(D551="Grass",".99",IF(D551="Herb",".97",IF(D551="Shrub",".99",IF(D551="Tree","1.00",IF(D551="Vine",".98"))))))</f>
        <v>.97</v>
      </c>
      <c r="CB551" s="149" t="str">
        <f>IF(R551="Bogs Ponds Streams",".96", IF(R551="Coastal Areas",".97",IF(R551="Meadows Dry Open",".96",IF(R551="Forest &amp; Understory",".97",IF(R551="Moist Open",".98",IF(R551="Moist Shady",".96",IF(R551="Sub-Alpine","1.0")))))))</f>
        <v>.96</v>
      </c>
      <c r="CC551" s="76" t="str">
        <f>IF(S551="Local Endemic",".50",IF(S551="Regional Endemic",".70",IF(S551="Cascadia",".90",IF(S551="Rocky Mountain",".95",IF(S551="North America",".99")))))</f>
        <v>.99</v>
      </c>
      <c r="CD551" s="4"/>
      <c r="CE551" s="21">
        <f>IF(W551&gt;3,3,W551)</f>
        <v>3</v>
      </c>
      <c r="CF551" s="21">
        <f>IF(AC551&gt;102,102,AC551)</f>
        <v>11.2</v>
      </c>
      <c r="CG551" s="34">
        <f>IF(AI551&lt;$AW$4,$AW$4,AI551)</f>
        <v>2004</v>
      </c>
      <c r="CH551" s="34">
        <f>IF(AJ551&lt;$AW$4,$AW$4,AJ551)</f>
        <v>2004</v>
      </c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</row>
    <row r="552" spans="1:115" ht="15" customHeight="1" x14ac:dyDescent="0.3">
      <c r="A552" s="235"/>
      <c r="B552" s="218"/>
      <c r="C552" s="375">
        <v>1</v>
      </c>
      <c r="D552" s="67" t="s">
        <v>2505</v>
      </c>
      <c r="E552" s="67" t="s">
        <v>2501</v>
      </c>
      <c r="F552" s="403" t="str">
        <f ca="1">IF(BC552&lt;2025, "Extinct&lt; 6Yrs?",BA552)</f>
        <v>Widespread</v>
      </c>
      <c r="G552" s="376" t="s">
        <v>525</v>
      </c>
      <c r="H552" s="376" t="s">
        <v>4028</v>
      </c>
      <c r="I552" s="380" t="s">
        <v>3093</v>
      </c>
      <c r="J552" s="378" t="s">
        <v>3561</v>
      </c>
      <c r="K552" s="378" t="s">
        <v>624</v>
      </c>
      <c r="L552" s="63" t="s">
        <v>1587</v>
      </c>
      <c r="M552" s="64" t="s">
        <v>4626</v>
      </c>
      <c r="N552" s="64" t="s">
        <v>5523</v>
      </c>
      <c r="O552" s="64" t="s">
        <v>6422</v>
      </c>
      <c r="P552" s="61" t="s">
        <v>622</v>
      </c>
      <c r="Q552" s="67" t="s">
        <v>2552</v>
      </c>
      <c r="R552" s="61" t="s">
        <v>2497</v>
      </c>
      <c r="S552" s="61" t="s">
        <v>2495</v>
      </c>
      <c r="T552" s="134" t="str">
        <f>IF(R552="Bogs Ponds Streams","20",IF(R552="Coastal Areas","26",IF(R552="Meadows Dry Open","10",IF(R552="Forest &amp; Understory","14",IF(R552="Moist Open","12",IF(R552="Moist Shady","10",IF(R552="Sub-Alpine Slopes","0")))))))</f>
        <v>12</v>
      </c>
      <c r="U552" s="134" t="str">
        <f>IF(R552="Bogs Ponds Streams","52",IF(R552="Coastal Areas","51",IF(R552="Meadows Dry Open","53",IF(R552="Forest &amp; Understory","52",IF(R552="Moist Open","50",IF(R552="Moist Shady","46",IF(R552="Sub-Alpine Slopes","40")))))))</f>
        <v>50</v>
      </c>
      <c r="V552" s="134" t="str">
        <f>IF(R552="Bogs Ponds Streams","84",IF(R552="Coastal Areas","76",IF(R552="Meadows Dry Open","96", IF(R552="Forest &amp; Understory","90", IF(R552="Moist Open","88", IF(R552="Moist Shady","82", IF(R552="Sub-Alpine Slopes","80")))))))</f>
        <v>88</v>
      </c>
      <c r="W552" s="67">
        <v>20</v>
      </c>
      <c r="X552" s="67">
        <v>0</v>
      </c>
      <c r="Y552" s="67">
        <v>3500</v>
      </c>
      <c r="Z552" s="67" t="s">
        <v>2519</v>
      </c>
      <c r="AA552" s="67" t="s">
        <v>2518</v>
      </c>
      <c r="AB552" s="67">
        <v>6.8</v>
      </c>
      <c r="AC552" s="85">
        <f>C552+AK552+(0.1)*AL552</f>
        <v>10.3</v>
      </c>
      <c r="AD552" s="78">
        <v>27</v>
      </c>
      <c r="AE552" s="67">
        <v>5</v>
      </c>
      <c r="AF552" s="67">
        <v>5</v>
      </c>
      <c r="AG552" s="67">
        <v>1900</v>
      </c>
      <c r="AH552" s="78">
        <v>0</v>
      </c>
      <c r="AI552" s="67">
        <f>AJ552</f>
        <v>2004</v>
      </c>
      <c r="AJ552" s="69">
        <v>2004</v>
      </c>
      <c r="AK552" s="69">
        <v>9</v>
      </c>
      <c r="AL552" s="69">
        <v>3</v>
      </c>
      <c r="AM552" s="70">
        <v>5</v>
      </c>
      <c r="AN552" s="70">
        <v>0</v>
      </c>
      <c r="AO552" s="86">
        <v>0</v>
      </c>
      <c r="AP552" s="70">
        <v>0</v>
      </c>
      <c r="AQ552" s="70">
        <v>0</v>
      </c>
      <c r="AR552" s="70">
        <v>0</v>
      </c>
      <c r="AS552" s="86">
        <v>0</v>
      </c>
      <c r="AT552" s="70">
        <v>0</v>
      </c>
      <c r="AU552" s="70">
        <v>0</v>
      </c>
      <c r="AV552" s="70">
        <v>0</v>
      </c>
      <c r="AW552" s="86">
        <v>0</v>
      </c>
      <c r="AX552" s="70">
        <v>0</v>
      </c>
      <c r="AY552" s="233"/>
      <c r="AZ552" s="4"/>
      <c r="BA552" s="35" t="str">
        <f>IF(OR(S552="North America",S552="Rocky Mountain"), "Widespread",BC552)</f>
        <v>Widespread</v>
      </c>
      <c r="BB552" s="4"/>
      <c r="BC552" s="35">
        <f ca="1">IF(BE552&gt;2046, "Abundant",BE552)</f>
        <v>2033.150140463458</v>
      </c>
      <c r="BD552" s="4"/>
      <c r="BE552" s="81">
        <f ca="1">YEAR($C$13)+(BG552*80)</f>
        <v>2033.150140463458</v>
      </c>
      <c r="BF552" s="4"/>
      <c r="BG552" s="137">
        <f ca="1">BH552*$BH$14</f>
        <v>0.17687675579322637</v>
      </c>
      <c r="BH552" s="137">
        <f ca="1">(((BJ552+BK552+BM552+BN552)/4)*$BM$11)+(((BP552+BQ552)/2)*$BQ$11)+(((BU552+BV552+BW552)/3)*$BU$11)+(((BY552+BZ552+CA552+CB552+CC552)/5)*$CA$11)</f>
        <v>0.17687675579322637</v>
      </c>
      <c r="BI552" s="4"/>
      <c r="BJ552" s="33">
        <f>AP552/(AM552+AO552)</f>
        <v>0</v>
      </c>
      <c r="BK552" s="33">
        <f>(AN552+AO552)/(AM552+AO552)</f>
        <v>0</v>
      </c>
      <c r="BL552" s="4"/>
      <c r="BM552" s="127">
        <f>CF552/102</f>
        <v>0.10098039215686275</v>
      </c>
      <c r="BN552" s="127">
        <f>C552/2</f>
        <v>0.5</v>
      </c>
      <c r="BO552" s="4"/>
      <c r="BP552" s="127">
        <f>(AK552)/($AW$6)</f>
        <v>9.0909090909090912E-2</v>
      </c>
      <c r="BQ552" s="127">
        <f ca="1">(CH552-$AW$4)/((YEAR($C$13))-$AW$4)</f>
        <v>0</v>
      </c>
      <c r="BR552" s="127">
        <f>(AL552)/($AW$6)</f>
        <v>3.0303030303030304E-2</v>
      </c>
      <c r="BS552" s="4"/>
      <c r="BT552" s="127"/>
      <c r="BU552" s="127">
        <f ca="1">(CG552-$AW$4)/((YEAR($C$13))-$AW$4)</f>
        <v>0</v>
      </c>
      <c r="BV552" s="127">
        <f>AE552/5</f>
        <v>1</v>
      </c>
      <c r="BW552" s="127">
        <f>AF552/5</f>
        <v>1</v>
      </c>
      <c r="BX552" s="4"/>
      <c r="BY552" s="148" t="str">
        <f>IF(E552="A",".98",IF(E552="B",".99",IF(E552="C","1.00",IF(E552="D","1.00" ))))</f>
        <v>1.00</v>
      </c>
      <c r="BZ552" s="127">
        <f>(CE552+7)/10</f>
        <v>1</v>
      </c>
      <c r="CA552" s="76" t="str">
        <f>IF(D552="Fern",".97",IF(D552="Grass",".99",IF(D552="Herb",".97",IF(D552="Shrub",".99",IF(D552="Tree","1.00",IF(D552="Vine",".98"))))))</f>
        <v>.97</v>
      </c>
      <c r="CB552" s="149" t="str">
        <f>IF(R552="Bogs Ponds Streams",".96", IF(R552="Coastal Areas",".97",IF(R552="Meadows Dry Open",".96",IF(R552="Forest &amp; Understory",".97",IF(R552="Moist Open",".98",IF(R552="Moist Shady",".96",IF(R552="Sub-Alpine","1.0")))))))</f>
        <v>.98</v>
      </c>
      <c r="CC552" s="76" t="str">
        <f>IF(S552="Local Endemic",".50",IF(S552="Regional Endemic",".70",IF(S552="Cascadia",".90",IF(S552="Rocky Mountain",".95",IF(S552="North America",".99")))))</f>
        <v>.99</v>
      </c>
      <c r="CD552" s="4"/>
      <c r="CE552" s="21">
        <f>IF(W552&gt;3,3,W552)</f>
        <v>3</v>
      </c>
      <c r="CF552" s="21">
        <f>IF(AC552&gt;102,102,AC552)</f>
        <v>10.3</v>
      </c>
      <c r="CG552" s="34">
        <f>IF(AI552&lt;$AW$4,$AW$4,AI552)</f>
        <v>2004</v>
      </c>
      <c r="CH552" s="34">
        <f>IF(AJ552&lt;$AW$4,$AW$4,AJ552)</f>
        <v>2004</v>
      </c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</row>
    <row r="553" spans="1:115" ht="15" customHeight="1" x14ac:dyDescent="0.3">
      <c r="A553" s="235"/>
      <c r="B553" s="218"/>
      <c r="C553" s="225">
        <v>8</v>
      </c>
      <c r="D553" s="59" t="s">
        <v>1154</v>
      </c>
      <c r="E553" s="59" t="s">
        <v>2501</v>
      </c>
      <c r="F553" s="397" t="str">
        <f ca="1">IF(BC553&lt;2025, "Extinct&lt; 6Yrs?",BA553)</f>
        <v>Widespread</v>
      </c>
      <c r="G553" s="363" t="s">
        <v>525</v>
      </c>
      <c r="H553" s="363" t="s">
        <v>688</v>
      </c>
      <c r="I553" s="366" t="s">
        <v>1994</v>
      </c>
      <c r="J553" s="365" t="s">
        <v>3426</v>
      </c>
      <c r="K553" s="365" t="s">
        <v>906</v>
      </c>
      <c r="L553" s="10" t="s">
        <v>1993</v>
      </c>
      <c r="M553" s="8" t="s">
        <v>4627</v>
      </c>
      <c r="N553" s="8" t="s">
        <v>5524</v>
      </c>
      <c r="O553" s="8" t="s">
        <v>6423</v>
      </c>
      <c r="P553" s="9" t="s">
        <v>739</v>
      </c>
      <c r="Q553" s="59" t="s">
        <v>2552</v>
      </c>
      <c r="R553" s="160" t="s">
        <v>2497</v>
      </c>
      <c r="S553" s="17" t="s">
        <v>2479</v>
      </c>
      <c r="T553" s="123" t="str">
        <f>IF(R553="Bogs Ponds Streams","20",IF(R553="Coastal Areas","26",IF(R553="Meadows Dry Open","10",IF(R553="Forest &amp; Understory","14",IF(R553="Moist Open","12",IF(R553="Moist Shady","10",IF(R553="Sub-Alpine Slopes","0")))))))</f>
        <v>12</v>
      </c>
      <c r="U553" s="123" t="str">
        <f>IF(R553="Bogs Ponds Streams","52",IF(R553="Coastal Areas","51",IF(R553="Meadows Dry Open","53",IF(R553="Forest &amp; Understory","52",IF(R553="Moist Open","50",IF(R553="Moist Shady","46",IF(R553="Sub-Alpine Slopes","40")))))))</f>
        <v>50</v>
      </c>
      <c r="V553" s="123" t="str">
        <f>IF(R553="Bogs Ponds Streams","84",IF(R553="Coastal Areas","76",IF(R553="Meadows Dry Open","96", IF(R553="Forest &amp; Understory","90", IF(R553="Moist Open","88", IF(R553="Moist Shady","82", IF(R553="Sub-Alpine Slopes","80")))))))</f>
        <v>88</v>
      </c>
      <c r="W553" s="59">
        <v>20</v>
      </c>
      <c r="X553" s="59">
        <v>0</v>
      </c>
      <c r="Y553" s="59">
        <v>3500</v>
      </c>
      <c r="Z553" s="59" t="s">
        <v>2519</v>
      </c>
      <c r="AA553" s="59" t="s">
        <v>2518</v>
      </c>
      <c r="AB553" s="59">
        <v>6.8</v>
      </c>
      <c r="AC553" s="45">
        <f>C553+AK553+(0.1)*AL553</f>
        <v>15.2</v>
      </c>
      <c r="AD553" s="77">
        <v>146</v>
      </c>
      <c r="AE553" s="59">
        <v>5</v>
      </c>
      <c r="AF553" s="59">
        <v>5</v>
      </c>
      <c r="AG553" s="59">
        <v>1900</v>
      </c>
      <c r="AH553" s="77">
        <v>0</v>
      </c>
      <c r="AI553" s="59">
        <f>AJ553</f>
        <v>1995</v>
      </c>
      <c r="AJ553" s="18">
        <v>1995</v>
      </c>
      <c r="AK553" s="18">
        <v>5</v>
      </c>
      <c r="AL553" s="18">
        <v>22</v>
      </c>
      <c r="AM553" s="18">
        <v>1</v>
      </c>
      <c r="AN553" s="18">
        <v>1</v>
      </c>
      <c r="AO553" s="18">
        <v>5</v>
      </c>
      <c r="AP553" s="18">
        <v>1</v>
      </c>
      <c r="AQ553" s="18">
        <v>0</v>
      </c>
      <c r="AR553" s="18">
        <v>0</v>
      </c>
      <c r="AS553" s="18">
        <v>0</v>
      </c>
      <c r="AT553" s="18">
        <v>0</v>
      </c>
      <c r="AU553" s="18">
        <v>0</v>
      </c>
      <c r="AV553" s="18">
        <v>0</v>
      </c>
      <c r="AW553" s="18">
        <v>0</v>
      </c>
      <c r="AX553" s="18">
        <v>0</v>
      </c>
      <c r="AY553" s="233"/>
      <c r="AZ553" s="4"/>
      <c r="BA553" s="35" t="str">
        <f>IF(OR(S553="North America",S553="Rocky Mountain"), "Widespread",BC553)</f>
        <v>Widespread</v>
      </c>
      <c r="BB553" s="4"/>
      <c r="BC553" s="35" t="str">
        <f ca="1">IF(BE553&gt;2046, "Abundant",BE553)</f>
        <v>Abundant</v>
      </c>
      <c r="BD553" s="4"/>
      <c r="BE553" s="81">
        <f ca="1">YEAR($C$13)+(BG553*80)</f>
        <v>2089.228962566845</v>
      </c>
      <c r="BF553" s="4"/>
      <c r="BG553" s="137">
        <f ca="1">BH553*$BH$14</f>
        <v>0.87786203208556135</v>
      </c>
      <c r="BH553" s="137">
        <f ca="1">(((BJ553+BK553+BM553+BN553)/4)*$BM$11)+(((BP553+BQ553)/2)*$BQ$11)+(((BU553+BV553+BW553)/3)*$BU$11)+(((BY553+BZ553+CA553+CB553+CC553)/5)*$CA$11)</f>
        <v>0.87786203208556135</v>
      </c>
      <c r="BI553" s="4"/>
      <c r="BJ553" s="33">
        <f>AP553/(AM553+AO553)</f>
        <v>0.16666666666666666</v>
      </c>
      <c r="BK553" s="33">
        <f>(AN553+AO553)/(AM553+AO553)</f>
        <v>1</v>
      </c>
      <c r="BL553" s="4"/>
      <c r="BM553" s="127">
        <f>CF553/102</f>
        <v>0.14901960784313725</v>
      </c>
      <c r="BN553" s="127">
        <f>C553/2</f>
        <v>4</v>
      </c>
      <c r="BO553" s="4"/>
      <c r="BP553" s="127">
        <f>(AK553)/($AW$6)</f>
        <v>5.0505050505050504E-2</v>
      </c>
      <c r="BQ553" s="127">
        <f ca="1">(CH553-$AW$4)/((YEAR($C$13))-$AW$4)</f>
        <v>0</v>
      </c>
      <c r="BR553" s="127">
        <f>(AL553)/($AW$6)</f>
        <v>0.22222222222222221</v>
      </c>
      <c r="BS553" s="4"/>
      <c r="BT553" s="127"/>
      <c r="BU553" s="127">
        <f ca="1">(CG553-$AW$4)/((YEAR($C$13))-$AW$4)</f>
        <v>0</v>
      </c>
      <c r="BV553" s="127">
        <f>AE553/5</f>
        <v>1</v>
      </c>
      <c r="BW553" s="127">
        <f>AF553/5</f>
        <v>1</v>
      </c>
      <c r="BX553" s="4"/>
      <c r="BY553" s="148" t="str">
        <f>IF(E553="A",".98",IF(E553="B",".99",IF(E553="C","1.00",IF(E553="D","1.00" ))))</f>
        <v>1.00</v>
      </c>
      <c r="BZ553" s="127">
        <f>(CE553+7)/10</f>
        <v>1</v>
      </c>
      <c r="CA553" s="76" t="str">
        <f>IF(D553="Fern",".97",IF(D553="Grass",".99",IF(D553="Herb",".97",IF(D553="Shrub",".99",IF(D553="Tree","1.00",IF(D553="Vine",".98"))))))</f>
        <v>.97</v>
      </c>
      <c r="CB553" s="149" t="str">
        <f>IF(R553="Bogs Ponds Streams",".96", IF(R553="Coastal Areas",".97",IF(R553="Meadows Dry Open",".96",IF(R553="Forest &amp; Understory",".97",IF(R553="Moist Open",".98",IF(R553="Moist Shady",".96",IF(R553="Sub-Alpine","1.0")))))))</f>
        <v>.98</v>
      </c>
      <c r="CC553" s="76" t="str">
        <f>IF(S553="Local Endemic",".50",IF(S553="Regional Endemic",".70",IF(S553="Cascadia",".90",IF(S553="Rocky Mountain",".95",IF(S553="North America",".99")))))</f>
        <v>.95</v>
      </c>
      <c r="CD553" s="4"/>
      <c r="CE553" s="21">
        <f>IF(W553&gt;3,3,W553)</f>
        <v>3</v>
      </c>
      <c r="CF553" s="21">
        <f>IF(AC553&gt;102,102,AC553)</f>
        <v>15.2</v>
      </c>
      <c r="CG553" s="34">
        <f>IF(AI553&lt;$AW$4,$AW$4,AI553)</f>
        <v>2004</v>
      </c>
      <c r="CH553" s="34">
        <f>IF(AJ553&lt;$AW$4,$AW$4,AJ553)</f>
        <v>2004</v>
      </c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13"/>
    </row>
    <row r="554" spans="1:115" ht="15" customHeight="1" x14ac:dyDescent="0.3">
      <c r="A554" s="235"/>
      <c r="B554" s="218"/>
      <c r="C554" s="375">
        <v>1</v>
      </c>
      <c r="D554" s="67" t="s">
        <v>2505</v>
      </c>
      <c r="E554" s="67" t="s">
        <v>2501</v>
      </c>
      <c r="F554" s="403">
        <f ca="1">IF(BC554&lt;2025, "Extinct&lt; 6Yrs?",BA554)</f>
        <v>2033.7962238859179</v>
      </c>
      <c r="G554" s="376" t="s">
        <v>525</v>
      </c>
      <c r="H554" s="376" t="s">
        <v>4028</v>
      </c>
      <c r="I554" s="380" t="s">
        <v>2239</v>
      </c>
      <c r="J554" s="378" t="s">
        <v>3560</v>
      </c>
      <c r="K554" s="378" t="s">
        <v>13</v>
      </c>
      <c r="L554" s="63" t="s">
        <v>2240</v>
      </c>
      <c r="M554" s="64" t="s">
        <v>4628</v>
      </c>
      <c r="N554" s="64" t="s">
        <v>5525</v>
      </c>
      <c r="O554" s="64" t="s">
        <v>6424</v>
      </c>
      <c r="P554" s="61" t="s">
        <v>51</v>
      </c>
      <c r="Q554" s="67" t="s">
        <v>2552</v>
      </c>
      <c r="R554" s="61" t="s">
        <v>2498</v>
      </c>
      <c r="S554" s="65" t="s">
        <v>2459</v>
      </c>
      <c r="T554" s="134" t="str">
        <f>IF(R554="Bogs Ponds Streams","20",IF(R554="Coastal Areas","26",IF(R554="Meadows Dry Open","10",IF(R554="Forest &amp; Understory","14",IF(R554="Moist Open","12",IF(R554="Moist Shady","10",IF(R554="Sub-Alpine Slopes","0")))))))</f>
        <v>10</v>
      </c>
      <c r="U554" s="134" t="str">
        <f>IF(R554="Bogs Ponds Streams","52",IF(R554="Coastal Areas","51",IF(R554="Meadows Dry Open","53",IF(R554="Forest &amp; Understory","52",IF(R554="Moist Open","50",IF(R554="Moist Shady","46",IF(R554="Sub-Alpine Slopes","40")))))))</f>
        <v>46</v>
      </c>
      <c r="V554" s="134" t="str">
        <f>IF(R554="Bogs Ponds Streams","84",IF(R554="Coastal Areas","76",IF(R554="Meadows Dry Open","96", IF(R554="Forest &amp; Understory","90", IF(R554="Moist Open","88", IF(R554="Moist Shady","82", IF(R554="Sub-Alpine Slopes","80")))))))</f>
        <v>82</v>
      </c>
      <c r="W554" s="67">
        <v>20</v>
      </c>
      <c r="X554" s="67">
        <v>0</v>
      </c>
      <c r="Y554" s="67">
        <v>3500</v>
      </c>
      <c r="Z554" s="67" t="s">
        <v>2519</v>
      </c>
      <c r="AA554" s="67" t="s">
        <v>2518</v>
      </c>
      <c r="AB554" s="67">
        <v>6.8</v>
      </c>
      <c r="AC554" s="85">
        <f>C554+AK554+(0.1)*AL554</f>
        <v>13</v>
      </c>
      <c r="AD554" s="78">
        <v>42</v>
      </c>
      <c r="AE554" s="67">
        <v>5</v>
      </c>
      <c r="AF554" s="67">
        <v>5</v>
      </c>
      <c r="AG554" s="67">
        <v>1900</v>
      </c>
      <c r="AH554" s="78">
        <v>0</v>
      </c>
      <c r="AI554" s="67">
        <f>AJ554</f>
        <v>2004</v>
      </c>
      <c r="AJ554" s="69">
        <v>2004</v>
      </c>
      <c r="AK554" s="69">
        <v>12</v>
      </c>
      <c r="AL554" s="69">
        <v>0</v>
      </c>
      <c r="AM554" s="70">
        <v>5</v>
      </c>
      <c r="AN554" s="70">
        <v>0</v>
      </c>
      <c r="AO554" s="86">
        <v>0</v>
      </c>
      <c r="AP554" s="70">
        <v>0</v>
      </c>
      <c r="AQ554" s="70">
        <v>0</v>
      </c>
      <c r="AR554" s="70">
        <v>0</v>
      </c>
      <c r="AS554" s="86">
        <v>0</v>
      </c>
      <c r="AT554" s="70">
        <v>0</v>
      </c>
      <c r="AU554" s="70">
        <v>0</v>
      </c>
      <c r="AV554" s="70">
        <v>0</v>
      </c>
      <c r="AW554" s="86">
        <v>0</v>
      </c>
      <c r="AX554" s="70">
        <v>0</v>
      </c>
      <c r="AY554" s="233"/>
      <c r="AZ554" s="4"/>
      <c r="BA554" s="35">
        <f ca="1">IF(OR(S554="North America",S554="Rocky Mountain"), "Widespread",BC554)</f>
        <v>2033.7962238859179</v>
      </c>
      <c r="BB554" s="4"/>
      <c r="BC554" s="35">
        <f ca="1">IF(BE554&gt;2046, "Abundant",BE554)</f>
        <v>2033.7962238859179</v>
      </c>
      <c r="BD554" s="4"/>
      <c r="BE554" s="81">
        <f ca="1">YEAR($C$13)+(BG554*80)</f>
        <v>2033.7962238859179</v>
      </c>
      <c r="BF554" s="4"/>
      <c r="BG554" s="137">
        <f ca="1">BH554*$BH$14</f>
        <v>0.18495279857397506</v>
      </c>
      <c r="BH554" s="137">
        <f ca="1">(((BJ554+BK554+BM554+BN554)/4)*$BM$11)+(((BP554+BQ554)/2)*$BQ$11)+(((BU554+BV554+BW554)/3)*$BU$11)+(((BY554+BZ554+CA554+CB554+CC554)/5)*$CA$11)</f>
        <v>0.18495279857397506</v>
      </c>
      <c r="BI554" s="4"/>
      <c r="BJ554" s="33">
        <f>AP554/(AM554+AO554)</f>
        <v>0</v>
      </c>
      <c r="BK554" s="33">
        <f>(AN554+AO554)/(AM554+AO554)</f>
        <v>0</v>
      </c>
      <c r="BL554" s="4"/>
      <c r="BM554" s="127">
        <f>CF554/102</f>
        <v>0.12745098039215685</v>
      </c>
      <c r="BN554" s="127">
        <f>C554/2</f>
        <v>0.5</v>
      </c>
      <c r="BO554" s="4"/>
      <c r="BP554" s="127">
        <f>(AK554)/($AW$6)</f>
        <v>0.12121212121212122</v>
      </c>
      <c r="BQ554" s="127">
        <f ca="1">(CH554-$AW$4)/((YEAR($C$13))-$AW$4)</f>
        <v>0</v>
      </c>
      <c r="BR554" s="127">
        <f>(AL554)/($AW$6)</f>
        <v>0</v>
      </c>
      <c r="BS554" s="4"/>
      <c r="BT554" s="127"/>
      <c r="BU554" s="127">
        <f ca="1">(CG554-$AW$4)/((YEAR($C$13))-$AW$4)</f>
        <v>0</v>
      </c>
      <c r="BV554" s="127">
        <f>AE554/5</f>
        <v>1</v>
      </c>
      <c r="BW554" s="127">
        <f>AF554/5</f>
        <v>1</v>
      </c>
      <c r="BX554" s="4"/>
      <c r="BY554" s="148" t="str">
        <f>IF(E554="A",".98",IF(E554="B",".99",IF(E554="C","1.00",IF(E554="D","1.00" ))))</f>
        <v>1.00</v>
      </c>
      <c r="BZ554" s="127">
        <f>(CE554+7)/10</f>
        <v>1</v>
      </c>
      <c r="CA554" s="76" t="str">
        <f>IF(D554="Fern",".97",IF(D554="Grass",".99",IF(D554="Herb",".97",IF(D554="Shrub",".99",IF(D554="Tree","1.00",IF(D554="Vine",".98"))))))</f>
        <v>.97</v>
      </c>
      <c r="CB554" s="149" t="str">
        <f>IF(R554="Bogs Ponds Streams",".96", IF(R554="Coastal Areas",".97",IF(R554="Meadows Dry Open",".96",IF(R554="Forest &amp; Understory",".97",IF(R554="Moist Open",".98",IF(R554="Moist Shady",".96",IF(R554="Sub-Alpine","1.0")))))))</f>
        <v>.96</v>
      </c>
      <c r="CC554" s="76" t="str">
        <f>IF(S554="Local Endemic",".50",IF(S554="Regional Endemic",".70",IF(S554="Cascadia",".90",IF(S554="Rocky Mountain",".95",IF(S554="North America",".99")))))</f>
        <v>.90</v>
      </c>
      <c r="CD554" s="4"/>
      <c r="CE554" s="21">
        <f>IF(W554&gt;3,3,W554)</f>
        <v>3</v>
      </c>
      <c r="CF554" s="21">
        <f>IF(AC554&gt;102,102,AC554)</f>
        <v>13</v>
      </c>
      <c r="CG554" s="34">
        <f>IF(AI554&lt;$AW$4,$AW$4,AI554)</f>
        <v>2004</v>
      </c>
      <c r="CH554" s="34">
        <f>IF(AJ554&lt;$AW$4,$AW$4,AJ554)</f>
        <v>2004</v>
      </c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</row>
    <row r="555" spans="1:115" ht="15" customHeight="1" x14ac:dyDescent="0.3">
      <c r="A555" s="235"/>
      <c r="B555" s="218"/>
      <c r="C555" s="375">
        <v>1</v>
      </c>
      <c r="D555" s="67" t="s">
        <v>2505</v>
      </c>
      <c r="E555" s="67" t="s">
        <v>2502</v>
      </c>
      <c r="F555" s="403" t="str">
        <f ca="1">IF(BC555&lt;2025, "Extinct&lt; 6Yrs?",BA555)</f>
        <v>Widespread</v>
      </c>
      <c r="G555" s="376" t="s">
        <v>525</v>
      </c>
      <c r="H555" s="376" t="s">
        <v>4028</v>
      </c>
      <c r="I555" s="380" t="s">
        <v>456</v>
      </c>
      <c r="J555" s="378" t="s">
        <v>1045</v>
      </c>
      <c r="K555" s="378" t="s">
        <v>1064</v>
      </c>
      <c r="L555" s="63" t="s">
        <v>1588</v>
      </c>
      <c r="M555" s="64" t="s">
        <v>4629</v>
      </c>
      <c r="N555" s="64" t="s">
        <v>5526</v>
      </c>
      <c r="O555" s="64" t="s">
        <v>6425</v>
      </c>
      <c r="P555" s="61" t="s">
        <v>131</v>
      </c>
      <c r="Q555" s="67" t="s">
        <v>2552</v>
      </c>
      <c r="R555" s="61" t="s">
        <v>2453</v>
      </c>
      <c r="S555" s="61" t="s">
        <v>2495</v>
      </c>
      <c r="T555" s="134" t="str">
        <f>IF(R555="Bogs Ponds Streams","20",IF(R555="Coastal Areas","26",IF(R555="Meadows Dry Open","10",IF(R555="Forest &amp; Understory","14",IF(R555="Moist Open","12",IF(R555="Moist Shady","10",IF(R555="Sub-Alpine Slopes","0")))))))</f>
        <v>26</v>
      </c>
      <c r="U555" s="134" t="str">
        <f>IF(R555="Bogs Ponds Streams","52",IF(R555="Coastal Areas","51",IF(R555="Meadows Dry Open","53",IF(R555="Forest &amp; Understory","52",IF(R555="Moist Open","50",IF(R555="Moist Shady","46",IF(R555="Sub-Alpine Slopes","40")))))))</f>
        <v>51</v>
      </c>
      <c r="V555" s="134" t="str">
        <f>IF(R555="Bogs Ponds Streams","84",IF(R555="Coastal Areas","76",IF(R555="Meadows Dry Open","96", IF(R555="Forest &amp; Understory","90", IF(R555="Moist Open","88", IF(R555="Moist Shady","82", IF(R555="Sub-Alpine Slopes","80")))))))</f>
        <v>76</v>
      </c>
      <c r="W555" s="67">
        <v>1</v>
      </c>
      <c r="X555" s="67">
        <v>0</v>
      </c>
      <c r="Y555" s="67">
        <v>3500</v>
      </c>
      <c r="Z555" s="67" t="s">
        <v>2519</v>
      </c>
      <c r="AA555" s="67" t="s">
        <v>2518</v>
      </c>
      <c r="AB555" s="67">
        <v>6.8</v>
      </c>
      <c r="AC555" s="85">
        <f>C555+AK555+(0.1)*AL555</f>
        <v>21.4</v>
      </c>
      <c r="AD555" s="78">
        <v>42</v>
      </c>
      <c r="AE555" s="67">
        <v>5</v>
      </c>
      <c r="AF555" s="67">
        <v>5</v>
      </c>
      <c r="AG555" s="67">
        <v>1900</v>
      </c>
      <c r="AH555" s="78">
        <v>0</v>
      </c>
      <c r="AI555" s="67">
        <f>AJ555</f>
        <v>2004</v>
      </c>
      <c r="AJ555" s="69">
        <v>2004</v>
      </c>
      <c r="AK555" s="69">
        <v>20</v>
      </c>
      <c r="AL555" s="69">
        <v>4</v>
      </c>
      <c r="AM555" s="70">
        <v>5</v>
      </c>
      <c r="AN555" s="70">
        <v>0</v>
      </c>
      <c r="AO555" s="86">
        <v>0</v>
      </c>
      <c r="AP555" s="70">
        <v>0</v>
      </c>
      <c r="AQ555" s="70">
        <v>0</v>
      </c>
      <c r="AR555" s="70">
        <v>0</v>
      </c>
      <c r="AS555" s="86">
        <v>0</v>
      </c>
      <c r="AT555" s="70">
        <v>0</v>
      </c>
      <c r="AU555" s="70">
        <v>0</v>
      </c>
      <c r="AV555" s="70">
        <v>0</v>
      </c>
      <c r="AW555" s="86">
        <v>0</v>
      </c>
      <c r="AX555" s="70">
        <v>0</v>
      </c>
      <c r="AY555" s="233"/>
      <c r="AZ555" s="4"/>
      <c r="BA555" s="35" t="str">
        <f>IF(OR(S555="North America",S555="Rocky Mountain"), "Widespread",BC555)</f>
        <v>Widespread</v>
      </c>
      <c r="BB555" s="4"/>
      <c r="BC555" s="35">
        <f ca="1">IF(BE555&gt;2046, "Abundant",BE555)</f>
        <v>2035.7157561497327</v>
      </c>
      <c r="BD555" s="4"/>
      <c r="BE555" s="81">
        <f ca="1">YEAR($C$13)+(BG555*80)</f>
        <v>2035.7157561497327</v>
      </c>
      <c r="BF555" s="4"/>
      <c r="BG555" s="137">
        <f ca="1">BH555*$BH$14</f>
        <v>0.20894695187165771</v>
      </c>
      <c r="BH555" s="137">
        <f ca="1">(((BJ555+BK555+BM555+BN555)/4)*$BM$11)+(((BP555+BQ555)/2)*$BQ$11)+(((BU555+BV555+BW555)/3)*$BU$11)+(((BY555+BZ555+CA555+CB555+CC555)/5)*$CA$11)</f>
        <v>0.20894695187165771</v>
      </c>
      <c r="BI555" s="4"/>
      <c r="BJ555" s="33">
        <f>AP555/(AM555+AO555)</f>
        <v>0</v>
      </c>
      <c r="BK555" s="33">
        <f>(AN555+AO555)/(AM555+AO555)</f>
        <v>0</v>
      </c>
      <c r="BL555" s="4"/>
      <c r="BM555" s="127">
        <f>CF555/102</f>
        <v>0.20980392156862743</v>
      </c>
      <c r="BN555" s="127">
        <f>C555/2</f>
        <v>0.5</v>
      </c>
      <c r="BO555" s="4"/>
      <c r="BP555" s="127">
        <f>(AK555)/($AW$6)</f>
        <v>0.20202020202020202</v>
      </c>
      <c r="BQ555" s="127">
        <f ca="1">(CH555-$AW$4)/((YEAR($C$13))-$AW$4)</f>
        <v>0</v>
      </c>
      <c r="BR555" s="127">
        <f>(AL555)/($AW$6)</f>
        <v>4.0404040404040407E-2</v>
      </c>
      <c r="BS555" s="4"/>
      <c r="BT555" s="127"/>
      <c r="BU555" s="127">
        <f ca="1">(CG555-$AW$4)/((YEAR($C$13))-$AW$4)</f>
        <v>0</v>
      </c>
      <c r="BV555" s="127">
        <f>AE555/5</f>
        <v>1</v>
      </c>
      <c r="BW555" s="127">
        <f>AF555/5</f>
        <v>1</v>
      </c>
      <c r="BX555" s="4"/>
      <c r="BY555" s="148" t="str">
        <f>IF(E555="A",".98",IF(E555="B",".99",IF(E555="C","1.00",IF(E555="D","1.00" ))))</f>
        <v>.98</v>
      </c>
      <c r="BZ555" s="127">
        <f>(CE555+7)/10</f>
        <v>0.8</v>
      </c>
      <c r="CA555" s="76" t="str">
        <f>IF(D555="Fern",".97",IF(D555="Grass",".99",IF(D555="Herb",".97",IF(D555="Shrub",".99",IF(D555="Tree","1.00",IF(D555="Vine",".98"))))))</f>
        <v>.97</v>
      </c>
      <c r="CB555" s="149" t="str">
        <f>IF(R555="Bogs Ponds Streams",".96", IF(R555="Coastal Areas",".97",IF(R555="Meadows Dry Open",".96",IF(R555="Forest &amp; Understory",".97",IF(R555="Moist Open",".98",IF(R555="Moist Shady",".96",IF(R555="Sub-Alpine","1.0")))))))</f>
        <v>.97</v>
      </c>
      <c r="CC555" s="76" t="str">
        <f>IF(S555="Local Endemic",".50",IF(S555="Regional Endemic",".70",IF(S555="Cascadia",".90",IF(S555="Rocky Mountain",".95",IF(S555="North America",".99")))))</f>
        <v>.99</v>
      </c>
      <c r="CD555" s="4"/>
      <c r="CE555" s="21">
        <f>IF(W555&gt;3,3,W555)</f>
        <v>1</v>
      </c>
      <c r="CF555" s="21">
        <f>IF(AC555&gt;102,102,AC555)</f>
        <v>21.4</v>
      </c>
      <c r="CG555" s="34">
        <f>IF(AI555&lt;$AW$4,$AW$4,AI555)</f>
        <v>2004</v>
      </c>
      <c r="CH555" s="34">
        <f>IF(AJ555&lt;$AW$4,$AW$4,AJ555)</f>
        <v>2004</v>
      </c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</row>
    <row r="556" spans="1:115" ht="15" customHeight="1" x14ac:dyDescent="0.3">
      <c r="A556" s="235"/>
      <c r="B556" s="218"/>
      <c r="C556" s="375">
        <v>1</v>
      </c>
      <c r="D556" s="67" t="s">
        <v>2505</v>
      </c>
      <c r="E556" s="67" t="s">
        <v>2502</v>
      </c>
      <c r="F556" s="403" t="str">
        <f ca="1">IF(BC556&lt;2025, "Extinct&lt; 6Yrs?",BA556)</f>
        <v>Widespread</v>
      </c>
      <c r="G556" s="376" t="s">
        <v>525</v>
      </c>
      <c r="H556" s="376" t="s">
        <v>4028</v>
      </c>
      <c r="I556" s="380" t="s">
        <v>3094</v>
      </c>
      <c r="J556" s="378" t="s">
        <v>3559</v>
      </c>
      <c r="K556" s="378" t="s">
        <v>266</v>
      </c>
      <c r="L556" s="63" t="s">
        <v>1589</v>
      </c>
      <c r="M556" s="64" t="s">
        <v>4630</v>
      </c>
      <c r="N556" s="64" t="s">
        <v>5527</v>
      </c>
      <c r="O556" s="64" t="s">
        <v>6426</v>
      </c>
      <c r="P556" s="61" t="s">
        <v>674</v>
      </c>
      <c r="Q556" s="67" t="s">
        <v>2552</v>
      </c>
      <c r="R556" s="61" t="s">
        <v>2500</v>
      </c>
      <c r="S556" s="61" t="s">
        <v>2479</v>
      </c>
      <c r="T556" s="134" t="str">
        <f>IF(R556="Bogs Ponds Streams","20",IF(R556="Coastal Areas","26",IF(R556="Meadows Dry Open","10",IF(R556="Forest &amp; Understory","14",IF(R556="Moist Open","12",IF(R556="Moist Shady","10",IF(R556="Sub-Alpine Slopes","0")))))))</f>
        <v>10</v>
      </c>
      <c r="U556" s="134" t="str">
        <f>IF(R556="Bogs Ponds Streams","52",IF(R556="Coastal Areas","51",IF(R556="Meadows Dry Open","53",IF(R556="Forest &amp; Understory","52",IF(R556="Moist Open","50",IF(R556="Moist Shady","46",IF(R556="Sub-Alpine Slopes","40")))))))</f>
        <v>53</v>
      </c>
      <c r="V556" s="134" t="str">
        <f>IF(R556="Bogs Ponds Streams","84",IF(R556="Coastal Areas","76",IF(R556="Meadows Dry Open","96", IF(R556="Forest &amp; Understory","90", IF(R556="Moist Open","88", IF(R556="Moist Shady","82", IF(R556="Sub-Alpine Slopes","80")))))))</f>
        <v>96</v>
      </c>
      <c r="W556" s="67">
        <v>1</v>
      </c>
      <c r="X556" s="67">
        <v>0</v>
      </c>
      <c r="Y556" s="67">
        <v>3500</v>
      </c>
      <c r="Z556" s="67" t="s">
        <v>2519</v>
      </c>
      <c r="AA556" s="67" t="s">
        <v>2518</v>
      </c>
      <c r="AB556" s="67">
        <v>6.8</v>
      </c>
      <c r="AC556" s="85">
        <f>C556+AK556+(0.1)*AL556</f>
        <v>5.5</v>
      </c>
      <c r="AD556" s="78">
        <v>84</v>
      </c>
      <c r="AE556" s="67">
        <v>5</v>
      </c>
      <c r="AF556" s="67">
        <v>5</v>
      </c>
      <c r="AG556" s="67">
        <v>1900</v>
      </c>
      <c r="AH556" s="78">
        <v>0</v>
      </c>
      <c r="AI556" s="67">
        <f>AJ556</f>
        <v>2004</v>
      </c>
      <c r="AJ556" s="69">
        <v>2004</v>
      </c>
      <c r="AK556" s="69">
        <v>3</v>
      </c>
      <c r="AL556" s="69">
        <v>15</v>
      </c>
      <c r="AM556" s="70">
        <v>5</v>
      </c>
      <c r="AN556" s="70">
        <v>0</v>
      </c>
      <c r="AO556" s="86">
        <v>0</v>
      </c>
      <c r="AP556" s="70">
        <v>0</v>
      </c>
      <c r="AQ556" s="70">
        <v>0</v>
      </c>
      <c r="AR556" s="70">
        <v>0</v>
      </c>
      <c r="AS556" s="86">
        <v>0</v>
      </c>
      <c r="AT556" s="70">
        <v>0</v>
      </c>
      <c r="AU556" s="70">
        <v>0</v>
      </c>
      <c r="AV556" s="70">
        <v>0</v>
      </c>
      <c r="AW556" s="86">
        <v>0</v>
      </c>
      <c r="AX556" s="70">
        <v>0</v>
      </c>
      <c r="AY556" s="233"/>
      <c r="AZ556" s="4"/>
      <c r="BA556" s="35" t="str">
        <f>IF(OR(S556="North America",S556="Rocky Mountain"), "Widespread",BC556)</f>
        <v>Widespread</v>
      </c>
      <c r="BB556" s="4"/>
      <c r="BC556" s="35">
        <f ca="1">IF(BE556&gt;2046, "Abundant",BE556)</f>
        <v>2031.7685618538324</v>
      </c>
      <c r="BD556" s="4"/>
      <c r="BE556" s="81">
        <f ca="1">YEAR($C$13)+(BG556*80)</f>
        <v>2031.7685618538324</v>
      </c>
      <c r="BF556" s="4"/>
      <c r="BG556" s="137">
        <f ca="1">BH556*$BH$14</f>
        <v>0.15960702317290551</v>
      </c>
      <c r="BH556" s="137">
        <f ca="1">(((BJ556+BK556+BM556+BN556)/4)*$BM$11)+(((BP556+BQ556)/2)*$BQ$11)+(((BU556+BV556+BW556)/3)*$BU$11)+(((BY556+BZ556+CA556+CB556+CC556)/5)*$CA$11)</f>
        <v>0.15960702317290551</v>
      </c>
      <c r="BI556" s="4"/>
      <c r="BJ556" s="33">
        <f>AP556/(AM556+AO556)</f>
        <v>0</v>
      </c>
      <c r="BK556" s="33">
        <f>(AN556+AO556)/(AM556+AO556)</f>
        <v>0</v>
      </c>
      <c r="BL556" s="4"/>
      <c r="BM556" s="127">
        <f>CF556/102</f>
        <v>5.3921568627450983E-2</v>
      </c>
      <c r="BN556" s="127">
        <f>C556/2</f>
        <v>0.5</v>
      </c>
      <c r="BO556" s="4"/>
      <c r="BP556" s="127">
        <f>(AK556)/($AW$6)</f>
        <v>3.0303030303030304E-2</v>
      </c>
      <c r="BQ556" s="127">
        <f ca="1">(CH556-$AW$4)/((YEAR($C$13))-$AW$4)</f>
        <v>0</v>
      </c>
      <c r="BR556" s="127">
        <f>(AL556)/($AW$6)</f>
        <v>0.15151515151515152</v>
      </c>
      <c r="BS556" s="4"/>
      <c r="BT556" s="127"/>
      <c r="BU556" s="127">
        <f ca="1">(CG556-$AW$4)/((YEAR($C$13))-$AW$4)</f>
        <v>0</v>
      </c>
      <c r="BV556" s="127">
        <f>AE556/5</f>
        <v>1</v>
      </c>
      <c r="BW556" s="127">
        <f>AF556/5</f>
        <v>1</v>
      </c>
      <c r="BX556" s="4"/>
      <c r="BY556" s="148" t="str">
        <f>IF(E556="A",".98",IF(E556="B",".99",IF(E556="C","1.00",IF(E556="D","1.00" ))))</f>
        <v>.98</v>
      </c>
      <c r="BZ556" s="127">
        <f>(CE556+7)/10</f>
        <v>0.8</v>
      </c>
      <c r="CA556" s="76" t="str">
        <f>IF(D556="Fern",".97",IF(D556="Grass",".99",IF(D556="Herb",".97",IF(D556="Shrub",".99",IF(D556="Tree","1.00",IF(D556="Vine",".98"))))))</f>
        <v>.97</v>
      </c>
      <c r="CB556" s="149" t="str">
        <f>IF(R556="Bogs Ponds Streams",".96", IF(R556="Coastal Areas",".97",IF(R556="Meadows Dry Open",".96",IF(R556="Forest &amp; Understory",".97",IF(R556="Moist Open",".98",IF(R556="Moist Shady",".96",IF(R556="Sub-Alpine","1.0")))))))</f>
        <v>.96</v>
      </c>
      <c r="CC556" s="76" t="str">
        <f>IF(S556="Local Endemic",".50",IF(S556="Regional Endemic",".70",IF(S556="Cascadia",".90",IF(S556="Rocky Mountain",".95",IF(S556="North America",".99")))))</f>
        <v>.95</v>
      </c>
      <c r="CD556" s="4"/>
      <c r="CE556" s="21">
        <f>IF(W556&gt;3,3,W556)</f>
        <v>1</v>
      </c>
      <c r="CF556" s="21">
        <f>IF(AC556&gt;102,102,AC556)</f>
        <v>5.5</v>
      </c>
      <c r="CG556" s="34">
        <f>IF(AI556&lt;$AW$4,$AW$4,AI556)</f>
        <v>2004</v>
      </c>
      <c r="CH556" s="34">
        <f>IF(AJ556&lt;$AW$4,$AW$4,AJ556)</f>
        <v>2004</v>
      </c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</row>
    <row r="557" spans="1:115" ht="15" customHeight="1" x14ac:dyDescent="0.3">
      <c r="A557" s="235"/>
      <c r="B557" s="218"/>
      <c r="C557" s="226">
        <v>2</v>
      </c>
      <c r="D557" s="104" t="s">
        <v>2505</v>
      </c>
      <c r="E557" s="104" t="s">
        <v>2502</v>
      </c>
      <c r="F557" s="400">
        <f ca="1">IF(BC557&lt;2025, "Extinct&lt; 6Yrs?",BA557)</f>
        <v>2044.1778737967913</v>
      </c>
      <c r="G557" s="369" t="s">
        <v>525</v>
      </c>
      <c r="H557" s="369" t="s">
        <v>4028</v>
      </c>
      <c r="I557" s="370" t="s">
        <v>267</v>
      </c>
      <c r="J557" s="371" t="s">
        <v>3734</v>
      </c>
      <c r="K557" s="371" t="s">
        <v>1060</v>
      </c>
      <c r="L557" s="106" t="s">
        <v>1590</v>
      </c>
      <c r="M557" s="111" t="s">
        <v>4631</v>
      </c>
      <c r="N557" s="111" t="s">
        <v>5528</v>
      </c>
      <c r="O557" s="111" t="s">
        <v>6427</v>
      </c>
      <c r="P557" s="105" t="s">
        <v>674</v>
      </c>
      <c r="Q557" s="104" t="s">
        <v>2552</v>
      </c>
      <c r="R557" s="105" t="s">
        <v>2500</v>
      </c>
      <c r="S557" s="105" t="s">
        <v>2459</v>
      </c>
      <c r="T557" s="133" t="str">
        <f>IF(R557="Bogs Ponds Streams","20",IF(R557="Coastal Areas","26",IF(R557="Meadows Dry Open","10",IF(R557="Forest &amp; Understory","14",IF(R557="Moist Open","12",IF(R557="Moist Shady","10",IF(R557="Sub-Alpine Slopes","0")))))))</f>
        <v>10</v>
      </c>
      <c r="U557" s="133" t="str">
        <f>IF(R557="Bogs Ponds Streams","52",IF(R557="Coastal Areas","51",IF(R557="Meadows Dry Open","53",IF(R557="Forest &amp; Understory","52",IF(R557="Moist Open","50",IF(R557="Moist Shady","46",IF(R557="Sub-Alpine Slopes","40")))))))</f>
        <v>53</v>
      </c>
      <c r="V557" s="133" t="str">
        <f>IF(R557="Bogs Ponds Streams","84",IF(R557="Coastal Areas","76",IF(R557="Meadows Dry Open","96", IF(R557="Forest &amp; Understory","90", IF(R557="Moist Open","88", IF(R557="Moist Shady","82", IF(R557="Sub-Alpine Slopes","80")))))))</f>
        <v>96</v>
      </c>
      <c r="W557" s="104">
        <v>1</v>
      </c>
      <c r="X557" s="104">
        <v>0</v>
      </c>
      <c r="Y557" s="104">
        <v>3500</v>
      </c>
      <c r="Z557" s="104" t="s">
        <v>2519</v>
      </c>
      <c r="AA557" s="104" t="s">
        <v>2518</v>
      </c>
      <c r="AB557" s="104">
        <v>6.8</v>
      </c>
      <c r="AC557" s="107">
        <f>C557+AK557+(0.1)*AL557</f>
        <v>22.2</v>
      </c>
      <c r="AD557" s="113">
        <v>39</v>
      </c>
      <c r="AE557" s="104">
        <v>5</v>
      </c>
      <c r="AF557" s="104">
        <v>5</v>
      </c>
      <c r="AG557" s="104">
        <v>1900</v>
      </c>
      <c r="AH557" s="113">
        <v>0</v>
      </c>
      <c r="AI557" s="104">
        <f>AJ557</f>
        <v>2004</v>
      </c>
      <c r="AJ557" s="108">
        <v>2004</v>
      </c>
      <c r="AK557" s="108">
        <v>20</v>
      </c>
      <c r="AL557" s="108">
        <v>2</v>
      </c>
      <c r="AM557" s="109">
        <v>5</v>
      </c>
      <c r="AN557" s="109">
        <v>1</v>
      </c>
      <c r="AO557" s="110">
        <v>0</v>
      </c>
      <c r="AP557" s="109">
        <v>0</v>
      </c>
      <c r="AQ557" s="109">
        <v>0</v>
      </c>
      <c r="AR557" s="109">
        <v>0</v>
      </c>
      <c r="AS557" s="110">
        <v>0</v>
      </c>
      <c r="AT557" s="109">
        <v>0</v>
      </c>
      <c r="AU557" s="109">
        <v>0</v>
      </c>
      <c r="AV557" s="109">
        <v>0</v>
      </c>
      <c r="AW557" s="110">
        <v>0</v>
      </c>
      <c r="AX557" s="109">
        <v>0</v>
      </c>
      <c r="AY557" s="233"/>
      <c r="AZ557" s="4"/>
      <c r="BA557" s="35">
        <f ca="1">IF(OR(S557="North America",S557="Rocky Mountain"), "Widespread",BC557)</f>
        <v>2044.1778737967913</v>
      </c>
      <c r="BB557" s="4"/>
      <c r="BC557" s="35">
        <f ca="1">IF(BE557&gt;2046, "Abundant",BE557)</f>
        <v>2044.1778737967913</v>
      </c>
      <c r="BD557" s="4"/>
      <c r="BE557" s="81">
        <f ca="1">YEAR($C$13)+(BG557*80)</f>
        <v>2044.1778737967913</v>
      </c>
      <c r="BF557" s="4"/>
      <c r="BG557" s="137">
        <f ca="1">BH557*$BH$14</f>
        <v>0.31472342245989304</v>
      </c>
      <c r="BH557" s="137">
        <f ca="1">(((BJ557+BK557+BM557+BN557)/4)*$BM$11)+(((BP557+BQ557)/2)*$BQ$11)+(((BU557+BV557+BW557)/3)*$BU$11)+(((BY557+BZ557+CA557+CB557+CC557)/5)*$CA$11)</f>
        <v>0.31472342245989304</v>
      </c>
      <c r="BI557" s="4"/>
      <c r="BJ557" s="33">
        <f>AP557/(AM557+AO557)</f>
        <v>0</v>
      </c>
      <c r="BK557" s="33">
        <f>(AN557+AO557)/(AM557+AO557)</f>
        <v>0.2</v>
      </c>
      <c r="BL557" s="4"/>
      <c r="BM557" s="127">
        <f>CF557/102</f>
        <v>0.21764705882352942</v>
      </c>
      <c r="BN557" s="127">
        <f>C557/2</f>
        <v>1</v>
      </c>
      <c r="BO557" s="4"/>
      <c r="BP557" s="127">
        <f>(AK557)/($AW$6)</f>
        <v>0.20202020202020202</v>
      </c>
      <c r="BQ557" s="127">
        <f ca="1">(CH557-$AW$4)/((YEAR($C$13))-$AW$4)</f>
        <v>0</v>
      </c>
      <c r="BR557" s="127">
        <f>(AL557)/($AW$6)</f>
        <v>2.0202020202020204E-2</v>
      </c>
      <c r="BS557" s="4"/>
      <c r="BT557" s="127"/>
      <c r="BU557" s="127">
        <f ca="1">(CG557-$AW$4)/((YEAR($C$13))-$AW$4)</f>
        <v>0</v>
      </c>
      <c r="BV557" s="127">
        <f>AE557/5</f>
        <v>1</v>
      </c>
      <c r="BW557" s="127">
        <f>AF557/5</f>
        <v>1</v>
      </c>
      <c r="BX557" s="4"/>
      <c r="BY557" s="148" t="str">
        <f>IF(E557="A",".98",IF(E557="B",".99",IF(E557="C","1.00",IF(E557="D","1.00" ))))</f>
        <v>.98</v>
      </c>
      <c r="BZ557" s="127">
        <f>(CE557+7)/10</f>
        <v>0.8</v>
      </c>
      <c r="CA557" s="76" t="str">
        <f>IF(D557="Fern",".97",IF(D557="Grass",".99",IF(D557="Herb",".97",IF(D557="Shrub",".99",IF(D557="Tree","1.00",IF(D557="Vine",".98"))))))</f>
        <v>.97</v>
      </c>
      <c r="CB557" s="149" t="str">
        <f>IF(R557="Bogs Ponds Streams",".96", IF(R557="Coastal Areas",".97",IF(R557="Meadows Dry Open",".96",IF(R557="Forest &amp; Understory",".97",IF(R557="Moist Open",".98",IF(R557="Moist Shady",".96",IF(R557="Sub-Alpine","1.0")))))))</f>
        <v>.96</v>
      </c>
      <c r="CC557" s="76" t="str">
        <f>IF(S557="Local Endemic",".50",IF(S557="Regional Endemic",".70",IF(S557="Cascadia",".90",IF(S557="Rocky Mountain",".95",IF(S557="North America",".99")))))</f>
        <v>.90</v>
      </c>
      <c r="CD557" s="4"/>
      <c r="CE557" s="21">
        <f>IF(W557&gt;3,3,W557)</f>
        <v>1</v>
      </c>
      <c r="CF557" s="21">
        <f>IF(AC557&gt;102,102,AC557)</f>
        <v>22.2</v>
      </c>
      <c r="CG557" s="34">
        <f>IF(AI557&lt;$AW$4,$AW$4,AI557)</f>
        <v>2004</v>
      </c>
      <c r="CH557" s="34">
        <f>IF(AJ557&lt;$AW$4,$AW$4,AJ557)</f>
        <v>2004</v>
      </c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</row>
    <row r="558" spans="1:115" ht="15" customHeight="1" x14ac:dyDescent="0.3">
      <c r="A558" s="235"/>
      <c r="B558" s="218"/>
      <c r="C558" s="226">
        <v>2</v>
      </c>
      <c r="D558" s="104" t="s">
        <v>2505</v>
      </c>
      <c r="E558" s="104" t="s">
        <v>2502</v>
      </c>
      <c r="F558" s="400">
        <f ca="1">IF(BC558&lt;2025, "Extinct&lt; 6Yrs?",BA558)</f>
        <v>2045.4106638146168</v>
      </c>
      <c r="G558" s="369" t="s">
        <v>525</v>
      </c>
      <c r="H558" s="369" t="s">
        <v>4028</v>
      </c>
      <c r="I558" s="370" t="s">
        <v>630</v>
      </c>
      <c r="J558" s="371" t="s">
        <v>3733</v>
      </c>
      <c r="K558" s="371" t="s">
        <v>2796</v>
      </c>
      <c r="L558" s="106" t="s">
        <v>1591</v>
      </c>
      <c r="M558" s="111" t="s">
        <v>4632</v>
      </c>
      <c r="N558" s="111" t="s">
        <v>5529</v>
      </c>
      <c r="O558" s="111" t="s">
        <v>6428</v>
      </c>
      <c r="P558" s="105" t="s">
        <v>631</v>
      </c>
      <c r="Q558" s="104" t="s">
        <v>2552</v>
      </c>
      <c r="R558" s="105" t="s">
        <v>2530</v>
      </c>
      <c r="S558" s="105" t="s">
        <v>2459</v>
      </c>
      <c r="T558" s="133" t="str">
        <f>IF(R558="Bogs Ponds Streams","20",IF(R558="Coastal Areas","26",IF(R558="Meadows Dry Open","10",IF(R558="Forest &amp; Understory","14",IF(R558="Moist Open","12",IF(R558="Moist Shady","10",IF(R558="Sub-Alpine Slopes","0")))))))</f>
        <v>14</v>
      </c>
      <c r="U558" s="133" t="str">
        <f>IF(R558="Bogs Ponds Streams","52",IF(R558="Coastal Areas","51",IF(R558="Meadows Dry Open","53",IF(R558="Forest &amp; Understory","52",IF(R558="Moist Open","50",IF(R558="Moist Shady","46",IF(R558="Sub-Alpine Slopes","40")))))))</f>
        <v>52</v>
      </c>
      <c r="V558" s="133" t="str">
        <f>IF(R558="Bogs Ponds Streams","84",IF(R558="Coastal Areas","76",IF(R558="Meadows Dry Open","96", IF(R558="Forest &amp; Understory","90", IF(R558="Moist Open","88", IF(R558="Moist Shady","82", IF(R558="Sub-Alpine Slopes","80")))))))</f>
        <v>90</v>
      </c>
      <c r="W558" s="104">
        <v>1</v>
      </c>
      <c r="X558" s="104">
        <v>0</v>
      </c>
      <c r="Y558" s="104">
        <v>3500</v>
      </c>
      <c r="Z558" s="104" t="s">
        <v>2519</v>
      </c>
      <c r="AA558" s="104" t="s">
        <v>2518</v>
      </c>
      <c r="AB558" s="104">
        <v>6.8</v>
      </c>
      <c r="AC558" s="107">
        <f>C558+AK558+(0.1)*AL558</f>
        <v>27.5</v>
      </c>
      <c r="AD558" s="113">
        <v>113</v>
      </c>
      <c r="AE558" s="104">
        <v>5</v>
      </c>
      <c r="AF558" s="104">
        <v>5</v>
      </c>
      <c r="AG558" s="104">
        <v>1900</v>
      </c>
      <c r="AH558" s="113">
        <v>0</v>
      </c>
      <c r="AI558" s="104">
        <f>AJ558</f>
        <v>2004</v>
      </c>
      <c r="AJ558" s="108">
        <v>2004</v>
      </c>
      <c r="AK558" s="108">
        <v>25</v>
      </c>
      <c r="AL558" s="108">
        <v>5</v>
      </c>
      <c r="AM558" s="109">
        <v>5</v>
      </c>
      <c r="AN558" s="109">
        <v>1</v>
      </c>
      <c r="AO558" s="110">
        <v>0</v>
      </c>
      <c r="AP558" s="109">
        <v>0</v>
      </c>
      <c r="AQ558" s="109">
        <v>0</v>
      </c>
      <c r="AR558" s="109">
        <v>0</v>
      </c>
      <c r="AS558" s="110">
        <v>0</v>
      </c>
      <c r="AT558" s="109">
        <v>0</v>
      </c>
      <c r="AU558" s="109">
        <v>0</v>
      </c>
      <c r="AV558" s="109">
        <v>0</v>
      </c>
      <c r="AW558" s="110">
        <v>0</v>
      </c>
      <c r="AX558" s="109">
        <v>0</v>
      </c>
      <c r="AY558" s="233"/>
      <c r="AZ558" s="4"/>
      <c r="BA558" s="35">
        <f ca="1">IF(OR(S558="North America",S558="Rocky Mountain"), "Widespread",BC558)</f>
        <v>2045.4106638146168</v>
      </c>
      <c r="BB558" s="4"/>
      <c r="BC558" s="35">
        <f ca="1">IF(BE558&gt;2046, "Abundant",BE558)</f>
        <v>2045.4106638146168</v>
      </c>
      <c r="BD558" s="4"/>
      <c r="BE558" s="81">
        <f ca="1">YEAR($C$13)+(BG558*80)</f>
        <v>2045.4106638146168</v>
      </c>
      <c r="BF558" s="4"/>
      <c r="BG558" s="137">
        <f ca="1">BH558*$BH$14</f>
        <v>0.33013329768270949</v>
      </c>
      <c r="BH558" s="137">
        <f ca="1">(((BJ558+BK558+BM558+BN558)/4)*$BM$11)+(((BP558+BQ558)/2)*$BQ$11)+(((BU558+BV558+BW558)/3)*$BU$11)+(((BY558+BZ558+CA558+CB558+CC558)/5)*$CA$11)</f>
        <v>0.33013329768270949</v>
      </c>
      <c r="BI558" s="4"/>
      <c r="BJ558" s="33">
        <f>AP558/(AM558+AO558)</f>
        <v>0</v>
      </c>
      <c r="BK558" s="33">
        <f>(AN558+AO558)/(AM558+AO558)</f>
        <v>0.2</v>
      </c>
      <c r="BL558" s="4"/>
      <c r="BM558" s="127">
        <f>CF558/102</f>
        <v>0.26960784313725489</v>
      </c>
      <c r="BN558" s="127">
        <f>C558/2</f>
        <v>1</v>
      </c>
      <c r="BO558" s="4"/>
      <c r="BP558" s="127">
        <f>(AK558)/($AW$6)</f>
        <v>0.25252525252525254</v>
      </c>
      <c r="BQ558" s="127">
        <f ca="1">(CH558-$AW$4)/((YEAR($C$13))-$AW$4)</f>
        <v>0</v>
      </c>
      <c r="BR558" s="127">
        <f>(AL558)/($AW$6)</f>
        <v>5.0505050505050504E-2</v>
      </c>
      <c r="BS558" s="4"/>
      <c r="BT558" s="127"/>
      <c r="BU558" s="127">
        <f ca="1">(CG558-$AW$4)/((YEAR($C$13))-$AW$4)</f>
        <v>0</v>
      </c>
      <c r="BV558" s="127">
        <f>AE558/5</f>
        <v>1</v>
      </c>
      <c r="BW558" s="127">
        <f>AF558/5</f>
        <v>1</v>
      </c>
      <c r="BX558" s="4"/>
      <c r="BY558" s="148" t="str">
        <f>IF(E558="A",".98",IF(E558="B",".99",IF(E558="C","1.00",IF(E558="D","1.00" ))))</f>
        <v>.98</v>
      </c>
      <c r="BZ558" s="127">
        <f>(CE558+7)/10</f>
        <v>0.8</v>
      </c>
      <c r="CA558" s="76" t="str">
        <f>IF(D558="Fern",".97",IF(D558="Grass",".99",IF(D558="Herb",".97",IF(D558="Shrub",".99",IF(D558="Tree","1.00",IF(D558="Vine",".98"))))))</f>
        <v>.97</v>
      </c>
      <c r="CB558" s="149" t="str">
        <f>IF(R558="Bogs Ponds Streams",".96", IF(R558="Coastal Areas",".97",IF(R558="Meadows Dry Open",".96",IF(R558="Forest &amp; Understory",".97",IF(R558="Moist Open",".98",IF(R558="Moist Shady",".96",IF(R558="Sub-Alpine","1.0")))))))</f>
        <v>.97</v>
      </c>
      <c r="CC558" s="76" t="str">
        <f>IF(S558="Local Endemic",".50",IF(S558="Regional Endemic",".70",IF(S558="Cascadia",".90",IF(S558="Rocky Mountain",".95",IF(S558="North America",".99")))))</f>
        <v>.90</v>
      </c>
      <c r="CD558" s="4"/>
      <c r="CE558" s="21">
        <f>IF(W558&gt;3,3,W558)</f>
        <v>1</v>
      </c>
      <c r="CF558" s="21">
        <f>IF(AC558&gt;102,102,AC558)</f>
        <v>27.5</v>
      </c>
      <c r="CG558" s="34">
        <f>IF(AI558&lt;$AW$4,$AW$4,AI558)</f>
        <v>2004</v>
      </c>
      <c r="CH558" s="34">
        <f>IF(AJ558&lt;$AW$4,$AW$4,AJ558)</f>
        <v>2004</v>
      </c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</row>
    <row r="559" spans="1:115" ht="15" customHeight="1" x14ac:dyDescent="0.3">
      <c r="A559" s="235"/>
      <c r="B559" s="218"/>
      <c r="C559" s="375">
        <v>1</v>
      </c>
      <c r="D559" s="67" t="s">
        <v>2505</v>
      </c>
      <c r="E559" s="67" t="s">
        <v>2502</v>
      </c>
      <c r="F559" s="403">
        <f ca="1">IF(BC559&lt;2025, "Extinct&lt; 6Yrs?",BA559)</f>
        <v>2031.6113853832442</v>
      </c>
      <c r="G559" s="376" t="s">
        <v>525</v>
      </c>
      <c r="H559" s="376" t="s">
        <v>4028</v>
      </c>
      <c r="I559" s="380" t="s">
        <v>632</v>
      </c>
      <c r="J559" s="378" t="s">
        <v>3558</v>
      </c>
      <c r="K559" s="378" t="s">
        <v>1061</v>
      </c>
      <c r="L559" s="63" t="s">
        <v>1592</v>
      </c>
      <c r="M559" s="64" t="s">
        <v>4633</v>
      </c>
      <c r="N559" s="64" t="s">
        <v>5530</v>
      </c>
      <c r="O559" s="64" t="s">
        <v>6429</v>
      </c>
      <c r="P559" s="61" t="s">
        <v>631</v>
      </c>
      <c r="Q559" s="67" t="s">
        <v>2552</v>
      </c>
      <c r="R559" s="61" t="s">
        <v>2498</v>
      </c>
      <c r="S559" s="61" t="s">
        <v>2459</v>
      </c>
      <c r="T559" s="134" t="str">
        <f>IF(R559="Bogs Ponds Streams","20",IF(R559="Coastal Areas","26",IF(R559="Meadows Dry Open","10",IF(R559="Forest &amp; Understory","14",IF(R559="Moist Open","12",IF(R559="Moist Shady","10",IF(R559="Sub-Alpine Slopes","0")))))))</f>
        <v>10</v>
      </c>
      <c r="U559" s="134" t="str">
        <f>IF(R559="Bogs Ponds Streams","52",IF(R559="Coastal Areas","51",IF(R559="Meadows Dry Open","53",IF(R559="Forest &amp; Understory","52",IF(R559="Moist Open","50",IF(R559="Moist Shady","46",IF(R559="Sub-Alpine Slopes","40")))))))</f>
        <v>46</v>
      </c>
      <c r="V559" s="134" t="str">
        <f>IF(R559="Bogs Ponds Streams","84",IF(R559="Coastal Areas","76",IF(R559="Meadows Dry Open","96", IF(R559="Forest &amp; Understory","90", IF(R559="Moist Open","88", IF(R559="Moist Shady","82", IF(R559="Sub-Alpine Slopes","80")))))))</f>
        <v>82</v>
      </c>
      <c r="W559" s="67">
        <v>1</v>
      </c>
      <c r="X559" s="67">
        <v>0</v>
      </c>
      <c r="Y559" s="67">
        <v>3500</v>
      </c>
      <c r="Z559" s="67" t="s">
        <v>2519</v>
      </c>
      <c r="AA559" s="67" t="s">
        <v>2518</v>
      </c>
      <c r="AB559" s="67">
        <v>6.8</v>
      </c>
      <c r="AC559" s="85">
        <f>C559+AK559+(0.1)*AL559</f>
        <v>4.3</v>
      </c>
      <c r="AD559" s="78">
        <v>30</v>
      </c>
      <c r="AE559" s="67">
        <v>5</v>
      </c>
      <c r="AF559" s="67">
        <v>5</v>
      </c>
      <c r="AG559" s="67">
        <v>1900</v>
      </c>
      <c r="AH559" s="78">
        <v>0</v>
      </c>
      <c r="AI559" s="67">
        <f>AJ559</f>
        <v>2004</v>
      </c>
      <c r="AJ559" s="69">
        <v>2004</v>
      </c>
      <c r="AK559" s="69">
        <v>3</v>
      </c>
      <c r="AL559" s="69">
        <v>3</v>
      </c>
      <c r="AM559" s="70">
        <v>5</v>
      </c>
      <c r="AN559" s="70">
        <v>0</v>
      </c>
      <c r="AO559" s="86">
        <v>0</v>
      </c>
      <c r="AP559" s="70">
        <v>0</v>
      </c>
      <c r="AQ559" s="70">
        <v>0</v>
      </c>
      <c r="AR559" s="70">
        <v>0</v>
      </c>
      <c r="AS559" s="86">
        <v>0</v>
      </c>
      <c r="AT559" s="70">
        <v>0</v>
      </c>
      <c r="AU559" s="70">
        <v>0</v>
      </c>
      <c r="AV559" s="70">
        <v>0</v>
      </c>
      <c r="AW559" s="86">
        <v>0</v>
      </c>
      <c r="AX559" s="70">
        <v>0</v>
      </c>
      <c r="AY559" s="233"/>
      <c r="AZ559" s="4"/>
      <c r="BA559" s="35">
        <f ca="1">IF(OR(S559="North America",S559="Rocky Mountain"), "Widespread",BC559)</f>
        <v>2031.6113853832442</v>
      </c>
      <c r="BB559" s="4"/>
      <c r="BC559" s="35">
        <f ca="1">IF(BE559&gt;2046, "Abundant",BE559)</f>
        <v>2031.6113853832442</v>
      </c>
      <c r="BD559" s="4"/>
      <c r="BE559" s="81">
        <f ca="1">YEAR($C$13)+(BG559*80)</f>
        <v>2031.6113853832442</v>
      </c>
      <c r="BF559" s="4"/>
      <c r="BG559" s="137">
        <f ca="1">BH559*$BH$14</f>
        <v>0.15764231729055259</v>
      </c>
      <c r="BH559" s="137">
        <f ca="1">(((BJ559+BK559+BM559+BN559)/4)*$BM$11)+(((BP559+BQ559)/2)*$BQ$11)+(((BU559+BV559+BW559)/3)*$BU$11)+(((BY559+BZ559+CA559+CB559+CC559)/5)*$CA$11)</f>
        <v>0.15764231729055259</v>
      </c>
      <c r="BI559" s="4"/>
      <c r="BJ559" s="33">
        <f>AP559/(AM559+AO559)</f>
        <v>0</v>
      </c>
      <c r="BK559" s="33">
        <f>(AN559+AO559)/(AM559+AO559)</f>
        <v>0</v>
      </c>
      <c r="BL559" s="4"/>
      <c r="BM559" s="127">
        <f>CF559/102</f>
        <v>4.2156862745098035E-2</v>
      </c>
      <c r="BN559" s="127">
        <f>C559/2</f>
        <v>0.5</v>
      </c>
      <c r="BO559" s="4"/>
      <c r="BP559" s="127">
        <f>(AK559)/($AW$6)</f>
        <v>3.0303030303030304E-2</v>
      </c>
      <c r="BQ559" s="127">
        <f ca="1">(CH559-$AW$4)/((YEAR($C$13))-$AW$4)</f>
        <v>0</v>
      </c>
      <c r="BR559" s="127">
        <f>(AL559)/($AW$6)</f>
        <v>3.0303030303030304E-2</v>
      </c>
      <c r="BS559" s="4"/>
      <c r="BT559" s="127"/>
      <c r="BU559" s="127">
        <f ca="1">(CG559-$AW$4)/((YEAR($C$13))-$AW$4)</f>
        <v>0</v>
      </c>
      <c r="BV559" s="127">
        <f>AE559/5</f>
        <v>1</v>
      </c>
      <c r="BW559" s="127">
        <f>AF559/5</f>
        <v>1</v>
      </c>
      <c r="BX559" s="4"/>
      <c r="BY559" s="148" t="str">
        <f>IF(E559="A",".98",IF(E559="B",".99",IF(E559="C","1.00",IF(E559="D","1.00" ))))</f>
        <v>.98</v>
      </c>
      <c r="BZ559" s="127">
        <f>(CE559+7)/10</f>
        <v>0.8</v>
      </c>
      <c r="CA559" s="76" t="str">
        <f>IF(D559="Fern",".97",IF(D559="Grass",".99",IF(D559="Herb",".97",IF(D559="Shrub",".99",IF(D559="Tree","1.00",IF(D559="Vine",".98"))))))</f>
        <v>.97</v>
      </c>
      <c r="CB559" s="149" t="str">
        <f>IF(R559="Bogs Ponds Streams",".96", IF(R559="Coastal Areas",".97",IF(R559="Meadows Dry Open",".96",IF(R559="Forest &amp; Understory",".97",IF(R559="Moist Open",".98",IF(R559="Moist Shady",".96",IF(R559="Sub-Alpine","1.0")))))))</f>
        <v>.96</v>
      </c>
      <c r="CC559" s="76" t="str">
        <f>IF(S559="Local Endemic",".50",IF(S559="Regional Endemic",".70",IF(S559="Cascadia",".90",IF(S559="Rocky Mountain",".95",IF(S559="North America",".99")))))</f>
        <v>.90</v>
      </c>
      <c r="CD559" s="4"/>
      <c r="CE559" s="21">
        <f>IF(W559&gt;3,3,W559)</f>
        <v>1</v>
      </c>
      <c r="CF559" s="21">
        <f>IF(AC559&gt;102,102,AC559)</f>
        <v>4.3</v>
      </c>
      <c r="CG559" s="34">
        <f>IF(AI559&lt;$AW$4,$AW$4,AI559)</f>
        <v>2004</v>
      </c>
      <c r="CH559" s="34">
        <f>IF(AJ559&lt;$AW$4,$AW$4,AJ559)</f>
        <v>2004</v>
      </c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</row>
    <row r="560" spans="1:115" ht="15" customHeight="1" x14ac:dyDescent="0.3">
      <c r="A560" s="235"/>
      <c r="B560" s="218"/>
      <c r="C560" s="375">
        <v>1</v>
      </c>
      <c r="D560" s="67" t="s">
        <v>2505</v>
      </c>
      <c r="E560" s="67" t="s">
        <v>2502</v>
      </c>
      <c r="F560" s="403" t="str">
        <f ca="1">IF(BC560&lt;2025, "Extinct&lt; 6Yrs?",BA560)</f>
        <v>Widespread</v>
      </c>
      <c r="G560" s="376" t="s">
        <v>525</v>
      </c>
      <c r="H560" s="376" t="s">
        <v>4028</v>
      </c>
      <c r="I560" s="379" t="s">
        <v>3095</v>
      </c>
      <c r="J560" s="378" t="s">
        <v>3557</v>
      </c>
      <c r="K560" s="378" t="s">
        <v>1019</v>
      </c>
      <c r="L560" s="63" t="s">
        <v>1535</v>
      </c>
      <c r="M560" s="64" t="s">
        <v>4634</v>
      </c>
      <c r="N560" s="64" t="s">
        <v>5531</v>
      </c>
      <c r="O560" s="64" t="s">
        <v>6430</v>
      </c>
      <c r="P560" s="61" t="s">
        <v>458</v>
      </c>
      <c r="Q560" s="67" t="s">
        <v>2552</v>
      </c>
      <c r="R560" s="61" t="s">
        <v>2498</v>
      </c>
      <c r="S560" s="61" t="s">
        <v>2495</v>
      </c>
      <c r="T560" s="134" t="str">
        <f>IF(R560="Bogs Ponds Streams","20",IF(R560="Coastal Areas","26",IF(R560="Meadows Dry Open","10",IF(R560="Forest &amp; Understory","14",IF(R560="Moist Open","12",IF(R560="Moist Shady","10",IF(R560="Sub-Alpine Slopes","0")))))))</f>
        <v>10</v>
      </c>
      <c r="U560" s="134" t="str">
        <f>IF(R560="Bogs Ponds Streams","52",IF(R560="Coastal Areas","51",IF(R560="Meadows Dry Open","53",IF(R560="Forest &amp; Understory","52",IF(R560="Moist Open","50",IF(R560="Moist Shady","46",IF(R560="Sub-Alpine Slopes","40")))))))</f>
        <v>46</v>
      </c>
      <c r="V560" s="134" t="str">
        <f>IF(R560="Bogs Ponds Streams","84",IF(R560="Coastal Areas","76",IF(R560="Meadows Dry Open","96", IF(R560="Forest &amp; Understory","90", IF(R560="Moist Open","88", IF(R560="Moist Shady","82", IF(R560="Sub-Alpine Slopes","80")))))))</f>
        <v>82</v>
      </c>
      <c r="W560" s="67">
        <v>1</v>
      </c>
      <c r="X560" s="67">
        <v>0</v>
      </c>
      <c r="Y560" s="67">
        <v>3500</v>
      </c>
      <c r="Z560" s="67" t="s">
        <v>2519</v>
      </c>
      <c r="AA560" s="67" t="s">
        <v>2518</v>
      </c>
      <c r="AB560" s="67">
        <v>6.8</v>
      </c>
      <c r="AC560" s="85">
        <f>C560+AK560+(0.1)*AL560</f>
        <v>35.1</v>
      </c>
      <c r="AD560" s="78">
        <v>135</v>
      </c>
      <c r="AE560" s="67">
        <v>5</v>
      </c>
      <c r="AF560" s="67">
        <v>5</v>
      </c>
      <c r="AG560" s="67">
        <v>1900</v>
      </c>
      <c r="AH560" s="78">
        <v>0</v>
      </c>
      <c r="AI560" s="67">
        <f>AJ560</f>
        <v>2004</v>
      </c>
      <c r="AJ560" s="69">
        <v>2004</v>
      </c>
      <c r="AK560" s="69">
        <v>33</v>
      </c>
      <c r="AL560" s="69">
        <v>11</v>
      </c>
      <c r="AM560" s="70">
        <v>5</v>
      </c>
      <c r="AN560" s="70">
        <v>0</v>
      </c>
      <c r="AO560" s="86">
        <v>0</v>
      </c>
      <c r="AP560" s="70">
        <v>0</v>
      </c>
      <c r="AQ560" s="70">
        <v>0</v>
      </c>
      <c r="AR560" s="70">
        <v>0</v>
      </c>
      <c r="AS560" s="86">
        <v>0</v>
      </c>
      <c r="AT560" s="70">
        <v>0</v>
      </c>
      <c r="AU560" s="70">
        <v>0</v>
      </c>
      <c r="AV560" s="70">
        <v>0</v>
      </c>
      <c r="AW560" s="86">
        <v>0</v>
      </c>
      <c r="AX560" s="70">
        <v>0</v>
      </c>
      <c r="AY560" s="233"/>
      <c r="AZ560" s="4"/>
      <c r="BA560" s="35" t="str">
        <f>IF(OR(S560="North America",S560="Rocky Mountain"), "Widespread",BC560)</f>
        <v>Widespread</v>
      </c>
      <c r="BB560" s="4"/>
      <c r="BC560" s="35">
        <f ca="1">IF(BE560&gt;2046, "Abundant",BE560)</f>
        <v>2038.9000784313725</v>
      </c>
      <c r="BD560" s="4"/>
      <c r="BE560" s="81">
        <f ca="1">YEAR($C$13)+(BG560*80)</f>
        <v>2038.9000784313725</v>
      </c>
      <c r="BF560" s="4"/>
      <c r="BG560" s="137">
        <f ca="1">BH560*$BH$14</f>
        <v>0.24875098039215685</v>
      </c>
      <c r="BH560" s="137">
        <f ca="1">(((BJ560+BK560+BM560+BN560)/4)*$BM$11)+(((BP560+BQ560)/2)*$BQ$11)+(((BU560+BV560+BW560)/3)*$BU$11)+(((BY560+BZ560+CA560+CB560+CC560)/5)*$CA$11)</f>
        <v>0.24875098039215685</v>
      </c>
      <c r="BI560" s="4"/>
      <c r="BJ560" s="33">
        <f>AP560/(AM560+AO560)</f>
        <v>0</v>
      </c>
      <c r="BK560" s="33">
        <f>(AN560+AO560)/(AM560+AO560)</f>
        <v>0</v>
      </c>
      <c r="BL560" s="4"/>
      <c r="BM560" s="127">
        <f>CF560/102</f>
        <v>0.34411764705882353</v>
      </c>
      <c r="BN560" s="127">
        <f>C560/2</f>
        <v>0.5</v>
      </c>
      <c r="BO560" s="4"/>
      <c r="BP560" s="127">
        <f>(AK560)/($AW$6)</f>
        <v>0.33333333333333331</v>
      </c>
      <c r="BQ560" s="127">
        <f ca="1">(CH560-$AW$4)/((YEAR($C$13))-$AW$4)</f>
        <v>0</v>
      </c>
      <c r="BR560" s="127">
        <f>(AL560)/($AW$6)</f>
        <v>0.1111111111111111</v>
      </c>
      <c r="BS560" s="4"/>
      <c r="BT560" s="127"/>
      <c r="BU560" s="127">
        <f ca="1">(CG560-$AW$4)/((YEAR($C$13))-$AW$4)</f>
        <v>0</v>
      </c>
      <c r="BV560" s="127">
        <f>AE560/5</f>
        <v>1</v>
      </c>
      <c r="BW560" s="127">
        <f>AF560/5</f>
        <v>1</v>
      </c>
      <c r="BX560" s="4"/>
      <c r="BY560" s="148" t="str">
        <f>IF(E560="A",".98",IF(E560="B",".99",IF(E560="C","1.00",IF(E560="D","1.00" ))))</f>
        <v>.98</v>
      </c>
      <c r="BZ560" s="127">
        <f>(CE560+7)/10</f>
        <v>0.8</v>
      </c>
      <c r="CA560" s="76" t="str">
        <f>IF(D560="Fern",".97",IF(D560="Grass",".99",IF(D560="Herb",".97",IF(D560="Shrub",".99",IF(D560="Tree","1.00",IF(D560="Vine",".98"))))))</f>
        <v>.97</v>
      </c>
      <c r="CB560" s="149" t="str">
        <f>IF(R560="Bogs Ponds Streams",".96", IF(R560="Coastal Areas",".97",IF(R560="Meadows Dry Open",".96",IF(R560="Forest &amp; Understory",".97",IF(R560="Moist Open",".98",IF(R560="Moist Shady",".96",IF(R560="Sub-Alpine","1.0")))))))</f>
        <v>.96</v>
      </c>
      <c r="CC560" s="76" t="str">
        <f>IF(S560="Local Endemic",".50",IF(S560="Regional Endemic",".70",IF(S560="Cascadia",".90",IF(S560="Rocky Mountain",".95",IF(S560="North America",".99")))))</f>
        <v>.99</v>
      </c>
      <c r="CD560" s="4"/>
      <c r="CE560" s="21">
        <f>IF(W560&gt;3,3,W560)</f>
        <v>1</v>
      </c>
      <c r="CF560" s="21">
        <f>IF(AC560&gt;102,102,AC560)</f>
        <v>35.1</v>
      </c>
      <c r="CG560" s="34">
        <f>IF(AI560&lt;$AW$4,$AW$4,AI560)</f>
        <v>2004</v>
      </c>
      <c r="CH560" s="34">
        <f>IF(AJ560&lt;$AW$4,$AW$4,AJ560)</f>
        <v>2004</v>
      </c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</row>
    <row r="561" spans="1:115" ht="15" customHeight="1" x14ac:dyDescent="0.3">
      <c r="A561" s="235"/>
      <c r="B561" s="218"/>
      <c r="C561" s="225">
        <v>8</v>
      </c>
      <c r="D561" s="59" t="s">
        <v>2505</v>
      </c>
      <c r="E561" s="59" t="s">
        <v>2501</v>
      </c>
      <c r="F561" s="397" t="str">
        <f ca="1">IF(BC561&lt;2025, "Extinct&lt; 6Yrs?",BA561)</f>
        <v>Abundant</v>
      </c>
      <c r="G561" s="363" t="s">
        <v>525</v>
      </c>
      <c r="H561" s="363" t="s">
        <v>686</v>
      </c>
      <c r="I561" s="366" t="s">
        <v>3096</v>
      </c>
      <c r="J561" s="365" t="s">
        <v>3427</v>
      </c>
      <c r="K561" s="365" t="s">
        <v>82</v>
      </c>
      <c r="L561" s="10" t="s">
        <v>2797</v>
      </c>
      <c r="M561" s="8" t="s">
        <v>4635</v>
      </c>
      <c r="N561" s="8" t="s">
        <v>5532</v>
      </c>
      <c r="O561" s="8" t="s">
        <v>6431</v>
      </c>
      <c r="P561" s="9" t="s">
        <v>672</v>
      </c>
      <c r="Q561" s="59" t="s">
        <v>2552</v>
      </c>
      <c r="R561" s="9" t="s">
        <v>2530</v>
      </c>
      <c r="S561" s="9" t="s">
        <v>2459</v>
      </c>
      <c r="T561" s="123" t="str">
        <f>IF(R561="Bogs Ponds Streams","20",IF(R561="Coastal Areas","26",IF(R561="Meadows Dry Open","10",IF(R561="Forest &amp; Understory","14",IF(R561="Moist Open","12",IF(R561="Moist Shady","10",IF(R561="Sub-Alpine Slopes","0")))))))</f>
        <v>14</v>
      </c>
      <c r="U561" s="123" t="str">
        <f>IF(R561="Bogs Ponds Streams","52",IF(R561="Coastal Areas","51",IF(R561="Meadows Dry Open","53",IF(R561="Forest &amp; Understory","52",IF(R561="Moist Open","50",IF(R561="Moist Shady","46",IF(R561="Sub-Alpine Slopes","40")))))))</f>
        <v>52</v>
      </c>
      <c r="V561" s="123" t="str">
        <f>IF(R561="Bogs Ponds Streams","84",IF(R561="Coastal Areas","76",IF(R561="Meadows Dry Open","96", IF(R561="Forest &amp; Understory","90", IF(R561="Moist Open","88", IF(R561="Moist Shady","82", IF(R561="Sub-Alpine Slopes","80")))))))</f>
        <v>90</v>
      </c>
      <c r="W561" s="59">
        <v>20</v>
      </c>
      <c r="X561" s="59">
        <v>0</v>
      </c>
      <c r="Y561" s="59">
        <v>3500</v>
      </c>
      <c r="Z561" s="59" t="s">
        <v>2519</v>
      </c>
      <c r="AA561" s="59" t="s">
        <v>2518</v>
      </c>
      <c r="AB561" s="59">
        <v>6.8</v>
      </c>
      <c r="AC561" s="45">
        <f>C561+AK561+(0.1)*AL561</f>
        <v>17.2</v>
      </c>
      <c r="AD561" s="77">
        <v>69</v>
      </c>
      <c r="AE561" s="59">
        <v>5</v>
      </c>
      <c r="AF561" s="59">
        <v>5</v>
      </c>
      <c r="AG561" s="59">
        <v>1900</v>
      </c>
      <c r="AH561" s="77">
        <v>0</v>
      </c>
      <c r="AI561" s="59">
        <f ca="1">AJ561</f>
        <v>2019</v>
      </c>
      <c r="AJ561" s="18">
        <f ca="1">YEAR(TODAY())</f>
        <v>2019</v>
      </c>
      <c r="AK561" s="18">
        <v>8</v>
      </c>
      <c r="AL561" s="18">
        <v>12</v>
      </c>
      <c r="AM561" s="18">
        <v>1</v>
      </c>
      <c r="AN561" s="18">
        <v>1</v>
      </c>
      <c r="AO561" s="18">
        <v>5</v>
      </c>
      <c r="AP561" s="18">
        <v>1</v>
      </c>
      <c r="AQ561" s="18">
        <v>0</v>
      </c>
      <c r="AR561" s="18">
        <v>0</v>
      </c>
      <c r="AS561" s="18">
        <v>0</v>
      </c>
      <c r="AT561" s="18">
        <v>0</v>
      </c>
      <c r="AU561" s="18">
        <v>0</v>
      </c>
      <c r="AV561" s="18">
        <v>0</v>
      </c>
      <c r="AW561" s="18">
        <v>0</v>
      </c>
      <c r="AX561" s="18">
        <v>0</v>
      </c>
      <c r="AY561" s="233"/>
      <c r="AZ561" s="4"/>
      <c r="BA561" s="35" t="str">
        <f ca="1">IF(OR(S561="North America",S561="Rocky Mountain"), "Widespread",BC561)</f>
        <v>Abundant</v>
      </c>
      <c r="BB561" s="4"/>
      <c r="BC561" s="35" t="str">
        <f ca="1">IF(BE561&gt;2046, "Abundant",BE561)</f>
        <v>Abundant</v>
      </c>
      <c r="BD561" s="4"/>
      <c r="BE561" s="81">
        <f ca="1">YEAR($C$13)+(BG561*80)</f>
        <v>2103.9420263814618</v>
      </c>
      <c r="BF561" s="4"/>
      <c r="BG561" s="137">
        <f ca="1">BH561*$BH$14</f>
        <v>1.061775329768271</v>
      </c>
      <c r="BH561" s="137">
        <f ca="1">(((BJ561+BK561+BM561+BN561)/4)*$BM$11)+(((BP561+BQ561)/2)*$BQ$11)+(((BU561+BV561+BW561)/3)*$BU$11)+(((BY561+BZ561+CA561+CB561+CC561)/5)*$CA$11)</f>
        <v>1.061775329768271</v>
      </c>
      <c r="BI561" s="4"/>
      <c r="BJ561" s="33">
        <f>AP561/(AM561+AO561)</f>
        <v>0.16666666666666666</v>
      </c>
      <c r="BK561" s="33">
        <f>(AN561+AO561)/(AM561+AO561)</f>
        <v>1</v>
      </c>
      <c r="BL561" s="4"/>
      <c r="BM561" s="127">
        <f>CF561/102</f>
        <v>0.16862745098039214</v>
      </c>
      <c r="BN561" s="127">
        <f>C561/2</f>
        <v>4</v>
      </c>
      <c r="BO561" s="4"/>
      <c r="BP561" s="127">
        <f>(AK561)/($AW$6)</f>
        <v>8.0808080808080815E-2</v>
      </c>
      <c r="BQ561" s="127">
        <f ca="1">(CH561-$AW$4)/((YEAR($C$13))-$AW$4)</f>
        <v>1</v>
      </c>
      <c r="BR561" s="127">
        <f>(AL561)/($AW$6)</f>
        <v>0.12121212121212122</v>
      </c>
      <c r="BS561" s="4"/>
      <c r="BT561" s="127"/>
      <c r="BU561" s="127">
        <f ca="1">(CG561-$AW$4)/((YEAR($C$13))-$AW$4)</f>
        <v>1</v>
      </c>
      <c r="BV561" s="127">
        <f>AE561/5</f>
        <v>1</v>
      </c>
      <c r="BW561" s="127">
        <f>AF561/5</f>
        <v>1</v>
      </c>
      <c r="BX561" s="4"/>
      <c r="BY561" s="148" t="str">
        <f>IF(E561="A",".98",IF(E561="B",".99",IF(E561="C","1.00",IF(E561="D","1.00" ))))</f>
        <v>1.00</v>
      </c>
      <c r="BZ561" s="127">
        <f>(CE561+7)/10</f>
        <v>1</v>
      </c>
      <c r="CA561" s="76" t="str">
        <f>IF(D561="Fern",".97",IF(D561="Grass",".99",IF(D561="Herb",".97",IF(D561="Shrub",".99",IF(D561="Tree","1.00",IF(D561="Vine",".98"))))))</f>
        <v>.97</v>
      </c>
      <c r="CB561" s="149" t="str">
        <f>IF(R561="Bogs Ponds Streams",".96", IF(R561="Coastal Areas",".97",IF(R561="Meadows Dry Open",".96",IF(R561="Forest &amp; Understory",".97",IF(R561="Moist Open",".98",IF(R561="Moist Shady",".96",IF(R561="Sub-Alpine","1.0")))))))</f>
        <v>.97</v>
      </c>
      <c r="CC561" s="76" t="str">
        <f>IF(S561="Local Endemic",".50",IF(S561="Regional Endemic",".70",IF(S561="Cascadia",".90",IF(S561="Rocky Mountain",".95",IF(S561="North America",".99")))))</f>
        <v>.90</v>
      </c>
      <c r="CD561" s="4"/>
      <c r="CE561" s="21">
        <f>IF(W561&gt;3,3,W561)</f>
        <v>3</v>
      </c>
      <c r="CF561" s="21">
        <f>IF(AC561&gt;102,102,AC561)</f>
        <v>17.2</v>
      </c>
      <c r="CG561" s="34">
        <f ca="1">IF(AI561&lt;$AW$4,$AW$4,AI561)</f>
        <v>2019</v>
      </c>
      <c r="CH561" s="34">
        <f ca="1">IF(AJ561&lt;$AW$4,$AW$4,AJ561)</f>
        <v>2019</v>
      </c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13"/>
    </row>
    <row r="562" spans="1:115" ht="15" customHeight="1" x14ac:dyDescent="0.3">
      <c r="A562" s="235"/>
      <c r="B562" s="218"/>
      <c r="C562" s="225">
        <v>8</v>
      </c>
      <c r="D562" s="59" t="s">
        <v>2505</v>
      </c>
      <c r="E562" s="59" t="s">
        <v>2501</v>
      </c>
      <c r="F562" s="397" t="str">
        <f ca="1">IF(BC562&lt;2025, "Extinct&lt; 6Yrs?",BA562)</f>
        <v>Widespread</v>
      </c>
      <c r="G562" s="363" t="s">
        <v>525</v>
      </c>
      <c r="H562" s="363" t="s">
        <v>685</v>
      </c>
      <c r="I562" s="366" t="s">
        <v>2586</v>
      </c>
      <c r="J562" s="365" t="s">
        <v>3428</v>
      </c>
      <c r="K562" s="365" t="s">
        <v>1062</v>
      </c>
      <c r="L562" s="10" t="s">
        <v>1593</v>
      </c>
      <c r="M562" s="8" t="s">
        <v>4636</v>
      </c>
      <c r="N562" s="8" t="s">
        <v>5533</v>
      </c>
      <c r="O562" s="8" t="s">
        <v>6432</v>
      </c>
      <c r="P562" s="9" t="s">
        <v>658</v>
      </c>
      <c r="Q562" s="59" t="s">
        <v>2552</v>
      </c>
      <c r="R562" s="160" t="s">
        <v>2497</v>
      </c>
      <c r="S562" s="17" t="s">
        <v>2479</v>
      </c>
      <c r="T562" s="123" t="str">
        <f>IF(R562="Bogs Ponds Streams","20",IF(R562="Coastal Areas","26",IF(R562="Meadows Dry Open","10",IF(R562="Forest &amp; Understory","14",IF(R562="Moist Open","12",IF(R562="Moist Shady","10",IF(R562="Sub-Alpine Slopes","0")))))))</f>
        <v>12</v>
      </c>
      <c r="U562" s="123" t="str">
        <f>IF(R562="Bogs Ponds Streams","52",IF(R562="Coastal Areas","51",IF(R562="Meadows Dry Open","53",IF(R562="Forest &amp; Understory","52",IF(R562="Moist Open","50",IF(R562="Moist Shady","46",IF(R562="Sub-Alpine Slopes","40")))))))</f>
        <v>50</v>
      </c>
      <c r="V562" s="123" t="str">
        <f>IF(R562="Bogs Ponds Streams","84",IF(R562="Coastal Areas","76",IF(R562="Meadows Dry Open","96", IF(R562="Forest &amp; Understory","90", IF(R562="Moist Open","88", IF(R562="Moist Shady","82", IF(R562="Sub-Alpine Slopes","80")))))))</f>
        <v>88</v>
      </c>
      <c r="W562" s="59">
        <v>20</v>
      </c>
      <c r="X562" s="59">
        <v>0</v>
      </c>
      <c r="Y562" s="59">
        <v>3500</v>
      </c>
      <c r="Z562" s="59" t="s">
        <v>2519</v>
      </c>
      <c r="AA562" s="59" t="s">
        <v>2518</v>
      </c>
      <c r="AB562" s="59">
        <v>6.8</v>
      </c>
      <c r="AC562" s="45">
        <f>C562+AK562+(0.1)*AL562</f>
        <v>33.799999999999997</v>
      </c>
      <c r="AD562" s="77">
        <v>93</v>
      </c>
      <c r="AE562" s="59">
        <v>5</v>
      </c>
      <c r="AF562" s="59">
        <v>5</v>
      </c>
      <c r="AG562" s="59">
        <v>1900</v>
      </c>
      <c r="AH562" s="77">
        <v>0</v>
      </c>
      <c r="AI562" s="59">
        <f ca="1">AJ562</f>
        <v>2019</v>
      </c>
      <c r="AJ562" s="18">
        <f ca="1">YEAR(TODAY())</f>
        <v>2019</v>
      </c>
      <c r="AK562" s="18">
        <v>25</v>
      </c>
      <c r="AL562" s="18">
        <v>8</v>
      </c>
      <c r="AM562" s="18">
        <v>1</v>
      </c>
      <c r="AN562" s="18">
        <v>1</v>
      </c>
      <c r="AO562" s="24">
        <v>1</v>
      </c>
      <c r="AP562" s="24">
        <v>0</v>
      </c>
      <c r="AQ562" s="18">
        <v>0</v>
      </c>
      <c r="AR562" s="18">
        <v>0</v>
      </c>
      <c r="AS562" s="18">
        <v>0</v>
      </c>
      <c r="AT562" s="18">
        <v>0</v>
      </c>
      <c r="AU562" s="18">
        <v>0</v>
      </c>
      <c r="AV562" s="18">
        <v>0</v>
      </c>
      <c r="AW562" s="18">
        <v>0</v>
      </c>
      <c r="AX562" s="18">
        <v>0</v>
      </c>
      <c r="AY562" s="233"/>
      <c r="AZ562" s="4"/>
      <c r="BA562" s="35" t="str">
        <f>IF(OR(S562="North America",S562="Rocky Mountain"), "Widespread",BC562)</f>
        <v>Widespread</v>
      </c>
      <c r="BB562" s="4"/>
      <c r="BC562" s="35" t="str">
        <f ca="1">IF(BE562&gt;2046, "Abundant",BE562)</f>
        <v>Abundant</v>
      </c>
      <c r="BD562" s="4"/>
      <c r="BE562" s="81">
        <f ca="1">YEAR($C$13)+(BG562*80)</f>
        <v>2105.9747736185382</v>
      </c>
      <c r="BF562" s="4"/>
      <c r="BG562" s="137">
        <f ca="1">BH562*$BH$14</f>
        <v>1.0871846702317292</v>
      </c>
      <c r="BH562" s="137">
        <f ca="1">(((BJ562+BK562+BM562+BN562)/4)*$BM$11)+(((BP562+BQ562)/2)*$BQ$11)+(((BU562+BV562+BW562)/3)*$BU$11)+(((BY562+BZ562+CA562+CB562+CC562)/5)*$CA$11)</f>
        <v>1.0871846702317292</v>
      </c>
      <c r="BI562" s="4"/>
      <c r="BJ562" s="33">
        <f>AP562/(AM562+AO562)</f>
        <v>0</v>
      </c>
      <c r="BK562" s="33">
        <f>(AN562+AO562)/(AM562+AO562)</f>
        <v>1</v>
      </c>
      <c r="BL562" s="4"/>
      <c r="BM562" s="127">
        <f>CF562/102</f>
        <v>0.33137254901960783</v>
      </c>
      <c r="BN562" s="127">
        <f>C562/2</f>
        <v>4</v>
      </c>
      <c r="BO562" s="4"/>
      <c r="BP562" s="127">
        <f>(AK562)/($AW$6)</f>
        <v>0.25252525252525254</v>
      </c>
      <c r="BQ562" s="127">
        <f ca="1">(CH562-$AW$4)/((YEAR($C$13))-$AW$4)</f>
        <v>1</v>
      </c>
      <c r="BR562" s="127">
        <f>(AL562)/($AW$6)</f>
        <v>8.0808080808080815E-2</v>
      </c>
      <c r="BS562" s="4"/>
      <c r="BT562" s="127"/>
      <c r="BU562" s="127">
        <f ca="1">(CG562-$AW$4)/((YEAR($C$13))-$AW$4)</f>
        <v>1</v>
      </c>
      <c r="BV562" s="127">
        <f>AE562/5</f>
        <v>1</v>
      </c>
      <c r="BW562" s="127">
        <f>AF562/5</f>
        <v>1</v>
      </c>
      <c r="BX562" s="4"/>
      <c r="BY562" s="148" t="str">
        <f>IF(E562="A",".98",IF(E562="B",".99",IF(E562="C","1.00",IF(E562="D","1.00" ))))</f>
        <v>1.00</v>
      </c>
      <c r="BZ562" s="127">
        <f>(CE562+7)/10</f>
        <v>1</v>
      </c>
      <c r="CA562" s="76" t="str">
        <f>IF(D562="Fern",".97",IF(D562="Grass",".99",IF(D562="Herb",".97",IF(D562="Shrub",".99",IF(D562="Tree","1.00",IF(D562="Vine",".98"))))))</f>
        <v>.97</v>
      </c>
      <c r="CB562" s="149" t="str">
        <f>IF(R562="Bogs Ponds Streams",".96", IF(R562="Coastal Areas",".97",IF(R562="Meadows Dry Open",".96",IF(R562="Forest &amp; Understory",".97",IF(R562="Moist Open",".98",IF(R562="Moist Shady",".96",IF(R562="Sub-Alpine","1.0")))))))</f>
        <v>.98</v>
      </c>
      <c r="CC562" s="76" t="str">
        <f>IF(S562="Local Endemic",".50",IF(S562="Regional Endemic",".70",IF(S562="Cascadia",".90",IF(S562="Rocky Mountain",".95",IF(S562="North America",".99")))))</f>
        <v>.95</v>
      </c>
      <c r="CD562" s="4"/>
      <c r="CE562" s="21">
        <f>IF(W562&gt;3,3,W562)</f>
        <v>3</v>
      </c>
      <c r="CF562" s="21">
        <f>IF(AC562&gt;102,102,AC562)</f>
        <v>33.799999999999997</v>
      </c>
      <c r="CG562" s="34">
        <f ca="1">IF(AI562&lt;$AW$4,$AW$4,AI562)</f>
        <v>2019</v>
      </c>
      <c r="CH562" s="34">
        <f ca="1">IF(AJ562&lt;$AW$4,$AW$4,AJ562)</f>
        <v>2019</v>
      </c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13"/>
    </row>
    <row r="563" spans="1:115" ht="15" customHeight="1" x14ac:dyDescent="0.3">
      <c r="A563" s="235"/>
      <c r="B563" s="218"/>
      <c r="C563" s="375">
        <v>1</v>
      </c>
      <c r="D563" s="67" t="s">
        <v>2505</v>
      </c>
      <c r="E563" s="67" t="s">
        <v>2502</v>
      </c>
      <c r="F563" s="403" t="str">
        <f ca="1">IF(BC563&lt;2025, "Extinct&lt; 6Yrs?",BA563)</f>
        <v>Widespread</v>
      </c>
      <c r="G563" s="376" t="s">
        <v>525</v>
      </c>
      <c r="H563" s="376" t="s">
        <v>4028</v>
      </c>
      <c r="I563" s="379" t="s">
        <v>2681</v>
      </c>
      <c r="J563" s="378" t="s">
        <v>3556</v>
      </c>
      <c r="K563" s="378" t="s">
        <v>1065</v>
      </c>
      <c r="L563" s="65" t="s">
        <v>1594</v>
      </c>
      <c r="M563" s="64" t="s">
        <v>4637</v>
      </c>
      <c r="N563" s="64" t="s">
        <v>5534</v>
      </c>
      <c r="O563" s="64" t="s">
        <v>6433</v>
      </c>
      <c r="P563" s="404" t="s">
        <v>672</v>
      </c>
      <c r="Q563" s="67" t="s">
        <v>2552</v>
      </c>
      <c r="R563" s="61" t="s">
        <v>2500</v>
      </c>
      <c r="S563" s="61" t="s">
        <v>2495</v>
      </c>
      <c r="T563" s="134" t="str">
        <f>IF(R563="Bogs Ponds Streams","20",IF(R563="Coastal Areas","26",IF(R563="Meadows Dry Open","10",IF(R563="Forest &amp; Understory","14",IF(R563="Moist Open","12",IF(R563="Moist Shady","10",IF(R563="Sub-Alpine Slopes","0")))))))</f>
        <v>10</v>
      </c>
      <c r="U563" s="134" t="str">
        <f>IF(R563="Bogs Ponds Streams","52",IF(R563="Coastal Areas","51",IF(R563="Meadows Dry Open","53",IF(R563="Forest &amp; Understory","52",IF(R563="Moist Open","50",IF(R563="Moist Shady","46",IF(R563="Sub-Alpine Slopes","40")))))))</f>
        <v>53</v>
      </c>
      <c r="V563" s="134" t="str">
        <f>IF(R563="Bogs Ponds Streams","84",IF(R563="Coastal Areas","76",IF(R563="Meadows Dry Open","96", IF(R563="Forest &amp; Understory","90", IF(R563="Moist Open","88", IF(R563="Moist Shady","82", IF(R563="Sub-Alpine Slopes","80")))))))</f>
        <v>96</v>
      </c>
      <c r="W563" s="67">
        <v>1</v>
      </c>
      <c r="X563" s="67">
        <v>0</v>
      </c>
      <c r="Y563" s="67">
        <v>3500</v>
      </c>
      <c r="Z563" s="67" t="s">
        <v>2519</v>
      </c>
      <c r="AA563" s="67" t="s">
        <v>2518</v>
      </c>
      <c r="AB563" s="67">
        <v>6.8</v>
      </c>
      <c r="AC563" s="85">
        <f>C563+AK563+(0.1)*AL563</f>
        <v>12</v>
      </c>
      <c r="AD563" s="78">
        <v>12</v>
      </c>
      <c r="AE563" s="67">
        <v>2</v>
      </c>
      <c r="AF563" s="67">
        <v>5</v>
      </c>
      <c r="AG563" s="67">
        <v>1900</v>
      </c>
      <c r="AH563" s="78">
        <v>0</v>
      </c>
      <c r="AI563" s="67">
        <f>AJ563</f>
        <v>2004</v>
      </c>
      <c r="AJ563" s="69">
        <v>2004</v>
      </c>
      <c r="AK563" s="69">
        <v>11</v>
      </c>
      <c r="AL563" s="69">
        <v>0</v>
      </c>
      <c r="AM563" s="70">
        <v>5</v>
      </c>
      <c r="AN563" s="70">
        <v>0</v>
      </c>
      <c r="AO563" s="86">
        <v>0</v>
      </c>
      <c r="AP563" s="70">
        <v>0</v>
      </c>
      <c r="AQ563" s="70">
        <v>0</v>
      </c>
      <c r="AR563" s="70">
        <v>0</v>
      </c>
      <c r="AS563" s="86">
        <v>0</v>
      </c>
      <c r="AT563" s="70">
        <v>0</v>
      </c>
      <c r="AU563" s="70">
        <v>0</v>
      </c>
      <c r="AV563" s="70">
        <v>0</v>
      </c>
      <c r="AW563" s="86">
        <v>0</v>
      </c>
      <c r="AX563" s="70">
        <v>0</v>
      </c>
      <c r="AY563" s="233"/>
      <c r="AZ563" s="4"/>
      <c r="BA563" s="35" t="str">
        <f>IF(OR(S563="North America",S563="Rocky Mountain"), "Widespread",BC563)</f>
        <v>Widespread</v>
      </c>
      <c r="BB563" s="4"/>
      <c r="BC563" s="35">
        <f ca="1">IF(BE563&gt;2046, "Abundant",BE563)</f>
        <v>2032.2357647058823</v>
      </c>
      <c r="BD563" s="4"/>
      <c r="BE563" s="81">
        <f ca="1">YEAR($C$13)+(BG563*80)</f>
        <v>2032.2357647058823</v>
      </c>
      <c r="BF563" s="4"/>
      <c r="BG563" s="137">
        <f ca="1">BH563*$BH$14</f>
        <v>0.16544705882352942</v>
      </c>
      <c r="BH563" s="137">
        <f ca="1">(((BJ563+BK563+BM563+BN563)/4)*$BM$11)+(((BP563+BQ563)/2)*$BQ$11)+(((BU563+BV563+BW563)/3)*$BU$11)+(((BY563+BZ563+CA563+CB563+CC563)/5)*$CA$11)</f>
        <v>0.16544705882352942</v>
      </c>
      <c r="BI563" s="4"/>
      <c r="BJ563" s="33">
        <f>AP563/(AM563+AO563)</f>
        <v>0</v>
      </c>
      <c r="BK563" s="33">
        <f>(AN563+AO563)/(AM563+AO563)</f>
        <v>0</v>
      </c>
      <c r="BL563" s="4"/>
      <c r="BM563" s="127">
        <f>CF563/102</f>
        <v>0.11764705882352941</v>
      </c>
      <c r="BN563" s="127">
        <f>C563/2</f>
        <v>0.5</v>
      </c>
      <c r="BO563" s="4"/>
      <c r="BP563" s="127">
        <f>(AK563)/($AW$6)</f>
        <v>0.1111111111111111</v>
      </c>
      <c r="BQ563" s="127">
        <f ca="1">(CH563-$AW$4)/((YEAR($C$13))-$AW$4)</f>
        <v>0</v>
      </c>
      <c r="BR563" s="127">
        <f>(AL563)/($AW$6)</f>
        <v>0</v>
      </c>
      <c r="BS563" s="4"/>
      <c r="BT563" s="127"/>
      <c r="BU563" s="127">
        <f ca="1">(CG563-$AW$4)/((YEAR($C$13))-$AW$4)</f>
        <v>0</v>
      </c>
      <c r="BV563" s="127">
        <f>AE563/5</f>
        <v>0.4</v>
      </c>
      <c r="BW563" s="127">
        <f>AF563/5</f>
        <v>1</v>
      </c>
      <c r="BX563" s="4"/>
      <c r="BY563" s="148" t="str">
        <f>IF(E563="A",".98",IF(E563="B",".99",IF(E563="C","1.00",IF(E563="D","1.00" ))))</f>
        <v>.98</v>
      </c>
      <c r="BZ563" s="127">
        <f>(CE563+7)/10</f>
        <v>0.8</v>
      </c>
      <c r="CA563" s="76" t="str">
        <f>IF(D563="Fern",".97",IF(D563="Grass",".99",IF(D563="Herb",".97",IF(D563="Shrub",".99",IF(D563="Tree","1.00",IF(D563="Vine",".98"))))))</f>
        <v>.97</v>
      </c>
      <c r="CB563" s="149" t="str">
        <f>IF(R563="Bogs Ponds Streams",".96", IF(R563="Coastal Areas",".97",IF(R563="Meadows Dry Open",".96",IF(R563="Forest &amp; Understory",".97",IF(R563="Moist Open",".98",IF(R563="Moist Shady",".96",IF(R563="Sub-Alpine","1.0")))))))</f>
        <v>.96</v>
      </c>
      <c r="CC563" s="76" t="str">
        <f>IF(S563="Local Endemic",".50",IF(S563="Regional Endemic",".70",IF(S563="Cascadia",".90",IF(S563="Rocky Mountain",".95",IF(S563="North America",".99")))))</f>
        <v>.99</v>
      </c>
      <c r="CD563" s="4"/>
      <c r="CE563" s="21">
        <f>IF(W563&gt;3,3,W563)</f>
        <v>1</v>
      </c>
      <c r="CF563" s="21">
        <f>IF(AC563&gt;102,102,AC563)</f>
        <v>12</v>
      </c>
      <c r="CG563" s="34">
        <f>IF(AI563&lt;$AW$4,$AW$4,AI563)</f>
        <v>2004</v>
      </c>
      <c r="CH563" s="34">
        <f>IF(AJ563&lt;$AW$4,$AW$4,AJ563)</f>
        <v>2004</v>
      </c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</row>
    <row r="564" spans="1:115" ht="15" customHeight="1" x14ac:dyDescent="0.3">
      <c r="A564" s="235"/>
      <c r="B564" s="218"/>
      <c r="C564" s="375">
        <v>1</v>
      </c>
      <c r="D564" s="67" t="s">
        <v>2505</v>
      </c>
      <c r="E564" s="67" t="s">
        <v>2501</v>
      </c>
      <c r="F564" s="403">
        <f ca="1">IF(BC564&lt;2025, "Extinct&lt; 6Yrs?",BA564)</f>
        <v>2036.2247729055259</v>
      </c>
      <c r="G564" s="376" t="s">
        <v>525</v>
      </c>
      <c r="H564" s="376" t="s">
        <v>4028</v>
      </c>
      <c r="I564" s="377" t="s">
        <v>2313</v>
      </c>
      <c r="J564" s="378" t="s">
        <v>2416</v>
      </c>
      <c r="K564" s="378" t="s">
        <v>2312</v>
      </c>
      <c r="L564" s="64" t="s">
        <v>2417</v>
      </c>
      <c r="M564" s="64" t="s">
        <v>4638</v>
      </c>
      <c r="N564" s="64" t="s">
        <v>5535</v>
      </c>
      <c r="O564" s="64" t="s">
        <v>6434</v>
      </c>
      <c r="P564" s="61" t="s">
        <v>658</v>
      </c>
      <c r="Q564" s="67" t="s">
        <v>2552</v>
      </c>
      <c r="R564" s="163" t="s">
        <v>2499</v>
      </c>
      <c r="S564" s="164" t="s">
        <v>2309</v>
      </c>
      <c r="T564" s="134" t="str">
        <f>IF(R564="Bogs Ponds Streams","20",IF(R564="Coastal Areas","26",IF(R564="Meadows Dry Open","10",IF(R564="Forest &amp; Understory","14",IF(R564="Moist Open","12",IF(R564="Moist Shady","10",IF(R564="Sub-Alpine Slopes","0")))))))</f>
        <v>20</v>
      </c>
      <c r="U564" s="134" t="str">
        <f>IF(R564="Bogs Ponds Streams","52",IF(R564="Coastal Areas","51",IF(R564="Meadows Dry Open","53",IF(R564="Forest &amp; Understory","52",IF(R564="Moist Open","50",IF(R564="Moist Shady","46",IF(R564="Sub-Alpine Slopes","40")))))))</f>
        <v>52</v>
      </c>
      <c r="V564" s="134" t="str">
        <f>IF(R564="Bogs Ponds Streams","84",IF(R564="Coastal Areas","76",IF(R564="Meadows Dry Open","96", IF(R564="Forest &amp; Understory","90", IF(R564="Moist Open","88", IF(R564="Moist Shady","82", IF(R564="Sub-Alpine Slopes","80")))))))</f>
        <v>84</v>
      </c>
      <c r="W564" s="67">
        <v>20</v>
      </c>
      <c r="X564" s="67">
        <v>0</v>
      </c>
      <c r="Y564" s="67">
        <v>3500</v>
      </c>
      <c r="Z564" s="67" t="s">
        <v>2519</v>
      </c>
      <c r="AA564" s="67" t="s">
        <v>2518</v>
      </c>
      <c r="AB564" s="67">
        <v>6.8</v>
      </c>
      <c r="AC564" s="85">
        <f>C564+AK564+(0.1)*AL564</f>
        <v>2</v>
      </c>
      <c r="AD564" s="78">
        <v>5</v>
      </c>
      <c r="AE564" s="68">
        <v>2</v>
      </c>
      <c r="AF564" s="68">
        <v>5</v>
      </c>
      <c r="AG564" s="78">
        <v>1939</v>
      </c>
      <c r="AH564" s="78">
        <v>0</v>
      </c>
      <c r="AI564" s="78">
        <v>2001</v>
      </c>
      <c r="AJ564" s="67">
        <v>2012</v>
      </c>
      <c r="AK564" s="67">
        <v>1</v>
      </c>
      <c r="AL564" s="67">
        <v>0</v>
      </c>
      <c r="AM564" s="70">
        <v>5</v>
      </c>
      <c r="AN564" s="70">
        <v>0</v>
      </c>
      <c r="AO564" s="86">
        <v>0</v>
      </c>
      <c r="AP564" s="70">
        <v>0</v>
      </c>
      <c r="AQ564" s="70">
        <v>0</v>
      </c>
      <c r="AR564" s="70">
        <v>0</v>
      </c>
      <c r="AS564" s="86">
        <v>0</v>
      </c>
      <c r="AT564" s="70">
        <v>0</v>
      </c>
      <c r="AU564" s="70">
        <v>0</v>
      </c>
      <c r="AV564" s="70">
        <v>0</v>
      </c>
      <c r="AW564" s="86">
        <v>0</v>
      </c>
      <c r="AX564" s="70">
        <v>0</v>
      </c>
      <c r="AY564" s="233"/>
      <c r="AZ564" s="11"/>
      <c r="BA564" s="35">
        <f ca="1">IF(OR(S564="North America",S564="Rocky Mountain"), "Widespread",BC564)</f>
        <v>2036.2247729055259</v>
      </c>
      <c r="BB564" s="11"/>
      <c r="BC564" s="35">
        <f ca="1">IF(BE564&gt;2046, "Abundant",BE564)</f>
        <v>2036.2247729055259</v>
      </c>
      <c r="BD564" s="11"/>
      <c r="BE564" s="81">
        <f ca="1">YEAR($C$13)+(BG564*80)</f>
        <v>2036.2247729055259</v>
      </c>
      <c r="BF564" s="11"/>
      <c r="BG564" s="137">
        <f ca="1">BH564*$BH$14</f>
        <v>0.21530966131907306</v>
      </c>
      <c r="BH564" s="137">
        <f ca="1">(((BJ564+BK564+BM564+BN564)/4)*$BM$11)+(((BP564+BQ564)/2)*$BQ$11)+(((BU564+BV564+BW564)/3)*$BU$11)+(((BY564+BZ564+CA564+CB564+CC564)/5)*$CA$11)</f>
        <v>0.21530966131907306</v>
      </c>
      <c r="BI564" s="11"/>
      <c r="BJ564" s="33">
        <f>AP564/(AM564+AO564)</f>
        <v>0</v>
      </c>
      <c r="BK564" s="33">
        <f>(AN564+AO564)/(AM564+AO564)</f>
        <v>0</v>
      </c>
      <c r="BL564" s="11"/>
      <c r="BM564" s="127">
        <f>CF564/102</f>
        <v>1.9607843137254902E-2</v>
      </c>
      <c r="BN564" s="127">
        <f>C564/2</f>
        <v>0.5</v>
      </c>
      <c r="BO564" s="11"/>
      <c r="BP564" s="127">
        <f>(AK564)/($AW$6)</f>
        <v>1.0101010101010102E-2</v>
      </c>
      <c r="BQ564" s="127">
        <f ca="1">(CH564-$AW$4)/((YEAR($C$13))-$AW$4)</f>
        <v>0.53333333333333333</v>
      </c>
      <c r="BR564" s="127">
        <f>(AL564)/($AW$6)</f>
        <v>0</v>
      </c>
      <c r="BS564" s="11"/>
      <c r="BT564" s="127"/>
      <c r="BU564" s="127">
        <f ca="1">(CG564-$AW$4)/((YEAR($C$13))-$AW$4)</f>
        <v>0</v>
      </c>
      <c r="BV564" s="127">
        <f>AE564/5</f>
        <v>0.4</v>
      </c>
      <c r="BW564" s="127">
        <f>AF564/5</f>
        <v>1</v>
      </c>
      <c r="BX564" s="11"/>
      <c r="BY564" s="148" t="str">
        <f>IF(E564="A",".98",IF(E564="B",".99",IF(E564="C","1.00",IF(E564="D","1.00" ))))</f>
        <v>1.00</v>
      </c>
      <c r="BZ564" s="127">
        <f>(CE564+7)/10</f>
        <v>1</v>
      </c>
      <c r="CA564" s="76" t="str">
        <f>IF(D564="Fern",".97",IF(D564="Grass",".99",IF(D564="Herb",".97",IF(D564="Shrub",".99",IF(D564="Tree","1.00",IF(D564="Vine",".98"))))))</f>
        <v>.97</v>
      </c>
      <c r="CB564" s="149" t="str">
        <f>IF(R564="Bogs Ponds Streams",".96", IF(R564="Coastal Areas",".97",IF(R564="Meadows Dry Open",".96",IF(R564="Forest &amp; Understory",".97",IF(R564="Moist Open",".98",IF(R564="Moist Shady",".96",IF(R564="Sub-Alpine","1.0")))))))</f>
        <v>.96</v>
      </c>
      <c r="CC564" s="76" t="str">
        <f>IF(S564="Local Endemic",".50",IF(S564="Regional Endemic",".70",IF(S564="Cascadia",".90",IF(S564="Rocky Mountain",".95",IF(S564="North America",".99")))))</f>
        <v>.70</v>
      </c>
      <c r="CD564" s="11"/>
      <c r="CE564" s="21">
        <f>IF(W564&gt;3,3,W564)</f>
        <v>3</v>
      </c>
      <c r="CF564" s="21">
        <f>IF(AC564&gt;102,102,AC564)</f>
        <v>2</v>
      </c>
      <c r="CG564" s="34">
        <f>IF(AI564&lt;$AW$4,$AW$4,AI564)</f>
        <v>2004</v>
      </c>
      <c r="CH564" s="34">
        <f>IF(AJ564&lt;$AW$4,$AW$4,AJ564)</f>
        <v>2012</v>
      </c>
      <c r="CI564" s="11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11"/>
      <c r="DC564" s="11"/>
      <c r="DD564" s="11"/>
      <c r="DE564" s="11"/>
      <c r="DF564" s="11"/>
      <c r="DG564" s="11"/>
      <c r="DH564" s="11"/>
      <c r="DI564" s="11"/>
      <c r="DJ564" s="11"/>
    </row>
    <row r="565" spans="1:115" ht="15" customHeight="1" x14ac:dyDescent="0.3">
      <c r="A565" s="235"/>
      <c r="B565" s="218"/>
      <c r="C565" s="225">
        <v>8</v>
      </c>
      <c r="D565" s="59" t="s">
        <v>2506</v>
      </c>
      <c r="E565" s="60" t="s">
        <v>2501</v>
      </c>
      <c r="F565" s="397" t="str">
        <f ca="1">IF(BC565&lt;2025, "Extinct&lt; 6Yrs?",BA565)</f>
        <v>Abundant</v>
      </c>
      <c r="G565" s="363" t="s">
        <v>525</v>
      </c>
      <c r="H565" s="363" t="s">
        <v>682</v>
      </c>
      <c r="I565" s="366" t="s">
        <v>306</v>
      </c>
      <c r="J565" s="365" t="s">
        <v>3429</v>
      </c>
      <c r="K565" s="365" t="s">
        <v>3430</v>
      </c>
      <c r="L565" s="10" t="s">
        <v>1595</v>
      </c>
      <c r="M565" s="8" t="s">
        <v>4639</v>
      </c>
      <c r="N565" s="8" t="s">
        <v>5536</v>
      </c>
      <c r="O565" s="8" t="s">
        <v>6435</v>
      </c>
      <c r="P565" s="9" t="s">
        <v>303</v>
      </c>
      <c r="Q565" s="59" t="s">
        <v>2552</v>
      </c>
      <c r="R565" s="9" t="s">
        <v>2498</v>
      </c>
      <c r="S565" s="9" t="s">
        <v>2459</v>
      </c>
      <c r="T565" s="123" t="str">
        <f>IF(R565="Bogs Ponds Streams","20",IF(R565="Coastal Areas","26",IF(R565="Meadows Dry Open","10",IF(R565="Forest &amp; Understory","14",IF(R565="Moist Open","12",IF(R565="Moist Shady","10",IF(R565="Sub-Alpine Slopes","0")))))))</f>
        <v>10</v>
      </c>
      <c r="U565" s="123" t="str">
        <f>IF(R565="Bogs Ponds Streams","52",IF(R565="Coastal Areas","51",IF(R565="Meadows Dry Open","53",IF(R565="Forest &amp; Understory","52",IF(R565="Moist Open","50",IF(R565="Moist Shady","46",IF(R565="Sub-Alpine Slopes","40")))))))</f>
        <v>46</v>
      </c>
      <c r="V565" s="123" t="str">
        <f>IF(R565="Bogs Ponds Streams","84",IF(R565="Coastal Areas","76",IF(R565="Meadows Dry Open","96", IF(R565="Forest &amp; Understory","90", IF(R565="Moist Open","88", IF(R565="Moist Shady","82", IF(R565="Sub-Alpine Slopes","80")))))))</f>
        <v>82</v>
      </c>
      <c r="W565" s="59">
        <v>20</v>
      </c>
      <c r="X565" s="59">
        <v>0</v>
      </c>
      <c r="Y565" s="59">
        <v>3500</v>
      </c>
      <c r="Z565" s="59" t="s">
        <v>2519</v>
      </c>
      <c r="AA565" s="59" t="s">
        <v>2518</v>
      </c>
      <c r="AB565" s="59">
        <v>6.8</v>
      </c>
      <c r="AC565" s="45">
        <f>C565+AK565+(0.1)*AL565</f>
        <v>107.9</v>
      </c>
      <c r="AD565" s="77">
        <v>77</v>
      </c>
      <c r="AE565" s="59">
        <v>5</v>
      </c>
      <c r="AF565" s="59">
        <v>5</v>
      </c>
      <c r="AG565" s="59">
        <v>1900</v>
      </c>
      <c r="AH565" s="77">
        <v>0</v>
      </c>
      <c r="AI565" s="59">
        <f ca="1">AJ565</f>
        <v>2019</v>
      </c>
      <c r="AJ565" s="18">
        <f ca="1">YEAR(TODAY())</f>
        <v>2019</v>
      </c>
      <c r="AK565" s="18">
        <v>99</v>
      </c>
      <c r="AL565" s="18">
        <v>9</v>
      </c>
      <c r="AM565" s="18">
        <v>1</v>
      </c>
      <c r="AN565" s="18">
        <v>1</v>
      </c>
      <c r="AO565" s="18">
        <v>5</v>
      </c>
      <c r="AP565" s="18">
        <v>1</v>
      </c>
      <c r="AQ565" s="18">
        <v>0</v>
      </c>
      <c r="AR565" s="18">
        <v>0</v>
      </c>
      <c r="AS565" s="18">
        <v>0</v>
      </c>
      <c r="AT565" s="18">
        <v>0</v>
      </c>
      <c r="AU565" s="18">
        <v>0</v>
      </c>
      <c r="AV565" s="18">
        <v>0</v>
      </c>
      <c r="AW565" s="18">
        <v>0</v>
      </c>
      <c r="AX565" s="18">
        <v>0</v>
      </c>
      <c r="AY565" s="233"/>
      <c r="AZ565" s="4"/>
      <c r="BA565" s="35" t="str">
        <f ca="1">IF(OR(S565="North America",S565="Rocky Mountain"), "Widespread",BC565)</f>
        <v>Abundant</v>
      </c>
      <c r="BB565" s="4"/>
      <c r="BC565" s="35" t="str">
        <f ca="1">IF(BE565&gt;2046, "Abundant",BE565)</f>
        <v>Abundant</v>
      </c>
      <c r="BD565" s="4"/>
      <c r="BE565" s="81">
        <f ca="1">YEAR($C$13)+(BG565*80)</f>
        <v>2124.9520000000002</v>
      </c>
      <c r="BF565" s="4"/>
      <c r="BG565" s="137">
        <f ca="1">BH565*$BH$14</f>
        <v>1.3244000000000002</v>
      </c>
      <c r="BH565" s="137">
        <f ca="1">(((BJ565+BK565+BM565+BN565)/4)*$BM$11)+(((BP565+BQ565)/2)*$BQ$11)+(((BU565+BV565+BW565)/3)*$BU$11)+(((BY565+BZ565+CA565+CB565+CC565)/5)*$CA$11)</f>
        <v>1.3244000000000002</v>
      </c>
      <c r="BI565" s="4"/>
      <c r="BJ565" s="33">
        <f>AP565/(AM565+AO565)</f>
        <v>0.16666666666666666</v>
      </c>
      <c r="BK565" s="33">
        <f>(AN565+AO565)/(AM565+AO565)</f>
        <v>1</v>
      </c>
      <c r="BL565" s="4"/>
      <c r="BM565" s="127">
        <f>CF565/102</f>
        <v>1</v>
      </c>
      <c r="BN565" s="127">
        <f>C565/2</f>
        <v>4</v>
      </c>
      <c r="BO565" s="4"/>
      <c r="BP565" s="127">
        <f>(AK565)/($AW$6)</f>
        <v>1</v>
      </c>
      <c r="BQ565" s="127">
        <f ca="1">(CH565-$AW$4)/((YEAR($C$13))-$AW$4)</f>
        <v>1</v>
      </c>
      <c r="BR565" s="127">
        <f>(AL565)/($AW$6)</f>
        <v>9.0909090909090912E-2</v>
      </c>
      <c r="BS565" s="4"/>
      <c r="BT565" s="127"/>
      <c r="BU565" s="127">
        <f ca="1">(CG565-$AW$4)/((YEAR($C$13))-$AW$4)</f>
        <v>1</v>
      </c>
      <c r="BV565" s="127">
        <f>AE565/5</f>
        <v>1</v>
      </c>
      <c r="BW565" s="127">
        <f>AF565/5</f>
        <v>1</v>
      </c>
      <c r="BX565" s="4"/>
      <c r="BY565" s="148" t="str">
        <f>IF(E565="A",".98",IF(E565="B",".99",IF(E565="C","1.00",IF(E565="D","1.00" ))))</f>
        <v>1.00</v>
      </c>
      <c r="BZ565" s="127">
        <f>(CE565+7)/10</f>
        <v>1</v>
      </c>
      <c r="CA565" s="76" t="str">
        <f>IF(D565="Fern",".97",IF(D565="Grass",".99",IF(D565="Herb",".97",IF(D565="Shrub",".99",IF(D565="Tree","1.00",IF(D565="Vine",".98"))))))</f>
        <v>.99</v>
      </c>
      <c r="CB565" s="149" t="str">
        <f>IF(R565="Bogs Ponds Streams",".96", IF(R565="Coastal Areas",".97",IF(R565="Meadows Dry Open",".96",IF(R565="Forest &amp; Understory",".97",IF(R565="Moist Open",".98",IF(R565="Moist Shady",".96",IF(R565="Sub-Alpine","1.0")))))))</f>
        <v>.96</v>
      </c>
      <c r="CC565" s="76" t="str">
        <f>IF(S565="Local Endemic",".50",IF(S565="Regional Endemic",".70",IF(S565="Cascadia",".90",IF(S565="Rocky Mountain",".95",IF(S565="North America",".99")))))</f>
        <v>.90</v>
      </c>
      <c r="CD565" s="4"/>
      <c r="CE565" s="21">
        <f>IF(W565&gt;3,3,W565)</f>
        <v>3</v>
      </c>
      <c r="CF565" s="21">
        <f>IF(AC565&gt;102,102,AC565)</f>
        <v>102</v>
      </c>
      <c r="CG565" s="34">
        <f ca="1">IF(AI565&lt;$AW$4,$AW$4,AI565)</f>
        <v>2019</v>
      </c>
      <c r="CH565" s="34">
        <f ca="1">IF(AJ565&lt;$AW$4,$AW$4,AJ565)</f>
        <v>2019</v>
      </c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</row>
    <row r="566" spans="1:115" ht="15" customHeight="1" x14ac:dyDescent="0.3">
      <c r="A566" s="235"/>
      <c r="B566" s="218"/>
      <c r="C566" s="225">
        <v>8</v>
      </c>
      <c r="D566" s="59" t="s">
        <v>2505</v>
      </c>
      <c r="E566" s="59" t="s">
        <v>2501</v>
      </c>
      <c r="F566" s="397" t="str">
        <f ca="1">IF(BC566&lt;2025, "Extinct&lt; 6Yrs?",BA566)</f>
        <v>Abundant</v>
      </c>
      <c r="G566" s="363" t="s">
        <v>525</v>
      </c>
      <c r="H566" s="363" t="s">
        <v>680</v>
      </c>
      <c r="I566" s="366" t="s">
        <v>32</v>
      </c>
      <c r="J566" s="365" t="s">
        <v>3431</v>
      </c>
      <c r="K566" s="365" t="s">
        <v>1066</v>
      </c>
      <c r="L566" s="10" t="s">
        <v>1596</v>
      </c>
      <c r="M566" s="8" t="s">
        <v>4640</v>
      </c>
      <c r="N566" s="8" t="s">
        <v>5537</v>
      </c>
      <c r="O566" s="8" t="s">
        <v>6436</v>
      </c>
      <c r="P566" s="9" t="s">
        <v>558</v>
      </c>
      <c r="Q566" s="59" t="s">
        <v>2552</v>
      </c>
      <c r="R566" s="9" t="s">
        <v>2499</v>
      </c>
      <c r="S566" s="9" t="s">
        <v>2459</v>
      </c>
      <c r="T566" s="123" t="str">
        <f>IF(R566="Bogs Ponds Streams","20",IF(R566="Coastal Areas","26",IF(R566="Meadows Dry Open","10",IF(R566="Forest &amp; Understory","14",IF(R566="Moist Open","12",IF(R566="Moist Shady","10",IF(R566="Sub-Alpine Slopes","0")))))))</f>
        <v>20</v>
      </c>
      <c r="U566" s="123" t="str">
        <f>IF(R566="Bogs Ponds Streams","52",IF(R566="Coastal Areas","51",IF(R566="Meadows Dry Open","53",IF(R566="Forest &amp; Understory","52",IF(R566="Moist Open","50",IF(R566="Moist Shady","46",IF(R566="Sub-Alpine Slopes","40")))))))</f>
        <v>52</v>
      </c>
      <c r="V566" s="123" t="str">
        <f>IF(R566="Bogs Ponds Streams","84",IF(R566="Coastal Areas","76",IF(R566="Meadows Dry Open","96", IF(R566="Forest &amp; Understory","90", IF(R566="Moist Open","88", IF(R566="Moist Shady","82", IF(R566="Sub-Alpine Slopes","80")))))))</f>
        <v>84</v>
      </c>
      <c r="W566" s="59">
        <v>20</v>
      </c>
      <c r="X566" s="59">
        <v>0</v>
      </c>
      <c r="Y566" s="59">
        <v>3500</v>
      </c>
      <c r="Z566" s="59" t="s">
        <v>2519</v>
      </c>
      <c r="AA566" s="59" t="s">
        <v>2518</v>
      </c>
      <c r="AB566" s="59">
        <v>6.8</v>
      </c>
      <c r="AC566" s="45">
        <f>C566+AK566+(0.1)*AL566</f>
        <v>41</v>
      </c>
      <c r="AD566" s="77">
        <v>66</v>
      </c>
      <c r="AE566" s="59">
        <v>5</v>
      </c>
      <c r="AF566" s="59">
        <v>5</v>
      </c>
      <c r="AG566" s="59">
        <v>1900</v>
      </c>
      <c r="AH566" s="77">
        <v>0</v>
      </c>
      <c r="AI566" s="59">
        <f ca="1">AJ566</f>
        <v>2019</v>
      </c>
      <c r="AJ566" s="18">
        <f ca="1">YEAR(TODAY())</f>
        <v>2019</v>
      </c>
      <c r="AK566" s="18">
        <v>33</v>
      </c>
      <c r="AL566" s="18">
        <v>0</v>
      </c>
      <c r="AM566" s="18">
        <v>1</v>
      </c>
      <c r="AN566" s="18">
        <v>1</v>
      </c>
      <c r="AO566" s="24">
        <v>1</v>
      </c>
      <c r="AP566" s="24">
        <v>0</v>
      </c>
      <c r="AQ566" s="18">
        <v>0</v>
      </c>
      <c r="AR566" s="18">
        <v>0</v>
      </c>
      <c r="AS566" s="18">
        <v>0</v>
      </c>
      <c r="AT566" s="18">
        <v>0</v>
      </c>
      <c r="AU566" s="18">
        <v>0</v>
      </c>
      <c r="AV566" s="18">
        <v>0</v>
      </c>
      <c r="AW566" s="18">
        <v>0</v>
      </c>
      <c r="AX566" s="18">
        <v>0</v>
      </c>
      <c r="AY566" s="233"/>
      <c r="AZ566" s="4"/>
      <c r="BA566" s="35" t="str">
        <f ca="1">IF(OR(S566="North America",S566="Rocky Mountain"), "Widespread",BC566)</f>
        <v>Abundant</v>
      </c>
      <c r="BB566" s="4"/>
      <c r="BC566" s="35" t="str">
        <f ca="1">IF(BE566&gt;2046, "Abundant",BE566)</f>
        <v>Abundant</v>
      </c>
      <c r="BD566" s="4"/>
      <c r="BE566" s="81">
        <f ca="1">YEAR($C$13)+(BG566*80)</f>
        <v>2107.7691294117649</v>
      </c>
      <c r="BF566" s="4"/>
      <c r="BG566" s="137">
        <f ca="1">BH566*$BH$14</f>
        <v>1.1096141176470589</v>
      </c>
      <c r="BH566" s="137">
        <f ca="1">(((BJ566+BK566+BM566+BN566)/4)*$BM$11)+(((BP566+BQ566)/2)*$BQ$11)+(((BU566+BV566+BW566)/3)*$BU$11)+(((BY566+BZ566+CA566+CB566+CC566)/5)*$CA$11)</f>
        <v>1.1096141176470589</v>
      </c>
      <c r="BI566" s="4"/>
      <c r="BJ566" s="33">
        <f>AP566/(AM566+AO566)</f>
        <v>0</v>
      </c>
      <c r="BK566" s="33">
        <f>(AN566+AO566)/(AM566+AO566)</f>
        <v>1</v>
      </c>
      <c r="BL566" s="4"/>
      <c r="BM566" s="127">
        <f>CF566/102</f>
        <v>0.40196078431372551</v>
      </c>
      <c r="BN566" s="127">
        <f>C566/2</f>
        <v>4</v>
      </c>
      <c r="BO566" s="4"/>
      <c r="BP566" s="127">
        <f>(AK566)/($AW$6)</f>
        <v>0.33333333333333331</v>
      </c>
      <c r="BQ566" s="127">
        <f ca="1">(CH566-$AW$4)/((YEAR($C$13))-$AW$4)</f>
        <v>1</v>
      </c>
      <c r="BR566" s="127">
        <f>(AL566)/($AW$6)</f>
        <v>0</v>
      </c>
      <c r="BS566" s="4"/>
      <c r="BT566" s="127"/>
      <c r="BU566" s="127">
        <f ca="1">(CG566-$AW$4)/((YEAR($C$13))-$AW$4)</f>
        <v>1</v>
      </c>
      <c r="BV566" s="127">
        <f>AE566/5</f>
        <v>1</v>
      </c>
      <c r="BW566" s="127">
        <f>AF566/5</f>
        <v>1</v>
      </c>
      <c r="BX566" s="4"/>
      <c r="BY566" s="148" t="str">
        <f>IF(E566="A",".98",IF(E566="B",".99",IF(E566="C","1.00",IF(E566="D","1.00" ))))</f>
        <v>1.00</v>
      </c>
      <c r="BZ566" s="127">
        <f>(CE566+7)/10</f>
        <v>1</v>
      </c>
      <c r="CA566" s="76" t="str">
        <f>IF(D566="Fern",".97",IF(D566="Grass",".99",IF(D566="Herb",".97",IF(D566="Shrub",".99",IF(D566="Tree","1.00",IF(D566="Vine",".98"))))))</f>
        <v>.97</v>
      </c>
      <c r="CB566" s="149" t="str">
        <f>IF(R566="Bogs Ponds Streams",".96", IF(R566="Coastal Areas",".97",IF(R566="Meadows Dry Open",".96",IF(R566="Forest &amp; Understory",".97",IF(R566="Moist Open",".98",IF(R566="Moist Shady",".96",IF(R566="Sub-Alpine","1.0")))))))</f>
        <v>.96</v>
      </c>
      <c r="CC566" s="76" t="str">
        <f>IF(S566="Local Endemic",".50",IF(S566="Regional Endemic",".70",IF(S566="Cascadia",".90",IF(S566="Rocky Mountain",".95",IF(S566="North America",".99")))))</f>
        <v>.90</v>
      </c>
      <c r="CD566" s="4"/>
      <c r="CE566" s="21">
        <f>IF(W566&gt;3,3,W566)</f>
        <v>3</v>
      </c>
      <c r="CF566" s="21">
        <f>IF(AC566&gt;102,102,AC566)</f>
        <v>41</v>
      </c>
      <c r="CG566" s="34">
        <f ca="1">IF(AI566&lt;$AW$4,$AW$4,AI566)</f>
        <v>2019</v>
      </c>
      <c r="CH566" s="34">
        <f ca="1">IF(AJ566&lt;$AW$4,$AW$4,AJ566)</f>
        <v>2019</v>
      </c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13"/>
    </row>
    <row r="567" spans="1:115" ht="15" customHeight="1" x14ac:dyDescent="0.3">
      <c r="A567" s="235"/>
      <c r="B567" s="218"/>
      <c r="C567" s="375">
        <v>1</v>
      </c>
      <c r="D567" s="67" t="s">
        <v>2505</v>
      </c>
      <c r="E567" s="67" t="s">
        <v>2501</v>
      </c>
      <c r="F567" s="403" t="str">
        <f ca="1">IF(BC567&lt;2025, "Extinct&lt; 6Yrs?",BA567)</f>
        <v>Widespread</v>
      </c>
      <c r="G567" s="376" t="s">
        <v>525</v>
      </c>
      <c r="H567" s="376" t="s">
        <v>4028</v>
      </c>
      <c r="I567" s="377" t="s">
        <v>2418</v>
      </c>
      <c r="J567" s="378" t="s">
        <v>2419</v>
      </c>
      <c r="K567" s="378" t="s">
        <v>4075</v>
      </c>
      <c r="L567" s="64" t="s">
        <v>2420</v>
      </c>
      <c r="M567" s="64" t="s">
        <v>4641</v>
      </c>
      <c r="N567" s="64" t="s">
        <v>5538</v>
      </c>
      <c r="O567" s="64" t="s">
        <v>6437</v>
      </c>
      <c r="P567" s="61" t="s">
        <v>660</v>
      </c>
      <c r="Q567" s="67" t="s">
        <v>2552</v>
      </c>
      <c r="R567" s="163" t="s">
        <v>2497</v>
      </c>
      <c r="S567" s="164" t="s">
        <v>2479</v>
      </c>
      <c r="T567" s="134" t="str">
        <f>IF(R567="Bogs Ponds Streams","20",IF(R567="Coastal Areas","26",IF(R567="Meadows Dry Open","10",IF(R567="Forest &amp; Understory","14",IF(R567="Moist Open","12",IF(R567="Moist Shady","10",IF(R567="Sub-Alpine Slopes","0")))))))</f>
        <v>12</v>
      </c>
      <c r="U567" s="134" t="str">
        <f>IF(R567="Bogs Ponds Streams","52",IF(R567="Coastal Areas","51",IF(R567="Meadows Dry Open","53",IF(R567="Forest &amp; Understory","52",IF(R567="Moist Open","50",IF(R567="Moist Shady","46",IF(R567="Sub-Alpine Slopes","40")))))))</f>
        <v>50</v>
      </c>
      <c r="V567" s="134" t="str">
        <f>IF(R567="Bogs Ponds Streams","84",IF(R567="Coastal Areas","76",IF(R567="Meadows Dry Open","96", IF(R567="Forest &amp; Understory","90", IF(R567="Moist Open","88", IF(R567="Moist Shady","82", IF(R567="Sub-Alpine Slopes","80")))))))</f>
        <v>88</v>
      </c>
      <c r="W567" s="67">
        <v>20</v>
      </c>
      <c r="X567" s="67">
        <v>1000</v>
      </c>
      <c r="Y567" s="67">
        <v>4800</v>
      </c>
      <c r="Z567" s="67" t="s">
        <v>2519</v>
      </c>
      <c r="AA567" s="67" t="s">
        <v>2518</v>
      </c>
      <c r="AB567" s="67">
        <v>6.8</v>
      </c>
      <c r="AC567" s="85">
        <f>C567+AK567+(0.1)*AL567</f>
        <v>2.2000000000000002</v>
      </c>
      <c r="AD567" s="78">
        <v>5</v>
      </c>
      <c r="AE567" s="68">
        <v>1</v>
      </c>
      <c r="AF567" s="68">
        <v>5</v>
      </c>
      <c r="AG567" s="78">
        <v>1884</v>
      </c>
      <c r="AH567" s="78">
        <v>0</v>
      </c>
      <c r="AI567" s="78">
        <v>1948</v>
      </c>
      <c r="AJ567" s="67">
        <v>1990</v>
      </c>
      <c r="AK567" s="67">
        <v>1</v>
      </c>
      <c r="AL567" s="67">
        <v>2</v>
      </c>
      <c r="AM567" s="70">
        <v>5</v>
      </c>
      <c r="AN567" s="70">
        <v>0</v>
      </c>
      <c r="AO567" s="86">
        <v>0</v>
      </c>
      <c r="AP567" s="70">
        <v>0</v>
      </c>
      <c r="AQ567" s="70">
        <v>0</v>
      </c>
      <c r="AR567" s="70">
        <v>0</v>
      </c>
      <c r="AS567" s="86">
        <v>0</v>
      </c>
      <c r="AT567" s="70">
        <v>0</v>
      </c>
      <c r="AU567" s="70">
        <v>0</v>
      </c>
      <c r="AV567" s="70">
        <v>0</v>
      </c>
      <c r="AW567" s="86">
        <v>0</v>
      </c>
      <c r="AX567" s="70">
        <v>0</v>
      </c>
      <c r="AY567" s="233"/>
      <c r="AZ567" s="11"/>
      <c r="BA567" s="35" t="str">
        <f>IF(OR(S567="North America",S567="Rocky Mountain"), "Widespread",BC567)</f>
        <v>Widespread</v>
      </c>
      <c r="BB567" s="11"/>
      <c r="BC567" s="35">
        <f ca="1">IF(BE567&gt;2046, "Abundant",BE567)</f>
        <v>2029.5080356506239</v>
      </c>
      <c r="BD567" s="11"/>
      <c r="BE567" s="81">
        <f ca="1">YEAR($C$13)+(BG567*80)</f>
        <v>2029.5080356506239</v>
      </c>
      <c r="BF567" s="11"/>
      <c r="BG567" s="137">
        <f ca="1">BH567*$BH$14</f>
        <v>0.13135044563279857</v>
      </c>
      <c r="BH567" s="137">
        <f ca="1">(((BJ567+BK567+BM567+BN567)/4)*$BM$11)+(((BP567+BQ567)/2)*$BQ$11)+(((BU567+BV567+BW567)/3)*$BU$11)+(((BY567+BZ567+CA567+CB567+CC567)/5)*$CA$11)</f>
        <v>0.13135044563279857</v>
      </c>
      <c r="BI567" s="11"/>
      <c r="BJ567" s="33">
        <f>AP567/(AM567+AO567)</f>
        <v>0</v>
      </c>
      <c r="BK567" s="33">
        <f>(AN567+AO567)/(AM567+AO567)</f>
        <v>0</v>
      </c>
      <c r="BL567" s="11"/>
      <c r="BM567" s="127">
        <f>CF567/102</f>
        <v>2.1568627450980395E-2</v>
      </c>
      <c r="BN567" s="127">
        <f>C567/2</f>
        <v>0.5</v>
      </c>
      <c r="BO567" s="11"/>
      <c r="BP567" s="127">
        <f>(AK567)/($AW$6)</f>
        <v>1.0101010101010102E-2</v>
      </c>
      <c r="BQ567" s="127">
        <f ca="1">(CH567-$AW$4)/((YEAR($C$13))-$AW$4)</f>
        <v>0</v>
      </c>
      <c r="BR567" s="127">
        <f>(AL567)/($AW$6)</f>
        <v>2.0202020202020204E-2</v>
      </c>
      <c r="BS567" s="11"/>
      <c r="BT567" s="127"/>
      <c r="BU567" s="127">
        <f ca="1">(CG567-$AW$4)/((YEAR($C$13))-$AW$4)</f>
        <v>0</v>
      </c>
      <c r="BV567" s="127">
        <f>AE567/5</f>
        <v>0.2</v>
      </c>
      <c r="BW567" s="127">
        <f>AF567/5</f>
        <v>1</v>
      </c>
      <c r="BX567" s="11"/>
      <c r="BY567" s="148" t="str">
        <f>IF(E567="A",".98",IF(E567="B",".99",IF(E567="C","1.00",IF(E567="D","1.00" ))))</f>
        <v>1.00</v>
      </c>
      <c r="BZ567" s="127">
        <f>(CE567+7)/10</f>
        <v>1</v>
      </c>
      <c r="CA567" s="76" t="str">
        <f>IF(D567="Fern",".97",IF(D567="Grass",".99",IF(D567="Herb",".97",IF(D567="Shrub",".99",IF(D567="Tree","1.00",IF(D567="Vine",".98"))))))</f>
        <v>.97</v>
      </c>
      <c r="CB567" s="149" t="str">
        <f>IF(R567="Bogs Ponds Streams",".96", IF(R567="Coastal Areas",".97",IF(R567="Meadows Dry Open",".96",IF(R567="Forest &amp; Understory",".97",IF(R567="Moist Open",".98",IF(R567="Moist Shady",".96",IF(R567="Sub-Alpine","1.0")))))))</f>
        <v>.98</v>
      </c>
      <c r="CC567" s="76" t="str">
        <f>IF(S567="Local Endemic",".50",IF(S567="Regional Endemic",".70",IF(S567="Cascadia",".90",IF(S567="Rocky Mountain",".95",IF(S567="North America",".99")))))</f>
        <v>.95</v>
      </c>
      <c r="CD567" s="11"/>
      <c r="CE567" s="21">
        <f>IF(W567&gt;3,3,W567)</f>
        <v>3</v>
      </c>
      <c r="CF567" s="21">
        <f>IF(AC567&gt;102,102,AC567)</f>
        <v>2.2000000000000002</v>
      </c>
      <c r="CG567" s="34">
        <f>IF(AI567&lt;$AW$4,$AW$4,AI567)</f>
        <v>2004</v>
      </c>
      <c r="CH567" s="34">
        <f>IF(AJ567&lt;$AW$4,$AW$4,AJ567)</f>
        <v>2004</v>
      </c>
      <c r="CI567" s="11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11"/>
      <c r="DC567" s="11"/>
      <c r="DD567" s="11"/>
      <c r="DE567" s="11"/>
      <c r="DF567" s="11"/>
      <c r="DG567" s="11"/>
      <c r="DH567" s="11"/>
      <c r="DI567" s="11"/>
      <c r="DJ567" s="11"/>
    </row>
    <row r="568" spans="1:115" ht="15" customHeight="1" x14ac:dyDescent="0.3">
      <c r="A568" s="235"/>
      <c r="B568" s="218"/>
      <c r="C568" s="225">
        <v>8</v>
      </c>
      <c r="D568" s="94" t="s">
        <v>1155</v>
      </c>
      <c r="E568" s="59" t="s">
        <v>2501</v>
      </c>
      <c r="F568" s="397" t="str">
        <f ca="1">IF(BC568&lt;2025, "Extinct&lt; 6Yrs?",BA568)</f>
        <v>Abundant</v>
      </c>
      <c r="G568" s="363" t="s">
        <v>525</v>
      </c>
      <c r="H568" s="363" t="s">
        <v>696</v>
      </c>
      <c r="I568" s="366" t="s">
        <v>113</v>
      </c>
      <c r="J568" s="365" t="s">
        <v>3432</v>
      </c>
      <c r="K568" s="365" t="s">
        <v>112</v>
      </c>
      <c r="L568" s="10" t="s">
        <v>1597</v>
      </c>
      <c r="M568" s="8" t="s">
        <v>4642</v>
      </c>
      <c r="N568" s="8" t="s">
        <v>5539</v>
      </c>
      <c r="O568" s="8" t="s">
        <v>6438</v>
      </c>
      <c r="P568" s="9" t="s">
        <v>134</v>
      </c>
      <c r="Q568" s="59" t="s">
        <v>2552</v>
      </c>
      <c r="R568" s="58" t="s">
        <v>2500</v>
      </c>
      <c r="S568" s="9" t="s">
        <v>2459</v>
      </c>
      <c r="T568" s="123" t="str">
        <f>IF(R568="Bogs Ponds Streams","20",IF(R568="Coastal Areas","26",IF(R568="Meadows Dry Open","10",IF(R568="Forest &amp; Understory","14",IF(R568="Moist Open","12",IF(R568="Moist Shady","10",IF(R568="Sub-Alpine Slopes","0")))))))</f>
        <v>10</v>
      </c>
      <c r="U568" s="123" t="str">
        <f>IF(R568="Bogs Ponds Streams","52",IF(R568="Coastal Areas","51",IF(R568="Meadows Dry Open","53",IF(R568="Forest &amp; Understory","52",IF(R568="Moist Open","50",IF(R568="Moist Shady","46",IF(R568="Sub-Alpine Slopes","40")))))))</f>
        <v>53</v>
      </c>
      <c r="V568" s="123" t="str">
        <f>IF(R568="Bogs Ponds Streams","84",IF(R568="Coastal Areas","76",IF(R568="Meadows Dry Open","96", IF(R568="Forest &amp; Understory","90", IF(R568="Moist Open","88", IF(R568="Moist Shady","82", IF(R568="Sub-Alpine Slopes","80")))))))</f>
        <v>96</v>
      </c>
      <c r="W568" s="59">
        <v>20</v>
      </c>
      <c r="X568" s="59">
        <v>0</v>
      </c>
      <c r="Y568" s="59">
        <v>3500</v>
      </c>
      <c r="Z568" s="59" t="s">
        <v>2519</v>
      </c>
      <c r="AA568" s="59" t="s">
        <v>2518</v>
      </c>
      <c r="AB568" s="59">
        <v>6.8</v>
      </c>
      <c r="AC568" s="45">
        <f>C568+AK568+(0.1)*AL568</f>
        <v>21.3</v>
      </c>
      <c r="AD568" s="77">
        <v>124</v>
      </c>
      <c r="AE568" s="59">
        <v>5</v>
      </c>
      <c r="AF568" s="59">
        <v>5</v>
      </c>
      <c r="AG568" s="59">
        <v>1900</v>
      </c>
      <c r="AH568" s="77">
        <v>0</v>
      </c>
      <c r="AI568" s="59">
        <f ca="1">AJ568</f>
        <v>2019</v>
      </c>
      <c r="AJ568" s="18">
        <f ca="1">YEAR(TODAY())</f>
        <v>2019</v>
      </c>
      <c r="AK568" s="18">
        <v>10</v>
      </c>
      <c r="AL568" s="18">
        <v>33</v>
      </c>
      <c r="AM568" s="18">
        <v>1</v>
      </c>
      <c r="AN568" s="18">
        <v>1</v>
      </c>
      <c r="AO568" s="25">
        <v>0</v>
      </c>
      <c r="AP568" s="24">
        <v>0</v>
      </c>
      <c r="AQ568" s="18">
        <v>0</v>
      </c>
      <c r="AR568" s="18">
        <v>0</v>
      </c>
      <c r="AS568" s="18">
        <v>0</v>
      </c>
      <c r="AT568" s="18">
        <v>0</v>
      </c>
      <c r="AU568" s="18">
        <v>0</v>
      </c>
      <c r="AV568" s="18">
        <v>0</v>
      </c>
      <c r="AW568" s="18">
        <v>0</v>
      </c>
      <c r="AX568" s="18">
        <v>0</v>
      </c>
      <c r="AY568" s="233"/>
      <c r="AZ568" s="4"/>
      <c r="BA568" s="35" t="str">
        <f ca="1">IF(OR(S568="North America",S568="Rocky Mountain"), "Widespread",BC568)</f>
        <v>Abundant</v>
      </c>
      <c r="BB568" s="4"/>
      <c r="BC568" s="35" t="str">
        <f ca="1">IF(BE568&gt;2046, "Abundant",BE568)</f>
        <v>Abundant</v>
      </c>
      <c r="BD568" s="4"/>
      <c r="BE568" s="81">
        <f ca="1">YEAR($C$13)+(BG568*80)</f>
        <v>2102.6700035650624</v>
      </c>
      <c r="BF568" s="4"/>
      <c r="BG568" s="137">
        <f ca="1">BH568*$BH$14</f>
        <v>1.0458750445632801</v>
      </c>
      <c r="BH568" s="137">
        <f ca="1">(((BJ568+BK568+BM568+BN568)/4)*$BM$11)+(((BP568+BQ568)/2)*$BQ$11)+(((BU568+BV568+BW568)/3)*$BU$11)+(((BY568+BZ568+CA568+CB568+CC568)/5)*$CA$11)</f>
        <v>1.0458750445632801</v>
      </c>
      <c r="BI568" s="4"/>
      <c r="BJ568" s="33">
        <f>AP568/(AM568+AO568)</f>
        <v>0</v>
      </c>
      <c r="BK568" s="33">
        <f>(AN568+AO568)/(AM568+AO568)</f>
        <v>1</v>
      </c>
      <c r="BL568" s="4"/>
      <c r="BM568" s="127">
        <f>CF568/102</f>
        <v>0.20882352941176471</v>
      </c>
      <c r="BN568" s="127">
        <f>C568/2</f>
        <v>4</v>
      </c>
      <c r="BO568" s="4"/>
      <c r="BP568" s="127">
        <f>(AK568)/($AW$6)</f>
        <v>0.10101010101010101</v>
      </c>
      <c r="BQ568" s="127">
        <f ca="1">(CH568-$AW$4)/((YEAR($C$13))-$AW$4)</f>
        <v>1</v>
      </c>
      <c r="BR568" s="127">
        <f>(AL568)/($AW$6)</f>
        <v>0.33333333333333331</v>
      </c>
      <c r="BS568" s="4"/>
      <c r="BT568" s="127"/>
      <c r="BU568" s="127">
        <f ca="1">(CG568-$AW$4)/((YEAR($C$13))-$AW$4)</f>
        <v>1</v>
      </c>
      <c r="BV568" s="127">
        <f>AE568/5</f>
        <v>1</v>
      </c>
      <c r="BW568" s="127">
        <f>AF568/5</f>
        <v>1</v>
      </c>
      <c r="BX568" s="4"/>
      <c r="BY568" s="148" t="str">
        <f>IF(E568="A",".98",IF(E568="B",".99",IF(E568="C","1.00",IF(E568="D","1.00" ))))</f>
        <v>1.00</v>
      </c>
      <c r="BZ568" s="127">
        <f>(CE568+7)/10</f>
        <v>1</v>
      </c>
      <c r="CA568" s="76" t="str">
        <f>IF(D568="Fern",".97",IF(D568="Grass",".99",IF(D568="Herb",".97",IF(D568="Shrub",".99",IF(D568="Tree","1.00",IF(D568="Vine",".98"))))))</f>
        <v>.99</v>
      </c>
      <c r="CB568" s="149" t="str">
        <f>IF(R568="Bogs Ponds Streams",".96", IF(R568="Coastal Areas",".97",IF(R568="Meadows Dry Open",".96",IF(R568="Forest &amp; Understory",".97",IF(R568="Moist Open",".98",IF(R568="Moist Shady",".96",IF(R568="Sub-Alpine","1.0")))))))</f>
        <v>.96</v>
      </c>
      <c r="CC568" s="76" t="str">
        <f>IF(S568="Local Endemic",".50",IF(S568="Regional Endemic",".70",IF(S568="Cascadia",".90",IF(S568="Rocky Mountain",".95",IF(S568="North America",".99")))))</f>
        <v>.90</v>
      </c>
      <c r="CD568" s="4"/>
      <c r="CE568" s="21">
        <f>IF(W568&gt;3,3,W568)</f>
        <v>3</v>
      </c>
      <c r="CF568" s="21">
        <f>IF(AC568&gt;102,102,AC568)</f>
        <v>21.3</v>
      </c>
      <c r="CG568" s="34">
        <f ca="1">IF(AI568&lt;$AW$4,$AW$4,AI568)</f>
        <v>2019</v>
      </c>
      <c r="CH568" s="34">
        <f ca="1">IF(AJ568&lt;$AW$4,$AW$4,AJ568)</f>
        <v>2019</v>
      </c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13"/>
    </row>
    <row r="569" spans="1:115" ht="15" customHeight="1" x14ac:dyDescent="0.3">
      <c r="A569" s="235"/>
      <c r="B569" s="218"/>
      <c r="C569" s="226">
        <v>2</v>
      </c>
      <c r="D569" s="104" t="s">
        <v>1154</v>
      </c>
      <c r="E569" s="104" t="s">
        <v>2501</v>
      </c>
      <c r="F569" s="400" t="str">
        <f ca="1">IF(BC569&lt;2025, "Extinct&lt; 6Yrs?",BA569)</f>
        <v>Widespread</v>
      </c>
      <c r="G569" s="369" t="s">
        <v>525</v>
      </c>
      <c r="H569" s="369" t="s">
        <v>4028</v>
      </c>
      <c r="I569" s="370" t="s">
        <v>490</v>
      </c>
      <c r="J569" s="371" t="s">
        <v>3732</v>
      </c>
      <c r="K569" s="371" t="s">
        <v>1067</v>
      </c>
      <c r="L569" s="106" t="s">
        <v>1598</v>
      </c>
      <c r="M569" s="111" t="s">
        <v>4643</v>
      </c>
      <c r="N569" s="111" t="s">
        <v>5540</v>
      </c>
      <c r="O569" s="111" t="s">
        <v>6439</v>
      </c>
      <c r="P569" s="105" t="s">
        <v>500</v>
      </c>
      <c r="Q569" s="104" t="s">
        <v>2552</v>
      </c>
      <c r="R569" s="105" t="s">
        <v>2497</v>
      </c>
      <c r="S569" s="105" t="s">
        <v>2495</v>
      </c>
      <c r="T569" s="133" t="str">
        <f>IF(R569="Bogs Ponds Streams","20",IF(R569="Coastal Areas","26",IF(R569="Meadows Dry Open","10",IF(R569="Forest &amp; Understory","14",IF(R569="Moist Open","12",IF(R569="Moist Shady","10",IF(R569="Sub-Alpine Slopes","0")))))))</f>
        <v>12</v>
      </c>
      <c r="U569" s="133" t="str">
        <f>IF(R569="Bogs Ponds Streams","52",IF(R569="Coastal Areas","51",IF(R569="Meadows Dry Open","53",IF(R569="Forest &amp; Understory","52",IF(R569="Moist Open","50",IF(R569="Moist Shady","46",IF(R569="Sub-Alpine Slopes","40")))))))</f>
        <v>50</v>
      </c>
      <c r="V569" s="133" t="str">
        <f>IF(R569="Bogs Ponds Streams","84",IF(R569="Coastal Areas","76",IF(R569="Meadows Dry Open","96", IF(R569="Forest &amp; Understory","90", IF(R569="Moist Open","88", IF(R569="Moist Shady","82", IF(R569="Sub-Alpine Slopes","80")))))))</f>
        <v>88</v>
      </c>
      <c r="W569" s="104">
        <v>20</v>
      </c>
      <c r="X569" s="104">
        <v>0</v>
      </c>
      <c r="Y569" s="104">
        <v>3500</v>
      </c>
      <c r="Z569" s="104" t="s">
        <v>2519</v>
      </c>
      <c r="AA569" s="104" t="s">
        <v>2518</v>
      </c>
      <c r="AB569" s="104">
        <v>6.8</v>
      </c>
      <c r="AC569" s="107">
        <f>C569+AK569+(0.1)*AL569</f>
        <v>3.1</v>
      </c>
      <c r="AD569" s="113">
        <v>12</v>
      </c>
      <c r="AE569" s="104">
        <v>3</v>
      </c>
      <c r="AF569" s="104">
        <v>5</v>
      </c>
      <c r="AG569" s="104">
        <v>1900</v>
      </c>
      <c r="AH569" s="113">
        <v>0</v>
      </c>
      <c r="AI569" s="104">
        <f ca="1">AJ569</f>
        <v>2019</v>
      </c>
      <c r="AJ569" s="108">
        <f ca="1">YEAR(TODAY())</f>
        <v>2019</v>
      </c>
      <c r="AK569" s="108">
        <v>1</v>
      </c>
      <c r="AL569" s="108">
        <v>1</v>
      </c>
      <c r="AM569" s="108">
        <v>1</v>
      </c>
      <c r="AN569" s="108">
        <v>1</v>
      </c>
      <c r="AO569" s="110">
        <v>0</v>
      </c>
      <c r="AP569" s="109">
        <v>0</v>
      </c>
      <c r="AQ569" s="108">
        <v>0</v>
      </c>
      <c r="AR569" s="108">
        <v>0</v>
      </c>
      <c r="AS569" s="108">
        <v>0</v>
      </c>
      <c r="AT569" s="108">
        <v>0</v>
      </c>
      <c r="AU569" s="108">
        <v>0</v>
      </c>
      <c r="AV569" s="108">
        <v>0</v>
      </c>
      <c r="AW569" s="108">
        <v>0</v>
      </c>
      <c r="AX569" s="108">
        <v>0</v>
      </c>
      <c r="AY569" s="233"/>
      <c r="AZ569" s="4"/>
      <c r="BA569" s="35" t="str">
        <f>IF(OR(S569="North America",S569="Rocky Mountain"), "Widespread",BC569)</f>
        <v>Widespread</v>
      </c>
      <c r="BB569" s="4"/>
      <c r="BC569" s="35" t="str">
        <f ca="1">IF(BE569&gt;2046, "Abundant",BE569)</f>
        <v>Abundant</v>
      </c>
      <c r="BD569" s="4"/>
      <c r="BE569" s="81">
        <f ca="1">YEAR($C$13)+(BG569*80)</f>
        <v>2062.6133846702319</v>
      </c>
      <c r="BF569" s="4"/>
      <c r="BG569" s="137">
        <f ca="1">BH569*$BH$14</f>
        <v>0.54516730837789662</v>
      </c>
      <c r="BH569" s="137">
        <f ca="1">(((BJ569+BK569+BM569+BN569)/4)*$BM$11)+(((BP569+BQ569)/2)*$BQ$11)+(((BU569+BV569+BW569)/3)*$BU$11)+(((BY569+BZ569+CA569+CB569+CC569)/5)*$CA$11)</f>
        <v>0.54516730837789662</v>
      </c>
      <c r="BI569" s="4"/>
      <c r="BJ569" s="33">
        <f>AP569/(AM569+AO569)</f>
        <v>0</v>
      </c>
      <c r="BK569" s="33">
        <f>(AN569+AO569)/(AM569+AO569)</f>
        <v>1</v>
      </c>
      <c r="BL569" s="4"/>
      <c r="BM569" s="127">
        <f>CF569/102</f>
        <v>3.0392156862745098E-2</v>
      </c>
      <c r="BN569" s="127">
        <f>C569/2</f>
        <v>1</v>
      </c>
      <c r="BO569" s="4"/>
      <c r="BP569" s="127">
        <f>(AK569)/($AW$6)</f>
        <v>1.0101010101010102E-2</v>
      </c>
      <c r="BQ569" s="127">
        <f ca="1">(CH569-$AW$4)/((YEAR($C$13))-$AW$4)</f>
        <v>1</v>
      </c>
      <c r="BR569" s="127">
        <f>(AL569)/($AW$6)</f>
        <v>1.0101010101010102E-2</v>
      </c>
      <c r="BS569" s="4"/>
      <c r="BT569" s="127"/>
      <c r="BU569" s="127">
        <f ca="1">(CG569-$AW$4)/((YEAR($C$13))-$AW$4)</f>
        <v>1</v>
      </c>
      <c r="BV569" s="127">
        <f>AE569/5</f>
        <v>0.6</v>
      </c>
      <c r="BW569" s="127">
        <f>AF569/5</f>
        <v>1</v>
      </c>
      <c r="BX569" s="4"/>
      <c r="BY569" s="148" t="str">
        <f>IF(E569="A",".98",IF(E569="B",".99",IF(E569="C","1.00",IF(E569="D","1.00" ))))</f>
        <v>1.00</v>
      </c>
      <c r="BZ569" s="127">
        <f>(CE569+7)/10</f>
        <v>1</v>
      </c>
      <c r="CA569" s="76" t="str">
        <f>IF(D569="Fern",".97",IF(D569="Grass",".99",IF(D569="Herb",".97",IF(D569="Shrub",".99",IF(D569="Tree","1.00",IF(D569="Vine",".98"))))))</f>
        <v>.97</v>
      </c>
      <c r="CB569" s="149" t="str">
        <f>IF(R569="Bogs Ponds Streams",".96", IF(R569="Coastal Areas",".97",IF(R569="Meadows Dry Open",".96",IF(R569="Forest &amp; Understory",".97",IF(R569="Moist Open",".98",IF(R569="Moist Shady",".96",IF(R569="Sub-Alpine","1.0")))))))</f>
        <v>.98</v>
      </c>
      <c r="CC569" s="76" t="str">
        <f>IF(S569="Local Endemic",".50",IF(S569="Regional Endemic",".70",IF(S569="Cascadia",".90",IF(S569="Rocky Mountain",".95",IF(S569="North America",".99")))))</f>
        <v>.99</v>
      </c>
      <c r="CD569" s="4"/>
      <c r="CE569" s="21">
        <f>IF(W569&gt;3,3,W569)</f>
        <v>3</v>
      </c>
      <c r="CF569" s="21">
        <f>IF(AC569&gt;102,102,AC569)</f>
        <v>3.1</v>
      </c>
      <c r="CG569" s="34">
        <f ca="1">IF(AI569&lt;$AW$4,$AW$4,AI569)</f>
        <v>2019</v>
      </c>
      <c r="CH569" s="34">
        <f ca="1">IF(AJ569&lt;$AW$4,$AW$4,AJ569)</f>
        <v>2019</v>
      </c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13"/>
    </row>
    <row r="570" spans="1:115" ht="15" customHeight="1" x14ac:dyDescent="0.3">
      <c r="A570" s="235"/>
      <c r="B570" s="218"/>
      <c r="C570" s="225">
        <v>8</v>
      </c>
      <c r="D570" s="59" t="s">
        <v>2506</v>
      </c>
      <c r="E570" s="60" t="s">
        <v>2501</v>
      </c>
      <c r="F570" s="397" t="str">
        <f ca="1">IF(BC570&lt;2025, "Extinct&lt; 6Yrs?",BA570)</f>
        <v>Abundant</v>
      </c>
      <c r="G570" s="363" t="s">
        <v>525</v>
      </c>
      <c r="H570" s="363" t="s">
        <v>682</v>
      </c>
      <c r="I570" s="366" t="s">
        <v>47</v>
      </c>
      <c r="J570" s="365" t="s">
        <v>3433</v>
      </c>
      <c r="K570" s="365" t="s">
        <v>46</v>
      </c>
      <c r="L570" s="10" t="s">
        <v>1599</v>
      </c>
      <c r="M570" s="8" t="s">
        <v>4644</v>
      </c>
      <c r="N570" s="8" t="s">
        <v>5541</v>
      </c>
      <c r="O570" s="8" t="s">
        <v>6440</v>
      </c>
      <c r="P570" s="9" t="s">
        <v>48</v>
      </c>
      <c r="Q570" s="59" t="s">
        <v>2552</v>
      </c>
      <c r="R570" s="9" t="s">
        <v>2498</v>
      </c>
      <c r="S570" s="9" t="s">
        <v>2309</v>
      </c>
      <c r="T570" s="123" t="str">
        <f>IF(R570="Bogs Ponds Streams","20",IF(R570="Coastal Areas","26",IF(R570="Meadows Dry Open","10",IF(R570="Forest &amp; Understory","14",IF(R570="Moist Open","12",IF(R570="Moist Shady","10",IF(R570="Sub-Alpine Slopes","0")))))))</f>
        <v>10</v>
      </c>
      <c r="U570" s="123" t="str">
        <f>IF(R570="Bogs Ponds Streams","52",IF(R570="Coastal Areas","51",IF(R570="Meadows Dry Open","53",IF(R570="Forest &amp; Understory","52",IF(R570="Moist Open","50",IF(R570="Moist Shady","46",IF(R570="Sub-Alpine Slopes","40")))))))</f>
        <v>46</v>
      </c>
      <c r="V570" s="123" t="str">
        <f>IF(R570="Bogs Ponds Streams","84",IF(R570="Coastal Areas","76",IF(R570="Meadows Dry Open","96", IF(R570="Forest &amp; Understory","90", IF(R570="Moist Open","88", IF(R570="Moist Shady","82", IF(R570="Sub-Alpine Slopes","80")))))))</f>
        <v>82</v>
      </c>
      <c r="W570" s="59">
        <v>20</v>
      </c>
      <c r="X570" s="59">
        <v>0</v>
      </c>
      <c r="Y570" s="59">
        <v>3500</v>
      </c>
      <c r="Z570" s="59" t="s">
        <v>2519</v>
      </c>
      <c r="AA570" s="59" t="s">
        <v>2518</v>
      </c>
      <c r="AB570" s="59">
        <v>6.8</v>
      </c>
      <c r="AC570" s="45">
        <f>C570+AK570+(0.1)*AL570</f>
        <v>107.9</v>
      </c>
      <c r="AD570" s="77">
        <v>59</v>
      </c>
      <c r="AE570" s="59">
        <v>5</v>
      </c>
      <c r="AF570" s="59">
        <v>5</v>
      </c>
      <c r="AG570" s="59">
        <v>1900</v>
      </c>
      <c r="AH570" s="77">
        <v>0</v>
      </c>
      <c r="AI570" s="59">
        <f ca="1">AJ570</f>
        <v>2019</v>
      </c>
      <c r="AJ570" s="18">
        <f ca="1">YEAR(TODAY())</f>
        <v>2019</v>
      </c>
      <c r="AK570" s="18">
        <v>99</v>
      </c>
      <c r="AL570" s="18">
        <v>9</v>
      </c>
      <c r="AM570" s="18">
        <v>1</v>
      </c>
      <c r="AN570" s="18">
        <v>1</v>
      </c>
      <c r="AO570" s="18">
        <v>5</v>
      </c>
      <c r="AP570" s="18">
        <v>1</v>
      </c>
      <c r="AQ570" s="18">
        <v>0</v>
      </c>
      <c r="AR570" s="18">
        <v>0</v>
      </c>
      <c r="AS570" s="18">
        <v>0</v>
      </c>
      <c r="AT570" s="18">
        <v>0</v>
      </c>
      <c r="AU570" s="18">
        <v>0</v>
      </c>
      <c r="AV570" s="18">
        <v>0</v>
      </c>
      <c r="AW570" s="18">
        <v>0</v>
      </c>
      <c r="AX570" s="18">
        <v>0</v>
      </c>
      <c r="AY570" s="233"/>
      <c r="AZ570" s="4"/>
      <c r="BA570" s="35" t="str">
        <f ca="1">IF(OR(S570="North America",S570="Rocky Mountain"), "Widespread",BC570)</f>
        <v>Abundant</v>
      </c>
      <c r="BB570" s="4"/>
      <c r="BC570" s="35" t="str">
        <f ca="1">IF(BE570&gt;2046, "Abundant",BE570)</f>
        <v>Abundant</v>
      </c>
      <c r="BD570" s="4"/>
      <c r="BE570" s="81">
        <f ca="1">YEAR($C$13)+(BG570*80)</f>
        <v>2124.8879999999999</v>
      </c>
      <c r="BF570" s="4"/>
      <c r="BG570" s="137">
        <f ca="1">BH570*$BH$14</f>
        <v>1.3236000000000001</v>
      </c>
      <c r="BH570" s="137">
        <f ca="1">(((BJ570+BK570+BM570+BN570)/4)*$BM$11)+(((BP570+BQ570)/2)*$BQ$11)+(((BU570+BV570+BW570)/3)*$BU$11)+(((BY570+BZ570+CA570+CB570+CC570)/5)*$CA$11)</f>
        <v>1.3236000000000001</v>
      </c>
      <c r="BI570" s="4"/>
      <c r="BJ570" s="33">
        <f>AP570/(AM570+AO570)</f>
        <v>0.16666666666666666</v>
      </c>
      <c r="BK570" s="33">
        <f>(AN570+AO570)/(AM570+AO570)</f>
        <v>1</v>
      </c>
      <c r="BL570" s="4"/>
      <c r="BM570" s="127">
        <f>CF570/102</f>
        <v>1</v>
      </c>
      <c r="BN570" s="127">
        <f>C570/2</f>
        <v>4</v>
      </c>
      <c r="BO570" s="4"/>
      <c r="BP570" s="127">
        <f>(AK570)/($AW$6)</f>
        <v>1</v>
      </c>
      <c r="BQ570" s="127">
        <f ca="1">(CH570-$AW$4)/((YEAR($C$13))-$AW$4)</f>
        <v>1</v>
      </c>
      <c r="BR570" s="127">
        <f>(AL570)/($AW$6)</f>
        <v>9.0909090909090912E-2</v>
      </c>
      <c r="BS570" s="4"/>
      <c r="BT570" s="127"/>
      <c r="BU570" s="127">
        <f ca="1">(CG570-$AW$4)/((YEAR($C$13))-$AW$4)</f>
        <v>1</v>
      </c>
      <c r="BV570" s="127">
        <f>AE570/5</f>
        <v>1</v>
      </c>
      <c r="BW570" s="127">
        <f>AF570/5</f>
        <v>1</v>
      </c>
      <c r="BX570" s="4"/>
      <c r="BY570" s="148" t="str">
        <f>IF(E570="A",".98",IF(E570="B",".99",IF(E570="C","1.00",IF(E570="D","1.00" ))))</f>
        <v>1.00</v>
      </c>
      <c r="BZ570" s="127">
        <f>(CE570+7)/10</f>
        <v>1</v>
      </c>
      <c r="CA570" s="76" t="str">
        <f>IF(D570="Fern",".97",IF(D570="Grass",".99",IF(D570="Herb",".97",IF(D570="Shrub",".99",IF(D570="Tree","1.00",IF(D570="Vine",".98"))))))</f>
        <v>.99</v>
      </c>
      <c r="CB570" s="149" t="str">
        <f>IF(R570="Bogs Ponds Streams",".96", IF(R570="Coastal Areas",".97",IF(R570="Meadows Dry Open",".96",IF(R570="Forest &amp; Understory",".97",IF(R570="Moist Open",".98",IF(R570="Moist Shady",".96",IF(R570="Sub-Alpine","1.0")))))))</f>
        <v>.96</v>
      </c>
      <c r="CC570" s="76" t="str">
        <f>IF(S570="Local Endemic",".50",IF(S570="Regional Endemic",".70",IF(S570="Cascadia",".90",IF(S570="Rocky Mountain",".95",IF(S570="North America",".99")))))</f>
        <v>.70</v>
      </c>
      <c r="CD570" s="4"/>
      <c r="CE570" s="21">
        <f>IF(W570&gt;3,3,W570)</f>
        <v>3</v>
      </c>
      <c r="CF570" s="21">
        <f>IF(AC570&gt;102,102,AC570)</f>
        <v>102</v>
      </c>
      <c r="CG570" s="34">
        <f ca="1">IF(AI570&lt;$AW$4,$AW$4,AI570)</f>
        <v>2019</v>
      </c>
      <c r="CH570" s="34">
        <f ca="1">IF(AJ570&lt;$AW$4,$AW$4,AJ570)</f>
        <v>2019</v>
      </c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</row>
    <row r="571" spans="1:115" ht="15" customHeight="1" x14ac:dyDescent="0.3">
      <c r="A571" s="235"/>
      <c r="B571" s="218"/>
      <c r="C571" s="225">
        <v>8</v>
      </c>
      <c r="D571" s="59" t="s">
        <v>2505</v>
      </c>
      <c r="E571" s="59" t="s">
        <v>2501</v>
      </c>
      <c r="F571" s="397" t="str">
        <f ca="1">IF(BC571&lt;2025, "Extinct&lt; 6Yrs?",BA571)</f>
        <v>Widespread</v>
      </c>
      <c r="G571" s="363" t="s">
        <v>525</v>
      </c>
      <c r="H571" s="363" t="s">
        <v>696</v>
      </c>
      <c r="I571" s="366" t="s">
        <v>324</v>
      </c>
      <c r="J571" s="365" t="s">
        <v>3434</v>
      </c>
      <c r="K571" s="365" t="s">
        <v>419</v>
      </c>
      <c r="L571" s="10" t="s">
        <v>1600</v>
      </c>
      <c r="M571" s="8" t="s">
        <v>4645</v>
      </c>
      <c r="N571" s="8" t="s">
        <v>5542</v>
      </c>
      <c r="O571" s="8" t="s">
        <v>6441</v>
      </c>
      <c r="P571" s="9" t="s">
        <v>69</v>
      </c>
      <c r="Q571" s="59" t="s">
        <v>2552</v>
      </c>
      <c r="R571" s="9" t="s">
        <v>2500</v>
      </c>
      <c r="S571" s="9" t="s">
        <v>2479</v>
      </c>
      <c r="T571" s="123" t="str">
        <f>IF(R571="Bogs Ponds Streams","20",IF(R571="Coastal Areas","26",IF(R571="Meadows Dry Open","10",IF(R571="Forest &amp; Understory","14",IF(R571="Moist Open","12",IF(R571="Moist Shady","10",IF(R571="Sub-Alpine Slopes","0")))))))</f>
        <v>10</v>
      </c>
      <c r="U571" s="123" t="str">
        <f>IF(R571="Bogs Ponds Streams","52",IF(R571="Coastal Areas","51",IF(R571="Meadows Dry Open","53",IF(R571="Forest &amp; Understory","52",IF(R571="Moist Open","50",IF(R571="Moist Shady","46",IF(R571="Sub-Alpine Slopes","40")))))))</f>
        <v>53</v>
      </c>
      <c r="V571" s="123" t="str">
        <f>IF(R571="Bogs Ponds Streams","84",IF(R571="Coastal Areas","76",IF(R571="Meadows Dry Open","96", IF(R571="Forest &amp; Understory","90", IF(R571="Moist Open","88", IF(R571="Moist Shady","82", IF(R571="Sub-Alpine Slopes","80")))))))</f>
        <v>96</v>
      </c>
      <c r="W571" s="59">
        <v>20</v>
      </c>
      <c r="X571" s="59">
        <v>0</v>
      </c>
      <c r="Y571" s="59">
        <v>3500</v>
      </c>
      <c r="Z571" s="59" t="s">
        <v>2519</v>
      </c>
      <c r="AA571" s="59" t="s">
        <v>2518</v>
      </c>
      <c r="AB571" s="59">
        <v>6.8</v>
      </c>
      <c r="AC571" s="45">
        <f>C571+AK571+(0.1)*AL571</f>
        <v>20.5</v>
      </c>
      <c r="AD571" s="77">
        <v>29</v>
      </c>
      <c r="AE571" s="59">
        <v>5</v>
      </c>
      <c r="AF571" s="59">
        <v>5</v>
      </c>
      <c r="AG571" s="59">
        <v>1900</v>
      </c>
      <c r="AH571" s="77">
        <v>0</v>
      </c>
      <c r="AI571" s="59">
        <f ca="1">AJ571</f>
        <v>2019</v>
      </c>
      <c r="AJ571" s="18">
        <f ca="1">YEAR(TODAY())</f>
        <v>2019</v>
      </c>
      <c r="AK571" s="18">
        <v>12</v>
      </c>
      <c r="AL571" s="18">
        <v>5</v>
      </c>
      <c r="AM571" s="18">
        <v>1</v>
      </c>
      <c r="AN571" s="18">
        <v>1</v>
      </c>
      <c r="AO571" s="18">
        <v>5</v>
      </c>
      <c r="AP571" s="18">
        <v>1</v>
      </c>
      <c r="AQ571" s="18">
        <v>0</v>
      </c>
      <c r="AR571" s="18">
        <v>0</v>
      </c>
      <c r="AS571" s="18">
        <v>0</v>
      </c>
      <c r="AT571" s="18">
        <v>0</v>
      </c>
      <c r="AU571" s="18">
        <v>0</v>
      </c>
      <c r="AV571" s="18">
        <v>0</v>
      </c>
      <c r="AW571" s="18">
        <v>0</v>
      </c>
      <c r="AX571" s="18">
        <v>0</v>
      </c>
      <c r="AY571" s="233"/>
      <c r="AZ571" s="4"/>
      <c r="BA571" s="35" t="str">
        <f>IF(OR(S571="North America",S571="Rocky Mountain"), "Widespread",BC571)</f>
        <v>Widespread</v>
      </c>
      <c r="BB571" s="4"/>
      <c r="BC571" s="35" t="str">
        <f ca="1">IF(BE571&gt;2046, "Abundant",BE571)</f>
        <v>Abundant</v>
      </c>
      <c r="BD571" s="4"/>
      <c r="BE571" s="81">
        <f ca="1">YEAR($C$13)+(BG571*80)</f>
        <v>2104.8279101604276</v>
      </c>
      <c r="BF571" s="4"/>
      <c r="BG571" s="137">
        <f ca="1">BH571*$BH$14</f>
        <v>1.0728488770053475</v>
      </c>
      <c r="BH571" s="137">
        <f ca="1">(((BJ571+BK571+BM571+BN571)/4)*$BM$11)+(((BP571+BQ571)/2)*$BQ$11)+(((BU571+BV571+BW571)/3)*$BU$11)+(((BY571+BZ571+CA571+CB571+CC571)/5)*$CA$11)</f>
        <v>1.0728488770053475</v>
      </c>
      <c r="BI571" s="4"/>
      <c r="BJ571" s="33">
        <f>AP571/(AM571+AO571)</f>
        <v>0.16666666666666666</v>
      </c>
      <c r="BK571" s="33">
        <f>(AN571+AO571)/(AM571+AO571)</f>
        <v>1</v>
      </c>
      <c r="BL571" s="4"/>
      <c r="BM571" s="127">
        <f>CF571/102</f>
        <v>0.20098039215686275</v>
      </c>
      <c r="BN571" s="127">
        <f>C571/2</f>
        <v>4</v>
      </c>
      <c r="BO571" s="4"/>
      <c r="BP571" s="127">
        <f>(AK571)/($AW$6)</f>
        <v>0.12121212121212122</v>
      </c>
      <c r="BQ571" s="127">
        <f ca="1">(CH571-$AW$4)/((YEAR($C$13))-$AW$4)</f>
        <v>1</v>
      </c>
      <c r="BR571" s="127">
        <f>(AL571)/($AW$6)</f>
        <v>5.0505050505050504E-2</v>
      </c>
      <c r="BS571" s="4"/>
      <c r="BT571" s="127"/>
      <c r="BU571" s="127">
        <f ca="1">(CG571-$AW$4)/((YEAR($C$13))-$AW$4)</f>
        <v>1</v>
      </c>
      <c r="BV571" s="127">
        <f>AE571/5</f>
        <v>1</v>
      </c>
      <c r="BW571" s="127">
        <f>AF571/5</f>
        <v>1</v>
      </c>
      <c r="BX571" s="4"/>
      <c r="BY571" s="148" t="str">
        <f>IF(E571="A",".98",IF(E571="B",".99",IF(E571="C","1.00",IF(E571="D","1.00" ))))</f>
        <v>1.00</v>
      </c>
      <c r="BZ571" s="127">
        <f>(CE571+7)/10</f>
        <v>1</v>
      </c>
      <c r="CA571" s="76" t="str">
        <f>IF(D571="Fern",".97",IF(D571="Grass",".99",IF(D571="Herb",".97",IF(D571="Shrub",".99",IF(D571="Tree","1.00",IF(D571="Vine",".98"))))))</f>
        <v>.97</v>
      </c>
      <c r="CB571" s="149" t="str">
        <f>IF(R571="Bogs Ponds Streams",".96", IF(R571="Coastal Areas",".97",IF(R571="Meadows Dry Open",".96",IF(R571="Forest &amp; Understory",".97",IF(R571="Moist Open",".98",IF(R571="Moist Shady",".96",IF(R571="Sub-Alpine","1.0")))))))</f>
        <v>.96</v>
      </c>
      <c r="CC571" s="76" t="str">
        <f>IF(S571="Local Endemic",".50",IF(S571="Regional Endemic",".70",IF(S571="Cascadia",".90",IF(S571="Rocky Mountain",".95",IF(S571="North America",".99")))))</f>
        <v>.95</v>
      </c>
      <c r="CD571" s="4"/>
      <c r="CE571" s="21">
        <f>IF(W571&gt;3,3,W571)</f>
        <v>3</v>
      </c>
      <c r="CF571" s="21">
        <f>IF(AC571&gt;102,102,AC571)</f>
        <v>20.5</v>
      </c>
      <c r="CG571" s="34">
        <f ca="1">IF(AI571&lt;$AW$4,$AW$4,AI571)</f>
        <v>2019</v>
      </c>
      <c r="CH571" s="34">
        <f ca="1">IF(AJ571&lt;$AW$4,$AW$4,AJ571)</f>
        <v>2019</v>
      </c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13"/>
    </row>
    <row r="572" spans="1:115" ht="15" customHeight="1" x14ac:dyDescent="0.3">
      <c r="A572" s="235"/>
      <c r="B572" s="218"/>
      <c r="C572" s="226">
        <v>2</v>
      </c>
      <c r="D572" s="104" t="s">
        <v>2505</v>
      </c>
      <c r="E572" s="104" t="s">
        <v>2501</v>
      </c>
      <c r="F572" s="400" t="str">
        <f ca="1">IF(BC572&lt;2025, "Extinct&lt; 6Yrs?",BA572)</f>
        <v>Widespread</v>
      </c>
      <c r="G572" s="369" t="s">
        <v>525</v>
      </c>
      <c r="H572" s="369" t="s">
        <v>4028</v>
      </c>
      <c r="I572" s="372" t="s">
        <v>2682</v>
      </c>
      <c r="J572" s="371" t="s">
        <v>3731</v>
      </c>
      <c r="K572" s="371" t="s">
        <v>1288</v>
      </c>
      <c r="L572" s="114" t="s">
        <v>2213</v>
      </c>
      <c r="M572" s="111" t="s">
        <v>4646</v>
      </c>
      <c r="N572" s="111" t="s">
        <v>5543</v>
      </c>
      <c r="O572" s="111" t="s">
        <v>6442</v>
      </c>
      <c r="P572" s="401" t="s">
        <v>198</v>
      </c>
      <c r="Q572" s="104" t="s">
        <v>2552</v>
      </c>
      <c r="R572" s="105" t="s">
        <v>2530</v>
      </c>
      <c r="S572" s="105" t="s">
        <v>2495</v>
      </c>
      <c r="T572" s="133" t="str">
        <f>IF(R572="Bogs Ponds Streams","20",IF(R572="Coastal Areas","26",IF(R572="Meadows Dry Open","10",IF(R572="Forest &amp; Understory","14",IF(R572="Moist Open","12",IF(R572="Moist Shady","10",IF(R572="Sub-Alpine Slopes","0")))))))</f>
        <v>14</v>
      </c>
      <c r="U572" s="133" t="str">
        <f>IF(R572="Bogs Ponds Streams","52",IF(R572="Coastal Areas","51",IF(R572="Meadows Dry Open","53",IF(R572="Forest &amp; Understory","52",IF(R572="Moist Open","50",IF(R572="Moist Shady","46",IF(R572="Sub-Alpine Slopes","40")))))))</f>
        <v>52</v>
      </c>
      <c r="V572" s="133" t="str">
        <f>IF(R572="Bogs Ponds Streams","84",IF(R572="Coastal Areas","76",IF(R572="Meadows Dry Open","96", IF(R572="Forest &amp; Understory","90", IF(R572="Moist Open","88", IF(R572="Moist Shady","82", IF(R572="Sub-Alpine Slopes","80")))))))</f>
        <v>90</v>
      </c>
      <c r="W572" s="104">
        <v>20</v>
      </c>
      <c r="X572" s="104">
        <v>0</v>
      </c>
      <c r="Y572" s="104">
        <v>3500</v>
      </c>
      <c r="Z572" s="104" t="s">
        <v>2519</v>
      </c>
      <c r="AA572" s="104" t="s">
        <v>2518</v>
      </c>
      <c r="AB572" s="104">
        <v>6.8</v>
      </c>
      <c r="AC572" s="107">
        <f>C572+AK572+(0.1)*AL572</f>
        <v>14</v>
      </c>
      <c r="AD572" s="113">
        <v>173</v>
      </c>
      <c r="AE572" s="104">
        <v>5</v>
      </c>
      <c r="AF572" s="104">
        <v>5</v>
      </c>
      <c r="AG572" s="104">
        <v>1900</v>
      </c>
      <c r="AH572" s="113">
        <v>0</v>
      </c>
      <c r="AI572" s="104">
        <f>AJ572</f>
        <v>2004</v>
      </c>
      <c r="AJ572" s="108">
        <v>2004</v>
      </c>
      <c r="AK572" s="108">
        <v>10</v>
      </c>
      <c r="AL572" s="108">
        <v>20</v>
      </c>
      <c r="AM572" s="109">
        <v>5</v>
      </c>
      <c r="AN572" s="109">
        <v>1</v>
      </c>
      <c r="AO572" s="110">
        <v>0</v>
      </c>
      <c r="AP572" s="109">
        <v>0</v>
      </c>
      <c r="AQ572" s="109">
        <v>0</v>
      </c>
      <c r="AR572" s="109">
        <v>0</v>
      </c>
      <c r="AS572" s="110">
        <v>0</v>
      </c>
      <c r="AT572" s="109">
        <v>0</v>
      </c>
      <c r="AU572" s="109">
        <v>0</v>
      </c>
      <c r="AV572" s="109">
        <v>0</v>
      </c>
      <c r="AW572" s="110">
        <v>0</v>
      </c>
      <c r="AX572" s="109">
        <v>0</v>
      </c>
      <c r="AY572" s="233"/>
      <c r="AZ572" s="4"/>
      <c r="BA572" s="35" t="str">
        <f>IF(OR(S572="North America",S572="Rocky Mountain"), "Widespread",BC572)</f>
        <v>Widespread</v>
      </c>
      <c r="BB572" s="4"/>
      <c r="BC572" s="35">
        <f ca="1">IF(BE572&gt;2046, "Abundant",BE572)</f>
        <v>2042.1034467023173</v>
      </c>
      <c r="BD572" s="4"/>
      <c r="BE572" s="81">
        <f ca="1">YEAR($C$13)+(BG572*80)</f>
        <v>2042.1034467023173</v>
      </c>
      <c r="BF572" s="4"/>
      <c r="BG572" s="137">
        <f ca="1">BH572*$BH$14</f>
        <v>0.28879308377896612</v>
      </c>
      <c r="BH572" s="137">
        <f ca="1">(((BJ572+BK572+BM572+BN572)/4)*$BM$11)+(((BP572+BQ572)/2)*$BQ$11)+(((BU572+BV572+BW572)/3)*$BU$11)+(((BY572+BZ572+CA572+CB572+CC572)/5)*$CA$11)</f>
        <v>0.28879308377896612</v>
      </c>
      <c r="BI572" s="4"/>
      <c r="BJ572" s="33">
        <f>AP572/(AM572+AO572)</f>
        <v>0</v>
      </c>
      <c r="BK572" s="33">
        <f>(AN572+AO572)/(AM572+AO572)</f>
        <v>0.2</v>
      </c>
      <c r="BL572" s="4"/>
      <c r="BM572" s="127">
        <f>CF572/102</f>
        <v>0.13725490196078433</v>
      </c>
      <c r="BN572" s="127">
        <f>C572/2</f>
        <v>1</v>
      </c>
      <c r="BO572" s="4"/>
      <c r="BP572" s="127">
        <f>(AK572)/($AW$6)</f>
        <v>0.10101010101010101</v>
      </c>
      <c r="BQ572" s="127">
        <f ca="1">(CH572-$AW$4)/((YEAR($C$13))-$AW$4)</f>
        <v>0</v>
      </c>
      <c r="BR572" s="127">
        <f>(AL572)/($AW$6)</f>
        <v>0.20202020202020202</v>
      </c>
      <c r="BS572" s="4"/>
      <c r="BT572" s="127"/>
      <c r="BU572" s="127">
        <f ca="1">(CG572-$AW$4)/((YEAR($C$13))-$AW$4)</f>
        <v>0</v>
      </c>
      <c r="BV572" s="127">
        <f>AE572/5</f>
        <v>1</v>
      </c>
      <c r="BW572" s="127">
        <f>AF572/5</f>
        <v>1</v>
      </c>
      <c r="BX572" s="4"/>
      <c r="BY572" s="148" t="str">
        <f>IF(E572="A",".98",IF(E572="B",".99",IF(E572="C","1.00",IF(E572="D","1.00" ))))</f>
        <v>1.00</v>
      </c>
      <c r="BZ572" s="127">
        <f>(CE572+7)/10</f>
        <v>1</v>
      </c>
      <c r="CA572" s="76" t="str">
        <f>IF(D572="Fern",".97",IF(D572="Grass",".99",IF(D572="Herb",".97",IF(D572="Shrub",".99",IF(D572="Tree","1.00",IF(D572="Vine",".98"))))))</f>
        <v>.97</v>
      </c>
      <c r="CB572" s="149" t="str">
        <f>IF(R572="Bogs Ponds Streams",".96", IF(R572="Coastal Areas",".97",IF(R572="Meadows Dry Open",".96",IF(R572="Forest &amp; Understory",".97",IF(R572="Moist Open",".98",IF(R572="Moist Shady",".96",IF(R572="Sub-Alpine","1.0")))))))</f>
        <v>.97</v>
      </c>
      <c r="CC572" s="76" t="str">
        <f>IF(S572="Local Endemic",".50",IF(S572="Regional Endemic",".70",IF(S572="Cascadia",".90",IF(S572="Rocky Mountain",".95",IF(S572="North America",".99")))))</f>
        <v>.99</v>
      </c>
      <c r="CD572" s="4"/>
      <c r="CE572" s="21">
        <f>IF(W572&gt;3,3,W572)</f>
        <v>3</v>
      </c>
      <c r="CF572" s="21">
        <f>IF(AC572&gt;102,102,AC572)</f>
        <v>14</v>
      </c>
      <c r="CG572" s="34">
        <f>IF(AI572&lt;$AW$4,$AW$4,AI572)</f>
        <v>2004</v>
      </c>
      <c r="CH572" s="34">
        <f>IF(AJ572&lt;$AW$4,$AW$4,AJ572)</f>
        <v>2004</v>
      </c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</row>
    <row r="573" spans="1:115" ht="15" customHeight="1" x14ac:dyDescent="0.3">
      <c r="A573" s="235"/>
      <c r="B573" s="218"/>
      <c r="C573" s="226">
        <v>2</v>
      </c>
      <c r="D573" s="104" t="s">
        <v>2505</v>
      </c>
      <c r="E573" s="104" t="s">
        <v>2502</v>
      </c>
      <c r="F573" s="400" t="str">
        <f ca="1">IF(BC573&lt;2025, "Extinct&lt; 6Yrs?",BA573)</f>
        <v>Abundant</v>
      </c>
      <c r="G573" s="369" t="s">
        <v>525</v>
      </c>
      <c r="H573" s="369" t="s">
        <v>4028</v>
      </c>
      <c r="I573" s="370" t="s">
        <v>3097</v>
      </c>
      <c r="J573" s="371" t="s">
        <v>3730</v>
      </c>
      <c r="K573" s="371" t="s">
        <v>376</v>
      </c>
      <c r="L573" s="106" t="s">
        <v>1601</v>
      </c>
      <c r="M573" s="111" t="s">
        <v>4647</v>
      </c>
      <c r="N573" s="111" t="s">
        <v>5544</v>
      </c>
      <c r="O573" s="111" t="s">
        <v>6443</v>
      </c>
      <c r="P573" s="105" t="s">
        <v>667</v>
      </c>
      <c r="Q573" s="104" t="s">
        <v>2552</v>
      </c>
      <c r="R573" s="105" t="s">
        <v>2497</v>
      </c>
      <c r="S573" s="105" t="s">
        <v>2459</v>
      </c>
      <c r="T573" s="133" t="str">
        <f>IF(R573="Bogs Ponds Streams","20",IF(R573="Coastal Areas","26",IF(R573="Meadows Dry Open","10",IF(R573="Forest &amp; Understory","14",IF(R573="Moist Open","12",IF(R573="Moist Shady","10",IF(R573="Sub-Alpine Slopes","0")))))))</f>
        <v>12</v>
      </c>
      <c r="U573" s="133" t="str">
        <f>IF(R573="Bogs Ponds Streams","52",IF(R573="Coastal Areas","51",IF(R573="Meadows Dry Open","53",IF(R573="Forest &amp; Understory","52",IF(R573="Moist Open","50",IF(R573="Moist Shady","46",IF(R573="Sub-Alpine Slopes","40")))))))</f>
        <v>50</v>
      </c>
      <c r="V573" s="133" t="str">
        <f>IF(R573="Bogs Ponds Streams","84",IF(R573="Coastal Areas","76",IF(R573="Meadows Dry Open","96", IF(R573="Forest &amp; Understory","90", IF(R573="Moist Open","88", IF(R573="Moist Shady","82", IF(R573="Sub-Alpine Slopes","80")))))))</f>
        <v>88</v>
      </c>
      <c r="W573" s="104">
        <v>1</v>
      </c>
      <c r="X573" s="104">
        <v>0</v>
      </c>
      <c r="Y573" s="104">
        <v>3500</v>
      </c>
      <c r="Z573" s="104" t="s">
        <v>2519</v>
      </c>
      <c r="AA573" s="104" t="s">
        <v>2518</v>
      </c>
      <c r="AB573" s="104">
        <v>6.8</v>
      </c>
      <c r="AC573" s="107">
        <f>C573+AK573+(0.1)*AL573</f>
        <v>3</v>
      </c>
      <c r="AD573" s="113">
        <v>20</v>
      </c>
      <c r="AE573" s="112">
        <v>2</v>
      </c>
      <c r="AF573" s="112">
        <v>3</v>
      </c>
      <c r="AG573" s="113">
        <v>1890</v>
      </c>
      <c r="AH573" s="113">
        <v>0</v>
      </c>
      <c r="AI573" s="113">
        <v>2018</v>
      </c>
      <c r="AJ573" s="108">
        <v>2018</v>
      </c>
      <c r="AK573" s="108">
        <v>1</v>
      </c>
      <c r="AL573" s="108">
        <v>0</v>
      </c>
      <c r="AM573" s="109">
        <v>5</v>
      </c>
      <c r="AN573" s="109">
        <v>1</v>
      </c>
      <c r="AO573" s="109">
        <v>1</v>
      </c>
      <c r="AP573" s="109">
        <v>1</v>
      </c>
      <c r="AQ573" s="109">
        <v>0</v>
      </c>
      <c r="AR573" s="109">
        <v>0</v>
      </c>
      <c r="AS573" s="110">
        <v>0</v>
      </c>
      <c r="AT573" s="109">
        <v>0</v>
      </c>
      <c r="AU573" s="109">
        <v>0</v>
      </c>
      <c r="AV573" s="109">
        <v>0</v>
      </c>
      <c r="AW573" s="110">
        <v>0</v>
      </c>
      <c r="AX573" s="109">
        <v>0</v>
      </c>
      <c r="AY573" s="233"/>
      <c r="AZ573" s="4"/>
      <c r="BA573" s="35" t="str">
        <f ca="1">IF(OR(S573="North America",S573="Rocky Mountain"), "Widespread",BC573)</f>
        <v>Abundant</v>
      </c>
      <c r="BB573" s="4"/>
      <c r="BC573" s="35" t="str">
        <f ca="1">IF(BE573&gt;2046, "Abundant",BE573)</f>
        <v>Abundant</v>
      </c>
      <c r="BD573" s="4"/>
      <c r="BE573" s="81">
        <f ca="1">YEAR($C$13)+(BG573*80)</f>
        <v>2054.2801977421273</v>
      </c>
      <c r="BF573" s="4"/>
      <c r="BG573" s="137">
        <f ca="1">BH573*$BH$14</f>
        <v>0.44100247177658936</v>
      </c>
      <c r="BH573" s="137">
        <f ca="1">(((BJ573+BK573+BM573+BN573)/4)*$BM$11)+(((BP573+BQ573)/2)*$BQ$11)+(((BU573+BV573+BW573)/3)*$BU$11)+(((BY573+BZ573+CA573+CB573+CC573)/5)*$CA$11)</f>
        <v>0.44100247177658936</v>
      </c>
      <c r="BI573" s="4"/>
      <c r="BJ573" s="33">
        <f>AP573/(AM573+AO573)</f>
        <v>0.16666666666666666</v>
      </c>
      <c r="BK573" s="33">
        <f>(AN573+AO573)/(AM573+AO573)</f>
        <v>0.33333333333333331</v>
      </c>
      <c r="BL573" s="4"/>
      <c r="BM573" s="127">
        <f>CF573/102</f>
        <v>2.9411764705882353E-2</v>
      </c>
      <c r="BN573" s="127">
        <f>C573/2</f>
        <v>1</v>
      </c>
      <c r="BO573" s="4"/>
      <c r="BP573" s="127">
        <f>(AK573)/($AW$6)</f>
        <v>1.0101010101010102E-2</v>
      </c>
      <c r="BQ573" s="127">
        <f ca="1">(CH573-$AW$4)/((YEAR($C$13))-$AW$4)</f>
        <v>0.93333333333333335</v>
      </c>
      <c r="BR573" s="127">
        <f>(AL573)/($AW$6)</f>
        <v>0</v>
      </c>
      <c r="BS573" s="4"/>
      <c r="BT573" s="127"/>
      <c r="BU573" s="127">
        <f ca="1">(CG573-$AW$4)/((YEAR($C$13))-$AW$4)</f>
        <v>0.93333333333333335</v>
      </c>
      <c r="BV573" s="127">
        <f>AE573/5</f>
        <v>0.4</v>
      </c>
      <c r="BW573" s="127">
        <f>AF573/5</f>
        <v>0.6</v>
      </c>
      <c r="BX573" s="4"/>
      <c r="BY573" s="148" t="str">
        <f>IF(E573="A",".98",IF(E573="B",".99",IF(E573="C","1.00",IF(E573="D","1.00" ))))</f>
        <v>.98</v>
      </c>
      <c r="BZ573" s="127">
        <f>(CE573+7)/10</f>
        <v>0.8</v>
      </c>
      <c r="CA573" s="76" t="str">
        <f>IF(D573="Fern",".97",IF(D573="Grass",".99",IF(D573="Herb",".97",IF(D573="Shrub",".99",IF(D573="Tree","1.00",IF(D573="Vine",".98"))))))</f>
        <v>.97</v>
      </c>
      <c r="CB573" s="149" t="str">
        <f>IF(R573="Bogs Ponds Streams",".96", IF(R573="Coastal Areas",".97",IF(R573="Meadows Dry Open",".96",IF(R573="Forest &amp; Understory",".97",IF(R573="Moist Open",".98",IF(R573="Moist Shady",".96",IF(R573="Sub-Alpine","1.0")))))))</f>
        <v>.98</v>
      </c>
      <c r="CC573" s="76" t="str">
        <f>IF(S573="Local Endemic",".50",IF(S573="Regional Endemic",".70",IF(S573="Cascadia",".90",IF(S573="Rocky Mountain",".95",IF(S573="North America",".99")))))</f>
        <v>.90</v>
      </c>
      <c r="CD573" s="4"/>
      <c r="CE573" s="21">
        <f>IF(W573&gt;3,3,W573)</f>
        <v>1</v>
      </c>
      <c r="CF573" s="21">
        <f>IF(AC573&gt;102,102,AC573)</f>
        <v>3</v>
      </c>
      <c r="CG573" s="34">
        <f>IF(AI573&lt;$AW$4,$AW$4,AI573)</f>
        <v>2018</v>
      </c>
      <c r="CH573" s="34">
        <f>IF(AJ573&lt;$AW$4,$AW$4,AJ573)</f>
        <v>2018</v>
      </c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</row>
    <row r="574" spans="1:115" ht="15" customHeight="1" x14ac:dyDescent="0.3">
      <c r="A574" s="235"/>
      <c r="B574" s="218"/>
      <c r="C574" s="225">
        <v>8</v>
      </c>
      <c r="D574" s="59" t="s">
        <v>2505</v>
      </c>
      <c r="E574" s="59" t="s">
        <v>2502</v>
      </c>
      <c r="F574" s="397" t="str">
        <f ca="1">IF(BC574&lt;2025, "Extinct&lt; 6Yrs?",BA574)</f>
        <v>Widespread</v>
      </c>
      <c r="G574" s="363" t="s">
        <v>525</v>
      </c>
      <c r="H574" s="363" t="s">
        <v>683</v>
      </c>
      <c r="I574" s="366" t="s">
        <v>40</v>
      </c>
      <c r="J574" s="365" t="s">
        <v>3435</v>
      </c>
      <c r="K574" s="365" t="s">
        <v>1068</v>
      </c>
      <c r="L574" s="10" t="s">
        <v>1602</v>
      </c>
      <c r="M574" s="8" t="s">
        <v>4648</v>
      </c>
      <c r="N574" s="8" t="s">
        <v>5545</v>
      </c>
      <c r="O574" s="8" t="s">
        <v>6444</v>
      </c>
      <c r="P574" s="9" t="s">
        <v>558</v>
      </c>
      <c r="Q574" s="59" t="s">
        <v>2552</v>
      </c>
      <c r="R574" s="9" t="s">
        <v>2530</v>
      </c>
      <c r="S574" s="9" t="s">
        <v>2495</v>
      </c>
      <c r="T574" s="123" t="str">
        <f>IF(R574="Bogs Ponds Streams","20",IF(R574="Coastal Areas","26",IF(R574="Meadows Dry Open","10",IF(R574="Forest &amp; Understory","14",IF(R574="Moist Open","12",IF(R574="Moist Shady","10",IF(R574="Sub-Alpine Slopes","0")))))))</f>
        <v>14</v>
      </c>
      <c r="U574" s="123" t="str">
        <f>IF(R574="Bogs Ponds Streams","52",IF(R574="Coastal Areas","51",IF(R574="Meadows Dry Open","53",IF(R574="Forest &amp; Understory","52",IF(R574="Moist Open","50",IF(R574="Moist Shady","46",IF(R574="Sub-Alpine Slopes","40")))))))</f>
        <v>52</v>
      </c>
      <c r="V574" s="123" t="str">
        <f>IF(R574="Bogs Ponds Streams","84",IF(R574="Coastal Areas","76",IF(R574="Meadows Dry Open","96", IF(R574="Forest &amp; Understory","90", IF(R574="Moist Open","88", IF(R574="Moist Shady","82", IF(R574="Sub-Alpine Slopes","80")))))))</f>
        <v>90</v>
      </c>
      <c r="W574" s="59">
        <v>1</v>
      </c>
      <c r="X574" s="59">
        <v>0</v>
      </c>
      <c r="Y574" s="59">
        <v>3500</v>
      </c>
      <c r="Z574" s="59" t="s">
        <v>2519</v>
      </c>
      <c r="AA574" s="59" t="s">
        <v>2518</v>
      </c>
      <c r="AB574" s="59">
        <v>6.8</v>
      </c>
      <c r="AC574" s="45">
        <f>C574+AK574+(0.1)*AL574</f>
        <v>32.200000000000003</v>
      </c>
      <c r="AD574" s="77">
        <v>196</v>
      </c>
      <c r="AE574" s="59">
        <v>5</v>
      </c>
      <c r="AF574" s="59">
        <v>5</v>
      </c>
      <c r="AG574" s="59">
        <v>1900</v>
      </c>
      <c r="AH574" s="77">
        <v>0</v>
      </c>
      <c r="AI574" s="59">
        <f ca="1">AJ574</f>
        <v>2019</v>
      </c>
      <c r="AJ574" s="18">
        <f ca="1">YEAR(TODAY())</f>
        <v>2019</v>
      </c>
      <c r="AK574" s="18">
        <v>22</v>
      </c>
      <c r="AL574" s="18">
        <v>22</v>
      </c>
      <c r="AM574" s="18">
        <v>1</v>
      </c>
      <c r="AN574" s="18">
        <v>1</v>
      </c>
      <c r="AO574" s="18">
        <v>5</v>
      </c>
      <c r="AP574" s="18">
        <v>1</v>
      </c>
      <c r="AQ574" s="18">
        <v>0</v>
      </c>
      <c r="AR574" s="18">
        <v>0</v>
      </c>
      <c r="AS574" s="18">
        <v>0</v>
      </c>
      <c r="AT574" s="18">
        <v>0</v>
      </c>
      <c r="AU574" s="18">
        <v>0</v>
      </c>
      <c r="AV574" s="18">
        <v>0</v>
      </c>
      <c r="AW574" s="18">
        <v>0</v>
      </c>
      <c r="AX574" s="18">
        <v>0</v>
      </c>
      <c r="AY574" s="233"/>
      <c r="AZ574" s="4"/>
      <c r="BA574" s="35" t="str">
        <f>IF(OR(S574="North America",S574="Rocky Mountain"), "Widespread",BC574)</f>
        <v>Widespread</v>
      </c>
      <c r="BB574" s="4"/>
      <c r="BC574" s="35" t="str">
        <f ca="1">IF(BE574&gt;2046, "Abundant",BE574)</f>
        <v>Abundant</v>
      </c>
      <c r="BD574" s="4"/>
      <c r="BE574" s="81">
        <f ca="1">YEAR($C$13)+(BG574*80)</f>
        <v>2107.3621019607845</v>
      </c>
      <c r="BF574" s="4"/>
      <c r="BG574" s="137">
        <f ca="1">BH574*$BH$14</f>
        <v>1.1045262745098041</v>
      </c>
      <c r="BH574" s="137">
        <f ca="1">(((BJ574+BK574+BM574+BN574)/4)*$BM$11)+(((BP574+BQ574)/2)*$BQ$11)+(((BU574+BV574+BW574)/3)*$BU$11)+(((BY574+BZ574+CA574+CB574+CC574)/5)*$CA$11)</f>
        <v>1.1045262745098041</v>
      </c>
      <c r="BI574" s="4"/>
      <c r="BJ574" s="33">
        <f>AP574/(AM574+AO574)</f>
        <v>0.16666666666666666</v>
      </c>
      <c r="BK574" s="33">
        <f>(AN574+AO574)/(AM574+AO574)</f>
        <v>1</v>
      </c>
      <c r="BL574" s="4"/>
      <c r="BM574" s="127">
        <f>CF574/102</f>
        <v>0.31568627450980397</v>
      </c>
      <c r="BN574" s="127">
        <f>C574/2</f>
        <v>4</v>
      </c>
      <c r="BO574" s="4"/>
      <c r="BP574" s="127">
        <f>(AK574)/($AW$6)</f>
        <v>0.22222222222222221</v>
      </c>
      <c r="BQ574" s="127">
        <f ca="1">(CH574-$AW$4)/((YEAR($C$13))-$AW$4)</f>
        <v>1</v>
      </c>
      <c r="BR574" s="127">
        <f>(AL574)/($AW$6)</f>
        <v>0.22222222222222221</v>
      </c>
      <c r="BS574" s="4"/>
      <c r="BT574" s="127"/>
      <c r="BU574" s="127">
        <f ca="1">(CG574-$AW$4)/((YEAR($C$13))-$AW$4)</f>
        <v>1</v>
      </c>
      <c r="BV574" s="127">
        <f>AE574/5</f>
        <v>1</v>
      </c>
      <c r="BW574" s="127">
        <f>AF574/5</f>
        <v>1</v>
      </c>
      <c r="BX574" s="4"/>
      <c r="BY574" s="148" t="str">
        <f>IF(E574="A",".98",IF(E574="B",".99",IF(E574="C","1.00",IF(E574="D","1.00" ))))</f>
        <v>.98</v>
      </c>
      <c r="BZ574" s="127">
        <f>(CE574+7)/10</f>
        <v>0.8</v>
      </c>
      <c r="CA574" s="76" t="str">
        <f>IF(D574="Fern",".97",IF(D574="Grass",".99",IF(D574="Herb",".97",IF(D574="Shrub",".99",IF(D574="Tree","1.00",IF(D574="Vine",".98"))))))</f>
        <v>.97</v>
      </c>
      <c r="CB574" s="149" t="str">
        <f>IF(R574="Bogs Ponds Streams",".96", IF(R574="Coastal Areas",".97",IF(R574="Meadows Dry Open",".96",IF(R574="Forest &amp; Understory",".97",IF(R574="Moist Open",".98",IF(R574="Moist Shady",".96",IF(R574="Sub-Alpine","1.0")))))))</f>
        <v>.97</v>
      </c>
      <c r="CC574" s="76" t="str">
        <f>IF(S574="Local Endemic",".50",IF(S574="Regional Endemic",".70",IF(S574="Cascadia",".90",IF(S574="Rocky Mountain",".95",IF(S574="North America",".99")))))</f>
        <v>.99</v>
      </c>
      <c r="CD574" s="4"/>
      <c r="CE574" s="21">
        <f>IF(W574&gt;3,3,W574)</f>
        <v>1</v>
      </c>
      <c r="CF574" s="21">
        <f>IF(AC574&gt;102,102,AC574)</f>
        <v>32.200000000000003</v>
      </c>
      <c r="CG574" s="34">
        <f ca="1">IF(AI574&lt;$AW$4,$AW$4,AI574)</f>
        <v>2019</v>
      </c>
      <c r="CH574" s="34">
        <f ca="1">IF(AJ574&lt;$AW$4,$AW$4,AJ574)</f>
        <v>2019</v>
      </c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13"/>
    </row>
    <row r="575" spans="1:115" ht="15" customHeight="1" x14ac:dyDescent="0.3">
      <c r="A575" s="235"/>
      <c r="B575" s="218"/>
      <c r="C575" s="375">
        <v>1</v>
      </c>
      <c r="D575" s="67" t="s">
        <v>2505</v>
      </c>
      <c r="E575" s="67" t="s">
        <v>2502</v>
      </c>
      <c r="F575" s="403" t="str">
        <f ca="1">IF(BC575&lt;2025, "Extinct&lt; 6Yrs?",BA575)</f>
        <v>Widespread</v>
      </c>
      <c r="G575" s="376" t="s">
        <v>525</v>
      </c>
      <c r="H575" s="376" t="s">
        <v>4028</v>
      </c>
      <c r="I575" s="380" t="s">
        <v>41</v>
      </c>
      <c r="J575" s="378" t="s">
        <v>1068</v>
      </c>
      <c r="K575" s="378" t="s">
        <v>1069</v>
      </c>
      <c r="L575" s="63" t="s">
        <v>1603</v>
      </c>
      <c r="M575" s="64" t="s">
        <v>4649</v>
      </c>
      <c r="N575" s="64" t="s">
        <v>5546</v>
      </c>
      <c r="O575" s="64" t="s">
        <v>6445</v>
      </c>
      <c r="P575" s="61" t="s">
        <v>558</v>
      </c>
      <c r="Q575" s="67" t="s">
        <v>2552</v>
      </c>
      <c r="R575" s="61" t="s">
        <v>2498</v>
      </c>
      <c r="S575" s="61" t="s">
        <v>2479</v>
      </c>
      <c r="T575" s="134" t="str">
        <f>IF(R575="Bogs Ponds Streams","20",IF(R575="Coastal Areas","26",IF(R575="Meadows Dry Open","10",IF(R575="Forest &amp; Understory","14",IF(R575="Moist Open","12",IF(R575="Moist Shady","10",IF(R575="Sub-Alpine Slopes","0")))))))</f>
        <v>10</v>
      </c>
      <c r="U575" s="134" t="str">
        <f>IF(R575="Bogs Ponds Streams","52",IF(R575="Coastal Areas","51",IF(R575="Meadows Dry Open","53",IF(R575="Forest &amp; Understory","52",IF(R575="Moist Open","50",IF(R575="Moist Shady","46",IF(R575="Sub-Alpine Slopes","40")))))))</f>
        <v>46</v>
      </c>
      <c r="V575" s="134" t="str">
        <f>IF(R575="Bogs Ponds Streams","84",IF(R575="Coastal Areas","76",IF(R575="Meadows Dry Open","96", IF(R575="Forest &amp; Understory","90", IF(R575="Moist Open","88", IF(R575="Moist Shady","82", IF(R575="Sub-Alpine Slopes","80")))))))</f>
        <v>82</v>
      </c>
      <c r="W575" s="67">
        <v>1</v>
      </c>
      <c r="X575" s="67">
        <v>0</v>
      </c>
      <c r="Y575" s="67">
        <v>3500</v>
      </c>
      <c r="Z575" s="67" t="s">
        <v>2519</v>
      </c>
      <c r="AA575" s="67" t="s">
        <v>2518</v>
      </c>
      <c r="AB575" s="67">
        <v>6.8</v>
      </c>
      <c r="AC575" s="85">
        <f>C575+AK575+(0.1)*AL575</f>
        <v>16.8</v>
      </c>
      <c r="AD575" s="78">
        <v>73</v>
      </c>
      <c r="AE575" s="67">
        <v>5</v>
      </c>
      <c r="AF575" s="67">
        <v>5</v>
      </c>
      <c r="AG575" s="67">
        <v>1900</v>
      </c>
      <c r="AH575" s="78">
        <v>0</v>
      </c>
      <c r="AI575" s="67">
        <f>AJ575</f>
        <v>2004</v>
      </c>
      <c r="AJ575" s="69">
        <v>2004</v>
      </c>
      <c r="AK575" s="69">
        <v>15</v>
      </c>
      <c r="AL575" s="69">
        <v>8</v>
      </c>
      <c r="AM575" s="70">
        <v>5</v>
      </c>
      <c r="AN575" s="70">
        <v>0</v>
      </c>
      <c r="AO575" s="86">
        <v>0</v>
      </c>
      <c r="AP575" s="70">
        <v>0</v>
      </c>
      <c r="AQ575" s="70">
        <v>0</v>
      </c>
      <c r="AR575" s="70">
        <v>0</v>
      </c>
      <c r="AS575" s="86">
        <v>0</v>
      </c>
      <c r="AT575" s="70">
        <v>0</v>
      </c>
      <c r="AU575" s="70">
        <v>0</v>
      </c>
      <c r="AV575" s="70">
        <v>0</v>
      </c>
      <c r="AW575" s="86">
        <v>0</v>
      </c>
      <c r="AX575" s="70">
        <v>0</v>
      </c>
      <c r="AY575" s="233"/>
      <c r="AZ575" s="4"/>
      <c r="BA575" s="35" t="str">
        <f>IF(OR(S575="North America",S575="Rocky Mountain"), "Widespread",BC575)</f>
        <v>Widespread</v>
      </c>
      <c r="BB575" s="4"/>
      <c r="BC575" s="35">
        <f ca="1">IF(BE575&gt;2046, "Abundant",BE575)</f>
        <v>2034.5525190730839</v>
      </c>
      <c r="BD575" s="4"/>
      <c r="BE575" s="81">
        <f ca="1">YEAR($C$13)+(BG575*80)</f>
        <v>2034.5525190730839</v>
      </c>
      <c r="BF575" s="4"/>
      <c r="BG575" s="137">
        <f ca="1">BH575*$BH$14</f>
        <v>0.19440648841354724</v>
      </c>
      <c r="BH575" s="137">
        <f ca="1">(((BJ575+BK575+BM575+BN575)/4)*$BM$11)+(((BP575+BQ575)/2)*$BQ$11)+(((BU575+BV575+BW575)/3)*$BU$11)+(((BY575+BZ575+CA575+CB575+CC575)/5)*$CA$11)</f>
        <v>0.19440648841354724</v>
      </c>
      <c r="BI575" s="4"/>
      <c r="BJ575" s="33">
        <f>AP575/(AM575+AO575)</f>
        <v>0</v>
      </c>
      <c r="BK575" s="33">
        <f>(AN575+AO575)/(AM575+AO575)</f>
        <v>0</v>
      </c>
      <c r="BL575" s="4"/>
      <c r="BM575" s="127">
        <f>CF575/102</f>
        <v>0.16470588235294117</v>
      </c>
      <c r="BN575" s="127">
        <f>C575/2</f>
        <v>0.5</v>
      </c>
      <c r="BO575" s="4"/>
      <c r="BP575" s="127">
        <f>(AK575)/($AW$6)</f>
        <v>0.15151515151515152</v>
      </c>
      <c r="BQ575" s="127">
        <f ca="1">(CH575-$AW$4)/((YEAR($C$13))-$AW$4)</f>
        <v>0</v>
      </c>
      <c r="BR575" s="127">
        <f>(AL575)/($AW$6)</f>
        <v>8.0808080808080815E-2</v>
      </c>
      <c r="BS575" s="4"/>
      <c r="BT575" s="127"/>
      <c r="BU575" s="127">
        <f ca="1">(CG575-$AW$4)/((YEAR($C$13))-$AW$4)</f>
        <v>0</v>
      </c>
      <c r="BV575" s="127">
        <f>AE575/5</f>
        <v>1</v>
      </c>
      <c r="BW575" s="127">
        <f>AF575/5</f>
        <v>1</v>
      </c>
      <c r="BX575" s="4"/>
      <c r="BY575" s="148" t="str">
        <f>IF(E575="A",".98",IF(E575="B",".99",IF(E575="C","1.00",IF(E575="D","1.00" ))))</f>
        <v>.98</v>
      </c>
      <c r="BZ575" s="127">
        <f>(CE575+7)/10</f>
        <v>0.8</v>
      </c>
      <c r="CA575" s="76" t="str">
        <f>IF(D575="Fern",".97",IF(D575="Grass",".99",IF(D575="Herb",".97",IF(D575="Shrub",".99",IF(D575="Tree","1.00",IF(D575="Vine",".98"))))))</f>
        <v>.97</v>
      </c>
      <c r="CB575" s="149" t="str">
        <f>IF(R575="Bogs Ponds Streams",".96", IF(R575="Coastal Areas",".97",IF(R575="Meadows Dry Open",".96",IF(R575="Forest &amp; Understory",".97",IF(R575="Moist Open",".98",IF(R575="Moist Shady",".96",IF(R575="Sub-Alpine","1.0")))))))</f>
        <v>.96</v>
      </c>
      <c r="CC575" s="76" t="str">
        <f>IF(S575="Local Endemic",".50",IF(S575="Regional Endemic",".70",IF(S575="Cascadia",".90",IF(S575="Rocky Mountain",".95",IF(S575="North America",".99")))))</f>
        <v>.95</v>
      </c>
      <c r="CD575" s="4"/>
      <c r="CE575" s="21">
        <f>IF(W575&gt;3,3,W575)</f>
        <v>1</v>
      </c>
      <c r="CF575" s="21">
        <f>IF(AC575&gt;102,102,AC575)</f>
        <v>16.8</v>
      </c>
      <c r="CG575" s="34">
        <f>IF(AI575&lt;$AW$4,$AW$4,AI575)</f>
        <v>2004</v>
      </c>
      <c r="CH575" s="34">
        <f>IF(AJ575&lt;$AW$4,$AW$4,AJ575)</f>
        <v>2004</v>
      </c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</row>
    <row r="576" spans="1:115" ht="15" customHeight="1" x14ac:dyDescent="0.3">
      <c r="A576" s="235"/>
      <c r="B576" s="218"/>
      <c r="C576" s="225">
        <v>8</v>
      </c>
      <c r="D576" s="59" t="s">
        <v>2505</v>
      </c>
      <c r="E576" s="59" t="s">
        <v>2501</v>
      </c>
      <c r="F576" s="397" t="str">
        <f ca="1">IF(BC576&lt;2025, "Extinct&lt; 6Yrs?",BA576)</f>
        <v>Abundant</v>
      </c>
      <c r="G576" s="363" t="s">
        <v>525</v>
      </c>
      <c r="H576" s="363" t="s">
        <v>684</v>
      </c>
      <c r="I576" s="366" t="s">
        <v>3098</v>
      </c>
      <c r="J576" s="365" t="s">
        <v>3436</v>
      </c>
      <c r="K576" s="365" t="s">
        <v>1071</v>
      </c>
      <c r="L576" s="10" t="s">
        <v>1604</v>
      </c>
      <c r="M576" s="8" t="s">
        <v>4650</v>
      </c>
      <c r="N576" s="8" t="s">
        <v>5547</v>
      </c>
      <c r="O576" s="8" t="s">
        <v>6446</v>
      </c>
      <c r="P576" s="9" t="s">
        <v>668</v>
      </c>
      <c r="Q576" s="59" t="s">
        <v>2552</v>
      </c>
      <c r="R576" s="9" t="s">
        <v>2498</v>
      </c>
      <c r="S576" s="9" t="s">
        <v>2459</v>
      </c>
      <c r="T576" s="123" t="str">
        <f>IF(R576="Bogs Ponds Streams","20",IF(R576="Coastal Areas","26",IF(R576="Meadows Dry Open","10",IF(R576="Forest &amp; Understory","14",IF(R576="Moist Open","12",IF(R576="Moist Shady","10",IF(R576="Sub-Alpine Slopes","0")))))))</f>
        <v>10</v>
      </c>
      <c r="U576" s="123" t="str">
        <f>IF(R576="Bogs Ponds Streams","52",IF(R576="Coastal Areas","51",IF(R576="Meadows Dry Open","53",IF(R576="Forest &amp; Understory","52",IF(R576="Moist Open","50",IF(R576="Moist Shady","46",IF(R576="Sub-Alpine Slopes","40")))))))</f>
        <v>46</v>
      </c>
      <c r="V576" s="123" t="str">
        <f>IF(R576="Bogs Ponds Streams","84",IF(R576="Coastal Areas","76",IF(R576="Meadows Dry Open","96", IF(R576="Forest &amp; Understory","90", IF(R576="Moist Open","88", IF(R576="Moist Shady","82", IF(R576="Sub-Alpine Slopes","80")))))))</f>
        <v>82</v>
      </c>
      <c r="W576" s="59">
        <v>20</v>
      </c>
      <c r="X576" s="59">
        <v>0</v>
      </c>
      <c r="Y576" s="59">
        <v>3500</v>
      </c>
      <c r="Z576" s="59" t="s">
        <v>2519</v>
      </c>
      <c r="AA576" s="59" t="s">
        <v>2518</v>
      </c>
      <c r="AB576" s="59">
        <v>6.8</v>
      </c>
      <c r="AC576" s="45">
        <f>C576+AK576+(0.1)*AL576</f>
        <v>30.1</v>
      </c>
      <c r="AD576" s="77">
        <v>46</v>
      </c>
      <c r="AE576" s="59">
        <v>5</v>
      </c>
      <c r="AF576" s="59">
        <v>5</v>
      </c>
      <c r="AG576" s="59">
        <v>1900</v>
      </c>
      <c r="AH576" s="77">
        <v>0</v>
      </c>
      <c r="AI576" s="59">
        <f ca="1">AJ576</f>
        <v>2019</v>
      </c>
      <c r="AJ576" s="18">
        <f ca="1">YEAR(TODAY())</f>
        <v>2019</v>
      </c>
      <c r="AK576" s="18">
        <v>22</v>
      </c>
      <c r="AL576" s="18">
        <v>1</v>
      </c>
      <c r="AM576" s="18">
        <v>1</v>
      </c>
      <c r="AN576" s="18">
        <v>1</v>
      </c>
      <c r="AO576" s="18">
        <v>5</v>
      </c>
      <c r="AP576" s="18">
        <v>1</v>
      </c>
      <c r="AQ576" s="18">
        <v>0</v>
      </c>
      <c r="AR576" s="18">
        <v>0</v>
      </c>
      <c r="AS576" s="18">
        <v>0</v>
      </c>
      <c r="AT576" s="18">
        <v>0</v>
      </c>
      <c r="AU576" s="18">
        <v>0</v>
      </c>
      <c r="AV576" s="18">
        <v>0</v>
      </c>
      <c r="AW576" s="18">
        <v>0</v>
      </c>
      <c r="AX576" s="18">
        <v>0</v>
      </c>
      <c r="AY576" s="233"/>
      <c r="AZ576" s="4"/>
      <c r="BA576" s="35" t="str">
        <f ca="1">IF(OR(S576="North America",S576="Rocky Mountain"), "Widespread",BC576)</f>
        <v>Abundant</v>
      </c>
      <c r="BB576" s="4"/>
      <c r="BC576" s="35" t="str">
        <f ca="1">IF(BE576&gt;2046, "Abundant",BE576)</f>
        <v>Abundant</v>
      </c>
      <c r="BD576" s="4"/>
      <c r="BE576" s="81">
        <f ca="1">YEAR($C$13)+(BG576*80)</f>
        <v>2107.1534431372547</v>
      </c>
      <c r="BF576" s="4"/>
      <c r="BG576" s="137">
        <f ca="1">BH576*$BH$14</f>
        <v>1.1019180392156862</v>
      </c>
      <c r="BH576" s="137">
        <f ca="1">(((BJ576+BK576+BM576+BN576)/4)*$BM$11)+(((BP576+BQ576)/2)*$BQ$11)+(((BU576+BV576+BW576)/3)*$BU$11)+(((BY576+BZ576+CA576+CB576+CC576)/5)*$CA$11)</f>
        <v>1.1019180392156862</v>
      </c>
      <c r="BI576" s="4"/>
      <c r="BJ576" s="33">
        <f>AP576/(AM576+AO576)</f>
        <v>0.16666666666666666</v>
      </c>
      <c r="BK576" s="33">
        <f>(AN576+AO576)/(AM576+AO576)</f>
        <v>1</v>
      </c>
      <c r="BL576" s="4"/>
      <c r="BM576" s="127">
        <f>CF576/102</f>
        <v>0.29509803921568628</v>
      </c>
      <c r="BN576" s="127">
        <f>C576/2</f>
        <v>4</v>
      </c>
      <c r="BO576" s="4"/>
      <c r="BP576" s="127">
        <f>(AK576)/($AW$6)</f>
        <v>0.22222222222222221</v>
      </c>
      <c r="BQ576" s="127">
        <f ca="1">(CH576-$AW$4)/((YEAR($C$13))-$AW$4)</f>
        <v>1</v>
      </c>
      <c r="BR576" s="127">
        <f>(AL576)/($AW$6)</f>
        <v>1.0101010101010102E-2</v>
      </c>
      <c r="BS576" s="4"/>
      <c r="BT576" s="127"/>
      <c r="BU576" s="127">
        <f ca="1">(CG576-$AW$4)/((YEAR($C$13))-$AW$4)</f>
        <v>1</v>
      </c>
      <c r="BV576" s="127">
        <f>AE576/5</f>
        <v>1</v>
      </c>
      <c r="BW576" s="127">
        <f>AF576/5</f>
        <v>1</v>
      </c>
      <c r="BX576" s="4"/>
      <c r="BY576" s="148" t="str">
        <f>IF(E576="A",".98",IF(E576="B",".99",IF(E576="C","1.00",IF(E576="D","1.00" ))))</f>
        <v>1.00</v>
      </c>
      <c r="BZ576" s="127">
        <f>(CE576+7)/10</f>
        <v>1</v>
      </c>
      <c r="CA576" s="76" t="str">
        <f>IF(D576="Fern",".97",IF(D576="Grass",".99",IF(D576="Herb",".97",IF(D576="Shrub",".99",IF(D576="Tree","1.00",IF(D576="Vine",".98"))))))</f>
        <v>.97</v>
      </c>
      <c r="CB576" s="149" t="str">
        <f>IF(R576="Bogs Ponds Streams",".96", IF(R576="Coastal Areas",".97",IF(R576="Meadows Dry Open",".96",IF(R576="Forest &amp; Understory",".97",IF(R576="Moist Open",".98",IF(R576="Moist Shady",".96",IF(R576="Sub-Alpine","1.0")))))))</f>
        <v>.96</v>
      </c>
      <c r="CC576" s="76" t="str">
        <f>IF(S576="Local Endemic",".50",IF(S576="Regional Endemic",".70",IF(S576="Cascadia",".90",IF(S576="Rocky Mountain",".95",IF(S576="North America",".99")))))</f>
        <v>.90</v>
      </c>
      <c r="CD576" s="4"/>
      <c r="CE576" s="21">
        <f>IF(W576&gt;3,3,W576)</f>
        <v>3</v>
      </c>
      <c r="CF576" s="21">
        <f>IF(AC576&gt;102,102,AC576)</f>
        <v>30.1</v>
      </c>
      <c r="CG576" s="34">
        <f ca="1">IF(AI576&lt;$AW$4,$AW$4,AI576)</f>
        <v>2019</v>
      </c>
      <c r="CH576" s="34">
        <f ca="1">IF(AJ576&lt;$AW$4,$AW$4,AJ576)</f>
        <v>2019</v>
      </c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13"/>
    </row>
    <row r="577" spans="1:115" ht="15" customHeight="1" x14ac:dyDescent="0.3">
      <c r="A577" s="235"/>
      <c r="B577" s="218"/>
      <c r="C577" s="375">
        <v>1</v>
      </c>
      <c r="D577" s="67" t="s">
        <v>2505</v>
      </c>
      <c r="E577" s="67" t="s">
        <v>2501</v>
      </c>
      <c r="F577" s="403">
        <f ca="1">IF(BC577&lt;2025, "Extinct&lt; 6Yrs?",BA577)</f>
        <v>2034.228035650624</v>
      </c>
      <c r="G577" s="376" t="s">
        <v>525</v>
      </c>
      <c r="H577" s="376" t="s">
        <v>4028</v>
      </c>
      <c r="I577" s="377" t="s">
        <v>2315</v>
      </c>
      <c r="J577" s="378" t="s">
        <v>3555</v>
      </c>
      <c r="K577" s="378" t="s">
        <v>2314</v>
      </c>
      <c r="L577" s="64" t="s">
        <v>2421</v>
      </c>
      <c r="M577" s="64" t="s">
        <v>4651</v>
      </c>
      <c r="N577" s="64" t="s">
        <v>5548</v>
      </c>
      <c r="O577" s="64" t="s">
        <v>6447</v>
      </c>
      <c r="P577" s="61" t="s">
        <v>668</v>
      </c>
      <c r="Q577" s="67" t="s">
        <v>2552</v>
      </c>
      <c r="R577" s="163" t="s">
        <v>2497</v>
      </c>
      <c r="S577" s="164" t="s">
        <v>2309</v>
      </c>
      <c r="T577" s="134" t="str">
        <f>IF(R577="Bogs Ponds Streams","20",IF(R577="Coastal Areas","26",IF(R577="Meadows Dry Open","10",IF(R577="Forest &amp; Understory","14",IF(R577="Moist Open","12",IF(R577="Moist Shady","10",IF(R577="Sub-Alpine Slopes","0")))))))</f>
        <v>12</v>
      </c>
      <c r="U577" s="134" t="str">
        <f>IF(R577="Bogs Ponds Streams","52",IF(R577="Coastal Areas","51",IF(R577="Meadows Dry Open","53",IF(R577="Forest &amp; Understory","52",IF(R577="Moist Open","50",IF(R577="Moist Shady","46",IF(R577="Sub-Alpine Slopes","40")))))))</f>
        <v>50</v>
      </c>
      <c r="V577" s="134" t="str">
        <f>IF(R577="Bogs Ponds Streams","84",IF(R577="Coastal Areas","76",IF(R577="Meadows Dry Open","96", IF(R577="Forest &amp; Understory","90", IF(R577="Moist Open","88", IF(R577="Moist Shady","82", IF(R577="Sub-Alpine Slopes","80")))))))</f>
        <v>88</v>
      </c>
      <c r="W577" s="67">
        <v>20</v>
      </c>
      <c r="X577" s="67">
        <v>0</v>
      </c>
      <c r="Y577" s="67">
        <v>3500</v>
      </c>
      <c r="Z577" s="67" t="s">
        <v>2519</v>
      </c>
      <c r="AA577" s="67" t="s">
        <v>2518</v>
      </c>
      <c r="AB577" s="67">
        <v>6.8</v>
      </c>
      <c r="AC577" s="85">
        <f>C577+AK577+(0.1)*AL577</f>
        <v>2.2000000000000002</v>
      </c>
      <c r="AD577" s="78">
        <v>22</v>
      </c>
      <c r="AE577" s="68">
        <v>2</v>
      </c>
      <c r="AF577" s="68">
        <v>4</v>
      </c>
      <c r="AG577" s="78">
        <v>1892</v>
      </c>
      <c r="AH577" s="78">
        <v>0</v>
      </c>
      <c r="AI577" s="78">
        <v>1977</v>
      </c>
      <c r="AJ577" s="67">
        <v>2010</v>
      </c>
      <c r="AK577" s="67">
        <v>1</v>
      </c>
      <c r="AL577" s="67">
        <v>2</v>
      </c>
      <c r="AM577" s="70">
        <v>5</v>
      </c>
      <c r="AN577" s="70">
        <v>0</v>
      </c>
      <c r="AO577" s="86">
        <v>0</v>
      </c>
      <c r="AP577" s="70">
        <v>0</v>
      </c>
      <c r="AQ577" s="70">
        <v>0</v>
      </c>
      <c r="AR577" s="70">
        <v>0</v>
      </c>
      <c r="AS577" s="86">
        <v>0</v>
      </c>
      <c r="AT577" s="70">
        <v>0</v>
      </c>
      <c r="AU577" s="70">
        <v>0</v>
      </c>
      <c r="AV577" s="70">
        <v>0</v>
      </c>
      <c r="AW577" s="86">
        <v>0</v>
      </c>
      <c r="AX577" s="70">
        <v>0</v>
      </c>
      <c r="AY577" s="233"/>
      <c r="AZ577" s="11"/>
      <c r="BA577" s="35">
        <f ca="1">IF(OR(S577="North America",S577="Rocky Mountain"), "Widespread",BC577)</f>
        <v>2034.228035650624</v>
      </c>
      <c r="BB577" s="11"/>
      <c r="BC577" s="35">
        <f ca="1">IF(BE577&gt;2046, "Abundant",BE577)</f>
        <v>2034.228035650624</v>
      </c>
      <c r="BD577" s="11"/>
      <c r="BE577" s="81">
        <f ca="1">YEAR($C$13)+(BG577*80)</f>
        <v>2034.228035650624</v>
      </c>
      <c r="BF577" s="11"/>
      <c r="BG577" s="137">
        <f ca="1">BH577*$BH$14</f>
        <v>0.19035044563279857</v>
      </c>
      <c r="BH577" s="137">
        <f ca="1">(((BJ577+BK577+BM577+BN577)/4)*$BM$11)+(((BP577+BQ577)/2)*$BQ$11)+(((BU577+BV577+BW577)/3)*$BU$11)+(((BY577+BZ577+CA577+CB577+CC577)/5)*$CA$11)</f>
        <v>0.19035044563279857</v>
      </c>
      <c r="BI577" s="11"/>
      <c r="BJ577" s="33">
        <f>AP577/(AM577+AO577)</f>
        <v>0</v>
      </c>
      <c r="BK577" s="33">
        <f>(AN577+AO577)/(AM577+AO577)</f>
        <v>0</v>
      </c>
      <c r="BL577" s="11"/>
      <c r="BM577" s="127">
        <f>CF577/102</f>
        <v>2.1568627450980395E-2</v>
      </c>
      <c r="BN577" s="127">
        <f>C577/2</f>
        <v>0.5</v>
      </c>
      <c r="BO577" s="11"/>
      <c r="BP577" s="127">
        <f>(AK577)/($AW$6)</f>
        <v>1.0101010101010102E-2</v>
      </c>
      <c r="BQ577" s="127">
        <f ca="1">(CH577-$AW$4)/((YEAR($C$13))-$AW$4)</f>
        <v>0.4</v>
      </c>
      <c r="BR577" s="127">
        <f>(AL577)/($AW$6)</f>
        <v>2.0202020202020204E-2</v>
      </c>
      <c r="BS577" s="11"/>
      <c r="BT577" s="127"/>
      <c r="BU577" s="127">
        <f ca="1">(CG577-$AW$4)/((YEAR($C$13))-$AW$4)</f>
        <v>0</v>
      </c>
      <c r="BV577" s="127">
        <f>AE577/5</f>
        <v>0.4</v>
      </c>
      <c r="BW577" s="127">
        <f>AF577/5</f>
        <v>0.8</v>
      </c>
      <c r="BX577" s="11"/>
      <c r="BY577" s="148" t="str">
        <f>IF(E577="A",".98",IF(E577="B",".99",IF(E577="C","1.00",IF(E577="D","1.00" ))))</f>
        <v>1.00</v>
      </c>
      <c r="BZ577" s="127">
        <f>(CE577+7)/10</f>
        <v>1</v>
      </c>
      <c r="CA577" s="76" t="str">
        <f>IF(D577="Fern",".97",IF(D577="Grass",".99",IF(D577="Herb",".97",IF(D577="Shrub",".99",IF(D577="Tree","1.00",IF(D577="Vine",".98"))))))</f>
        <v>.97</v>
      </c>
      <c r="CB577" s="149" t="str">
        <f>IF(R577="Bogs Ponds Streams",".96", IF(R577="Coastal Areas",".97",IF(R577="Meadows Dry Open",".96",IF(R577="Forest &amp; Understory",".97",IF(R577="Moist Open",".98",IF(R577="Moist Shady",".96",IF(R577="Sub-Alpine","1.0")))))))</f>
        <v>.98</v>
      </c>
      <c r="CC577" s="76" t="str">
        <f>IF(S577="Local Endemic",".50",IF(S577="Regional Endemic",".70",IF(S577="Cascadia",".90",IF(S577="Rocky Mountain",".95",IF(S577="North America",".99")))))</f>
        <v>.70</v>
      </c>
      <c r="CD577" s="11"/>
      <c r="CE577" s="21">
        <f>IF(W577&gt;3,3,W577)</f>
        <v>3</v>
      </c>
      <c r="CF577" s="21">
        <f>IF(AC577&gt;102,102,AC577)</f>
        <v>2.2000000000000002</v>
      </c>
      <c r="CG577" s="34">
        <f>IF(AI577&lt;$AW$4,$AW$4,AI577)</f>
        <v>2004</v>
      </c>
      <c r="CH577" s="34">
        <f>IF(AJ577&lt;$AW$4,$AW$4,AJ577)</f>
        <v>2010</v>
      </c>
      <c r="CI577" s="11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11"/>
      <c r="DC577" s="11"/>
      <c r="DD577" s="11"/>
      <c r="DE577" s="11"/>
      <c r="DF577" s="11"/>
      <c r="DG577" s="11"/>
      <c r="DH577" s="11"/>
      <c r="DI577" s="11"/>
      <c r="DJ577" s="11"/>
    </row>
    <row r="578" spans="1:115" ht="15" customHeight="1" x14ac:dyDescent="0.3">
      <c r="A578" s="235"/>
      <c r="B578" s="218"/>
      <c r="C578" s="225">
        <v>8</v>
      </c>
      <c r="D578" s="59" t="s">
        <v>2505</v>
      </c>
      <c r="E578" s="59" t="s">
        <v>2501</v>
      </c>
      <c r="F578" s="397" t="str">
        <f ca="1">IF(BC578&lt;2025, "Extinct&lt; 6Yrs?",BA578)</f>
        <v>Abundant</v>
      </c>
      <c r="G578" s="363" t="s">
        <v>525</v>
      </c>
      <c r="H578" s="363" t="s">
        <v>683</v>
      </c>
      <c r="I578" s="366" t="s">
        <v>669</v>
      </c>
      <c r="J578" s="365" t="s">
        <v>3437</v>
      </c>
      <c r="K578" s="365" t="s">
        <v>1072</v>
      </c>
      <c r="L578" s="10" t="s">
        <v>1605</v>
      </c>
      <c r="M578" s="8" t="s">
        <v>4652</v>
      </c>
      <c r="N578" s="8" t="s">
        <v>5549</v>
      </c>
      <c r="O578" s="8" t="s">
        <v>6448</v>
      </c>
      <c r="P578" s="9" t="s">
        <v>668</v>
      </c>
      <c r="Q578" s="59" t="s">
        <v>2552</v>
      </c>
      <c r="R578" s="9" t="s">
        <v>2500</v>
      </c>
      <c r="S578" s="9" t="s">
        <v>2459</v>
      </c>
      <c r="T578" s="123" t="str">
        <f>IF(R578="Bogs Ponds Streams","20",IF(R578="Coastal Areas","26",IF(R578="Meadows Dry Open","10",IF(R578="Forest &amp; Understory","14",IF(R578="Moist Open","12",IF(R578="Moist Shady","10",IF(R578="Sub-Alpine Slopes","0")))))))</f>
        <v>10</v>
      </c>
      <c r="U578" s="123" t="str">
        <f>IF(R578="Bogs Ponds Streams","52",IF(R578="Coastal Areas","51",IF(R578="Meadows Dry Open","53",IF(R578="Forest &amp; Understory","52",IF(R578="Moist Open","50",IF(R578="Moist Shady","46",IF(R578="Sub-Alpine Slopes","40")))))))</f>
        <v>53</v>
      </c>
      <c r="V578" s="123" t="str">
        <f>IF(R578="Bogs Ponds Streams","84",IF(R578="Coastal Areas","76",IF(R578="Meadows Dry Open","96", IF(R578="Forest &amp; Understory","90", IF(R578="Moist Open","88", IF(R578="Moist Shady","82", IF(R578="Sub-Alpine Slopes","80")))))))</f>
        <v>96</v>
      </c>
      <c r="W578" s="59">
        <v>20</v>
      </c>
      <c r="X578" s="59">
        <v>0</v>
      </c>
      <c r="Y578" s="59">
        <v>3500</v>
      </c>
      <c r="Z578" s="59" t="s">
        <v>2519</v>
      </c>
      <c r="AA578" s="59" t="s">
        <v>2518</v>
      </c>
      <c r="AB578" s="59">
        <v>6.8</v>
      </c>
      <c r="AC578" s="45">
        <f>C578+AK578+(0.1)*AL578</f>
        <v>17</v>
      </c>
      <c r="AD578" s="77">
        <v>20</v>
      </c>
      <c r="AE578" s="59">
        <v>5</v>
      </c>
      <c r="AF578" s="59">
        <v>5</v>
      </c>
      <c r="AG578" s="59">
        <v>1900</v>
      </c>
      <c r="AH578" s="77">
        <v>0</v>
      </c>
      <c r="AI578" s="59">
        <f ca="1">AJ578</f>
        <v>2019</v>
      </c>
      <c r="AJ578" s="18">
        <f ca="1">YEAR(TODAY())</f>
        <v>2019</v>
      </c>
      <c r="AK578" s="18">
        <v>9</v>
      </c>
      <c r="AL578" s="18">
        <v>0</v>
      </c>
      <c r="AM578" s="18">
        <v>1</v>
      </c>
      <c r="AN578" s="18">
        <v>1</v>
      </c>
      <c r="AO578" s="18">
        <v>5</v>
      </c>
      <c r="AP578" s="18">
        <v>1</v>
      </c>
      <c r="AQ578" s="18">
        <v>0</v>
      </c>
      <c r="AR578" s="18">
        <v>0</v>
      </c>
      <c r="AS578" s="18">
        <v>0</v>
      </c>
      <c r="AT578" s="18">
        <v>0</v>
      </c>
      <c r="AU578" s="18">
        <v>0</v>
      </c>
      <c r="AV578" s="18">
        <v>0</v>
      </c>
      <c r="AW578" s="18">
        <v>0</v>
      </c>
      <c r="AX578" s="18">
        <v>0</v>
      </c>
      <c r="AY578" s="233"/>
      <c r="AZ578" s="4"/>
      <c r="BA578" s="35" t="str">
        <f ca="1">IF(OR(S578="North America",S578="Rocky Mountain"), "Widespread",BC578)</f>
        <v>Abundant</v>
      </c>
      <c r="BB578" s="4"/>
      <c r="BC578" s="35" t="str">
        <f ca="1">IF(BE578&gt;2046, "Abundant",BE578)</f>
        <v>Abundant</v>
      </c>
      <c r="BD578" s="4"/>
      <c r="BE578" s="81">
        <f ca="1">YEAR($C$13)+(BG578*80)</f>
        <v>2104.036509090909</v>
      </c>
      <c r="BF578" s="4"/>
      <c r="BG578" s="137">
        <f ca="1">BH578*$BH$14</f>
        <v>1.0629563636363637</v>
      </c>
      <c r="BH578" s="137">
        <f ca="1">(((BJ578+BK578+BM578+BN578)/4)*$BM$11)+(((BP578+BQ578)/2)*$BQ$11)+(((BU578+BV578+BW578)/3)*$BU$11)+(((BY578+BZ578+CA578+CB578+CC578)/5)*$CA$11)</f>
        <v>1.0629563636363637</v>
      </c>
      <c r="BI578" s="4"/>
      <c r="BJ578" s="33">
        <f>AP578/(AM578+AO578)</f>
        <v>0.16666666666666666</v>
      </c>
      <c r="BK578" s="33">
        <f>(AN578+AO578)/(AM578+AO578)</f>
        <v>1</v>
      </c>
      <c r="BL578" s="4"/>
      <c r="BM578" s="127">
        <f>CF578/102</f>
        <v>0.16666666666666666</v>
      </c>
      <c r="BN578" s="127">
        <f>C578/2</f>
        <v>4</v>
      </c>
      <c r="BO578" s="4"/>
      <c r="BP578" s="127">
        <f>(AK578)/($AW$6)</f>
        <v>9.0909090909090912E-2</v>
      </c>
      <c r="BQ578" s="127">
        <f ca="1">(CH578-$AW$4)/((YEAR($C$13))-$AW$4)</f>
        <v>1</v>
      </c>
      <c r="BR578" s="127">
        <f>(AL578)/($AW$6)</f>
        <v>0</v>
      </c>
      <c r="BS578" s="4"/>
      <c r="BT578" s="127"/>
      <c r="BU578" s="127">
        <f ca="1">(CG578-$AW$4)/((YEAR($C$13))-$AW$4)</f>
        <v>1</v>
      </c>
      <c r="BV578" s="127">
        <f>AE578/5</f>
        <v>1</v>
      </c>
      <c r="BW578" s="127">
        <f>AF578/5</f>
        <v>1</v>
      </c>
      <c r="BX578" s="4"/>
      <c r="BY578" s="148" t="str">
        <f>IF(E578="A",".98",IF(E578="B",".99",IF(E578="C","1.00",IF(E578="D","1.00" ))))</f>
        <v>1.00</v>
      </c>
      <c r="BZ578" s="127">
        <f>(CE578+7)/10</f>
        <v>1</v>
      </c>
      <c r="CA578" s="76" t="str">
        <f>IF(D578="Fern",".97",IF(D578="Grass",".99",IF(D578="Herb",".97",IF(D578="Shrub",".99",IF(D578="Tree","1.00",IF(D578="Vine",".98"))))))</f>
        <v>.97</v>
      </c>
      <c r="CB578" s="149" t="str">
        <f>IF(R578="Bogs Ponds Streams",".96", IF(R578="Coastal Areas",".97",IF(R578="Meadows Dry Open",".96",IF(R578="Forest &amp; Understory",".97",IF(R578="Moist Open",".98",IF(R578="Moist Shady",".96",IF(R578="Sub-Alpine","1.0")))))))</f>
        <v>.96</v>
      </c>
      <c r="CC578" s="76" t="str">
        <f>IF(S578="Local Endemic",".50",IF(S578="Regional Endemic",".70",IF(S578="Cascadia",".90",IF(S578="Rocky Mountain",".95",IF(S578="North America",".99")))))</f>
        <v>.90</v>
      </c>
      <c r="CD578" s="4"/>
      <c r="CE578" s="21">
        <f>IF(W578&gt;3,3,W578)</f>
        <v>3</v>
      </c>
      <c r="CF578" s="21">
        <f>IF(AC578&gt;102,102,AC578)</f>
        <v>17</v>
      </c>
      <c r="CG578" s="34">
        <f ca="1">IF(AI578&lt;$AW$4,$AW$4,AI578)</f>
        <v>2019</v>
      </c>
      <c r="CH578" s="34">
        <f ca="1">IF(AJ578&lt;$AW$4,$AW$4,AJ578)</f>
        <v>2019</v>
      </c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13"/>
    </row>
    <row r="579" spans="1:115" ht="15" customHeight="1" x14ac:dyDescent="0.3">
      <c r="A579" s="235"/>
      <c r="B579" s="218"/>
      <c r="C579" s="375">
        <v>1</v>
      </c>
      <c r="D579" s="67" t="s">
        <v>2505</v>
      </c>
      <c r="E579" s="67" t="s">
        <v>2501</v>
      </c>
      <c r="F579" s="403" t="str">
        <f ca="1">IF(BC579&lt;2025, "Extinct&lt; 6Yrs?",BA579)</f>
        <v>Widespread</v>
      </c>
      <c r="G579" s="376" t="s">
        <v>525</v>
      </c>
      <c r="H579" s="376" t="s">
        <v>4028</v>
      </c>
      <c r="I579" s="380" t="s">
        <v>2094</v>
      </c>
      <c r="J579" s="378" t="s">
        <v>3554</v>
      </c>
      <c r="K579" s="378" t="s">
        <v>1265</v>
      </c>
      <c r="L579" s="63" t="s">
        <v>1991</v>
      </c>
      <c r="M579" s="64" t="s">
        <v>4653</v>
      </c>
      <c r="N579" s="64" t="s">
        <v>5550</v>
      </c>
      <c r="O579" s="64" t="s">
        <v>6449</v>
      </c>
      <c r="P579" s="61" t="s">
        <v>1168</v>
      </c>
      <c r="Q579" s="67" t="s">
        <v>2552</v>
      </c>
      <c r="R579" s="63" t="s">
        <v>2497</v>
      </c>
      <c r="S579" s="65" t="s">
        <v>2495</v>
      </c>
      <c r="T579" s="134" t="str">
        <f>IF(R579="Bogs Ponds Streams","20",IF(R579="Coastal Areas","26",IF(R579="Meadows Dry Open","10",IF(R579="Forest &amp; Understory","14",IF(R579="Moist Open","12",IF(R579="Moist Shady","10",IF(R579="Sub-Alpine Slopes","0")))))))</f>
        <v>12</v>
      </c>
      <c r="U579" s="134" t="str">
        <f>IF(R579="Bogs Ponds Streams","52",IF(R579="Coastal Areas","51",IF(R579="Meadows Dry Open","53",IF(R579="Forest &amp; Understory","52",IF(R579="Moist Open","50",IF(R579="Moist Shady","46",IF(R579="Sub-Alpine Slopes","40")))))))</f>
        <v>50</v>
      </c>
      <c r="V579" s="134" t="str">
        <f>IF(R579="Bogs Ponds Streams","84",IF(R579="Coastal Areas","76",IF(R579="Meadows Dry Open","96", IF(R579="Forest &amp; Understory","90", IF(R579="Moist Open","88", IF(R579="Moist Shady","82", IF(R579="Sub-Alpine Slopes","80")))))))</f>
        <v>88</v>
      </c>
      <c r="W579" s="67">
        <v>20</v>
      </c>
      <c r="X579" s="67">
        <v>0</v>
      </c>
      <c r="Y579" s="67">
        <v>3500</v>
      </c>
      <c r="Z579" s="67" t="s">
        <v>2519</v>
      </c>
      <c r="AA579" s="67" t="s">
        <v>2518</v>
      </c>
      <c r="AB579" s="67">
        <v>6.8</v>
      </c>
      <c r="AC579" s="85">
        <f>C579+AK579+(0.1)*AL579</f>
        <v>3.4</v>
      </c>
      <c r="AD579" s="78">
        <v>24</v>
      </c>
      <c r="AE579" s="67">
        <v>5</v>
      </c>
      <c r="AF579" s="67">
        <v>5</v>
      </c>
      <c r="AG579" s="67">
        <v>1900</v>
      </c>
      <c r="AH579" s="78">
        <v>0</v>
      </c>
      <c r="AI579" s="67">
        <f>AJ579</f>
        <v>2004</v>
      </c>
      <c r="AJ579" s="69">
        <v>2004</v>
      </c>
      <c r="AK579" s="69">
        <v>2</v>
      </c>
      <c r="AL579" s="69">
        <v>4</v>
      </c>
      <c r="AM579" s="70">
        <v>5</v>
      </c>
      <c r="AN579" s="70">
        <v>0</v>
      </c>
      <c r="AO579" s="86">
        <v>0</v>
      </c>
      <c r="AP579" s="70">
        <v>0</v>
      </c>
      <c r="AQ579" s="70">
        <v>0</v>
      </c>
      <c r="AR579" s="70">
        <v>0</v>
      </c>
      <c r="AS579" s="86">
        <v>0</v>
      </c>
      <c r="AT579" s="70">
        <v>0</v>
      </c>
      <c r="AU579" s="70">
        <v>0</v>
      </c>
      <c r="AV579" s="70">
        <v>0</v>
      </c>
      <c r="AW579" s="86">
        <v>0</v>
      </c>
      <c r="AX579" s="70">
        <v>0</v>
      </c>
      <c r="AY579" s="233"/>
      <c r="AZ579" s="4"/>
      <c r="BA579" s="35" t="str">
        <f>IF(OR(S579="North America",S579="Rocky Mountain"), "Widespread",BC579)</f>
        <v>Widespread</v>
      </c>
      <c r="BB579" s="4"/>
      <c r="BC579" s="35">
        <f ca="1">IF(BE579&gt;2046, "Abundant",BE579)</f>
        <v>2031.4898909090909</v>
      </c>
      <c r="BD579" s="4"/>
      <c r="BE579" s="81">
        <f ca="1">YEAR($C$13)+(BG579*80)</f>
        <v>2031.4898909090909</v>
      </c>
      <c r="BF579" s="4"/>
      <c r="BG579" s="137">
        <f ca="1">BH579*$BH$14</f>
        <v>0.15612363636363635</v>
      </c>
      <c r="BH579" s="137">
        <f ca="1">(((BJ579+BK579+BM579+BN579)/4)*$BM$11)+(((BP579+BQ579)/2)*$BQ$11)+(((BU579+BV579+BW579)/3)*$BU$11)+(((BY579+BZ579+CA579+CB579+CC579)/5)*$CA$11)</f>
        <v>0.15612363636363635</v>
      </c>
      <c r="BI579" s="4"/>
      <c r="BJ579" s="33">
        <f>AP579/(AM579+AO579)</f>
        <v>0</v>
      </c>
      <c r="BK579" s="33">
        <f>(AN579+AO579)/(AM579+AO579)</f>
        <v>0</v>
      </c>
      <c r="BL579" s="4"/>
      <c r="BM579" s="127">
        <f>CF579/102</f>
        <v>3.3333333333333333E-2</v>
      </c>
      <c r="BN579" s="127">
        <f>C579/2</f>
        <v>0.5</v>
      </c>
      <c r="BO579" s="4"/>
      <c r="BP579" s="127">
        <f>(AK579)/($AW$6)</f>
        <v>2.0202020202020204E-2</v>
      </c>
      <c r="BQ579" s="127">
        <f ca="1">(CH579-$AW$4)/((YEAR($C$13))-$AW$4)</f>
        <v>0</v>
      </c>
      <c r="BR579" s="127">
        <f>(AL579)/($AW$6)</f>
        <v>4.0404040404040407E-2</v>
      </c>
      <c r="BS579" s="4"/>
      <c r="BT579" s="127"/>
      <c r="BU579" s="127">
        <f ca="1">(CG579-$AW$4)/((YEAR($C$13))-$AW$4)</f>
        <v>0</v>
      </c>
      <c r="BV579" s="127">
        <f>AE579/5</f>
        <v>1</v>
      </c>
      <c r="BW579" s="127">
        <f>AF579/5</f>
        <v>1</v>
      </c>
      <c r="BX579" s="4"/>
      <c r="BY579" s="148" t="str">
        <f>IF(E579="A",".98",IF(E579="B",".99",IF(E579="C","1.00",IF(E579="D","1.00" ))))</f>
        <v>1.00</v>
      </c>
      <c r="BZ579" s="127">
        <f>(CE579+7)/10</f>
        <v>1</v>
      </c>
      <c r="CA579" s="76" t="str">
        <f>IF(D579="Fern",".97",IF(D579="Grass",".99",IF(D579="Herb",".97",IF(D579="Shrub",".99",IF(D579="Tree","1.00",IF(D579="Vine",".98"))))))</f>
        <v>.97</v>
      </c>
      <c r="CB579" s="149" t="str">
        <f>IF(R579="Bogs Ponds Streams",".96", IF(R579="Coastal Areas",".97",IF(R579="Meadows Dry Open",".96",IF(R579="Forest &amp; Understory",".97",IF(R579="Moist Open",".98",IF(R579="Moist Shady",".96",IF(R579="Sub-Alpine","1.0")))))))</f>
        <v>.98</v>
      </c>
      <c r="CC579" s="76" t="str">
        <f>IF(S579="Local Endemic",".50",IF(S579="Regional Endemic",".70",IF(S579="Cascadia",".90",IF(S579="Rocky Mountain",".95",IF(S579="North America",".99")))))</f>
        <v>.99</v>
      </c>
      <c r="CD579" s="4"/>
      <c r="CE579" s="21">
        <f>IF(W579&gt;3,3,W579)</f>
        <v>3</v>
      </c>
      <c r="CF579" s="21">
        <f>IF(AC579&gt;102,102,AC579)</f>
        <v>3.4</v>
      </c>
      <c r="CG579" s="34">
        <f>IF(AI579&lt;$AW$4,$AW$4,AI579)</f>
        <v>2004</v>
      </c>
      <c r="CH579" s="34">
        <f>IF(AJ579&lt;$AW$4,$AW$4,AJ579)</f>
        <v>2004</v>
      </c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</row>
    <row r="580" spans="1:115" ht="15" customHeight="1" x14ac:dyDescent="0.3">
      <c r="A580" s="235"/>
      <c r="B580" s="218"/>
      <c r="C580" s="375">
        <v>1</v>
      </c>
      <c r="D580" s="67" t="s">
        <v>2505</v>
      </c>
      <c r="E580" s="67" t="s">
        <v>2501</v>
      </c>
      <c r="F580" s="403" t="str">
        <f ca="1">IF(BC580&lt;2025, "Extinct&lt; 6Yrs?",BA580)</f>
        <v>Widespread</v>
      </c>
      <c r="G580" s="376" t="s">
        <v>525</v>
      </c>
      <c r="H580" s="376" t="s">
        <v>4028</v>
      </c>
      <c r="I580" s="377" t="s">
        <v>2422</v>
      </c>
      <c r="J580" s="378" t="s">
        <v>2424</v>
      </c>
      <c r="K580" s="378" t="s">
        <v>2317</v>
      </c>
      <c r="L580" s="63" t="s">
        <v>2423</v>
      </c>
      <c r="M580" s="64" t="s">
        <v>4654</v>
      </c>
      <c r="N580" s="64" t="s">
        <v>5551</v>
      </c>
      <c r="O580" s="64" t="s">
        <v>6450</v>
      </c>
      <c r="P580" s="404" t="s">
        <v>576</v>
      </c>
      <c r="Q580" s="67" t="s">
        <v>2552</v>
      </c>
      <c r="R580" s="163" t="s">
        <v>2497</v>
      </c>
      <c r="S580" s="164" t="s">
        <v>2495</v>
      </c>
      <c r="T580" s="134" t="str">
        <f>IF(R580="Bogs Ponds Streams","20",IF(R580="Coastal Areas","26",IF(R580="Meadows Dry Open","10",IF(R580="Forest &amp; Understory","14",IF(R580="Moist Open","12",IF(R580="Moist Shady","10",IF(R580="Sub-Alpine Slopes","0")))))))</f>
        <v>12</v>
      </c>
      <c r="U580" s="134" t="str">
        <f>IF(R580="Bogs Ponds Streams","52",IF(R580="Coastal Areas","51",IF(R580="Meadows Dry Open","53",IF(R580="Forest &amp; Understory","52",IF(R580="Moist Open","50",IF(R580="Moist Shady","46",IF(R580="Sub-Alpine Slopes","40")))))))</f>
        <v>50</v>
      </c>
      <c r="V580" s="134" t="str">
        <f>IF(R580="Bogs Ponds Streams","84",IF(R580="Coastal Areas","76",IF(R580="Meadows Dry Open","96", IF(R580="Forest &amp; Understory","90", IF(R580="Moist Open","88", IF(R580="Moist Shady","82", IF(R580="Sub-Alpine Slopes","80")))))))</f>
        <v>88</v>
      </c>
      <c r="W580" s="67">
        <v>20</v>
      </c>
      <c r="X580" s="67">
        <v>0</v>
      </c>
      <c r="Y580" s="67">
        <v>3500</v>
      </c>
      <c r="Z580" s="67" t="s">
        <v>2519</v>
      </c>
      <c r="AA580" s="67" t="s">
        <v>2518</v>
      </c>
      <c r="AB580" s="67">
        <v>6.8</v>
      </c>
      <c r="AC580" s="85">
        <f>C580+AK580+(0.1)*AL580</f>
        <v>4</v>
      </c>
      <c r="AD580" s="78">
        <v>61</v>
      </c>
      <c r="AE580" s="68">
        <v>3</v>
      </c>
      <c r="AF580" s="68">
        <v>5</v>
      </c>
      <c r="AG580" s="78">
        <v>1981</v>
      </c>
      <c r="AH580" s="78">
        <v>0</v>
      </c>
      <c r="AI580" s="78">
        <v>2003</v>
      </c>
      <c r="AJ580" s="67">
        <v>2003</v>
      </c>
      <c r="AK580" s="67">
        <v>3</v>
      </c>
      <c r="AL580" s="67">
        <v>0</v>
      </c>
      <c r="AM580" s="70">
        <v>5</v>
      </c>
      <c r="AN580" s="70">
        <v>0</v>
      </c>
      <c r="AO580" s="86">
        <v>0</v>
      </c>
      <c r="AP580" s="70">
        <v>0</v>
      </c>
      <c r="AQ580" s="70">
        <v>0</v>
      </c>
      <c r="AR580" s="70">
        <v>0</v>
      </c>
      <c r="AS580" s="86">
        <v>0</v>
      </c>
      <c r="AT580" s="70">
        <v>0</v>
      </c>
      <c r="AU580" s="70">
        <v>0</v>
      </c>
      <c r="AV580" s="70">
        <v>0</v>
      </c>
      <c r="AW580" s="86">
        <v>0</v>
      </c>
      <c r="AX580" s="70">
        <v>0</v>
      </c>
      <c r="AY580" s="233"/>
      <c r="AZ580" s="11"/>
      <c r="BA580" s="35" t="str">
        <f>IF(OR(S580="North America",S580="Rocky Mountain"), "Widespread",BC580)</f>
        <v>Widespread</v>
      </c>
      <c r="BB580" s="11"/>
      <c r="BC580" s="35">
        <f ca="1">IF(BE580&gt;2046, "Abundant",BE580)</f>
        <v>2030.8283579322638</v>
      </c>
      <c r="BD580" s="11"/>
      <c r="BE580" s="81">
        <f ca="1">YEAR($C$13)+(BG580*80)</f>
        <v>2030.8283579322638</v>
      </c>
      <c r="BF580" s="11"/>
      <c r="BG580" s="137">
        <f ca="1">BH580*$BH$14</f>
        <v>0.14785447415329767</v>
      </c>
      <c r="BH580" s="137">
        <f ca="1">(((BJ580+BK580+BM580+BN580)/4)*$BM$11)+(((BP580+BQ580)/2)*$BQ$11)+(((BU580+BV580+BW580)/3)*$BU$11)+(((BY580+BZ580+CA580+CB580+CC580)/5)*$CA$11)</f>
        <v>0.14785447415329767</v>
      </c>
      <c r="BI580" s="11"/>
      <c r="BJ580" s="33">
        <f>AP580/(AM580+AO580)</f>
        <v>0</v>
      </c>
      <c r="BK580" s="33">
        <f>(AN580+AO580)/(AM580+AO580)</f>
        <v>0</v>
      </c>
      <c r="BL580" s="11"/>
      <c r="BM580" s="127">
        <f>CF580/102</f>
        <v>3.9215686274509803E-2</v>
      </c>
      <c r="BN580" s="127">
        <f>C580/2</f>
        <v>0.5</v>
      </c>
      <c r="BO580" s="11"/>
      <c r="BP580" s="127">
        <f>(AK580)/($AW$6)</f>
        <v>3.0303030303030304E-2</v>
      </c>
      <c r="BQ580" s="127">
        <f ca="1">(CH580-$AW$4)/((YEAR($C$13))-$AW$4)</f>
        <v>0</v>
      </c>
      <c r="BR580" s="127">
        <f>(AL580)/($AW$6)</f>
        <v>0</v>
      </c>
      <c r="BS580" s="11"/>
      <c r="BT580" s="127"/>
      <c r="BU580" s="127">
        <f ca="1">(CG580-$AW$4)/((YEAR($C$13))-$AW$4)</f>
        <v>0</v>
      </c>
      <c r="BV580" s="127">
        <f>AE580/5</f>
        <v>0.6</v>
      </c>
      <c r="BW580" s="127">
        <f>AF580/5</f>
        <v>1</v>
      </c>
      <c r="BX580" s="11"/>
      <c r="BY580" s="148" t="str">
        <f>IF(E580="A",".98",IF(E580="B",".99",IF(E580="C","1.00",IF(E580="D","1.00" ))))</f>
        <v>1.00</v>
      </c>
      <c r="BZ580" s="127">
        <f>(CE580+7)/10</f>
        <v>1</v>
      </c>
      <c r="CA580" s="76" t="str">
        <f>IF(D580="Fern",".97",IF(D580="Grass",".99",IF(D580="Herb",".97",IF(D580="Shrub",".99",IF(D580="Tree","1.00",IF(D580="Vine",".98"))))))</f>
        <v>.97</v>
      </c>
      <c r="CB580" s="149" t="str">
        <f>IF(R580="Bogs Ponds Streams",".96", IF(R580="Coastal Areas",".97",IF(R580="Meadows Dry Open",".96",IF(R580="Forest &amp; Understory",".97",IF(R580="Moist Open",".98",IF(R580="Moist Shady",".96",IF(R580="Sub-Alpine","1.0")))))))</f>
        <v>.98</v>
      </c>
      <c r="CC580" s="76" t="str">
        <f>IF(S580="Local Endemic",".50",IF(S580="Regional Endemic",".70",IF(S580="Cascadia",".90",IF(S580="Rocky Mountain",".95",IF(S580="North America",".99")))))</f>
        <v>.99</v>
      </c>
      <c r="CD580" s="11"/>
      <c r="CE580" s="21">
        <f>IF(W580&gt;3,3,W580)</f>
        <v>3</v>
      </c>
      <c r="CF580" s="21">
        <f>IF(AC580&gt;102,102,AC580)</f>
        <v>4</v>
      </c>
      <c r="CG580" s="34">
        <f>IF(AI580&lt;$AW$4,$AW$4,AI580)</f>
        <v>2004</v>
      </c>
      <c r="CH580" s="34">
        <f>IF(AJ580&lt;$AW$4,$AW$4,AJ580)</f>
        <v>2004</v>
      </c>
      <c r="CI580" s="11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11"/>
      <c r="DC580" s="11"/>
      <c r="DD580" s="11"/>
      <c r="DE580" s="11"/>
      <c r="DF580" s="11"/>
      <c r="DG580" s="11"/>
      <c r="DH580" s="11"/>
      <c r="DI580" s="11"/>
      <c r="DJ580" s="11"/>
    </row>
    <row r="581" spans="1:115" ht="15" customHeight="1" x14ac:dyDescent="0.3">
      <c r="A581" s="235"/>
      <c r="B581" s="218"/>
      <c r="C581" s="226">
        <v>2</v>
      </c>
      <c r="D581" s="104" t="s">
        <v>2505</v>
      </c>
      <c r="E581" s="104" t="s">
        <v>2501</v>
      </c>
      <c r="F581" s="400" t="str">
        <f ca="1">IF(BC581&lt;2025, "Extinct&lt; 6Yrs?",BA581)</f>
        <v>Widespread</v>
      </c>
      <c r="G581" s="369" t="s">
        <v>525</v>
      </c>
      <c r="H581" s="369" t="s">
        <v>4028</v>
      </c>
      <c r="I581" s="371" t="s">
        <v>1371</v>
      </c>
      <c r="J581" s="371" t="s">
        <v>3729</v>
      </c>
      <c r="K581" s="371" t="s">
        <v>1388</v>
      </c>
      <c r="L581" s="106" t="s">
        <v>2214</v>
      </c>
      <c r="M581" s="111" t="s">
        <v>4655</v>
      </c>
      <c r="N581" s="111" t="s">
        <v>5552</v>
      </c>
      <c r="O581" s="111" t="s">
        <v>6451</v>
      </c>
      <c r="P581" s="401" t="s">
        <v>576</v>
      </c>
      <c r="Q581" s="104" t="s">
        <v>2552</v>
      </c>
      <c r="R581" s="161" t="s">
        <v>2497</v>
      </c>
      <c r="S581" s="162" t="s">
        <v>2495</v>
      </c>
      <c r="T581" s="133" t="str">
        <f>IF(R581="Bogs Ponds Streams","20",IF(R581="Coastal Areas","26",IF(R581="Meadows Dry Open","10",IF(R581="Forest &amp; Understory","14",IF(R581="Moist Open","12",IF(R581="Moist Shady","10",IF(R581="Sub-Alpine Slopes","0")))))))</f>
        <v>12</v>
      </c>
      <c r="U581" s="133" t="str">
        <f>IF(R581="Bogs Ponds Streams","52",IF(R581="Coastal Areas","51",IF(R581="Meadows Dry Open","53",IF(R581="Forest &amp; Understory","52",IF(R581="Moist Open","50",IF(R581="Moist Shady","46",IF(R581="Sub-Alpine Slopes","40")))))))</f>
        <v>50</v>
      </c>
      <c r="V581" s="133" t="str">
        <f>IF(R581="Bogs Ponds Streams","84",IF(R581="Coastal Areas","76",IF(R581="Meadows Dry Open","96", IF(R581="Forest &amp; Understory","90", IF(R581="Moist Open","88", IF(R581="Moist Shady","82", IF(R581="Sub-Alpine Slopes","80")))))))</f>
        <v>88</v>
      </c>
      <c r="W581" s="104">
        <v>20</v>
      </c>
      <c r="X581" s="104">
        <v>0</v>
      </c>
      <c r="Y581" s="104">
        <v>3500</v>
      </c>
      <c r="Z581" s="104" t="s">
        <v>2519</v>
      </c>
      <c r="AA581" s="104" t="s">
        <v>2518</v>
      </c>
      <c r="AB581" s="104">
        <v>6.8</v>
      </c>
      <c r="AC581" s="107">
        <f>C581+AK581+(0.1)*AL581</f>
        <v>12.1</v>
      </c>
      <c r="AD581" s="113">
        <v>156</v>
      </c>
      <c r="AE581" s="112">
        <v>3</v>
      </c>
      <c r="AF581" s="112">
        <v>5</v>
      </c>
      <c r="AG581" s="113">
        <v>1908</v>
      </c>
      <c r="AH581" s="113">
        <v>0</v>
      </c>
      <c r="AI581" s="113">
        <v>2015</v>
      </c>
      <c r="AJ581" s="108">
        <v>2004</v>
      </c>
      <c r="AK581" s="108">
        <v>9</v>
      </c>
      <c r="AL581" s="108">
        <v>11</v>
      </c>
      <c r="AM581" s="109">
        <v>5</v>
      </c>
      <c r="AN581" s="109">
        <v>1</v>
      </c>
      <c r="AO581" s="109">
        <v>1</v>
      </c>
      <c r="AP581" s="109">
        <v>0</v>
      </c>
      <c r="AQ581" s="109">
        <v>0</v>
      </c>
      <c r="AR581" s="109">
        <v>0</v>
      </c>
      <c r="AS581" s="110">
        <v>0</v>
      </c>
      <c r="AT581" s="109">
        <v>0</v>
      </c>
      <c r="AU581" s="109">
        <v>0</v>
      </c>
      <c r="AV581" s="109">
        <v>0</v>
      </c>
      <c r="AW581" s="110">
        <v>0</v>
      </c>
      <c r="AX581" s="109">
        <v>0</v>
      </c>
      <c r="AY581" s="233"/>
      <c r="AZ581" s="4"/>
      <c r="BA581" s="35" t="str">
        <f>IF(OR(S581="North America",S581="Rocky Mountain"), "Widespread",BC581)</f>
        <v>Widespread</v>
      </c>
      <c r="BB581" s="4"/>
      <c r="BC581" s="35">
        <f ca="1">IF(BE581&gt;2046, "Abundant",BE581)</f>
        <v>2044.0730162804516</v>
      </c>
      <c r="BD581" s="4"/>
      <c r="BE581" s="81">
        <f ca="1">YEAR($C$13)+(BG581*80)</f>
        <v>2044.0730162804516</v>
      </c>
      <c r="BF581" s="4"/>
      <c r="BG581" s="137">
        <f ca="1">BH581*$BH$14</f>
        <v>0.31341270350564465</v>
      </c>
      <c r="BH581" s="137">
        <f ca="1">(((BJ581+BK581+BM581+BN581)/4)*$BM$11)+(((BP581+BQ581)/2)*$BQ$11)+(((BU581+BV581+BW581)/3)*$BU$11)+(((BY581+BZ581+CA581+CB581+CC581)/5)*$CA$11)</f>
        <v>0.31341270350564465</v>
      </c>
      <c r="BI581" s="4"/>
      <c r="BJ581" s="33">
        <f>AP581/(AM581+AO581)</f>
        <v>0</v>
      </c>
      <c r="BK581" s="33">
        <f>(AN581+AO581)/(AM581+AO581)</f>
        <v>0.33333333333333331</v>
      </c>
      <c r="BL581" s="4"/>
      <c r="BM581" s="127">
        <f>CF581/102</f>
        <v>0.11862745098039215</v>
      </c>
      <c r="BN581" s="127">
        <f>C581/2</f>
        <v>1</v>
      </c>
      <c r="BO581" s="4"/>
      <c r="BP581" s="127">
        <f>(AK581)/($AW$6)</f>
        <v>9.0909090909090912E-2</v>
      </c>
      <c r="BQ581" s="127">
        <f ca="1">(CH581-$AW$4)/((YEAR($C$13))-$AW$4)</f>
        <v>0</v>
      </c>
      <c r="BR581" s="127">
        <f>(AL581)/($AW$6)</f>
        <v>0.1111111111111111</v>
      </c>
      <c r="BS581" s="4"/>
      <c r="BT581" s="127"/>
      <c r="BU581" s="127">
        <f ca="1">(CG581-$AW$4)/((YEAR($C$13))-$AW$4)</f>
        <v>0.73333333333333328</v>
      </c>
      <c r="BV581" s="127">
        <f>AE581/5</f>
        <v>0.6</v>
      </c>
      <c r="BW581" s="127">
        <f>AF581/5</f>
        <v>1</v>
      </c>
      <c r="BX581" s="4"/>
      <c r="BY581" s="148" t="str">
        <f>IF(E581="A",".98",IF(E581="B",".99",IF(E581="C","1.00",IF(E581="D","1.00" ))))</f>
        <v>1.00</v>
      </c>
      <c r="BZ581" s="127">
        <f>(CE581+7)/10</f>
        <v>1</v>
      </c>
      <c r="CA581" s="76" t="str">
        <f>IF(D581="Fern",".97",IF(D581="Grass",".99",IF(D581="Herb",".97",IF(D581="Shrub",".99",IF(D581="Tree","1.00",IF(D581="Vine",".98"))))))</f>
        <v>.97</v>
      </c>
      <c r="CB581" s="149" t="str">
        <f>IF(R581="Bogs Ponds Streams",".96", IF(R581="Coastal Areas",".97",IF(R581="Meadows Dry Open",".96",IF(R581="Forest &amp; Understory",".97",IF(R581="Moist Open",".98",IF(R581="Moist Shady",".96",IF(R581="Sub-Alpine","1.0")))))))</f>
        <v>.98</v>
      </c>
      <c r="CC581" s="76" t="str">
        <f>IF(S581="Local Endemic",".50",IF(S581="Regional Endemic",".70",IF(S581="Cascadia",".90",IF(S581="Rocky Mountain",".95",IF(S581="North America",".99")))))</f>
        <v>.99</v>
      </c>
      <c r="CD581" s="4"/>
      <c r="CE581" s="21">
        <f>IF(W581&gt;3,3,W581)</f>
        <v>3</v>
      </c>
      <c r="CF581" s="21">
        <f>IF(AC581&gt;102,102,AC581)</f>
        <v>12.1</v>
      </c>
      <c r="CG581" s="34">
        <f>IF(AI581&lt;$AW$4,$AW$4,AI581)</f>
        <v>2015</v>
      </c>
      <c r="CH581" s="34">
        <f>IF(AJ581&lt;$AW$4,$AW$4,AJ581)</f>
        <v>2004</v>
      </c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</row>
    <row r="582" spans="1:115" ht="15" customHeight="1" x14ac:dyDescent="0.3">
      <c r="A582" s="235"/>
      <c r="B582" s="218"/>
      <c r="C582" s="225">
        <v>8</v>
      </c>
      <c r="D582" s="59" t="s">
        <v>2505</v>
      </c>
      <c r="E582" s="59" t="s">
        <v>2501</v>
      </c>
      <c r="F582" s="397" t="str">
        <f ca="1">IF(BC582&lt;2025, "Extinct&lt; 6Yrs?",BA582)</f>
        <v>Abundant</v>
      </c>
      <c r="G582" s="363" t="s">
        <v>525</v>
      </c>
      <c r="H582" s="363" t="s">
        <v>685</v>
      </c>
      <c r="I582" s="364" t="s">
        <v>2201</v>
      </c>
      <c r="J582" s="365" t="s">
        <v>3438</v>
      </c>
      <c r="K582" s="365" t="s">
        <v>1073</v>
      </c>
      <c r="L582" s="10" t="s">
        <v>2202</v>
      </c>
      <c r="M582" s="8" t="s">
        <v>4656</v>
      </c>
      <c r="N582" s="8" t="s">
        <v>5553</v>
      </c>
      <c r="O582" s="8" t="s">
        <v>6452</v>
      </c>
      <c r="P582" s="9" t="s">
        <v>361</v>
      </c>
      <c r="Q582" s="59" t="s">
        <v>2552</v>
      </c>
      <c r="R582" s="9" t="s">
        <v>2498</v>
      </c>
      <c r="S582" s="9" t="s">
        <v>2459</v>
      </c>
      <c r="T582" s="123" t="str">
        <f>IF(R582="Bogs Ponds Streams","20",IF(R582="Coastal Areas","26",IF(R582="Meadows Dry Open","10",IF(R582="Forest &amp; Understory","14",IF(R582="Moist Open","12",IF(R582="Moist Shady","10",IF(R582="Sub-Alpine Slopes","0")))))))</f>
        <v>10</v>
      </c>
      <c r="U582" s="123" t="str">
        <f>IF(R582="Bogs Ponds Streams","52",IF(R582="Coastal Areas","51",IF(R582="Meadows Dry Open","53",IF(R582="Forest &amp; Understory","52",IF(R582="Moist Open","50",IF(R582="Moist Shady","46",IF(R582="Sub-Alpine Slopes","40")))))))</f>
        <v>46</v>
      </c>
      <c r="V582" s="123" t="str">
        <f>IF(R582="Bogs Ponds Streams","84",IF(R582="Coastal Areas","76",IF(R582="Meadows Dry Open","96", IF(R582="Forest &amp; Understory","90", IF(R582="Moist Open","88", IF(R582="Moist Shady","82", IF(R582="Sub-Alpine Slopes","80")))))))</f>
        <v>82</v>
      </c>
      <c r="W582" s="59">
        <v>20</v>
      </c>
      <c r="X582" s="59">
        <v>0</v>
      </c>
      <c r="Y582" s="59">
        <v>3500</v>
      </c>
      <c r="Z582" s="59" t="s">
        <v>2519</v>
      </c>
      <c r="AA582" s="59" t="s">
        <v>2518</v>
      </c>
      <c r="AB582" s="59">
        <v>6.8</v>
      </c>
      <c r="AC582" s="45">
        <f>C582+AK582+(0.1)*AL582</f>
        <v>16.3</v>
      </c>
      <c r="AD582" s="77">
        <v>97</v>
      </c>
      <c r="AE582" s="59">
        <v>5</v>
      </c>
      <c r="AF582" s="59">
        <v>5</v>
      </c>
      <c r="AG582" s="59">
        <v>1900</v>
      </c>
      <c r="AH582" s="77">
        <v>0</v>
      </c>
      <c r="AI582" s="59">
        <f ca="1">AJ582</f>
        <v>2019</v>
      </c>
      <c r="AJ582" s="18">
        <f ca="1">YEAR(TODAY())</f>
        <v>2019</v>
      </c>
      <c r="AK582" s="18">
        <v>5</v>
      </c>
      <c r="AL582" s="18">
        <v>33</v>
      </c>
      <c r="AM582" s="18">
        <v>1</v>
      </c>
      <c r="AN582" s="18">
        <v>1</v>
      </c>
      <c r="AO582" s="18">
        <v>5</v>
      </c>
      <c r="AP582" s="18">
        <v>1</v>
      </c>
      <c r="AQ582" s="18">
        <v>0</v>
      </c>
      <c r="AR582" s="18">
        <v>0</v>
      </c>
      <c r="AS582" s="18">
        <v>0</v>
      </c>
      <c r="AT582" s="18">
        <v>0</v>
      </c>
      <c r="AU582" s="18">
        <v>0</v>
      </c>
      <c r="AV582" s="18">
        <v>0</v>
      </c>
      <c r="AW582" s="18">
        <v>0</v>
      </c>
      <c r="AX582" s="18">
        <v>0</v>
      </c>
      <c r="AY582" s="233"/>
      <c r="AZ582" s="4"/>
      <c r="BA582" s="35" t="str">
        <f ca="1">IF(OR(S582="North America",S582="Rocky Mountain"), "Widespread",BC582)</f>
        <v>Abundant</v>
      </c>
      <c r="BB582" s="4"/>
      <c r="BC582" s="35" t="str">
        <f ca="1">IF(BE582&gt;2046, "Abundant",BE582)</f>
        <v>Abundant</v>
      </c>
      <c r="BD582" s="4"/>
      <c r="BE582" s="81">
        <f ca="1">YEAR($C$13)+(BG582*80)</f>
        <v>2103.4693076648841</v>
      </c>
      <c r="BF582" s="4"/>
      <c r="BG582" s="137">
        <f ca="1">BH582*$BH$14</f>
        <v>1.0558663458110518</v>
      </c>
      <c r="BH582" s="137">
        <f ca="1">(((BJ582+BK582+BM582+BN582)/4)*$BM$11)+(((BP582+BQ582)/2)*$BQ$11)+(((BU582+BV582+BW582)/3)*$BU$11)+(((BY582+BZ582+CA582+CB582+CC582)/5)*$CA$11)</f>
        <v>1.0558663458110518</v>
      </c>
      <c r="BI582" s="4"/>
      <c r="BJ582" s="33">
        <f>AP582/(AM582+AO582)</f>
        <v>0.16666666666666666</v>
      </c>
      <c r="BK582" s="33">
        <f>(AN582+AO582)/(AM582+AO582)</f>
        <v>1</v>
      </c>
      <c r="BL582" s="4"/>
      <c r="BM582" s="127">
        <f>CF582/102</f>
        <v>0.15980392156862747</v>
      </c>
      <c r="BN582" s="127">
        <f>C582/2</f>
        <v>4</v>
      </c>
      <c r="BO582" s="4"/>
      <c r="BP582" s="127">
        <f>(AK582)/($AW$6)</f>
        <v>5.0505050505050504E-2</v>
      </c>
      <c r="BQ582" s="127">
        <f ca="1">(CH582-$AW$4)/((YEAR($C$13))-$AW$4)</f>
        <v>1</v>
      </c>
      <c r="BR582" s="127">
        <f>(AL582)/($AW$6)</f>
        <v>0.33333333333333331</v>
      </c>
      <c r="BS582" s="4"/>
      <c r="BT582" s="127"/>
      <c r="BU582" s="127">
        <f ca="1">(CG582-$AW$4)/((YEAR($C$13))-$AW$4)</f>
        <v>1</v>
      </c>
      <c r="BV582" s="127">
        <f>AE582/5</f>
        <v>1</v>
      </c>
      <c r="BW582" s="127">
        <f>AF582/5</f>
        <v>1</v>
      </c>
      <c r="BX582" s="4"/>
      <c r="BY582" s="148" t="str">
        <f>IF(E582="A",".98",IF(E582="B",".99",IF(E582="C","1.00",IF(E582="D","1.00" ))))</f>
        <v>1.00</v>
      </c>
      <c r="BZ582" s="127">
        <f>(CE582+7)/10</f>
        <v>1</v>
      </c>
      <c r="CA582" s="76" t="str">
        <f>IF(D582="Fern",".97",IF(D582="Grass",".99",IF(D582="Herb",".97",IF(D582="Shrub",".99",IF(D582="Tree","1.00",IF(D582="Vine",".98"))))))</f>
        <v>.97</v>
      </c>
      <c r="CB582" s="149" t="str">
        <f>IF(R582="Bogs Ponds Streams",".96", IF(R582="Coastal Areas",".97",IF(R582="Meadows Dry Open",".96",IF(R582="Forest &amp; Understory",".97",IF(R582="Moist Open",".98",IF(R582="Moist Shady",".96",IF(R582="Sub-Alpine","1.0")))))))</f>
        <v>.96</v>
      </c>
      <c r="CC582" s="76" t="str">
        <f>IF(S582="Local Endemic",".50",IF(S582="Regional Endemic",".70",IF(S582="Cascadia",".90",IF(S582="Rocky Mountain",".95",IF(S582="North America",".99")))))</f>
        <v>.90</v>
      </c>
      <c r="CD582" s="4"/>
      <c r="CE582" s="21">
        <f>IF(W582&gt;3,3,W582)</f>
        <v>3</v>
      </c>
      <c r="CF582" s="21">
        <f>IF(AC582&gt;102,102,AC582)</f>
        <v>16.3</v>
      </c>
      <c r="CG582" s="34">
        <f ca="1">IF(AI582&lt;$AW$4,$AW$4,AI582)</f>
        <v>2019</v>
      </c>
      <c r="CH582" s="34">
        <f ca="1">IF(AJ582&lt;$AW$4,$AW$4,AJ582)</f>
        <v>2019</v>
      </c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13"/>
    </row>
    <row r="583" spans="1:115" ht="15" customHeight="1" x14ac:dyDescent="0.3">
      <c r="A583" s="235"/>
      <c r="B583" s="218"/>
      <c r="C583" s="226">
        <v>2</v>
      </c>
      <c r="D583" s="104" t="s">
        <v>2505</v>
      </c>
      <c r="E583" s="104" t="s">
        <v>2502</v>
      </c>
      <c r="F583" s="400" t="str">
        <f ca="1">IF(BC583&lt;2025, "Extinct&lt; 6Yrs?",BA583)</f>
        <v>Abundant</v>
      </c>
      <c r="G583" s="369" t="s">
        <v>525</v>
      </c>
      <c r="H583" s="369" t="s">
        <v>4028</v>
      </c>
      <c r="I583" s="373" t="s">
        <v>2086</v>
      </c>
      <c r="J583" s="371" t="s">
        <v>2087</v>
      </c>
      <c r="K583" s="371" t="s">
        <v>1740</v>
      </c>
      <c r="L583" s="106" t="s">
        <v>1741</v>
      </c>
      <c r="M583" s="111" t="s">
        <v>4657</v>
      </c>
      <c r="N583" s="111" t="s">
        <v>5554</v>
      </c>
      <c r="O583" s="111" t="s">
        <v>6453</v>
      </c>
      <c r="P583" s="401" t="s">
        <v>51</v>
      </c>
      <c r="Q583" s="104" t="s">
        <v>2552</v>
      </c>
      <c r="R583" s="105" t="s">
        <v>2498</v>
      </c>
      <c r="S583" s="162" t="s">
        <v>2459</v>
      </c>
      <c r="T583" s="133" t="str">
        <f>IF(R583="Bogs Ponds Streams","20",IF(R583="Coastal Areas","26",IF(R583="Meadows Dry Open","10",IF(R583="Forest &amp; Understory","14",IF(R583="Moist Open","12",IF(R583="Moist Shady","10",IF(R583="Sub-Alpine Slopes","0")))))))</f>
        <v>10</v>
      </c>
      <c r="U583" s="133" t="str">
        <f>IF(R583="Bogs Ponds Streams","52",IF(R583="Coastal Areas","51",IF(R583="Meadows Dry Open","53",IF(R583="Forest &amp; Understory","52",IF(R583="Moist Open","50",IF(R583="Moist Shady","46",IF(R583="Sub-Alpine Slopes","40")))))))</f>
        <v>46</v>
      </c>
      <c r="V583" s="133" t="str">
        <f>IF(R583="Bogs Ponds Streams","84",IF(R583="Coastal Areas","76",IF(R583="Meadows Dry Open","96", IF(R583="Forest &amp; Understory","90", IF(R583="Moist Open","88", IF(R583="Moist Shady","82", IF(R583="Sub-Alpine Slopes","80")))))))</f>
        <v>82</v>
      </c>
      <c r="W583" s="104">
        <v>1</v>
      </c>
      <c r="X583" s="104">
        <v>0</v>
      </c>
      <c r="Y583" s="104">
        <v>3500</v>
      </c>
      <c r="Z583" s="104" t="s">
        <v>2519</v>
      </c>
      <c r="AA583" s="104" t="s">
        <v>2518</v>
      </c>
      <c r="AB583" s="104">
        <v>6.8</v>
      </c>
      <c r="AC583" s="107">
        <f>C583+AK583+(0.1)*AL583</f>
        <v>5</v>
      </c>
      <c r="AD583" s="113">
        <v>33</v>
      </c>
      <c r="AE583" s="112">
        <v>3</v>
      </c>
      <c r="AF583" s="112">
        <v>4</v>
      </c>
      <c r="AG583" s="113">
        <v>1887</v>
      </c>
      <c r="AH583" s="113">
        <v>0</v>
      </c>
      <c r="AI583" s="113">
        <v>2017</v>
      </c>
      <c r="AJ583" s="108">
        <v>2018</v>
      </c>
      <c r="AK583" s="108">
        <v>3</v>
      </c>
      <c r="AL583" s="108">
        <v>0</v>
      </c>
      <c r="AM583" s="109">
        <v>5</v>
      </c>
      <c r="AN583" s="109">
        <v>5</v>
      </c>
      <c r="AO583" s="109">
        <v>5</v>
      </c>
      <c r="AP583" s="109">
        <v>5</v>
      </c>
      <c r="AQ583" s="109">
        <v>0</v>
      </c>
      <c r="AR583" s="109">
        <v>0</v>
      </c>
      <c r="AS583" s="110">
        <v>0</v>
      </c>
      <c r="AT583" s="109">
        <v>0</v>
      </c>
      <c r="AU583" s="109">
        <v>0</v>
      </c>
      <c r="AV583" s="109">
        <v>0</v>
      </c>
      <c r="AW583" s="110">
        <v>0</v>
      </c>
      <c r="AX583" s="109">
        <v>0</v>
      </c>
      <c r="AY583" s="233"/>
      <c r="AZ583" s="11"/>
      <c r="BA583" s="35" t="str">
        <f ca="1">IF(OR(S583="North America",S583="Rocky Mountain"), "Widespread",BC583)</f>
        <v>Abundant</v>
      </c>
      <c r="BB583" s="11"/>
      <c r="BC583" s="35" t="str">
        <f ca="1">IF(BE583&gt;2046, "Abundant",BE583)</f>
        <v>Abundant</v>
      </c>
      <c r="BD583" s="11"/>
      <c r="BE583" s="81">
        <f ca="1">YEAR($C$13)+(BG583*80)</f>
        <v>2067.4626272133096</v>
      </c>
      <c r="BF583" s="11"/>
      <c r="BG583" s="137">
        <f ca="1">BH583*$BH$14</f>
        <v>0.60578284016636952</v>
      </c>
      <c r="BH583" s="137">
        <f ca="1">(((BJ583+BK583+BM583+BN583)/4)*$BM$11)+(((BP583+BQ583)/2)*$BQ$11)+(((BU583+BV583+BW583)/3)*$BU$11)+(((BY583+BZ583+CA583+CB583+CC583)/5)*$CA$11)</f>
        <v>0.60578284016636952</v>
      </c>
      <c r="BI583" s="11"/>
      <c r="BJ583" s="33">
        <f>AP583/(AM583+AO583)</f>
        <v>0.5</v>
      </c>
      <c r="BK583" s="33">
        <f>(AN583+AO583)/(AM583+AO583)</f>
        <v>1</v>
      </c>
      <c r="BL583" s="11"/>
      <c r="BM583" s="127">
        <f>CF583/102</f>
        <v>4.9019607843137254E-2</v>
      </c>
      <c r="BN583" s="127">
        <f>C583/2</f>
        <v>1</v>
      </c>
      <c r="BO583" s="11"/>
      <c r="BP583" s="127">
        <f>(AK583)/($AW$6)</f>
        <v>3.0303030303030304E-2</v>
      </c>
      <c r="BQ583" s="127">
        <f ca="1">(CH583-$AW$4)/((YEAR($C$13))-$AW$4)</f>
        <v>0.93333333333333335</v>
      </c>
      <c r="BR583" s="127">
        <f>(AL583)/($AW$6)</f>
        <v>0</v>
      </c>
      <c r="BS583" s="11"/>
      <c r="BT583" s="127"/>
      <c r="BU583" s="127">
        <f ca="1">(CG583-$AW$4)/((YEAR($C$13))-$AW$4)</f>
        <v>0.8666666666666667</v>
      </c>
      <c r="BV583" s="127">
        <f>AE583/5</f>
        <v>0.6</v>
      </c>
      <c r="BW583" s="127">
        <f>AF583/5</f>
        <v>0.8</v>
      </c>
      <c r="BX583" s="11"/>
      <c r="BY583" s="148" t="str">
        <f>IF(E583="A",".98",IF(E583="B",".99",IF(E583="C","1.00",IF(E583="D","1.00" ))))</f>
        <v>.98</v>
      </c>
      <c r="BZ583" s="127">
        <f>(CE583+7)/10</f>
        <v>0.8</v>
      </c>
      <c r="CA583" s="76" t="str">
        <f>IF(D583="Fern",".97",IF(D583="Grass",".99",IF(D583="Herb",".97",IF(D583="Shrub",".99",IF(D583="Tree","1.00",IF(D583="Vine",".98"))))))</f>
        <v>.97</v>
      </c>
      <c r="CB583" s="149" t="str">
        <f>IF(R583="Bogs Ponds Streams",".96", IF(R583="Coastal Areas",".97",IF(R583="Meadows Dry Open",".96",IF(R583="Forest &amp; Understory",".97",IF(R583="Moist Open",".98",IF(R583="Moist Shady",".96",IF(R583="Sub-Alpine","1.0")))))))</f>
        <v>.96</v>
      </c>
      <c r="CC583" s="76" t="str">
        <f>IF(S583="Local Endemic",".50",IF(S583="Regional Endemic",".70",IF(S583="Cascadia",".90",IF(S583="Rocky Mountain",".95",IF(S583="North America",".99")))))</f>
        <v>.90</v>
      </c>
      <c r="CD583" s="11"/>
      <c r="CE583" s="21">
        <f>IF(W583&gt;3,3,W583)</f>
        <v>1</v>
      </c>
      <c r="CF583" s="21">
        <f>IF(AC583&gt;102,102,AC583)</f>
        <v>5</v>
      </c>
      <c r="CG583" s="34">
        <f>IF(AI583&lt;$AW$4,$AW$4,AI583)</f>
        <v>2017</v>
      </c>
      <c r="CH583" s="34">
        <f>IF(AJ583&lt;$AW$4,$AW$4,AJ583)</f>
        <v>2018</v>
      </c>
      <c r="CI583" s="11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11"/>
      <c r="DC583" s="11"/>
      <c r="DD583" s="11"/>
      <c r="DE583" s="11"/>
      <c r="DF583" s="11"/>
      <c r="DG583" s="11"/>
      <c r="DH583" s="11"/>
      <c r="DI583" s="11"/>
      <c r="DJ583" s="11"/>
    </row>
    <row r="584" spans="1:115" ht="15" customHeight="1" x14ac:dyDescent="0.3">
      <c r="A584" s="235"/>
      <c r="B584" s="218"/>
      <c r="C584" s="375">
        <v>1</v>
      </c>
      <c r="D584" s="78" t="s">
        <v>2505</v>
      </c>
      <c r="E584" s="67" t="s">
        <v>2501</v>
      </c>
      <c r="F584" s="403">
        <f ca="1">IF(BC584&lt;2025, "Extinct&lt; 6Yrs?",BA584)</f>
        <v>2031.5640765300059</v>
      </c>
      <c r="G584" s="376" t="s">
        <v>525</v>
      </c>
      <c r="H584" s="376" t="s">
        <v>4028</v>
      </c>
      <c r="I584" s="377" t="s">
        <v>2425</v>
      </c>
      <c r="J584" s="378" t="s">
        <v>3553</v>
      </c>
      <c r="K584" s="378" t="s">
        <v>4087</v>
      </c>
      <c r="L584" s="63" t="s">
        <v>2426</v>
      </c>
      <c r="M584" s="64" t="s">
        <v>4658</v>
      </c>
      <c r="N584" s="64" t="s">
        <v>5555</v>
      </c>
      <c r="O584" s="64" t="s">
        <v>6454</v>
      </c>
      <c r="P584" s="404" t="s">
        <v>180</v>
      </c>
      <c r="Q584" s="67" t="s">
        <v>2552</v>
      </c>
      <c r="R584" s="61" t="s">
        <v>2500</v>
      </c>
      <c r="S584" s="164" t="s">
        <v>2316</v>
      </c>
      <c r="T584" s="134" t="str">
        <f>IF(R584="Bogs Ponds Streams","20",IF(R584="Coastal Areas","26",IF(R584="Meadows Dry Open","10",IF(R584="Forest &amp; Understory","14",IF(R584="Moist Open","12",IF(R584="Moist Shady","10",IF(R584="Sub-Alpine Slopes","0")))))))</f>
        <v>10</v>
      </c>
      <c r="U584" s="134" t="str">
        <f>IF(R584="Bogs Ponds Streams","52",IF(R584="Coastal Areas","51",IF(R584="Meadows Dry Open","53",IF(R584="Forest &amp; Understory","52",IF(R584="Moist Open","50",IF(R584="Moist Shady","46",IF(R584="Sub-Alpine Slopes","40")))))))</f>
        <v>53</v>
      </c>
      <c r="V584" s="134" t="str">
        <f>IF(R584="Bogs Ponds Streams","84",IF(R584="Coastal Areas","76",IF(R584="Meadows Dry Open","96", IF(R584="Forest &amp; Understory","90", IF(R584="Moist Open","88", IF(R584="Moist Shady","82", IF(R584="Sub-Alpine Slopes","80")))))))</f>
        <v>96</v>
      </c>
      <c r="W584" s="67">
        <v>20</v>
      </c>
      <c r="X584" s="67">
        <v>0</v>
      </c>
      <c r="Y584" s="67">
        <v>3500</v>
      </c>
      <c r="Z584" s="67" t="s">
        <v>2519</v>
      </c>
      <c r="AA584" s="67" t="s">
        <v>2518</v>
      </c>
      <c r="AB584" s="67">
        <v>6.8</v>
      </c>
      <c r="AC584" s="85">
        <f>C584+AK584+(0.1)*AL584</f>
        <v>3</v>
      </c>
      <c r="AD584" s="78">
        <v>16</v>
      </c>
      <c r="AE584" s="68">
        <v>2</v>
      </c>
      <c r="AF584" s="68">
        <v>5</v>
      </c>
      <c r="AG584" s="78">
        <v>1963</v>
      </c>
      <c r="AH584" s="78">
        <v>0</v>
      </c>
      <c r="AI584" s="78">
        <v>2015</v>
      </c>
      <c r="AJ584" s="67">
        <v>1990</v>
      </c>
      <c r="AK584" s="67">
        <v>2</v>
      </c>
      <c r="AL584" s="67">
        <v>0</v>
      </c>
      <c r="AM584" s="70">
        <v>5</v>
      </c>
      <c r="AN584" s="70">
        <v>0</v>
      </c>
      <c r="AO584" s="86">
        <v>0</v>
      </c>
      <c r="AP584" s="70">
        <v>0</v>
      </c>
      <c r="AQ584" s="70">
        <v>0</v>
      </c>
      <c r="AR584" s="70">
        <v>0</v>
      </c>
      <c r="AS584" s="86">
        <v>0</v>
      </c>
      <c r="AT584" s="70">
        <v>0</v>
      </c>
      <c r="AU584" s="70">
        <v>0</v>
      </c>
      <c r="AV584" s="70">
        <v>0</v>
      </c>
      <c r="AW584" s="86">
        <v>0</v>
      </c>
      <c r="AX584" s="70">
        <v>0</v>
      </c>
      <c r="AY584" s="233"/>
      <c r="AZ584" s="11"/>
      <c r="BA584" s="35">
        <f ca="1">IF(OR(S584="North America",S584="Rocky Mountain"), "Widespread",BC584)</f>
        <v>2031.5640765300059</v>
      </c>
      <c r="BB584" s="11"/>
      <c r="BC584" s="35">
        <f ca="1">IF(BE584&gt;2046, "Abundant",BE584)</f>
        <v>2031.5640765300059</v>
      </c>
      <c r="BD584" s="11"/>
      <c r="BE584" s="81">
        <f ca="1">YEAR($C$13)+(BG584*80)</f>
        <v>2031.5640765300059</v>
      </c>
      <c r="BF584" s="11"/>
      <c r="BG584" s="137">
        <f ca="1">BH584*$BH$14</f>
        <v>0.15705095662507429</v>
      </c>
      <c r="BH584" s="137">
        <f ca="1">(((BJ584+BK584+BM584+BN584)/4)*$BM$11)+(((BP584+BQ584)/2)*$BQ$11)+(((BU584+BV584+BW584)/3)*$BU$11)+(((BY584+BZ584+CA584+CB584+CC584)/5)*$CA$11)</f>
        <v>0.15705095662507429</v>
      </c>
      <c r="BI584" s="11"/>
      <c r="BJ584" s="33">
        <f>AP584/(AM584+AO584)</f>
        <v>0</v>
      </c>
      <c r="BK584" s="33">
        <f>(AN584+AO584)/(AM584+AO584)</f>
        <v>0</v>
      </c>
      <c r="BL584" s="11"/>
      <c r="BM584" s="127">
        <f>CF584/102</f>
        <v>2.9411764705882353E-2</v>
      </c>
      <c r="BN584" s="127">
        <f>C584/2</f>
        <v>0.5</v>
      </c>
      <c r="BO584" s="11"/>
      <c r="BP584" s="127">
        <f>(AK584)/($AW$6)</f>
        <v>2.0202020202020204E-2</v>
      </c>
      <c r="BQ584" s="127">
        <f ca="1">(CH584-$AW$4)/((YEAR($C$13))-$AW$4)</f>
        <v>0</v>
      </c>
      <c r="BR584" s="127">
        <f>(AL584)/($AW$6)</f>
        <v>0</v>
      </c>
      <c r="BS584" s="11"/>
      <c r="BT584" s="127"/>
      <c r="BU584" s="127">
        <f ca="1">(CG584-$AW$4)/((YEAR($C$13))-$AW$4)</f>
        <v>0.73333333333333328</v>
      </c>
      <c r="BV584" s="127">
        <f>AE584/5</f>
        <v>0.4</v>
      </c>
      <c r="BW584" s="127">
        <f>AF584/5</f>
        <v>1</v>
      </c>
      <c r="BX584" s="11"/>
      <c r="BY584" s="148" t="str">
        <f>IF(E584="A",".98",IF(E584="B",".99",IF(E584="C","1.00",IF(E584="D","1.00" ))))</f>
        <v>1.00</v>
      </c>
      <c r="BZ584" s="127">
        <f>(CE584+7)/10</f>
        <v>1</v>
      </c>
      <c r="CA584" s="76" t="str">
        <f>IF(D584="Fern",".97",IF(D584="Grass",".99",IF(D584="Herb",".97",IF(D584="Shrub",".99",IF(D584="Tree","1.00",IF(D584="Vine",".98"))))))</f>
        <v>.97</v>
      </c>
      <c r="CB584" s="149" t="str">
        <f>IF(R584="Bogs Ponds Streams",".96", IF(R584="Coastal Areas",".97",IF(R584="Meadows Dry Open",".96",IF(R584="Forest &amp; Understory",".97",IF(R584="Moist Open",".98",IF(R584="Moist Shady",".96",IF(R584="Sub-Alpine","1.0")))))))</f>
        <v>.96</v>
      </c>
      <c r="CC584" s="76" t="str">
        <f>IF(S584="Local Endemic",".50",IF(S584="Regional Endemic",".70",IF(S584="Cascadia",".90",IF(S584="Rocky Mountain",".95",IF(S584="North America",".99")))))</f>
        <v>.50</v>
      </c>
      <c r="CD584" s="11"/>
      <c r="CE584" s="21">
        <f>IF(W584&gt;3,3,W584)</f>
        <v>3</v>
      </c>
      <c r="CF584" s="21">
        <f>IF(AC584&gt;102,102,AC584)</f>
        <v>3</v>
      </c>
      <c r="CG584" s="34">
        <f>IF(AI584&lt;$AW$4,$AW$4,AI584)</f>
        <v>2015</v>
      </c>
      <c r="CH584" s="34">
        <f>IF(AJ584&lt;$AW$4,$AW$4,AJ584)</f>
        <v>2004</v>
      </c>
      <c r="CI584" s="11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11"/>
      <c r="DC584" s="11"/>
      <c r="DD584" s="11"/>
      <c r="DE584" s="11"/>
      <c r="DF584" s="11"/>
      <c r="DG584" s="11"/>
      <c r="DH584" s="11"/>
      <c r="DI584" s="11"/>
      <c r="DJ584" s="11"/>
    </row>
    <row r="585" spans="1:115" ht="15" customHeight="1" x14ac:dyDescent="0.3">
      <c r="A585" s="235"/>
      <c r="B585" s="218"/>
      <c r="C585" s="226">
        <v>2</v>
      </c>
      <c r="D585" s="112" t="s">
        <v>2505</v>
      </c>
      <c r="E585" s="104" t="s">
        <v>2501</v>
      </c>
      <c r="F585" s="400" t="str">
        <f ca="1">IF(BC585&lt;2025, "Extinct&lt; 6Yrs?",BA585)</f>
        <v>Widespread</v>
      </c>
      <c r="G585" s="369" t="s">
        <v>525</v>
      </c>
      <c r="H585" s="369" t="s">
        <v>4028</v>
      </c>
      <c r="I585" s="372" t="s">
        <v>2683</v>
      </c>
      <c r="J585" s="371" t="s">
        <v>2428</v>
      </c>
      <c r="K585" s="371" t="s">
        <v>4086</v>
      </c>
      <c r="L585" s="114" t="s">
        <v>4039</v>
      </c>
      <c r="M585" s="111" t="s">
        <v>4659</v>
      </c>
      <c r="N585" s="111" t="s">
        <v>5556</v>
      </c>
      <c r="O585" s="111" t="s">
        <v>6455</v>
      </c>
      <c r="P585" s="401" t="s">
        <v>180</v>
      </c>
      <c r="Q585" s="104" t="s">
        <v>2552</v>
      </c>
      <c r="R585" s="105" t="s">
        <v>2499</v>
      </c>
      <c r="S585" s="105" t="s">
        <v>2479</v>
      </c>
      <c r="T585" s="133" t="str">
        <f>IF(R585="Bogs Ponds Streams","20",IF(R585="Coastal Areas","26",IF(R585="Meadows Dry Open","10",IF(R585="Forest &amp; Understory","14",IF(R585="Moist Open","12",IF(R585="Moist Shady","10",IF(R585="Sub-Alpine Slopes","0")))))))</f>
        <v>20</v>
      </c>
      <c r="U585" s="133" t="str">
        <f>IF(R585="Bogs Ponds Streams","52",IF(R585="Coastal Areas","51",IF(R585="Meadows Dry Open","53",IF(R585="Forest &amp; Understory","52",IF(R585="Moist Open","50",IF(R585="Moist Shady","46",IF(R585="Sub-Alpine Slopes","40")))))))</f>
        <v>52</v>
      </c>
      <c r="V585" s="133" t="str">
        <f>IF(R585="Bogs Ponds Streams","84",IF(R585="Coastal Areas","76",IF(R585="Meadows Dry Open","96", IF(R585="Forest &amp; Understory","90", IF(R585="Moist Open","88", IF(R585="Moist Shady","82", IF(R585="Sub-Alpine Slopes","80")))))))</f>
        <v>84</v>
      </c>
      <c r="W585" s="104">
        <v>20</v>
      </c>
      <c r="X585" s="104">
        <v>0</v>
      </c>
      <c r="Y585" s="104">
        <v>3500</v>
      </c>
      <c r="Z585" s="104" t="s">
        <v>2519</v>
      </c>
      <c r="AA585" s="104" t="s">
        <v>2518</v>
      </c>
      <c r="AB585" s="104">
        <v>6.8</v>
      </c>
      <c r="AC585" s="107">
        <f>C584+AK585+(0.1)*AL585</f>
        <v>12.2</v>
      </c>
      <c r="AD585" s="113">
        <v>161</v>
      </c>
      <c r="AE585" s="104">
        <v>5</v>
      </c>
      <c r="AF585" s="104">
        <v>5</v>
      </c>
      <c r="AG585" s="104">
        <v>1900</v>
      </c>
      <c r="AH585" s="113">
        <v>0</v>
      </c>
      <c r="AI585" s="104">
        <f>AJ585</f>
        <v>2018</v>
      </c>
      <c r="AJ585" s="108">
        <v>2018</v>
      </c>
      <c r="AK585" s="108">
        <v>9</v>
      </c>
      <c r="AL585" s="108">
        <v>22</v>
      </c>
      <c r="AM585" s="109">
        <v>5</v>
      </c>
      <c r="AN585" s="109">
        <v>2</v>
      </c>
      <c r="AO585" s="109">
        <v>2</v>
      </c>
      <c r="AP585" s="109">
        <v>2</v>
      </c>
      <c r="AQ585" s="109">
        <v>0</v>
      </c>
      <c r="AR585" s="109">
        <v>0</v>
      </c>
      <c r="AS585" s="110">
        <v>0</v>
      </c>
      <c r="AT585" s="109">
        <v>0</v>
      </c>
      <c r="AU585" s="109">
        <v>0</v>
      </c>
      <c r="AV585" s="109">
        <v>0</v>
      </c>
      <c r="AW585" s="110">
        <v>0</v>
      </c>
      <c r="AX585" s="109">
        <v>0</v>
      </c>
      <c r="AY585" s="233"/>
      <c r="AZ585" s="4"/>
      <c r="BA585" s="35" t="str">
        <f>IF(OR(S585="North America",S585="Rocky Mountain"), "Widespread",BC585)</f>
        <v>Widespread</v>
      </c>
      <c r="BB585" s="4"/>
      <c r="BC585" s="35" t="str">
        <f ca="1">IF(BE585&gt;2046, "Abundant",BE585)</f>
        <v>Abundant</v>
      </c>
      <c r="BD585" s="4"/>
      <c r="BE585" s="81">
        <f ca="1">YEAR($C$13)+(BG585*80)</f>
        <v>2056.831295272048</v>
      </c>
      <c r="BF585" s="4"/>
      <c r="BG585" s="137">
        <f ca="1">BH585*$BH$14</f>
        <v>0.47289119090060266</v>
      </c>
      <c r="BH585" s="137">
        <f ca="1">(((BJ585+BK585+BM585+BN585)/4)*$BM$11)+(((BP585+BQ585)/2)*$BQ$11)+(((BU585+BV585+BW585)/3)*$BU$11)+(((BY585+BZ585+CA585+CB585+CC585)/5)*$CA$11)</f>
        <v>0.47289119090060266</v>
      </c>
      <c r="BI585" s="4"/>
      <c r="BJ585" s="33">
        <f>AP585/(AM585+AO585)</f>
        <v>0.2857142857142857</v>
      </c>
      <c r="BK585" s="33">
        <f>(AN585+AO585)/(AM585+AO585)</f>
        <v>0.5714285714285714</v>
      </c>
      <c r="BL585" s="4"/>
      <c r="BM585" s="127">
        <f>CF585/102</f>
        <v>0.11960784313725489</v>
      </c>
      <c r="BN585" s="127">
        <f>C584/2</f>
        <v>0.5</v>
      </c>
      <c r="BO585" s="4"/>
      <c r="BP585" s="127">
        <f>(AK585)/($AW$6)</f>
        <v>9.0909090909090912E-2</v>
      </c>
      <c r="BQ585" s="127">
        <f ca="1">(CH585-$AW$4)/((YEAR($C$13))-$AW$4)</f>
        <v>0.93333333333333335</v>
      </c>
      <c r="BR585" s="127">
        <f>(AL585)/($AW$6)</f>
        <v>0.22222222222222221</v>
      </c>
      <c r="BS585" s="4"/>
      <c r="BT585" s="127"/>
      <c r="BU585" s="127">
        <f ca="1">(CG585-$AW$4)/((YEAR($C$13))-$AW$4)</f>
        <v>0.93333333333333335</v>
      </c>
      <c r="BV585" s="127">
        <f>AE585/5</f>
        <v>1</v>
      </c>
      <c r="BW585" s="127">
        <f>AF585/5</f>
        <v>1</v>
      </c>
      <c r="BX585" s="4"/>
      <c r="BY585" s="148" t="str">
        <f>IF(E585="A",".98",IF(E585="B",".99",IF(E585="C","1.00",IF(E585="D","1.00" ))))</f>
        <v>1.00</v>
      </c>
      <c r="BZ585" s="127">
        <f>(CE585+7)/10</f>
        <v>1</v>
      </c>
      <c r="CA585" s="76" t="str">
        <f>IF(D585="Fern",".97",IF(D585="Grass",".99",IF(D585="Herb",".97",IF(D585="Shrub",".99",IF(D585="Tree","1.00",IF(D585="Vine",".98"))))))</f>
        <v>.97</v>
      </c>
      <c r="CB585" s="149" t="str">
        <f>IF(R585="Bogs Ponds Streams",".96", IF(R585="Coastal Areas",".97",IF(R585="Meadows Dry Open",".96",IF(R585="Forest &amp; Understory",".97",IF(R585="Moist Open",".98",IF(R585="Moist Shady",".96",IF(R585="Sub-Alpine","1.0")))))))</f>
        <v>.96</v>
      </c>
      <c r="CC585" s="76" t="str">
        <f>IF(S585="Local Endemic",".50",IF(S585="Regional Endemic",".70",IF(S585="Cascadia",".90",IF(S585="Rocky Mountain",".95",IF(S585="North America",".99")))))</f>
        <v>.95</v>
      </c>
      <c r="CD585" s="4"/>
      <c r="CE585" s="21">
        <f>IF(W585&gt;3,3,W585)</f>
        <v>3</v>
      </c>
      <c r="CF585" s="21">
        <f>IF(AC585&gt;102,102,AC585)</f>
        <v>12.2</v>
      </c>
      <c r="CG585" s="34">
        <f>IF(AI585&lt;$AW$4,$AW$4,AI585)</f>
        <v>2018</v>
      </c>
      <c r="CH585" s="34">
        <f>IF(AJ585&lt;$AW$4,$AW$4,AJ585)</f>
        <v>2018</v>
      </c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</row>
    <row r="586" spans="1:115" ht="15" customHeight="1" x14ac:dyDescent="0.3">
      <c r="A586" s="235"/>
      <c r="B586" s="218"/>
      <c r="C586" s="375">
        <v>1</v>
      </c>
      <c r="D586" s="68" t="s">
        <v>2505</v>
      </c>
      <c r="E586" s="67" t="s">
        <v>2501</v>
      </c>
      <c r="F586" s="403" t="str">
        <f ca="1">IF(BC586&lt;2025, "Extinct&lt; 6Yrs?",BA586)</f>
        <v>Widespread</v>
      </c>
      <c r="G586" s="376" t="s">
        <v>525</v>
      </c>
      <c r="H586" s="376" t="s">
        <v>4028</v>
      </c>
      <c r="I586" s="377" t="s">
        <v>2429</v>
      </c>
      <c r="J586" s="378" t="s">
        <v>2428</v>
      </c>
      <c r="K586" s="378" t="s">
        <v>2336</v>
      </c>
      <c r="L586" s="63" t="s">
        <v>2427</v>
      </c>
      <c r="M586" s="64" t="s">
        <v>4660</v>
      </c>
      <c r="N586" s="64" t="s">
        <v>5557</v>
      </c>
      <c r="O586" s="64" t="s">
        <v>6456</v>
      </c>
      <c r="P586" s="404" t="s">
        <v>180</v>
      </c>
      <c r="Q586" s="67" t="s">
        <v>2552</v>
      </c>
      <c r="R586" s="163" t="s">
        <v>2497</v>
      </c>
      <c r="S586" s="164" t="s">
        <v>2495</v>
      </c>
      <c r="T586" s="134" t="str">
        <f>IF(R586="Bogs Ponds Streams","20",IF(R586="Coastal Areas","26",IF(R586="Meadows Dry Open","10",IF(R586="Forest &amp; Understory","14",IF(R586="Moist Open","12",IF(R586="Moist Shady","10",IF(R586="Sub-Alpine Slopes","0")))))))</f>
        <v>12</v>
      </c>
      <c r="U586" s="134" t="str">
        <f>IF(R586="Bogs Ponds Streams","52",IF(R586="Coastal Areas","51",IF(R586="Meadows Dry Open","53",IF(R586="Forest &amp; Understory","52",IF(R586="Moist Open","50",IF(R586="Moist Shady","46",IF(R586="Sub-Alpine Slopes","40")))))))</f>
        <v>50</v>
      </c>
      <c r="V586" s="134" t="str">
        <f>IF(R586="Bogs Ponds Streams","84",IF(R586="Coastal Areas","76",IF(R586="Meadows Dry Open","96", IF(R586="Forest &amp; Understory","90", IF(R586="Moist Open","88", IF(R586="Moist Shady","82", IF(R586="Sub-Alpine Slopes","80")))))))</f>
        <v>88</v>
      </c>
      <c r="W586" s="67">
        <v>20</v>
      </c>
      <c r="X586" s="67">
        <v>0</v>
      </c>
      <c r="Y586" s="67">
        <v>3500</v>
      </c>
      <c r="Z586" s="67" t="s">
        <v>2519</v>
      </c>
      <c r="AA586" s="67" t="s">
        <v>2518</v>
      </c>
      <c r="AB586" s="67">
        <v>6.8</v>
      </c>
      <c r="AC586" s="85">
        <f>C586+AK586+(0.1)*AL586</f>
        <v>5</v>
      </c>
      <c r="AD586" s="78">
        <v>71</v>
      </c>
      <c r="AE586" s="68">
        <v>3</v>
      </c>
      <c r="AF586" s="68">
        <v>5</v>
      </c>
      <c r="AG586" s="78">
        <v>1936</v>
      </c>
      <c r="AH586" s="78">
        <v>0</v>
      </c>
      <c r="AI586" s="78">
        <v>2011</v>
      </c>
      <c r="AJ586" s="67">
        <v>2012</v>
      </c>
      <c r="AK586" s="67">
        <v>4</v>
      </c>
      <c r="AL586" s="67">
        <v>0</v>
      </c>
      <c r="AM586" s="70">
        <v>5</v>
      </c>
      <c r="AN586" s="70">
        <v>0</v>
      </c>
      <c r="AO586" s="86">
        <v>0</v>
      </c>
      <c r="AP586" s="70">
        <v>0</v>
      </c>
      <c r="AQ586" s="70">
        <v>0</v>
      </c>
      <c r="AR586" s="70">
        <v>0</v>
      </c>
      <c r="AS586" s="86">
        <v>0</v>
      </c>
      <c r="AT586" s="70">
        <v>0</v>
      </c>
      <c r="AU586" s="70">
        <v>0</v>
      </c>
      <c r="AV586" s="70">
        <v>0</v>
      </c>
      <c r="AW586" s="86">
        <v>0</v>
      </c>
      <c r="AX586" s="70">
        <v>0</v>
      </c>
      <c r="AY586" s="233"/>
      <c r="AZ586" s="11"/>
      <c r="BA586" s="35" t="str">
        <f>IF(OR(S586="North America",S586="Rocky Mountain"), "Widespread",BC586)</f>
        <v>Widespread</v>
      </c>
      <c r="BB586" s="11"/>
      <c r="BC586" s="35">
        <f ca="1">IF(BE586&gt;2046, "Abundant",BE586)</f>
        <v>2038.462772667855</v>
      </c>
      <c r="BD586" s="11"/>
      <c r="BE586" s="81">
        <f ca="1">YEAR($C$13)+(BG586*80)</f>
        <v>2038.462772667855</v>
      </c>
      <c r="BF586" s="11"/>
      <c r="BG586" s="137">
        <f ca="1">BH586*$BH$14</f>
        <v>0.24328465834818774</v>
      </c>
      <c r="BH586" s="137">
        <f ca="1">(((BJ586+BK586+BM586+BN586)/4)*$BM$11)+(((BP586+BQ586)/2)*$BQ$11)+(((BU586+BV586+BW586)/3)*$BU$11)+(((BY586+BZ586+CA586+CB586+CC586)/5)*$CA$11)</f>
        <v>0.24328465834818774</v>
      </c>
      <c r="BI586" s="11"/>
      <c r="BJ586" s="33">
        <f>AP586/(AM586+AO586)</f>
        <v>0</v>
      </c>
      <c r="BK586" s="33">
        <f>(AN586+AO586)/(AM586+AO586)</f>
        <v>0</v>
      </c>
      <c r="BL586" s="11"/>
      <c r="BM586" s="127">
        <f>CF586/102</f>
        <v>4.9019607843137254E-2</v>
      </c>
      <c r="BN586" s="127">
        <f>C586/2</f>
        <v>0.5</v>
      </c>
      <c r="BO586" s="11"/>
      <c r="BP586" s="127">
        <f>(AK586)/($AW$6)</f>
        <v>4.0404040404040407E-2</v>
      </c>
      <c r="BQ586" s="127">
        <f ca="1">(CH586-$AW$4)/((YEAR($C$13))-$AW$4)</f>
        <v>0.53333333333333333</v>
      </c>
      <c r="BR586" s="127">
        <f>(AL586)/($AW$6)</f>
        <v>0</v>
      </c>
      <c r="BS586" s="11"/>
      <c r="BT586" s="127"/>
      <c r="BU586" s="127">
        <f ca="1">(CG586-$AW$4)/((YEAR($C$13))-$AW$4)</f>
        <v>0.46666666666666667</v>
      </c>
      <c r="BV586" s="127">
        <f>AE586/5</f>
        <v>0.6</v>
      </c>
      <c r="BW586" s="127">
        <f>AF586/5</f>
        <v>1</v>
      </c>
      <c r="BX586" s="11"/>
      <c r="BY586" s="148" t="str">
        <f>IF(E586="A",".98",IF(E586="B",".99",IF(E586="C","1.00",IF(E586="D","1.00" ))))</f>
        <v>1.00</v>
      </c>
      <c r="BZ586" s="127">
        <f>(CE586+7)/10</f>
        <v>1</v>
      </c>
      <c r="CA586" s="76" t="str">
        <f>IF(D586="Fern",".97",IF(D586="Grass",".99",IF(D586="Herb",".97",IF(D586="Shrub",".99",IF(D586="Tree","1.00",IF(D586="Vine",".98"))))))</f>
        <v>.97</v>
      </c>
      <c r="CB586" s="149" t="str">
        <f>IF(R586="Bogs Ponds Streams",".96", IF(R586="Coastal Areas",".97",IF(R586="Meadows Dry Open",".96",IF(R586="Forest &amp; Understory",".97",IF(R586="Moist Open",".98",IF(R586="Moist Shady",".96",IF(R586="Sub-Alpine","1.0")))))))</f>
        <v>.98</v>
      </c>
      <c r="CC586" s="76" t="str">
        <f>IF(S586="Local Endemic",".50",IF(S586="Regional Endemic",".70",IF(S586="Cascadia",".90",IF(S586="Rocky Mountain",".95",IF(S586="North America",".99")))))</f>
        <v>.99</v>
      </c>
      <c r="CD586" s="11"/>
      <c r="CE586" s="21">
        <f>IF(W586&gt;3,3,W586)</f>
        <v>3</v>
      </c>
      <c r="CF586" s="21">
        <f>IF(AC586&gt;102,102,AC586)</f>
        <v>5</v>
      </c>
      <c r="CG586" s="34">
        <f>IF(AI586&lt;$AW$4,$AW$4,AI586)</f>
        <v>2011</v>
      </c>
      <c r="CH586" s="34">
        <f>IF(AJ586&lt;$AW$4,$AW$4,AJ586)</f>
        <v>2012</v>
      </c>
      <c r="CI586" s="11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11"/>
      <c r="DC586" s="11"/>
      <c r="DD586" s="11"/>
      <c r="DE586" s="11"/>
      <c r="DF586" s="11"/>
      <c r="DG586" s="11"/>
      <c r="DH586" s="11"/>
      <c r="DI586" s="11"/>
      <c r="DJ586" s="11"/>
    </row>
    <row r="587" spans="1:115" ht="15" customHeight="1" x14ac:dyDescent="0.3">
      <c r="A587" s="235"/>
      <c r="B587" s="218"/>
      <c r="C587" s="225">
        <v>8</v>
      </c>
      <c r="D587" s="59" t="s">
        <v>2506</v>
      </c>
      <c r="E587" s="59" t="s">
        <v>2504</v>
      </c>
      <c r="F587" s="397" t="str">
        <f ca="1">IF(BC587&lt;2025, "Extinct&lt; 6Yrs?",BA587)</f>
        <v>Widespread</v>
      </c>
      <c r="G587" s="363" t="s">
        <v>525</v>
      </c>
      <c r="H587" s="363" t="s">
        <v>679</v>
      </c>
      <c r="I587" s="366" t="s">
        <v>179</v>
      </c>
      <c r="J587" s="365" t="s">
        <v>3439</v>
      </c>
      <c r="K587" s="365" t="s">
        <v>1074</v>
      </c>
      <c r="L587" s="10" t="s">
        <v>1606</v>
      </c>
      <c r="M587" s="8" t="s">
        <v>4661</v>
      </c>
      <c r="N587" s="8" t="s">
        <v>5558</v>
      </c>
      <c r="O587" s="8" t="s">
        <v>6457</v>
      </c>
      <c r="P587" s="9" t="s">
        <v>180</v>
      </c>
      <c r="Q587" s="59" t="s">
        <v>2552</v>
      </c>
      <c r="R587" s="9" t="s">
        <v>2500</v>
      </c>
      <c r="S587" s="9" t="s">
        <v>2479</v>
      </c>
      <c r="T587" s="123" t="str">
        <f>IF(R587="Bogs Ponds Streams","20",IF(R587="Coastal Areas","26",IF(R587="Meadows Dry Open","10",IF(R587="Forest &amp; Understory","14",IF(R587="Moist Open","12",IF(R587="Moist Shady","10",IF(R587="Sub-Alpine Slopes","0")))))))</f>
        <v>10</v>
      </c>
      <c r="U587" s="123" t="str">
        <f>IF(R587="Bogs Ponds Streams","52",IF(R587="Coastal Areas","51",IF(R587="Meadows Dry Open","53",IF(R587="Forest &amp; Understory","52",IF(R587="Moist Open","50",IF(R587="Moist Shady","46",IF(R587="Sub-Alpine Slopes","40")))))))</f>
        <v>53</v>
      </c>
      <c r="V587" s="123" t="str">
        <f>IF(R587="Bogs Ponds Streams","84",IF(R587="Coastal Areas","76",IF(R587="Meadows Dry Open","96", IF(R587="Forest &amp; Understory","90", IF(R587="Moist Open","88", IF(R587="Moist Shady","82", IF(R587="Sub-Alpine Slopes","80")))))))</f>
        <v>96</v>
      </c>
      <c r="W587" s="59">
        <v>20</v>
      </c>
      <c r="X587" s="59">
        <v>0</v>
      </c>
      <c r="Y587" s="59">
        <v>3500</v>
      </c>
      <c r="Z587" s="59" t="s">
        <v>2519</v>
      </c>
      <c r="AA587" s="59" t="s">
        <v>2518</v>
      </c>
      <c r="AB587" s="59">
        <v>6.8</v>
      </c>
      <c r="AC587" s="45">
        <f>C587+AK587+(0.1)*AL587</f>
        <v>18</v>
      </c>
      <c r="AD587" s="77">
        <v>179</v>
      </c>
      <c r="AE587" s="59">
        <v>5</v>
      </c>
      <c r="AF587" s="59">
        <v>5</v>
      </c>
      <c r="AG587" s="59">
        <v>1900</v>
      </c>
      <c r="AH587" s="77">
        <v>0</v>
      </c>
      <c r="AI587" s="59">
        <f ca="1">AJ587</f>
        <v>2019</v>
      </c>
      <c r="AJ587" s="18">
        <f ca="1">YEAR(TODAY())</f>
        <v>2019</v>
      </c>
      <c r="AK587" s="18">
        <v>10</v>
      </c>
      <c r="AL587" s="18">
        <v>0</v>
      </c>
      <c r="AM587" s="18">
        <v>1</v>
      </c>
      <c r="AN587" s="18">
        <v>1</v>
      </c>
      <c r="AO587" s="24">
        <v>1</v>
      </c>
      <c r="AP587" s="24">
        <v>0</v>
      </c>
      <c r="AQ587" s="18">
        <v>0</v>
      </c>
      <c r="AR587" s="18">
        <v>0</v>
      </c>
      <c r="AS587" s="18">
        <v>0</v>
      </c>
      <c r="AT587" s="18">
        <v>0</v>
      </c>
      <c r="AU587" s="18">
        <v>0</v>
      </c>
      <c r="AV587" s="18">
        <v>0</v>
      </c>
      <c r="AW587" s="18">
        <v>0</v>
      </c>
      <c r="AX587" s="18">
        <v>0</v>
      </c>
      <c r="AY587" s="233"/>
      <c r="AZ587" s="4"/>
      <c r="BA587" s="35" t="str">
        <f>IF(OR(S587="North America",S587="Rocky Mountain"), "Widespread",BC587)</f>
        <v>Widespread</v>
      </c>
      <c r="BB587" s="4"/>
      <c r="BC587" s="35" t="str">
        <f ca="1">IF(BE587&gt;2046, "Abundant",BE587)</f>
        <v>Abundant</v>
      </c>
      <c r="BD587" s="4"/>
      <c r="BE587" s="81">
        <f ca="1">YEAR($C$13)+(BG587*80)</f>
        <v>2102.2977682709447</v>
      </c>
      <c r="BF587" s="4"/>
      <c r="BG587" s="137">
        <f ca="1">BH587*$BH$14</f>
        <v>1.0412221033868094</v>
      </c>
      <c r="BH587" s="137">
        <f ca="1">(((BJ587+BK587+BM587+BN587)/4)*$BM$11)+(((BP587+BQ587)/2)*$BQ$11)+(((BU587+BV587+BW587)/3)*$BU$11)+(((BY587+BZ587+CA587+CB587+CC587)/5)*$CA$11)</f>
        <v>1.0412221033868094</v>
      </c>
      <c r="BI587" s="4"/>
      <c r="BJ587" s="33">
        <f>AP587/(AM587+AO587)</f>
        <v>0</v>
      </c>
      <c r="BK587" s="33">
        <f>(AN587+AO587)/(AM587+AO587)</f>
        <v>1</v>
      </c>
      <c r="BL587" s="4"/>
      <c r="BM587" s="127">
        <f>CF587/102</f>
        <v>0.17647058823529413</v>
      </c>
      <c r="BN587" s="127">
        <f>C587/2</f>
        <v>4</v>
      </c>
      <c r="BO587" s="4"/>
      <c r="BP587" s="127">
        <f>(AK587)/($AW$6)</f>
        <v>0.10101010101010101</v>
      </c>
      <c r="BQ587" s="127">
        <f ca="1">(CH587-$AW$4)/((YEAR($C$13))-$AW$4)</f>
        <v>1</v>
      </c>
      <c r="BR587" s="127">
        <f>(AL587)/($AW$6)</f>
        <v>0</v>
      </c>
      <c r="BS587" s="4"/>
      <c r="BT587" s="127"/>
      <c r="BU587" s="127">
        <f ca="1">(CG587-$AW$4)/((YEAR($C$13))-$AW$4)</f>
        <v>1</v>
      </c>
      <c r="BV587" s="127">
        <f>AE587/5</f>
        <v>1</v>
      </c>
      <c r="BW587" s="127">
        <f>AF587/5</f>
        <v>1</v>
      </c>
      <c r="BX587" s="4"/>
      <c r="BY587" s="148" t="str">
        <f>IF(E587="A",".98",IF(E587="B",".99",IF(E587="C","1.00",IF(E587="D","1.00" ))))</f>
        <v>1.00</v>
      </c>
      <c r="BZ587" s="127">
        <f>(CE587+7)/10</f>
        <v>1</v>
      </c>
      <c r="CA587" s="76" t="str">
        <f>IF(D587="Fern",".97",IF(D587="Grass",".99",IF(D587="Herb",".97",IF(D587="Shrub",".99",IF(D587="Tree","1.00",IF(D587="Vine",".98"))))))</f>
        <v>.99</v>
      </c>
      <c r="CB587" s="149" t="str">
        <f>IF(R587="Bogs Ponds Streams",".96", IF(R587="Coastal Areas",".97",IF(R587="Meadows Dry Open",".96",IF(R587="Forest &amp; Understory",".97",IF(R587="Moist Open",".98",IF(R587="Moist Shady",".96",IF(R587="Sub-Alpine","1.0")))))))</f>
        <v>.96</v>
      </c>
      <c r="CC587" s="76" t="str">
        <f>IF(S587="Local Endemic",".50",IF(S587="Regional Endemic",".70",IF(S587="Cascadia",".90",IF(S587="Rocky Mountain",".95",IF(S587="North America",".99")))))</f>
        <v>.95</v>
      </c>
      <c r="CD587" s="4"/>
      <c r="CE587" s="21">
        <f>IF(W587&gt;3,3,W587)</f>
        <v>3</v>
      </c>
      <c r="CF587" s="21">
        <f>IF(AC587&gt;102,102,AC587)</f>
        <v>18</v>
      </c>
      <c r="CG587" s="34">
        <f ca="1">IF(AI587&lt;$AW$4,$AW$4,AI587)</f>
        <v>2019</v>
      </c>
      <c r="CH587" s="34">
        <f ca="1">IF(AJ587&lt;$AW$4,$AW$4,AJ587)</f>
        <v>2019</v>
      </c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</row>
    <row r="588" spans="1:115" ht="15" customHeight="1" x14ac:dyDescent="0.3">
      <c r="A588" s="235"/>
      <c r="B588" s="218"/>
      <c r="C588" s="226">
        <v>2</v>
      </c>
      <c r="D588" s="104" t="s">
        <v>2505</v>
      </c>
      <c r="E588" s="104" t="s">
        <v>2502</v>
      </c>
      <c r="F588" s="400" t="str">
        <f ca="1">IF(BC588&lt;2025, "Extinct&lt; 6Yrs?",BA588)</f>
        <v>Abundant</v>
      </c>
      <c r="G588" s="369" t="s">
        <v>525</v>
      </c>
      <c r="H588" s="369" t="s">
        <v>4028</v>
      </c>
      <c r="I588" s="372" t="s">
        <v>2684</v>
      </c>
      <c r="J588" s="371" t="s">
        <v>3728</v>
      </c>
      <c r="K588" s="371" t="s">
        <v>1075</v>
      </c>
      <c r="L588" s="106" t="s">
        <v>2215</v>
      </c>
      <c r="M588" s="111" t="s">
        <v>4662</v>
      </c>
      <c r="N588" s="111" t="s">
        <v>5559</v>
      </c>
      <c r="O588" s="111" t="s">
        <v>6458</v>
      </c>
      <c r="P588" s="105" t="s">
        <v>361</v>
      </c>
      <c r="Q588" s="104" t="s">
        <v>2552</v>
      </c>
      <c r="R588" s="105" t="s">
        <v>2498</v>
      </c>
      <c r="S588" s="105" t="s">
        <v>2459</v>
      </c>
      <c r="T588" s="133" t="str">
        <f>IF(R588="Bogs Ponds Streams","20",IF(R588="Coastal Areas","26",IF(R588="Meadows Dry Open","10",IF(R588="Forest &amp; Understory","14",IF(R588="Moist Open","12",IF(R588="Moist Shady","10",IF(R588="Sub-Alpine Slopes","0")))))))</f>
        <v>10</v>
      </c>
      <c r="U588" s="133" t="str">
        <f>IF(R588="Bogs Ponds Streams","52",IF(R588="Coastal Areas","51",IF(R588="Meadows Dry Open","53",IF(R588="Forest &amp; Understory","52",IF(R588="Moist Open","50",IF(R588="Moist Shady","46",IF(R588="Sub-Alpine Slopes","40")))))))</f>
        <v>46</v>
      </c>
      <c r="V588" s="133" t="str">
        <f>IF(R588="Bogs Ponds Streams","84",IF(R588="Coastal Areas","76",IF(R588="Meadows Dry Open","96", IF(R588="Forest &amp; Understory","90", IF(R588="Moist Open","88", IF(R588="Moist Shady","82", IF(R588="Sub-Alpine Slopes","80")))))))</f>
        <v>82</v>
      </c>
      <c r="W588" s="104">
        <v>1</v>
      </c>
      <c r="X588" s="104">
        <v>0</v>
      </c>
      <c r="Y588" s="104">
        <v>3500</v>
      </c>
      <c r="Z588" s="104" t="s">
        <v>2519</v>
      </c>
      <c r="AA588" s="104" t="s">
        <v>2518</v>
      </c>
      <c r="AB588" s="104">
        <v>6.8</v>
      </c>
      <c r="AC588" s="107">
        <f>C587+AK588+(0.1)*AL588</f>
        <v>33.299999999999997</v>
      </c>
      <c r="AD588" s="113">
        <v>86</v>
      </c>
      <c r="AE588" s="104">
        <v>5</v>
      </c>
      <c r="AF588" s="104">
        <v>5</v>
      </c>
      <c r="AG588" s="104">
        <v>1900</v>
      </c>
      <c r="AH588" s="113">
        <v>0</v>
      </c>
      <c r="AI588" s="104">
        <f>AJ588</f>
        <v>2018</v>
      </c>
      <c r="AJ588" s="108">
        <v>2018</v>
      </c>
      <c r="AK588" s="108">
        <v>22</v>
      </c>
      <c r="AL588" s="108">
        <v>33</v>
      </c>
      <c r="AM588" s="109">
        <v>5</v>
      </c>
      <c r="AN588" s="109">
        <v>2</v>
      </c>
      <c r="AO588" s="109">
        <v>2</v>
      </c>
      <c r="AP588" s="109">
        <v>2</v>
      </c>
      <c r="AQ588" s="109">
        <v>0</v>
      </c>
      <c r="AR588" s="109">
        <v>0</v>
      </c>
      <c r="AS588" s="110">
        <v>0</v>
      </c>
      <c r="AT588" s="109">
        <v>0</v>
      </c>
      <c r="AU588" s="109">
        <v>0</v>
      </c>
      <c r="AV588" s="109">
        <v>0</v>
      </c>
      <c r="AW588" s="110">
        <v>0</v>
      </c>
      <c r="AX588" s="109">
        <v>0</v>
      </c>
      <c r="AY588" s="233"/>
      <c r="AZ588" s="4"/>
      <c r="BA588" s="35" t="str">
        <f ca="1">IF(OR(S588="North America",S588="Rocky Mountain"), "Widespread",BC588)</f>
        <v>Abundant</v>
      </c>
      <c r="BB588" s="4"/>
      <c r="BC588" s="35" t="str">
        <f ca="1">IF(BE588&gt;2046, "Abundant",BE588)</f>
        <v>Abundant</v>
      </c>
      <c r="BD588" s="4"/>
      <c r="BE588" s="81">
        <f ca="1">YEAR($C$13)+(BG588*80)</f>
        <v>2102.8030057889823</v>
      </c>
      <c r="BF588" s="4"/>
      <c r="BG588" s="137">
        <f ca="1">BH588*$BH$14</f>
        <v>1.0475375723622784</v>
      </c>
      <c r="BH588" s="137">
        <f ca="1">(((BJ588+BK588+BM588+BN588)/4)*$BM$11)+(((BP588+BQ588)/2)*$BQ$11)+(((BU588+BV588+BW588)/3)*$BU$11)+(((BY588+BZ588+CA588+CB588+CC588)/5)*$CA$11)</f>
        <v>1.0475375723622784</v>
      </c>
      <c r="BI588" s="4"/>
      <c r="BJ588" s="33">
        <f>AP588/(AM588+AO588)</f>
        <v>0.2857142857142857</v>
      </c>
      <c r="BK588" s="33">
        <f>(AN588+AO588)/(AM588+AO588)</f>
        <v>0.5714285714285714</v>
      </c>
      <c r="BL588" s="4"/>
      <c r="BM588" s="127">
        <f>CF588/102</f>
        <v>0.32647058823529407</v>
      </c>
      <c r="BN588" s="127">
        <f>C587/2</f>
        <v>4</v>
      </c>
      <c r="BO588" s="4"/>
      <c r="BP588" s="127">
        <f>(AK588)/($AW$6)</f>
        <v>0.22222222222222221</v>
      </c>
      <c r="BQ588" s="127">
        <f ca="1">(CH588-$AW$4)/((YEAR($C$13))-$AW$4)</f>
        <v>0.93333333333333335</v>
      </c>
      <c r="BR588" s="127">
        <f>(AL588)/($AW$6)</f>
        <v>0.33333333333333331</v>
      </c>
      <c r="BS588" s="4"/>
      <c r="BT588" s="127"/>
      <c r="BU588" s="127">
        <f ca="1">(CG588-$AW$4)/((YEAR($C$13))-$AW$4)</f>
        <v>0.93333333333333335</v>
      </c>
      <c r="BV588" s="127">
        <f>AE588/5</f>
        <v>1</v>
      </c>
      <c r="BW588" s="127">
        <f>AF588/5</f>
        <v>1</v>
      </c>
      <c r="BX588" s="4"/>
      <c r="BY588" s="148" t="str">
        <f>IF(E588="A",".98",IF(E588="B",".99",IF(E588="C","1.00",IF(E588="D","1.00" ))))</f>
        <v>.98</v>
      </c>
      <c r="BZ588" s="127">
        <f>(CE588+7)/10</f>
        <v>0.8</v>
      </c>
      <c r="CA588" s="76" t="str">
        <f>IF(D588="Fern",".97",IF(D588="Grass",".99",IF(D588="Herb",".97",IF(D588="Shrub",".99",IF(D588="Tree","1.00",IF(D588="Vine",".98"))))))</f>
        <v>.97</v>
      </c>
      <c r="CB588" s="149" t="str">
        <f>IF(R588="Bogs Ponds Streams",".96", IF(R588="Coastal Areas",".97",IF(R588="Meadows Dry Open",".96",IF(R588="Forest &amp; Understory",".97",IF(R588="Moist Open",".98",IF(R588="Moist Shady",".96",IF(R588="Sub-Alpine","1.0")))))))</f>
        <v>.96</v>
      </c>
      <c r="CC588" s="76" t="str">
        <f>IF(S588="Local Endemic",".50",IF(S588="Regional Endemic",".70",IF(S588="Cascadia",".90",IF(S588="Rocky Mountain",".95",IF(S588="North America",".99")))))</f>
        <v>.90</v>
      </c>
      <c r="CD588" s="4"/>
      <c r="CE588" s="21">
        <f>IF(W588&gt;3,3,W588)</f>
        <v>1</v>
      </c>
      <c r="CF588" s="21">
        <f>IF(AC588&gt;102,102,AC588)</f>
        <v>33.299999999999997</v>
      </c>
      <c r="CG588" s="34">
        <f>IF(AI588&lt;$AW$4,$AW$4,AI588)</f>
        <v>2018</v>
      </c>
      <c r="CH588" s="34">
        <f>IF(AJ588&lt;$AW$4,$AW$4,AJ588)</f>
        <v>2018</v>
      </c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</row>
    <row r="589" spans="1:115" ht="15" customHeight="1" x14ac:dyDescent="0.3">
      <c r="A589" s="235"/>
      <c r="B589" s="218"/>
      <c r="C589" s="226">
        <v>2</v>
      </c>
      <c r="D589" s="104" t="s">
        <v>2505</v>
      </c>
      <c r="E589" s="104" t="s">
        <v>2501</v>
      </c>
      <c r="F589" s="400" t="str">
        <f ca="1">IF(BC589&lt;2025, "Extinct&lt; 6Yrs?",BA589)</f>
        <v>Abundant</v>
      </c>
      <c r="G589" s="369" t="s">
        <v>525</v>
      </c>
      <c r="H589" s="369" t="s">
        <v>4028</v>
      </c>
      <c r="I589" s="372" t="s">
        <v>2685</v>
      </c>
      <c r="J589" s="371" t="s">
        <v>3727</v>
      </c>
      <c r="K589" s="371" t="s">
        <v>1251</v>
      </c>
      <c r="L589" s="106" t="s">
        <v>2216</v>
      </c>
      <c r="M589" s="111" t="s">
        <v>4663</v>
      </c>
      <c r="N589" s="111" t="s">
        <v>5560</v>
      </c>
      <c r="O589" s="111" t="s">
        <v>6459</v>
      </c>
      <c r="P589" s="105" t="s">
        <v>361</v>
      </c>
      <c r="Q589" s="104" t="s">
        <v>2552</v>
      </c>
      <c r="R589" s="105" t="s">
        <v>2530</v>
      </c>
      <c r="S589" s="105" t="s">
        <v>2459</v>
      </c>
      <c r="T589" s="133" t="str">
        <f>IF(R589="Bogs Ponds Streams","20",IF(R589="Coastal Areas","26",IF(R589="Meadows Dry Open","10",IF(R589="Forest &amp; Understory","14",IF(R589="Moist Open","12",IF(R589="Moist Shady","10",IF(R589="Sub-Alpine Slopes","0")))))))</f>
        <v>14</v>
      </c>
      <c r="U589" s="133" t="str">
        <f>IF(R589="Bogs Ponds Streams","52",IF(R589="Coastal Areas","51",IF(R589="Meadows Dry Open","53",IF(R589="Forest &amp; Understory","52",IF(R589="Moist Open","50",IF(R589="Moist Shady","46",IF(R589="Sub-Alpine Slopes","40")))))))</f>
        <v>52</v>
      </c>
      <c r="V589" s="133" t="str">
        <f>IF(R589="Bogs Ponds Streams","84",IF(R589="Coastal Areas","76",IF(R589="Meadows Dry Open","96", IF(R589="Forest &amp; Understory","90", IF(R589="Moist Open","88", IF(R589="Moist Shady","82", IF(R589="Sub-Alpine Slopes","80")))))))</f>
        <v>90</v>
      </c>
      <c r="W589" s="104">
        <v>20</v>
      </c>
      <c r="X589" s="104">
        <v>0</v>
      </c>
      <c r="Y589" s="104">
        <v>3500</v>
      </c>
      <c r="Z589" s="104" t="s">
        <v>2519</v>
      </c>
      <c r="AA589" s="104" t="s">
        <v>2518</v>
      </c>
      <c r="AB589" s="104">
        <v>6.8</v>
      </c>
      <c r="AC589" s="107">
        <f>C589+AK589+(0.1)*AL589</f>
        <v>12</v>
      </c>
      <c r="AD589" s="113">
        <v>30</v>
      </c>
      <c r="AE589" s="104">
        <v>5</v>
      </c>
      <c r="AF589" s="104">
        <v>5</v>
      </c>
      <c r="AG589" s="104">
        <v>1900</v>
      </c>
      <c r="AH589" s="113">
        <v>0</v>
      </c>
      <c r="AI589" s="104">
        <f ca="1">AJ589</f>
        <v>2019</v>
      </c>
      <c r="AJ589" s="108">
        <f ca="1">YEAR(TODAY())</f>
        <v>2019</v>
      </c>
      <c r="AK589" s="108">
        <v>10</v>
      </c>
      <c r="AL589" s="108">
        <v>0</v>
      </c>
      <c r="AM589" s="108">
        <v>1</v>
      </c>
      <c r="AN589" s="108">
        <v>1</v>
      </c>
      <c r="AO589" s="108">
        <v>5</v>
      </c>
      <c r="AP589" s="108">
        <v>1</v>
      </c>
      <c r="AQ589" s="108">
        <v>0</v>
      </c>
      <c r="AR589" s="108">
        <v>0</v>
      </c>
      <c r="AS589" s="108">
        <v>0</v>
      </c>
      <c r="AT589" s="108">
        <v>0</v>
      </c>
      <c r="AU589" s="108">
        <v>0</v>
      </c>
      <c r="AV589" s="108">
        <v>0</v>
      </c>
      <c r="AW589" s="108">
        <v>0</v>
      </c>
      <c r="AX589" s="108">
        <v>0</v>
      </c>
      <c r="AY589" s="233"/>
      <c r="AZ589" s="4"/>
      <c r="BA589" s="35" t="str">
        <f ca="1">IF(OR(S589="North America",S589="Rocky Mountain"), "Widespread",BC589)</f>
        <v>Abundant</v>
      </c>
      <c r="BB589" s="4"/>
      <c r="BC589" s="35" t="str">
        <f ca="1">IF(BE589&gt;2046, "Abundant",BE589)</f>
        <v>Abundant</v>
      </c>
      <c r="BD589" s="4"/>
      <c r="BE589" s="81">
        <f ca="1">YEAR($C$13)+(BG589*80)</f>
        <v>2067.5726859180036</v>
      </c>
      <c r="BF589" s="4"/>
      <c r="BG589" s="137">
        <f ca="1">BH589*$BH$14</f>
        <v>0.60715857397504447</v>
      </c>
      <c r="BH589" s="137">
        <f ca="1">(((BJ589+BK589+BM589+BN589)/4)*$BM$11)+(((BP589+BQ589)/2)*$BQ$11)+(((BU589+BV589+BW589)/3)*$BU$11)+(((BY589+BZ589+CA589+CB589+CC589)/5)*$CA$11)</f>
        <v>0.60715857397504447</v>
      </c>
      <c r="BI589" s="4"/>
      <c r="BJ589" s="33">
        <f>AP589/(AM589+AO589)</f>
        <v>0.16666666666666666</v>
      </c>
      <c r="BK589" s="33">
        <f>(AN589+AO589)/(AM589+AO589)</f>
        <v>1</v>
      </c>
      <c r="BL589" s="4"/>
      <c r="BM589" s="127">
        <f>CF589/102</f>
        <v>0.11764705882352941</v>
      </c>
      <c r="BN589" s="127">
        <f>C589/2</f>
        <v>1</v>
      </c>
      <c r="BO589" s="4"/>
      <c r="BP589" s="127">
        <f>(AK589)/($AW$6)</f>
        <v>0.10101010101010101</v>
      </c>
      <c r="BQ589" s="127">
        <f ca="1">(CH589-$AW$4)/((YEAR($C$13))-$AW$4)</f>
        <v>1</v>
      </c>
      <c r="BR589" s="127">
        <f>(AL589)/($AW$6)</f>
        <v>0</v>
      </c>
      <c r="BS589" s="4"/>
      <c r="BT589" s="127"/>
      <c r="BU589" s="127">
        <f ca="1">(CG589-$AW$4)/((YEAR($C$13))-$AW$4)</f>
        <v>1</v>
      </c>
      <c r="BV589" s="127">
        <f>AE589/5</f>
        <v>1</v>
      </c>
      <c r="BW589" s="127">
        <f>AF589/5</f>
        <v>1</v>
      </c>
      <c r="BX589" s="4"/>
      <c r="BY589" s="148" t="str">
        <f>IF(E589="A",".98",IF(E589="B",".99",IF(E589="C","1.00",IF(E589="D","1.00" ))))</f>
        <v>1.00</v>
      </c>
      <c r="BZ589" s="127">
        <f>(CE589+7)/10</f>
        <v>1</v>
      </c>
      <c r="CA589" s="76" t="str">
        <f>IF(D589="Fern",".97",IF(D589="Grass",".99",IF(D589="Herb",".97",IF(D589="Shrub",".99",IF(D589="Tree","1.00",IF(D589="Vine",".98"))))))</f>
        <v>.97</v>
      </c>
      <c r="CB589" s="149" t="str">
        <f>IF(R589="Bogs Ponds Streams",".96", IF(R589="Coastal Areas",".97",IF(R589="Meadows Dry Open",".96",IF(R589="Forest &amp; Understory",".97",IF(R589="Moist Open",".98",IF(R589="Moist Shady",".96",IF(R589="Sub-Alpine","1.0")))))))</f>
        <v>.97</v>
      </c>
      <c r="CC589" s="76" t="str">
        <f>IF(S589="Local Endemic",".50",IF(S589="Regional Endemic",".70",IF(S589="Cascadia",".90",IF(S589="Rocky Mountain",".95",IF(S589="North America",".99")))))</f>
        <v>.90</v>
      </c>
      <c r="CD589" s="4"/>
      <c r="CE589" s="21">
        <f>IF(W589&gt;3,3,W589)</f>
        <v>3</v>
      </c>
      <c r="CF589" s="21">
        <f>IF(AC589&gt;102,102,AC589)</f>
        <v>12</v>
      </c>
      <c r="CG589" s="34">
        <f ca="1">IF(AI589&lt;$AW$4,$AW$4,AI589)</f>
        <v>2019</v>
      </c>
      <c r="CH589" s="34">
        <f ca="1">IF(AJ589&lt;$AW$4,$AW$4,AJ589)</f>
        <v>2019</v>
      </c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13"/>
    </row>
    <row r="590" spans="1:115" ht="15" customHeight="1" x14ac:dyDescent="0.3">
      <c r="A590" s="235"/>
      <c r="B590" s="218"/>
      <c r="C590" s="225">
        <v>8</v>
      </c>
      <c r="D590" s="59" t="s">
        <v>2505</v>
      </c>
      <c r="E590" s="59" t="s">
        <v>2501</v>
      </c>
      <c r="F590" s="397" t="str">
        <f ca="1">IF(BC590&lt;2025, "Extinct&lt; 6Yrs?",BA590)</f>
        <v>Widespread</v>
      </c>
      <c r="G590" s="363" t="s">
        <v>525</v>
      </c>
      <c r="H590" s="363" t="s">
        <v>681</v>
      </c>
      <c r="I590" s="364" t="s">
        <v>2686</v>
      </c>
      <c r="J590" s="9" t="s">
        <v>3440</v>
      </c>
      <c r="K590" s="365" t="s">
        <v>1078</v>
      </c>
      <c r="L590" s="17" t="s">
        <v>2217</v>
      </c>
      <c r="M590" s="8" t="s">
        <v>4664</v>
      </c>
      <c r="N590" s="8" t="s">
        <v>5561</v>
      </c>
      <c r="O590" s="8" t="s">
        <v>6460</v>
      </c>
      <c r="P590" s="398" t="s">
        <v>667</v>
      </c>
      <c r="Q590" s="59" t="s">
        <v>2552</v>
      </c>
      <c r="R590" s="9" t="s">
        <v>2498</v>
      </c>
      <c r="S590" s="9" t="s">
        <v>2479</v>
      </c>
      <c r="T590" s="123" t="str">
        <f>IF(R590="Bogs Ponds Streams","20",IF(R590="Coastal Areas","26",IF(R590="Meadows Dry Open","10",IF(R590="Forest &amp; Understory","14",IF(R590="Moist Open","12",IF(R590="Moist Shady","10",IF(R590="Sub-Alpine Slopes","0")))))))</f>
        <v>10</v>
      </c>
      <c r="U590" s="123" t="str">
        <f>IF(R590="Bogs Ponds Streams","52",IF(R590="Coastal Areas","51",IF(R590="Meadows Dry Open","53",IF(R590="Forest &amp; Understory","52",IF(R590="Moist Open","50",IF(R590="Moist Shady","46",IF(R590="Sub-Alpine Slopes","40")))))))</f>
        <v>46</v>
      </c>
      <c r="V590" s="123" t="str">
        <f>IF(R590="Bogs Ponds Streams","84",IF(R590="Coastal Areas","76",IF(R590="Meadows Dry Open","96", IF(R590="Forest &amp; Understory","90", IF(R590="Moist Open","88", IF(R590="Moist Shady","82", IF(R590="Sub-Alpine Slopes","80")))))))</f>
        <v>82</v>
      </c>
      <c r="W590" s="59">
        <v>20</v>
      </c>
      <c r="X590" s="59">
        <v>0</v>
      </c>
      <c r="Y590" s="59">
        <v>3500</v>
      </c>
      <c r="Z590" s="59" t="s">
        <v>2519</v>
      </c>
      <c r="AA590" s="59" t="s">
        <v>2518</v>
      </c>
      <c r="AB590" s="59">
        <v>6.8</v>
      </c>
      <c r="AC590" s="45">
        <f>C590+AK590+(0.1)*AL590</f>
        <v>19.2</v>
      </c>
      <c r="AD590" s="77">
        <v>202</v>
      </c>
      <c r="AE590" s="59">
        <v>5</v>
      </c>
      <c r="AF590" s="59">
        <v>5</v>
      </c>
      <c r="AG590" s="59">
        <v>1900</v>
      </c>
      <c r="AH590" s="77">
        <v>0</v>
      </c>
      <c r="AI590" s="59">
        <f ca="1">AJ590</f>
        <v>2019</v>
      </c>
      <c r="AJ590" s="18">
        <f ca="1">YEAR(TODAY())</f>
        <v>2019</v>
      </c>
      <c r="AK590" s="18">
        <v>9</v>
      </c>
      <c r="AL590" s="18">
        <v>22</v>
      </c>
      <c r="AM590" s="18">
        <v>1</v>
      </c>
      <c r="AN590" s="18">
        <v>1</v>
      </c>
      <c r="AO590" s="24">
        <v>5</v>
      </c>
      <c r="AP590" s="24">
        <v>5</v>
      </c>
      <c r="AQ590" s="18">
        <v>0</v>
      </c>
      <c r="AR590" s="18">
        <v>0</v>
      </c>
      <c r="AS590" s="18">
        <v>0</v>
      </c>
      <c r="AT590" s="18">
        <v>0</v>
      </c>
      <c r="AU590" s="18">
        <v>0</v>
      </c>
      <c r="AV590" s="18">
        <v>0</v>
      </c>
      <c r="AW590" s="18">
        <v>0</v>
      </c>
      <c r="AX590" s="18">
        <v>0</v>
      </c>
      <c r="AY590" s="233"/>
      <c r="AZ590" s="4"/>
      <c r="BA590" s="35" t="str">
        <f>IF(OR(S590="North America",S590="Rocky Mountain"), "Widespread",BC590)</f>
        <v>Widespread</v>
      </c>
      <c r="BB590" s="4"/>
      <c r="BC590" s="35" t="str">
        <f ca="1">IF(BE590&gt;2046, "Abundant",BE590)</f>
        <v>Abundant</v>
      </c>
      <c r="BD590" s="4"/>
      <c r="BE590" s="81">
        <f ca="1">YEAR($C$13)+(BG590*80)</f>
        <v>2112.3113326203211</v>
      </c>
      <c r="BF590" s="4"/>
      <c r="BG590" s="137">
        <f ca="1">BH590*$BH$14</f>
        <v>1.1663916577540108</v>
      </c>
      <c r="BH590" s="137">
        <f ca="1">(((BJ590+BK590+BM590+BN590)/4)*$BM$11)+(((BP590+BQ590)/2)*$BQ$11)+(((BU590+BV590+BW590)/3)*$BU$11)+(((BY590+BZ590+CA590+CB590+CC590)/5)*$CA$11)</f>
        <v>1.1663916577540108</v>
      </c>
      <c r="BI590" s="4"/>
      <c r="BJ590" s="33">
        <f>AP590/(AM590+AO590)</f>
        <v>0.83333333333333337</v>
      </c>
      <c r="BK590" s="33">
        <f>(AN590+AO590)/(AM590+AO590)</f>
        <v>1</v>
      </c>
      <c r="BL590" s="4"/>
      <c r="BM590" s="127">
        <f>CF590/102</f>
        <v>0.18823529411764706</v>
      </c>
      <c r="BN590" s="127">
        <f>C590/2</f>
        <v>4</v>
      </c>
      <c r="BO590" s="4"/>
      <c r="BP590" s="127">
        <f>(AK590)/($AW$6)</f>
        <v>9.0909090909090912E-2</v>
      </c>
      <c r="BQ590" s="127">
        <f ca="1">(CH590-$AW$4)/((YEAR($C$13))-$AW$4)</f>
        <v>1</v>
      </c>
      <c r="BR590" s="127">
        <f>(AL590)/($AW$6)</f>
        <v>0.22222222222222221</v>
      </c>
      <c r="BS590" s="4"/>
      <c r="BT590" s="127"/>
      <c r="BU590" s="127">
        <f ca="1">(CG590-$AW$4)/((YEAR($C$13))-$AW$4)</f>
        <v>1</v>
      </c>
      <c r="BV590" s="127">
        <f>AE590/5</f>
        <v>1</v>
      </c>
      <c r="BW590" s="127">
        <f>AF590/5</f>
        <v>1</v>
      </c>
      <c r="BX590" s="4"/>
      <c r="BY590" s="148" t="str">
        <f>IF(E590="A",".98",IF(E590="B",".99",IF(E590="C","1.00",IF(E590="D","1.00" ))))</f>
        <v>1.00</v>
      </c>
      <c r="BZ590" s="127">
        <f>(CE590+7)/10</f>
        <v>1</v>
      </c>
      <c r="CA590" s="76" t="str">
        <f>IF(D590="Fern",".97",IF(D590="Grass",".99",IF(D590="Herb",".97",IF(D590="Shrub",".99",IF(D590="Tree","1.00",IF(D590="Vine",".98"))))))</f>
        <v>.97</v>
      </c>
      <c r="CB590" s="149" t="str">
        <f>IF(R590="Bogs Ponds Streams",".96", IF(R590="Coastal Areas",".97",IF(R590="Meadows Dry Open",".96",IF(R590="Forest &amp; Understory",".97",IF(R590="Moist Open",".98",IF(R590="Moist Shady",".96",IF(R590="Sub-Alpine","1.0")))))))</f>
        <v>.96</v>
      </c>
      <c r="CC590" s="76" t="str">
        <f>IF(S590="Local Endemic",".50",IF(S590="Regional Endemic",".70",IF(S590="Cascadia",".90",IF(S590="Rocky Mountain",".95",IF(S590="North America",".99")))))</f>
        <v>.95</v>
      </c>
      <c r="CD590" s="4"/>
      <c r="CE590" s="21">
        <f>IF(W590&gt;3,3,W590)</f>
        <v>3</v>
      </c>
      <c r="CF590" s="21">
        <f>IF(AC590&gt;102,102,AC590)</f>
        <v>19.2</v>
      </c>
      <c r="CG590" s="34">
        <f ca="1">IF(AI590&lt;$AW$4,$AW$4,AI590)</f>
        <v>2019</v>
      </c>
      <c r="CH590" s="34">
        <f ca="1">IF(AJ590&lt;$AW$4,$AW$4,AJ590)</f>
        <v>2019</v>
      </c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13"/>
    </row>
    <row r="591" spans="1:115" ht="15" customHeight="1" x14ac:dyDescent="0.3">
      <c r="A591" s="235"/>
      <c r="B591" s="218"/>
      <c r="C591" s="225">
        <v>8</v>
      </c>
      <c r="D591" s="59" t="s">
        <v>2505</v>
      </c>
      <c r="E591" s="59" t="s">
        <v>2501</v>
      </c>
      <c r="F591" s="397" t="str">
        <f ca="1">IF(BC591&lt;2025, "Extinct&lt; 6Yrs?",BA591)</f>
        <v>Abundant</v>
      </c>
      <c r="G591" s="363" t="s">
        <v>525</v>
      </c>
      <c r="H591" s="363" t="s">
        <v>691</v>
      </c>
      <c r="I591" s="366" t="s">
        <v>263</v>
      </c>
      <c r="J591" s="365" t="s">
        <v>3441</v>
      </c>
      <c r="K591" s="365" t="s">
        <v>1077</v>
      </c>
      <c r="L591" s="10" t="s">
        <v>1607</v>
      </c>
      <c r="M591" s="8" t="s">
        <v>4665</v>
      </c>
      <c r="N591" s="8" t="s">
        <v>5562</v>
      </c>
      <c r="O591" s="8" t="s">
        <v>6461</v>
      </c>
      <c r="P591" s="399" t="s">
        <v>672</v>
      </c>
      <c r="Q591" s="59" t="s">
        <v>2552</v>
      </c>
      <c r="R591" s="160" t="s">
        <v>2497</v>
      </c>
      <c r="S591" s="17" t="s">
        <v>2309</v>
      </c>
      <c r="T591" s="123" t="str">
        <f>IF(R591="Bogs Ponds Streams","20",IF(R591="Coastal Areas","26",IF(R591="Meadows Dry Open","10",IF(R591="Forest &amp; Understory","14",IF(R591="Moist Open","12",IF(R591="Moist Shady","10",IF(R591="Sub-Alpine Slopes","0")))))))</f>
        <v>12</v>
      </c>
      <c r="U591" s="123" t="str">
        <f>IF(R591="Bogs Ponds Streams","52",IF(R591="Coastal Areas","51",IF(R591="Meadows Dry Open","53",IF(R591="Forest &amp; Understory","52",IF(R591="Moist Open","50",IF(R591="Moist Shady","46",IF(R591="Sub-Alpine Slopes","40")))))))</f>
        <v>50</v>
      </c>
      <c r="V591" s="123" t="str">
        <f>IF(R591="Bogs Ponds Streams","84",IF(R591="Coastal Areas","76",IF(R591="Meadows Dry Open","96", IF(R591="Forest &amp; Understory","90", IF(R591="Moist Open","88", IF(R591="Moist Shady","82", IF(R591="Sub-Alpine Slopes","80")))))))</f>
        <v>88</v>
      </c>
      <c r="W591" s="59">
        <v>20</v>
      </c>
      <c r="X591" s="59">
        <v>0</v>
      </c>
      <c r="Y591" s="59">
        <v>3500</v>
      </c>
      <c r="Z591" s="59" t="s">
        <v>2519</v>
      </c>
      <c r="AA591" s="59" t="s">
        <v>2518</v>
      </c>
      <c r="AB591" s="59">
        <v>6.8</v>
      </c>
      <c r="AC591" s="45">
        <f>C591+AK591+(0.1)*AL591</f>
        <v>11.2</v>
      </c>
      <c r="AD591" s="77">
        <v>264</v>
      </c>
      <c r="AE591" s="59">
        <v>5</v>
      </c>
      <c r="AF591" s="59">
        <v>5</v>
      </c>
      <c r="AG591" s="59">
        <v>1900</v>
      </c>
      <c r="AH591" s="77">
        <v>0</v>
      </c>
      <c r="AI591" s="59">
        <f ca="1">AJ591</f>
        <v>2019</v>
      </c>
      <c r="AJ591" s="18">
        <f ca="1">YEAR(TODAY())</f>
        <v>2019</v>
      </c>
      <c r="AK591" s="18">
        <v>1</v>
      </c>
      <c r="AL591" s="18">
        <v>22</v>
      </c>
      <c r="AM591" s="18">
        <v>1</v>
      </c>
      <c r="AN591" s="18">
        <v>1</v>
      </c>
      <c r="AO591" s="18">
        <v>5</v>
      </c>
      <c r="AP591" s="18">
        <v>1</v>
      </c>
      <c r="AQ591" s="18">
        <v>0</v>
      </c>
      <c r="AR591" s="18">
        <v>0</v>
      </c>
      <c r="AS591" s="18">
        <v>0</v>
      </c>
      <c r="AT591" s="18">
        <v>0</v>
      </c>
      <c r="AU591" s="18">
        <v>0</v>
      </c>
      <c r="AV591" s="18">
        <v>0</v>
      </c>
      <c r="AW591" s="18">
        <v>0</v>
      </c>
      <c r="AX591" s="18">
        <v>0</v>
      </c>
      <c r="AY591" s="233"/>
      <c r="AZ591" s="4"/>
      <c r="BA591" s="35" t="str">
        <f ca="1">IF(OR(S591="North America",S591="Rocky Mountain"), "Widespread",BC591)</f>
        <v>Abundant</v>
      </c>
      <c r="BB591" s="4"/>
      <c r="BC591" s="35" t="str">
        <f ca="1">IF(BE591&gt;2046, "Abundant",BE591)</f>
        <v>Abundant</v>
      </c>
      <c r="BD591" s="4"/>
      <c r="BE591" s="81">
        <f ca="1">YEAR($C$13)+(BG591*80)</f>
        <v>2102.3268591800356</v>
      </c>
      <c r="BF591" s="4"/>
      <c r="BG591" s="137">
        <f ca="1">BH591*$BH$14</f>
        <v>1.0415857397504455</v>
      </c>
      <c r="BH591" s="137">
        <f ca="1">(((BJ591+BK591+BM591+BN591)/4)*$BM$11)+(((BP591+BQ591)/2)*$BQ$11)+(((BU591+BV591+BW591)/3)*$BU$11)+(((BY591+BZ591+CA591+CB591+CC591)/5)*$CA$11)</f>
        <v>1.0415857397504455</v>
      </c>
      <c r="BI591" s="4"/>
      <c r="BJ591" s="33">
        <f>AP591/(AM591+AO591)</f>
        <v>0.16666666666666666</v>
      </c>
      <c r="BK591" s="33">
        <f>(AN591+AO591)/(AM591+AO591)</f>
        <v>1</v>
      </c>
      <c r="BL591" s="4"/>
      <c r="BM591" s="127">
        <f>CF591/102</f>
        <v>0.10980392156862745</v>
      </c>
      <c r="BN591" s="127">
        <f>C591/2</f>
        <v>4</v>
      </c>
      <c r="BO591" s="4"/>
      <c r="BP591" s="127">
        <f>(AK591)/($AW$6)</f>
        <v>1.0101010101010102E-2</v>
      </c>
      <c r="BQ591" s="127">
        <f ca="1">(CH591-$AW$4)/((YEAR($C$13))-$AW$4)</f>
        <v>1</v>
      </c>
      <c r="BR591" s="127">
        <f>(AL591)/($AW$6)</f>
        <v>0.22222222222222221</v>
      </c>
      <c r="BS591" s="4"/>
      <c r="BT591" s="127"/>
      <c r="BU591" s="127">
        <f ca="1">(CG591-$AW$4)/((YEAR($C$13))-$AW$4)</f>
        <v>1</v>
      </c>
      <c r="BV591" s="127">
        <f>AE591/5</f>
        <v>1</v>
      </c>
      <c r="BW591" s="127">
        <f>AF591/5</f>
        <v>1</v>
      </c>
      <c r="BX591" s="4"/>
      <c r="BY591" s="148" t="str">
        <f>IF(E591="A",".98",IF(E591="B",".99",IF(E591="C","1.00",IF(E591="D","1.00" ))))</f>
        <v>1.00</v>
      </c>
      <c r="BZ591" s="127">
        <f>(CE591+7)/10</f>
        <v>1</v>
      </c>
      <c r="CA591" s="76" t="str">
        <f>IF(D591="Fern",".97",IF(D591="Grass",".99",IF(D591="Herb",".97",IF(D591="Shrub",".99",IF(D591="Tree","1.00",IF(D591="Vine",".98"))))))</f>
        <v>.97</v>
      </c>
      <c r="CB591" s="149" t="str">
        <f>IF(R591="Bogs Ponds Streams",".96", IF(R591="Coastal Areas",".97",IF(R591="Meadows Dry Open",".96",IF(R591="Forest &amp; Understory",".97",IF(R591="Moist Open",".98",IF(R591="Moist Shady",".96",IF(R591="Sub-Alpine","1.0")))))))</f>
        <v>.98</v>
      </c>
      <c r="CC591" s="76" t="str">
        <f>IF(S591="Local Endemic",".50",IF(S591="Regional Endemic",".70",IF(S591="Cascadia",".90",IF(S591="Rocky Mountain",".95",IF(S591="North America",".99")))))</f>
        <v>.70</v>
      </c>
      <c r="CD591" s="4"/>
      <c r="CE591" s="21">
        <f>IF(W591&gt;3,3,W591)</f>
        <v>3</v>
      </c>
      <c r="CF591" s="21">
        <f>IF(AC591&gt;102,102,AC591)</f>
        <v>11.2</v>
      </c>
      <c r="CG591" s="34">
        <f ca="1">IF(AI591&lt;$AW$4,$AW$4,AI591)</f>
        <v>2019</v>
      </c>
      <c r="CH591" s="34">
        <f ca="1">IF(AJ591&lt;$AW$4,$AW$4,AJ591)</f>
        <v>2019</v>
      </c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13"/>
    </row>
    <row r="592" spans="1:115" ht="15" customHeight="1" x14ac:dyDescent="0.3">
      <c r="A592" s="235"/>
      <c r="B592" s="218"/>
      <c r="C592" s="225">
        <v>8</v>
      </c>
      <c r="D592" s="59" t="s">
        <v>2505</v>
      </c>
      <c r="E592" s="59" t="s">
        <v>2502</v>
      </c>
      <c r="F592" s="397" t="str">
        <f ca="1">IF(BC592&lt;2025, "Extinct&lt; 6Yrs?",BA592)</f>
        <v>Abundant</v>
      </c>
      <c r="G592" s="363" t="s">
        <v>525</v>
      </c>
      <c r="H592" s="363" t="s">
        <v>691</v>
      </c>
      <c r="I592" s="364" t="s">
        <v>1242</v>
      </c>
      <c r="J592" s="365" t="s">
        <v>3442</v>
      </c>
      <c r="K592" s="365" t="s">
        <v>1246</v>
      </c>
      <c r="L592" s="10" t="s">
        <v>1608</v>
      </c>
      <c r="M592" s="8" t="s">
        <v>4666</v>
      </c>
      <c r="N592" s="8" t="s">
        <v>5563</v>
      </c>
      <c r="O592" s="8" t="s">
        <v>6462</v>
      </c>
      <c r="P592" s="9" t="s">
        <v>672</v>
      </c>
      <c r="Q592" s="59" t="s">
        <v>2552</v>
      </c>
      <c r="R592" s="160" t="s">
        <v>2497</v>
      </c>
      <c r="S592" s="17" t="s">
        <v>2309</v>
      </c>
      <c r="T592" s="123" t="str">
        <f>IF(R592="Bogs Ponds Streams","20",IF(R592="Coastal Areas","26",IF(R592="Meadows Dry Open","10",IF(R592="Forest &amp; Understory","14",IF(R592="Moist Open","12",IF(R592="Moist Shady","10",IF(R592="Sub-Alpine Slopes","0")))))))</f>
        <v>12</v>
      </c>
      <c r="U592" s="123" t="str">
        <f>IF(R592="Bogs Ponds Streams","52",IF(R592="Coastal Areas","51",IF(R592="Meadows Dry Open","53",IF(R592="Forest &amp; Understory","52",IF(R592="Moist Open","50",IF(R592="Moist Shady","46",IF(R592="Sub-Alpine Slopes","40")))))))</f>
        <v>50</v>
      </c>
      <c r="V592" s="123" t="str">
        <f>IF(R592="Bogs Ponds Streams","84",IF(R592="Coastal Areas","76",IF(R592="Meadows Dry Open","96", IF(R592="Forest &amp; Understory","90", IF(R592="Moist Open","88", IF(R592="Moist Shady","82", IF(R592="Sub-Alpine Slopes","80")))))))</f>
        <v>88</v>
      </c>
      <c r="W592" s="59">
        <v>1</v>
      </c>
      <c r="X592" s="59">
        <v>0</v>
      </c>
      <c r="Y592" s="59">
        <v>3500</v>
      </c>
      <c r="Z592" s="59" t="s">
        <v>2519</v>
      </c>
      <c r="AA592" s="59" t="s">
        <v>2518</v>
      </c>
      <c r="AB592" s="59">
        <v>6.8</v>
      </c>
      <c r="AC592" s="45">
        <f>C592+AK592+(0.1)*AL592</f>
        <v>11.1</v>
      </c>
      <c r="AD592" s="77">
        <v>44</v>
      </c>
      <c r="AE592" s="59">
        <v>5</v>
      </c>
      <c r="AF592" s="59">
        <v>5</v>
      </c>
      <c r="AG592" s="59">
        <v>1900</v>
      </c>
      <c r="AH592" s="77">
        <v>0</v>
      </c>
      <c r="AI592" s="59">
        <f ca="1">AJ592</f>
        <v>2019</v>
      </c>
      <c r="AJ592" s="18">
        <f ca="1">YEAR(TODAY())</f>
        <v>2019</v>
      </c>
      <c r="AK592" s="18">
        <v>3</v>
      </c>
      <c r="AL592" s="18">
        <v>1</v>
      </c>
      <c r="AM592" s="18">
        <v>1</v>
      </c>
      <c r="AN592" s="18">
        <v>1</v>
      </c>
      <c r="AO592" s="18">
        <v>5</v>
      </c>
      <c r="AP592" s="18">
        <v>1</v>
      </c>
      <c r="AQ592" s="18">
        <v>0</v>
      </c>
      <c r="AR592" s="18">
        <v>0</v>
      </c>
      <c r="AS592" s="18">
        <v>0</v>
      </c>
      <c r="AT592" s="18">
        <v>0</v>
      </c>
      <c r="AU592" s="18">
        <v>0</v>
      </c>
      <c r="AV592" s="18">
        <v>0</v>
      </c>
      <c r="AW592" s="18">
        <v>0</v>
      </c>
      <c r="AX592" s="18">
        <v>0</v>
      </c>
      <c r="AY592" s="233"/>
      <c r="AZ592" s="4"/>
      <c r="BA592" s="35" t="str">
        <f ca="1">IF(OR(S592="North America",S592="Rocky Mountain"), "Widespread",BC592)</f>
        <v>Abundant</v>
      </c>
      <c r="BB592" s="4"/>
      <c r="BC592" s="35" t="str">
        <f ca="1">IF(BE592&gt;2046, "Abundant",BE592)</f>
        <v>Abundant</v>
      </c>
      <c r="BD592" s="4"/>
      <c r="BE592" s="81">
        <f ca="1">YEAR($C$13)+(BG592*80)</f>
        <v>2102.4871187165777</v>
      </c>
      <c r="BF592" s="4"/>
      <c r="BG592" s="137">
        <f ca="1">BH592*$BH$14</f>
        <v>1.0435889839572192</v>
      </c>
      <c r="BH592" s="137">
        <f ca="1">(((BJ592+BK592+BM592+BN592)/4)*$BM$11)+(((BP592+BQ592)/2)*$BQ$11)+(((BU592+BV592+BW592)/3)*$BU$11)+(((BY592+BZ592+CA592+CB592+CC592)/5)*$CA$11)</f>
        <v>1.0435889839572192</v>
      </c>
      <c r="BI592" s="4"/>
      <c r="BJ592" s="33">
        <f>AP592/(AM592+AO592)</f>
        <v>0.16666666666666666</v>
      </c>
      <c r="BK592" s="33">
        <f>(AN592+AO592)/(AM592+AO592)</f>
        <v>1</v>
      </c>
      <c r="BL592" s="4"/>
      <c r="BM592" s="127">
        <f>CF592/102</f>
        <v>0.10882352941176471</v>
      </c>
      <c r="BN592" s="127">
        <f>C592/2</f>
        <v>4</v>
      </c>
      <c r="BO592" s="4"/>
      <c r="BP592" s="127">
        <f>(AK592)/($AW$6)</f>
        <v>3.0303030303030304E-2</v>
      </c>
      <c r="BQ592" s="127">
        <f ca="1">(CH592-$AW$4)/((YEAR($C$13))-$AW$4)</f>
        <v>1</v>
      </c>
      <c r="BR592" s="127">
        <f>(AL592)/($AW$6)</f>
        <v>1.0101010101010102E-2</v>
      </c>
      <c r="BS592" s="4"/>
      <c r="BT592" s="127"/>
      <c r="BU592" s="127">
        <f ca="1">(CG592-$AW$4)/((YEAR($C$13))-$AW$4)</f>
        <v>1</v>
      </c>
      <c r="BV592" s="127">
        <f>AE592/5</f>
        <v>1</v>
      </c>
      <c r="BW592" s="127">
        <f>AF592/5</f>
        <v>1</v>
      </c>
      <c r="BX592" s="4"/>
      <c r="BY592" s="148" t="str">
        <f>IF(E592="A",".98",IF(E592="B",".99",IF(E592="C","1.00",IF(E592="D","1.00" ))))</f>
        <v>.98</v>
      </c>
      <c r="BZ592" s="127">
        <f>(CE592+7)/10</f>
        <v>0.8</v>
      </c>
      <c r="CA592" s="76" t="str">
        <f>IF(D592="Fern",".97",IF(D592="Grass",".99",IF(D592="Herb",".97",IF(D592="Shrub",".99",IF(D592="Tree","1.00",IF(D592="Vine",".98"))))))</f>
        <v>.97</v>
      </c>
      <c r="CB592" s="149" t="str">
        <f>IF(R592="Bogs Ponds Streams",".96", IF(R592="Coastal Areas",".97",IF(R592="Meadows Dry Open",".96",IF(R592="Forest &amp; Understory",".97",IF(R592="Moist Open",".98",IF(R592="Moist Shady",".96",IF(R592="Sub-Alpine","1.0")))))))</f>
        <v>.98</v>
      </c>
      <c r="CC592" s="76" t="str">
        <f>IF(S592="Local Endemic",".50",IF(S592="Regional Endemic",".70",IF(S592="Cascadia",".90",IF(S592="Rocky Mountain",".95",IF(S592="North America",".99")))))</f>
        <v>.70</v>
      </c>
      <c r="CD592" s="4"/>
      <c r="CE592" s="21">
        <f>IF(W592&gt;3,3,W592)</f>
        <v>1</v>
      </c>
      <c r="CF592" s="21">
        <f>IF(AC592&gt;102,102,AC592)</f>
        <v>11.1</v>
      </c>
      <c r="CG592" s="34">
        <f ca="1">IF(AI592&lt;$AW$4,$AW$4,AI592)</f>
        <v>2019</v>
      </c>
      <c r="CH592" s="34">
        <f ca="1">IF(AJ592&lt;$AW$4,$AW$4,AJ592)</f>
        <v>2019</v>
      </c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13"/>
    </row>
    <row r="593" spans="1:115" ht="15" customHeight="1" x14ac:dyDescent="0.3">
      <c r="A593" s="235"/>
      <c r="B593" s="218"/>
      <c r="C593" s="225">
        <v>8</v>
      </c>
      <c r="D593" s="59" t="s">
        <v>2505</v>
      </c>
      <c r="E593" s="59" t="s">
        <v>2501</v>
      </c>
      <c r="F593" s="397" t="str">
        <f ca="1">IF(BC593&lt;2025, "Extinct&lt; 6Yrs?",BA593)</f>
        <v>Abundant</v>
      </c>
      <c r="G593" s="363" t="s">
        <v>525</v>
      </c>
      <c r="H593" s="363" t="s">
        <v>691</v>
      </c>
      <c r="I593" s="366" t="s">
        <v>3099</v>
      </c>
      <c r="J593" s="365" t="s">
        <v>3443</v>
      </c>
      <c r="K593" s="365" t="s">
        <v>1076</v>
      </c>
      <c r="L593" s="10" t="s">
        <v>1609</v>
      </c>
      <c r="M593" s="8" t="s">
        <v>4667</v>
      </c>
      <c r="N593" s="8" t="s">
        <v>5564</v>
      </c>
      <c r="O593" s="8" t="s">
        <v>6463</v>
      </c>
      <c r="P593" s="399" t="s">
        <v>672</v>
      </c>
      <c r="Q593" s="59" t="s">
        <v>2552</v>
      </c>
      <c r="R593" s="9" t="s">
        <v>2500</v>
      </c>
      <c r="S593" s="9" t="s">
        <v>2459</v>
      </c>
      <c r="T593" s="123" t="str">
        <f>IF(R593="Bogs Ponds Streams","20",IF(R593="Coastal Areas","26",IF(R593="Meadows Dry Open","10",IF(R593="Forest &amp; Understory","14",IF(R593="Moist Open","12",IF(R593="Moist Shady","10",IF(R593="Sub-Alpine Slopes","0")))))))</f>
        <v>10</v>
      </c>
      <c r="U593" s="123" t="str">
        <f>IF(R593="Bogs Ponds Streams","52",IF(R593="Coastal Areas","51",IF(R593="Meadows Dry Open","53",IF(R593="Forest &amp; Understory","52",IF(R593="Moist Open","50",IF(R593="Moist Shady","46",IF(R593="Sub-Alpine Slopes","40")))))))</f>
        <v>53</v>
      </c>
      <c r="V593" s="123" t="str">
        <f>IF(R593="Bogs Ponds Streams","84",IF(R593="Coastal Areas","76",IF(R593="Meadows Dry Open","96", IF(R593="Forest &amp; Understory","90", IF(R593="Moist Open","88", IF(R593="Moist Shady","82", IF(R593="Sub-Alpine Slopes","80")))))))</f>
        <v>96</v>
      </c>
      <c r="W593" s="59">
        <v>20</v>
      </c>
      <c r="X593" s="59">
        <v>0</v>
      </c>
      <c r="Y593" s="59">
        <v>3500</v>
      </c>
      <c r="Z593" s="59" t="s">
        <v>2519</v>
      </c>
      <c r="AA593" s="59" t="s">
        <v>2518</v>
      </c>
      <c r="AB593" s="59">
        <v>6.8</v>
      </c>
      <c r="AC593" s="45">
        <f>C593+AK593+(0.1)*AL593</f>
        <v>33.299999999999997</v>
      </c>
      <c r="AD593" s="77">
        <v>136</v>
      </c>
      <c r="AE593" s="59">
        <v>5</v>
      </c>
      <c r="AF593" s="59">
        <v>5</v>
      </c>
      <c r="AG593" s="59">
        <v>1900</v>
      </c>
      <c r="AH593" s="77">
        <v>0</v>
      </c>
      <c r="AI593" s="59">
        <f ca="1">AJ593</f>
        <v>2019</v>
      </c>
      <c r="AJ593" s="18">
        <f ca="1">YEAR(TODAY())</f>
        <v>2019</v>
      </c>
      <c r="AK593" s="18">
        <v>22</v>
      </c>
      <c r="AL593" s="18">
        <v>33</v>
      </c>
      <c r="AM593" s="18">
        <v>1</v>
      </c>
      <c r="AN593" s="18">
        <v>1</v>
      </c>
      <c r="AO593" s="24">
        <v>1</v>
      </c>
      <c r="AP593" s="24">
        <v>0</v>
      </c>
      <c r="AQ593" s="18">
        <v>0</v>
      </c>
      <c r="AR593" s="18">
        <v>0</v>
      </c>
      <c r="AS593" s="18">
        <v>0</v>
      </c>
      <c r="AT593" s="18">
        <v>0</v>
      </c>
      <c r="AU593" s="18">
        <v>0</v>
      </c>
      <c r="AV593" s="18">
        <v>0</v>
      </c>
      <c r="AW593" s="18">
        <v>0</v>
      </c>
      <c r="AX593" s="18">
        <v>0</v>
      </c>
      <c r="AY593" s="233"/>
      <c r="AZ593" s="4"/>
      <c r="BA593" s="35" t="str">
        <f ca="1">IF(OR(S593="North America",S593="Rocky Mountain"), "Widespread",BC593)</f>
        <v>Abundant</v>
      </c>
      <c r="BB593" s="4"/>
      <c r="BC593" s="35" t="str">
        <f ca="1">IF(BE593&gt;2046, "Abundant",BE593)</f>
        <v>Abundant</v>
      </c>
      <c r="BD593" s="4"/>
      <c r="BE593" s="81">
        <f ca="1">YEAR($C$13)+(BG593*80)</f>
        <v>2105.5299137254901</v>
      </c>
      <c r="BF593" s="4"/>
      <c r="BG593" s="137">
        <f ca="1">BH593*$BH$14</f>
        <v>1.0816239215686274</v>
      </c>
      <c r="BH593" s="137">
        <f ca="1">(((BJ593+BK593+BM593+BN593)/4)*$BM$11)+(((BP593+BQ593)/2)*$BQ$11)+(((BU593+BV593+BW593)/3)*$BU$11)+(((BY593+BZ593+CA593+CB593+CC593)/5)*$CA$11)</f>
        <v>1.0816239215686274</v>
      </c>
      <c r="BI593" s="4"/>
      <c r="BJ593" s="33">
        <f>AP593/(AM593+AO593)</f>
        <v>0</v>
      </c>
      <c r="BK593" s="33">
        <f>(AN593+AO593)/(AM593+AO593)</f>
        <v>1</v>
      </c>
      <c r="BL593" s="4"/>
      <c r="BM593" s="127">
        <f>CF593/102</f>
        <v>0.32647058823529407</v>
      </c>
      <c r="BN593" s="127">
        <f>C593/2</f>
        <v>4</v>
      </c>
      <c r="BO593" s="4"/>
      <c r="BP593" s="127">
        <f>(AK593)/($AW$6)</f>
        <v>0.22222222222222221</v>
      </c>
      <c r="BQ593" s="127">
        <f ca="1">(CH593-$AW$4)/((YEAR($C$13))-$AW$4)</f>
        <v>1</v>
      </c>
      <c r="BR593" s="127">
        <f>(AL593)/($AW$6)</f>
        <v>0.33333333333333331</v>
      </c>
      <c r="BS593" s="4"/>
      <c r="BT593" s="127"/>
      <c r="BU593" s="127">
        <f ca="1">(CG593-$AW$4)/((YEAR($C$13))-$AW$4)</f>
        <v>1</v>
      </c>
      <c r="BV593" s="127">
        <f>AE593/5</f>
        <v>1</v>
      </c>
      <c r="BW593" s="127">
        <f>AF593/5</f>
        <v>1</v>
      </c>
      <c r="BX593" s="4"/>
      <c r="BY593" s="148" t="str">
        <f>IF(E593="A",".98",IF(E593="B",".99",IF(E593="C","1.00",IF(E593="D","1.00" ))))</f>
        <v>1.00</v>
      </c>
      <c r="BZ593" s="127">
        <f>(CE593+7)/10</f>
        <v>1</v>
      </c>
      <c r="CA593" s="76" t="str">
        <f>IF(D593="Fern",".97",IF(D593="Grass",".99",IF(D593="Herb",".97",IF(D593="Shrub",".99",IF(D593="Tree","1.00",IF(D593="Vine",".98"))))))</f>
        <v>.97</v>
      </c>
      <c r="CB593" s="149" t="str">
        <f>IF(R593="Bogs Ponds Streams",".96", IF(R593="Coastal Areas",".97",IF(R593="Meadows Dry Open",".96",IF(R593="Forest &amp; Understory",".97",IF(R593="Moist Open",".98",IF(R593="Moist Shady",".96",IF(R593="Sub-Alpine","1.0")))))))</f>
        <v>.96</v>
      </c>
      <c r="CC593" s="76" t="str">
        <f>IF(S593="Local Endemic",".50",IF(S593="Regional Endemic",".70",IF(S593="Cascadia",".90",IF(S593="Rocky Mountain",".95",IF(S593="North America",".99")))))</f>
        <v>.90</v>
      </c>
      <c r="CD593" s="4"/>
      <c r="CE593" s="21">
        <f>IF(W593&gt;3,3,W593)</f>
        <v>3</v>
      </c>
      <c r="CF593" s="21">
        <f>IF(AC593&gt;102,102,AC593)</f>
        <v>33.299999999999997</v>
      </c>
      <c r="CG593" s="34">
        <f ca="1">IF(AI593&lt;$AW$4,$AW$4,AI593)</f>
        <v>2019</v>
      </c>
      <c r="CH593" s="34">
        <f ca="1">IF(AJ593&lt;$AW$4,$AW$4,AJ593)</f>
        <v>2019</v>
      </c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13"/>
    </row>
    <row r="594" spans="1:115" ht="15" customHeight="1" x14ac:dyDescent="0.3">
      <c r="A594" s="235"/>
      <c r="B594" s="218"/>
      <c r="C594" s="375">
        <v>1</v>
      </c>
      <c r="D594" s="67" t="s">
        <v>2505</v>
      </c>
      <c r="E594" s="67" t="s">
        <v>2501</v>
      </c>
      <c r="F594" s="403" t="str">
        <f ca="1">IF(BC594&lt;2025, "Extinct&lt; 6Yrs?",BA594)</f>
        <v>Widespread</v>
      </c>
      <c r="G594" s="376" t="s">
        <v>525</v>
      </c>
      <c r="H594" s="376" t="s">
        <v>4028</v>
      </c>
      <c r="I594" s="377" t="s">
        <v>2359</v>
      </c>
      <c r="J594" s="378" t="s">
        <v>2431</v>
      </c>
      <c r="K594" s="378" t="s">
        <v>2358</v>
      </c>
      <c r="L594" s="63" t="s">
        <v>2430</v>
      </c>
      <c r="M594" s="64" t="s">
        <v>4668</v>
      </c>
      <c r="N594" s="64" t="s">
        <v>5565</v>
      </c>
      <c r="O594" s="64" t="s">
        <v>6464</v>
      </c>
      <c r="P594" s="405" t="s">
        <v>672</v>
      </c>
      <c r="Q594" s="67" t="s">
        <v>2552</v>
      </c>
      <c r="R594" s="163" t="s">
        <v>2497</v>
      </c>
      <c r="S594" s="164" t="s">
        <v>2479</v>
      </c>
      <c r="T594" s="134" t="str">
        <f>IF(R594="Bogs Ponds Streams","20",IF(R594="Coastal Areas","26",IF(R594="Meadows Dry Open","10",IF(R594="Forest &amp; Understory","14",IF(R594="Moist Open","12",IF(R594="Moist Shady","10",IF(R594="Sub-Alpine Slopes","0")))))))</f>
        <v>12</v>
      </c>
      <c r="U594" s="134" t="str">
        <f>IF(R594="Bogs Ponds Streams","52",IF(R594="Coastal Areas","51",IF(R594="Meadows Dry Open","53",IF(R594="Forest &amp; Understory","52",IF(R594="Moist Open","50",IF(R594="Moist Shady","46",IF(R594="Sub-Alpine Slopes","40")))))))</f>
        <v>50</v>
      </c>
      <c r="V594" s="134" t="str">
        <f>IF(R594="Bogs Ponds Streams","84",IF(R594="Coastal Areas","76",IF(R594="Meadows Dry Open","96", IF(R594="Forest &amp; Understory","90", IF(R594="Moist Open","88", IF(R594="Moist Shady","82", IF(R594="Sub-Alpine Slopes","80")))))))</f>
        <v>88</v>
      </c>
      <c r="W594" s="67">
        <v>20</v>
      </c>
      <c r="X594" s="67">
        <v>0</v>
      </c>
      <c r="Y594" s="67">
        <v>1000</v>
      </c>
      <c r="Z594" s="67" t="s">
        <v>2519</v>
      </c>
      <c r="AA594" s="67" t="s">
        <v>2518</v>
      </c>
      <c r="AB594" s="67">
        <v>6.8</v>
      </c>
      <c r="AC594" s="85">
        <f>C594+AK594+(0.1)*AL594</f>
        <v>2.1</v>
      </c>
      <c r="AD594" s="78">
        <v>1</v>
      </c>
      <c r="AE594" s="68">
        <v>1</v>
      </c>
      <c r="AF594" s="68">
        <v>1</v>
      </c>
      <c r="AG594" s="78">
        <v>2014</v>
      </c>
      <c r="AH594" s="78">
        <v>0</v>
      </c>
      <c r="AI594" s="78">
        <v>2018</v>
      </c>
      <c r="AJ594" s="67">
        <v>2005</v>
      </c>
      <c r="AK594" s="67">
        <v>1</v>
      </c>
      <c r="AL594" s="67">
        <v>1</v>
      </c>
      <c r="AM594" s="70">
        <v>5</v>
      </c>
      <c r="AN594" s="70">
        <v>0</v>
      </c>
      <c r="AO594" s="86">
        <v>0</v>
      </c>
      <c r="AP594" s="70">
        <v>0</v>
      </c>
      <c r="AQ594" s="70">
        <v>0</v>
      </c>
      <c r="AR594" s="70">
        <v>0</v>
      </c>
      <c r="AS594" s="86">
        <v>0</v>
      </c>
      <c r="AT594" s="70">
        <v>0</v>
      </c>
      <c r="AU594" s="70">
        <v>0</v>
      </c>
      <c r="AV594" s="70">
        <v>0</v>
      </c>
      <c r="AW594" s="86">
        <v>0</v>
      </c>
      <c r="AX594" s="70">
        <v>0</v>
      </c>
      <c r="AY594" s="233"/>
      <c r="AZ594" s="11"/>
      <c r="BA594" s="35" t="str">
        <f>IF(OR(S594="North America",S594="Rocky Mountain"), "Widespread",BC594)</f>
        <v>Widespread</v>
      </c>
      <c r="BB594" s="11"/>
      <c r="BC594" s="35">
        <f ca="1">IF(BE594&gt;2046, "Abundant",BE594)</f>
        <v>2030.580715389186</v>
      </c>
      <c r="BD594" s="11"/>
      <c r="BE594" s="81">
        <f ca="1">YEAR($C$13)+(BG594*80)</f>
        <v>2030.580715389186</v>
      </c>
      <c r="BF594" s="11"/>
      <c r="BG594" s="137">
        <f ca="1">BH594*$BH$14</f>
        <v>0.14475894236482473</v>
      </c>
      <c r="BH594" s="137">
        <f ca="1">(((BJ594+BK594+BM594+BN594)/4)*$BM$11)+(((BP594+BQ594)/2)*$BQ$11)+(((BU594+BV594+BW594)/3)*$BU$11)+(((BY594+BZ594+CA594+CB594+CC594)/5)*$CA$11)</f>
        <v>0.14475894236482473</v>
      </c>
      <c r="BI594" s="11"/>
      <c r="BJ594" s="33">
        <f>AP594/(AM594+AO594)</f>
        <v>0</v>
      </c>
      <c r="BK594" s="33">
        <f>(AN594+AO594)/(AM594+AO594)</f>
        <v>0</v>
      </c>
      <c r="BL594" s="11"/>
      <c r="BM594" s="127">
        <f>CF594/102</f>
        <v>2.0588235294117647E-2</v>
      </c>
      <c r="BN594" s="127">
        <f>C594/2</f>
        <v>0.5</v>
      </c>
      <c r="BO594" s="11"/>
      <c r="BP594" s="127">
        <f>(AK594)/($AW$6)</f>
        <v>1.0101010101010102E-2</v>
      </c>
      <c r="BQ594" s="127">
        <f ca="1">(CH594-$AW$4)/((YEAR($C$13))-$AW$4)</f>
        <v>6.6666666666666666E-2</v>
      </c>
      <c r="BR594" s="127">
        <f>(AL594)/($AW$6)</f>
        <v>1.0101010101010102E-2</v>
      </c>
      <c r="BS594" s="11"/>
      <c r="BT594" s="127"/>
      <c r="BU594" s="127">
        <f ca="1">(CG594-$AW$4)/((YEAR($C$13))-$AW$4)</f>
        <v>0.93333333333333335</v>
      </c>
      <c r="BV594" s="127">
        <f>AE594/5</f>
        <v>0.2</v>
      </c>
      <c r="BW594" s="127">
        <f>AF594/5</f>
        <v>0.2</v>
      </c>
      <c r="BX594" s="11"/>
      <c r="BY594" s="148" t="str">
        <f>IF(E594="A",".98",IF(E594="B",".99",IF(E594="C","1.00",IF(E594="D","1.00" ))))</f>
        <v>1.00</v>
      </c>
      <c r="BZ594" s="127">
        <f>(CE594+7)/10</f>
        <v>1</v>
      </c>
      <c r="CA594" s="76" t="str">
        <f>IF(D594="Fern",".97",IF(D594="Grass",".99",IF(D594="Herb",".97",IF(D594="Shrub",".99",IF(D594="Tree","1.00",IF(D594="Vine",".98"))))))</f>
        <v>.97</v>
      </c>
      <c r="CB594" s="149" t="str">
        <f>IF(R594="Bogs Ponds Streams",".96", IF(R594="Coastal Areas",".97",IF(R594="Meadows Dry Open",".96",IF(R594="Forest &amp; Understory",".97",IF(R594="Moist Open",".98",IF(R594="Moist Shady",".96",IF(R594="Sub-Alpine","1.0")))))))</f>
        <v>.98</v>
      </c>
      <c r="CC594" s="76" t="str">
        <f>IF(S594="Local Endemic",".50",IF(S594="Regional Endemic",".70",IF(S594="Cascadia",".90",IF(S594="Rocky Mountain",".95",IF(S594="North America",".99")))))</f>
        <v>.95</v>
      </c>
      <c r="CD594" s="11"/>
      <c r="CE594" s="21">
        <f>IF(W594&gt;3,3,W594)</f>
        <v>3</v>
      </c>
      <c r="CF594" s="21">
        <f>IF(AC594&gt;102,102,AC594)</f>
        <v>2.1</v>
      </c>
      <c r="CG594" s="34">
        <f>IF(AI594&lt;$AW$4,$AW$4,AI594)</f>
        <v>2018</v>
      </c>
      <c r="CH594" s="34">
        <f>IF(AJ594&lt;$AW$4,$AW$4,AJ594)</f>
        <v>2005</v>
      </c>
      <c r="CI594" s="11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11"/>
      <c r="DC594" s="11"/>
      <c r="DD594" s="11"/>
      <c r="DE594" s="11"/>
      <c r="DF594" s="11"/>
      <c r="DG594" s="11"/>
      <c r="DH594" s="11"/>
      <c r="DI594" s="11"/>
      <c r="DJ594" s="11"/>
    </row>
    <row r="595" spans="1:115" ht="15" customHeight="1" x14ac:dyDescent="0.3">
      <c r="A595" s="235"/>
      <c r="B595" s="218"/>
      <c r="C595" s="225">
        <v>8</v>
      </c>
      <c r="D595" s="59" t="s">
        <v>2505</v>
      </c>
      <c r="E595" s="59" t="s">
        <v>2501</v>
      </c>
      <c r="F595" s="397" t="str">
        <f ca="1">IF(BC595&lt;2025, "Extinct&lt; 6Yrs?",BA595)</f>
        <v>Abundant</v>
      </c>
      <c r="G595" s="363" t="s">
        <v>525</v>
      </c>
      <c r="H595" s="363" t="s">
        <v>691</v>
      </c>
      <c r="I595" s="366" t="s">
        <v>561</v>
      </c>
      <c r="J595" s="365" t="s">
        <v>3444</v>
      </c>
      <c r="K595" s="365" t="s">
        <v>1079</v>
      </c>
      <c r="L595" s="10" t="s">
        <v>3454</v>
      </c>
      <c r="M595" s="8" t="s">
        <v>4669</v>
      </c>
      <c r="N595" s="8" t="s">
        <v>5566</v>
      </c>
      <c r="O595" s="8" t="s">
        <v>6465</v>
      </c>
      <c r="P595" s="399" t="s">
        <v>672</v>
      </c>
      <c r="Q595" s="59" t="s">
        <v>2552</v>
      </c>
      <c r="R595" s="160" t="s">
        <v>2497</v>
      </c>
      <c r="S595" s="17" t="s">
        <v>2459</v>
      </c>
      <c r="T595" s="123" t="str">
        <f>IF(R595="Bogs Ponds Streams","20",IF(R595="Coastal Areas","26",IF(R595="Meadows Dry Open","10",IF(R595="Forest &amp; Understory","14",IF(R595="Moist Open","12",IF(R595="Moist Shady","10",IF(R595="Sub-Alpine Slopes","0")))))))</f>
        <v>12</v>
      </c>
      <c r="U595" s="123" t="str">
        <f>IF(R595="Bogs Ponds Streams","52",IF(R595="Coastal Areas","51",IF(R595="Meadows Dry Open","53",IF(R595="Forest &amp; Understory","52",IF(R595="Moist Open","50",IF(R595="Moist Shady","46",IF(R595="Sub-Alpine Slopes","40")))))))</f>
        <v>50</v>
      </c>
      <c r="V595" s="123" t="str">
        <f>IF(R595="Bogs Ponds Streams","84",IF(R595="Coastal Areas","76",IF(R595="Meadows Dry Open","96", IF(R595="Forest &amp; Understory","90", IF(R595="Moist Open","88", IF(R595="Moist Shady","82", IF(R595="Sub-Alpine Slopes","80")))))))</f>
        <v>88</v>
      </c>
      <c r="W595" s="59">
        <v>20</v>
      </c>
      <c r="X595" s="59">
        <v>0</v>
      </c>
      <c r="Y595" s="59">
        <v>3500</v>
      </c>
      <c r="Z595" s="59" t="s">
        <v>2519</v>
      </c>
      <c r="AA595" s="59" t="s">
        <v>2518</v>
      </c>
      <c r="AB595" s="59">
        <v>6.8</v>
      </c>
      <c r="AC595" s="45">
        <f>C595+AK595+(0.1)*AL595</f>
        <v>12.1</v>
      </c>
      <c r="AD595" s="77">
        <v>17</v>
      </c>
      <c r="AE595" s="59">
        <v>5</v>
      </c>
      <c r="AF595" s="59">
        <v>5</v>
      </c>
      <c r="AG595" s="59">
        <v>1900</v>
      </c>
      <c r="AH595" s="77">
        <v>0</v>
      </c>
      <c r="AI595" s="59">
        <f ca="1">AJ595</f>
        <v>2019</v>
      </c>
      <c r="AJ595" s="18">
        <f ca="1">YEAR(TODAY())</f>
        <v>2019</v>
      </c>
      <c r="AK595" s="18">
        <v>4</v>
      </c>
      <c r="AL595" s="18">
        <v>1</v>
      </c>
      <c r="AM595" s="18">
        <v>1</v>
      </c>
      <c r="AN595" s="18">
        <v>1</v>
      </c>
      <c r="AO595" s="18">
        <v>5</v>
      </c>
      <c r="AP595" s="18">
        <v>1</v>
      </c>
      <c r="AQ595" s="18">
        <v>0</v>
      </c>
      <c r="AR595" s="18">
        <v>0</v>
      </c>
      <c r="AS595" s="18">
        <v>0</v>
      </c>
      <c r="AT595" s="18">
        <v>0</v>
      </c>
      <c r="AU595" s="18">
        <v>0</v>
      </c>
      <c r="AV595" s="18">
        <v>0</v>
      </c>
      <c r="AW595" s="18">
        <v>0</v>
      </c>
      <c r="AX595" s="18">
        <v>0</v>
      </c>
      <c r="AY595" s="233"/>
      <c r="AZ595" s="4"/>
      <c r="BA595" s="35" t="str">
        <f ca="1">IF(OR(S595="North America",S595="Rocky Mountain"), "Widespread",BC595)</f>
        <v>Abundant</v>
      </c>
      <c r="BB595" s="4"/>
      <c r="BC595" s="35" t="str">
        <f ca="1">IF(BE595&gt;2046, "Abundant",BE595)</f>
        <v>Abundant</v>
      </c>
      <c r="BD595" s="4"/>
      <c r="BE595" s="81">
        <f ca="1">YEAR($C$13)+(BG595*80)</f>
        <v>2102.860377896613</v>
      </c>
      <c r="BF595" s="4"/>
      <c r="BG595" s="137">
        <f ca="1">BH595*$BH$14</f>
        <v>1.0482547237076649</v>
      </c>
      <c r="BH595" s="137">
        <f ca="1">(((BJ595+BK595+BM595+BN595)/4)*$BM$11)+(((BP595+BQ595)/2)*$BQ$11)+(((BU595+BV595+BW595)/3)*$BU$11)+(((BY595+BZ595+CA595+CB595+CC595)/5)*$CA$11)</f>
        <v>1.0482547237076649</v>
      </c>
      <c r="BI595" s="4"/>
      <c r="BJ595" s="33">
        <f>AP595/(AM595+AO595)</f>
        <v>0.16666666666666666</v>
      </c>
      <c r="BK595" s="33">
        <f>(AN595+AO595)/(AM595+AO595)</f>
        <v>1</v>
      </c>
      <c r="BL595" s="4"/>
      <c r="BM595" s="127">
        <f>CF595/102</f>
        <v>0.11862745098039215</v>
      </c>
      <c r="BN595" s="127">
        <f>C595/2</f>
        <v>4</v>
      </c>
      <c r="BO595" s="4"/>
      <c r="BP595" s="127">
        <f>(AK595)/($AW$6)</f>
        <v>4.0404040404040407E-2</v>
      </c>
      <c r="BQ595" s="127">
        <f ca="1">(CH595-$AW$4)/((YEAR($C$13))-$AW$4)</f>
        <v>1</v>
      </c>
      <c r="BR595" s="127">
        <f>(AL595)/($AW$6)</f>
        <v>1.0101010101010102E-2</v>
      </c>
      <c r="BS595" s="4"/>
      <c r="BT595" s="127"/>
      <c r="BU595" s="127">
        <f ca="1">(CG595-$AW$4)/((YEAR($C$13))-$AW$4)</f>
        <v>1</v>
      </c>
      <c r="BV595" s="127">
        <f>AE595/5</f>
        <v>1</v>
      </c>
      <c r="BW595" s="127">
        <f>AF595/5</f>
        <v>1</v>
      </c>
      <c r="BX595" s="4"/>
      <c r="BY595" s="148" t="str">
        <f>IF(E595="A",".98",IF(E595="B",".99",IF(E595="C","1.00",IF(E595="D","1.00" ))))</f>
        <v>1.00</v>
      </c>
      <c r="BZ595" s="127">
        <f>(CE595+7)/10</f>
        <v>1</v>
      </c>
      <c r="CA595" s="76" t="str">
        <f>IF(D595="Fern",".97",IF(D595="Grass",".99",IF(D595="Herb",".97",IF(D595="Shrub",".99",IF(D595="Tree","1.00",IF(D595="Vine",".98"))))))</f>
        <v>.97</v>
      </c>
      <c r="CB595" s="149" t="str">
        <f>IF(R595="Bogs Ponds Streams",".96", IF(R595="Coastal Areas",".97",IF(R595="Meadows Dry Open",".96",IF(R595="Forest &amp; Understory",".97",IF(R595="Moist Open",".98",IF(R595="Moist Shady",".96",IF(R595="Sub-Alpine","1.0")))))))</f>
        <v>.98</v>
      </c>
      <c r="CC595" s="76" t="str">
        <f>IF(S595="Local Endemic",".50",IF(S595="Regional Endemic",".70",IF(S595="Cascadia",".90",IF(S595="Rocky Mountain",".95",IF(S595="North America",".99")))))</f>
        <v>.90</v>
      </c>
      <c r="CD595" s="4"/>
      <c r="CE595" s="21">
        <f>IF(W595&gt;3,3,W595)</f>
        <v>3</v>
      </c>
      <c r="CF595" s="21">
        <f>IF(AC595&gt;102,102,AC595)</f>
        <v>12.1</v>
      </c>
      <c r="CG595" s="34">
        <f ca="1">IF(AI595&lt;$AW$4,$AW$4,AI595)</f>
        <v>2019</v>
      </c>
      <c r="CH595" s="34">
        <f ca="1">IF(AJ595&lt;$AW$4,$AW$4,AJ595)</f>
        <v>2019</v>
      </c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13"/>
    </row>
    <row r="596" spans="1:115" ht="15" customHeight="1" x14ac:dyDescent="0.3">
      <c r="A596" s="235"/>
      <c r="B596" s="218"/>
      <c r="C596" s="225">
        <v>8</v>
      </c>
      <c r="D596" s="59" t="s">
        <v>2505</v>
      </c>
      <c r="E596" s="59" t="s">
        <v>2501</v>
      </c>
      <c r="F596" s="397" t="str">
        <f ca="1">IF(BC596&lt;2025, "Extinct&lt; 6Yrs?",BA596)</f>
        <v>Abundant</v>
      </c>
      <c r="G596" s="363" t="s">
        <v>525</v>
      </c>
      <c r="H596" s="363" t="s">
        <v>691</v>
      </c>
      <c r="I596" s="366" t="s">
        <v>3100</v>
      </c>
      <c r="J596" s="365" t="s">
        <v>3445</v>
      </c>
      <c r="K596" s="365" t="s">
        <v>377</v>
      </c>
      <c r="L596" s="10" t="s">
        <v>1610</v>
      </c>
      <c r="M596" s="8" t="s">
        <v>4670</v>
      </c>
      <c r="N596" s="8" t="s">
        <v>5567</v>
      </c>
      <c r="O596" s="8" t="s">
        <v>6466</v>
      </c>
      <c r="P596" s="399" t="s">
        <v>672</v>
      </c>
      <c r="Q596" s="59" t="s">
        <v>2552</v>
      </c>
      <c r="R596" s="160" t="s">
        <v>2497</v>
      </c>
      <c r="S596" s="17" t="s">
        <v>2459</v>
      </c>
      <c r="T596" s="123" t="str">
        <f>IF(R596="Bogs Ponds Streams","20",IF(R596="Coastal Areas","26",IF(R596="Meadows Dry Open","10",IF(R596="Forest &amp; Understory","14",IF(R596="Moist Open","12",IF(R596="Moist Shady","10",IF(R596="Sub-Alpine Slopes","0")))))))</f>
        <v>12</v>
      </c>
      <c r="U596" s="123" t="str">
        <f>IF(R596="Bogs Ponds Streams","52",IF(R596="Coastal Areas","51",IF(R596="Meadows Dry Open","53",IF(R596="Forest &amp; Understory","52",IF(R596="Moist Open","50",IF(R596="Moist Shady","46",IF(R596="Sub-Alpine Slopes","40")))))))</f>
        <v>50</v>
      </c>
      <c r="V596" s="123" t="str">
        <f>IF(R596="Bogs Ponds Streams","84",IF(R596="Coastal Areas","76",IF(R596="Meadows Dry Open","96", IF(R596="Forest &amp; Understory","90", IF(R596="Moist Open","88", IF(R596="Moist Shady","82", IF(R596="Sub-Alpine Slopes","80")))))))</f>
        <v>88</v>
      </c>
      <c r="W596" s="59">
        <v>20</v>
      </c>
      <c r="X596" s="59">
        <v>0</v>
      </c>
      <c r="Y596" s="59">
        <v>3500</v>
      </c>
      <c r="Z596" s="59" t="s">
        <v>2519</v>
      </c>
      <c r="AA596" s="59" t="s">
        <v>2518</v>
      </c>
      <c r="AB596" s="59">
        <v>6.8</v>
      </c>
      <c r="AC596" s="45">
        <f>C596+AK596+(0.1)*AL596</f>
        <v>13.2</v>
      </c>
      <c r="AD596" s="77">
        <v>97</v>
      </c>
      <c r="AE596" s="59">
        <v>5</v>
      </c>
      <c r="AF596" s="59">
        <v>5</v>
      </c>
      <c r="AG596" s="59">
        <v>1900</v>
      </c>
      <c r="AH596" s="77">
        <v>0</v>
      </c>
      <c r="AI596" s="59">
        <f ca="1">AJ596</f>
        <v>2019</v>
      </c>
      <c r="AJ596" s="18">
        <f ca="1">YEAR(TODAY())</f>
        <v>2019</v>
      </c>
      <c r="AK596" s="18">
        <v>3</v>
      </c>
      <c r="AL596" s="18">
        <v>22</v>
      </c>
      <c r="AM596" s="18">
        <v>1</v>
      </c>
      <c r="AN596" s="18">
        <v>1</v>
      </c>
      <c r="AO596" s="18">
        <v>5</v>
      </c>
      <c r="AP596" s="18">
        <v>1</v>
      </c>
      <c r="AQ596" s="18">
        <v>0</v>
      </c>
      <c r="AR596" s="18">
        <v>0</v>
      </c>
      <c r="AS596" s="18">
        <v>0</v>
      </c>
      <c r="AT596" s="18">
        <v>0</v>
      </c>
      <c r="AU596" s="18">
        <v>0</v>
      </c>
      <c r="AV596" s="18">
        <v>0</v>
      </c>
      <c r="AW596" s="18">
        <v>0</v>
      </c>
      <c r="AX596" s="18">
        <v>0</v>
      </c>
      <c r="AY596" s="233"/>
      <c r="AZ596" s="4"/>
      <c r="BA596" s="35" t="str">
        <f ca="1">IF(OR(S596="North America",S596="Rocky Mountain"), "Widespread",BC596)</f>
        <v>Abundant</v>
      </c>
      <c r="BB596" s="4"/>
      <c r="BC596" s="35" t="str">
        <f ca="1">IF(BE596&gt;2046, "Abundant",BE596)</f>
        <v>Abundant</v>
      </c>
      <c r="BD596" s="4"/>
      <c r="BE596" s="81">
        <f ca="1">YEAR($C$13)+(BG596*80)</f>
        <v>2102.8685775401068</v>
      </c>
      <c r="BF596" s="4"/>
      <c r="BG596" s="137">
        <f ca="1">BH596*$BH$14</f>
        <v>1.0483572192513368</v>
      </c>
      <c r="BH596" s="137">
        <f ca="1">(((BJ596+BK596+BM596+BN596)/4)*$BM$11)+(((BP596+BQ596)/2)*$BQ$11)+(((BU596+BV596+BW596)/3)*$BU$11)+(((BY596+BZ596+CA596+CB596+CC596)/5)*$CA$11)</f>
        <v>1.0483572192513368</v>
      </c>
      <c r="BI596" s="4"/>
      <c r="BJ596" s="33">
        <f>AP596/(AM596+AO596)</f>
        <v>0.16666666666666666</v>
      </c>
      <c r="BK596" s="33">
        <f>(AN596+AO596)/(AM596+AO596)</f>
        <v>1</v>
      </c>
      <c r="BL596" s="4"/>
      <c r="BM596" s="127">
        <f>CF596/102</f>
        <v>0.12941176470588234</v>
      </c>
      <c r="BN596" s="127">
        <f>C596/2</f>
        <v>4</v>
      </c>
      <c r="BO596" s="4"/>
      <c r="BP596" s="127">
        <f>(AK596)/($AW$6)</f>
        <v>3.0303030303030304E-2</v>
      </c>
      <c r="BQ596" s="127">
        <f ca="1">(CH596-$AW$4)/((YEAR($C$13))-$AW$4)</f>
        <v>1</v>
      </c>
      <c r="BR596" s="127">
        <f>(AL596)/($AW$6)</f>
        <v>0.22222222222222221</v>
      </c>
      <c r="BS596" s="4"/>
      <c r="BT596" s="127"/>
      <c r="BU596" s="127">
        <f ca="1">(CG596-$AW$4)/((YEAR($C$13))-$AW$4)</f>
        <v>1</v>
      </c>
      <c r="BV596" s="127">
        <f>AE596/5</f>
        <v>1</v>
      </c>
      <c r="BW596" s="127">
        <f>AF596/5</f>
        <v>1</v>
      </c>
      <c r="BX596" s="4"/>
      <c r="BY596" s="148" t="str">
        <f>IF(E596="A",".98",IF(E596="B",".99",IF(E596="C","1.00",IF(E596="D","1.00" ))))</f>
        <v>1.00</v>
      </c>
      <c r="BZ596" s="127">
        <f>(CE596+7)/10</f>
        <v>1</v>
      </c>
      <c r="CA596" s="76" t="str">
        <f>IF(D596="Fern",".97",IF(D596="Grass",".99",IF(D596="Herb",".97",IF(D596="Shrub",".99",IF(D596="Tree","1.00",IF(D596="Vine",".98"))))))</f>
        <v>.97</v>
      </c>
      <c r="CB596" s="149" t="str">
        <f>IF(R596="Bogs Ponds Streams",".96", IF(R596="Coastal Areas",".97",IF(R596="Meadows Dry Open",".96",IF(R596="Forest &amp; Understory",".97",IF(R596="Moist Open",".98",IF(R596="Moist Shady",".96",IF(R596="Sub-Alpine","1.0")))))))</f>
        <v>.98</v>
      </c>
      <c r="CC596" s="76" t="str">
        <f>IF(S596="Local Endemic",".50",IF(S596="Regional Endemic",".70",IF(S596="Cascadia",".90",IF(S596="Rocky Mountain",".95",IF(S596="North America",".99")))))</f>
        <v>.90</v>
      </c>
      <c r="CD596" s="4"/>
      <c r="CE596" s="21">
        <f>IF(W596&gt;3,3,W596)</f>
        <v>3</v>
      </c>
      <c r="CF596" s="21">
        <f>IF(AC596&gt;102,102,AC596)</f>
        <v>13.2</v>
      </c>
      <c r="CG596" s="34">
        <f ca="1">IF(AI596&lt;$AW$4,$AW$4,AI596)</f>
        <v>2019</v>
      </c>
      <c r="CH596" s="34">
        <f ca="1">IF(AJ596&lt;$AW$4,$AW$4,AJ596)</f>
        <v>2019</v>
      </c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13"/>
    </row>
    <row r="597" spans="1:115" ht="15" customHeight="1" x14ac:dyDescent="0.3">
      <c r="A597" s="235"/>
      <c r="B597" s="218"/>
      <c r="C597" s="225">
        <v>8</v>
      </c>
      <c r="D597" s="59" t="s">
        <v>2505</v>
      </c>
      <c r="E597" s="59" t="s">
        <v>2501</v>
      </c>
      <c r="F597" s="397" t="str">
        <f ca="1">IF(BC597&lt;2025, "Extinct&lt; 6Yrs?",BA597)</f>
        <v>Abundant</v>
      </c>
      <c r="G597" s="363" t="s">
        <v>525</v>
      </c>
      <c r="H597" s="363" t="s">
        <v>691</v>
      </c>
      <c r="I597" s="366" t="s">
        <v>378</v>
      </c>
      <c r="J597" s="365" t="s">
        <v>3446</v>
      </c>
      <c r="K597" s="365" t="s">
        <v>1080</v>
      </c>
      <c r="L597" s="10" t="s">
        <v>1611</v>
      </c>
      <c r="M597" s="8" t="s">
        <v>4671</v>
      </c>
      <c r="N597" s="8" t="s">
        <v>5568</v>
      </c>
      <c r="O597" s="8" t="s">
        <v>6467</v>
      </c>
      <c r="P597" s="399" t="s">
        <v>672</v>
      </c>
      <c r="Q597" s="59" t="s">
        <v>2552</v>
      </c>
      <c r="R597" s="9" t="s">
        <v>2498</v>
      </c>
      <c r="S597" s="9" t="s">
        <v>2459</v>
      </c>
      <c r="T597" s="123" t="str">
        <f>IF(R597="Bogs Ponds Streams","20",IF(R597="Coastal Areas","26",IF(R597="Meadows Dry Open","10",IF(R597="Forest &amp; Understory","14",IF(R597="Moist Open","12",IF(R597="Moist Shady","10",IF(R597="Sub-Alpine Slopes","0")))))))</f>
        <v>10</v>
      </c>
      <c r="U597" s="123" t="str">
        <f>IF(R597="Bogs Ponds Streams","52",IF(R597="Coastal Areas","51",IF(R597="Meadows Dry Open","53",IF(R597="Forest &amp; Understory","52",IF(R597="Moist Open","50",IF(R597="Moist Shady","46",IF(R597="Sub-Alpine Slopes","40")))))))</f>
        <v>46</v>
      </c>
      <c r="V597" s="123" t="str">
        <f>IF(R597="Bogs Ponds Streams","84",IF(R597="Coastal Areas","76",IF(R597="Meadows Dry Open","96", IF(R597="Forest &amp; Understory","90", IF(R597="Moist Open","88", IF(R597="Moist Shady","82", IF(R597="Sub-Alpine Slopes","80")))))))</f>
        <v>82</v>
      </c>
      <c r="W597" s="59">
        <v>20</v>
      </c>
      <c r="X597" s="59">
        <v>0</v>
      </c>
      <c r="Y597" s="59">
        <v>3500</v>
      </c>
      <c r="Z597" s="59" t="s">
        <v>2519</v>
      </c>
      <c r="AA597" s="59" t="s">
        <v>2518</v>
      </c>
      <c r="AB597" s="59">
        <v>6.8</v>
      </c>
      <c r="AC597" s="45">
        <f>C597+AK597+(0.1)*AL597</f>
        <v>32.200000000000003</v>
      </c>
      <c r="AD597" s="77">
        <v>112</v>
      </c>
      <c r="AE597" s="59">
        <v>5</v>
      </c>
      <c r="AF597" s="59">
        <v>5</v>
      </c>
      <c r="AG597" s="59">
        <v>1900</v>
      </c>
      <c r="AH597" s="77">
        <v>0</v>
      </c>
      <c r="AI597" s="59">
        <f ca="1">AJ597</f>
        <v>2019</v>
      </c>
      <c r="AJ597" s="18">
        <f ca="1">YEAR(TODAY())</f>
        <v>2019</v>
      </c>
      <c r="AK597" s="18">
        <v>22</v>
      </c>
      <c r="AL597" s="18">
        <v>22</v>
      </c>
      <c r="AM597" s="18">
        <v>1</v>
      </c>
      <c r="AN597" s="18">
        <v>1</v>
      </c>
      <c r="AO597" s="24">
        <v>2</v>
      </c>
      <c r="AP597" s="24">
        <v>2</v>
      </c>
      <c r="AQ597" s="18">
        <v>0</v>
      </c>
      <c r="AR597" s="18">
        <v>0</v>
      </c>
      <c r="AS597" s="18">
        <v>0</v>
      </c>
      <c r="AT597" s="18">
        <v>0</v>
      </c>
      <c r="AU597" s="18">
        <v>0</v>
      </c>
      <c r="AV597" s="18">
        <v>0</v>
      </c>
      <c r="AW597" s="18">
        <v>0</v>
      </c>
      <c r="AX597" s="18">
        <v>0</v>
      </c>
      <c r="AY597" s="233"/>
      <c r="AZ597" s="4"/>
      <c r="BA597" s="35" t="str">
        <f ca="1">IF(OR(S597="North America",S597="Rocky Mountain"), "Widespread",BC597)</f>
        <v>Abundant</v>
      </c>
      <c r="BB597" s="4"/>
      <c r="BC597" s="35" t="str">
        <f ca="1">IF(BE597&gt;2046, "Abundant",BE597)</f>
        <v>Abundant</v>
      </c>
      <c r="BD597" s="4"/>
      <c r="BE597" s="81">
        <f ca="1">YEAR($C$13)+(BG597*80)</f>
        <v>2113.4005019607844</v>
      </c>
      <c r="BF597" s="4"/>
      <c r="BG597" s="137">
        <f ca="1">BH597*$BH$14</f>
        <v>1.1800062745098039</v>
      </c>
      <c r="BH597" s="137">
        <f ca="1">(((BJ597+BK597+BM597+BN597)/4)*$BM$11)+(((BP597+BQ597)/2)*$BQ$11)+(((BU597+BV597+BW597)/3)*$BU$11)+(((BY597+BZ597+CA597+CB597+CC597)/5)*$CA$11)</f>
        <v>1.1800062745098039</v>
      </c>
      <c r="BI597" s="4"/>
      <c r="BJ597" s="33">
        <f>AP597/(AM597+AO597)</f>
        <v>0.66666666666666663</v>
      </c>
      <c r="BK597" s="33">
        <f>(AN597+AO597)/(AM597+AO597)</f>
        <v>1</v>
      </c>
      <c r="BL597" s="4"/>
      <c r="BM597" s="127">
        <f>CF597/102</f>
        <v>0.31568627450980397</v>
      </c>
      <c r="BN597" s="127">
        <f>C597/2</f>
        <v>4</v>
      </c>
      <c r="BO597" s="4"/>
      <c r="BP597" s="127">
        <f>(AK597)/($AW$6)</f>
        <v>0.22222222222222221</v>
      </c>
      <c r="BQ597" s="127">
        <f ca="1">(CH597-$AW$4)/((YEAR($C$13))-$AW$4)</f>
        <v>1</v>
      </c>
      <c r="BR597" s="127">
        <f>(AL597)/($AW$6)</f>
        <v>0.22222222222222221</v>
      </c>
      <c r="BS597" s="4"/>
      <c r="BT597" s="127"/>
      <c r="BU597" s="127">
        <f ca="1">(CG597-$AW$4)/((YEAR($C$13))-$AW$4)</f>
        <v>1</v>
      </c>
      <c r="BV597" s="127">
        <f>AE597/5</f>
        <v>1</v>
      </c>
      <c r="BW597" s="127">
        <f>AF597/5</f>
        <v>1</v>
      </c>
      <c r="BX597" s="4"/>
      <c r="BY597" s="148" t="str">
        <f>IF(E597="A",".98",IF(E597="B",".99",IF(E597="C","1.00",IF(E597="D","1.00" ))))</f>
        <v>1.00</v>
      </c>
      <c r="BZ597" s="127">
        <f>(CE597+7)/10</f>
        <v>1</v>
      </c>
      <c r="CA597" s="76" t="str">
        <f>IF(D597="Fern",".97",IF(D597="Grass",".99",IF(D597="Herb",".97",IF(D597="Shrub",".99",IF(D597="Tree","1.00",IF(D597="Vine",".98"))))))</f>
        <v>.97</v>
      </c>
      <c r="CB597" s="149" t="str">
        <f>IF(R597="Bogs Ponds Streams",".96", IF(R597="Coastal Areas",".97",IF(R597="Meadows Dry Open",".96",IF(R597="Forest &amp; Understory",".97",IF(R597="Moist Open",".98",IF(R597="Moist Shady",".96",IF(R597="Sub-Alpine","1.0")))))))</f>
        <v>.96</v>
      </c>
      <c r="CC597" s="76" t="str">
        <f>IF(S597="Local Endemic",".50",IF(S597="Regional Endemic",".70",IF(S597="Cascadia",".90",IF(S597="Rocky Mountain",".95",IF(S597="North America",".99")))))</f>
        <v>.90</v>
      </c>
      <c r="CD597" s="4"/>
      <c r="CE597" s="21">
        <f>IF(W597&gt;3,3,W597)</f>
        <v>3</v>
      </c>
      <c r="CF597" s="21">
        <f>IF(AC597&gt;102,102,AC597)</f>
        <v>32.200000000000003</v>
      </c>
      <c r="CG597" s="34">
        <f ca="1">IF(AI597&lt;$AW$4,$AW$4,AI597)</f>
        <v>2019</v>
      </c>
      <c r="CH597" s="34">
        <f ca="1">IF(AJ597&lt;$AW$4,$AW$4,AJ597)</f>
        <v>2019</v>
      </c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13"/>
    </row>
    <row r="598" spans="1:115" ht="15" customHeight="1" x14ac:dyDescent="0.3">
      <c r="A598" s="235"/>
      <c r="B598" s="218"/>
      <c r="C598" s="225">
        <v>8</v>
      </c>
      <c r="D598" s="59" t="s">
        <v>1154</v>
      </c>
      <c r="E598" s="59" t="s">
        <v>2501</v>
      </c>
      <c r="F598" s="397" t="str">
        <f ca="1">IF(BC598&lt;2025, "Extinct&lt; 6Yrs?",BA598)</f>
        <v>Abundant</v>
      </c>
      <c r="G598" s="363" t="s">
        <v>525</v>
      </c>
      <c r="H598" s="363" t="s">
        <v>688</v>
      </c>
      <c r="I598" s="366" t="s">
        <v>495</v>
      </c>
      <c r="J598" s="365" t="s">
        <v>3447</v>
      </c>
      <c r="K598" s="365" t="s">
        <v>494</v>
      </c>
      <c r="L598" s="10" t="s">
        <v>1612</v>
      </c>
      <c r="M598" s="8" t="s">
        <v>4672</v>
      </c>
      <c r="N598" s="8" t="s">
        <v>5569</v>
      </c>
      <c r="O598" s="8" t="s">
        <v>6468</v>
      </c>
      <c r="P598" s="9" t="s">
        <v>739</v>
      </c>
      <c r="Q598" s="59" t="s">
        <v>2552</v>
      </c>
      <c r="R598" s="58" t="s">
        <v>2500</v>
      </c>
      <c r="S598" s="9" t="s">
        <v>2459</v>
      </c>
      <c r="T598" s="123" t="str">
        <f>IF(R598="Bogs Ponds Streams","20",IF(R598="Coastal Areas","26",IF(R598="Meadows Dry Open","10",IF(R598="Forest &amp; Understory","14",IF(R598="Moist Open","12",IF(R598="Moist Shady","10",IF(R598="Sub-Alpine Slopes","0")))))))</f>
        <v>10</v>
      </c>
      <c r="U598" s="123" t="str">
        <f>IF(R598="Bogs Ponds Streams","52",IF(R598="Coastal Areas","51",IF(R598="Meadows Dry Open","53",IF(R598="Forest &amp; Understory","52",IF(R598="Moist Open","50",IF(R598="Moist Shady","46",IF(R598="Sub-Alpine Slopes","40")))))))</f>
        <v>53</v>
      </c>
      <c r="V598" s="123" t="str">
        <f>IF(R598="Bogs Ponds Streams","84",IF(R598="Coastal Areas","76",IF(R598="Meadows Dry Open","96", IF(R598="Forest &amp; Understory","90", IF(R598="Moist Open","88", IF(R598="Moist Shady","82", IF(R598="Sub-Alpine Slopes","80")))))))</f>
        <v>96</v>
      </c>
      <c r="W598" s="59">
        <v>20</v>
      </c>
      <c r="X598" s="59">
        <v>0</v>
      </c>
      <c r="Y598" s="59">
        <v>3500</v>
      </c>
      <c r="Z598" s="59" t="s">
        <v>2519</v>
      </c>
      <c r="AA598" s="59" t="s">
        <v>2518</v>
      </c>
      <c r="AB598" s="59">
        <v>6.8</v>
      </c>
      <c r="AC598" s="45">
        <f>C598+AK598+(0.1)*AL598</f>
        <v>30.2</v>
      </c>
      <c r="AD598" s="77">
        <v>110</v>
      </c>
      <c r="AE598" s="59">
        <v>5</v>
      </c>
      <c r="AF598" s="59">
        <v>5</v>
      </c>
      <c r="AG598" s="59">
        <v>1900</v>
      </c>
      <c r="AH598" s="77">
        <v>0</v>
      </c>
      <c r="AI598" s="59">
        <f ca="1">AJ598</f>
        <v>2019</v>
      </c>
      <c r="AJ598" s="18">
        <f ca="1">YEAR(TODAY())</f>
        <v>2019</v>
      </c>
      <c r="AK598" s="18">
        <v>22</v>
      </c>
      <c r="AL598" s="18">
        <v>2</v>
      </c>
      <c r="AM598" s="18">
        <v>1</v>
      </c>
      <c r="AN598" s="18">
        <v>1</v>
      </c>
      <c r="AO598" s="18">
        <v>5</v>
      </c>
      <c r="AP598" s="18">
        <v>1</v>
      </c>
      <c r="AQ598" s="18">
        <v>0</v>
      </c>
      <c r="AR598" s="18">
        <v>0</v>
      </c>
      <c r="AS598" s="18">
        <v>0</v>
      </c>
      <c r="AT598" s="18">
        <v>0</v>
      </c>
      <c r="AU598" s="18">
        <v>0</v>
      </c>
      <c r="AV598" s="18">
        <v>0</v>
      </c>
      <c r="AW598" s="18">
        <v>0</v>
      </c>
      <c r="AX598" s="18">
        <v>0</v>
      </c>
      <c r="AY598" s="233"/>
      <c r="AZ598" s="4"/>
      <c r="BA598" s="35" t="str">
        <f ca="1">IF(OR(S598="North America",S598="Rocky Mountain"), "Widespread",BC598)</f>
        <v>Abundant</v>
      </c>
      <c r="BB598" s="4"/>
      <c r="BC598" s="35" t="str">
        <f ca="1">IF(BE598&gt;2046, "Abundant",BE598)</f>
        <v>Abundant</v>
      </c>
      <c r="BD598" s="4"/>
      <c r="BE598" s="81">
        <f ca="1">YEAR($C$13)+(BG598*80)</f>
        <v>2107.1652078431371</v>
      </c>
      <c r="BF598" s="4"/>
      <c r="BG598" s="137">
        <f ca="1">BH598*$BH$14</f>
        <v>1.1020650980392159</v>
      </c>
      <c r="BH598" s="137">
        <f ca="1">(((BJ598+BK598+BM598+BN598)/4)*$BM$11)+(((BP598+BQ598)/2)*$BQ$11)+(((BU598+BV598+BW598)/3)*$BU$11)+(((BY598+BZ598+CA598+CB598+CC598)/5)*$CA$11)</f>
        <v>1.1020650980392159</v>
      </c>
      <c r="BI598" s="4"/>
      <c r="BJ598" s="33">
        <f>AP598/(AM598+AO598)</f>
        <v>0.16666666666666666</v>
      </c>
      <c r="BK598" s="33">
        <f>(AN598+AO598)/(AM598+AO598)</f>
        <v>1</v>
      </c>
      <c r="BL598" s="4"/>
      <c r="BM598" s="127">
        <f>CF598/102</f>
        <v>0.29607843137254902</v>
      </c>
      <c r="BN598" s="127">
        <f>C598/2</f>
        <v>4</v>
      </c>
      <c r="BO598" s="4"/>
      <c r="BP598" s="127">
        <f>(AK598)/($AW$6)</f>
        <v>0.22222222222222221</v>
      </c>
      <c r="BQ598" s="127">
        <f ca="1">(CH598-$AW$4)/((YEAR($C$13))-$AW$4)</f>
        <v>1</v>
      </c>
      <c r="BR598" s="127">
        <f>(AL598)/($AW$6)</f>
        <v>2.0202020202020204E-2</v>
      </c>
      <c r="BS598" s="4"/>
      <c r="BT598" s="127"/>
      <c r="BU598" s="127">
        <f ca="1">(CG598-$AW$4)/((YEAR($C$13))-$AW$4)</f>
        <v>1</v>
      </c>
      <c r="BV598" s="127">
        <f>AE598/5</f>
        <v>1</v>
      </c>
      <c r="BW598" s="127">
        <f>AF598/5</f>
        <v>1</v>
      </c>
      <c r="BX598" s="4"/>
      <c r="BY598" s="148" t="str">
        <f>IF(E598="A",".98",IF(E598="B",".99",IF(E598="C","1.00",IF(E598="D","1.00" ))))</f>
        <v>1.00</v>
      </c>
      <c r="BZ598" s="127">
        <f>(CE598+7)/10</f>
        <v>1</v>
      </c>
      <c r="CA598" s="76" t="str">
        <f>IF(D598="Fern",".97",IF(D598="Grass",".99",IF(D598="Herb",".97",IF(D598="Shrub",".99",IF(D598="Tree","1.00",IF(D598="Vine",".98"))))))</f>
        <v>.97</v>
      </c>
      <c r="CB598" s="149" t="str">
        <f>IF(R598="Bogs Ponds Streams",".96", IF(R598="Coastal Areas",".97",IF(R598="Meadows Dry Open",".96",IF(R598="Forest &amp; Understory",".97",IF(R598="Moist Open",".98",IF(R598="Moist Shady",".96",IF(R598="Sub-Alpine","1.0")))))))</f>
        <v>.96</v>
      </c>
      <c r="CC598" s="76" t="str">
        <f>IF(S598="Local Endemic",".50",IF(S598="Regional Endemic",".70",IF(S598="Cascadia",".90",IF(S598="Rocky Mountain",".95",IF(S598="North America",".99")))))</f>
        <v>.90</v>
      </c>
      <c r="CD598" s="4"/>
      <c r="CE598" s="21">
        <f>IF(W598&gt;3,3,W598)</f>
        <v>3</v>
      </c>
      <c r="CF598" s="21">
        <f>IF(AC598&gt;102,102,AC598)</f>
        <v>30.2</v>
      </c>
      <c r="CG598" s="34">
        <f ca="1">IF(AI598&lt;$AW$4,$AW$4,AI598)</f>
        <v>2019</v>
      </c>
      <c r="CH598" s="34">
        <f ca="1">IF(AJ598&lt;$AW$4,$AW$4,AJ598)</f>
        <v>2019</v>
      </c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13"/>
    </row>
    <row r="599" spans="1:115" ht="15" customHeight="1" x14ac:dyDescent="0.3">
      <c r="A599" s="235"/>
      <c r="B599" s="218"/>
      <c r="C599" s="225">
        <v>8</v>
      </c>
      <c r="D599" s="59" t="s">
        <v>2505</v>
      </c>
      <c r="E599" s="59" t="s">
        <v>2502</v>
      </c>
      <c r="F599" s="397" t="str">
        <f ca="1">IF(BC599&lt;2025, "Extinct&lt; 6Yrs?",BA599)</f>
        <v>Widespread</v>
      </c>
      <c r="G599" s="363" t="s">
        <v>525</v>
      </c>
      <c r="H599" s="363" t="s">
        <v>690</v>
      </c>
      <c r="I599" s="10" t="s">
        <v>2219</v>
      </c>
      <c r="J599" s="365" t="s">
        <v>3448</v>
      </c>
      <c r="K599" s="365" t="s">
        <v>118</v>
      </c>
      <c r="L599" s="10" t="s">
        <v>2218</v>
      </c>
      <c r="M599" s="8" t="s">
        <v>4994</v>
      </c>
      <c r="N599" s="8" t="s">
        <v>5570</v>
      </c>
      <c r="O599" s="8" t="s">
        <v>6469</v>
      </c>
      <c r="P599" s="9" t="s">
        <v>558</v>
      </c>
      <c r="Q599" s="59" t="s">
        <v>2552</v>
      </c>
      <c r="R599" s="9" t="s">
        <v>2498</v>
      </c>
      <c r="S599" s="17" t="s">
        <v>2479</v>
      </c>
      <c r="T599" s="123" t="str">
        <f>IF(R599="Bogs Ponds Streams","20",IF(R599="Coastal Areas","26",IF(R599="Meadows Dry Open","10",IF(R599="Forest &amp; Understory","14",IF(R599="Moist Open","12",IF(R599="Moist Shady","10",IF(R599="Sub-Alpine Slopes","0")))))))</f>
        <v>10</v>
      </c>
      <c r="U599" s="123" t="str">
        <f>IF(R599="Bogs Ponds Streams","52",IF(R599="Coastal Areas","51",IF(R599="Meadows Dry Open","53",IF(R599="Forest &amp; Understory","52",IF(R599="Moist Open","50",IF(R599="Moist Shady","46",IF(R599="Sub-Alpine Slopes","40")))))))</f>
        <v>46</v>
      </c>
      <c r="V599" s="123" t="str">
        <f>IF(R599="Bogs Ponds Streams","84",IF(R599="Coastal Areas","76",IF(R599="Meadows Dry Open","96", IF(R599="Forest &amp; Understory","90", IF(R599="Moist Open","88", IF(R599="Moist Shady","82", IF(R599="Sub-Alpine Slopes","80")))))))</f>
        <v>82</v>
      </c>
      <c r="W599" s="59">
        <v>1</v>
      </c>
      <c r="X599" s="59">
        <v>0</v>
      </c>
      <c r="Y599" s="59">
        <v>3500</v>
      </c>
      <c r="Z599" s="59" t="s">
        <v>2519</v>
      </c>
      <c r="AA599" s="59" t="s">
        <v>2518</v>
      </c>
      <c r="AB599" s="59">
        <v>6.8</v>
      </c>
      <c r="AC599" s="45">
        <f>C599+AK599+(0.1)*AL599</f>
        <v>18</v>
      </c>
      <c r="AD599" s="77">
        <v>46</v>
      </c>
      <c r="AE599" s="59">
        <v>5</v>
      </c>
      <c r="AF599" s="59">
        <v>5</v>
      </c>
      <c r="AG599" s="59">
        <v>1900</v>
      </c>
      <c r="AH599" s="77">
        <v>0</v>
      </c>
      <c r="AI599" s="59">
        <f ca="1">AJ599</f>
        <v>2019</v>
      </c>
      <c r="AJ599" s="18">
        <f ca="1">YEAR(TODAY())</f>
        <v>2019</v>
      </c>
      <c r="AK599" s="18">
        <v>10</v>
      </c>
      <c r="AL599" s="18">
        <v>0</v>
      </c>
      <c r="AM599" s="18">
        <v>1</v>
      </c>
      <c r="AN599" s="18">
        <v>1</v>
      </c>
      <c r="AO599" s="25">
        <v>0</v>
      </c>
      <c r="AP599" s="24">
        <v>0</v>
      </c>
      <c r="AQ599" s="18">
        <v>0</v>
      </c>
      <c r="AR599" s="18">
        <v>0</v>
      </c>
      <c r="AS599" s="18">
        <v>0</v>
      </c>
      <c r="AT599" s="18">
        <v>0</v>
      </c>
      <c r="AU599" s="18">
        <v>0</v>
      </c>
      <c r="AV599" s="18">
        <v>0</v>
      </c>
      <c r="AW599" s="18">
        <v>0</v>
      </c>
      <c r="AX599" s="18">
        <v>0</v>
      </c>
      <c r="AY599" s="233"/>
      <c r="AZ599" s="4"/>
      <c r="BA599" s="35" t="str">
        <f>IF(OR(S599="North America",S599="Rocky Mountain"), "Widespread",BC599)</f>
        <v>Widespread</v>
      </c>
      <c r="BB599" s="4"/>
      <c r="BC599" s="35" t="str">
        <f ca="1">IF(BE599&gt;2046, "Abundant",BE599)</f>
        <v>Abundant</v>
      </c>
      <c r="BD599" s="4"/>
      <c r="BE599" s="81">
        <f ca="1">YEAR($C$13)+(BG599*80)</f>
        <v>2102.2209682709449</v>
      </c>
      <c r="BF599" s="4"/>
      <c r="BG599" s="137">
        <f ca="1">BH599*$BH$14</f>
        <v>1.0402621033868094</v>
      </c>
      <c r="BH599" s="137">
        <f ca="1">(((BJ599+BK599+BM599+BN599)/4)*$BM$11)+(((BP599+BQ599)/2)*$BQ$11)+(((BU599+BV599+BW599)/3)*$BU$11)+(((BY599+BZ599+CA599+CB599+CC599)/5)*$CA$11)</f>
        <v>1.0402621033868094</v>
      </c>
      <c r="BI599" s="4"/>
      <c r="BJ599" s="33">
        <f>AP599/(AM599+AO599)</f>
        <v>0</v>
      </c>
      <c r="BK599" s="33">
        <f>(AN599+AO599)/(AM599+AO599)</f>
        <v>1</v>
      </c>
      <c r="BL599" s="4"/>
      <c r="BM599" s="127">
        <f>CF599/102</f>
        <v>0.17647058823529413</v>
      </c>
      <c r="BN599" s="127">
        <f>C599/2</f>
        <v>4</v>
      </c>
      <c r="BO599" s="4"/>
      <c r="BP599" s="127">
        <f>(AK599)/($AW$6)</f>
        <v>0.10101010101010101</v>
      </c>
      <c r="BQ599" s="127">
        <f ca="1">(CH599-$AW$4)/((YEAR($C$13))-$AW$4)</f>
        <v>1</v>
      </c>
      <c r="BR599" s="127">
        <f>(AL599)/($AW$6)</f>
        <v>0</v>
      </c>
      <c r="BS599" s="4"/>
      <c r="BT599" s="127"/>
      <c r="BU599" s="127">
        <f ca="1">(CG599-$AW$4)/((YEAR($C$13))-$AW$4)</f>
        <v>1</v>
      </c>
      <c r="BV599" s="127">
        <f>AE599/5</f>
        <v>1</v>
      </c>
      <c r="BW599" s="127">
        <f>AF599/5</f>
        <v>1</v>
      </c>
      <c r="BX599" s="4"/>
      <c r="BY599" s="148" t="str">
        <f>IF(E599="A",".98",IF(E599="B",".99",IF(E599="C","1.00",IF(E599="D","1.00" ))))</f>
        <v>.98</v>
      </c>
      <c r="BZ599" s="127">
        <f>(CE599+7)/10</f>
        <v>0.8</v>
      </c>
      <c r="CA599" s="76" t="str">
        <f>IF(D599="Fern",".97",IF(D599="Grass",".99",IF(D599="Herb",".97",IF(D599="Shrub",".99",IF(D599="Tree","1.00",IF(D599="Vine",".98"))))))</f>
        <v>.97</v>
      </c>
      <c r="CB599" s="149" t="str">
        <f>IF(R599="Bogs Ponds Streams",".96", IF(R599="Coastal Areas",".97",IF(R599="Meadows Dry Open",".96",IF(R599="Forest &amp; Understory",".97",IF(R599="Moist Open",".98",IF(R599="Moist Shady",".96",IF(R599="Sub-Alpine","1.0")))))))</f>
        <v>.96</v>
      </c>
      <c r="CC599" s="76" t="str">
        <f>IF(S599="Local Endemic",".50",IF(S599="Regional Endemic",".70",IF(S599="Cascadia",".90",IF(S599="Rocky Mountain",".95",IF(S599="North America",".99")))))</f>
        <v>.95</v>
      </c>
      <c r="CD599" s="4"/>
      <c r="CE599" s="21">
        <f>IF(W599&gt;3,3,W599)</f>
        <v>1</v>
      </c>
      <c r="CF599" s="21">
        <f>IF(AC599&gt;102,102,AC599)</f>
        <v>18</v>
      </c>
      <c r="CG599" s="34">
        <f ca="1">IF(AI599&lt;$AW$4,$AW$4,AI599)</f>
        <v>2019</v>
      </c>
      <c r="CH599" s="34">
        <f ca="1">IF(AJ599&lt;$AW$4,$AW$4,AJ599)</f>
        <v>2019</v>
      </c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13"/>
    </row>
    <row r="600" spans="1:115" ht="15" customHeight="1" x14ac:dyDescent="0.3">
      <c r="A600" s="235"/>
      <c r="B600" s="218"/>
      <c r="C600" s="375">
        <v>1</v>
      </c>
      <c r="D600" s="67" t="s">
        <v>2505</v>
      </c>
      <c r="E600" s="67" t="s">
        <v>2501</v>
      </c>
      <c r="F600" s="403">
        <f ca="1">IF(BC600&lt;2025, "Extinct&lt; 6Yrs?",BA600)</f>
        <v>2031.885635650624</v>
      </c>
      <c r="G600" s="376" t="s">
        <v>525</v>
      </c>
      <c r="H600" s="376" t="s">
        <v>4028</v>
      </c>
      <c r="I600" s="377" t="s">
        <v>2311</v>
      </c>
      <c r="J600" s="378" t="s">
        <v>2433</v>
      </c>
      <c r="K600" s="378" t="s">
        <v>2310</v>
      </c>
      <c r="L600" s="64" t="s">
        <v>2432</v>
      </c>
      <c r="M600" s="64" t="s">
        <v>4673</v>
      </c>
      <c r="N600" s="64" t="s">
        <v>5571</v>
      </c>
      <c r="O600" s="64" t="s">
        <v>6470</v>
      </c>
      <c r="P600" s="61" t="s">
        <v>558</v>
      </c>
      <c r="Q600" s="67" t="s">
        <v>2552</v>
      </c>
      <c r="R600" s="61" t="s">
        <v>2498</v>
      </c>
      <c r="S600" s="164" t="s">
        <v>2459</v>
      </c>
      <c r="T600" s="134" t="str">
        <f>IF(R600="Bogs Ponds Streams","20",IF(R600="Coastal Areas","26",IF(R600="Meadows Dry Open","10",IF(R600="Forest &amp; Understory","14",IF(R600="Moist Open","12",IF(R600="Moist Shady","10",IF(R600="Sub-Alpine Slopes","0")))))))</f>
        <v>10</v>
      </c>
      <c r="U600" s="134" t="str">
        <f>IF(R600="Bogs Ponds Streams","52",IF(R600="Coastal Areas","51",IF(R600="Meadows Dry Open","53",IF(R600="Forest &amp; Understory","52",IF(R600="Moist Open","50",IF(R600="Moist Shady","46",IF(R600="Sub-Alpine Slopes","40")))))))</f>
        <v>46</v>
      </c>
      <c r="V600" s="134" t="str">
        <f>IF(R600="Bogs Ponds Streams","84",IF(R600="Coastal Areas","76",IF(R600="Meadows Dry Open","96", IF(R600="Forest &amp; Understory","90", IF(R600="Moist Open","88", IF(R600="Moist Shady","82", IF(R600="Sub-Alpine Slopes","80")))))))</f>
        <v>82</v>
      </c>
      <c r="W600" s="67">
        <v>20</v>
      </c>
      <c r="X600" s="67">
        <v>0</v>
      </c>
      <c r="Y600" s="67">
        <v>3500</v>
      </c>
      <c r="Z600" s="67" t="s">
        <v>2519</v>
      </c>
      <c r="AA600" s="67" t="s">
        <v>2518</v>
      </c>
      <c r="AB600" s="67">
        <v>6.8</v>
      </c>
      <c r="AC600" s="85">
        <f>C600+AK600+(0.1)*AL600</f>
        <v>2.2000000000000002</v>
      </c>
      <c r="AD600" s="78">
        <v>15</v>
      </c>
      <c r="AE600" s="68">
        <v>2</v>
      </c>
      <c r="AF600" s="68">
        <v>4</v>
      </c>
      <c r="AG600" s="78">
        <v>1894</v>
      </c>
      <c r="AH600" s="78">
        <v>0</v>
      </c>
      <c r="AI600" s="78">
        <v>1920</v>
      </c>
      <c r="AJ600" s="67">
        <v>2007</v>
      </c>
      <c r="AK600" s="67">
        <v>1</v>
      </c>
      <c r="AL600" s="67">
        <v>2</v>
      </c>
      <c r="AM600" s="70">
        <v>5</v>
      </c>
      <c r="AN600" s="70">
        <v>0</v>
      </c>
      <c r="AO600" s="86">
        <v>0</v>
      </c>
      <c r="AP600" s="70">
        <v>0</v>
      </c>
      <c r="AQ600" s="70">
        <v>0</v>
      </c>
      <c r="AR600" s="70">
        <v>0</v>
      </c>
      <c r="AS600" s="86">
        <v>0</v>
      </c>
      <c r="AT600" s="70">
        <v>0</v>
      </c>
      <c r="AU600" s="70">
        <v>0</v>
      </c>
      <c r="AV600" s="70">
        <v>0</v>
      </c>
      <c r="AW600" s="86">
        <v>0</v>
      </c>
      <c r="AX600" s="70">
        <v>0</v>
      </c>
      <c r="AY600" s="233"/>
      <c r="AZ600" s="11"/>
      <c r="BA600" s="35">
        <f ca="1">IF(OR(S600="North America",S600="Rocky Mountain"), "Widespread",BC600)</f>
        <v>2031.885635650624</v>
      </c>
      <c r="BB600" s="11"/>
      <c r="BC600" s="35">
        <f ca="1">IF(BE600&gt;2046, "Abundant",BE600)</f>
        <v>2031.885635650624</v>
      </c>
      <c r="BD600" s="11"/>
      <c r="BE600" s="81">
        <f ca="1">YEAR($C$13)+(BG600*80)</f>
        <v>2031.885635650624</v>
      </c>
      <c r="BF600" s="11"/>
      <c r="BG600" s="137">
        <f ca="1">BH600*$BH$14</f>
        <v>0.16107044563279857</v>
      </c>
      <c r="BH600" s="137">
        <f ca="1">(((BJ600+BK600+BM600+BN600)/4)*$BM$11)+(((BP600+BQ600)/2)*$BQ$11)+(((BU600+BV600+BW600)/3)*$BU$11)+(((BY600+BZ600+CA600+CB600+CC600)/5)*$CA$11)</f>
        <v>0.16107044563279857</v>
      </c>
      <c r="BI600" s="11"/>
      <c r="BJ600" s="33">
        <f>AP600/(AM600+AO600)</f>
        <v>0</v>
      </c>
      <c r="BK600" s="33">
        <f>(AN600+AO600)/(AM600+AO600)</f>
        <v>0</v>
      </c>
      <c r="BL600" s="11"/>
      <c r="BM600" s="127">
        <f>CF600/102</f>
        <v>2.1568627450980395E-2</v>
      </c>
      <c r="BN600" s="127">
        <f>C600/2</f>
        <v>0.5</v>
      </c>
      <c r="BO600" s="11"/>
      <c r="BP600" s="127">
        <f>(AK600)/($AW$6)</f>
        <v>1.0101010101010102E-2</v>
      </c>
      <c r="BQ600" s="127">
        <f ca="1">(CH600-$AW$4)/((YEAR($C$13))-$AW$4)</f>
        <v>0.2</v>
      </c>
      <c r="BR600" s="127">
        <f>(AL600)/($AW$6)</f>
        <v>2.0202020202020204E-2</v>
      </c>
      <c r="BS600" s="11"/>
      <c r="BT600" s="127"/>
      <c r="BU600" s="127">
        <f ca="1">(CG600-$AW$4)/((YEAR($C$13))-$AW$4)</f>
        <v>0</v>
      </c>
      <c r="BV600" s="127">
        <f>AE600/5</f>
        <v>0.4</v>
      </c>
      <c r="BW600" s="127">
        <f>AF600/5</f>
        <v>0.8</v>
      </c>
      <c r="BX600" s="11"/>
      <c r="BY600" s="148" t="str">
        <f>IF(E600="A",".98",IF(E600="B",".99",IF(E600="C","1.00",IF(E600="D","1.00" ))))</f>
        <v>1.00</v>
      </c>
      <c r="BZ600" s="127">
        <f>(CE600+7)/10</f>
        <v>1</v>
      </c>
      <c r="CA600" s="76" t="str">
        <f>IF(D600="Fern",".97",IF(D600="Grass",".99",IF(D600="Herb",".97",IF(D600="Shrub",".99",IF(D600="Tree","1.00",IF(D600="Vine",".98"))))))</f>
        <v>.97</v>
      </c>
      <c r="CB600" s="149" t="str">
        <f>IF(R600="Bogs Ponds Streams",".96", IF(R600="Coastal Areas",".97",IF(R600="Meadows Dry Open",".96",IF(R600="Forest &amp; Understory",".97",IF(R600="Moist Open",".98",IF(R600="Moist Shady",".96",IF(R600="Sub-Alpine","1.0")))))))</f>
        <v>.96</v>
      </c>
      <c r="CC600" s="76" t="str">
        <f>IF(S600="Local Endemic",".50",IF(S600="Regional Endemic",".70",IF(S600="Cascadia",".90",IF(S600="Rocky Mountain",".95",IF(S600="North America",".99")))))</f>
        <v>.90</v>
      </c>
      <c r="CD600" s="11"/>
      <c r="CE600" s="21">
        <f>IF(W600&gt;3,3,W600)</f>
        <v>3</v>
      </c>
      <c r="CF600" s="21">
        <f>IF(AC600&gt;102,102,AC600)</f>
        <v>2.2000000000000002</v>
      </c>
      <c r="CG600" s="34">
        <f>IF(AI600&lt;$AW$4,$AW$4,AI600)</f>
        <v>2004</v>
      </c>
      <c r="CH600" s="34">
        <f>IF(AJ600&lt;$AW$4,$AW$4,AJ600)</f>
        <v>2007</v>
      </c>
      <c r="CI600" s="11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11"/>
      <c r="DC600" s="11"/>
      <c r="DD600" s="11"/>
      <c r="DE600" s="11"/>
      <c r="DF600" s="11"/>
      <c r="DG600" s="11"/>
      <c r="DH600" s="11"/>
      <c r="DI600" s="11"/>
      <c r="DJ600" s="11"/>
    </row>
    <row r="601" spans="1:115" ht="15" customHeight="1" x14ac:dyDescent="0.3">
      <c r="A601" s="235"/>
      <c r="B601" s="218"/>
      <c r="C601" s="225">
        <v>8</v>
      </c>
      <c r="D601" s="59" t="s">
        <v>2505</v>
      </c>
      <c r="E601" s="59" t="s">
        <v>2501</v>
      </c>
      <c r="F601" s="397" t="str">
        <f ca="1">IF(BC601&lt;2025, "Extinct&lt; 6Yrs?",BA601)</f>
        <v>Widespread</v>
      </c>
      <c r="G601" s="363" t="s">
        <v>525</v>
      </c>
      <c r="H601" s="363" t="s">
        <v>688</v>
      </c>
      <c r="I601" s="366" t="s">
        <v>2687</v>
      </c>
      <c r="J601" s="365" t="s">
        <v>3449</v>
      </c>
      <c r="K601" s="365" t="s">
        <v>1093</v>
      </c>
      <c r="L601" s="228" t="s">
        <v>2234</v>
      </c>
      <c r="M601" s="8" t="s">
        <v>4674</v>
      </c>
      <c r="N601" s="8" t="s">
        <v>5572</v>
      </c>
      <c r="O601" s="8" t="s">
        <v>6471</v>
      </c>
      <c r="P601" s="9" t="s">
        <v>268</v>
      </c>
      <c r="Q601" s="59" t="s">
        <v>2552</v>
      </c>
      <c r="R601" s="9" t="s">
        <v>2498</v>
      </c>
      <c r="S601" s="9" t="s">
        <v>2495</v>
      </c>
      <c r="T601" s="123" t="str">
        <f>IF(R601="Bogs Ponds Streams","20",IF(R601="Coastal Areas","26",IF(R601="Meadows Dry Open","10",IF(R601="Forest &amp; Understory","14",IF(R601="Moist Open","12",IF(R601="Moist Shady","10",IF(R601="Sub-Alpine Slopes","0")))))))</f>
        <v>10</v>
      </c>
      <c r="U601" s="123" t="str">
        <f>IF(R601="Bogs Ponds Streams","52",IF(R601="Coastal Areas","51",IF(R601="Meadows Dry Open","53",IF(R601="Forest &amp; Understory","52",IF(R601="Moist Open","50",IF(R601="Moist Shady","46",IF(R601="Sub-Alpine Slopes","40")))))))</f>
        <v>46</v>
      </c>
      <c r="V601" s="123" t="str">
        <f>IF(R601="Bogs Ponds Streams","84",IF(R601="Coastal Areas","76",IF(R601="Meadows Dry Open","96", IF(R601="Forest &amp; Understory","90", IF(R601="Moist Open","88", IF(R601="Moist Shady","82", IF(R601="Sub-Alpine Slopes","80")))))))</f>
        <v>82</v>
      </c>
      <c r="W601" s="59">
        <v>20</v>
      </c>
      <c r="X601" s="59">
        <v>0</v>
      </c>
      <c r="Y601" s="59">
        <v>3500</v>
      </c>
      <c r="Z601" s="59" t="s">
        <v>2519</v>
      </c>
      <c r="AA601" s="59" t="s">
        <v>2518</v>
      </c>
      <c r="AB601" s="59">
        <v>6.8</v>
      </c>
      <c r="AC601" s="45">
        <f>C601+AK601+(0.1)*AL601</f>
        <v>18</v>
      </c>
      <c r="AD601" s="77">
        <v>130</v>
      </c>
      <c r="AE601" s="59">
        <v>5</v>
      </c>
      <c r="AF601" s="59">
        <v>5</v>
      </c>
      <c r="AG601" s="59">
        <v>1900</v>
      </c>
      <c r="AH601" s="77">
        <v>0</v>
      </c>
      <c r="AI601" s="59">
        <f ca="1">AJ601</f>
        <v>2019</v>
      </c>
      <c r="AJ601" s="18">
        <f ca="1">YEAR(TODAY())</f>
        <v>2019</v>
      </c>
      <c r="AK601" s="18">
        <v>10</v>
      </c>
      <c r="AL601" s="18">
        <v>0</v>
      </c>
      <c r="AM601" s="18">
        <v>1</v>
      </c>
      <c r="AN601" s="18">
        <v>1</v>
      </c>
      <c r="AO601" s="24">
        <v>1</v>
      </c>
      <c r="AP601" s="24">
        <v>1</v>
      </c>
      <c r="AQ601" s="18">
        <v>0</v>
      </c>
      <c r="AR601" s="18">
        <v>0</v>
      </c>
      <c r="AS601" s="18">
        <v>0</v>
      </c>
      <c r="AT601" s="18">
        <v>0</v>
      </c>
      <c r="AU601" s="18">
        <v>0</v>
      </c>
      <c r="AV601" s="18">
        <v>0</v>
      </c>
      <c r="AW601" s="18">
        <v>0</v>
      </c>
      <c r="AX601" s="18">
        <v>0</v>
      </c>
      <c r="AY601" s="233"/>
      <c r="AZ601" s="4"/>
      <c r="BA601" s="35" t="str">
        <f>IF(OR(S601="North America",S601="Rocky Mountain"), "Widespread",BC601)</f>
        <v>Widespread</v>
      </c>
      <c r="BB601" s="4"/>
      <c r="BC601" s="35" t="str">
        <f ca="1">IF(BE601&gt;2046, "Abundant",BE601)</f>
        <v>Abundant</v>
      </c>
      <c r="BD601" s="4"/>
      <c r="BE601" s="81">
        <f ca="1">YEAR($C$13)+(BG601*80)</f>
        <v>2108.304168270945</v>
      </c>
      <c r="BF601" s="4"/>
      <c r="BG601" s="137">
        <f ca="1">BH601*$BH$14</f>
        <v>1.1163021033868092</v>
      </c>
      <c r="BH601" s="137">
        <f ca="1">(((BJ601+BK601+BM601+BN601)/4)*$BM$11)+(((BP601+BQ601)/2)*$BQ$11)+(((BU601+BV601+BW601)/3)*$BU$11)+(((BY601+BZ601+CA601+CB601+CC601)/5)*$CA$11)</f>
        <v>1.1163021033868092</v>
      </c>
      <c r="BI601" s="4"/>
      <c r="BJ601" s="33">
        <f>AP601/(AM601+AO601)</f>
        <v>0.5</v>
      </c>
      <c r="BK601" s="33">
        <f>(AN601+AO601)/(AM601+AO601)</f>
        <v>1</v>
      </c>
      <c r="BL601" s="4"/>
      <c r="BM601" s="127">
        <f>CF601/102</f>
        <v>0.17647058823529413</v>
      </c>
      <c r="BN601" s="127">
        <f>C601/2</f>
        <v>4</v>
      </c>
      <c r="BO601" s="4"/>
      <c r="BP601" s="127">
        <f>(AK601)/($AW$6)</f>
        <v>0.10101010101010101</v>
      </c>
      <c r="BQ601" s="127">
        <f ca="1">(CH601-$AW$4)/((YEAR($C$13))-$AW$4)</f>
        <v>1</v>
      </c>
      <c r="BR601" s="127">
        <f>(AL601)/($AW$6)</f>
        <v>0</v>
      </c>
      <c r="BS601" s="4"/>
      <c r="BT601" s="127"/>
      <c r="BU601" s="127">
        <f ca="1">(CG601-$AW$4)/((YEAR($C$13))-$AW$4)</f>
        <v>1</v>
      </c>
      <c r="BV601" s="127">
        <f>AE601/5</f>
        <v>1</v>
      </c>
      <c r="BW601" s="127">
        <f>AF601/5</f>
        <v>1</v>
      </c>
      <c r="BX601" s="4"/>
      <c r="BY601" s="148" t="str">
        <f>IF(E601="A",".98",IF(E601="B",".99",IF(E601="C","1.00",IF(E601="D","1.00" ))))</f>
        <v>1.00</v>
      </c>
      <c r="BZ601" s="127">
        <f>(CE601+7)/10</f>
        <v>1</v>
      </c>
      <c r="CA601" s="76" t="str">
        <f>IF(D601="Fern",".97",IF(D601="Grass",".99",IF(D601="Herb",".97",IF(D601="Shrub",".99",IF(D601="Tree","1.00",IF(D601="Vine",".98"))))))</f>
        <v>.97</v>
      </c>
      <c r="CB601" s="149" t="str">
        <f>IF(R601="Bogs Ponds Streams",".96", IF(R601="Coastal Areas",".97",IF(R601="Meadows Dry Open",".96",IF(R601="Forest &amp; Understory",".97",IF(R601="Moist Open",".98",IF(R601="Moist Shady",".96",IF(R601="Sub-Alpine","1.0")))))))</f>
        <v>.96</v>
      </c>
      <c r="CC601" s="76" t="str">
        <f>IF(S601="Local Endemic",".50",IF(S601="Regional Endemic",".70",IF(S601="Cascadia",".90",IF(S601="Rocky Mountain",".95",IF(S601="North America",".99")))))</f>
        <v>.99</v>
      </c>
      <c r="CD601" s="4"/>
      <c r="CE601" s="21">
        <f>IF(W601&gt;3,3,W601)</f>
        <v>3</v>
      </c>
      <c r="CF601" s="21">
        <f>IF(AC601&gt;102,102,AC601)</f>
        <v>18</v>
      </c>
      <c r="CG601" s="34">
        <f ca="1">IF(AI601&lt;$AW$4,$AW$4,AI601)</f>
        <v>2019</v>
      </c>
      <c r="CH601" s="34">
        <f ca="1">IF(AJ601&lt;$AW$4,$AW$4,AJ601)</f>
        <v>2019</v>
      </c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13"/>
    </row>
    <row r="602" spans="1:115" ht="15" customHeight="1" x14ac:dyDescent="0.3">
      <c r="A602" s="235"/>
      <c r="B602" s="218"/>
      <c r="C602" s="226">
        <v>2</v>
      </c>
      <c r="D602" s="104" t="s">
        <v>2505</v>
      </c>
      <c r="E602" s="104" t="s">
        <v>2501</v>
      </c>
      <c r="F602" s="400" t="str">
        <f ca="1">IF(BC602&lt;2025, "Extinct&lt; 6Yrs?",BA602)</f>
        <v>Widespread</v>
      </c>
      <c r="G602" s="369" t="s">
        <v>525</v>
      </c>
      <c r="H602" s="369" t="s">
        <v>4028</v>
      </c>
      <c r="I602" s="372" t="s">
        <v>2688</v>
      </c>
      <c r="J602" s="371" t="s">
        <v>3726</v>
      </c>
      <c r="K602" s="371" t="s">
        <v>2798</v>
      </c>
      <c r="L602" s="106" t="s">
        <v>2220</v>
      </c>
      <c r="M602" s="111" t="s">
        <v>4675</v>
      </c>
      <c r="N602" s="111" t="s">
        <v>5573</v>
      </c>
      <c r="O602" s="111" t="s">
        <v>6472</v>
      </c>
      <c r="P602" s="401" t="s">
        <v>268</v>
      </c>
      <c r="Q602" s="104" t="s">
        <v>2552</v>
      </c>
      <c r="R602" s="105" t="s">
        <v>2498</v>
      </c>
      <c r="S602" s="105" t="s">
        <v>2495</v>
      </c>
      <c r="T602" s="133" t="str">
        <f>IF(R602="Bogs Ponds Streams","20",IF(R602="Coastal Areas","26",IF(R602="Meadows Dry Open","10",IF(R602="Forest &amp; Understory","14",IF(R602="Moist Open","12",IF(R602="Moist Shady","10",IF(R602="Sub-Alpine Slopes","0")))))))</f>
        <v>10</v>
      </c>
      <c r="U602" s="133" t="str">
        <f>IF(R602="Bogs Ponds Streams","52",IF(R602="Coastal Areas","51",IF(R602="Meadows Dry Open","53",IF(R602="Forest &amp; Understory","52",IF(R602="Moist Open","50",IF(R602="Moist Shady","46",IF(R602="Sub-Alpine Slopes","40")))))))</f>
        <v>46</v>
      </c>
      <c r="V602" s="133" t="str">
        <f>IF(R602="Bogs Ponds Streams","84",IF(R602="Coastal Areas","76",IF(R602="Meadows Dry Open","96", IF(R602="Forest &amp; Understory","90", IF(R602="Moist Open","88", IF(R602="Moist Shady","82", IF(R602="Sub-Alpine Slopes","80")))))))</f>
        <v>82</v>
      </c>
      <c r="W602" s="104">
        <v>20</v>
      </c>
      <c r="X602" s="104">
        <v>0</v>
      </c>
      <c r="Y602" s="104">
        <v>3500</v>
      </c>
      <c r="Z602" s="104" t="s">
        <v>2519</v>
      </c>
      <c r="AA602" s="104" t="s">
        <v>2518</v>
      </c>
      <c r="AB602" s="104">
        <v>6.8</v>
      </c>
      <c r="AC602" s="107">
        <f>C602+AK602+(0.1)*AL602</f>
        <v>24.1</v>
      </c>
      <c r="AD602" s="113">
        <v>33</v>
      </c>
      <c r="AE602" s="104">
        <v>5</v>
      </c>
      <c r="AF602" s="104">
        <v>5</v>
      </c>
      <c r="AG602" s="104">
        <v>1900</v>
      </c>
      <c r="AH602" s="113">
        <v>0</v>
      </c>
      <c r="AI602" s="104">
        <f>AJ602</f>
        <v>2004</v>
      </c>
      <c r="AJ602" s="108">
        <v>2004</v>
      </c>
      <c r="AK602" s="108">
        <v>22</v>
      </c>
      <c r="AL602" s="108">
        <v>1</v>
      </c>
      <c r="AM602" s="109">
        <v>5</v>
      </c>
      <c r="AN602" s="109">
        <v>1</v>
      </c>
      <c r="AO602" s="110">
        <v>0</v>
      </c>
      <c r="AP602" s="109">
        <v>0</v>
      </c>
      <c r="AQ602" s="109">
        <v>0</v>
      </c>
      <c r="AR602" s="109">
        <v>0</v>
      </c>
      <c r="AS602" s="110">
        <v>0</v>
      </c>
      <c r="AT602" s="109">
        <v>0</v>
      </c>
      <c r="AU602" s="109">
        <v>0</v>
      </c>
      <c r="AV602" s="109">
        <v>0</v>
      </c>
      <c r="AW602" s="110">
        <v>0</v>
      </c>
      <c r="AX602" s="109">
        <v>0</v>
      </c>
      <c r="AY602" s="233"/>
      <c r="AZ602" s="4"/>
      <c r="BA602" s="35" t="str">
        <f>IF(OR(S602="North America",S602="Rocky Mountain"), "Widespread",BC602)</f>
        <v>Widespread</v>
      </c>
      <c r="BB602" s="4"/>
      <c r="BC602" s="35">
        <f ca="1">IF(BE602&gt;2046, "Abundant",BE602)</f>
        <v>2044.7430274509804</v>
      </c>
      <c r="BD602" s="4"/>
      <c r="BE602" s="81">
        <f ca="1">YEAR($C$13)+(BG602*80)</f>
        <v>2044.7430274509804</v>
      </c>
      <c r="BF602" s="4"/>
      <c r="BG602" s="137">
        <f ca="1">BH602*$BH$14</f>
        <v>0.32178784313725484</v>
      </c>
      <c r="BH602" s="137">
        <f ca="1">(((BJ602+BK602+BM602+BN602)/4)*$BM$11)+(((BP602+BQ602)/2)*$BQ$11)+(((BU602+BV602+BW602)/3)*$BU$11)+(((BY602+BZ602+CA602+CB602+CC602)/5)*$CA$11)</f>
        <v>0.32178784313725484</v>
      </c>
      <c r="BI602" s="4"/>
      <c r="BJ602" s="33">
        <f>AP602/(AM602+AO602)</f>
        <v>0</v>
      </c>
      <c r="BK602" s="33">
        <f>(AN602+AO602)/(AM602+AO602)</f>
        <v>0.2</v>
      </c>
      <c r="BL602" s="4"/>
      <c r="BM602" s="127">
        <f>CF602/102</f>
        <v>0.23627450980392159</v>
      </c>
      <c r="BN602" s="127">
        <f>C602/2</f>
        <v>1</v>
      </c>
      <c r="BO602" s="4"/>
      <c r="BP602" s="127">
        <f>(AK602)/($AW$6)</f>
        <v>0.22222222222222221</v>
      </c>
      <c r="BQ602" s="127">
        <f ca="1">(CH602-$AW$4)/((YEAR($C$13))-$AW$4)</f>
        <v>0</v>
      </c>
      <c r="BR602" s="127">
        <f>(AL602)/($AW$6)</f>
        <v>1.0101010101010102E-2</v>
      </c>
      <c r="BS602" s="4"/>
      <c r="BT602" s="127"/>
      <c r="BU602" s="127">
        <f ca="1">(CG602-$AW$4)/((YEAR($C$13))-$AW$4)</f>
        <v>0</v>
      </c>
      <c r="BV602" s="127">
        <f>AE602/5</f>
        <v>1</v>
      </c>
      <c r="BW602" s="127">
        <f>AF602/5</f>
        <v>1</v>
      </c>
      <c r="BX602" s="4"/>
      <c r="BY602" s="148" t="str">
        <f>IF(E602="A",".98",IF(E602="B",".99",IF(E602="C","1.00",IF(E602="D","1.00" ))))</f>
        <v>1.00</v>
      </c>
      <c r="BZ602" s="127">
        <f>(CE602+7)/10</f>
        <v>1</v>
      </c>
      <c r="CA602" s="76" t="str">
        <f>IF(D602="Fern",".97",IF(D602="Grass",".99",IF(D602="Herb",".97",IF(D602="Shrub",".99",IF(D602="Tree","1.00",IF(D602="Vine",".98"))))))</f>
        <v>.97</v>
      </c>
      <c r="CB602" s="149" t="str">
        <f>IF(R602="Bogs Ponds Streams",".96", IF(R602="Coastal Areas",".97",IF(R602="Meadows Dry Open",".96",IF(R602="Forest &amp; Understory",".97",IF(R602="Moist Open",".98",IF(R602="Moist Shady",".96",IF(R602="Sub-Alpine","1.0")))))))</f>
        <v>.96</v>
      </c>
      <c r="CC602" s="76" t="str">
        <f>IF(S602="Local Endemic",".50",IF(S602="Regional Endemic",".70",IF(S602="Cascadia",".90",IF(S602="Rocky Mountain",".95",IF(S602="North America",".99")))))</f>
        <v>.99</v>
      </c>
      <c r="CD602" s="4"/>
      <c r="CE602" s="21">
        <f>IF(W602&gt;3,3,W602)</f>
        <v>3</v>
      </c>
      <c r="CF602" s="21">
        <f>IF(AC602&gt;102,102,AC602)</f>
        <v>24.1</v>
      </c>
      <c r="CG602" s="34">
        <f>IF(AI602&lt;$AW$4,$AW$4,AI602)</f>
        <v>2004</v>
      </c>
      <c r="CH602" s="34">
        <f>IF(AJ602&lt;$AW$4,$AW$4,AJ602)</f>
        <v>2004</v>
      </c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</row>
    <row r="603" spans="1:115" ht="15" customHeight="1" x14ac:dyDescent="0.3">
      <c r="A603" s="235"/>
      <c r="B603" s="218"/>
      <c r="C603" s="375">
        <v>1</v>
      </c>
      <c r="D603" s="67" t="s">
        <v>2505</v>
      </c>
      <c r="E603" s="67" t="s">
        <v>2502</v>
      </c>
      <c r="F603" s="403" t="str">
        <f ca="1">IF(BC603&lt;2025, "Extinct&lt; 6Yrs?",BA603)</f>
        <v>Widespread</v>
      </c>
      <c r="G603" s="376" t="s">
        <v>525</v>
      </c>
      <c r="H603" s="376" t="s">
        <v>4028</v>
      </c>
      <c r="I603" s="379" t="s">
        <v>2689</v>
      </c>
      <c r="J603" s="378" t="s">
        <v>3552</v>
      </c>
      <c r="K603" s="378" t="s">
        <v>2799</v>
      </c>
      <c r="L603" s="65" t="s">
        <v>1613</v>
      </c>
      <c r="M603" s="64" t="s">
        <v>4676</v>
      </c>
      <c r="N603" s="64" t="s">
        <v>5574</v>
      </c>
      <c r="O603" s="64" t="s">
        <v>6473</v>
      </c>
      <c r="P603" s="404" t="s">
        <v>268</v>
      </c>
      <c r="Q603" s="67" t="s">
        <v>2552</v>
      </c>
      <c r="R603" s="61" t="s">
        <v>2497</v>
      </c>
      <c r="S603" s="61" t="s">
        <v>2495</v>
      </c>
      <c r="T603" s="134" t="str">
        <f>IF(R603="Bogs Ponds Streams","20",IF(R603="Coastal Areas","26",IF(R603="Meadows Dry Open","10",IF(R603="Forest &amp; Understory","14",IF(R603="Moist Open","12",IF(R603="Moist Shady","10",IF(R603="Sub-Alpine Slopes","0")))))))</f>
        <v>12</v>
      </c>
      <c r="U603" s="134" t="str">
        <f>IF(R603="Bogs Ponds Streams","52",IF(R603="Coastal Areas","51",IF(R603="Meadows Dry Open","53",IF(R603="Forest &amp; Understory","52",IF(R603="Moist Open","50",IF(R603="Moist Shady","46",IF(R603="Sub-Alpine Slopes","40")))))))</f>
        <v>50</v>
      </c>
      <c r="V603" s="134" t="str">
        <f>IF(R603="Bogs Ponds Streams","84",IF(R603="Coastal Areas","76",IF(R603="Meadows Dry Open","96", IF(R603="Forest &amp; Understory","90", IF(R603="Moist Open","88", IF(R603="Moist Shady","82", IF(R603="Sub-Alpine Slopes","80")))))))</f>
        <v>88</v>
      </c>
      <c r="W603" s="67">
        <v>1</v>
      </c>
      <c r="X603" s="67">
        <v>0</v>
      </c>
      <c r="Y603" s="67">
        <v>3500</v>
      </c>
      <c r="Z603" s="67" t="s">
        <v>2519</v>
      </c>
      <c r="AA603" s="67" t="s">
        <v>2518</v>
      </c>
      <c r="AB603" s="67">
        <v>6.8</v>
      </c>
      <c r="AC603" s="85">
        <f>C603+AK603+(0.1)*AL603</f>
        <v>14.2</v>
      </c>
      <c r="AD603" s="78">
        <v>65</v>
      </c>
      <c r="AE603" s="67">
        <v>5</v>
      </c>
      <c r="AF603" s="67">
        <v>5</v>
      </c>
      <c r="AG603" s="67">
        <v>1900</v>
      </c>
      <c r="AH603" s="78">
        <v>0</v>
      </c>
      <c r="AI603" s="67">
        <f>AJ603</f>
        <v>2004</v>
      </c>
      <c r="AJ603" s="69">
        <v>2004</v>
      </c>
      <c r="AK603" s="69">
        <v>11</v>
      </c>
      <c r="AL603" s="69">
        <v>22</v>
      </c>
      <c r="AM603" s="70">
        <v>5</v>
      </c>
      <c r="AN603" s="70">
        <v>0</v>
      </c>
      <c r="AO603" s="86">
        <v>0</v>
      </c>
      <c r="AP603" s="70">
        <v>0</v>
      </c>
      <c r="AQ603" s="70">
        <v>0</v>
      </c>
      <c r="AR603" s="70">
        <v>0</v>
      </c>
      <c r="AS603" s="86">
        <v>0</v>
      </c>
      <c r="AT603" s="70">
        <v>0</v>
      </c>
      <c r="AU603" s="70">
        <v>0</v>
      </c>
      <c r="AV603" s="70">
        <v>0</v>
      </c>
      <c r="AW603" s="86">
        <v>0</v>
      </c>
      <c r="AX603" s="70">
        <v>0</v>
      </c>
      <c r="AY603" s="233"/>
      <c r="AZ603" s="4"/>
      <c r="BA603" s="35" t="str">
        <f>IF(OR(S603="North America",S603="Rocky Mountain"), "Widespread",BC603)</f>
        <v>Widespread</v>
      </c>
      <c r="BB603" s="4"/>
      <c r="BC603" s="35">
        <f ca="1">IF(BE603&gt;2046, "Abundant",BE603)</f>
        <v>2033.7809882352942</v>
      </c>
      <c r="BD603" s="4"/>
      <c r="BE603" s="81">
        <f ca="1">YEAR($C$13)+(BG603*80)</f>
        <v>2033.7809882352942</v>
      </c>
      <c r="BF603" s="4"/>
      <c r="BG603" s="137">
        <f ca="1">BH603*$BH$14</f>
        <v>0.18476235294117646</v>
      </c>
      <c r="BH603" s="137">
        <f ca="1">(((BJ603+BK603+BM603+BN603)/4)*$BM$11)+(((BP603+BQ603)/2)*$BQ$11)+(((BU603+BV603+BW603)/3)*$BU$11)+(((BY603+BZ603+CA603+CB603+CC603)/5)*$CA$11)</f>
        <v>0.18476235294117646</v>
      </c>
      <c r="BI603" s="4"/>
      <c r="BJ603" s="33">
        <f>AP603/(AM603+AO603)</f>
        <v>0</v>
      </c>
      <c r="BK603" s="33">
        <f>(AN603+AO603)/(AM603+AO603)</f>
        <v>0</v>
      </c>
      <c r="BL603" s="4"/>
      <c r="BM603" s="127">
        <f>CF603/102</f>
        <v>0.13921568627450981</v>
      </c>
      <c r="BN603" s="127">
        <f>C603/2</f>
        <v>0.5</v>
      </c>
      <c r="BO603" s="4"/>
      <c r="BP603" s="127">
        <f>(AK603)/($AW$6)</f>
        <v>0.1111111111111111</v>
      </c>
      <c r="BQ603" s="127">
        <f ca="1">(CH603-$AW$4)/((YEAR($C$13))-$AW$4)</f>
        <v>0</v>
      </c>
      <c r="BR603" s="127">
        <f>(AL603)/($AW$6)</f>
        <v>0.22222222222222221</v>
      </c>
      <c r="BS603" s="4"/>
      <c r="BT603" s="127"/>
      <c r="BU603" s="127">
        <f ca="1">(CG603-$AW$4)/((YEAR($C$13))-$AW$4)</f>
        <v>0</v>
      </c>
      <c r="BV603" s="127">
        <f>AE603/5</f>
        <v>1</v>
      </c>
      <c r="BW603" s="127">
        <f>AF603/5</f>
        <v>1</v>
      </c>
      <c r="BX603" s="4"/>
      <c r="BY603" s="148" t="str">
        <f>IF(E603="A",".98",IF(E603="B",".99",IF(E603="C","1.00",IF(E603="D","1.00" ))))</f>
        <v>.98</v>
      </c>
      <c r="BZ603" s="127">
        <f>(CE603+7)/10</f>
        <v>0.8</v>
      </c>
      <c r="CA603" s="76" t="str">
        <f>IF(D603="Fern",".97",IF(D603="Grass",".99",IF(D603="Herb",".97",IF(D603="Shrub",".99",IF(D603="Tree","1.00",IF(D603="Vine",".98"))))))</f>
        <v>.97</v>
      </c>
      <c r="CB603" s="149" t="str">
        <f>IF(R603="Bogs Ponds Streams",".96", IF(R603="Coastal Areas",".97",IF(R603="Meadows Dry Open",".96",IF(R603="Forest &amp; Understory",".97",IF(R603="Moist Open",".98",IF(R603="Moist Shady",".96",IF(R603="Sub-Alpine","1.0")))))))</f>
        <v>.98</v>
      </c>
      <c r="CC603" s="76" t="str">
        <f>IF(S603="Local Endemic",".50",IF(S603="Regional Endemic",".70",IF(S603="Cascadia",".90",IF(S603="Rocky Mountain",".95",IF(S603="North America",".99")))))</f>
        <v>.99</v>
      </c>
      <c r="CD603" s="4"/>
      <c r="CE603" s="21">
        <f>IF(W603&gt;3,3,W603)</f>
        <v>1</v>
      </c>
      <c r="CF603" s="21">
        <f>IF(AC603&gt;102,102,AC603)</f>
        <v>14.2</v>
      </c>
      <c r="CG603" s="34">
        <f>IF(AI603&lt;$AW$4,$AW$4,AI603)</f>
        <v>2004</v>
      </c>
      <c r="CH603" s="34">
        <f>IF(AJ603&lt;$AW$4,$AW$4,AJ603)</f>
        <v>2004</v>
      </c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</row>
    <row r="604" spans="1:115" ht="15" customHeight="1" x14ac:dyDescent="0.3">
      <c r="A604" s="235"/>
      <c r="B604" s="218"/>
      <c r="C604" s="225">
        <v>7</v>
      </c>
      <c r="D604" s="59" t="s">
        <v>2505</v>
      </c>
      <c r="E604" s="59" t="s">
        <v>2501</v>
      </c>
      <c r="F604" s="397" t="str">
        <f ca="1">IF(BC604&lt;2025, "Extinct&lt; 6Yrs?",BA604)</f>
        <v>Widespread</v>
      </c>
      <c r="G604" s="363" t="s">
        <v>525</v>
      </c>
      <c r="H604" s="363" t="s">
        <v>683</v>
      </c>
      <c r="I604" s="366" t="s">
        <v>1162</v>
      </c>
      <c r="J604" s="365" t="s">
        <v>3450</v>
      </c>
      <c r="K604" s="365" t="s">
        <v>137</v>
      </c>
      <c r="L604" s="10" t="s">
        <v>2221</v>
      </c>
      <c r="M604" s="8" t="s">
        <v>4677</v>
      </c>
      <c r="N604" s="8" t="s">
        <v>5575</v>
      </c>
      <c r="O604" s="8" t="s">
        <v>6474</v>
      </c>
      <c r="P604" s="9" t="s">
        <v>51</v>
      </c>
      <c r="Q604" s="59" t="s">
        <v>2552</v>
      </c>
      <c r="R604" s="9" t="s">
        <v>2498</v>
      </c>
      <c r="S604" s="9" t="s">
        <v>2495</v>
      </c>
      <c r="T604" s="123" t="str">
        <f>IF(R604="Bogs Ponds Streams","20",IF(R604="Coastal Areas","26",IF(R604="Meadows Dry Open","10",IF(R604="Forest &amp; Understory","14",IF(R604="Moist Open","12",IF(R604="Moist Shady","10",IF(R604="Sub-Alpine Slopes","0")))))))</f>
        <v>10</v>
      </c>
      <c r="U604" s="123" t="str">
        <f>IF(R604="Bogs Ponds Streams","52",IF(R604="Coastal Areas","51",IF(R604="Meadows Dry Open","53",IF(R604="Forest &amp; Understory","52",IF(R604="Moist Open","50",IF(R604="Moist Shady","46",IF(R604="Sub-Alpine Slopes","40")))))))</f>
        <v>46</v>
      </c>
      <c r="V604" s="123" t="str">
        <f>IF(R604="Bogs Ponds Streams","84",IF(R604="Coastal Areas","76",IF(R604="Meadows Dry Open","96", IF(R604="Forest &amp; Understory","90", IF(R604="Moist Open","88", IF(R604="Moist Shady","82", IF(R604="Sub-Alpine Slopes","80")))))))</f>
        <v>82</v>
      </c>
      <c r="W604" s="59">
        <v>20</v>
      </c>
      <c r="X604" s="59">
        <v>0</v>
      </c>
      <c r="Y604" s="59">
        <v>3500</v>
      </c>
      <c r="Z604" s="59" t="s">
        <v>2519</v>
      </c>
      <c r="AA604" s="59" t="s">
        <v>2518</v>
      </c>
      <c r="AB604" s="59">
        <v>6.8</v>
      </c>
      <c r="AC604" s="45">
        <f>C604+AK604+(0.1)*AL604</f>
        <v>41.1</v>
      </c>
      <c r="AD604" s="77">
        <v>0</v>
      </c>
      <c r="AE604" s="59">
        <v>5</v>
      </c>
      <c r="AF604" s="59">
        <v>5</v>
      </c>
      <c r="AG604" s="59">
        <v>1900</v>
      </c>
      <c r="AH604" s="77">
        <v>0</v>
      </c>
      <c r="AI604" s="59">
        <f ca="1">AJ604</f>
        <v>2019</v>
      </c>
      <c r="AJ604" s="18">
        <f ca="1">YEAR(TODAY())</f>
        <v>2019</v>
      </c>
      <c r="AK604" s="18">
        <v>33</v>
      </c>
      <c r="AL604" s="18">
        <v>11</v>
      </c>
      <c r="AM604" s="18">
        <v>1</v>
      </c>
      <c r="AN604" s="18">
        <v>1</v>
      </c>
      <c r="AO604" s="18">
        <v>5</v>
      </c>
      <c r="AP604" s="18">
        <v>1</v>
      </c>
      <c r="AQ604" s="18">
        <v>0</v>
      </c>
      <c r="AR604" s="18">
        <v>0</v>
      </c>
      <c r="AS604" s="18">
        <v>0</v>
      </c>
      <c r="AT604" s="18">
        <v>0</v>
      </c>
      <c r="AU604" s="18">
        <v>0</v>
      </c>
      <c r="AV604" s="18">
        <v>0</v>
      </c>
      <c r="AW604" s="18">
        <v>0</v>
      </c>
      <c r="AX604" s="18">
        <v>0</v>
      </c>
      <c r="AY604" s="233"/>
      <c r="AZ604" s="4"/>
      <c r="BA604" s="35" t="str">
        <f>IF(OR(S604="North America",S604="Rocky Mountain"), "Widespread",BC604)</f>
        <v>Widespread</v>
      </c>
      <c r="BB604" s="4"/>
      <c r="BC604" s="35" t="str">
        <f ca="1">IF(BE604&gt;2046, "Abundant",BE604)</f>
        <v>Abundant</v>
      </c>
      <c r="BD604" s="4"/>
      <c r="BE604" s="81">
        <f ca="1">YEAR($C$13)+(BG604*80)</f>
        <v>2103.8096941176473</v>
      </c>
      <c r="BF604" s="4"/>
      <c r="BG604" s="137">
        <f ca="1">BH604*$BH$14</f>
        <v>1.0601211764705882</v>
      </c>
      <c r="BH604" s="137">
        <f ca="1">(((BJ604+BK604+BM604+BN604)/4)*$BM$11)+(((BP604+BQ604)/2)*$BQ$11)+(((BU604+BV604+BW604)/3)*$BU$11)+(((BY604+BZ604+CA604+CB604+CC604)/5)*$CA$11)</f>
        <v>1.0601211764705882</v>
      </c>
      <c r="BI604" s="4"/>
      <c r="BJ604" s="33">
        <f>AP604/(AM604+AO604)</f>
        <v>0.16666666666666666</v>
      </c>
      <c r="BK604" s="33">
        <f>(AN604+AO604)/(AM604+AO604)</f>
        <v>1</v>
      </c>
      <c r="BL604" s="4"/>
      <c r="BM604" s="127">
        <f>CF604/102</f>
        <v>0.40294117647058825</v>
      </c>
      <c r="BN604" s="127">
        <f>C604/2</f>
        <v>3.5</v>
      </c>
      <c r="BO604" s="4"/>
      <c r="BP604" s="127">
        <f>(AK604)/($AW$6)</f>
        <v>0.33333333333333331</v>
      </c>
      <c r="BQ604" s="127">
        <f ca="1">(CH604-$AW$4)/((YEAR($C$13))-$AW$4)</f>
        <v>1</v>
      </c>
      <c r="BR604" s="127">
        <f>(AL604)/($AW$6)</f>
        <v>0.1111111111111111</v>
      </c>
      <c r="BS604" s="4"/>
      <c r="BT604" s="127"/>
      <c r="BU604" s="127">
        <f ca="1">(CG604-$AW$4)/((YEAR($C$13))-$AW$4)</f>
        <v>1</v>
      </c>
      <c r="BV604" s="127">
        <f>AE604/5</f>
        <v>1</v>
      </c>
      <c r="BW604" s="127">
        <f>AF604/5</f>
        <v>1</v>
      </c>
      <c r="BX604" s="4"/>
      <c r="BY604" s="148" t="str">
        <f>IF(E604="A",".98",IF(E604="B",".99",IF(E604="C","1.00",IF(E604="D","1.00" ))))</f>
        <v>1.00</v>
      </c>
      <c r="BZ604" s="127">
        <f>(CE604+7)/10</f>
        <v>1</v>
      </c>
      <c r="CA604" s="76" t="str">
        <f>IF(D604="Fern",".97",IF(D604="Grass",".99",IF(D604="Herb",".97",IF(D604="Shrub",".99",IF(D604="Tree","1.00",IF(D604="Vine",".98"))))))</f>
        <v>.97</v>
      </c>
      <c r="CB604" s="149" t="str">
        <f>IF(R604="Bogs Ponds Streams",".96", IF(R604="Coastal Areas",".97",IF(R604="Meadows Dry Open",".96",IF(R604="Forest &amp; Understory",".97",IF(R604="Moist Open",".98",IF(R604="Moist Shady",".96",IF(R604="Sub-Alpine","1.0")))))))</f>
        <v>.96</v>
      </c>
      <c r="CC604" s="76" t="str">
        <f>IF(S604="Local Endemic",".50",IF(S604="Regional Endemic",".70",IF(S604="Cascadia",".90",IF(S604="Rocky Mountain",".95",IF(S604="North America",".99")))))</f>
        <v>.99</v>
      </c>
      <c r="CD604" s="4"/>
      <c r="CE604" s="21">
        <f>IF(W604&gt;3,3,W604)</f>
        <v>3</v>
      </c>
      <c r="CF604" s="21">
        <f>IF(AC604&gt;102,102,AC604)</f>
        <v>41.1</v>
      </c>
      <c r="CG604" s="34">
        <f ca="1">IF(AI604&lt;$AW$4,$AW$4,AI604)</f>
        <v>2019</v>
      </c>
      <c r="CH604" s="34">
        <f ca="1">IF(AJ604&lt;$AW$4,$AW$4,AJ604)</f>
        <v>2019</v>
      </c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13"/>
    </row>
    <row r="605" spans="1:115" ht="15" customHeight="1" x14ac:dyDescent="0.3">
      <c r="A605" s="235"/>
      <c r="B605" s="218"/>
      <c r="C605" s="225">
        <v>8</v>
      </c>
      <c r="D605" s="59" t="s">
        <v>2505</v>
      </c>
      <c r="E605" s="59" t="s">
        <v>2503</v>
      </c>
      <c r="F605" s="397" t="str">
        <f ca="1">IF(BC605&lt;2025, "Extinct&lt; 6Yrs?",BA605)</f>
        <v>Widespread</v>
      </c>
      <c r="G605" s="363" t="s">
        <v>525</v>
      </c>
      <c r="H605" s="363" t="s">
        <v>690</v>
      </c>
      <c r="I605" s="366" t="s">
        <v>3101</v>
      </c>
      <c r="J605" s="365" t="s">
        <v>3455</v>
      </c>
      <c r="K605" s="365" t="s">
        <v>633</v>
      </c>
      <c r="L605" s="17" t="s">
        <v>2222</v>
      </c>
      <c r="M605" s="8" t="s">
        <v>4678</v>
      </c>
      <c r="N605" s="8" t="s">
        <v>5576</v>
      </c>
      <c r="O605" s="8" t="s">
        <v>6475</v>
      </c>
      <c r="P605" s="9" t="s">
        <v>631</v>
      </c>
      <c r="Q605" s="59" t="s">
        <v>2552</v>
      </c>
      <c r="R605" s="9" t="s">
        <v>2500</v>
      </c>
      <c r="S605" s="9" t="s">
        <v>2479</v>
      </c>
      <c r="T605" s="123" t="str">
        <f>IF(R605="Bogs Ponds Streams","20",IF(R605="Coastal Areas","26",IF(R605="Meadows Dry Open","10",IF(R605="Forest &amp; Understory","14",IF(R605="Moist Open","12",IF(R605="Moist Shady","10",IF(R605="Sub-Alpine Slopes","0")))))))</f>
        <v>10</v>
      </c>
      <c r="U605" s="123" t="str">
        <f>IF(R605="Bogs Ponds Streams","52",IF(R605="Coastal Areas","51",IF(R605="Meadows Dry Open","53",IF(R605="Forest &amp; Understory","52",IF(R605="Moist Open","50",IF(R605="Moist Shady","46",IF(R605="Sub-Alpine Slopes","40")))))))</f>
        <v>53</v>
      </c>
      <c r="V605" s="123" t="str">
        <f>IF(R605="Bogs Ponds Streams","84",IF(R605="Coastal Areas","76",IF(R605="Meadows Dry Open","96", IF(R605="Forest &amp; Understory","90", IF(R605="Moist Open","88", IF(R605="Moist Shady","82", IF(R605="Sub-Alpine Slopes","80")))))))</f>
        <v>96</v>
      </c>
      <c r="W605" s="59">
        <v>2</v>
      </c>
      <c r="X605" s="59">
        <v>0</v>
      </c>
      <c r="Y605" s="59">
        <v>3500</v>
      </c>
      <c r="Z605" s="59" t="s">
        <v>2519</v>
      </c>
      <c r="AA605" s="59" t="s">
        <v>2518</v>
      </c>
      <c r="AB605" s="59">
        <v>6.8</v>
      </c>
      <c r="AC605" s="45">
        <f>C605+AK605+(0.1)*AL605</f>
        <v>17.2</v>
      </c>
      <c r="AD605" s="77">
        <v>168</v>
      </c>
      <c r="AE605" s="59">
        <v>5</v>
      </c>
      <c r="AF605" s="59">
        <v>5</v>
      </c>
      <c r="AG605" s="59">
        <v>1900</v>
      </c>
      <c r="AH605" s="77">
        <v>0</v>
      </c>
      <c r="AI605" s="59">
        <f ca="1">AJ605</f>
        <v>2019</v>
      </c>
      <c r="AJ605" s="18">
        <f ca="1">YEAR(TODAY())</f>
        <v>2019</v>
      </c>
      <c r="AK605" s="18">
        <v>7</v>
      </c>
      <c r="AL605" s="18">
        <v>22</v>
      </c>
      <c r="AM605" s="18">
        <v>1</v>
      </c>
      <c r="AN605" s="18">
        <v>1</v>
      </c>
      <c r="AO605" s="18">
        <v>1</v>
      </c>
      <c r="AP605" s="18">
        <v>1</v>
      </c>
      <c r="AQ605" s="18">
        <v>0</v>
      </c>
      <c r="AR605" s="18">
        <v>0</v>
      </c>
      <c r="AS605" s="18">
        <v>0</v>
      </c>
      <c r="AT605" s="18">
        <v>0</v>
      </c>
      <c r="AU605" s="18">
        <v>0</v>
      </c>
      <c r="AV605" s="18">
        <v>0</v>
      </c>
      <c r="AW605" s="18">
        <v>0</v>
      </c>
      <c r="AX605" s="18">
        <v>0</v>
      </c>
      <c r="AY605" s="233"/>
      <c r="AZ605" s="4"/>
      <c r="BA605" s="35" t="str">
        <f>IF(OR(S605="North America",S605="Rocky Mountain"), "Widespread",BC605)</f>
        <v>Widespread</v>
      </c>
      <c r="BB605" s="4"/>
      <c r="BC605" s="35" t="str">
        <f ca="1">IF(BE605&gt;2046, "Abundant",BE605)</f>
        <v>Abundant</v>
      </c>
      <c r="BD605" s="4"/>
      <c r="BE605" s="81">
        <f ca="1">YEAR($C$13)+(BG605*80)</f>
        <v>2107.7984142602495</v>
      </c>
      <c r="BF605" s="4"/>
      <c r="BG605" s="137">
        <f ca="1">BH605*$BH$14</f>
        <v>1.1099801782531196</v>
      </c>
      <c r="BH605" s="137">
        <f ca="1">(((BJ605+BK605+BM605+BN605)/4)*$BM$11)+(((BP605+BQ605)/2)*$BQ$11)+(((BU605+BV605+BW605)/3)*$BU$11)+(((BY605+BZ605+CA605+CB605+CC605)/5)*$CA$11)</f>
        <v>1.1099801782531196</v>
      </c>
      <c r="BI605" s="4"/>
      <c r="BJ605" s="33">
        <f>AP605/(AM605+AO605)</f>
        <v>0.5</v>
      </c>
      <c r="BK605" s="33">
        <f>(AN605+AO605)/(AM605+AO605)</f>
        <v>1</v>
      </c>
      <c r="BL605" s="4"/>
      <c r="BM605" s="127">
        <f>CF605/102</f>
        <v>0.16862745098039214</v>
      </c>
      <c r="BN605" s="127">
        <f>C605/2</f>
        <v>4</v>
      </c>
      <c r="BO605" s="4"/>
      <c r="BP605" s="127">
        <f>(AK605)/($AW$6)</f>
        <v>7.0707070707070704E-2</v>
      </c>
      <c r="BQ605" s="127">
        <f ca="1">(CH605-$AW$4)/((YEAR($C$13))-$AW$4)</f>
        <v>1</v>
      </c>
      <c r="BR605" s="127">
        <f>(AL605)/($AW$6)</f>
        <v>0.22222222222222221</v>
      </c>
      <c r="BS605" s="4"/>
      <c r="BT605" s="127"/>
      <c r="BU605" s="127">
        <f ca="1">(CG605-$AW$4)/((YEAR($C$13))-$AW$4)</f>
        <v>1</v>
      </c>
      <c r="BV605" s="127">
        <f>AE605/5</f>
        <v>1</v>
      </c>
      <c r="BW605" s="127">
        <f>AF605/5</f>
        <v>1</v>
      </c>
      <c r="BX605" s="4"/>
      <c r="BY605" s="148" t="str">
        <f>IF(E605="A",".98",IF(E605="B",".99",IF(E605="C","1.00",IF(E605="D","1.00" ))))</f>
        <v>.99</v>
      </c>
      <c r="BZ605" s="127">
        <f>(CE605+7)/10</f>
        <v>0.9</v>
      </c>
      <c r="CA605" s="76" t="str">
        <f>IF(D605="Fern",".97",IF(D605="Grass",".99",IF(D605="Herb",".97",IF(D605="Shrub",".99",IF(D605="Tree","1.00",IF(D605="Vine",".98"))))))</f>
        <v>.97</v>
      </c>
      <c r="CB605" s="149" t="str">
        <f>IF(R605="Bogs Ponds Streams",".96", IF(R605="Coastal Areas",".97",IF(R605="Meadows Dry Open",".96",IF(R605="Forest &amp; Understory",".97",IF(R605="Moist Open",".98",IF(R605="Moist Shady",".96",IF(R605="Sub-Alpine","1.0")))))))</f>
        <v>.96</v>
      </c>
      <c r="CC605" s="76" t="str">
        <f>IF(S605="Local Endemic",".50",IF(S605="Regional Endemic",".70",IF(S605="Cascadia",".90",IF(S605="Rocky Mountain",".95",IF(S605="North America",".99")))))</f>
        <v>.95</v>
      </c>
      <c r="CD605" s="4"/>
      <c r="CE605" s="21">
        <f>IF(W605&gt;3,3,W605)</f>
        <v>2</v>
      </c>
      <c r="CF605" s="21">
        <f>IF(AC605&gt;102,102,AC605)</f>
        <v>17.2</v>
      </c>
      <c r="CG605" s="34">
        <f ca="1">IF(AI605&lt;$AW$4,$AW$4,AI605)</f>
        <v>2019</v>
      </c>
      <c r="CH605" s="34">
        <f ca="1">IF(AJ605&lt;$AW$4,$AW$4,AJ605)</f>
        <v>2019</v>
      </c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13"/>
    </row>
    <row r="606" spans="1:115" ht="15" customHeight="1" x14ac:dyDescent="0.3">
      <c r="A606" s="235"/>
      <c r="B606" s="218"/>
      <c r="C606" s="225">
        <v>8</v>
      </c>
      <c r="D606" s="59" t="s">
        <v>2505</v>
      </c>
      <c r="E606" s="59" t="s">
        <v>2501</v>
      </c>
      <c r="F606" s="397" t="str">
        <f ca="1">IF(BC606&lt;2025, "Extinct&lt; 6Yrs?",BA606)</f>
        <v>Abundant</v>
      </c>
      <c r="G606" s="363" t="s">
        <v>525</v>
      </c>
      <c r="H606" s="363" t="s">
        <v>689</v>
      </c>
      <c r="I606" s="366" t="s">
        <v>3102</v>
      </c>
      <c r="J606" s="365" t="s">
        <v>4026</v>
      </c>
      <c r="K606" s="365" t="s">
        <v>1081</v>
      </c>
      <c r="L606" s="10" t="s">
        <v>2223</v>
      </c>
      <c r="M606" s="8" t="s">
        <v>4679</v>
      </c>
      <c r="N606" s="8" t="s">
        <v>5577</v>
      </c>
      <c r="O606" s="8" t="s">
        <v>6476</v>
      </c>
      <c r="P606" s="9" t="s">
        <v>631</v>
      </c>
      <c r="Q606" s="59" t="s">
        <v>2552</v>
      </c>
      <c r="R606" s="9" t="s">
        <v>2530</v>
      </c>
      <c r="S606" s="9" t="s">
        <v>2459</v>
      </c>
      <c r="T606" s="123" t="str">
        <f>IF(R606="Bogs Ponds Streams","20",IF(R606="Coastal Areas","26",IF(R606="Meadows Dry Open","10",IF(R606="Forest &amp; Understory","14",IF(R606="Moist Open","12",IF(R606="Moist Shady","10",IF(R606="Sub-Alpine Slopes","0")))))))</f>
        <v>14</v>
      </c>
      <c r="U606" s="123" t="str">
        <f>IF(R606="Bogs Ponds Streams","52",IF(R606="Coastal Areas","51",IF(R606="Meadows Dry Open","53",IF(R606="Forest &amp; Understory","52",IF(R606="Moist Open","50",IF(R606="Moist Shady","46",IF(R606="Sub-Alpine Slopes","40")))))))</f>
        <v>52</v>
      </c>
      <c r="V606" s="123" t="str">
        <f>IF(R606="Bogs Ponds Streams","84",IF(R606="Coastal Areas","76",IF(R606="Meadows Dry Open","96", IF(R606="Forest &amp; Understory","90", IF(R606="Moist Open","88", IF(R606="Moist Shady","82", IF(R606="Sub-Alpine Slopes","80")))))))</f>
        <v>90</v>
      </c>
      <c r="W606" s="59">
        <v>20</v>
      </c>
      <c r="X606" s="59">
        <v>0</v>
      </c>
      <c r="Y606" s="59">
        <v>3500</v>
      </c>
      <c r="Z606" s="59" t="s">
        <v>2519</v>
      </c>
      <c r="AA606" s="59" t="s">
        <v>2518</v>
      </c>
      <c r="AB606" s="59">
        <v>6.8</v>
      </c>
      <c r="AC606" s="45">
        <f>C606+AK606+(0.1)*AL606</f>
        <v>23.1</v>
      </c>
      <c r="AD606" s="77">
        <v>38</v>
      </c>
      <c r="AE606" s="59">
        <v>5</v>
      </c>
      <c r="AF606" s="59">
        <v>5</v>
      </c>
      <c r="AG606" s="59">
        <v>1900</v>
      </c>
      <c r="AH606" s="77">
        <v>0</v>
      </c>
      <c r="AI606" s="59">
        <f ca="1">AJ606</f>
        <v>2019</v>
      </c>
      <c r="AJ606" s="18">
        <f ca="1">YEAR(TODAY())</f>
        <v>2019</v>
      </c>
      <c r="AK606" s="18">
        <v>15</v>
      </c>
      <c r="AL606" s="18">
        <v>1</v>
      </c>
      <c r="AM606" s="18">
        <v>1</v>
      </c>
      <c r="AN606" s="18">
        <v>1</v>
      </c>
      <c r="AO606" s="18">
        <v>5</v>
      </c>
      <c r="AP606" s="18">
        <v>1</v>
      </c>
      <c r="AQ606" s="18">
        <v>0</v>
      </c>
      <c r="AR606" s="18">
        <v>0</v>
      </c>
      <c r="AS606" s="18">
        <v>0</v>
      </c>
      <c r="AT606" s="18">
        <v>0</v>
      </c>
      <c r="AU606" s="18">
        <v>0</v>
      </c>
      <c r="AV606" s="18">
        <v>0</v>
      </c>
      <c r="AW606" s="18">
        <v>0</v>
      </c>
      <c r="AX606" s="18">
        <v>0</v>
      </c>
      <c r="AY606" s="233"/>
      <c r="AZ606" s="4"/>
      <c r="BA606" s="35" t="str">
        <f ca="1">IF(OR(S606="North America",S606="Rocky Mountain"), "Widespread",BC606)</f>
        <v>Abundant</v>
      </c>
      <c r="BB606" s="4"/>
      <c r="BC606" s="35" t="str">
        <f ca="1">IF(BE606&gt;2046, "Abundant",BE606)</f>
        <v>Abundant</v>
      </c>
      <c r="BD606" s="4"/>
      <c r="BE606" s="81">
        <f ca="1">YEAR($C$13)+(BG606*80)</f>
        <v>2105.4846288770054</v>
      </c>
      <c r="BF606" s="4"/>
      <c r="BG606" s="137">
        <f ca="1">BH606*$BH$14</f>
        <v>1.081057860962567</v>
      </c>
      <c r="BH606" s="137">
        <f ca="1">(((BJ606+BK606+BM606+BN606)/4)*$BM$11)+(((BP606+BQ606)/2)*$BQ$11)+(((BU606+BV606+BW606)/3)*$BU$11)+(((BY606+BZ606+CA606+CB606+CC606)/5)*$CA$11)</f>
        <v>1.081057860962567</v>
      </c>
      <c r="BI606" s="4"/>
      <c r="BJ606" s="33">
        <f>AP606/(AM606+AO606)</f>
        <v>0.16666666666666666</v>
      </c>
      <c r="BK606" s="33">
        <f>(AN606+AO606)/(AM606+AO606)</f>
        <v>1</v>
      </c>
      <c r="BL606" s="4"/>
      <c r="BM606" s="127">
        <f>CF606/102</f>
        <v>0.22647058823529412</v>
      </c>
      <c r="BN606" s="127">
        <f>C606/2</f>
        <v>4</v>
      </c>
      <c r="BO606" s="4"/>
      <c r="BP606" s="127">
        <f>(AK606)/($AW$6)</f>
        <v>0.15151515151515152</v>
      </c>
      <c r="BQ606" s="127">
        <f ca="1">(CH606-$AW$4)/((YEAR($C$13))-$AW$4)</f>
        <v>1</v>
      </c>
      <c r="BR606" s="127">
        <f>(AL606)/($AW$6)</f>
        <v>1.0101010101010102E-2</v>
      </c>
      <c r="BS606" s="4"/>
      <c r="BT606" s="127"/>
      <c r="BU606" s="127">
        <f ca="1">(CG606-$AW$4)/((YEAR($C$13))-$AW$4)</f>
        <v>1</v>
      </c>
      <c r="BV606" s="127">
        <f>AE606/5</f>
        <v>1</v>
      </c>
      <c r="BW606" s="127">
        <f>AF606/5</f>
        <v>1</v>
      </c>
      <c r="BX606" s="4"/>
      <c r="BY606" s="148" t="str">
        <f>IF(E606="A",".98",IF(E606="B",".99",IF(E606="C","1.00",IF(E606="D","1.00" ))))</f>
        <v>1.00</v>
      </c>
      <c r="BZ606" s="127">
        <f>(CE606+7)/10</f>
        <v>1</v>
      </c>
      <c r="CA606" s="76" t="str">
        <f>IF(D606="Fern",".97",IF(D606="Grass",".99",IF(D606="Herb",".97",IF(D606="Shrub",".99",IF(D606="Tree","1.00",IF(D606="Vine",".98"))))))</f>
        <v>.97</v>
      </c>
      <c r="CB606" s="149" t="str">
        <f>IF(R606="Bogs Ponds Streams",".96", IF(R606="Coastal Areas",".97",IF(R606="Meadows Dry Open",".96",IF(R606="Forest &amp; Understory",".97",IF(R606="Moist Open",".98",IF(R606="Moist Shady",".96",IF(R606="Sub-Alpine","1.0")))))))</f>
        <v>.97</v>
      </c>
      <c r="CC606" s="76" t="str">
        <f>IF(S606="Local Endemic",".50",IF(S606="Regional Endemic",".70",IF(S606="Cascadia",".90",IF(S606="Rocky Mountain",".95",IF(S606="North America",".99")))))</f>
        <v>.90</v>
      </c>
      <c r="CD606" s="4"/>
      <c r="CE606" s="21">
        <f>IF(W606&gt;3,3,W606)</f>
        <v>3</v>
      </c>
      <c r="CF606" s="21">
        <f>IF(AC606&gt;102,102,AC606)</f>
        <v>23.1</v>
      </c>
      <c r="CG606" s="34">
        <f ca="1">IF(AI606&lt;$AW$4,$AW$4,AI606)</f>
        <v>2019</v>
      </c>
      <c r="CH606" s="34">
        <f ca="1">IF(AJ606&lt;$AW$4,$AW$4,AJ606)</f>
        <v>2019</v>
      </c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13"/>
    </row>
    <row r="607" spans="1:115" ht="15" customHeight="1" x14ac:dyDescent="0.3">
      <c r="A607" s="235"/>
      <c r="B607" s="218"/>
      <c r="C607" s="225">
        <v>8</v>
      </c>
      <c r="D607" s="59" t="s">
        <v>1154</v>
      </c>
      <c r="E607" s="59" t="s">
        <v>2501</v>
      </c>
      <c r="F607" s="397" t="str">
        <f ca="1">IF(BC607&lt;2025, "Extinct&lt; 6Yrs?",BA607)</f>
        <v>Widespread</v>
      </c>
      <c r="G607" s="363" t="s">
        <v>525</v>
      </c>
      <c r="H607" s="368" t="s">
        <v>680</v>
      </c>
      <c r="I607" s="364" t="s">
        <v>770</v>
      </c>
      <c r="J607" s="365" t="s">
        <v>4025</v>
      </c>
      <c r="K607" s="365" t="s">
        <v>2224</v>
      </c>
      <c r="L607" s="10" t="s">
        <v>1614</v>
      </c>
      <c r="M607" s="8" t="s">
        <v>4680</v>
      </c>
      <c r="N607" s="8" t="s">
        <v>5578</v>
      </c>
      <c r="O607" s="8" t="s">
        <v>6477</v>
      </c>
      <c r="P607" s="9" t="s">
        <v>4060</v>
      </c>
      <c r="Q607" s="59" t="s">
        <v>2552</v>
      </c>
      <c r="R607" s="9" t="s">
        <v>2500</v>
      </c>
      <c r="S607" s="17" t="s">
        <v>2495</v>
      </c>
      <c r="T607" s="123" t="str">
        <f>IF(R607="Bogs Ponds Streams","20",IF(R607="Coastal Areas","26",IF(R607="Meadows Dry Open","10",IF(R607="Forest &amp; Understory","14",IF(R607="Moist Open","12",IF(R607="Moist Shady","10",IF(R607="Sub-Alpine Slopes","0")))))))</f>
        <v>10</v>
      </c>
      <c r="U607" s="123" t="str">
        <f>IF(R607="Bogs Ponds Streams","52",IF(R607="Coastal Areas","51",IF(R607="Meadows Dry Open","53",IF(R607="Forest &amp; Understory","52",IF(R607="Moist Open","50",IF(R607="Moist Shady","46",IF(R607="Sub-Alpine Slopes","40")))))))</f>
        <v>53</v>
      </c>
      <c r="V607" s="123" t="str">
        <f>IF(R607="Bogs Ponds Streams","84",IF(R607="Coastal Areas","76",IF(R607="Meadows Dry Open","96", IF(R607="Forest &amp; Understory","90", IF(R607="Moist Open","88", IF(R607="Moist Shady","82", IF(R607="Sub-Alpine Slopes","80")))))))</f>
        <v>96</v>
      </c>
      <c r="W607" s="59">
        <v>20</v>
      </c>
      <c r="X607" s="59">
        <v>0</v>
      </c>
      <c r="Y607" s="59">
        <v>3500</v>
      </c>
      <c r="Z607" s="59" t="s">
        <v>2519</v>
      </c>
      <c r="AA607" s="59" t="s">
        <v>2518</v>
      </c>
      <c r="AB607" s="59">
        <v>6.8</v>
      </c>
      <c r="AC607" s="45">
        <f>C607+AK607+(0.1)*AL607</f>
        <v>17</v>
      </c>
      <c r="AD607" s="77">
        <v>55</v>
      </c>
      <c r="AE607" s="59">
        <v>5</v>
      </c>
      <c r="AF607" s="59">
        <v>5</v>
      </c>
      <c r="AG607" s="59">
        <v>1900</v>
      </c>
      <c r="AH607" s="77">
        <v>0</v>
      </c>
      <c r="AI607" s="59">
        <f ca="1">AJ607</f>
        <v>2019</v>
      </c>
      <c r="AJ607" s="18">
        <f ca="1">YEAR(TODAY())</f>
        <v>2019</v>
      </c>
      <c r="AK607" s="18">
        <v>9</v>
      </c>
      <c r="AL607" s="18">
        <v>0</v>
      </c>
      <c r="AM607" s="18">
        <v>1</v>
      </c>
      <c r="AN607" s="18">
        <v>1</v>
      </c>
      <c r="AO607" s="18">
        <v>5</v>
      </c>
      <c r="AP607" s="18">
        <v>1</v>
      </c>
      <c r="AQ607" s="18">
        <v>0</v>
      </c>
      <c r="AR607" s="18">
        <v>0</v>
      </c>
      <c r="AS607" s="18">
        <v>0</v>
      </c>
      <c r="AT607" s="18">
        <v>0</v>
      </c>
      <c r="AU607" s="18">
        <v>0</v>
      </c>
      <c r="AV607" s="18">
        <v>0</v>
      </c>
      <c r="AW607" s="18">
        <v>0</v>
      </c>
      <c r="AX607" s="18">
        <v>0</v>
      </c>
      <c r="AY607" s="233"/>
      <c r="AZ607" s="4"/>
      <c r="BA607" s="35" t="str">
        <f>IF(OR(S607="North America",S607="Rocky Mountain"), "Widespread",BC607)</f>
        <v>Widespread</v>
      </c>
      <c r="BB607" s="4"/>
      <c r="BC607" s="35" t="str">
        <f ca="1">IF(BE607&gt;2046, "Abundant",BE607)</f>
        <v>Abundant</v>
      </c>
      <c r="BD607" s="4"/>
      <c r="BE607" s="81">
        <f ca="1">YEAR($C$13)+(BG607*80)</f>
        <v>2104.0653090909091</v>
      </c>
      <c r="BF607" s="4"/>
      <c r="BG607" s="137">
        <f ca="1">BH607*$BH$14</f>
        <v>1.0633163636363636</v>
      </c>
      <c r="BH607" s="137">
        <f ca="1">(((BJ607+BK607+BM607+BN607)/4)*$BM$11)+(((BP607+BQ607)/2)*$BQ$11)+(((BU607+BV607+BW607)/3)*$BU$11)+(((BY607+BZ607+CA607+CB607+CC607)/5)*$CA$11)</f>
        <v>1.0633163636363636</v>
      </c>
      <c r="BI607" s="4"/>
      <c r="BJ607" s="33">
        <f>AP607/(AM607+AO607)</f>
        <v>0.16666666666666666</v>
      </c>
      <c r="BK607" s="33">
        <f>(AN607+AO607)/(AM607+AO607)</f>
        <v>1</v>
      </c>
      <c r="BL607" s="4"/>
      <c r="BM607" s="127">
        <f>CF607/102</f>
        <v>0.16666666666666666</v>
      </c>
      <c r="BN607" s="127">
        <f>C607/2</f>
        <v>4</v>
      </c>
      <c r="BO607" s="4"/>
      <c r="BP607" s="127">
        <f>(AK607)/($AW$6)</f>
        <v>9.0909090909090912E-2</v>
      </c>
      <c r="BQ607" s="127">
        <f ca="1">(CH607-$AW$4)/((YEAR($C$13))-$AW$4)</f>
        <v>1</v>
      </c>
      <c r="BR607" s="127">
        <f>(AL607)/($AW$6)</f>
        <v>0</v>
      </c>
      <c r="BS607" s="4"/>
      <c r="BT607" s="127"/>
      <c r="BU607" s="127">
        <f ca="1">(CG607-$AW$4)/((YEAR($C$13))-$AW$4)</f>
        <v>1</v>
      </c>
      <c r="BV607" s="127">
        <f>AE607/5</f>
        <v>1</v>
      </c>
      <c r="BW607" s="127">
        <f>AF607/5</f>
        <v>1</v>
      </c>
      <c r="BX607" s="4"/>
      <c r="BY607" s="148" t="str">
        <f>IF(E607="A",".98",IF(E607="B",".99",IF(E607="C","1.00",IF(E607="D","1.00" ))))</f>
        <v>1.00</v>
      </c>
      <c r="BZ607" s="127">
        <f>(CE607+7)/10</f>
        <v>1</v>
      </c>
      <c r="CA607" s="76" t="str">
        <f>IF(D607="Fern",".97",IF(D607="Grass",".99",IF(D607="Herb",".97",IF(D607="Shrub",".99",IF(D607="Tree","1.00",IF(D607="Vine",".98"))))))</f>
        <v>.97</v>
      </c>
      <c r="CB607" s="149" t="str">
        <f>IF(R607="Bogs Ponds Streams",".96", IF(R607="Coastal Areas",".97",IF(R607="Meadows Dry Open",".96",IF(R607="Forest &amp; Understory",".97",IF(R607="Moist Open",".98",IF(R607="Moist Shady",".96",IF(R607="Sub-Alpine","1.0")))))))</f>
        <v>.96</v>
      </c>
      <c r="CC607" s="76" t="str">
        <f>IF(S607="Local Endemic",".50",IF(S607="Regional Endemic",".70",IF(S607="Cascadia",".90",IF(S607="Rocky Mountain",".95",IF(S607="North America",".99")))))</f>
        <v>.99</v>
      </c>
      <c r="CD607" s="4"/>
      <c r="CE607" s="21">
        <f>IF(W607&gt;3,3,W607)</f>
        <v>3</v>
      </c>
      <c r="CF607" s="21">
        <f>IF(AC607&gt;102,102,AC607)</f>
        <v>17</v>
      </c>
      <c r="CG607" s="34">
        <f ca="1">IF(AI607&lt;$AW$4,$AW$4,AI607)</f>
        <v>2019</v>
      </c>
      <c r="CH607" s="34">
        <f ca="1">IF(AJ607&lt;$AW$4,$AW$4,AJ607)</f>
        <v>2019</v>
      </c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13"/>
    </row>
    <row r="608" spans="1:115" ht="15" customHeight="1" x14ac:dyDescent="0.3">
      <c r="A608" s="235"/>
      <c r="B608" s="218"/>
      <c r="C608" s="225">
        <v>8</v>
      </c>
      <c r="D608" s="59" t="s">
        <v>2506</v>
      </c>
      <c r="E608" s="60" t="s">
        <v>2501</v>
      </c>
      <c r="F608" s="397" t="str">
        <f ca="1">IF(BC608&lt;2025, "Extinct&lt; 6Yrs?",BA608)</f>
        <v>Abundant</v>
      </c>
      <c r="G608" s="363" t="s">
        <v>525</v>
      </c>
      <c r="H608" s="363" t="s">
        <v>679</v>
      </c>
      <c r="I608" s="366" t="s">
        <v>628</v>
      </c>
      <c r="J608" s="9" t="s">
        <v>4024</v>
      </c>
      <c r="K608" s="365" t="s">
        <v>1082</v>
      </c>
      <c r="L608" s="10" t="s">
        <v>1615</v>
      </c>
      <c r="M608" s="8" t="s">
        <v>4681</v>
      </c>
      <c r="N608" s="8" t="s">
        <v>5579</v>
      </c>
      <c r="O608" s="8" t="s">
        <v>6478</v>
      </c>
      <c r="P608" s="9" t="s">
        <v>627</v>
      </c>
      <c r="Q608" s="59" t="s">
        <v>2552</v>
      </c>
      <c r="R608" s="9" t="s">
        <v>2500</v>
      </c>
      <c r="S608" s="9" t="s">
        <v>2459</v>
      </c>
      <c r="T608" s="123" t="str">
        <f>IF(R608="Bogs Ponds Streams","20",IF(R608="Coastal Areas","26",IF(R608="Meadows Dry Open","10",IF(R608="Forest &amp; Understory","14",IF(R608="Moist Open","12",IF(R608="Moist Shady","10",IF(R608="Sub-Alpine Slopes","0")))))))</f>
        <v>10</v>
      </c>
      <c r="U608" s="123" t="str">
        <f>IF(R608="Bogs Ponds Streams","52",IF(R608="Coastal Areas","51",IF(R608="Meadows Dry Open","53",IF(R608="Forest &amp; Understory","52",IF(R608="Moist Open","50",IF(R608="Moist Shady","46",IF(R608="Sub-Alpine Slopes","40")))))))</f>
        <v>53</v>
      </c>
      <c r="V608" s="123" t="str">
        <f>IF(R608="Bogs Ponds Streams","84",IF(R608="Coastal Areas","76",IF(R608="Meadows Dry Open","96", IF(R608="Forest &amp; Understory","90", IF(R608="Moist Open","88", IF(R608="Moist Shady","82", IF(R608="Sub-Alpine Slopes","80")))))))</f>
        <v>96</v>
      </c>
      <c r="W608" s="59">
        <v>20</v>
      </c>
      <c r="X608" s="59">
        <v>0</v>
      </c>
      <c r="Y608" s="59">
        <v>3500</v>
      </c>
      <c r="Z608" s="59" t="s">
        <v>2519</v>
      </c>
      <c r="AA608" s="59" t="s">
        <v>2518</v>
      </c>
      <c r="AB608" s="59">
        <v>6.8</v>
      </c>
      <c r="AC608" s="45">
        <f>C608+AK608+(0.1)*AL608</f>
        <v>32</v>
      </c>
      <c r="AD608" s="77">
        <v>222</v>
      </c>
      <c r="AE608" s="59">
        <v>5</v>
      </c>
      <c r="AF608" s="59">
        <v>5</v>
      </c>
      <c r="AG608" s="59">
        <v>1900</v>
      </c>
      <c r="AH608" s="77">
        <v>0</v>
      </c>
      <c r="AI608" s="59">
        <f ca="1">AJ608</f>
        <v>2019</v>
      </c>
      <c r="AJ608" s="18">
        <f ca="1">YEAR(TODAY())</f>
        <v>2019</v>
      </c>
      <c r="AK608" s="18">
        <v>20</v>
      </c>
      <c r="AL608" s="18">
        <v>40</v>
      </c>
      <c r="AM608" s="18">
        <v>1</v>
      </c>
      <c r="AN608" s="18">
        <v>1</v>
      </c>
      <c r="AO608" s="18">
        <v>5</v>
      </c>
      <c r="AP608" s="18">
        <v>1</v>
      </c>
      <c r="AQ608" s="18">
        <v>0</v>
      </c>
      <c r="AR608" s="18">
        <v>0</v>
      </c>
      <c r="AS608" s="18">
        <v>0</v>
      </c>
      <c r="AT608" s="18">
        <v>0</v>
      </c>
      <c r="AU608" s="18">
        <v>0</v>
      </c>
      <c r="AV608" s="18">
        <v>0</v>
      </c>
      <c r="AW608" s="18">
        <v>0</v>
      </c>
      <c r="AX608" s="18">
        <v>0</v>
      </c>
      <c r="AY608" s="233"/>
      <c r="AZ608" s="4"/>
      <c r="BA608" s="35" t="str">
        <f ca="1">IF(OR(S608="North America",S608="Rocky Mountain"), "Widespread",BC608)</f>
        <v>Abundant</v>
      </c>
      <c r="BB608" s="4"/>
      <c r="BC608" s="35" t="str">
        <f ca="1">IF(BE608&gt;2046, "Abundant",BE608)</f>
        <v>Abundant</v>
      </c>
      <c r="BD608" s="4"/>
      <c r="BE608" s="81">
        <f ca="1">YEAR($C$13)+(BG608*80)</f>
        <v>2107.1409483065954</v>
      </c>
      <c r="BF608" s="4"/>
      <c r="BG608" s="137">
        <f ca="1">BH608*$BH$14</f>
        <v>1.1017618538324423</v>
      </c>
      <c r="BH608" s="137">
        <f ca="1">(((BJ608+BK608+BM608+BN608)/4)*$BM$11)+(((BP608+BQ608)/2)*$BQ$11)+(((BU608+BV608+BW608)/3)*$BU$11)+(((BY608+BZ608+CA608+CB608+CC608)/5)*$CA$11)</f>
        <v>1.1017618538324423</v>
      </c>
      <c r="BI608" s="4"/>
      <c r="BJ608" s="33">
        <f>AP608/(AM608+AO608)</f>
        <v>0.16666666666666666</v>
      </c>
      <c r="BK608" s="33">
        <f>(AN608+AO608)/(AM608+AO608)</f>
        <v>1</v>
      </c>
      <c r="BL608" s="4"/>
      <c r="BM608" s="127">
        <f>CF608/102</f>
        <v>0.31372549019607843</v>
      </c>
      <c r="BN608" s="127">
        <f>C608/2</f>
        <v>4</v>
      </c>
      <c r="BO608" s="4"/>
      <c r="BP608" s="127">
        <f>(AK608)/($AW$6)</f>
        <v>0.20202020202020202</v>
      </c>
      <c r="BQ608" s="127">
        <f ca="1">(CH608-$AW$4)/((YEAR($C$13))-$AW$4)</f>
        <v>1</v>
      </c>
      <c r="BR608" s="127">
        <f>(AL608)/($AW$6)</f>
        <v>0.40404040404040403</v>
      </c>
      <c r="BS608" s="4"/>
      <c r="BT608" s="127"/>
      <c r="BU608" s="127">
        <f ca="1">(CG608-$AW$4)/((YEAR($C$13))-$AW$4)</f>
        <v>1</v>
      </c>
      <c r="BV608" s="127">
        <f>AE608/5</f>
        <v>1</v>
      </c>
      <c r="BW608" s="127">
        <f>AF608/5</f>
        <v>1</v>
      </c>
      <c r="BX608" s="4"/>
      <c r="BY608" s="148" t="str">
        <f>IF(E608="A",".98",IF(E608="B",".99",IF(E608="C","1.00",IF(E608="D","1.00" ))))</f>
        <v>1.00</v>
      </c>
      <c r="BZ608" s="127">
        <f>(CE608+7)/10</f>
        <v>1</v>
      </c>
      <c r="CA608" s="76" t="str">
        <f>IF(D608="Fern",".97",IF(D608="Grass",".99",IF(D608="Herb",".97",IF(D608="Shrub",".99",IF(D608="Tree","1.00",IF(D608="Vine",".98"))))))</f>
        <v>.99</v>
      </c>
      <c r="CB608" s="149" t="str">
        <f>IF(R608="Bogs Ponds Streams",".96", IF(R608="Coastal Areas",".97",IF(R608="Meadows Dry Open",".96",IF(R608="Forest &amp; Understory",".97",IF(R608="Moist Open",".98",IF(R608="Moist Shady",".96",IF(R608="Sub-Alpine","1.0")))))))</f>
        <v>.96</v>
      </c>
      <c r="CC608" s="76" t="str">
        <f>IF(S608="Local Endemic",".50",IF(S608="Regional Endemic",".70",IF(S608="Cascadia",".90",IF(S608="Rocky Mountain",".95",IF(S608="North America",".99")))))</f>
        <v>.90</v>
      </c>
      <c r="CD608" s="4"/>
      <c r="CE608" s="21">
        <f>IF(W608&gt;3,3,W608)</f>
        <v>3</v>
      </c>
      <c r="CF608" s="21">
        <f>IF(AC608&gt;102,102,AC608)</f>
        <v>32</v>
      </c>
      <c r="CG608" s="34">
        <f ca="1">IF(AI608&lt;$AW$4,$AW$4,AI608)</f>
        <v>2019</v>
      </c>
      <c r="CH608" s="34">
        <f ca="1">IF(AJ608&lt;$AW$4,$AW$4,AJ608)</f>
        <v>2019</v>
      </c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</row>
    <row r="609" spans="1:115" ht="15" customHeight="1" x14ac:dyDescent="0.3">
      <c r="A609" s="235"/>
      <c r="B609" s="218"/>
      <c r="C609" s="226">
        <v>2</v>
      </c>
      <c r="D609" s="104" t="s">
        <v>2505</v>
      </c>
      <c r="E609" s="104" t="s">
        <v>2501</v>
      </c>
      <c r="F609" s="400" t="str">
        <f ca="1">IF(BC609&lt;2025, "Extinct&lt; 6Yrs?",BA609)</f>
        <v>Widespread</v>
      </c>
      <c r="G609" s="369" t="s">
        <v>525</v>
      </c>
      <c r="H609" s="369" t="s">
        <v>4028</v>
      </c>
      <c r="I609" s="370" t="s">
        <v>3103</v>
      </c>
      <c r="J609" s="371" t="s">
        <v>3725</v>
      </c>
      <c r="K609" s="371" t="s">
        <v>28</v>
      </c>
      <c r="L609" s="106" t="s">
        <v>1616</v>
      </c>
      <c r="M609" s="111" t="s">
        <v>4682</v>
      </c>
      <c r="N609" s="111" t="s">
        <v>5580</v>
      </c>
      <c r="O609" s="111" t="s">
        <v>6479</v>
      </c>
      <c r="P609" s="105" t="s">
        <v>674</v>
      </c>
      <c r="Q609" s="104" t="s">
        <v>2552</v>
      </c>
      <c r="R609" s="105" t="s">
        <v>2500</v>
      </c>
      <c r="S609" s="105" t="s">
        <v>2479</v>
      </c>
      <c r="T609" s="133" t="str">
        <f>IF(R609="Bogs Ponds Streams","20",IF(R609="Coastal Areas","26",IF(R609="Meadows Dry Open","10",IF(R609="Forest &amp; Understory","14",IF(R609="Moist Open","12",IF(R609="Moist Shady","10",IF(R609="Sub-Alpine Slopes","0")))))))</f>
        <v>10</v>
      </c>
      <c r="U609" s="133" t="str">
        <f>IF(R609="Bogs Ponds Streams","52",IF(R609="Coastal Areas","51",IF(R609="Meadows Dry Open","53",IF(R609="Forest &amp; Understory","52",IF(R609="Moist Open","50",IF(R609="Moist Shady","46",IF(R609="Sub-Alpine Slopes","40")))))))</f>
        <v>53</v>
      </c>
      <c r="V609" s="133" t="str">
        <f>IF(R609="Bogs Ponds Streams","84",IF(R609="Coastal Areas","76",IF(R609="Meadows Dry Open","96", IF(R609="Forest &amp; Understory","90", IF(R609="Moist Open","88", IF(R609="Moist Shady","82", IF(R609="Sub-Alpine Slopes","80")))))))</f>
        <v>96</v>
      </c>
      <c r="W609" s="104">
        <v>20</v>
      </c>
      <c r="X609" s="104">
        <v>0</v>
      </c>
      <c r="Y609" s="104">
        <v>3500</v>
      </c>
      <c r="Z609" s="104" t="s">
        <v>2519</v>
      </c>
      <c r="AA609" s="104" t="s">
        <v>2518</v>
      </c>
      <c r="AB609" s="104">
        <v>6.8</v>
      </c>
      <c r="AC609" s="107">
        <f>C609+AK609+(0.1)*AL609</f>
        <v>13.3</v>
      </c>
      <c r="AD609" s="113">
        <v>189</v>
      </c>
      <c r="AE609" s="104">
        <v>5</v>
      </c>
      <c r="AF609" s="104">
        <v>5</v>
      </c>
      <c r="AG609" s="104">
        <v>1900</v>
      </c>
      <c r="AH609" s="113">
        <v>0</v>
      </c>
      <c r="AI609" s="104">
        <f>AJ609</f>
        <v>2004</v>
      </c>
      <c r="AJ609" s="108">
        <v>2004</v>
      </c>
      <c r="AK609" s="108">
        <v>8</v>
      </c>
      <c r="AL609" s="108">
        <v>33</v>
      </c>
      <c r="AM609" s="109">
        <v>5</v>
      </c>
      <c r="AN609" s="109">
        <v>1</v>
      </c>
      <c r="AO609" s="109">
        <v>1</v>
      </c>
      <c r="AP609" s="109">
        <v>0</v>
      </c>
      <c r="AQ609" s="109">
        <v>0</v>
      </c>
      <c r="AR609" s="109">
        <v>0</v>
      </c>
      <c r="AS609" s="110">
        <v>0</v>
      </c>
      <c r="AT609" s="109">
        <v>0</v>
      </c>
      <c r="AU609" s="109">
        <v>0</v>
      </c>
      <c r="AV609" s="109">
        <v>0</v>
      </c>
      <c r="AW609" s="110">
        <v>0</v>
      </c>
      <c r="AX609" s="109">
        <v>0</v>
      </c>
      <c r="AY609" s="233"/>
      <c r="AZ609" s="4"/>
      <c r="BA609" s="35" t="str">
        <f>IF(OR(S609="North America",S609="Rocky Mountain"), "Widespread",BC609)</f>
        <v>Widespread</v>
      </c>
      <c r="BB609" s="4"/>
      <c r="BC609" s="35">
        <f ca="1">IF(BE609&gt;2046, "Abundant",BE609)</f>
        <v>2043.3626695187165</v>
      </c>
      <c r="BD609" s="4"/>
      <c r="BE609" s="81">
        <f ca="1">YEAR($C$13)+(BG609*80)</f>
        <v>2043.3626695187165</v>
      </c>
      <c r="BF609" s="4"/>
      <c r="BG609" s="137">
        <f ca="1">BH609*$BH$14</f>
        <v>0.30453336898395722</v>
      </c>
      <c r="BH609" s="137">
        <f ca="1">(((BJ609+BK609+BM609+BN609)/4)*$BM$11)+(((BP609+BQ609)/2)*$BQ$11)+(((BU609+BV609+BW609)/3)*$BU$11)+(((BY609+BZ609+CA609+CB609+CC609)/5)*$CA$11)</f>
        <v>0.30453336898395722</v>
      </c>
      <c r="BI609" s="4"/>
      <c r="BJ609" s="33">
        <f>AP609/(AM609+AO609)</f>
        <v>0</v>
      </c>
      <c r="BK609" s="33">
        <f>(AN609+AO609)/(AM609+AO609)</f>
        <v>0.33333333333333331</v>
      </c>
      <c r="BL609" s="4"/>
      <c r="BM609" s="127">
        <f>CF609/102</f>
        <v>0.13039215686274511</v>
      </c>
      <c r="BN609" s="127">
        <f>C609/2</f>
        <v>1</v>
      </c>
      <c r="BO609" s="4"/>
      <c r="BP609" s="127">
        <f>(AK609)/($AW$6)</f>
        <v>8.0808080808080815E-2</v>
      </c>
      <c r="BQ609" s="127">
        <f ca="1">(CH609-$AW$4)/((YEAR($C$13))-$AW$4)</f>
        <v>0</v>
      </c>
      <c r="BR609" s="127">
        <f>(AL609)/($AW$6)</f>
        <v>0.33333333333333331</v>
      </c>
      <c r="BS609" s="4"/>
      <c r="BT609" s="127"/>
      <c r="BU609" s="127">
        <f ca="1">(CG609-$AW$4)/((YEAR($C$13))-$AW$4)</f>
        <v>0</v>
      </c>
      <c r="BV609" s="127">
        <f>AE609/5</f>
        <v>1</v>
      </c>
      <c r="BW609" s="127">
        <f>AF609/5</f>
        <v>1</v>
      </c>
      <c r="BX609" s="4"/>
      <c r="BY609" s="148" t="str">
        <f>IF(E609="A",".98",IF(E609="B",".99",IF(E609="C","1.00",IF(E609="D","1.00" ))))</f>
        <v>1.00</v>
      </c>
      <c r="BZ609" s="127">
        <f>(CE609+7)/10</f>
        <v>1</v>
      </c>
      <c r="CA609" s="76" t="str">
        <f>IF(D609="Fern",".97",IF(D609="Grass",".99",IF(D609="Herb",".97",IF(D609="Shrub",".99",IF(D609="Tree","1.00",IF(D609="Vine",".98"))))))</f>
        <v>.97</v>
      </c>
      <c r="CB609" s="149" t="str">
        <f>IF(R609="Bogs Ponds Streams",".96", IF(R609="Coastal Areas",".97",IF(R609="Meadows Dry Open",".96",IF(R609="Forest &amp; Understory",".97",IF(R609="Moist Open",".98",IF(R609="Moist Shady",".96",IF(R609="Sub-Alpine","1.0")))))))</f>
        <v>.96</v>
      </c>
      <c r="CC609" s="76" t="str">
        <f>IF(S609="Local Endemic",".50",IF(S609="Regional Endemic",".70",IF(S609="Cascadia",".90",IF(S609="Rocky Mountain",".95",IF(S609="North America",".99")))))</f>
        <v>.95</v>
      </c>
      <c r="CD609" s="4"/>
      <c r="CE609" s="21">
        <f>IF(W609&gt;3,3,W609)</f>
        <v>3</v>
      </c>
      <c r="CF609" s="21">
        <f>IF(AC609&gt;102,102,AC609)</f>
        <v>13.3</v>
      </c>
      <c r="CG609" s="34">
        <f>IF(AI609&lt;$AW$4,$AW$4,AI609)</f>
        <v>2004</v>
      </c>
      <c r="CH609" s="34">
        <f>IF(AJ609&lt;$AW$4,$AW$4,AJ609)</f>
        <v>2004</v>
      </c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</row>
    <row r="610" spans="1:115" ht="15" customHeight="1" x14ac:dyDescent="0.3">
      <c r="A610" s="235"/>
      <c r="B610" s="218"/>
      <c r="C610" s="225">
        <v>8</v>
      </c>
      <c r="D610" s="59" t="s">
        <v>2506</v>
      </c>
      <c r="E610" s="60" t="s">
        <v>2501</v>
      </c>
      <c r="F610" s="397" t="str">
        <f ca="1">IF(BC610&lt;2025, "Extinct&lt; 6Yrs?",BA610)</f>
        <v>Abundant</v>
      </c>
      <c r="G610" s="363" t="s">
        <v>525</v>
      </c>
      <c r="H610" s="363" t="s">
        <v>681</v>
      </c>
      <c r="I610" s="366" t="s">
        <v>302</v>
      </c>
      <c r="J610" s="365" t="s">
        <v>4023</v>
      </c>
      <c r="K610" s="365" t="s">
        <v>1083</v>
      </c>
      <c r="L610" s="10" t="s">
        <v>1617</v>
      </c>
      <c r="M610" s="8" t="s">
        <v>4683</v>
      </c>
      <c r="N610" s="8" t="s">
        <v>5581</v>
      </c>
      <c r="O610" s="8" t="s">
        <v>6480</v>
      </c>
      <c r="P610" s="9" t="s">
        <v>303</v>
      </c>
      <c r="Q610" s="59" t="s">
        <v>2552</v>
      </c>
      <c r="R610" s="9" t="s">
        <v>2498</v>
      </c>
      <c r="S610" s="9" t="s">
        <v>2459</v>
      </c>
      <c r="T610" s="123" t="str">
        <f>IF(R610="Bogs Ponds Streams","20",IF(R610="Coastal Areas","26",IF(R610="Meadows Dry Open","10",IF(R610="Forest &amp; Understory","14",IF(R610="Moist Open","12",IF(R610="Moist Shady","10",IF(R610="Sub-Alpine Slopes","0")))))))</f>
        <v>10</v>
      </c>
      <c r="U610" s="123" t="str">
        <f>IF(R610="Bogs Ponds Streams","52",IF(R610="Coastal Areas","51",IF(R610="Meadows Dry Open","53",IF(R610="Forest &amp; Understory","52",IF(R610="Moist Open","50",IF(R610="Moist Shady","46",IF(R610="Sub-Alpine Slopes","40")))))))</f>
        <v>46</v>
      </c>
      <c r="V610" s="123" t="str">
        <f>IF(R610="Bogs Ponds Streams","84",IF(R610="Coastal Areas","76",IF(R610="Meadows Dry Open","96", IF(R610="Forest &amp; Understory","90", IF(R610="Moist Open","88", IF(R610="Moist Shady","82", IF(R610="Sub-Alpine Slopes","80")))))))</f>
        <v>82</v>
      </c>
      <c r="W610" s="59">
        <v>20</v>
      </c>
      <c r="X610" s="59">
        <v>0</v>
      </c>
      <c r="Y610" s="59">
        <v>3500</v>
      </c>
      <c r="Z610" s="59" t="s">
        <v>2519</v>
      </c>
      <c r="AA610" s="59" t="s">
        <v>2518</v>
      </c>
      <c r="AB610" s="59">
        <v>6.8</v>
      </c>
      <c r="AC610" s="45">
        <f>C610+AK610+(0.1)*AL610</f>
        <v>54.2</v>
      </c>
      <c r="AD610" s="77">
        <v>77</v>
      </c>
      <c r="AE610" s="59">
        <v>5</v>
      </c>
      <c r="AF610" s="59">
        <v>5</v>
      </c>
      <c r="AG610" s="59">
        <v>1900</v>
      </c>
      <c r="AH610" s="77">
        <v>0</v>
      </c>
      <c r="AI610" s="59">
        <f ca="1">AJ610</f>
        <v>2019</v>
      </c>
      <c r="AJ610" s="18">
        <f ca="1">YEAR(TODAY())</f>
        <v>2019</v>
      </c>
      <c r="AK610" s="18">
        <v>44</v>
      </c>
      <c r="AL610" s="18">
        <v>22</v>
      </c>
      <c r="AM610" s="18">
        <v>1</v>
      </c>
      <c r="AN610" s="18">
        <v>1</v>
      </c>
      <c r="AO610" s="18">
        <v>5</v>
      </c>
      <c r="AP610" s="18">
        <v>1</v>
      </c>
      <c r="AQ610" s="18">
        <v>0</v>
      </c>
      <c r="AR610" s="18">
        <v>0</v>
      </c>
      <c r="AS610" s="18">
        <v>0</v>
      </c>
      <c r="AT610" s="18">
        <v>0</v>
      </c>
      <c r="AU610" s="18">
        <v>0</v>
      </c>
      <c r="AV610" s="18">
        <v>0</v>
      </c>
      <c r="AW610" s="18">
        <v>0</v>
      </c>
      <c r="AX610" s="18">
        <v>0</v>
      </c>
      <c r="AY610" s="233"/>
      <c r="AZ610" s="4"/>
      <c r="BA610" s="35" t="str">
        <f ca="1">IF(OR(S610="North America",S610="Rocky Mountain"), "Widespread",BC610)</f>
        <v>Abundant</v>
      </c>
      <c r="BB610" s="4"/>
      <c r="BC610" s="35" t="str">
        <f ca="1">IF(BE610&gt;2046, "Abundant",BE610)</f>
        <v>Abundant</v>
      </c>
      <c r="BD610" s="4"/>
      <c r="BE610" s="81">
        <f ca="1">YEAR($C$13)+(BG610*80)</f>
        <v>2112.6618039215687</v>
      </c>
      <c r="BF610" s="4"/>
      <c r="BG610" s="137">
        <f ca="1">BH610*$BH$14</f>
        <v>1.1707725490196079</v>
      </c>
      <c r="BH610" s="137">
        <f ca="1">(((BJ610+BK610+BM610+BN610)/4)*$BM$11)+(((BP610+BQ610)/2)*$BQ$11)+(((BU610+BV610+BW610)/3)*$BU$11)+(((BY610+BZ610+CA610+CB610+CC610)/5)*$CA$11)</f>
        <v>1.1707725490196079</v>
      </c>
      <c r="BI610" s="4"/>
      <c r="BJ610" s="33">
        <f>AP610/(AM610+AO610)</f>
        <v>0.16666666666666666</v>
      </c>
      <c r="BK610" s="33">
        <f>(AN610+AO610)/(AM610+AO610)</f>
        <v>1</v>
      </c>
      <c r="BL610" s="4"/>
      <c r="BM610" s="127">
        <f>CF610/102</f>
        <v>0.53137254901960784</v>
      </c>
      <c r="BN610" s="127">
        <f>C610/2</f>
        <v>4</v>
      </c>
      <c r="BO610" s="4"/>
      <c r="BP610" s="127">
        <f>(AK610)/($AW$6)</f>
        <v>0.44444444444444442</v>
      </c>
      <c r="BQ610" s="127">
        <f ca="1">(CH610-$AW$4)/((YEAR($C$13))-$AW$4)</f>
        <v>1</v>
      </c>
      <c r="BR610" s="127">
        <f>(AL610)/($AW$6)</f>
        <v>0.22222222222222221</v>
      </c>
      <c r="BS610" s="4"/>
      <c r="BT610" s="127"/>
      <c r="BU610" s="127">
        <f ca="1">(CG610-$AW$4)/((YEAR($C$13))-$AW$4)</f>
        <v>1</v>
      </c>
      <c r="BV610" s="127">
        <f>AE610/5</f>
        <v>1</v>
      </c>
      <c r="BW610" s="127">
        <f>AF610/5</f>
        <v>1</v>
      </c>
      <c r="BX610" s="4"/>
      <c r="BY610" s="148" t="str">
        <f>IF(E610="A",".98",IF(E610="B",".99",IF(E610="C","1.00",IF(E610="D","1.00" ))))</f>
        <v>1.00</v>
      </c>
      <c r="BZ610" s="127">
        <f>(CE610+7)/10</f>
        <v>1</v>
      </c>
      <c r="CA610" s="76" t="str">
        <f>IF(D610="Fern",".97",IF(D610="Grass",".99",IF(D610="Herb",".97",IF(D610="Shrub",".99",IF(D610="Tree","1.00",IF(D610="Vine",".98"))))))</f>
        <v>.99</v>
      </c>
      <c r="CB610" s="149" t="str">
        <f>IF(R610="Bogs Ponds Streams",".96", IF(R610="Coastal Areas",".97",IF(R610="Meadows Dry Open",".96",IF(R610="Forest &amp; Understory",".97",IF(R610="Moist Open",".98",IF(R610="Moist Shady",".96",IF(R610="Sub-Alpine","1.0")))))))</f>
        <v>.96</v>
      </c>
      <c r="CC610" s="76" t="str">
        <f>IF(S610="Local Endemic",".50",IF(S610="Regional Endemic",".70",IF(S610="Cascadia",".90",IF(S610="Rocky Mountain",".95",IF(S610="North America",".99")))))</f>
        <v>.90</v>
      </c>
      <c r="CD610" s="4"/>
      <c r="CE610" s="21">
        <f>IF(W610&gt;3,3,W610)</f>
        <v>3</v>
      </c>
      <c r="CF610" s="21">
        <f>IF(AC610&gt;102,102,AC610)</f>
        <v>54.2</v>
      </c>
      <c r="CG610" s="34">
        <f ca="1">IF(AI610&lt;$AW$4,$AW$4,AI610)</f>
        <v>2019</v>
      </c>
      <c r="CH610" s="34">
        <f ca="1">IF(AJ610&lt;$AW$4,$AW$4,AJ610)</f>
        <v>2019</v>
      </c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</row>
    <row r="611" spans="1:115" ht="15" customHeight="1" x14ac:dyDescent="0.3">
      <c r="A611" s="235"/>
      <c r="B611" s="218"/>
      <c r="C611" s="225">
        <v>8</v>
      </c>
      <c r="D611" s="59" t="s">
        <v>2507</v>
      </c>
      <c r="E611" s="59" t="s">
        <v>2504</v>
      </c>
      <c r="F611" s="397" t="str">
        <f ca="1">IF(BC611&lt;2025, "Extinct&lt; 6Yrs?",BA611)</f>
        <v>Widespread</v>
      </c>
      <c r="G611" s="363" t="s">
        <v>525</v>
      </c>
      <c r="H611" s="363" t="s">
        <v>685</v>
      </c>
      <c r="I611" s="366" t="s">
        <v>1084</v>
      </c>
      <c r="J611" s="365" t="s">
        <v>4021</v>
      </c>
      <c r="K611" s="365" t="s">
        <v>529</v>
      </c>
      <c r="L611" s="10" t="s">
        <v>1618</v>
      </c>
      <c r="M611" s="8" t="s">
        <v>4684</v>
      </c>
      <c r="N611" s="8" t="s">
        <v>5582</v>
      </c>
      <c r="O611" s="8" t="s">
        <v>6481</v>
      </c>
      <c r="P611" s="9" t="s">
        <v>520</v>
      </c>
      <c r="Q611" s="59" t="s">
        <v>2552</v>
      </c>
      <c r="R611" s="160" t="s">
        <v>2497</v>
      </c>
      <c r="S611" s="17" t="s">
        <v>2479</v>
      </c>
      <c r="T611" s="123" t="str">
        <f>IF(R611="Bogs Ponds Streams","20",IF(R611="Coastal Areas","26",IF(R611="Meadows Dry Open","10",IF(R611="Forest &amp; Understory","14",IF(R611="Moist Open","12",IF(R611="Moist Shady","10",IF(R611="Sub-Alpine Slopes","0")))))))</f>
        <v>12</v>
      </c>
      <c r="U611" s="123" t="str">
        <f>IF(R611="Bogs Ponds Streams","52",IF(R611="Coastal Areas","51",IF(R611="Meadows Dry Open","53",IF(R611="Forest &amp; Understory","52",IF(R611="Moist Open","50",IF(R611="Moist Shady","46",IF(R611="Sub-Alpine Slopes","40")))))))</f>
        <v>50</v>
      </c>
      <c r="V611" s="123" t="str">
        <f>IF(R611="Bogs Ponds Streams","84",IF(R611="Coastal Areas","76",IF(R611="Meadows Dry Open","96", IF(R611="Forest &amp; Understory","90", IF(R611="Moist Open","88", IF(R611="Moist Shady","82", IF(R611="Sub-Alpine Slopes","80")))))))</f>
        <v>88</v>
      </c>
      <c r="W611" s="59">
        <v>200</v>
      </c>
      <c r="X611" s="59">
        <v>0</v>
      </c>
      <c r="Y611" s="59">
        <v>3500</v>
      </c>
      <c r="Z611" s="59" t="s">
        <v>2519</v>
      </c>
      <c r="AA611" s="59" t="s">
        <v>2518</v>
      </c>
      <c r="AB611" s="59">
        <v>6.8</v>
      </c>
      <c r="AC611" s="45">
        <f>C611+AK611+(0.1)*AL611</f>
        <v>20.9</v>
      </c>
      <c r="AD611" s="77">
        <v>54</v>
      </c>
      <c r="AE611" s="59">
        <v>5</v>
      </c>
      <c r="AF611" s="59">
        <v>5</v>
      </c>
      <c r="AG611" s="59">
        <v>1900</v>
      </c>
      <c r="AH611" s="77">
        <v>0</v>
      </c>
      <c r="AI611" s="59">
        <f ca="1">AJ611</f>
        <v>2019</v>
      </c>
      <c r="AJ611" s="18">
        <f ca="1">YEAR(TODAY())</f>
        <v>2019</v>
      </c>
      <c r="AK611" s="18">
        <v>3</v>
      </c>
      <c r="AL611" s="18">
        <v>99</v>
      </c>
      <c r="AM611" s="18">
        <v>1</v>
      </c>
      <c r="AN611" s="18">
        <v>1</v>
      </c>
      <c r="AO611" s="18">
        <v>5</v>
      </c>
      <c r="AP611" s="18">
        <v>1</v>
      </c>
      <c r="AQ611" s="18">
        <v>0</v>
      </c>
      <c r="AR611" s="18">
        <v>0</v>
      </c>
      <c r="AS611" s="18">
        <v>0</v>
      </c>
      <c r="AT611" s="18">
        <v>0</v>
      </c>
      <c r="AU611" s="18">
        <v>0</v>
      </c>
      <c r="AV611" s="18">
        <v>0</v>
      </c>
      <c r="AW611" s="18">
        <v>0</v>
      </c>
      <c r="AX611" s="18">
        <v>0</v>
      </c>
      <c r="AY611" s="233"/>
      <c r="AZ611" s="4"/>
      <c r="BA611" s="35" t="str">
        <f>IF(OR(S611="North America",S611="Rocky Mountain"), "Widespread",BC611)</f>
        <v>Widespread</v>
      </c>
      <c r="BB611" s="4"/>
      <c r="BC611" s="35" t="str">
        <f ca="1">IF(BE611&gt;2046, "Abundant",BE611)</f>
        <v>Abundant</v>
      </c>
      <c r="BD611" s="4"/>
      <c r="BE611" s="81">
        <f ca="1">YEAR($C$13)+(BG611*80)</f>
        <v>2103.800059893048</v>
      </c>
      <c r="BF611" s="4"/>
      <c r="BG611" s="137">
        <f ca="1">BH611*$BH$14</f>
        <v>1.0600007486631016</v>
      </c>
      <c r="BH611" s="137">
        <f ca="1">(((BJ611+BK611+BM611+BN611)/4)*$BM$11)+(((BP611+BQ611)/2)*$BQ$11)+(((BU611+BV611+BW611)/3)*$BU$11)+(((BY611+BZ611+CA611+CB611+CC611)/5)*$CA$11)</f>
        <v>1.0600007486631016</v>
      </c>
      <c r="BI611" s="4"/>
      <c r="BJ611" s="33">
        <f>AP611/(AM611+AO611)</f>
        <v>0.16666666666666666</v>
      </c>
      <c r="BK611" s="33">
        <f>(AN611+AO611)/(AM611+AO611)</f>
        <v>1</v>
      </c>
      <c r="BL611" s="4"/>
      <c r="BM611" s="127">
        <f>CF611/102</f>
        <v>0.20490196078431372</v>
      </c>
      <c r="BN611" s="127">
        <f>C611/2</f>
        <v>4</v>
      </c>
      <c r="BO611" s="4"/>
      <c r="BP611" s="127">
        <f>(AK611)/($AW$6)</f>
        <v>3.0303030303030304E-2</v>
      </c>
      <c r="BQ611" s="127">
        <f ca="1">(CH611-$AW$4)/((YEAR($C$13))-$AW$4)</f>
        <v>1</v>
      </c>
      <c r="BR611" s="127">
        <f>(AL611)/($AW$6)</f>
        <v>1</v>
      </c>
      <c r="BS611" s="4"/>
      <c r="BT611" s="127"/>
      <c r="BU611" s="127">
        <f ca="1">(CG611-$AW$4)/((YEAR($C$13))-$AW$4)</f>
        <v>1</v>
      </c>
      <c r="BV611" s="127">
        <f>AE611/5</f>
        <v>1</v>
      </c>
      <c r="BW611" s="127">
        <f>AF611/5</f>
        <v>1</v>
      </c>
      <c r="BX611" s="4"/>
      <c r="BY611" s="148" t="str">
        <f>IF(E611="A",".98",IF(E611="B",".99",IF(E611="C","1.00",IF(E611="D","1.00" ))))</f>
        <v>1.00</v>
      </c>
      <c r="BZ611" s="127">
        <f>(CE611+7)/10</f>
        <v>1</v>
      </c>
      <c r="CA611" s="76" t="str">
        <f>IF(D611="Fern",".97",IF(D611="Grass",".99",IF(D611="Herb",".97",IF(D611="Shrub",".99",IF(D611="Tree","1.00",IF(D611="Vine",".98"))))))</f>
        <v>1.00</v>
      </c>
      <c r="CB611" s="149" t="str">
        <f>IF(R611="Bogs Ponds Streams",".96", IF(R611="Coastal Areas",".97",IF(R611="Meadows Dry Open",".96",IF(R611="Forest &amp; Understory",".97",IF(R611="Moist Open",".98",IF(R611="Moist Shady",".96",IF(R611="Sub-Alpine","1.0")))))))</f>
        <v>.98</v>
      </c>
      <c r="CC611" s="76" t="str">
        <f>IF(S611="Local Endemic",".50",IF(S611="Regional Endemic",".70",IF(S611="Cascadia",".90",IF(S611="Rocky Mountain",".95",IF(S611="North America",".99")))))</f>
        <v>.95</v>
      </c>
      <c r="CD611" s="4"/>
      <c r="CE611" s="21">
        <f>IF(W611&gt;3,3,W611)</f>
        <v>3</v>
      </c>
      <c r="CF611" s="21">
        <f>IF(AC611&gt;102,102,AC611)</f>
        <v>20.9</v>
      </c>
      <c r="CG611" s="34">
        <f ca="1">IF(AI611&lt;$AW$4,$AW$4,AI611)</f>
        <v>2019</v>
      </c>
      <c r="CH611" s="34">
        <f ca="1">IF(AJ611&lt;$AW$4,$AW$4,AJ611)</f>
        <v>2019</v>
      </c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</row>
    <row r="612" spans="1:115" ht="15" customHeight="1" x14ac:dyDescent="0.3">
      <c r="A612" s="235"/>
      <c r="B612" s="218"/>
      <c r="C612" s="225">
        <v>8</v>
      </c>
      <c r="D612" s="59" t="s">
        <v>2507</v>
      </c>
      <c r="E612" s="59" t="s">
        <v>2504</v>
      </c>
      <c r="F612" s="397" t="str">
        <f ca="1">IF(BC612&lt;2025, "Extinct&lt; 6Yrs?",BA612)</f>
        <v>Abundant</v>
      </c>
      <c r="G612" s="363" t="s">
        <v>525</v>
      </c>
      <c r="H612" s="363" t="s">
        <v>684</v>
      </c>
      <c r="I612" s="366" t="s">
        <v>3104</v>
      </c>
      <c r="J612" s="365" t="s">
        <v>4022</v>
      </c>
      <c r="K612" s="365" t="s">
        <v>528</v>
      </c>
      <c r="L612" s="10" t="s">
        <v>1619</v>
      </c>
      <c r="M612" s="8" t="s">
        <v>4685</v>
      </c>
      <c r="N612" s="8" t="s">
        <v>5583</v>
      </c>
      <c r="O612" s="8" t="s">
        <v>6482</v>
      </c>
      <c r="P612" s="9" t="s">
        <v>520</v>
      </c>
      <c r="Q612" s="59" t="s">
        <v>2552</v>
      </c>
      <c r="R612" s="9" t="s">
        <v>2453</v>
      </c>
      <c r="S612" s="9" t="s">
        <v>2459</v>
      </c>
      <c r="T612" s="123" t="str">
        <f>IF(R612="Bogs Ponds Streams","20",IF(R612="Coastal Areas","26",IF(R612="Meadows Dry Open","10",IF(R612="Forest &amp; Understory","14",IF(R612="Moist Open","12",IF(R612="Moist Shady","10",IF(R612="Sub-Alpine Slopes","0")))))))</f>
        <v>26</v>
      </c>
      <c r="U612" s="123" t="str">
        <f>IF(R612="Bogs Ponds Streams","52",IF(R612="Coastal Areas","51",IF(R612="Meadows Dry Open","53",IF(R612="Forest &amp; Understory","52",IF(R612="Moist Open","50",IF(R612="Moist Shady","46",IF(R612="Sub-Alpine Slopes","40")))))))</f>
        <v>51</v>
      </c>
      <c r="V612" s="123" t="str">
        <f>IF(R612="Bogs Ponds Streams","84",IF(R612="Coastal Areas","76",IF(R612="Meadows Dry Open","96", IF(R612="Forest &amp; Understory","90", IF(R612="Moist Open","88", IF(R612="Moist Shady","82", IF(R612="Sub-Alpine Slopes","80")))))))</f>
        <v>76</v>
      </c>
      <c r="W612" s="59">
        <v>200</v>
      </c>
      <c r="X612" s="59">
        <v>0</v>
      </c>
      <c r="Y612" s="59">
        <v>3500</v>
      </c>
      <c r="Z612" s="59" t="s">
        <v>2519</v>
      </c>
      <c r="AA612" s="59" t="s">
        <v>2518</v>
      </c>
      <c r="AB612" s="59">
        <v>6.8</v>
      </c>
      <c r="AC612" s="45">
        <f>C612+AK612+(0.1)*AL612</f>
        <v>14.3</v>
      </c>
      <c r="AD612" s="77">
        <v>64</v>
      </c>
      <c r="AE612" s="59">
        <v>5</v>
      </c>
      <c r="AF612" s="59">
        <v>5</v>
      </c>
      <c r="AG612" s="59">
        <v>1900</v>
      </c>
      <c r="AH612" s="77">
        <v>0</v>
      </c>
      <c r="AI612" s="59">
        <f ca="1">AJ612</f>
        <v>2019</v>
      </c>
      <c r="AJ612" s="18">
        <f ca="1">YEAR(TODAY())</f>
        <v>2019</v>
      </c>
      <c r="AK612" s="18">
        <v>3</v>
      </c>
      <c r="AL612" s="18">
        <v>33</v>
      </c>
      <c r="AM612" s="18">
        <v>1</v>
      </c>
      <c r="AN612" s="18">
        <v>1</v>
      </c>
      <c r="AO612" s="18">
        <v>5</v>
      </c>
      <c r="AP612" s="18">
        <v>1</v>
      </c>
      <c r="AQ612" s="18">
        <v>0</v>
      </c>
      <c r="AR612" s="18">
        <v>0</v>
      </c>
      <c r="AS612" s="18">
        <v>0</v>
      </c>
      <c r="AT612" s="18">
        <v>0</v>
      </c>
      <c r="AU612" s="18">
        <v>0</v>
      </c>
      <c r="AV612" s="18">
        <v>0</v>
      </c>
      <c r="AW612" s="18">
        <v>0</v>
      </c>
      <c r="AX612" s="18">
        <v>0</v>
      </c>
      <c r="AY612" s="233"/>
      <c r="AZ612" s="4"/>
      <c r="BA612" s="35" t="str">
        <f ca="1">IF(OR(S612="North America",S612="Rocky Mountain"), "Widespread",BC612)</f>
        <v>Abundant</v>
      </c>
      <c r="BB612" s="4"/>
      <c r="BC612" s="35" t="str">
        <f ca="1">IF(BE612&gt;2046, "Abundant",BE612)</f>
        <v>Abundant</v>
      </c>
      <c r="BD612" s="4"/>
      <c r="BE612" s="81">
        <f ca="1">YEAR($C$13)+(BG612*80)</f>
        <v>2103.0043893048128</v>
      </c>
      <c r="BF612" s="4"/>
      <c r="BG612" s="137">
        <f ca="1">BH612*$BH$14</f>
        <v>1.0500548663101603</v>
      </c>
      <c r="BH612" s="137">
        <f ca="1">(((BJ612+BK612+BM612+BN612)/4)*$BM$11)+(((BP612+BQ612)/2)*$BQ$11)+(((BU612+BV612+BW612)/3)*$BU$11)+(((BY612+BZ612+CA612+CB612+CC612)/5)*$CA$11)</f>
        <v>1.0500548663101603</v>
      </c>
      <c r="BI612" s="4"/>
      <c r="BJ612" s="33">
        <f>AP612/(AM612+AO612)</f>
        <v>0.16666666666666666</v>
      </c>
      <c r="BK612" s="33">
        <f>(AN612+AO612)/(AM612+AO612)</f>
        <v>1</v>
      </c>
      <c r="BL612" s="4"/>
      <c r="BM612" s="127">
        <f>CF612/102</f>
        <v>0.14019607843137255</v>
      </c>
      <c r="BN612" s="127">
        <f>C612/2</f>
        <v>4</v>
      </c>
      <c r="BO612" s="4"/>
      <c r="BP612" s="127">
        <f>(AK612)/($AW$6)</f>
        <v>3.0303030303030304E-2</v>
      </c>
      <c r="BQ612" s="127">
        <f ca="1">(CH612-$AW$4)/((YEAR($C$13))-$AW$4)</f>
        <v>1</v>
      </c>
      <c r="BR612" s="127">
        <f>(AL612)/($AW$6)</f>
        <v>0.33333333333333331</v>
      </c>
      <c r="BS612" s="4"/>
      <c r="BT612" s="127"/>
      <c r="BU612" s="127">
        <f ca="1">(CG612-$AW$4)/((YEAR($C$13))-$AW$4)</f>
        <v>1</v>
      </c>
      <c r="BV612" s="127">
        <f>AE612/5</f>
        <v>1</v>
      </c>
      <c r="BW612" s="127">
        <f>AF612/5</f>
        <v>1</v>
      </c>
      <c r="BX612" s="4"/>
      <c r="BY612" s="148" t="str">
        <f>IF(E612="A",".98",IF(E612="B",".99",IF(E612="C","1.00",IF(E612="D","1.00" ))))</f>
        <v>1.00</v>
      </c>
      <c r="BZ612" s="127">
        <f>(CE612+7)/10</f>
        <v>1</v>
      </c>
      <c r="CA612" s="76" t="str">
        <f>IF(D612="Fern",".97",IF(D612="Grass",".99",IF(D612="Herb",".97",IF(D612="Shrub",".99",IF(D612="Tree","1.00",IF(D612="Vine",".98"))))))</f>
        <v>1.00</v>
      </c>
      <c r="CB612" s="149" t="str">
        <f>IF(R612="Bogs Ponds Streams",".96", IF(R612="Coastal Areas",".97",IF(R612="Meadows Dry Open",".96",IF(R612="Forest &amp; Understory",".97",IF(R612="Moist Open",".98",IF(R612="Moist Shady",".96",IF(R612="Sub-Alpine","1.0")))))))</f>
        <v>.97</v>
      </c>
      <c r="CC612" s="76" t="str">
        <f>IF(S612="Local Endemic",".50",IF(S612="Regional Endemic",".70",IF(S612="Cascadia",".90",IF(S612="Rocky Mountain",".95",IF(S612="North America",".99")))))</f>
        <v>.90</v>
      </c>
      <c r="CD612" s="4"/>
      <c r="CE612" s="21">
        <f>IF(W612&gt;3,3,W612)</f>
        <v>3</v>
      </c>
      <c r="CF612" s="21">
        <f>IF(AC612&gt;102,102,AC612)</f>
        <v>14.3</v>
      </c>
      <c r="CG612" s="34">
        <f ca="1">IF(AI612&lt;$AW$4,$AW$4,AI612)</f>
        <v>2019</v>
      </c>
      <c r="CH612" s="34">
        <f ca="1">IF(AJ612&lt;$AW$4,$AW$4,AJ612)</f>
        <v>2019</v>
      </c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</row>
    <row r="613" spans="1:115" ht="15" customHeight="1" x14ac:dyDescent="0.3">
      <c r="A613" s="235"/>
      <c r="B613" s="218"/>
      <c r="C613" s="225">
        <v>8</v>
      </c>
      <c r="D613" s="59" t="s">
        <v>2507</v>
      </c>
      <c r="E613" s="59" t="s">
        <v>2504</v>
      </c>
      <c r="F613" s="397" t="str">
        <f ca="1">IF(BC613&lt;2025, "Extinct&lt; 6Yrs?",BA613)</f>
        <v>Widespread</v>
      </c>
      <c r="G613" s="363" t="s">
        <v>525</v>
      </c>
      <c r="H613" s="363" t="s">
        <v>688</v>
      </c>
      <c r="I613" s="366" t="s">
        <v>524</v>
      </c>
      <c r="J613" s="365" t="s">
        <v>4020</v>
      </c>
      <c r="K613" s="365" t="s">
        <v>523</v>
      </c>
      <c r="L613" s="10" t="s">
        <v>1620</v>
      </c>
      <c r="M613" s="8" t="s">
        <v>4686</v>
      </c>
      <c r="N613" s="8" t="s">
        <v>5584</v>
      </c>
      <c r="O613" s="8" t="s">
        <v>6483</v>
      </c>
      <c r="P613" s="9" t="s">
        <v>520</v>
      </c>
      <c r="Q613" s="59" t="s">
        <v>2552</v>
      </c>
      <c r="R613" s="9" t="s">
        <v>2500</v>
      </c>
      <c r="S613" s="9" t="s">
        <v>2479</v>
      </c>
      <c r="T613" s="123" t="str">
        <f>IF(R613="Bogs Ponds Streams","20",IF(R613="Coastal Areas","26",IF(R613="Meadows Dry Open","10",IF(R613="Forest &amp; Understory","14",IF(R613="Moist Open","12",IF(R613="Moist Shady","10",IF(R613="Sub-Alpine Slopes","0")))))))</f>
        <v>10</v>
      </c>
      <c r="U613" s="123" t="str">
        <f>IF(R613="Bogs Ponds Streams","52",IF(R613="Coastal Areas","51",IF(R613="Meadows Dry Open","53",IF(R613="Forest &amp; Understory","52",IF(R613="Moist Open","50",IF(R613="Moist Shady","46",IF(R613="Sub-Alpine Slopes","40")))))))</f>
        <v>53</v>
      </c>
      <c r="V613" s="123" t="str">
        <f>IF(R613="Bogs Ponds Streams","84",IF(R613="Coastal Areas","76",IF(R613="Meadows Dry Open","96", IF(R613="Forest &amp; Understory","90", IF(R613="Moist Open","88", IF(R613="Moist Shady","82", IF(R613="Sub-Alpine Slopes","80")))))))</f>
        <v>96</v>
      </c>
      <c r="W613" s="59">
        <v>200</v>
      </c>
      <c r="X613" s="59">
        <v>0</v>
      </c>
      <c r="Y613" s="59">
        <v>3500</v>
      </c>
      <c r="Z613" s="59" t="s">
        <v>2519</v>
      </c>
      <c r="AA613" s="59" t="s">
        <v>2518</v>
      </c>
      <c r="AB613" s="59">
        <v>6.8</v>
      </c>
      <c r="AC613" s="45">
        <f>C613+AK613+(0.1)*AL613</f>
        <v>107.9</v>
      </c>
      <c r="AD613" s="77">
        <v>161</v>
      </c>
      <c r="AE613" s="59">
        <v>5</v>
      </c>
      <c r="AF613" s="59">
        <v>5</v>
      </c>
      <c r="AG613" s="59">
        <v>1900</v>
      </c>
      <c r="AH613" s="77">
        <v>0</v>
      </c>
      <c r="AI613" s="59">
        <f ca="1">AJ613</f>
        <v>2019</v>
      </c>
      <c r="AJ613" s="18">
        <f ca="1">YEAR(TODAY())</f>
        <v>2019</v>
      </c>
      <c r="AK613" s="18">
        <v>99</v>
      </c>
      <c r="AL613" s="18">
        <v>9</v>
      </c>
      <c r="AM613" s="18">
        <v>1</v>
      </c>
      <c r="AN613" s="18">
        <v>1</v>
      </c>
      <c r="AO613" s="18">
        <v>5</v>
      </c>
      <c r="AP613" s="18">
        <v>1</v>
      </c>
      <c r="AQ613" s="18">
        <v>0</v>
      </c>
      <c r="AR613" s="18">
        <v>0</v>
      </c>
      <c r="AS613" s="18">
        <v>0</v>
      </c>
      <c r="AT613" s="18">
        <v>0</v>
      </c>
      <c r="AU613" s="18">
        <v>0</v>
      </c>
      <c r="AV613" s="18">
        <v>0</v>
      </c>
      <c r="AW613" s="18">
        <v>0</v>
      </c>
      <c r="AX613" s="18">
        <v>0</v>
      </c>
      <c r="AY613" s="233"/>
      <c r="AZ613" s="4"/>
      <c r="BA613" s="35" t="str">
        <f>IF(OR(S613="North America",S613="Rocky Mountain"), "Widespread",BC613)</f>
        <v>Widespread</v>
      </c>
      <c r="BB613" s="4"/>
      <c r="BC613" s="35" t="str">
        <f ca="1">IF(BE613&gt;2046, "Abundant",BE613)</f>
        <v>Abundant</v>
      </c>
      <c r="BD613" s="4"/>
      <c r="BE613" s="81">
        <f ca="1">YEAR($C$13)+(BG613*80)</f>
        <v>2124.9712</v>
      </c>
      <c r="BF613" s="4"/>
      <c r="BG613" s="137">
        <f ca="1">BH613*$BH$14</f>
        <v>1.3246400000000003</v>
      </c>
      <c r="BH613" s="137">
        <f ca="1">(((BJ613+BK613+BM613+BN613)/4)*$BM$11)+(((BP613+BQ613)/2)*$BQ$11)+(((BU613+BV613+BW613)/3)*$BU$11)+(((BY613+BZ613+CA613+CB613+CC613)/5)*$CA$11)</f>
        <v>1.3246400000000003</v>
      </c>
      <c r="BI613" s="4"/>
      <c r="BJ613" s="33">
        <f>AP613/(AM613+AO613)</f>
        <v>0.16666666666666666</v>
      </c>
      <c r="BK613" s="33">
        <f>(AN613+AO613)/(AM613+AO613)</f>
        <v>1</v>
      </c>
      <c r="BL613" s="4"/>
      <c r="BM613" s="127">
        <f>CF613/102</f>
        <v>1</v>
      </c>
      <c r="BN613" s="127">
        <f>C613/2</f>
        <v>4</v>
      </c>
      <c r="BO613" s="4"/>
      <c r="BP613" s="127">
        <f>(AK613)/($AW$6)</f>
        <v>1</v>
      </c>
      <c r="BQ613" s="127">
        <f ca="1">(CH613-$AW$4)/((YEAR($C$13))-$AW$4)</f>
        <v>1</v>
      </c>
      <c r="BR613" s="127">
        <f>(AL613)/($AW$6)</f>
        <v>9.0909090909090912E-2</v>
      </c>
      <c r="BS613" s="4"/>
      <c r="BT613" s="127"/>
      <c r="BU613" s="127">
        <f ca="1">(CG613-$AW$4)/((YEAR($C$13))-$AW$4)</f>
        <v>1</v>
      </c>
      <c r="BV613" s="127">
        <f>AE613/5</f>
        <v>1</v>
      </c>
      <c r="BW613" s="127">
        <f>AF613/5</f>
        <v>1</v>
      </c>
      <c r="BX613" s="4"/>
      <c r="BY613" s="148" t="str">
        <f>IF(E613="A",".98",IF(E613="B",".99",IF(E613="C","1.00",IF(E613="D","1.00" ))))</f>
        <v>1.00</v>
      </c>
      <c r="BZ613" s="127">
        <f>(CE613+7)/10</f>
        <v>1</v>
      </c>
      <c r="CA613" s="76" t="str">
        <f>IF(D613="Fern",".97",IF(D613="Grass",".99",IF(D613="Herb",".97",IF(D613="Shrub",".99",IF(D613="Tree","1.00",IF(D613="Vine",".98"))))))</f>
        <v>1.00</v>
      </c>
      <c r="CB613" s="149" t="str">
        <f>IF(R613="Bogs Ponds Streams",".96", IF(R613="Coastal Areas",".97",IF(R613="Meadows Dry Open",".96",IF(R613="Forest &amp; Understory",".97",IF(R613="Moist Open",".98",IF(R613="Moist Shady",".96",IF(R613="Sub-Alpine","1.0")))))))</f>
        <v>.96</v>
      </c>
      <c r="CC613" s="76" t="str">
        <f>IF(S613="Local Endemic",".50",IF(S613="Regional Endemic",".70",IF(S613="Cascadia",".90",IF(S613="Rocky Mountain",".95",IF(S613="North America",".99")))))</f>
        <v>.95</v>
      </c>
      <c r="CD613" s="4"/>
      <c r="CE613" s="21">
        <f>IF(W613&gt;3,3,W613)</f>
        <v>3</v>
      </c>
      <c r="CF613" s="21">
        <f>IF(AC613&gt;102,102,AC613)</f>
        <v>102</v>
      </c>
      <c r="CG613" s="34">
        <f ca="1">IF(AI613&lt;$AW$4,$AW$4,AI613)</f>
        <v>2019</v>
      </c>
      <c r="CH613" s="34">
        <f ca="1">IF(AJ613&lt;$AW$4,$AW$4,AJ613)</f>
        <v>2019</v>
      </c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</row>
    <row r="614" spans="1:115" ht="15" customHeight="1" x14ac:dyDescent="0.3">
      <c r="A614" s="235"/>
      <c r="B614" s="218"/>
      <c r="C614" s="225">
        <v>8</v>
      </c>
      <c r="D614" s="59" t="s">
        <v>2507</v>
      </c>
      <c r="E614" s="59" t="s">
        <v>2504</v>
      </c>
      <c r="F614" s="397" t="str">
        <f ca="1">IF(BC614&lt;2025, "Extinct&lt; 6Yrs?",BA614)</f>
        <v>Abundant</v>
      </c>
      <c r="G614" s="363" t="s">
        <v>525</v>
      </c>
      <c r="H614" s="363" t="s">
        <v>688</v>
      </c>
      <c r="I614" s="366" t="s">
        <v>730</v>
      </c>
      <c r="J614" s="365" t="s">
        <v>4018</v>
      </c>
      <c r="K614" s="365" t="s">
        <v>4019</v>
      </c>
      <c r="L614" s="10" t="s">
        <v>1621</v>
      </c>
      <c r="M614" s="8" t="s">
        <v>4687</v>
      </c>
      <c r="N614" s="8" t="s">
        <v>5585</v>
      </c>
      <c r="O614" s="8" t="s">
        <v>6484</v>
      </c>
      <c r="P614" s="9" t="s">
        <v>520</v>
      </c>
      <c r="Q614" s="59" t="s">
        <v>2552</v>
      </c>
      <c r="R614" s="9" t="s">
        <v>2500</v>
      </c>
      <c r="S614" s="9" t="s">
        <v>2459</v>
      </c>
      <c r="T614" s="123" t="str">
        <f>IF(R614="Bogs Ponds Streams","20",IF(R614="Coastal Areas","26",IF(R614="Meadows Dry Open","10",IF(R614="Forest &amp; Understory","14",IF(R614="Moist Open","12",IF(R614="Moist Shady","10",IF(R614="Sub-Alpine Slopes","0")))))))</f>
        <v>10</v>
      </c>
      <c r="U614" s="123" t="str">
        <f>IF(R614="Bogs Ponds Streams","52",IF(R614="Coastal Areas","51",IF(R614="Meadows Dry Open","53",IF(R614="Forest &amp; Understory","52",IF(R614="Moist Open","50",IF(R614="Moist Shady","46",IF(R614="Sub-Alpine Slopes","40")))))))</f>
        <v>53</v>
      </c>
      <c r="V614" s="123" t="str">
        <f>IF(R614="Bogs Ponds Streams","84",IF(R614="Coastal Areas","76",IF(R614="Meadows Dry Open","96", IF(R614="Forest &amp; Understory","90", IF(R614="Moist Open","88", IF(R614="Moist Shady","82", IF(R614="Sub-Alpine Slopes","80")))))))</f>
        <v>96</v>
      </c>
      <c r="W614" s="59">
        <v>200</v>
      </c>
      <c r="X614" s="59">
        <v>0</v>
      </c>
      <c r="Y614" s="59">
        <v>3500</v>
      </c>
      <c r="Z614" s="59" t="s">
        <v>2519</v>
      </c>
      <c r="AA614" s="59" t="s">
        <v>2518</v>
      </c>
      <c r="AB614" s="59">
        <v>6.8</v>
      </c>
      <c r="AC614" s="45">
        <f>C614+AK614+(0.1)*AL614</f>
        <v>107.9</v>
      </c>
      <c r="AD614" s="77">
        <v>65</v>
      </c>
      <c r="AE614" s="59">
        <v>5</v>
      </c>
      <c r="AF614" s="59">
        <v>5</v>
      </c>
      <c r="AG614" s="59">
        <v>1900</v>
      </c>
      <c r="AH614" s="77">
        <v>0</v>
      </c>
      <c r="AI614" s="59">
        <f ca="1">AJ614</f>
        <v>2019</v>
      </c>
      <c r="AJ614" s="18">
        <f ca="1">YEAR(TODAY())</f>
        <v>2019</v>
      </c>
      <c r="AK614" s="18">
        <v>99</v>
      </c>
      <c r="AL614" s="18">
        <v>9</v>
      </c>
      <c r="AM614" s="18">
        <v>1</v>
      </c>
      <c r="AN614" s="18">
        <v>1</v>
      </c>
      <c r="AO614" s="18">
        <v>5</v>
      </c>
      <c r="AP614" s="18">
        <v>1</v>
      </c>
      <c r="AQ614" s="18">
        <v>0</v>
      </c>
      <c r="AR614" s="18">
        <v>0</v>
      </c>
      <c r="AS614" s="18">
        <v>0</v>
      </c>
      <c r="AT614" s="18">
        <v>0</v>
      </c>
      <c r="AU614" s="18">
        <v>0</v>
      </c>
      <c r="AV614" s="18">
        <v>0</v>
      </c>
      <c r="AW614" s="18">
        <v>0</v>
      </c>
      <c r="AX614" s="18">
        <v>0</v>
      </c>
      <c r="AY614" s="233"/>
      <c r="AZ614" s="4"/>
      <c r="BA614" s="35" t="str">
        <f ca="1">IF(OR(S614="North America",S614="Rocky Mountain"), "Widespread",BC614)</f>
        <v>Abundant</v>
      </c>
      <c r="BB614" s="4"/>
      <c r="BC614" s="35" t="str">
        <f ca="1">IF(BE614&gt;2046, "Abundant",BE614)</f>
        <v>Abundant</v>
      </c>
      <c r="BD614" s="4"/>
      <c r="BE614" s="81">
        <f ca="1">YEAR($C$13)+(BG614*80)</f>
        <v>2124.9551999999999</v>
      </c>
      <c r="BF614" s="4"/>
      <c r="BG614" s="137">
        <f ca="1">BH614*$BH$14</f>
        <v>1.3244400000000001</v>
      </c>
      <c r="BH614" s="137">
        <f ca="1">(((BJ614+BK614+BM614+BN614)/4)*$BM$11)+(((BP614+BQ614)/2)*$BQ$11)+(((BU614+BV614+BW614)/3)*$BU$11)+(((BY614+BZ614+CA614+CB614+CC614)/5)*$CA$11)</f>
        <v>1.3244400000000001</v>
      </c>
      <c r="BI614" s="4"/>
      <c r="BJ614" s="33">
        <f>AP614/(AM614+AO614)</f>
        <v>0.16666666666666666</v>
      </c>
      <c r="BK614" s="33">
        <f>(AN614+AO614)/(AM614+AO614)</f>
        <v>1</v>
      </c>
      <c r="BL614" s="4"/>
      <c r="BM614" s="127">
        <f>CF614/102</f>
        <v>1</v>
      </c>
      <c r="BN614" s="127">
        <f>C614/2</f>
        <v>4</v>
      </c>
      <c r="BO614" s="4"/>
      <c r="BP614" s="127">
        <f>(AK614)/($AW$6)</f>
        <v>1</v>
      </c>
      <c r="BQ614" s="127">
        <f ca="1">(CH614-$AW$4)/((YEAR($C$13))-$AW$4)</f>
        <v>1</v>
      </c>
      <c r="BR614" s="127">
        <f>(AL614)/($AW$6)</f>
        <v>9.0909090909090912E-2</v>
      </c>
      <c r="BS614" s="4"/>
      <c r="BT614" s="127"/>
      <c r="BU614" s="127">
        <f ca="1">(CG614-$AW$4)/((YEAR($C$13))-$AW$4)</f>
        <v>1</v>
      </c>
      <c r="BV614" s="127">
        <f>AE614/5</f>
        <v>1</v>
      </c>
      <c r="BW614" s="127">
        <f>AF614/5</f>
        <v>1</v>
      </c>
      <c r="BX614" s="4"/>
      <c r="BY614" s="148" t="str">
        <f>IF(E614="A",".98",IF(E614="B",".99",IF(E614="C","1.00",IF(E614="D","1.00" ))))</f>
        <v>1.00</v>
      </c>
      <c r="BZ614" s="127">
        <f>(CE614+7)/10</f>
        <v>1</v>
      </c>
      <c r="CA614" s="76" t="str">
        <f>IF(D614="Fern",".97",IF(D614="Grass",".99",IF(D614="Herb",".97",IF(D614="Shrub",".99",IF(D614="Tree","1.00",IF(D614="Vine",".98"))))))</f>
        <v>1.00</v>
      </c>
      <c r="CB614" s="149" t="str">
        <f>IF(R614="Bogs Ponds Streams",".96", IF(R614="Coastal Areas",".97",IF(R614="Meadows Dry Open",".96",IF(R614="Forest &amp; Understory",".97",IF(R614="Moist Open",".98",IF(R614="Moist Shady",".96",IF(R614="Sub-Alpine","1.0")))))))</f>
        <v>.96</v>
      </c>
      <c r="CC614" s="76" t="str">
        <f>IF(S614="Local Endemic",".50",IF(S614="Regional Endemic",".70",IF(S614="Cascadia",".90",IF(S614="Rocky Mountain",".95",IF(S614="North America",".99")))))</f>
        <v>.90</v>
      </c>
      <c r="CD614" s="4"/>
      <c r="CE614" s="21">
        <f>IF(W614&gt;3,3,W614)</f>
        <v>3</v>
      </c>
      <c r="CF614" s="21">
        <f>IF(AC614&gt;102,102,AC614)</f>
        <v>102</v>
      </c>
      <c r="CG614" s="34">
        <f ca="1">IF(AI614&lt;$AW$4,$AW$4,AI614)</f>
        <v>2019</v>
      </c>
      <c r="CH614" s="34">
        <f ca="1">IF(AJ614&lt;$AW$4,$AW$4,AJ614)</f>
        <v>2019</v>
      </c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</row>
    <row r="615" spans="1:115" ht="15" customHeight="1" x14ac:dyDescent="0.3">
      <c r="A615" s="235"/>
      <c r="B615" s="218"/>
      <c r="C615" s="225">
        <v>8</v>
      </c>
      <c r="D615" s="59" t="s">
        <v>2507</v>
      </c>
      <c r="E615" s="59" t="s">
        <v>2504</v>
      </c>
      <c r="F615" s="397" t="str">
        <f ca="1">IF(BC615&lt;2025, "Extinct&lt; 6Yrs?",BA615)</f>
        <v>Widespread</v>
      </c>
      <c r="G615" s="363" t="s">
        <v>525</v>
      </c>
      <c r="H615" s="363" t="s">
        <v>688</v>
      </c>
      <c r="I615" s="366" t="s">
        <v>522</v>
      </c>
      <c r="J615" s="365" t="s">
        <v>4017</v>
      </c>
      <c r="K615" s="365" t="s">
        <v>521</v>
      </c>
      <c r="L615" s="10" t="s">
        <v>1622</v>
      </c>
      <c r="M615" s="8" t="s">
        <v>4688</v>
      </c>
      <c r="N615" s="8" t="s">
        <v>5586</v>
      </c>
      <c r="O615" s="8" t="s">
        <v>6485</v>
      </c>
      <c r="P615" s="9" t="s">
        <v>520</v>
      </c>
      <c r="Q615" s="59" t="s">
        <v>2552</v>
      </c>
      <c r="R615" s="9" t="s">
        <v>2498</v>
      </c>
      <c r="S615" s="9" t="s">
        <v>2479</v>
      </c>
      <c r="T615" s="123" t="str">
        <f>IF(R615="Bogs Ponds Streams","20",IF(R615="Coastal Areas","26",IF(R615="Meadows Dry Open","10",IF(R615="Forest &amp; Understory","14",IF(R615="Moist Open","12",IF(R615="Moist Shady","10",IF(R615="Sub-Alpine Slopes","0")))))))</f>
        <v>10</v>
      </c>
      <c r="U615" s="123" t="str">
        <f>IF(R615="Bogs Ponds Streams","52",IF(R615="Coastal Areas","51",IF(R615="Meadows Dry Open","53",IF(R615="Forest &amp; Understory","52",IF(R615="Moist Open","50",IF(R615="Moist Shady","46",IF(R615="Sub-Alpine Slopes","40")))))))</f>
        <v>46</v>
      </c>
      <c r="V615" s="123" t="str">
        <f>IF(R615="Bogs Ponds Streams","84",IF(R615="Coastal Areas","76",IF(R615="Meadows Dry Open","96", IF(R615="Forest &amp; Understory","90", IF(R615="Moist Open","88", IF(R615="Moist Shady","82", IF(R615="Sub-Alpine Slopes","80")))))))</f>
        <v>82</v>
      </c>
      <c r="W615" s="59">
        <v>200</v>
      </c>
      <c r="X615" s="59">
        <v>0</v>
      </c>
      <c r="Y615" s="59">
        <v>3500</v>
      </c>
      <c r="Z615" s="59" t="s">
        <v>2519</v>
      </c>
      <c r="AA615" s="59" t="s">
        <v>2518</v>
      </c>
      <c r="AB615" s="59">
        <v>6.8</v>
      </c>
      <c r="AC615" s="45">
        <f>C615+AK615+(0.1)*AL615</f>
        <v>107.9</v>
      </c>
      <c r="AD615" s="77">
        <v>66</v>
      </c>
      <c r="AE615" s="59">
        <v>5</v>
      </c>
      <c r="AF615" s="59">
        <v>5</v>
      </c>
      <c r="AG615" s="59">
        <v>1900</v>
      </c>
      <c r="AH615" s="77">
        <v>0</v>
      </c>
      <c r="AI615" s="59">
        <f ca="1">AJ615</f>
        <v>2019</v>
      </c>
      <c r="AJ615" s="18">
        <f ca="1">YEAR(TODAY())</f>
        <v>2019</v>
      </c>
      <c r="AK615" s="18">
        <v>99</v>
      </c>
      <c r="AL615" s="18">
        <v>9</v>
      </c>
      <c r="AM615" s="18">
        <v>1</v>
      </c>
      <c r="AN615" s="18">
        <v>1</v>
      </c>
      <c r="AO615" s="18">
        <v>5</v>
      </c>
      <c r="AP615" s="18">
        <v>1</v>
      </c>
      <c r="AQ615" s="18">
        <v>0</v>
      </c>
      <c r="AR615" s="18">
        <v>0</v>
      </c>
      <c r="AS615" s="18">
        <v>0</v>
      </c>
      <c r="AT615" s="18">
        <v>0</v>
      </c>
      <c r="AU615" s="18">
        <v>0</v>
      </c>
      <c r="AV615" s="18">
        <v>0</v>
      </c>
      <c r="AW615" s="18">
        <v>0</v>
      </c>
      <c r="AX615" s="18">
        <v>0</v>
      </c>
      <c r="AY615" s="233"/>
      <c r="AZ615" s="4"/>
      <c r="BA615" s="35" t="str">
        <f>IF(OR(S615="North America",S615="Rocky Mountain"), "Widespread",BC615)</f>
        <v>Widespread</v>
      </c>
      <c r="BB615" s="4"/>
      <c r="BC615" s="35" t="str">
        <f ca="1">IF(BE615&gt;2046, "Abundant",BE615)</f>
        <v>Abundant</v>
      </c>
      <c r="BD615" s="4"/>
      <c r="BE615" s="81">
        <f ca="1">YEAR($C$13)+(BG615*80)</f>
        <v>2124.9712</v>
      </c>
      <c r="BF615" s="4"/>
      <c r="BG615" s="137">
        <f ca="1">BH615*$BH$14</f>
        <v>1.3246400000000003</v>
      </c>
      <c r="BH615" s="137">
        <f ca="1">(((BJ615+BK615+BM615+BN615)/4)*$BM$11)+(((BP615+BQ615)/2)*$BQ$11)+(((BU615+BV615+BW615)/3)*$BU$11)+(((BY615+BZ615+CA615+CB615+CC615)/5)*$CA$11)</f>
        <v>1.3246400000000003</v>
      </c>
      <c r="BI615" s="4"/>
      <c r="BJ615" s="33">
        <f>AP615/(AM615+AO615)</f>
        <v>0.16666666666666666</v>
      </c>
      <c r="BK615" s="33">
        <f>(AN615+AO615)/(AM615+AO615)</f>
        <v>1</v>
      </c>
      <c r="BL615" s="4"/>
      <c r="BM615" s="127">
        <f>CF615/102</f>
        <v>1</v>
      </c>
      <c r="BN615" s="127">
        <f>C615/2</f>
        <v>4</v>
      </c>
      <c r="BO615" s="4"/>
      <c r="BP615" s="127">
        <f>(AK615)/($AW$6)</f>
        <v>1</v>
      </c>
      <c r="BQ615" s="127">
        <f ca="1">(CH615-$AW$4)/((YEAR($C$13))-$AW$4)</f>
        <v>1</v>
      </c>
      <c r="BR615" s="127">
        <f>(AL615)/($AW$6)</f>
        <v>9.0909090909090912E-2</v>
      </c>
      <c r="BS615" s="4"/>
      <c r="BT615" s="127"/>
      <c r="BU615" s="127">
        <f ca="1">(CG615-$AW$4)/((YEAR($C$13))-$AW$4)</f>
        <v>1</v>
      </c>
      <c r="BV615" s="127">
        <f>AE615/5</f>
        <v>1</v>
      </c>
      <c r="BW615" s="127">
        <f>AF615/5</f>
        <v>1</v>
      </c>
      <c r="BX615" s="4"/>
      <c r="BY615" s="148" t="str">
        <f>IF(E615="A",".98",IF(E615="B",".99",IF(E615="C","1.00",IF(E615="D","1.00" ))))</f>
        <v>1.00</v>
      </c>
      <c r="BZ615" s="127">
        <f>(CE615+7)/10</f>
        <v>1</v>
      </c>
      <c r="CA615" s="76" t="str">
        <f>IF(D615="Fern",".97",IF(D615="Grass",".99",IF(D615="Herb",".97",IF(D615="Shrub",".99",IF(D615="Tree","1.00",IF(D615="Vine",".98"))))))</f>
        <v>1.00</v>
      </c>
      <c r="CB615" s="149" t="str">
        <f>IF(R615="Bogs Ponds Streams",".96", IF(R615="Coastal Areas",".97",IF(R615="Meadows Dry Open",".96",IF(R615="Forest &amp; Understory",".97",IF(R615="Moist Open",".98",IF(R615="Moist Shady",".96",IF(R615="Sub-Alpine","1.0")))))))</f>
        <v>.96</v>
      </c>
      <c r="CC615" s="76" t="str">
        <f>IF(S615="Local Endemic",".50",IF(S615="Regional Endemic",".70",IF(S615="Cascadia",".90",IF(S615="Rocky Mountain",".95",IF(S615="North America",".99")))))</f>
        <v>.95</v>
      </c>
      <c r="CD615" s="4"/>
      <c r="CE615" s="21">
        <f>IF(W615&gt;3,3,W615)</f>
        <v>3</v>
      </c>
      <c r="CF615" s="21">
        <f>IF(AC615&gt;102,102,AC615)</f>
        <v>102</v>
      </c>
      <c r="CG615" s="34">
        <f ca="1">IF(AI615&lt;$AW$4,$AW$4,AI615)</f>
        <v>2019</v>
      </c>
      <c r="CH615" s="34">
        <f ca="1">IF(AJ615&lt;$AW$4,$AW$4,AJ615)</f>
        <v>2019</v>
      </c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</row>
    <row r="616" spans="1:115" ht="15" customHeight="1" x14ac:dyDescent="0.3">
      <c r="A616" s="235"/>
      <c r="B616" s="218"/>
      <c r="C616" s="225">
        <v>8</v>
      </c>
      <c r="D616" s="59" t="s">
        <v>2507</v>
      </c>
      <c r="E616" s="59" t="s">
        <v>2504</v>
      </c>
      <c r="F616" s="397" t="str">
        <f ca="1">IF(BC616&lt;2025, "Extinct&lt; 6Yrs?",BA616)</f>
        <v>Widespread</v>
      </c>
      <c r="G616" s="363" t="s">
        <v>525</v>
      </c>
      <c r="H616" s="363" t="s">
        <v>688</v>
      </c>
      <c r="I616" s="366" t="s">
        <v>3105</v>
      </c>
      <c r="J616" s="365" t="s">
        <v>4016</v>
      </c>
      <c r="K616" s="365" t="s">
        <v>1085</v>
      </c>
      <c r="L616" s="10" t="s">
        <v>1623</v>
      </c>
      <c r="M616" s="8" t="s">
        <v>4689</v>
      </c>
      <c r="N616" s="8" t="s">
        <v>5587</v>
      </c>
      <c r="O616" s="8" t="s">
        <v>6486</v>
      </c>
      <c r="P616" s="9" t="s">
        <v>520</v>
      </c>
      <c r="Q616" s="59" t="s">
        <v>2552</v>
      </c>
      <c r="R616" s="160" t="s">
        <v>2497</v>
      </c>
      <c r="S616" s="9" t="s">
        <v>2479</v>
      </c>
      <c r="T616" s="123" t="str">
        <f>IF(R616="Bogs Ponds Streams","20",IF(R616="Coastal Areas","26",IF(R616="Meadows Dry Open","10",IF(R616="Forest &amp; Understory","14",IF(R616="Moist Open","12",IF(R616="Moist Shady","10",IF(R616="Sub-Alpine Slopes","0")))))))</f>
        <v>12</v>
      </c>
      <c r="U616" s="123" t="str">
        <f>IF(R616="Bogs Ponds Streams","52",IF(R616="Coastal Areas","51",IF(R616="Meadows Dry Open","53",IF(R616="Forest &amp; Understory","52",IF(R616="Moist Open","50",IF(R616="Moist Shady","46",IF(R616="Sub-Alpine Slopes","40")))))))</f>
        <v>50</v>
      </c>
      <c r="V616" s="123" t="str">
        <f>IF(R616="Bogs Ponds Streams","84",IF(R616="Coastal Areas","76",IF(R616="Meadows Dry Open","96", IF(R616="Forest &amp; Understory","90", IF(R616="Moist Open","88", IF(R616="Moist Shady","82", IF(R616="Sub-Alpine Slopes","80")))))))</f>
        <v>88</v>
      </c>
      <c r="W616" s="59">
        <v>200</v>
      </c>
      <c r="X616" s="59">
        <v>0</v>
      </c>
      <c r="Y616" s="59">
        <v>3500</v>
      </c>
      <c r="Z616" s="59" t="s">
        <v>2519</v>
      </c>
      <c r="AA616" s="59" t="s">
        <v>2518</v>
      </c>
      <c r="AB616" s="59">
        <v>6.8</v>
      </c>
      <c r="AC616" s="45">
        <f>C616+AK616+(0.1)*AL616</f>
        <v>26.9</v>
      </c>
      <c r="AD616" s="77">
        <v>68</v>
      </c>
      <c r="AE616" s="59">
        <v>5</v>
      </c>
      <c r="AF616" s="59">
        <v>5</v>
      </c>
      <c r="AG616" s="59">
        <v>1900</v>
      </c>
      <c r="AH616" s="77">
        <v>0</v>
      </c>
      <c r="AI616" s="59">
        <f ca="1">AJ616</f>
        <v>2019</v>
      </c>
      <c r="AJ616" s="18">
        <f ca="1">YEAR(TODAY())</f>
        <v>2019</v>
      </c>
      <c r="AK616" s="18">
        <v>9</v>
      </c>
      <c r="AL616" s="18">
        <v>99</v>
      </c>
      <c r="AM616" s="18">
        <v>1</v>
      </c>
      <c r="AN616" s="18">
        <v>1</v>
      </c>
      <c r="AO616" s="18">
        <v>5</v>
      </c>
      <c r="AP616" s="18">
        <v>1</v>
      </c>
      <c r="AQ616" s="18">
        <v>0</v>
      </c>
      <c r="AR616" s="18">
        <v>0</v>
      </c>
      <c r="AS616" s="18">
        <v>0</v>
      </c>
      <c r="AT616" s="18">
        <v>0</v>
      </c>
      <c r="AU616" s="18">
        <v>0</v>
      </c>
      <c r="AV616" s="18">
        <v>0</v>
      </c>
      <c r="AW616" s="18">
        <v>0</v>
      </c>
      <c r="AX616" s="18">
        <v>0</v>
      </c>
      <c r="AY616" s="233"/>
      <c r="AZ616" s="4"/>
      <c r="BA616" s="35" t="str">
        <f>IF(OR(S616="North America",S616="Rocky Mountain"), "Widespread",BC616)</f>
        <v>Widespread</v>
      </c>
      <c r="BB616" s="4"/>
      <c r="BC616" s="35" t="str">
        <f ca="1">IF(BE616&gt;2046, "Abundant",BE616)</f>
        <v>Abundant</v>
      </c>
      <c r="BD616" s="4"/>
      <c r="BE616" s="81">
        <f ca="1">YEAR($C$13)+(BG616*80)</f>
        <v>2105.233214973262</v>
      </c>
      <c r="BF616" s="4"/>
      <c r="BG616" s="137">
        <f ca="1">BH616*$BH$14</f>
        <v>1.0779151871657753</v>
      </c>
      <c r="BH616" s="137">
        <f ca="1">(((BJ616+BK616+BM616+BN616)/4)*$BM$11)+(((BP616+BQ616)/2)*$BQ$11)+(((BU616+BV616+BW616)/3)*$BU$11)+(((BY616+BZ616+CA616+CB616+CC616)/5)*$CA$11)</f>
        <v>1.0779151871657753</v>
      </c>
      <c r="BI616" s="4"/>
      <c r="BJ616" s="33">
        <f>AP616/(AM616+AO616)</f>
        <v>0.16666666666666666</v>
      </c>
      <c r="BK616" s="33">
        <f>(AN616+AO616)/(AM616+AO616)</f>
        <v>1</v>
      </c>
      <c r="BL616" s="4"/>
      <c r="BM616" s="127">
        <f>CF616/102</f>
        <v>0.26372549019607844</v>
      </c>
      <c r="BN616" s="127">
        <f>C616/2</f>
        <v>4</v>
      </c>
      <c r="BO616" s="4"/>
      <c r="BP616" s="127">
        <f>(AK616)/($AW$6)</f>
        <v>9.0909090909090912E-2</v>
      </c>
      <c r="BQ616" s="127">
        <f ca="1">(CH616-$AW$4)/((YEAR($C$13))-$AW$4)</f>
        <v>1</v>
      </c>
      <c r="BR616" s="127">
        <f>(AL616)/($AW$6)</f>
        <v>1</v>
      </c>
      <c r="BS616" s="4"/>
      <c r="BT616" s="127"/>
      <c r="BU616" s="127">
        <f ca="1">(CG616-$AW$4)/((YEAR($C$13))-$AW$4)</f>
        <v>1</v>
      </c>
      <c r="BV616" s="127">
        <f>AE616/5</f>
        <v>1</v>
      </c>
      <c r="BW616" s="127">
        <f>AF616/5</f>
        <v>1</v>
      </c>
      <c r="BX616" s="4"/>
      <c r="BY616" s="148" t="str">
        <f>IF(E616="A",".98",IF(E616="B",".99",IF(E616="C","1.00",IF(E616="D","1.00" ))))</f>
        <v>1.00</v>
      </c>
      <c r="BZ616" s="127">
        <f>(CE616+7)/10</f>
        <v>1</v>
      </c>
      <c r="CA616" s="76" t="str">
        <f>IF(D616="Fern",".97",IF(D616="Grass",".99",IF(D616="Herb",".97",IF(D616="Shrub",".99",IF(D616="Tree","1.00",IF(D616="Vine",".98"))))))</f>
        <v>1.00</v>
      </c>
      <c r="CB616" s="149" t="str">
        <f>IF(R616="Bogs Ponds Streams",".96", IF(R616="Coastal Areas",".97",IF(R616="Meadows Dry Open",".96",IF(R616="Forest &amp; Understory",".97",IF(R616="Moist Open",".98",IF(R616="Moist Shady",".96",IF(R616="Sub-Alpine","1.0")))))))</f>
        <v>.98</v>
      </c>
      <c r="CC616" s="76" t="str">
        <f>IF(S616="Local Endemic",".50",IF(S616="Regional Endemic",".70",IF(S616="Cascadia",".90",IF(S616="Rocky Mountain",".95",IF(S616="North America",".99")))))</f>
        <v>.95</v>
      </c>
      <c r="CD616" s="4"/>
      <c r="CE616" s="21">
        <f>IF(W616&gt;3,3,W616)</f>
        <v>3</v>
      </c>
      <c r="CF616" s="21">
        <f>IF(AC616&gt;102,102,AC616)</f>
        <v>26.9</v>
      </c>
      <c r="CG616" s="34">
        <f ca="1">IF(AI616&lt;$AW$4,$AW$4,AI616)</f>
        <v>2019</v>
      </c>
      <c r="CH616" s="34">
        <f ca="1">IF(AJ616&lt;$AW$4,$AW$4,AJ616)</f>
        <v>2019</v>
      </c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</row>
    <row r="617" spans="1:115" ht="15" customHeight="1" x14ac:dyDescent="0.3">
      <c r="A617" s="235"/>
      <c r="B617" s="218"/>
      <c r="C617" s="375">
        <v>1</v>
      </c>
      <c r="D617" s="68" t="s">
        <v>2505</v>
      </c>
      <c r="E617" s="67" t="s">
        <v>2501</v>
      </c>
      <c r="F617" s="403">
        <f ca="1">IF(BC617&lt;2025, "Extinct&lt; 6Yrs?",BA617)</f>
        <v>2031.3652468211526</v>
      </c>
      <c r="G617" s="376" t="s">
        <v>525</v>
      </c>
      <c r="H617" s="376" t="s">
        <v>4028</v>
      </c>
      <c r="I617" s="377" t="s">
        <v>2327</v>
      </c>
      <c r="J617" s="378" t="s">
        <v>3551</v>
      </c>
      <c r="K617" s="378" t="s">
        <v>2326</v>
      </c>
      <c r="L617" s="63" t="s">
        <v>2434</v>
      </c>
      <c r="M617" s="64" t="s">
        <v>4690</v>
      </c>
      <c r="N617" s="64" t="s">
        <v>5588</v>
      </c>
      <c r="O617" s="64" t="s">
        <v>6487</v>
      </c>
      <c r="P617" s="61" t="s">
        <v>198</v>
      </c>
      <c r="Q617" s="67" t="s">
        <v>2552</v>
      </c>
      <c r="R617" s="163" t="s">
        <v>2530</v>
      </c>
      <c r="S617" s="164" t="s">
        <v>2459</v>
      </c>
      <c r="T617" s="134" t="str">
        <f>IF(R617="Bogs Ponds Streams","20",IF(R617="Coastal Areas","26",IF(R617="Meadows Dry Open","10",IF(R617="Forest &amp; Understory","14",IF(R617="Moist Open","12",IF(R617="Moist Shady","10",IF(R617="Sub-Alpine Slopes","0")))))))</f>
        <v>14</v>
      </c>
      <c r="U617" s="134" t="str">
        <f>IF(R617="Bogs Ponds Streams","52",IF(R617="Coastal Areas","51",IF(R617="Meadows Dry Open","53",IF(R617="Forest &amp; Understory","52",IF(R617="Moist Open","50",IF(R617="Moist Shady","46",IF(R617="Sub-Alpine Slopes","40")))))))</f>
        <v>52</v>
      </c>
      <c r="V617" s="134" t="str">
        <f>IF(R617="Bogs Ponds Streams","84",IF(R617="Coastal Areas","76",IF(R617="Meadows Dry Open","96", IF(R617="Forest &amp; Understory","90", IF(R617="Moist Open","88", IF(R617="Moist Shady","82", IF(R617="Sub-Alpine Slopes","80")))))))</f>
        <v>90</v>
      </c>
      <c r="W617" s="67">
        <v>20</v>
      </c>
      <c r="X617" s="67">
        <v>0</v>
      </c>
      <c r="Y617" s="67">
        <v>3500</v>
      </c>
      <c r="Z617" s="67" t="s">
        <v>2519</v>
      </c>
      <c r="AA617" s="67" t="s">
        <v>2518</v>
      </c>
      <c r="AB617" s="67">
        <v>6.8</v>
      </c>
      <c r="AC617" s="85">
        <f>C617+AK617+(0.1)*AL617</f>
        <v>4</v>
      </c>
      <c r="AD617" s="78">
        <v>1</v>
      </c>
      <c r="AE617" s="68">
        <v>2</v>
      </c>
      <c r="AF617" s="68">
        <v>4</v>
      </c>
      <c r="AG617" s="78">
        <v>1967</v>
      </c>
      <c r="AH617" s="78">
        <v>0</v>
      </c>
      <c r="AI617" s="78">
        <v>2014</v>
      </c>
      <c r="AJ617" s="67">
        <v>1990</v>
      </c>
      <c r="AK617" s="67">
        <v>3</v>
      </c>
      <c r="AL617" s="67">
        <v>0</v>
      </c>
      <c r="AM617" s="70">
        <v>5</v>
      </c>
      <c r="AN617" s="70">
        <v>0</v>
      </c>
      <c r="AO617" s="86">
        <v>0</v>
      </c>
      <c r="AP617" s="70">
        <v>0</v>
      </c>
      <c r="AQ617" s="70">
        <v>0</v>
      </c>
      <c r="AR617" s="70">
        <v>0</v>
      </c>
      <c r="AS617" s="86">
        <v>0</v>
      </c>
      <c r="AT617" s="70">
        <v>0</v>
      </c>
      <c r="AU617" s="70">
        <v>0</v>
      </c>
      <c r="AV617" s="70">
        <v>0</v>
      </c>
      <c r="AW617" s="86">
        <v>0</v>
      </c>
      <c r="AX617" s="70">
        <v>0</v>
      </c>
      <c r="AY617" s="233"/>
      <c r="AZ617" s="11"/>
      <c r="BA617" s="35">
        <f ca="1">IF(OR(S617="North America",S617="Rocky Mountain"), "Widespread",BC617)</f>
        <v>2031.3652468211526</v>
      </c>
      <c r="BB617" s="11"/>
      <c r="BC617" s="35">
        <f ca="1">IF(BE617&gt;2046, "Abundant",BE617)</f>
        <v>2031.3652468211526</v>
      </c>
      <c r="BD617" s="11"/>
      <c r="BE617" s="81">
        <f ca="1">YEAR($C$13)+(BG617*80)</f>
        <v>2031.3652468211526</v>
      </c>
      <c r="BF617" s="11"/>
      <c r="BG617" s="137">
        <f ca="1">BH617*$BH$14</f>
        <v>0.15456558526440878</v>
      </c>
      <c r="BH617" s="137">
        <f ca="1">(((BJ617+BK617+BM617+BN617)/4)*$BM$11)+(((BP617+BQ617)/2)*$BQ$11)+(((BU617+BV617+BW617)/3)*$BU$11)+(((BY617+BZ617+CA617+CB617+CC617)/5)*$CA$11)</f>
        <v>0.15456558526440878</v>
      </c>
      <c r="BI617" s="11"/>
      <c r="BJ617" s="33">
        <f>AP617/(AM617+AO617)</f>
        <v>0</v>
      </c>
      <c r="BK617" s="33">
        <f>(AN617+AO617)/(AM617+AO617)</f>
        <v>0</v>
      </c>
      <c r="BL617" s="11"/>
      <c r="BM617" s="127">
        <f>CF617/102</f>
        <v>3.9215686274509803E-2</v>
      </c>
      <c r="BN617" s="127">
        <f>C617/2</f>
        <v>0.5</v>
      </c>
      <c r="BO617" s="11"/>
      <c r="BP617" s="127">
        <f>(AK617)/($AW$6)</f>
        <v>3.0303030303030304E-2</v>
      </c>
      <c r="BQ617" s="127">
        <f ca="1">(CH617-$AW$4)/((YEAR($C$13))-$AW$4)</f>
        <v>0</v>
      </c>
      <c r="BR617" s="127">
        <f>(AL617)/($AW$6)</f>
        <v>0</v>
      </c>
      <c r="BS617" s="11"/>
      <c r="BT617" s="127"/>
      <c r="BU617" s="127">
        <f ca="1">(CG617-$AW$4)/((YEAR($C$13))-$AW$4)</f>
        <v>0.66666666666666663</v>
      </c>
      <c r="BV617" s="127">
        <f>AE617/5</f>
        <v>0.4</v>
      </c>
      <c r="BW617" s="127">
        <f>AF617/5</f>
        <v>0.8</v>
      </c>
      <c r="BX617" s="11"/>
      <c r="BY617" s="148" t="str">
        <f>IF(E617="A",".98",IF(E617="B",".99",IF(E617="C","1.00",IF(E617="D","1.00" ))))</f>
        <v>1.00</v>
      </c>
      <c r="BZ617" s="127">
        <f>(CE617+7)/10</f>
        <v>1</v>
      </c>
      <c r="CA617" s="76" t="str">
        <f>IF(D617="Fern",".97",IF(D617="Grass",".99",IF(D617="Herb",".97",IF(D617="Shrub",".99",IF(D617="Tree","1.00",IF(D617="Vine",".98"))))))</f>
        <v>.97</v>
      </c>
      <c r="CB617" s="149" t="str">
        <f>IF(R617="Bogs Ponds Streams",".96", IF(R617="Coastal Areas",".97",IF(R617="Meadows Dry Open",".96",IF(R617="Forest &amp; Understory",".97",IF(R617="Moist Open",".98",IF(R617="Moist Shady",".96",IF(R617="Sub-Alpine","1.0")))))))</f>
        <v>.97</v>
      </c>
      <c r="CC617" s="76" t="str">
        <f>IF(S617="Local Endemic",".50",IF(S617="Regional Endemic",".70",IF(S617="Cascadia",".90",IF(S617="Rocky Mountain",".95",IF(S617="North America",".99")))))</f>
        <v>.90</v>
      </c>
      <c r="CD617" s="11"/>
      <c r="CE617" s="21">
        <f>IF(W617&gt;3,3,W617)</f>
        <v>3</v>
      </c>
      <c r="CF617" s="21">
        <f>IF(AC617&gt;102,102,AC617)</f>
        <v>4</v>
      </c>
      <c r="CG617" s="34">
        <f>IF(AI617&lt;$AW$4,$AW$4,AI617)</f>
        <v>2014</v>
      </c>
      <c r="CH617" s="34">
        <f>IF(AJ617&lt;$AW$4,$AW$4,AJ617)</f>
        <v>2004</v>
      </c>
      <c r="CI617" s="11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11"/>
      <c r="DC617" s="11"/>
      <c r="DD617" s="11"/>
      <c r="DE617" s="11"/>
      <c r="DF617" s="11"/>
      <c r="DG617" s="11"/>
      <c r="DH617" s="11"/>
      <c r="DI617" s="11"/>
      <c r="DJ617" s="11"/>
    </row>
    <row r="618" spans="1:115" ht="15" customHeight="1" x14ac:dyDescent="0.3">
      <c r="A618" s="235"/>
      <c r="B618" s="218"/>
      <c r="C618" s="375">
        <v>1</v>
      </c>
      <c r="D618" s="67" t="s">
        <v>2505</v>
      </c>
      <c r="E618" s="67" t="s">
        <v>2502</v>
      </c>
      <c r="F618" s="403">
        <f ca="1">IF(BC618&lt;2025, "Extinct&lt; 6Yrs?",BA618)</f>
        <v>2031.4716206773619</v>
      </c>
      <c r="G618" s="376" t="s">
        <v>525</v>
      </c>
      <c r="H618" s="376" t="s">
        <v>4028</v>
      </c>
      <c r="I618" s="380" t="s">
        <v>3106</v>
      </c>
      <c r="J618" s="378" t="s">
        <v>3550</v>
      </c>
      <c r="K618" s="378" t="s">
        <v>553</v>
      </c>
      <c r="L618" s="63" t="s">
        <v>1624</v>
      </c>
      <c r="M618" s="64" t="s">
        <v>4691</v>
      </c>
      <c r="N618" s="64" t="s">
        <v>5589</v>
      </c>
      <c r="O618" s="64" t="s">
        <v>6488</v>
      </c>
      <c r="P618" s="61" t="s">
        <v>549</v>
      </c>
      <c r="Q618" s="67" t="s">
        <v>2552</v>
      </c>
      <c r="R618" s="61" t="s">
        <v>2498</v>
      </c>
      <c r="S618" s="61" t="s">
        <v>2316</v>
      </c>
      <c r="T618" s="134" t="str">
        <f>IF(R618="Bogs Ponds Streams","20",IF(R618="Coastal Areas","26",IF(R618="Meadows Dry Open","10",IF(R618="Forest &amp; Understory","14",IF(R618="Moist Open","12",IF(R618="Moist Shady","10",IF(R618="Sub-Alpine Slopes","0")))))))</f>
        <v>10</v>
      </c>
      <c r="U618" s="134" t="str">
        <f>IF(R618="Bogs Ponds Streams","52",IF(R618="Coastal Areas","51",IF(R618="Meadows Dry Open","53",IF(R618="Forest &amp; Understory","52",IF(R618="Moist Open","50",IF(R618="Moist Shady","46",IF(R618="Sub-Alpine Slopes","40")))))))</f>
        <v>46</v>
      </c>
      <c r="V618" s="134" t="str">
        <f>IF(R618="Bogs Ponds Streams","84",IF(R618="Coastal Areas","76",IF(R618="Meadows Dry Open","96", IF(R618="Forest &amp; Understory","90", IF(R618="Moist Open","88", IF(R618="Moist Shady","82", IF(R618="Sub-Alpine Slopes","80")))))))</f>
        <v>82</v>
      </c>
      <c r="W618" s="67">
        <v>1</v>
      </c>
      <c r="X618" s="67">
        <v>0</v>
      </c>
      <c r="Y618" s="67">
        <v>3500</v>
      </c>
      <c r="Z618" s="67" t="s">
        <v>2519</v>
      </c>
      <c r="AA618" s="67" t="s">
        <v>2518</v>
      </c>
      <c r="AB618" s="67">
        <v>6.8</v>
      </c>
      <c r="AC618" s="85">
        <f>C618+AK618+(0.1)*AL618</f>
        <v>4.2</v>
      </c>
      <c r="AD618" s="78">
        <v>11</v>
      </c>
      <c r="AE618" s="67">
        <v>5</v>
      </c>
      <c r="AF618" s="67">
        <v>5</v>
      </c>
      <c r="AG618" s="67">
        <v>1900</v>
      </c>
      <c r="AH618" s="78">
        <v>0</v>
      </c>
      <c r="AI618" s="67">
        <f>AJ618</f>
        <v>2004</v>
      </c>
      <c r="AJ618" s="69">
        <v>2004</v>
      </c>
      <c r="AK618" s="69">
        <v>3</v>
      </c>
      <c r="AL618" s="69">
        <v>2</v>
      </c>
      <c r="AM618" s="70">
        <v>5</v>
      </c>
      <c r="AN618" s="70">
        <v>0</v>
      </c>
      <c r="AO618" s="86">
        <v>0</v>
      </c>
      <c r="AP618" s="70">
        <v>0</v>
      </c>
      <c r="AQ618" s="70">
        <v>0</v>
      </c>
      <c r="AR618" s="70">
        <v>0</v>
      </c>
      <c r="AS618" s="86">
        <v>0</v>
      </c>
      <c r="AT618" s="70">
        <v>0</v>
      </c>
      <c r="AU618" s="70">
        <v>0</v>
      </c>
      <c r="AV618" s="70">
        <v>0</v>
      </c>
      <c r="AW618" s="86">
        <v>0</v>
      </c>
      <c r="AX618" s="70">
        <v>0</v>
      </c>
      <c r="AY618" s="233"/>
      <c r="AZ618" s="4"/>
      <c r="BA618" s="35">
        <f ca="1">IF(OR(S618="North America",S618="Rocky Mountain"), "Widespread",BC618)</f>
        <v>2031.4716206773619</v>
      </c>
      <c r="BB618" s="4"/>
      <c r="BC618" s="35">
        <f ca="1">IF(BE618&gt;2046, "Abundant",BE618)</f>
        <v>2031.4716206773619</v>
      </c>
      <c r="BD618" s="4"/>
      <c r="BE618" s="81">
        <f ca="1">YEAR($C$13)+(BG618*80)</f>
        <v>2031.4716206773619</v>
      </c>
      <c r="BF618" s="4"/>
      <c r="BG618" s="137">
        <f ca="1">BH618*$BH$14</f>
        <v>0.15589525846702315</v>
      </c>
      <c r="BH618" s="137">
        <f ca="1">(((BJ618+BK618+BM618+BN618)/4)*$BM$11)+(((BP618+BQ618)/2)*$BQ$11)+(((BU618+BV618+BW618)/3)*$BU$11)+(((BY618+BZ618+CA618+CB618+CC618)/5)*$CA$11)</f>
        <v>0.15589525846702315</v>
      </c>
      <c r="BI618" s="4"/>
      <c r="BJ618" s="33">
        <f>AP618/(AM618+AO618)</f>
        <v>0</v>
      </c>
      <c r="BK618" s="33">
        <f>(AN618+AO618)/(AM618+AO618)</f>
        <v>0</v>
      </c>
      <c r="BL618" s="4"/>
      <c r="BM618" s="127">
        <f>CF618/102</f>
        <v>4.1176470588235294E-2</v>
      </c>
      <c r="BN618" s="127">
        <f>C618/2</f>
        <v>0.5</v>
      </c>
      <c r="BO618" s="4"/>
      <c r="BP618" s="127">
        <f>(AK618)/($AW$6)</f>
        <v>3.0303030303030304E-2</v>
      </c>
      <c r="BQ618" s="127">
        <f ca="1">(CH618-$AW$4)/((YEAR($C$13))-$AW$4)</f>
        <v>0</v>
      </c>
      <c r="BR618" s="127">
        <f>(AL618)/($AW$6)</f>
        <v>2.0202020202020204E-2</v>
      </c>
      <c r="BS618" s="4"/>
      <c r="BT618" s="127"/>
      <c r="BU618" s="127">
        <f ca="1">(CG618-$AW$4)/((YEAR($C$13))-$AW$4)</f>
        <v>0</v>
      </c>
      <c r="BV618" s="127">
        <f>AE618/5</f>
        <v>1</v>
      </c>
      <c r="BW618" s="127">
        <f>AF618/5</f>
        <v>1</v>
      </c>
      <c r="BX618" s="4"/>
      <c r="BY618" s="148" t="str">
        <f>IF(E618="A",".98",IF(E618="B",".99",IF(E618="C","1.00",IF(E618="D","1.00" ))))</f>
        <v>.98</v>
      </c>
      <c r="BZ618" s="127">
        <f>(CE618+7)/10</f>
        <v>0.8</v>
      </c>
      <c r="CA618" s="76" t="str">
        <f>IF(D618="Fern",".97",IF(D618="Grass",".99",IF(D618="Herb",".97",IF(D618="Shrub",".99",IF(D618="Tree","1.00",IF(D618="Vine",".98"))))))</f>
        <v>.97</v>
      </c>
      <c r="CB618" s="149" t="str">
        <f>IF(R618="Bogs Ponds Streams",".96", IF(R618="Coastal Areas",".97",IF(R618="Meadows Dry Open",".96",IF(R618="Forest &amp; Understory",".97",IF(R618="Moist Open",".98",IF(R618="Moist Shady",".96",IF(R618="Sub-Alpine","1.0")))))))</f>
        <v>.96</v>
      </c>
      <c r="CC618" s="76" t="str">
        <f>IF(S618="Local Endemic",".50",IF(S618="Regional Endemic",".70",IF(S618="Cascadia",".90",IF(S618="Rocky Mountain",".95",IF(S618="North America",".99")))))</f>
        <v>.50</v>
      </c>
      <c r="CD618" s="4"/>
      <c r="CE618" s="21">
        <f>IF(W618&gt;3,3,W618)</f>
        <v>1</v>
      </c>
      <c r="CF618" s="21">
        <f>IF(AC618&gt;102,102,AC618)</f>
        <v>4.2</v>
      </c>
      <c r="CG618" s="34">
        <f>IF(AI618&lt;$AW$4,$AW$4,AI618)</f>
        <v>2004</v>
      </c>
      <c r="CH618" s="34">
        <f>IF(AJ618&lt;$AW$4,$AW$4,AJ618)</f>
        <v>2004</v>
      </c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</row>
    <row r="619" spans="1:115" ht="15" customHeight="1" x14ac:dyDescent="0.3">
      <c r="A619" s="235"/>
      <c r="B619" s="218"/>
      <c r="C619" s="375">
        <v>1</v>
      </c>
      <c r="D619" s="67" t="s">
        <v>2505</v>
      </c>
      <c r="E619" s="67" t="s">
        <v>2501</v>
      </c>
      <c r="F619" s="403" t="str">
        <f ca="1">IF(BC619&lt;2025, "Extinct&lt; 6Yrs?",BA619)</f>
        <v>Widespread</v>
      </c>
      <c r="G619" s="376" t="s">
        <v>525</v>
      </c>
      <c r="H619" s="376" t="s">
        <v>4028</v>
      </c>
      <c r="I619" s="379" t="s">
        <v>554</v>
      </c>
      <c r="J619" s="378" t="s">
        <v>3549</v>
      </c>
      <c r="K619" s="378" t="s">
        <v>14</v>
      </c>
      <c r="L619" s="63" t="s">
        <v>1625</v>
      </c>
      <c r="M619" s="64" t="s">
        <v>4692</v>
      </c>
      <c r="N619" s="64" t="s">
        <v>5590</v>
      </c>
      <c r="O619" s="64" t="s">
        <v>6489</v>
      </c>
      <c r="P619" s="61" t="s">
        <v>549</v>
      </c>
      <c r="Q619" s="67" t="s">
        <v>2552</v>
      </c>
      <c r="R619" s="61" t="s">
        <v>2498</v>
      </c>
      <c r="S619" s="61" t="s">
        <v>2495</v>
      </c>
      <c r="T619" s="134" t="str">
        <f>IF(R619="Bogs Ponds Streams","20",IF(R619="Coastal Areas","26",IF(R619="Meadows Dry Open","10",IF(R619="Forest &amp; Understory","14",IF(R619="Moist Open","12",IF(R619="Moist Shady","10",IF(R619="Sub-Alpine Slopes","0")))))))</f>
        <v>10</v>
      </c>
      <c r="U619" s="134" t="str">
        <f>IF(R619="Bogs Ponds Streams","52",IF(R619="Coastal Areas","51",IF(R619="Meadows Dry Open","53",IF(R619="Forest &amp; Understory","52",IF(R619="Moist Open","50",IF(R619="Moist Shady","46",IF(R619="Sub-Alpine Slopes","40")))))))</f>
        <v>46</v>
      </c>
      <c r="V619" s="134" t="str">
        <f>IF(R619="Bogs Ponds Streams","84",IF(R619="Coastal Areas","76",IF(R619="Meadows Dry Open","96", IF(R619="Forest &amp; Understory","90", IF(R619="Moist Open","88", IF(R619="Moist Shady","82", IF(R619="Sub-Alpine Slopes","80")))))))</f>
        <v>82</v>
      </c>
      <c r="W619" s="67">
        <v>20</v>
      </c>
      <c r="X619" s="67">
        <v>0</v>
      </c>
      <c r="Y619" s="67">
        <v>3500</v>
      </c>
      <c r="Z619" s="67" t="s">
        <v>2519</v>
      </c>
      <c r="AA619" s="67" t="s">
        <v>2518</v>
      </c>
      <c r="AB619" s="67">
        <v>6.8</v>
      </c>
      <c r="AC619" s="85">
        <f>C619+AK619+(0.1)*AL619</f>
        <v>15.2</v>
      </c>
      <c r="AD619" s="78">
        <v>83</v>
      </c>
      <c r="AE619" s="67">
        <v>5</v>
      </c>
      <c r="AF619" s="67">
        <v>5</v>
      </c>
      <c r="AG619" s="67">
        <v>1900</v>
      </c>
      <c r="AH619" s="78">
        <v>0</v>
      </c>
      <c r="AI619" s="67">
        <f>AJ619</f>
        <v>2004</v>
      </c>
      <c r="AJ619" s="69">
        <v>2004</v>
      </c>
      <c r="AK619" s="69">
        <v>12</v>
      </c>
      <c r="AL619" s="69">
        <v>22</v>
      </c>
      <c r="AM619" s="70">
        <v>5</v>
      </c>
      <c r="AN619" s="70">
        <v>0</v>
      </c>
      <c r="AO619" s="86">
        <v>0</v>
      </c>
      <c r="AP619" s="70">
        <v>0</v>
      </c>
      <c r="AQ619" s="70">
        <v>0</v>
      </c>
      <c r="AR619" s="70">
        <v>0</v>
      </c>
      <c r="AS619" s="86">
        <v>0</v>
      </c>
      <c r="AT619" s="70">
        <v>0</v>
      </c>
      <c r="AU619" s="70">
        <v>0</v>
      </c>
      <c r="AV619" s="70">
        <v>0</v>
      </c>
      <c r="AW619" s="86">
        <v>0</v>
      </c>
      <c r="AX619" s="70">
        <v>0</v>
      </c>
      <c r="AY619" s="233"/>
      <c r="AZ619" s="4"/>
      <c r="BA619" s="35" t="str">
        <f>IF(OR(S619="North America",S619="Rocky Mountain"), "Widespread",BC619)</f>
        <v>Widespread</v>
      </c>
      <c r="BB619" s="4"/>
      <c r="BC619" s="35">
        <f ca="1">IF(BE619&gt;2046, "Abundant",BE619)</f>
        <v>2034.0838474153297</v>
      </c>
      <c r="BD619" s="4"/>
      <c r="BE619" s="81">
        <f ca="1">YEAR($C$13)+(BG619*80)</f>
        <v>2034.0838474153297</v>
      </c>
      <c r="BF619" s="4"/>
      <c r="BG619" s="137">
        <f ca="1">BH619*$BH$14</f>
        <v>0.18854809269162212</v>
      </c>
      <c r="BH619" s="137">
        <f ca="1">(((BJ619+BK619+BM619+BN619)/4)*$BM$11)+(((BP619+BQ619)/2)*$BQ$11)+(((BU619+BV619+BW619)/3)*$BU$11)+(((BY619+BZ619+CA619+CB619+CC619)/5)*$CA$11)</f>
        <v>0.18854809269162212</v>
      </c>
      <c r="BI619" s="4"/>
      <c r="BJ619" s="33">
        <f>AP619/(AM619+AO619)</f>
        <v>0</v>
      </c>
      <c r="BK619" s="33">
        <f>(AN619+AO619)/(AM619+AO619)</f>
        <v>0</v>
      </c>
      <c r="BL619" s="4"/>
      <c r="BM619" s="127">
        <f>CF619/102</f>
        <v>0.14901960784313725</v>
      </c>
      <c r="BN619" s="127">
        <f>C619/2</f>
        <v>0.5</v>
      </c>
      <c r="BO619" s="4"/>
      <c r="BP619" s="127">
        <f>(AK619)/($AW$6)</f>
        <v>0.12121212121212122</v>
      </c>
      <c r="BQ619" s="127">
        <f ca="1">(CH619-$AW$4)/((YEAR($C$13))-$AW$4)</f>
        <v>0</v>
      </c>
      <c r="BR619" s="127">
        <f>(AL619)/($AW$6)</f>
        <v>0.22222222222222221</v>
      </c>
      <c r="BS619" s="4"/>
      <c r="BT619" s="127"/>
      <c r="BU619" s="127">
        <f ca="1">(CG619-$AW$4)/((YEAR($C$13))-$AW$4)</f>
        <v>0</v>
      </c>
      <c r="BV619" s="127">
        <f>AE619/5</f>
        <v>1</v>
      </c>
      <c r="BW619" s="127">
        <f>AF619/5</f>
        <v>1</v>
      </c>
      <c r="BX619" s="4"/>
      <c r="BY619" s="148" t="str">
        <f>IF(E619="A",".98",IF(E619="B",".99",IF(E619="C","1.00",IF(E619="D","1.00" ))))</f>
        <v>1.00</v>
      </c>
      <c r="BZ619" s="127">
        <f>(CE619+7)/10</f>
        <v>1</v>
      </c>
      <c r="CA619" s="76" t="str">
        <f>IF(D619="Fern",".97",IF(D619="Grass",".99",IF(D619="Herb",".97",IF(D619="Shrub",".99",IF(D619="Tree","1.00",IF(D619="Vine",".98"))))))</f>
        <v>.97</v>
      </c>
      <c r="CB619" s="149" t="str">
        <f>IF(R619="Bogs Ponds Streams",".96", IF(R619="Coastal Areas",".97",IF(R619="Meadows Dry Open",".96",IF(R619="Forest &amp; Understory",".97",IF(R619="Moist Open",".98",IF(R619="Moist Shady",".96",IF(R619="Sub-Alpine","1.0")))))))</f>
        <v>.96</v>
      </c>
      <c r="CC619" s="76" t="str">
        <f>IF(S619="Local Endemic",".50",IF(S619="Regional Endemic",".70",IF(S619="Cascadia",".90",IF(S619="Rocky Mountain",".95",IF(S619="North America",".99")))))</f>
        <v>.99</v>
      </c>
      <c r="CD619" s="4"/>
      <c r="CE619" s="21">
        <f>IF(W619&gt;3,3,W619)</f>
        <v>3</v>
      </c>
      <c r="CF619" s="21">
        <f>IF(AC619&gt;102,102,AC619)</f>
        <v>15.2</v>
      </c>
      <c r="CG619" s="34">
        <f>IF(AI619&lt;$AW$4,$AW$4,AI619)</f>
        <v>2004</v>
      </c>
      <c r="CH619" s="34">
        <f>IF(AJ619&lt;$AW$4,$AW$4,AJ619)</f>
        <v>2004</v>
      </c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</row>
    <row r="620" spans="1:115" ht="15" customHeight="1" x14ac:dyDescent="0.3">
      <c r="A620" s="235"/>
      <c r="B620" s="218"/>
      <c r="C620" s="375">
        <v>1</v>
      </c>
      <c r="D620" s="67" t="s">
        <v>2505</v>
      </c>
      <c r="E620" s="67" t="s">
        <v>2502</v>
      </c>
      <c r="F620" s="403" t="str">
        <f ca="1">IF(BC620&lt;2025, "Extinct&lt; 6Yrs?",BA620)</f>
        <v>Widespread</v>
      </c>
      <c r="G620" s="376" t="s">
        <v>525</v>
      </c>
      <c r="H620" s="376" t="s">
        <v>4028</v>
      </c>
      <c r="I620" s="380" t="s">
        <v>671</v>
      </c>
      <c r="J620" s="378" t="s">
        <v>3548</v>
      </c>
      <c r="K620" s="378" t="s">
        <v>1088</v>
      </c>
      <c r="L620" s="63" t="s">
        <v>1626</v>
      </c>
      <c r="M620" s="64" t="s">
        <v>4693</v>
      </c>
      <c r="N620" s="64" t="s">
        <v>5591</v>
      </c>
      <c r="O620" s="64" t="s">
        <v>6490</v>
      </c>
      <c r="P620" s="61" t="s">
        <v>672</v>
      </c>
      <c r="Q620" s="67" t="s">
        <v>2552</v>
      </c>
      <c r="R620" s="61" t="s">
        <v>2498</v>
      </c>
      <c r="S620" s="61" t="s">
        <v>2479</v>
      </c>
      <c r="T620" s="134" t="str">
        <f>IF(R620="Bogs Ponds Streams","20",IF(R620="Coastal Areas","26",IF(R620="Meadows Dry Open","10",IF(R620="Forest &amp; Understory","14",IF(R620="Moist Open","12",IF(R620="Moist Shady","10",IF(R620="Sub-Alpine Slopes","0")))))))</f>
        <v>10</v>
      </c>
      <c r="U620" s="134" t="str">
        <f>IF(R620="Bogs Ponds Streams","52",IF(R620="Coastal Areas","51",IF(R620="Meadows Dry Open","53",IF(R620="Forest &amp; Understory","52",IF(R620="Moist Open","50",IF(R620="Moist Shady","46",IF(R620="Sub-Alpine Slopes","40")))))))</f>
        <v>46</v>
      </c>
      <c r="V620" s="134" t="str">
        <f>IF(R620="Bogs Ponds Streams","84",IF(R620="Coastal Areas","76",IF(R620="Meadows Dry Open","96", IF(R620="Forest &amp; Understory","90", IF(R620="Moist Open","88", IF(R620="Moist Shady","82", IF(R620="Sub-Alpine Slopes","80")))))))</f>
        <v>82</v>
      </c>
      <c r="W620" s="67">
        <v>1</v>
      </c>
      <c r="X620" s="67">
        <v>0</v>
      </c>
      <c r="Y620" s="67">
        <v>3500</v>
      </c>
      <c r="Z620" s="67" t="s">
        <v>2519</v>
      </c>
      <c r="AA620" s="67" t="s">
        <v>2518</v>
      </c>
      <c r="AB620" s="67">
        <v>6.8</v>
      </c>
      <c r="AC620" s="85">
        <f>C620+AK620+(0.1)*AL620</f>
        <v>9</v>
      </c>
      <c r="AD620" s="78">
        <v>28</v>
      </c>
      <c r="AE620" s="67">
        <v>5</v>
      </c>
      <c r="AF620" s="67">
        <v>5</v>
      </c>
      <c r="AG620" s="67">
        <v>1900</v>
      </c>
      <c r="AH620" s="78">
        <v>0</v>
      </c>
      <c r="AI620" s="67">
        <f>AJ620</f>
        <v>2004</v>
      </c>
      <c r="AJ620" s="69">
        <v>2004</v>
      </c>
      <c r="AK620" s="69">
        <v>8</v>
      </c>
      <c r="AL620" s="69">
        <v>0</v>
      </c>
      <c r="AM620" s="70">
        <v>5</v>
      </c>
      <c r="AN620" s="70">
        <v>0</v>
      </c>
      <c r="AO620" s="86">
        <v>0</v>
      </c>
      <c r="AP620" s="70">
        <v>0</v>
      </c>
      <c r="AQ620" s="70">
        <v>0</v>
      </c>
      <c r="AR620" s="70">
        <v>0</v>
      </c>
      <c r="AS620" s="86">
        <v>0</v>
      </c>
      <c r="AT620" s="70">
        <v>0</v>
      </c>
      <c r="AU620" s="70">
        <v>0</v>
      </c>
      <c r="AV620" s="70">
        <v>0</v>
      </c>
      <c r="AW620" s="86">
        <v>0</v>
      </c>
      <c r="AX620" s="70">
        <v>0</v>
      </c>
      <c r="AY620" s="233"/>
      <c r="AZ620" s="4"/>
      <c r="BA620" s="35" t="str">
        <f>IF(OR(S620="North America",S620="Rocky Mountain"), "Widespread",BC620)</f>
        <v>Widespread</v>
      </c>
      <c r="BB620" s="4"/>
      <c r="BC620" s="35">
        <f ca="1">IF(BE620&gt;2046, "Abundant",BE620)</f>
        <v>2032.7863871657753</v>
      </c>
      <c r="BD620" s="4"/>
      <c r="BE620" s="81">
        <f ca="1">YEAR($C$13)+(BG620*80)</f>
        <v>2032.7863871657753</v>
      </c>
      <c r="BF620" s="4"/>
      <c r="BG620" s="137">
        <f ca="1">BH620*$BH$14</f>
        <v>0.1723298395721925</v>
      </c>
      <c r="BH620" s="137">
        <f ca="1">(((BJ620+BK620+BM620+BN620)/4)*$BM$11)+(((BP620+BQ620)/2)*$BQ$11)+(((BU620+BV620+BW620)/3)*$BU$11)+(((BY620+BZ620+CA620+CB620+CC620)/5)*$CA$11)</f>
        <v>0.1723298395721925</v>
      </c>
      <c r="BI620" s="4"/>
      <c r="BJ620" s="33">
        <f>AP620/(AM620+AO620)</f>
        <v>0</v>
      </c>
      <c r="BK620" s="33">
        <f>(AN620+AO620)/(AM620+AO620)</f>
        <v>0</v>
      </c>
      <c r="BL620" s="4"/>
      <c r="BM620" s="127">
        <f>CF620/102</f>
        <v>8.8235294117647065E-2</v>
      </c>
      <c r="BN620" s="127">
        <f>C620/2</f>
        <v>0.5</v>
      </c>
      <c r="BO620" s="4"/>
      <c r="BP620" s="127">
        <f>(AK620)/($AW$6)</f>
        <v>8.0808080808080815E-2</v>
      </c>
      <c r="BQ620" s="127">
        <f ca="1">(CH620-$AW$4)/((YEAR($C$13))-$AW$4)</f>
        <v>0</v>
      </c>
      <c r="BR620" s="127">
        <f>(AL620)/($AW$6)</f>
        <v>0</v>
      </c>
      <c r="BS620" s="4"/>
      <c r="BT620" s="127"/>
      <c r="BU620" s="127">
        <f ca="1">(CG620-$AW$4)/((YEAR($C$13))-$AW$4)</f>
        <v>0</v>
      </c>
      <c r="BV620" s="127">
        <f>AE620/5</f>
        <v>1</v>
      </c>
      <c r="BW620" s="127">
        <f>AF620/5</f>
        <v>1</v>
      </c>
      <c r="BX620" s="4"/>
      <c r="BY620" s="148" t="str">
        <f>IF(E620="A",".98",IF(E620="B",".99",IF(E620="C","1.00",IF(E620="D","1.00" ))))</f>
        <v>.98</v>
      </c>
      <c r="BZ620" s="127">
        <f>(CE620+7)/10</f>
        <v>0.8</v>
      </c>
      <c r="CA620" s="76" t="str">
        <f>IF(D620="Fern",".97",IF(D620="Grass",".99",IF(D620="Herb",".97",IF(D620="Shrub",".99",IF(D620="Tree","1.00",IF(D620="Vine",".98"))))))</f>
        <v>.97</v>
      </c>
      <c r="CB620" s="149" t="str">
        <f>IF(R620="Bogs Ponds Streams",".96", IF(R620="Coastal Areas",".97",IF(R620="Meadows Dry Open",".96",IF(R620="Forest &amp; Understory",".97",IF(R620="Moist Open",".98",IF(R620="Moist Shady",".96",IF(R620="Sub-Alpine","1.0")))))))</f>
        <v>.96</v>
      </c>
      <c r="CC620" s="76" t="str">
        <f>IF(S620="Local Endemic",".50",IF(S620="Regional Endemic",".70",IF(S620="Cascadia",".90",IF(S620="Rocky Mountain",".95",IF(S620="North America",".99")))))</f>
        <v>.95</v>
      </c>
      <c r="CD620" s="4"/>
      <c r="CE620" s="21">
        <f>IF(W620&gt;3,3,W620)</f>
        <v>1</v>
      </c>
      <c r="CF620" s="21">
        <f>IF(AC620&gt;102,102,AC620)</f>
        <v>9</v>
      </c>
      <c r="CG620" s="34">
        <f>IF(AI620&lt;$AW$4,$AW$4,AI620)</f>
        <v>2004</v>
      </c>
      <c r="CH620" s="34">
        <f>IF(AJ620&lt;$AW$4,$AW$4,AJ620)</f>
        <v>2004</v>
      </c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</row>
    <row r="621" spans="1:115" ht="15" customHeight="1" x14ac:dyDescent="0.3">
      <c r="A621" s="235"/>
      <c r="B621" s="218"/>
      <c r="C621" s="375">
        <v>1</v>
      </c>
      <c r="D621" s="67" t="s">
        <v>2505</v>
      </c>
      <c r="E621" s="67" t="s">
        <v>2501</v>
      </c>
      <c r="F621" s="403">
        <f ca="1">IF(BC621&lt;2025, "Extinct&lt; 6Yrs?",BA621)</f>
        <v>2029.8279729055259</v>
      </c>
      <c r="G621" s="376" t="s">
        <v>525</v>
      </c>
      <c r="H621" s="376" t="s">
        <v>4028</v>
      </c>
      <c r="I621" s="379" t="s">
        <v>2690</v>
      </c>
      <c r="J621" s="378" t="s">
        <v>3547</v>
      </c>
      <c r="K621" s="378" t="s">
        <v>1134</v>
      </c>
      <c r="L621" s="65" t="s">
        <v>2229</v>
      </c>
      <c r="M621" s="64" t="s">
        <v>4694</v>
      </c>
      <c r="N621" s="64" t="s">
        <v>5592</v>
      </c>
      <c r="O621" s="64" t="s">
        <v>6491</v>
      </c>
      <c r="P621" s="404" t="s">
        <v>672</v>
      </c>
      <c r="Q621" s="67" t="s">
        <v>2552</v>
      </c>
      <c r="R621" s="61" t="s">
        <v>2453</v>
      </c>
      <c r="S621" s="61" t="s">
        <v>2309</v>
      </c>
      <c r="T621" s="134" t="str">
        <f>IF(R621="Bogs Ponds Streams","20",IF(R621="Coastal Areas","26",IF(R621="Meadows Dry Open","10",IF(R621="Forest &amp; Understory","14",IF(R621="Moist Open","12",IF(R621="Moist Shady","10",IF(R621="Sub-Alpine Slopes","0")))))))</f>
        <v>26</v>
      </c>
      <c r="U621" s="134" t="str">
        <f>IF(R621="Bogs Ponds Streams","52",IF(R621="Coastal Areas","51",IF(R621="Meadows Dry Open","53",IF(R621="Forest &amp; Understory","52",IF(R621="Moist Open","50",IF(R621="Moist Shady","46",IF(R621="Sub-Alpine Slopes","40")))))))</f>
        <v>51</v>
      </c>
      <c r="V621" s="134" t="str">
        <f>IF(R621="Bogs Ponds Streams","84",IF(R621="Coastal Areas","76",IF(R621="Meadows Dry Open","96", IF(R621="Forest &amp; Understory","90", IF(R621="Moist Open","88", IF(R621="Moist Shady","82", IF(R621="Sub-Alpine Slopes","80")))))))</f>
        <v>76</v>
      </c>
      <c r="W621" s="67">
        <v>20</v>
      </c>
      <c r="X621" s="67">
        <v>0</v>
      </c>
      <c r="Y621" s="67">
        <v>3500</v>
      </c>
      <c r="Z621" s="67" t="s">
        <v>2519</v>
      </c>
      <c r="AA621" s="67" t="s">
        <v>2518</v>
      </c>
      <c r="AB621" s="67">
        <v>6.8</v>
      </c>
      <c r="AC621" s="85">
        <f>C621+AK621+(0.1)*AL621</f>
        <v>2</v>
      </c>
      <c r="AD621" s="78">
        <v>29</v>
      </c>
      <c r="AE621" s="68">
        <v>3</v>
      </c>
      <c r="AF621" s="68">
        <v>4</v>
      </c>
      <c r="AG621" s="78">
        <v>1927</v>
      </c>
      <c r="AH621" s="78">
        <v>0</v>
      </c>
      <c r="AI621" s="78">
        <v>2004</v>
      </c>
      <c r="AJ621" s="69">
        <v>2004</v>
      </c>
      <c r="AK621" s="69">
        <v>1</v>
      </c>
      <c r="AL621" s="69">
        <v>0</v>
      </c>
      <c r="AM621" s="70">
        <v>5</v>
      </c>
      <c r="AN621" s="70">
        <v>0</v>
      </c>
      <c r="AO621" s="86">
        <v>0</v>
      </c>
      <c r="AP621" s="70">
        <v>0</v>
      </c>
      <c r="AQ621" s="70">
        <v>0</v>
      </c>
      <c r="AR621" s="70">
        <v>0</v>
      </c>
      <c r="AS621" s="86">
        <v>0</v>
      </c>
      <c r="AT621" s="70">
        <v>0</v>
      </c>
      <c r="AU621" s="70">
        <v>0</v>
      </c>
      <c r="AV621" s="70">
        <v>0</v>
      </c>
      <c r="AW621" s="86">
        <v>0</v>
      </c>
      <c r="AX621" s="70">
        <v>0</v>
      </c>
      <c r="AY621" s="233"/>
      <c r="AZ621" s="4"/>
      <c r="BA621" s="35">
        <f ca="1">IF(OR(S621="North America",S621="Rocky Mountain"), "Widespread",BC621)</f>
        <v>2029.8279729055259</v>
      </c>
      <c r="BB621" s="4"/>
      <c r="BC621" s="35">
        <f ca="1">IF(BE621&gt;2046, "Abundant",BE621)</f>
        <v>2029.8279729055259</v>
      </c>
      <c r="BD621" s="4"/>
      <c r="BE621" s="81">
        <f ca="1">YEAR($C$13)+(BG621*80)</f>
        <v>2029.8279729055259</v>
      </c>
      <c r="BF621" s="4"/>
      <c r="BG621" s="137">
        <f ca="1">BH621*$BH$14</f>
        <v>0.13534966131907308</v>
      </c>
      <c r="BH621" s="137">
        <f ca="1">(((BJ621+BK621+BM621+BN621)/4)*$BM$11)+(((BP621+BQ621)/2)*$BQ$11)+(((BU621+BV621+BW621)/3)*$BU$11)+(((BY621+BZ621+CA621+CB621+CC621)/5)*$CA$11)</f>
        <v>0.13534966131907308</v>
      </c>
      <c r="BI621" s="4"/>
      <c r="BJ621" s="33">
        <f>AP621/(AM621+AO621)</f>
        <v>0</v>
      </c>
      <c r="BK621" s="33">
        <f>(AN621+AO621)/(AM621+AO621)</f>
        <v>0</v>
      </c>
      <c r="BL621" s="4"/>
      <c r="BM621" s="127">
        <f>CF621/102</f>
        <v>1.9607843137254902E-2</v>
      </c>
      <c r="BN621" s="127">
        <f>C621/2</f>
        <v>0.5</v>
      </c>
      <c r="BO621" s="4"/>
      <c r="BP621" s="127">
        <f>(AK621)/($AW$6)</f>
        <v>1.0101010101010102E-2</v>
      </c>
      <c r="BQ621" s="127">
        <f ca="1">(CH621-$AW$4)/((YEAR($C$13))-$AW$4)</f>
        <v>0</v>
      </c>
      <c r="BR621" s="127">
        <f>(AL621)/($AW$6)</f>
        <v>0</v>
      </c>
      <c r="BS621" s="4"/>
      <c r="BT621" s="127"/>
      <c r="BU621" s="127">
        <f ca="1">(CG621-$AW$4)/((YEAR($C$13))-$AW$4)</f>
        <v>0</v>
      </c>
      <c r="BV621" s="127">
        <f>AE621/5</f>
        <v>0.6</v>
      </c>
      <c r="BW621" s="127">
        <f>AF621/5</f>
        <v>0.8</v>
      </c>
      <c r="BX621" s="4"/>
      <c r="BY621" s="148" t="str">
        <f>IF(E621="A",".98",IF(E621="B",".99",IF(E621="C","1.00",IF(E621="D","1.00" ))))</f>
        <v>1.00</v>
      </c>
      <c r="BZ621" s="127">
        <f>(CE621+7)/10</f>
        <v>1</v>
      </c>
      <c r="CA621" s="76" t="str">
        <f>IF(D621="Fern",".97",IF(D621="Grass",".99",IF(D621="Herb",".97",IF(D621="Shrub",".99",IF(D621="Tree","1.00",IF(D621="Vine",".98"))))))</f>
        <v>.97</v>
      </c>
      <c r="CB621" s="149" t="str">
        <f>IF(R621="Bogs Ponds Streams",".96", IF(R621="Coastal Areas",".97",IF(R621="Meadows Dry Open",".96",IF(R621="Forest &amp; Understory",".97",IF(R621="Moist Open",".98",IF(R621="Moist Shady",".96",IF(R621="Sub-Alpine","1.0")))))))</f>
        <v>.97</v>
      </c>
      <c r="CC621" s="76" t="str">
        <f>IF(S621="Local Endemic",".50",IF(S621="Regional Endemic",".70",IF(S621="Cascadia",".90",IF(S621="Rocky Mountain",".95",IF(S621="North America",".99")))))</f>
        <v>.70</v>
      </c>
      <c r="CD621" s="4"/>
      <c r="CE621" s="21">
        <f>IF(W621&gt;3,3,W621)</f>
        <v>3</v>
      </c>
      <c r="CF621" s="21">
        <f>IF(AC621&gt;102,102,AC621)</f>
        <v>2</v>
      </c>
      <c r="CG621" s="34">
        <f>IF(AI621&lt;$AW$4,$AW$4,AI621)</f>
        <v>2004</v>
      </c>
      <c r="CH621" s="34">
        <f>IF(AJ621&lt;$AW$4,$AW$4,AJ621)</f>
        <v>2004</v>
      </c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</row>
    <row r="622" spans="1:115" ht="15" customHeight="1" x14ac:dyDescent="0.3">
      <c r="A622" s="235"/>
      <c r="B622" s="218"/>
      <c r="C622" s="226">
        <v>2</v>
      </c>
      <c r="D622" s="104" t="s">
        <v>2505</v>
      </c>
      <c r="E622" s="104" t="s">
        <v>2501</v>
      </c>
      <c r="F622" s="400" t="str">
        <f ca="1">IF(BC622&lt;2025, "Extinct&lt; 6Yrs?",BA622)</f>
        <v>Widespread</v>
      </c>
      <c r="G622" s="369" t="s">
        <v>525</v>
      </c>
      <c r="H622" s="369" t="s">
        <v>4028</v>
      </c>
      <c r="I622" s="370" t="s">
        <v>3107</v>
      </c>
      <c r="J622" s="371" t="s">
        <v>3724</v>
      </c>
      <c r="K622" s="371" t="s">
        <v>1089</v>
      </c>
      <c r="L622" s="106" t="s">
        <v>1394</v>
      </c>
      <c r="M622" s="111" t="s">
        <v>4695</v>
      </c>
      <c r="N622" s="111" t="s">
        <v>5593</v>
      </c>
      <c r="O622" s="111" t="s">
        <v>6492</v>
      </c>
      <c r="P622" s="105" t="s">
        <v>672</v>
      </c>
      <c r="Q622" s="104" t="s">
        <v>2552</v>
      </c>
      <c r="R622" s="105" t="s">
        <v>2453</v>
      </c>
      <c r="S622" s="105" t="s">
        <v>2495</v>
      </c>
      <c r="T622" s="133" t="str">
        <f>IF(R622="Bogs Ponds Streams","20",IF(R622="Coastal Areas","26",IF(R622="Meadows Dry Open","10",IF(R622="Forest &amp; Understory","14",IF(R622="Moist Open","12",IF(R622="Moist Shady","10",IF(R622="Sub-Alpine Slopes","0")))))))</f>
        <v>26</v>
      </c>
      <c r="U622" s="133" t="str">
        <f>IF(R622="Bogs Ponds Streams","52",IF(R622="Coastal Areas","51",IF(R622="Meadows Dry Open","53",IF(R622="Forest &amp; Understory","52",IF(R622="Moist Open","50",IF(R622="Moist Shady","46",IF(R622="Sub-Alpine Slopes","40")))))))</f>
        <v>51</v>
      </c>
      <c r="V622" s="133" t="str">
        <f>IF(R622="Bogs Ponds Streams","84",IF(R622="Coastal Areas","76",IF(R622="Meadows Dry Open","96", IF(R622="Forest &amp; Understory","90", IF(R622="Moist Open","88", IF(R622="Moist Shady","82", IF(R622="Sub-Alpine Slopes","80")))))))</f>
        <v>76</v>
      </c>
      <c r="W622" s="104">
        <v>20</v>
      </c>
      <c r="X622" s="104">
        <v>0</v>
      </c>
      <c r="Y622" s="104">
        <v>3500</v>
      </c>
      <c r="Z622" s="104" t="s">
        <v>2519</v>
      </c>
      <c r="AA622" s="104" t="s">
        <v>2518</v>
      </c>
      <c r="AB622" s="104">
        <v>6.8</v>
      </c>
      <c r="AC622" s="107">
        <f>C622+AK622+(0.1)*AL622</f>
        <v>35</v>
      </c>
      <c r="AD622" s="113">
        <v>133</v>
      </c>
      <c r="AE622" s="104">
        <v>5</v>
      </c>
      <c r="AF622" s="104">
        <v>5</v>
      </c>
      <c r="AG622" s="104">
        <v>1900</v>
      </c>
      <c r="AH622" s="113">
        <v>0</v>
      </c>
      <c r="AI622" s="104">
        <f>AJ622</f>
        <v>2004</v>
      </c>
      <c r="AJ622" s="108">
        <v>2004</v>
      </c>
      <c r="AK622" s="108">
        <v>33</v>
      </c>
      <c r="AL622" s="108">
        <v>0</v>
      </c>
      <c r="AM622" s="109">
        <v>5</v>
      </c>
      <c r="AN622" s="109">
        <v>1</v>
      </c>
      <c r="AO622" s="110">
        <v>0</v>
      </c>
      <c r="AP622" s="109">
        <v>0</v>
      </c>
      <c r="AQ622" s="109">
        <v>0</v>
      </c>
      <c r="AR622" s="109">
        <v>0</v>
      </c>
      <c r="AS622" s="110">
        <v>0</v>
      </c>
      <c r="AT622" s="109">
        <v>0</v>
      </c>
      <c r="AU622" s="109">
        <v>0</v>
      </c>
      <c r="AV622" s="109">
        <v>0</v>
      </c>
      <c r="AW622" s="110">
        <v>0</v>
      </c>
      <c r="AX622" s="109">
        <v>0</v>
      </c>
      <c r="AY622" s="233"/>
      <c r="AZ622" s="4"/>
      <c r="BA622" s="35" t="str">
        <f>IF(OR(S622="North America",S622="Rocky Mountain"), "Widespread",BC622)</f>
        <v>Widespread</v>
      </c>
      <c r="BB622" s="4"/>
      <c r="BC622" s="35" t="str">
        <f ca="1">IF(BE622&gt;2046, "Abundant",BE622)</f>
        <v>Abundant</v>
      </c>
      <c r="BD622" s="4"/>
      <c r="BE622" s="81">
        <f ca="1">YEAR($C$13)+(BG622*80)</f>
        <v>2047.3619137254902</v>
      </c>
      <c r="BF622" s="4"/>
      <c r="BG622" s="137">
        <f ca="1">BH622*$BH$14</f>
        <v>0.3545239215686275</v>
      </c>
      <c r="BH622" s="137">
        <f ca="1">(((BJ622+BK622+BM622+BN622)/4)*$BM$11)+(((BP622+BQ622)/2)*$BQ$11)+(((BU622+BV622+BW622)/3)*$BU$11)+(((BY622+BZ622+CA622+CB622+CC622)/5)*$CA$11)</f>
        <v>0.3545239215686275</v>
      </c>
      <c r="BI622" s="4"/>
      <c r="BJ622" s="33">
        <f>AP622/(AM622+AO622)</f>
        <v>0</v>
      </c>
      <c r="BK622" s="33">
        <f>(AN622+AO622)/(AM622+AO622)</f>
        <v>0.2</v>
      </c>
      <c r="BL622" s="4"/>
      <c r="BM622" s="127">
        <f>CF622/102</f>
        <v>0.34313725490196079</v>
      </c>
      <c r="BN622" s="127">
        <f>C622/2</f>
        <v>1</v>
      </c>
      <c r="BO622" s="4"/>
      <c r="BP622" s="127">
        <f>(AK622)/($AW$6)</f>
        <v>0.33333333333333331</v>
      </c>
      <c r="BQ622" s="127">
        <f ca="1">(CH622-$AW$4)/((YEAR($C$13))-$AW$4)</f>
        <v>0</v>
      </c>
      <c r="BR622" s="127">
        <f>(AL622)/($AW$6)</f>
        <v>0</v>
      </c>
      <c r="BS622" s="4"/>
      <c r="BT622" s="127"/>
      <c r="BU622" s="127">
        <f ca="1">(CG622-$AW$4)/((YEAR($C$13))-$AW$4)</f>
        <v>0</v>
      </c>
      <c r="BV622" s="127">
        <f>AE622/5</f>
        <v>1</v>
      </c>
      <c r="BW622" s="127">
        <f>AF622/5</f>
        <v>1</v>
      </c>
      <c r="BX622" s="4"/>
      <c r="BY622" s="148" t="str">
        <f>IF(E622="A",".98",IF(E622="B",".99",IF(E622="C","1.00",IF(E622="D","1.00" ))))</f>
        <v>1.00</v>
      </c>
      <c r="BZ622" s="127">
        <f>(CE622+7)/10</f>
        <v>1</v>
      </c>
      <c r="CA622" s="76" t="str">
        <f>IF(D622="Fern",".97",IF(D622="Grass",".99",IF(D622="Herb",".97",IF(D622="Shrub",".99",IF(D622="Tree","1.00",IF(D622="Vine",".98"))))))</f>
        <v>.97</v>
      </c>
      <c r="CB622" s="149" t="str">
        <f>IF(R622="Bogs Ponds Streams",".96", IF(R622="Coastal Areas",".97",IF(R622="Meadows Dry Open",".96",IF(R622="Forest &amp; Understory",".97",IF(R622="Moist Open",".98",IF(R622="Moist Shady",".96",IF(R622="Sub-Alpine","1.0")))))))</f>
        <v>.97</v>
      </c>
      <c r="CC622" s="76" t="str">
        <f>IF(S622="Local Endemic",".50",IF(S622="Regional Endemic",".70",IF(S622="Cascadia",".90",IF(S622="Rocky Mountain",".95",IF(S622="North America",".99")))))</f>
        <v>.99</v>
      </c>
      <c r="CD622" s="4"/>
      <c r="CE622" s="21">
        <f>IF(W622&gt;3,3,W622)</f>
        <v>3</v>
      </c>
      <c r="CF622" s="21">
        <f>IF(AC622&gt;102,102,AC622)</f>
        <v>35</v>
      </c>
      <c r="CG622" s="34">
        <f>IF(AI622&lt;$AW$4,$AW$4,AI622)</f>
        <v>2004</v>
      </c>
      <c r="CH622" s="34">
        <f>IF(AJ622&lt;$AW$4,$AW$4,AJ622)</f>
        <v>2004</v>
      </c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</row>
    <row r="623" spans="1:115" ht="15" customHeight="1" x14ac:dyDescent="0.3">
      <c r="A623" s="235"/>
      <c r="B623" s="218"/>
      <c r="C623" s="226">
        <v>2</v>
      </c>
      <c r="D623" s="104" t="s">
        <v>2505</v>
      </c>
      <c r="E623" s="104" t="s">
        <v>2501</v>
      </c>
      <c r="F623" s="400" t="str">
        <f ca="1">IF(BC623&lt;2025, "Extinct&lt; 6Yrs?",BA623)</f>
        <v>Abundant</v>
      </c>
      <c r="G623" s="369" t="s">
        <v>525</v>
      </c>
      <c r="H623" s="369" t="s">
        <v>4028</v>
      </c>
      <c r="I623" s="370" t="s">
        <v>465</v>
      </c>
      <c r="J623" s="371" t="s">
        <v>3723</v>
      </c>
      <c r="K623" s="371" t="s">
        <v>1235</v>
      </c>
      <c r="L623" s="106" t="s">
        <v>1627</v>
      </c>
      <c r="M623" s="111" t="s">
        <v>4696</v>
      </c>
      <c r="N623" s="111" t="s">
        <v>5594</v>
      </c>
      <c r="O623" s="111" t="s">
        <v>6493</v>
      </c>
      <c r="P623" s="105" t="s">
        <v>458</v>
      </c>
      <c r="Q623" s="104" t="s">
        <v>2552</v>
      </c>
      <c r="R623" s="162" t="s">
        <v>2498</v>
      </c>
      <c r="S623" s="162" t="s">
        <v>2316</v>
      </c>
      <c r="T623" s="133" t="str">
        <f>IF(R623="Bogs Ponds Streams","20",IF(R623="Coastal Areas","26",IF(R623="Meadows Dry Open","10",IF(R623="Forest &amp; Understory","14",IF(R623="Moist Open","12",IF(R623="Moist Shady","10",IF(R623="Sub-Alpine Slopes","0")))))))</f>
        <v>10</v>
      </c>
      <c r="U623" s="133" t="str">
        <f>IF(R623="Bogs Ponds Streams","52",IF(R623="Coastal Areas","51",IF(R623="Meadows Dry Open","53",IF(R623="Forest &amp; Understory","52",IF(R623="Moist Open","50",IF(R623="Moist Shady","46",IF(R623="Sub-Alpine Slopes","40")))))))</f>
        <v>46</v>
      </c>
      <c r="V623" s="133" t="str">
        <f>IF(R623="Bogs Ponds Streams","84",IF(R623="Coastal Areas","76",IF(R623="Meadows Dry Open","96", IF(R623="Forest &amp; Understory","90", IF(R623="Moist Open","88", IF(R623="Moist Shady","82", IF(R623="Sub-Alpine Slopes","80")))))))</f>
        <v>82</v>
      </c>
      <c r="W623" s="104">
        <v>20</v>
      </c>
      <c r="X623" s="104">
        <v>0</v>
      </c>
      <c r="Y623" s="104">
        <v>3500</v>
      </c>
      <c r="Z623" s="104" t="s">
        <v>2519</v>
      </c>
      <c r="AA623" s="104" t="s">
        <v>2518</v>
      </c>
      <c r="AB623" s="104">
        <v>6.8</v>
      </c>
      <c r="AC623" s="107">
        <f>C623+AK623+(0.1)*AL623</f>
        <v>3.1</v>
      </c>
      <c r="AD623" s="113">
        <v>5</v>
      </c>
      <c r="AE623" s="104">
        <v>2</v>
      </c>
      <c r="AF623" s="104">
        <v>5</v>
      </c>
      <c r="AG623" s="104">
        <v>1900</v>
      </c>
      <c r="AH623" s="113">
        <v>0</v>
      </c>
      <c r="AI623" s="104">
        <f>AJ623</f>
        <v>2004</v>
      </c>
      <c r="AJ623" s="108">
        <v>2004</v>
      </c>
      <c r="AK623" s="108">
        <v>1</v>
      </c>
      <c r="AL623" s="108">
        <v>1</v>
      </c>
      <c r="AM623" s="108">
        <v>1</v>
      </c>
      <c r="AN623" s="108">
        <v>1</v>
      </c>
      <c r="AO623" s="110">
        <v>0</v>
      </c>
      <c r="AP623" s="109">
        <v>0</v>
      </c>
      <c r="AQ623" s="108">
        <v>0</v>
      </c>
      <c r="AR623" s="108">
        <v>0</v>
      </c>
      <c r="AS623" s="108">
        <v>0</v>
      </c>
      <c r="AT623" s="108">
        <v>0</v>
      </c>
      <c r="AU623" s="108">
        <v>0</v>
      </c>
      <c r="AV623" s="108">
        <v>0</v>
      </c>
      <c r="AW623" s="108">
        <v>0</v>
      </c>
      <c r="AX623" s="108">
        <v>0</v>
      </c>
      <c r="AY623" s="233"/>
      <c r="AZ623" s="4"/>
      <c r="BA623" s="35" t="str">
        <f ca="1">IF(OR(S623="North America",S623="Rocky Mountain"), "Widespread",BC623)</f>
        <v>Abundant</v>
      </c>
      <c r="BB623" s="4"/>
      <c r="BC623" s="35" t="str">
        <f ca="1">IF(BE623&gt;2046, "Abundant",BE623)</f>
        <v>Abundant</v>
      </c>
      <c r="BD623" s="4"/>
      <c r="BE623" s="81">
        <f ca="1">YEAR($C$13)+(BG623*80)</f>
        <v>2047.8901846702317</v>
      </c>
      <c r="BF623" s="4"/>
      <c r="BG623" s="137">
        <f ca="1">BH623*$BH$14</f>
        <v>0.36112730837789658</v>
      </c>
      <c r="BH623" s="137">
        <f ca="1">(((BJ623+BK623+BM623+BN623)/4)*$BM$11)+(((BP623+BQ623)/2)*$BQ$11)+(((BU623+BV623+BW623)/3)*$BU$11)+(((BY623+BZ623+CA623+CB623+CC623)/5)*$CA$11)</f>
        <v>0.36112730837789658</v>
      </c>
      <c r="BI623" s="4"/>
      <c r="BJ623" s="33">
        <f>AP623/(AM623+AO623)</f>
        <v>0</v>
      </c>
      <c r="BK623" s="33">
        <f>(AN623+AO623)/(AM623+AO623)</f>
        <v>1</v>
      </c>
      <c r="BL623" s="4"/>
      <c r="BM623" s="127">
        <f>CF623/102</f>
        <v>3.0392156862745098E-2</v>
      </c>
      <c r="BN623" s="127">
        <f>C623/2</f>
        <v>1</v>
      </c>
      <c r="BO623" s="4"/>
      <c r="BP623" s="127">
        <f>(AK623)/($AW$6)</f>
        <v>1.0101010101010102E-2</v>
      </c>
      <c r="BQ623" s="127">
        <f ca="1">(CH623-$AW$4)/((YEAR($C$13))-$AW$4)</f>
        <v>0</v>
      </c>
      <c r="BR623" s="127">
        <f>(AL623)/($AW$6)</f>
        <v>1.0101010101010102E-2</v>
      </c>
      <c r="BS623" s="4"/>
      <c r="BT623" s="127"/>
      <c r="BU623" s="127">
        <f ca="1">(CG623-$AW$4)/((YEAR($C$13))-$AW$4)</f>
        <v>0</v>
      </c>
      <c r="BV623" s="127">
        <f>AE623/5</f>
        <v>0.4</v>
      </c>
      <c r="BW623" s="127">
        <f>AF623/5</f>
        <v>1</v>
      </c>
      <c r="BX623" s="4"/>
      <c r="BY623" s="148" t="str">
        <f>IF(E623="A",".98",IF(E623="B",".99",IF(E623="C","1.00",IF(E623="D","1.00" ))))</f>
        <v>1.00</v>
      </c>
      <c r="BZ623" s="127">
        <f>(CE623+7)/10</f>
        <v>1</v>
      </c>
      <c r="CA623" s="76" t="str">
        <f>IF(D623="Fern",".97",IF(D623="Grass",".99",IF(D623="Herb",".97",IF(D623="Shrub",".99",IF(D623="Tree","1.00",IF(D623="Vine",".98"))))))</f>
        <v>.97</v>
      </c>
      <c r="CB623" s="149" t="str">
        <f>IF(R623="Bogs Ponds Streams",".96", IF(R623="Coastal Areas",".97",IF(R623="Meadows Dry Open",".96",IF(R623="Forest &amp; Understory",".97",IF(R623="Moist Open",".98",IF(R623="Moist Shady",".96",IF(R623="Sub-Alpine","1.0")))))))</f>
        <v>.96</v>
      </c>
      <c r="CC623" s="76" t="str">
        <f>IF(S623="Local Endemic",".50",IF(S623="Regional Endemic",".70",IF(S623="Cascadia",".90",IF(S623="Rocky Mountain",".95",IF(S623="North America",".99")))))</f>
        <v>.50</v>
      </c>
      <c r="CD623" s="4"/>
      <c r="CE623" s="21">
        <f>IF(W623&gt;3,3,W623)</f>
        <v>3</v>
      </c>
      <c r="CF623" s="21">
        <f>IF(AC623&gt;102,102,AC623)</f>
        <v>3.1</v>
      </c>
      <c r="CG623" s="34">
        <f>IF(AI623&lt;$AW$4,$AW$4,AI623)</f>
        <v>2004</v>
      </c>
      <c r="CH623" s="34">
        <f>IF(AJ623&lt;$AW$4,$AW$4,AJ623)</f>
        <v>2004</v>
      </c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13"/>
    </row>
    <row r="624" spans="1:115" ht="15" customHeight="1" x14ac:dyDescent="0.3">
      <c r="A624" s="235"/>
      <c r="B624" s="218"/>
      <c r="C624" s="226">
        <v>2</v>
      </c>
      <c r="D624" s="104" t="s">
        <v>2505</v>
      </c>
      <c r="E624" s="104" t="s">
        <v>2501</v>
      </c>
      <c r="F624" s="400" t="str">
        <f ca="1">IF(BC624&lt;2025, "Extinct&lt; 6Yrs?",BA624)</f>
        <v>Widespread</v>
      </c>
      <c r="G624" s="369" t="s">
        <v>525</v>
      </c>
      <c r="H624" s="369" t="s">
        <v>4028</v>
      </c>
      <c r="I624" s="370" t="s">
        <v>3108</v>
      </c>
      <c r="J624" s="371" t="s">
        <v>3722</v>
      </c>
      <c r="K624" s="371" t="s">
        <v>1090</v>
      </c>
      <c r="L624" s="106" t="s">
        <v>1628</v>
      </c>
      <c r="M624" s="111" t="s">
        <v>4697</v>
      </c>
      <c r="N624" s="111" t="s">
        <v>5595</v>
      </c>
      <c r="O624" s="111" t="s">
        <v>6494</v>
      </c>
      <c r="P624" s="105" t="s">
        <v>458</v>
      </c>
      <c r="Q624" s="104" t="s">
        <v>2552</v>
      </c>
      <c r="R624" s="105" t="s">
        <v>2498</v>
      </c>
      <c r="S624" s="105" t="s">
        <v>2495</v>
      </c>
      <c r="T624" s="133" t="str">
        <f>IF(R624="Bogs Ponds Streams","20",IF(R624="Coastal Areas","26",IF(R624="Meadows Dry Open","10",IF(R624="Forest &amp; Understory","14",IF(R624="Moist Open","12",IF(R624="Moist Shady","10",IF(R624="Sub-Alpine Slopes","0")))))))</f>
        <v>10</v>
      </c>
      <c r="U624" s="133" t="str">
        <f>IF(R624="Bogs Ponds Streams","52",IF(R624="Coastal Areas","51",IF(R624="Meadows Dry Open","53",IF(R624="Forest &amp; Understory","52",IF(R624="Moist Open","50",IF(R624="Moist Shady","46",IF(R624="Sub-Alpine Slopes","40")))))))</f>
        <v>46</v>
      </c>
      <c r="V624" s="133" t="str">
        <f>IF(R624="Bogs Ponds Streams","84",IF(R624="Coastal Areas","76",IF(R624="Meadows Dry Open","96", IF(R624="Forest &amp; Understory","90", IF(R624="Moist Open","88", IF(R624="Moist Shady","82", IF(R624="Sub-Alpine Slopes","80")))))))</f>
        <v>82</v>
      </c>
      <c r="W624" s="104">
        <v>20</v>
      </c>
      <c r="X624" s="104">
        <v>0</v>
      </c>
      <c r="Y624" s="104">
        <v>3500</v>
      </c>
      <c r="Z624" s="104" t="s">
        <v>2519</v>
      </c>
      <c r="AA624" s="104" t="s">
        <v>2518</v>
      </c>
      <c r="AB624" s="104">
        <v>6.8</v>
      </c>
      <c r="AC624" s="107">
        <f>C624+AK624+(0.1)*AL624</f>
        <v>26.4</v>
      </c>
      <c r="AD624" s="113">
        <v>264</v>
      </c>
      <c r="AE624" s="104">
        <v>5</v>
      </c>
      <c r="AF624" s="104">
        <v>5</v>
      </c>
      <c r="AG624" s="104">
        <v>1900</v>
      </c>
      <c r="AH624" s="113">
        <v>0</v>
      </c>
      <c r="AI624" s="104">
        <f>AJ624</f>
        <v>2004</v>
      </c>
      <c r="AJ624" s="108">
        <v>2004</v>
      </c>
      <c r="AK624" s="108">
        <v>20</v>
      </c>
      <c r="AL624" s="108">
        <v>44</v>
      </c>
      <c r="AM624" s="109">
        <v>5</v>
      </c>
      <c r="AN624" s="109">
        <v>1</v>
      </c>
      <c r="AO624" s="110">
        <v>0</v>
      </c>
      <c r="AP624" s="109">
        <v>0</v>
      </c>
      <c r="AQ624" s="109">
        <v>0</v>
      </c>
      <c r="AR624" s="109">
        <v>0</v>
      </c>
      <c r="AS624" s="110">
        <v>0</v>
      </c>
      <c r="AT624" s="109">
        <v>0</v>
      </c>
      <c r="AU624" s="109">
        <v>0</v>
      </c>
      <c r="AV624" s="109">
        <v>0</v>
      </c>
      <c r="AW624" s="110">
        <v>0</v>
      </c>
      <c r="AX624" s="109">
        <v>0</v>
      </c>
      <c r="AY624" s="233"/>
      <c r="AZ624" s="4"/>
      <c r="BA624" s="35" t="str">
        <f>IF(OR(S624="North America",S624="Rocky Mountain"), "Widespread",BC624)</f>
        <v>Widespread</v>
      </c>
      <c r="BB624" s="4"/>
      <c r="BC624" s="35">
        <f ca="1">IF(BE624&gt;2046, "Abundant",BE624)</f>
        <v>2044.7711914438503</v>
      </c>
      <c r="BD624" s="4"/>
      <c r="BE624" s="81">
        <f ca="1">YEAR($C$13)+(BG624*80)</f>
        <v>2044.7711914438503</v>
      </c>
      <c r="BF624" s="4"/>
      <c r="BG624" s="137">
        <f ca="1">BH624*$BH$14</f>
        <v>0.32213989304812829</v>
      </c>
      <c r="BH624" s="137">
        <f ca="1">(((BJ624+BK624+BM624+BN624)/4)*$BM$11)+(((BP624+BQ624)/2)*$BQ$11)+(((BU624+BV624+BW624)/3)*$BU$11)+(((BY624+BZ624+CA624+CB624+CC624)/5)*$CA$11)</f>
        <v>0.32213989304812829</v>
      </c>
      <c r="BI624" s="4"/>
      <c r="BJ624" s="33">
        <f>AP624/(AM624+AO624)</f>
        <v>0</v>
      </c>
      <c r="BK624" s="33">
        <f>(AN624+AO624)/(AM624+AO624)</f>
        <v>0.2</v>
      </c>
      <c r="BL624" s="4"/>
      <c r="BM624" s="127">
        <f>CF624/102</f>
        <v>0.25882352941176467</v>
      </c>
      <c r="BN624" s="127">
        <f>C624/2</f>
        <v>1</v>
      </c>
      <c r="BO624" s="4"/>
      <c r="BP624" s="127">
        <f>(AK624)/($AW$6)</f>
        <v>0.20202020202020202</v>
      </c>
      <c r="BQ624" s="127">
        <f ca="1">(CH624-$AW$4)/((YEAR($C$13))-$AW$4)</f>
        <v>0</v>
      </c>
      <c r="BR624" s="127">
        <f>(AL624)/($AW$6)</f>
        <v>0.44444444444444442</v>
      </c>
      <c r="BS624" s="4"/>
      <c r="BT624" s="127"/>
      <c r="BU624" s="127">
        <f ca="1">(CG624-$AW$4)/((YEAR($C$13))-$AW$4)</f>
        <v>0</v>
      </c>
      <c r="BV624" s="127">
        <f>AE624/5</f>
        <v>1</v>
      </c>
      <c r="BW624" s="127">
        <f>AF624/5</f>
        <v>1</v>
      </c>
      <c r="BX624" s="4"/>
      <c r="BY624" s="148" t="str">
        <f>IF(E624="A",".98",IF(E624="B",".99",IF(E624="C","1.00",IF(E624="D","1.00" ))))</f>
        <v>1.00</v>
      </c>
      <c r="BZ624" s="127">
        <f>(CE624+7)/10</f>
        <v>1</v>
      </c>
      <c r="CA624" s="76" t="str">
        <f>IF(D624="Fern",".97",IF(D624="Grass",".99",IF(D624="Herb",".97",IF(D624="Shrub",".99",IF(D624="Tree","1.00",IF(D624="Vine",".98"))))))</f>
        <v>.97</v>
      </c>
      <c r="CB624" s="149" t="str">
        <f>IF(R624="Bogs Ponds Streams",".96", IF(R624="Coastal Areas",".97",IF(R624="Meadows Dry Open",".96",IF(R624="Forest &amp; Understory",".97",IF(R624="Moist Open",".98",IF(R624="Moist Shady",".96",IF(R624="Sub-Alpine","1.0")))))))</f>
        <v>.96</v>
      </c>
      <c r="CC624" s="76" t="str">
        <f>IF(S624="Local Endemic",".50",IF(S624="Regional Endemic",".70",IF(S624="Cascadia",".90",IF(S624="Rocky Mountain",".95",IF(S624="North America",".99")))))</f>
        <v>.99</v>
      </c>
      <c r="CD624" s="4"/>
      <c r="CE624" s="21">
        <f>IF(W624&gt;3,3,W624)</f>
        <v>3</v>
      </c>
      <c r="CF624" s="21">
        <f>IF(AC624&gt;102,102,AC624)</f>
        <v>26.4</v>
      </c>
      <c r="CG624" s="34">
        <f>IF(AI624&lt;$AW$4,$AW$4,AI624)</f>
        <v>2004</v>
      </c>
      <c r="CH624" s="34">
        <f>IF(AJ624&lt;$AW$4,$AW$4,AJ624)</f>
        <v>2004</v>
      </c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</row>
    <row r="625" spans="1:116" s="13" customFormat="1" ht="15" customHeight="1" x14ac:dyDescent="0.3">
      <c r="A625" s="235"/>
      <c r="B625" s="218"/>
      <c r="C625" s="375">
        <v>1</v>
      </c>
      <c r="D625" s="67" t="s">
        <v>2505</v>
      </c>
      <c r="E625" s="67" t="s">
        <v>2501</v>
      </c>
      <c r="F625" s="403">
        <f ca="1">IF(BC625&lt;2025, "Extinct&lt; 6Yrs?",BA625)</f>
        <v>2031.9152798573975</v>
      </c>
      <c r="G625" s="376" t="s">
        <v>525</v>
      </c>
      <c r="H625" s="376" t="s">
        <v>4028</v>
      </c>
      <c r="I625" s="380" t="s">
        <v>3109</v>
      </c>
      <c r="J625" s="378" t="s">
        <v>3546</v>
      </c>
      <c r="K625" s="378" t="s">
        <v>1086</v>
      </c>
      <c r="L625" s="63" t="s">
        <v>2228</v>
      </c>
      <c r="M625" s="64" t="s">
        <v>4698</v>
      </c>
      <c r="N625" s="64" t="s">
        <v>5596</v>
      </c>
      <c r="O625" s="64" t="s">
        <v>6495</v>
      </c>
      <c r="P625" s="61" t="s">
        <v>458</v>
      </c>
      <c r="Q625" s="67" t="s">
        <v>2552</v>
      </c>
      <c r="R625" s="163" t="s">
        <v>2497</v>
      </c>
      <c r="S625" s="65" t="s">
        <v>2459</v>
      </c>
      <c r="T625" s="134" t="str">
        <f>IF(R625="Bogs Ponds Streams","20",IF(R625="Coastal Areas","26",IF(R625="Meadows Dry Open","10",IF(R625="Forest &amp; Understory","14",IF(R625="Moist Open","12",IF(R625="Moist Shady","10",IF(R625="Sub-Alpine Slopes","0")))))))</f>
        <v>12</v>
      </c>
      <c r="U625" s="134" t="str">
        <f>IF(R625="Bogs Ponds Streams","52",IF(R625="Coastal Areas","51",IF(R625="Meadows Dry Open","53",IF(R625="Forest &amp; Understory","52",IF(R625="Moist Open","50",IF(R625="Moist Shady","46",IF(R625="Sub-Alpine Slopes","40")))))))</f>
        <v>50</v>
      </c>
      <c r="V625" s="134" t="str">
        <f>IF(R625="Bogs Ponds Streams","84",IF(R625="Coastal Areas","76",IF(R625="Meadows Dry Open","96", IF(R625="Forest &amp; Understory","90", IF(R625="Moist Open","88", IF(R625="Moist Shady","82", IF(R625="Sub-Alpine Slopes","80")))))))</f>
        <v>88</v>
      </c>
      <c r="W625" s="67">
        <v>20</v>
      </c>
      <c r="X625" s="67">
        <v>0</v>
      </c>
      <c r="Y625" s="67">
        <v>3500</v>
      </c>
      <c r="Z625" s="67" t="s">
        <v>2519</v>
      </c>
      <c r="AA625" s="67" t="s">
        <v>2518</v>
      </c>
      <c r="AB625" s="67">
        <v>6.8</v>
      </c>
      <c r="AC625" s="85">
        <f>C625+AK625+(0.1)*AL625</f>
        <v>5.2</v>
      </c>
      <c r="AD625" s="78">
        <v>10</v>
      </c>
      <c r="AE625" s="67">
        <v>5</v>
      </c>
      <c r="AF625" s="67">
        <v>5</v>
      </c>
      <c r="AG625" s="67">
        <v>1900</v>
      </c>
      <c r="AH625" s="78">
        <v>0</v>
      </c>
      <c r="AI625" s="67">
        <f>AJ625</f>
        <v>2004</v>
      </c>
      <c r="AJ625" s="69">
        <v>2004</v>
      </c>
      <c r="AK625" s="69">
        <v>4</v>
      </c>
      <c r="AL625" s="69">
        <v>2</v>
      </c>
      <c r="AM625" s="70">
        <v>5</v>
      </c>
      <c r="AN625" s="70">
        <v>0</v>
      </c>
      <c r="AO625" s="86">
        <v>0</v>
      </c>
      <c r="AP625" s="70">
        <v>0</v>
      </c>
      <c r="AQ625" s="70">
        <v>0</v>
      </c>
      <c r="AR625" s="70">
        <v>0</v>
      </c>
      <c r="AS625" s="86">
        <v>0</v>
      </c>
      <c r="AT625" s="70">
        <v>0</v>
      </c>
      <c r="AU625" s="70">
        <v>0</v>
      </c>
      <c r="AV625" s="70">
        <v>0</v>
      </c>
      <c r="AW625" s="86">
        <v>0</v>
      </c>
      <c r="AX625" s="70">
        <v>0</v>
      </c>
      <c r="AY625" s="233"/>
      <c r="AZ625" s="4"/>
      <c r="BA625" s="35">
        <f ca="1">IF(OR(S625="North America",S625="Rocky Mountain"), "Widespread",BC625)</f>
        <v>2031.9152798573975</v>
      </c>
      <c r="BB625" s="4"/>
      <c r="BC625" s="35">
        <f ca="1">IF(BE625&gt;2046, "Abundant",BE625)</f>
        <v>2031.9152798573975</v>
      </c>
      <c r="BD625" s="4"/>
      <c r="BE625" s="81">
        <f ca="1">YEAR($C$13)+(BG625*80)</f>
        <v>2031.9152798573975</v>
      </c>
      <c r="BF625" s="4"/>
      <c r="BG625" s="137">
        <f ca="1">BH625*$BH$14</f>
        <v>0.1614409982174688</v>
      </c>
      <c r="BH625" s="137">
        <f ca="1">(((BJ625+BK625+BM625+BN625)/4)*$BM$11)+(((BP625+BQ625)/2)*$BQ$11)+(((BU625+BV625+BW625)/3)*$BU$11)+(((BY625+BZ625+CA625+CB625+CC625)/5)*$CA$11)</f>
        <v>0.1614409982174688</v>
      </c>
      <c r="BI625" s="4"/>
      <c r="BJ625" s="33">
        <f>AP625/(AM625+AO625)</f>
        <v>0</v>
      </c>
      <c r="BK625" s="33">
        <f>(AN625+AO625)/(AM625+AO625)</f>
        <v>0</v>
      </c>
      <c r="BL625" s="4"/>
      <c r="BM625" s="127">
        <f>CF625/102</f>
        <v>5.0980392156862744E-2</v>
      </c>
      <c r="BN625" s="127">
        <f>C625/2</f>
        <v>0.5</v>
      </c>
      <c r="BO625" s="4"/>
      <c r="BP625" s="127">
        <f>(AK625)/($AW$6)</f>
        <v>4.0404040404040407E-2</v>
      </c>
      <c r="BQ625" s="127">
        <f ca="1">(CH625-$AW$4)/((YEAR($C$13))-$AW$4)</f>
        <v>0</v>
      </c>
      <c r="BR625" s="127">
        <f>(AL625)/($AW$6)</f>
        <v>2.0202020202020204E-2</v>
      </c>
      <c r="BS625" s="4"/>
      <c r="BT625" s="127"/>
      <c r="BU625" s="127">
        <f ca="1">(CG625-$AW$4)/((YEAR($C$13))-$AW$4)</f>
        <v>0</v>
      </c>
      <c r="BV625" s="127">
        <f>AE625/5</f>
        <v>1</v>
      </c>
      <c r="BW625" s="127">
        <f>AF625/5</f>
        <v>1</v>
      </c>
      <c r="BX625" s="4"/>
      <c r="BY625" s="148" t="str">
        <f>IF(E625="A",".98",IF(E625="B",".99",IF(E625="C","1.00",IF(E625="D","1.00" ))))</f>
        <v>1.00</v>
      </c>
      <c r="BZ625" s="127">
        <f>(CE625+7)/10</f>
        <v>1</v>
      </c>
      <c r="CA625" s="76" t="str">
        <f>IF(D625="Fern",".97",IF(D625="Grass",".99",IF(D625="Herb",".97",IF(D625="Shrub",".99",IF(D625="Tree","1.00",IF(D625="Vine",".98"))))))</f>
        <v>.97</v>
      </c>
      <c r="CB625" s="149" t="str">
        <f>IF(R625="Bogs Ponds Streams",".96", IF(R625="Coastal Areas",".97",IF(R625="Meadows Dry Open",".96",IF(R625="Forest &amp; Understory",".97",IF(R625="Moist Open",".98",IF(R625="Moist Shady",".96",IF(R625="Sub-Alpine","1.0")))))))</f>
        <v>.98</v>
      </c>
      <c r="CC625" s="76" t="str">
        <f>IF(S625="Local Endemic",".50",IF(S625="Regional Endemic",".70",IF(S625="Cascadia",".90",IF(S625="Rocky Mountain",".95",IF(S625="North America",".99")))))</f>
        <v>.90</v>
      </c>
      <c r="CD625" s="4"/>
      <c r="CE625" s="21">
        <f>IF(W625&gt;3,3,W625)</f>
        <v>3</v>
      </c>
      <c r="CF625" s="21">
        <f>IF(AC625&gt;102,102,AC625)</f>
        <v>5.2</v>
      </c>
      <c r="CG625" s="34">
        <f>IF(AI625&lt;$AW$4,$AW$4,AI625)</f>
        <v>2004</v>
      </c>
      <c r="CH625" s="34">
        <f>IF(AJ625&lt;$AW$4,$AW$4,AJ625)</f>
        <v>2004</v>
      </c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12"/>
      <c r="DL625" s="12"/>
    </row>
    <row r="626" spans="1:116" s="13" customFormat="1" ht="15" customHeight="1" x14ac:dyDescent="0.3">
      <c r="A626" s="235"/>
      <c r="B626" s="218"/>
      <c r="C626" s="226">
        <v>2</v>
      </c>
      <c r="D626" s="104" t="s">
        <v>2505</v>
      </c>
      <c r="E626" s="104" t="s">
        <v>2501</v>
      </c>
      <c r="F626" s="400" t="str">
        <f ca="1">IF(BC626&lt;2025, "Extinct&lt; 6Yrs?",BA626)</f>
        <v>Widespread</v>
      </c>
      <c r="G626" s="369" t="s">
        <v>525</v>
      </c>
      <c r="H626" s="369" t="s">
        <v>4028</v>
      </c>
      <c r="I626" s="372" t="s">
        <v>2691</v>
      </c>
      <c r="J626" s="371" t="s">
        <v>3721</v>
      </c>
      <c r="K626" s="371" t="s">
        <v>4076</v>
      </c>
      <c r="L626" s="114" t="s">
        <v>1629</v>
      </c>
      <c r="M626" s="111" t="s">
        <v>4699</v>
      </c>
      <c r="N626" s="111" t="s">
        <v>5597</v>
      </c>
      <c r="O626" s="111" t="s">
        <v>6496</v>
      </c>
      <c r="P626" s="401" t="s">
        <v>458</v>
      </c>
      <c r="Q626" s="104" t="s">
        <v>2552</v>
      </c>
      <c r="R626" s="105" t="s">
        <v>2498</v>
      </c>
      <c r="S626" s="105" t="s">
        <v>2495</v>
      </c>
      <c r="T626" s="133" t="str">
        <f>IF(R626="Bogs Ponds Streams","20",IF(R626="Coastal Areas","26",IF(R626="Meadows Dry Open","10",IF(R626="Forest &amp; Understory","14",IF(R626="Moist Open","12",IF(R626="Moist Shady","10",IF(R626="Sub-Alpine Slopes","0")))))))</f>
        <v>10</v>
      </c>
      <c r="U626" s="133" t="str">
        <f>IF(R626="Bogs Ponds Streams","52",IF(R626="Coastal Areas","51",IF(R626="Meadows Dry Open","53",IF(R626="Forest &amp; Understory","52",IF(R626="Moist Open","50",IF(R626="Moist Shady","46",IF(R626="Sub-Alpine Slopes","40")))))))</f>
        <v>46</v>
      </c>
      <c r="V626" s="133" t="str">
        <f>IF(R626="Bogs Ponds Streams","84",IF(R626="Coastal Areas","76",IF(R626="Meadows Dry Open","96", IF(R626="Forest &amp; Understory","90", IF(R626="Moist Open","88", IF(R626="Moist Shady","82", IF(R626="Sub-Alpine Slopes","80")))))))</f>
        <v>82</v>
      </c>
      <c r="W626" s="104">
        <v>20</v>
      </c>
      <c r="X626" s="104">
        <v>0</v>
      </c>
      <c r="Y626" s="104">
        <v>3500</v>
      </c>
      <c r="Z626" s="104" t="s">
        <v>2519</v>
      </c>
      <c r="AA626" s="104" t="s">
        <v>2518</v>
      </c>
      <c r="AB626" s="104">
        <v>6.8</v>
      </c>
      <c r="AC626" s="107">
        <f>C626+AK626+(0.1)*AL626</f>
        <v>6</v>
      </c>
      <c r="AD626" s="113">
        <v>34</v>
      </c>
      <c r="AE626" s="104">
        <v>5</v>
      </c>
      <c r="AF626" s="104">
        <v>5</v>
      </c>
      <c r="AG626" s="104">
        <v>1900</v>
      </c>
      <c r="AH626" s="113">
        <v>0</v>
      </c>
      <c r="AI626" s="104">
        <f>AJ626</f>
        <v>2004</v>
      </c>
      <c r="AJ626" s="108">
        <v>2004</v>
      </c>
      <c r="AK626" s="108">
        <v>4</v>
      </c>
      <c r="AL626" s="108">
        <v>0</v>
      </c>
      <c r="AM626" s="109">
        <v>5</v>
      </c>
      <c r="AN626" s="109">
        <v>1</v>
      </c>
      <c r="AO626" s="110">
        <v>0</v>
      </c>
      <c r="AP626" s="109">
        <v>0</v>
      </c>
      <c r="AQ626" s="109">
        <v>0</v>
      </c>
      <c r="AR626" s="109">
        <v>0</v>
      </c>
      <c r="AS626" s="110">
        <v>0</v>
      </c>
      <c r="AT626" s="109">
        <v>0</v>
      </c>
      <c r="AU626" s="109">
        <v>0</v>
      </c>
      <c r="AV626" s="109">
        <v>0</v>
      </c>
      <c r="AW626" s="110">
        <v>0</v>
      </c>
      <c r="AX626" s="109">
        <v>0</v>
      </c>
      <c r="AY626" s="233"/>
      <c r="AZ626" s="4"/>
      <c r="BA626" s="35" t="str">
        <f>IF(OR(S626="North America",S626="Rocky Mountain"), "Widespread",BC626)</f>
        <v>Widespread</v>
      </c>
      <c r="BB626" s="4"/>
      <c r="BC626" s="35">
        <f ca="1">IF(BE626&gt;2046, "Abundant",BE626)</f>
        <v>2040.4317975044564</v>
      </c>
      <c r="BD626" s="4"/>
      <c r="BE626" s="81">
        <f ca="1">YEAR($C$13)+(BG626*80)</f>
        <v>2040.4317975044564</v>
      </c>
      <c r="BF626" s="4"/>
      <c r="BG626" s="137">
        <f ca="1">BH626*$BH$14</f>
        <v>0.26789746880570409</v>
      </c>
      <c r="BH626" s="137">
        <f ca="1">(((BJ626+BK626+BM626+BN626)/4)*$BM$11)+(((BP626+BQ626)/2)*$BQ$11)+(((BU626+BV626+BW626)/3)*$BU$11)+(((BY626+BZ626+CA626+CB626+CC626)/5)*$CA$11)</f>
        <v>0.26789746880570409</v>
      </c>
      <c r="BI626" s="4"/>
      <c r="BJ626" s="33">
        <f>AP626/(AM626+AO626)</f>
        <v>0</v>
      </c>
      <c r="BK626" s="33">
        <f>(AN626+AO626)/(AM626+AO626)</f>
        <v>0.2</v>
      </c>
      <c r="BL626" s="4"/>
      <c r="BM626" s="127">
        <f>CF626/102</f>
        <v>5.8823529411764705E-2</v>
      </c>
      <c r="BN626" s="127">
        <f>C626/2</f>
        <v>1</v>
      </c>
      <c r="BO626" s="4"/>
      <c r="BP626" s="127">
        <f>(AK626)/($AW$6)</f>
        <v>4.0404040404040407E-2</v>
      </c>
      <c r="BQ626" s="127">
        <f ca="1">(CH626-$AW$4)/((YEAR($C$13))-$AW$4)</f>
        <v>0</v>
      </c>
      <c r="BR626" s="127">
        <f>(AL626)/($AW$6)</f>
        <v>0</v>
      </c>
      <c r="BS626" s="4"/>
      <c r="BT626" s="127"/>
      <c r="BU626" s="127">
        <f ca="1">(CG626-$AW$4)/((YEAR($C$13))-$AW$4)</f>
        <v>0</v>
      </c>
      <c r="BV626" s="127">
        <f>AE626/5</f>
        <v>1</v>
      </c>
      <c r="BW626" s="127">
        <f>AF626/5</f>
        <v>1</v>
      </c>
      <c r="BX626" s="4"/>
      <c r="BY626" s="148" t="str">
        <f>IF(E626="A",".98",IF(E626="B",".99",IF(E626="C","1.00",IF(E626="D","1.00" ))))</f>
        <v>1.00</v>
      </c>
      <c r="BZ626" s="127">
        <f>(CE626+7)/10</f>
        <v>1</v>
      </c>
      <c r="CA626" s="76" t="str">
        <f>IF(D626="Fern",".97",IF(D626="Grass",".99",IF(D626="Herb",".97",IF(D626="Shrub",".99",IF(D626="Tree","1.00",IF(D626="Vine",".98"))))))</f>
        <v>.97</v>
      </c>
      <c r="CB626" s="149" t="str">
        <f>IF(R626="Bogs Ponds Streams",".96", IF(R626="Coastal Areas",".97",IF(R626="Meadows Dry Open",".96",IF(R626="Forest &amp; Understory",".97",IF(R626="Moist Open",".98",IF(R626="Moist Shady",".96",IF(R626="Sub-Alpine","1.0")))))))</f>
        <v>.96</v>
      </c>
      <c r="CC626" s="76" t="str">
        <f>IF(S626="Local Endemic",".50",IF(S626="Regional Endemic",".70",IF(S626="Cascadia",".90",IF(S626="Rocky Mountain",".95",IF(S626="North America",".99")))))</f>
        <v>.99</v>
      </c>
      <c r="CD626" s="4"/>
      <c r="CE626" s="21">
        <f>IF(W626&gt;3,3,W626)</f>
        <v>3</v>
      </c>
      <c r="CF626" s="21">
        <f>IF(AC626&gt;102,102,AC626)</f>
        <v>6</v>
      </c>
      <c r="CG626" s="34">
        <f>IF(AI626&lt;$AW$4,$AW$4,AI626)</f>
        <v>2004</v>
      </c>
      <c r="CH626" s="34">
        <f>IF(AJ626&lt;$AW$4,$AW$4,AJ626)</f>
        <v>2004</v>
      </c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12"/>
      <c r="DL626" s="12"/>
    </row>
    <row r="627" spans="1:116" s="13" customFormat="1" ht="15" customHeight="1" x14ac:dyDescent="0.3">
      <c r="A627" s="235"/>
      <c r="B627" s="218"/>
      <c r="C627" s="226">
        <v>2</v>
      </c>
      <c r="D627" s="104" t="s">
        <v>2505</v>
      </c>
      <c r="E627" s="104" t="s">
        <v>2501</v>
      </c>
      <c r="F627" s="400" t="str">
        <f ca="1">IF(BC627&lt;2025, "Extinct&lt; 6Yrs?",BA627)</f>
        <v>Widespread</v>
      </c>
      <c r="G627" s="369" t="s">
        <v>525</v>
      </c>
      <c r="H627" s="369" t="s">
        <v>4028</v>
      </c>
      <c r="I627" s="370" t="s">
        <v>467</v>
      </c>
      <c r="J627" s="371" t="s">
        <v>3720</v>
      </c>
      <c r="K627" s="371" t="s">
        <v>466</v>
      </c>
      <c r="L627" s="106" t="s">
        <v>1630</v>
      </c>
      <c r="M627" s="111" t="s">
        <v>4700</v>
      </c>
      <c r="N627" s="111" t="s">
        <v>5598</v>
      </c>
      <c r="O627" s="111" t="s">
        <v>6497</v>
      </c>
      <c r="P627" s="105" t="s">
        <v>458</v>
      </c>
      <c r="Q627" s="104" t="s">
        <v>2552</v>
      </c>
      <c r="R627" s="105" t="s">
        <v>2498</v>
      </c>
      <c r="S627" s="105" t="s">
        <v>2479</v>
      </c>
      <c r="T627" s="133" t="str">
        <f>IF(R627="Bogs Ponds Streams","20",IF(R627="Coastal Areas","26",IF(R627="Meadows Dry Open","10",IF(R627="Forest &amp; Understory","14",IF(R627="Moist Open","12",IF(R627="Moist Shady","10",IF(R627="Sub-Alpine Slopes","0")))))))</f>
        <v>10</v>
      </c>
      <c r="U627" s="133" t="str">
        <f>IF(R627="Bogs Ponds Streams","52",IF(R627="Coastal Areas","51",IF(R627="Meadows Dry Open","53",IF(R627="Forest &amp; Understory","52",IF(R627="Moist Open","50",IF(R627="Moist Shady","46",IF(R627="Sub-Alpine Slopes","40")))))))</f>
        <v>46</v>
      </c>
      <c r="V627" s="133" t="str">
        <f>IF(R627="Bogs Ponds Streams","84",IF(R627="Coastal Areas","76",IF(R627="Meadows Dry Open","96", IF(R627="Forest &amp; Understory","90", IF(R627="Moist Open","88", IF(R627="Moist Shady","82", IF(R627="Sub-Alpine Slopes","80")))))))</f>
        <v>82</v>
      </c>
      <c r="W627" s="104">
        <v>20</v>
      </c>
      <c r="X627" s="104">
        <v>0</v>
      </c>
      <c r="Y627" s="104">
        <v>3500</v>
      </c>
      <c r="Z627" s="104" t="s">
        <v>2519</v>
      </c>
      <c r="AA627" s="104" t="s">
        <v>2518</v>
      </c>
      <c r="AB627" s="104">
        <v>6.8</v>
      </c>
      <c r="AC627" s="107">
        <f>C627+AK627+(0.1)*AL627</f>
        <v>16.2</v>
      </c>
      <c r="AD627" s="113">
        <v>246</v>
      </c>
      <c r="AE627" s="104">
        <v>5</v>
      </c>
      <c r="AF627" s="104">
        <v>5</v>
      </c>
      <c r="AG627" s="104">
        <v>1900</v>
      </c>
      <c r="AH627" s="113">
        <v>0</v>
      </c>
      <c r="AI627" s="104">
        <f>AJ627</f>
        <v>2018</v>
      </c>
      <c r="AJ627" s="108">
        <v>2018</v>
      </c>
      <c r="AK627" s="108">
        <v>12</v>
      </c>
      <c r="AL627" s="108">
        <v>22</v>
      </c>
      <c r="AM627" s="109">
        <v>5</v>
      </c>
      <c r="AN627" s="109">
        <v>5</v>
      </c>
      <c r="AO627" s="110">
        <v>0</v>
      </c>
      <c r="AP627" s="109">
        <v>5</v>
      </c>
      <c r="AQ627" s="109">
        <v>0</v>
      </c>
      <c r="AR627" s="109">
        <v>0</v>
      </c>
      <c r="AS627" s="110">
        <v>0</v>
      </c>
      <c r="AT627" s="109">
        <v>0</v>
      </c>
      <c r="AU627" s="109">
        <v>0</v>
      </c>
      <c r="AV627" s="109">
        <v>0</v>
      </c>
      <c r="AW627" s="110">
        <v>0</v>
      </c>
      <c r="AX627" s="109">
        <v>0</v>
      </c>
      <c r="AY627" s="233"/>
      <c r="AZ627" s="4"/>
      <c r="BA627" s="35" t="str">
        <f>IF(OR(S627="North America",S627="Rocky Mountain"), "Widespread",BC627)</f>
        <v>Widespread</v>
      </c>
      <c r="BB627" s="4"/>
      <c r="BC627" s="35" t="str">
        <f ca="1">IF(BE627&gt;2046, "Abundant",BE627)</f>
        <v>Abundant</v>
      </c>
      <c r="BD627" s="4"/>
      <c r="BE627" s="81">
        <f ca="1">YEAR($C$13)+(BG627*80)</f>
        <v>2077.3798055852644</v>
      </c>
      <c r="BF627" s="4"/>
      <c r="BG627" s="137">
        <f ca="1">BH627*$BH$14</f>
        <v>0.72974756981580502</v>
      </c>
      <c r="BH627" s="137">
        <f ca="1">(((BJ627+BK627+BM627+BN627)/4)*$BM$11)+(((BP627+BQ627)/2)*$BQ$11)+(((BU627+BV627+BW627)/3)*$BU$11)+(((BY627+BZ627+CA627+CB627+CC627)/5)*$CA$11)</f>
        <v>0.72974756981580502</v>
      </c>
      <c r="BI627" s="4"/>
      <c r="BJ627" s="33">
        <f>AP627/(AM627+AO627)</f>
        <v>1</v>
      </c>
      <c r="BK627" s="33">
        <f>(AN627+AO627)/(AM627+AO627)</f>
        <v>1</v>
      </c>
      <c r="BL627" s="4"/>
      <c r="BM627" s="127">
        <f>CF627/102</f>
        <v>0.1588235294117647</v>
      </c>
      <c r="BN627" s="127">
        <f>C627/2</f>
        <v>1</v>
      </c>
      <c r="BO627" s="4"/>
      <c r="BP627" s="127">
        <f>(AK627)/($AW$6)</f>
        <v>0.12121212121212122</v>
      </c>
      <c r="BQ627" s="127">
        <f ca="1">(CH627-$AW$4)/((YEAR($C$13))-$AW$4)</f>
        <v>0.93333333333333335</v>
      </c>
      <c r="BR627" s="127">
        <f>(AL627)/($AW$6)</f>
        <v>0.22222222222222221</v>
      </c>
      <c r="BS627" s="4"/>
      <c r="BT627" s="127"/>
      <c r="BU627" s="127">
        <f ca="1">(CG627-$AW$4)/((YEAR($C$13))-$AW$4)</f>
        <v>0.93333333333333335</v>
      </c>
      <c r="BV627" s="127">
        <f>AE627/5</f>
        <v>1</v>
      </c>
      <c r="BW627" s="127">
        <f>AF627/5</f>
        <v>1</v>
      </c>
      <c r="BX627" s="4"/>
      <c r="BY627" s="148" t="str">
        <f>IF(E627="A",".98",IF(E627="B",".99",IF(E627="C","1.00",IF(E627="D","1.00" ))))</f>
        <v>1.00</v>
      </c>
      <c r="BZ627" s="127">
        <f>(CE627+7)/10</f>
        <v>1</v>
      </c>
      <c r="CA627" s="76" t="str">
        <f>IF(D627="Fern",".97",IF(D627="Grass",".99",IF(D627="Herb",".97",IF(D627="Shrub",".99",IF(D627="Tree","1.00",IF(D627="Vine",".98"))))))</f>
        <v>.97</v>
      </c>
      <c r="CB627" s="149" t="str">
        <f>IF(R627="Bogs Ponds Streams",".96", IF(R627="Coastal Areas",".97",IF(R627="Meadows Dry Open",".96",IF(R627="Forest &amp; Understory",".97",IF(R627="Moist Open",".98",IF(R627="Moist Shady",".96",IF(R627="Sub-Alpine","1.0")))))))</f>
        <v>.96</v>
      </c>
      <c r="CC627" s="76" t="str">
        <f>IF(S627="Local Endemic",".50",IF(S627="Regional Endemic",".70",IF(S627="Cascadia",".90",IF(S627="Rocky Mountain",".95",IF(S627="North America",".99")))))</f>
        <v>.95</v>
      </c>
      <c r="CD627" s="4"/>
      <c r="CE627" s="21">
        <f>IF(W627&gt;3,3,W627)</f>
        <v>3</v>
      </c>
      <c r="CF627" s="21">
        <f>IF(AC627&gt;102,102,AC627)</f>
        <v>16.2</v>
      </c>
      <c r="CG627" s="34">
        <f>IF(AI627&lt;$AW$4,$AW$4,AI627)</f>
        <v>2018</v>
      </c>
      <c r="CH627" s="34">
        <f>IF(AJ627&lt;$AW$4,$AW$4,AJ627)</f>
        <v>2018</v>
      </c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12"/>
    </row>
    <row r="628" spans="1:116" ht="15" customHeight="1" x14ac:dyDescent="0.3">
      <c r="A628" s="235"/>
      <c r="B628" s="218"/>
      <c r="C628" s="375">
        <v>1</v>
      </c>
      <c r="D628" s="67" t="s">
        <v>2505</v>
      </c>
      <c r="E628" s="67" t="s">
        <v>2501</v>
      </c>
      <c r="F628" s="403">
        <f ca="1">IF(BC628&lt;2025, "Extinct&lt; 6Yrs?",BA628)</f>
        <v>2033.6225882352942</v>
      </c>
      <c r="G628" s="376" t="s">
        <v>525</v>
      </c>
      <c r="H628" s="376" t="s">
        <v>4028</v>
      </c>
      <c r="I628" s="380" t="s">
        <v>3110</v>
      </c>
      <c r="J628" s="378" t="s">
        <v>4085</v>
      </c>
      <c r="K628" s="378" t="s">
        <v>1087</v>
      </c>
      <c r="L628" s="63" t="s">
        <v>2227</v>
      </c>
      <c r="M628" s="64" t="s">
        <v>4701</v>
      </c>
      <c r="N628" s="64" t="s">
        <v>5599</v>
      </c>
      <c r="O628" s="64" t="s">
        <v>6498</v>
      </c>
      <c r="P628" s="61" t="s">
        <v>458</v>
      </c>
      <c r="Q628" s="67" t="s">
        <v>2552</v>
      </c>
      <c r="R628" s="163" t="s">
        <v>2497</v>
      </c>
      <c r="S628" s="65" t="s">
        <v>2459</v>
      </c>
      <c r="T628" s="134" t="str">
        <f>IF(R628="Bogs Ponds Streams","20",IF(R628="Coastal Areas","26",IF(R628="Meadows Dry Open","10",IF(R628="Forest &amp; Understory","14",IF(R628="Moist Open","12",IF(R628="Moist Shady","10",IF(R628="Sub-Alpine Slopes","0")))))))</f>
        <v>12</v>
      </c>
      <c r="U628" s="134" t="str">
        <f>IF(R628="Bogs Ponds Streams","52",IF(R628="Coastal Areas","51",IF(R628="Meadows Dry Open","53",IF(R628="Forest &amp; Understory","52",IF(R628="Moist Open","50",IF(R628="Moist Shady","46",IF(R628="Sub-Alpine Slopes","40")))))))</f>
        <v>50</v>
      </c>
      <c r="V628" s="134" t="str">
        <f>IF(R628="Bogs Ponds Streams","84",IF(R628="Coastal Areas","76",IF(R628="Meadows Dry Open","96", IF(R628="Forest &amp; Understory","90", IF(R628="Moist Open","88", IF(R628="Moist Shady","82", IF(R628="Sub-Alpine Slopes","80")))))))</f>
        <v>88</v>
      </c>
      <c r="W628" s="67">
        <v>20</v>
      </c>
      <c r="X628" s="67">
        <v>0</v>
      </c>
      <c r="Y628" s="67">
        <v>3500</v>
      </c>
      <c r="Z628" s="67" t="s">
        <v>2519</v>
      </c>
      <c r="AA628" s="67" t="s">
        <v>2518</v>
      </c>
      <c r="AB628" s="67">
        <v>6.8</v>
      </c>
      <c r="AC628" s="85">
        <f>C628+AK628+(0.1)*AL628</f>
        <v>12.5</v>
      </c>
      <c r="AD628" s="78">
        <v>23</v>
      </c>
      <c r="AE628" s="67">
        <v>5</v>
      </c>
      <c r="AF628" s="67">
        <v>5</v>
      </c>
      <c r="AG628" s="67">
        <v>1900</v>
      </c>
      <c r="AH628" s="78">
        <v>0</v>
      </c>
      <c r="AI628" s="67">
        <f>AJ628</f>
        <v>2004</v>
      </c>
      <c r="AJ628" s="69">
        <v>2004</v>
      </c>
      <c r="AK628" s="69">
        <v>11</v>
      </c>
      <c r="AL628" s="69">
        <v>5</v>
      </c>
      <c r="AM628" s="70">
        <v>5</v>
      </c>
      <c r="AN628" s="70">
        <v>0</v>
      </c>
      <c r="AO628" s="86">
        <v>0</v>
      </c>
      <c r="AP628" s="70">
        <v>0</v>
      </c>
      <c r="AQ628" s="70">
        <v>0</v>
      </c>
      <c r="AR628" s="70">
        <v>0</v>
      </c>
      <c r="AS628" s="86">
        <v>0</v>
      </c>
      <c r="AT628" s="70">
        <v>0</v>
      </c>
      <c r="AU628" s="70">
        <v>0</v>
      </c>
      <c r="AV628" s="70">
        <v>0</v>
      </c>
      <c r="AW628" s="86">
        <v>0</v>
      </c>
      <c r="AX628" s="70">
        <v>0</v>
      </c>
      <c r="AY628" s="233"/>
      <c r="AZ628" s="4"/>
      <c r="BA628" s="35">
        <f ca="1">IF(OR(S628="North America",S628="Rocky Mountain"), "Widespread",BC628)</f>
        <v>2033.6225882352942</v>
      </c>
      <c r="BB628" s="4"/>
      <c r="BC628" s="35">
        <f ca="1">IF(BE628&gt;2046, "Abundant",BE628)</f>
        <v>2033.6225882352942</v>
      </c>
      <c r="BD628" s="4"/>
      <c r="BE628" s="81">
        <f ca="1">YEAR($C$13)+(BG628*80)</f>
        <v>2033.6225882352942</v>
      </c>
      <c r="BF628" s="4"/>
      <c r="BG628" s="137">
        <f ca="1">BH628*$BH$14</f>
        <v>0.18278235294117648</v>
      </c>
      <c r="BH628" s="137">
        <f ca="1">(((BJ628+BK628+BM628+BN628)/4)*$BM$11)+(((BP628+BQ628)/2)*$BQ$11)+(((BU628+BV628+BW628)/3)*$BU$11)+(((BY628+BZ628+CA628+CB628+CC628)/5)*$CA$11)</f>
        <v>0.18278235294117648</v>
      </c>
      <c r="BI628" s="4"/>
      <c r="BJ628" s="33">
        <f>AP628/(AM628+AO628)</f>
        <v>0</v>
      </c>
      <c r="BK628" s="33">
        <f>(AN628+AO628)/(AM628+AO628)</f>
        <v>0</v>
      </c>
      <c r="BL628" s="4"/>
      <c r="BM628" s="127">
        <f>CF628/102</f>
        <v>0.12254901960784313</v>
      </c>
      <c r="BN628" s="127">
        <f>C628/2</f>
        <v>0.5</v>
      </c>
      <c r="BO628" s="4"/>
      <c r="BP628" s="127">
        <f>(AK628)/($AW$6)</f>
        <v>0.1111111111111111</v>
      </c>
      <c r="BQ628" s="127">
        <f ca="1">(CH628-$AW$4)/((YEAR($C$13))-$AW$4)</f>
        <v>0</v>
      </c>
      <c r="BR628" s="127">
        <f>(AL628)/($AW$6)</f>
        <v>5.0505050505050504E-2</v>
      </c>
      <c r="BS628" s="4"/>
      <c r="BT628" s="127"/>
      <c r="BU628" s="127">
        <f ca="1">(CG628-$AW$4)/((YEAR($C$13))-$AW$4)</f>
        <v>0</v>
      </c>
      <c r="BV628" s="127">
        <f>AE628/5</f>
        <v>1</v>
      </c>
      <c r="BW628" s="127">
        <f>AF628/5</f>
        <v>1</v>
      </c>
      <c r="BX628" s="4"/>
      <c r="BY628" s="148" t="str">
        <f>IF(E628="A",".98",IF(E628="B",".99",IF(E628="C","1.00",IF(E628="D","1.00" ))))</f>
        <v>1.00</v>
      </c>
      <c r="BZ628" s="127">
        <f>(CE628+7)/10</f>
        <v>1</v>
      </c>
      <c r="CA628" s="76" t="str">
        <f>IF(D628="Fern",".97",IF(D628="Grass",".99",IF(D628="Herb",".97",IF(D628="Shrub",".99",IF(D628="Tree","1.00",IF(D628="Vine",".98"))))))</f>
        <v>.97</v>
      </c>
      <c r="CB628" s="149" t="str">
        <f>IF(R628="Bogs Ponds Streams",".96", IF(R628="Coastal Areas",".97",IF(R628="Meadows Dry Open",".96",IF(R628="Forest &amp; Understory",".97",IF(R628="Moist Open",".98",IF(R628="Moist Shady",".96",IF(R628="Sub-Alpine","1.0")))))))</f>
        <v>.98</v>
      </c>
      <c r="CC628" s="76" t="str">
        <f>IF(S628="Local Endemic",".50",IF(S628="Regional Endemic",".70",IF(S628="Cascadia",".90",IF(S628="Rocky Mountain",".95",IF(S628="North America",".99")))))</f>
        <v>.90</v>
      </c>
      <c r="CD628" s="4"/>
      <c r="CE628" s="21">
        <f>IF(W628&gt;3,3,W628)</f>
        <v>3</v>
      </c>
      <c r="CF628" s="21">
        <f>IF(AC628&gt;102,102,AC628)</f>
        <v>12.5</v>
      </c>
      <c r="CG628" s="34">
        <f>IF(AI628&lt;$AW$4,$AW$4,AI628)</f>
        <v>2004</v>
      </c>
      <c r="CH628" s="34">
        <f>IF(AJ628&lt;$AW$4,$AW$4,AJ628)</f>
        <v>2004</v>
      </c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L628" s="13"/>
    </row>
    <row r="629" spans="1:116" s="13" customFormat="1" ht="15" customHeight="1" x14ac:dyDescent="0.3">
      <c r="A629" s="235"/>
      <c r="B629" s="218"/>
      <c r="C629" s="375">
        <v>1</v>
      </c>
      <c r="D629" s="67" t="s">
        <v>2505</v>
      </c>
      <c r="E629" s="67" t="s">
        <v>2501</v>
      </c>
      <c r="F629" s="403" t="str">
        <f ca="1">IF(BC629&lt;2025, "Extinct&lt; 6Yrs?",BA629)</f>
        <v>Widespread</v>
      </c>
      <c r="G629" s="376" t="s">
        <v>525</v>
      </c>
      <c r="H629" s="376" t="s">
        <v>4028</v>
      </c>
      <c r="I629" s="380" t="s">
        <v>2225</v>
      </c>
      <c r="J629" s="378" t="s">
        <v>3545</v>
      </c>
      <c r="K629" s="378" t="s">
        <v>1234</v>
      </c>
      <c r="L629" s="63" t="s">
        <v>2226</v>
      </c>
      <c r="M629" s="64" t="s">
        <v>4702</v>
      </c>
      <c r="N629" s="64" t="s">
        <v>5600</v>
      </c>
      <c r="O629" s="64" t="s">
        <v>6499</v>
      </c>
      <c r="P629" s="61" t="s">
        <v>458</v>
      </c>
      <c r="Q629" s="67" t="s">
        <v>2552</v>
      </c>
      <c r="R629" s="163" t="s">
        <v>2497</v>
      </c>
      <c r="S629" s="65" t="s">
        <v>2479</v>
      </c>
      <c r="T629" s="134" t="str">
        <f>IF(R629="Bogs Ponds Streams","20",IF(R629="Coastal Areas","26",IF(R629="Meadows Dry Open","10",IF(R629="Forest &amp; Understory","14",IF(R629="Moist Open","12",IF(R629="Moist Shady","10",IF(R629="Sub-Alpine Slopes","0")))))))</f>
        <v>12</v>
      </c>
      <c r="U629" s="134" t="str">
        <f>IF(R629="Bogs Ponds Streams","52",IF(R629="Coastal Areas","51",IF(R629="Meadows Dry Open","53",IF(R629="Forest &amp; Understory","52",IF(R629="Moist Open","50",IF(R629="Moist Shady","46",IF(R629="Sub-Alpine Slopes","40")))))))</f>
        <v>50</v>
      </c>
      <c r="V629" s="134" t="str">
        <f>IF(R629="Bogs Ponds Streams","84",IF(R629="Coastal Areas","76",IF(R629="Meadows Dry Open","96", IF(R629="Forest &amp; Understory","90", IF(R629="Moist Open","88", IF(R629="Moist Shady","82", IF(R629="Sub-Alpine Slopes","80")))))))</f>
        <v>88</v>
      </c>
      <c r="W629" s="67">
        <v>20</v>
      </c>
      <c r="X629" s="67">
        <v>0</v>
      </c>
      <c r="Y629" s="67">
        <v>3500</v>
      </c>
      <c r="Z629" s="67" t="s">
        <v>2519</v>
      </c>
      <c r="AA629" s="67" t="s">
        <v>2518</v>
      </c>
      <c r="AB629" s="67">
        <v>6.8</v>
      </c>
      <c r="AC629" s="85">
        <f>C629+AK629+(0.1)*AL629</f>
        <v>15.2</v>
      </c>
      <c r="AD629" s="78">
        <v>105</v>
      </c>
      <c r="AE629" s="67">
        <v>5</v>
      </c>
      <c r="AF629" s="67">
        <v>5</v>
      </c>
      <c r="AG629" s="67">
        <v>1900</v>
      </c>
      <c r="AH629" s="78">
        <v>0</v>
      </c>
      <c r="AI629" s="67">
        <f>AJ629</f>
        <v>2004</v>
      </c>
      <c r="AJ629" s="69">
        <v>2004</v>
      </c>
      <c r="AK629" s="69">
        <v>12</v>
      </c>
      <c r="AL629" s="69">
        <v>22</v>
      </c>
      <c r="AM629" s="70">
        <v>5</v>
      </c>
      <c r="AN629" s="70">
        <v>0</v>
      </c>
      <c r="AO629" s="86">
        <v>0</v>
      </c>
      <c r="AP629" s="70">
        <v>0</v>
      </c>
      <c r="AQ629" s="70">
        <v>0</v>
      </c>
      <c r="AR629" s="70">
        <v>0</v>
      </c>
      <c r="AS629" s="86">
        <v>0</v>
      </c>
      <c r="AT629" s="70">
        <v>0</v>
      </c>
      <c r="AU629" s="70">
        <v>0</v>
      </c>
      <c r="AV629" s="70">
        <v>0</v>
      </c>
      <c r="AW629" s="86">
        <v>0</v>
      </c>
      <c r="AX629" s="70">
        <v>0</v>
      </c>
      <c r="AY629" s="233"/>
      <c r="AZ629" s="4"/>
      <c r="BA629" s="35" t="str">
        <f>IF(OR(S629="North America",S629="Rocky Mountain"), "Widespread",BC629)</f>
        <v>Widespread</v>
      </c>
      <c r="BB629" s="4"/>
      <c r="BC629" s="35">
        <f ca="1">IF(BE629&gt;2046, "Abundant",BE629)</f>
        <v>2034.0774474153297</v>
      </c>
      <c r="BD629" s="4"/>
      <c r="BE629" s="81">
        <f ca="1">YEAR($C$13)+(BG629*80)</f>
        <v>2034.0774474153297</v>
      </c>
      <c r="BF629" s="4"/>
      <c r="BG629" s="137">
        <f ca="1">BH629*$BH$14</f>
        <v>0.18846809269162212</v>
      </c>
      <c r="BH629" s="137">
        <f ca="1">(((BJ629+BK629+BM629+BN629)/4)*$BM$11)+(((BP629+BQ629)/2)*$BQ$11)+(((BU629+BV629+BW629)/3)*$BU$11)+(((BY629+BZ629+CA629+CB629+CC629)/5)*$CA$11)</f>
        <v>0.18846809269162212</v>
      </c>
      <c r="BI629" s="4"/>
      <c r="BJ629" s="33">
        <f>AP629/(AM629+AO629)</f>
        <v>0</v>
      </c>
      <c r="BK629" s="33">
        <f>(AN629+AO629)/(AM629+AO629)</f>
        <v>0</v>
      </c>
      <c r="BL629" s="4"/>
      <c r="BM629" s="127">
        <f>CF629/102</f>
        <v>0.14901960784313725</v>
      </c>
      <c r="BN629" s="127">
        <f>C629/2</f>
        <v>0.5</v>
      </c>
      <c r="BO629" s="4"/>
      <c r="BP629" s="127">
        <f>(AK629)/($AW$6)</f>
        <v>0.12121212121212122</v>
      </c>
      <c r="BQ629" s="127">
        <f ca="1">(CH629-$AW$4)/((YEAR($C$13))-$AW$4)</f>
        <v>0</v>
      </c>
      <c r="BR629" s="127">
        <f>(AL629)/($AW$6)</f>
        <v>0.22222222222222221</v>
      </c>
      <c r="BS629" s="4"/>
      <c r="BT629" s="127"/>
      <c r="BU629" s="127">
        <f ca="1">(CG629-$AW$4)/((YEAR($C$13))-$AW$4)</f>
        <v>0</v>
      </c>
      <c r="BV629" s="127">
        <f>AE629/5</f>
        <v>1</v>
      </c>
      <c r="BW629" s="127">
        <f>AF629/5</f>
        <v>1</v>
      </c>
      <c r="BX629" s="4"/>
      <c r="BY629" s="148" t="str">
        <f>IF(E629="A",".98",IF(E629="B",".99",IF(E629="C","1.00",IF(E629="D","1.00" ))))</f>
        <v>1.00</v>
      </c>
      <c r="BZ629" s="127">
        <f>(CE629+7)/10</f>
        <v>1</v>
      </c>
      <c r="CA629" s="76" t="str">
        <f>IF(D629="Fern",".97",IF(D629="Grass",".99",IF(D629="Herb",".97",IF(D629="Shrub",".99",IF(D629="Tree","1.00",IF(D629="Vine",".98"))))))</f>
        <v>.97</v>
      </c>
      <c r="CB629" s="149" t="str">
        <f>IF(R629="Bogs Ponds Streams",".96", IF(R629="Coastal Areas",".97",IF(R629="Meadows Dry Open",".96",IF(R629="Forest &amp; Understory",".97",IF(R629="Moist Open",".98",IF(R629="Moist Shady",".96",IF(R629="Sub-Alpine","1.0")))))))</f>
        <v>.98</v>
      </c>
      <c r="CC629" s="76" t="str">
        <f>IF(S629="Local Endemic",".50",IF(S629="Regional Endemic",".70",IF(S629="Cascadia",".90",IF(S629="Rocky Mountain",".95",IF(S629="North America",".99")))))</f>
        <v>.95</v>
      </c>
      <c r="CD629" s="4"/>
      <c r="CE629" s="21">
        <f>IF(W629&gt;3,3,W629)</f>
        <v>3</v>
      </c>
      <c r="CF629" s="21">
        <f>IF(AC629&gt;102,102,AC629)</f>
        <v>15.2</v>
      </c>
      <c r="CG629" s="34">
        <f>IF(AI629&lt;$AW$4,$AW$4,AI629)</f>
        <v>2004</v>
      </c>
      <c r="CH629" s="34">
        <f>IF(AJ629&lt;$AW$4,$AW$4,AJ629)</f>
        <v>2004</v>
      </c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12"/>
    </row>
    <row r="630" spans="1:116" s="13" customFormat="1" ht="15" customHeight="1" x14ac:dyDescent="0.3">
      <c r="A630" s="235"/>
      <c r="B630" s="218"/>
      <c r="C630" s="225">
        <v>8</v>
      </c>
      <c r="D630" s="59" t="s">
        <v>2505</v>
      </c>
      <c r="E630" s="59" t="s">
        <v>2501</v>
      </c>
      <c r="F630" s="397" t="str">
        <f ca="1">IF(BC630&lt;2025, "Extinct&lt; 6Yrs?",BA630)</f>
        <v>Abundant</v>
      </c>
      <c r="G630" s="363" t="s">
        <v>525</v>
      </c>
      <c r="H630" s="363" t="s">
        <v>689</v>
      </c>
      <c r="I630" s="366" t="s">
        <v>386</v>
      </c>
      <c r="J630" s="365" t="s">
        <v>4015</v>
      </c>
      <c r="K630" s="365" t="s">
        <v>1226</v>
      </c>
      <c r="L630" s="10" t="s">
        <v>1631</v>
      </c>
      <c r="M630" s="8" t="s">
        <v>4703</v>
      </c>
      <c r="N630" s="8" t="s">
        <v>5601</v>
      </c>
      <c r="O630" s="8" t="s">
        <v>6500</v>
      </c>
      <c r="P630" s="9" t="s">
        <v>387</v>
      </c>
      <c r="Q630" s="59" t="s">
        <v>2552</v>
      </c>
      <c r="R630" s="58" t="s">
        <v>2500</v>
      </c>
      <c r="S630" s="9" t="s">
        <v>2459</v>
      </c>
      <c r="T630" s="123" t="str">
        <f>IF(R630="Bogs Ponds Streams","20",IF(R630="Coastal Areas","26",IF(R630="Meadows Dry Open","10",IF(R630="Forest &amp; Understory","14",IF(R630="Moist Open","12",IF(R630="Moist Shady","10",IF(R630="Sub-Alpine Slopes","0")))))))</f>
        <v>10</v>
      </c>
      <c r="U630" s="123" t="str">
        <f>IF(R630="Bogs Ponds Streams","52",IF(R630="Coastal Areas","51",IF(R630="Meadows Dry Open","53",IF(R630="Forest &amp; Understory","52",IF(R630="Moist Open","50",IF(R630="Moist Shady","46",IF(R630="Sub-Alpine Slopes","40")))))))</f>
        <v>53</v>
      </c>
      <c r="V630" s="123" t="str">
        <f>IF(R630="Bogs Ponds Streams","84",IF(R630="Coastal Areas","76",IF(R630="Meadows Dry Open","96", IF(R630="Forest &amp; Understory","90", IF(R630="Moist Open","88", IF(R630="Moist Shady","82", IF(R630="Sub-Alpine Slopes","80")))))))</f>
        <v>96</v>
      </c>
      <c r="W630" s="59">
        <v>20</v>
      </c>
      <c r="X630" s="59">
        <v>0</v>
      </c>
      <c r="Y630" s="59">
        <v>3500</v>
      </c>
      <c r="Z630" s="59" t="s">
        <v>2519</v>
      </c>
      <c r="AA630" s="59" t="s">
        <v>2518</v>
      </c>
      <c r="AB630" s="59">
        <v>6.8</v>
      </c>
      <c r="AC630" s="45">
        <f>C630+AK630+(0.1)*AL630</f>
        <v>18</v>
      </c>
      <c r="AD630" s="77">
        <v>124</v>
      </c>
      <c r="AE630" s="59">
        <v>5</v>
      </c>
      <c r="AF630" s="59">
        <v>5</v>
      </c>
      <c r="AG630" s="59">
        <v>1900</v>
      </c>
      <c r="AH630" s="77">
        <v>0</v>
      </c>
      <c r="AI630" s="59">
        <f ca="1">AJ630</f>
        <v>2019</v>
      </c>
      <c r="AJ630" s="18">
        <f ca="1">YEAR(TODAY())</f>
        <v>2019</v>
      </c>
      <c r="AK630" s="18">
        <v>10</v>
      </c>
      <c r="AL630" s="18">
        <v>0</v>
      </c>
      <c r="AM630" s="18">
        <v>1</v>
      </c>
      <c r="AN630" s="18">
        <v>1</v>
      </c>
      <c r="AO630" s="18">
        <v>5</v>
      </c>
      <c r="AP630" s="18">
        <v>1</v>
      </c>
      <c r="AQ630" s="18">
        <v>0</v>
      </c>
      <c r="AR630" s="18">
        <v>0</v>
      </c>
      <c r="AS630" s="18">
        <v>0</v>
      </c>
      <c r="AT630" s="18">
        <v>0</v>
      </c>
      <c r="AU630" s="18">
        <v>0</v>
      </c>
      <c r="AV630" s="18">
        <v>0</v>
      </c>
      <c r="AW630" s="18">
        <v>0</v>
      </c>
      <c r="AX630" s="18">
        <v>0</v>
      </c>
      <c r="AY630" s="233"/>
      <c r="AZ630" s="4"/>
      <c r="BA630" s="35" t="str">
        <f ca="1">IF(OR(S630="North America",S630="Rocky Mountain"), "Widespread",BC630)</f>
        <v>Abundant</v>
      </c>
      <c r="BB630" s="4"/>
      <c r="BC630" s="35" t="str">
        <f ca="1">IF(BE630&gt;2046, "Abundant",BE630)</f>
        <v>Abundant</v>
      </c>
      <c r="BD630" s="4"/>
      <c r="BE630" s="81">
        <f ca="1">YEAR($C$13)+(BG630*80)</f>
        <v>2104.2753682709449</v>
      </c>
      <c r="BF630" s="4"/>
      <c r="BG630" s="137">
        <f ca="1">BH630*$BH$14</f>
        <v>1.0659421033868093</v>
      </c>
      <c r="BH630" s="137">
        <f ca="1">(((BJ630+BK630+BM630+BN630)/4)*$BM$11)+(((BP630+BQ630)/2)*$BQ$11)+(((BU630+BV630+BW630)/3)*$BU$11)+(((BY630+BZ630+CA630+CB630+CC630)/5)*$CA$11)</f>
        <v>1.0659421033868093</v>
      </c>
      <c r="BI630" s="4"/>
      <c r="BJ630" s="33">
        <f>AP630/(AM630+AO630)</f>
        <v>0.16666666666666666</v>
      </c>
      <c r="BK630" s="33">
        <f>(AN630+AO630)/(AM630+AO630)</f>
        <v>1</v>
      </c>
      <c r="BL630" s="4"/>
      <c r="BM630" s="127">
        <f>CF630/102</f>
        <v>0.17647058823529413</v>
      </c>
      <c r="BN630" s="127">
        <f>C630/2</f>
        <v>4</v>
      </c>
      <c r="BO630" s="4"/>
      <c r="BP630" s="127">
        <f>(AK630)/($AW$6)</f>
        <v>0.10101010101010101</v>
      </c>
      <c r="BQ630" s="127">
        <f ca="1">(CH630-$AW$4)/((YEAR($C$13))-$AW$4)</f>
        <v>1</v>
      </c>
      <c r="BR630" s="127">
        <f>(AL630)/($AW$6)</f>
        <v>0</v>
      </c>
      <c r="BS630" s="4"/>
      <c r="BT630" s="127"/>
      <c r="BU630" s="127">
        <f ca="1">(CG630-$AW$4)/((YEAR($C$13))-$AW$4)</f>
        <v>1</v>
      </c>
      <c r="BV630" s="127">
        <f>AE630/5</f>
        <v>1</v>
      </c>
      <c r="BW630" s="127">
        <f>AF630/5</f>
        <v>1</v>
      </c>
      <c r="BX630" s="4"/>
      <c r="BY630" s="148" t="str">
        <f>IF(E630="A",".98",IF(E630="B",".99",IF(E630="C","1.00",IF(E630="D","1.00" ))))</f>
        <v>1.00</v>
      </c>
      <c r="BZ630" s="127">
        <f>(CE630+7)/10</f>
        <v>1</v>
      </c>
      <c r="CA630" s="76" t="str">
        <f>IF(D630="Fern",".97",IF(D630="Grass",".99",IF(D630="Herb",".97",IF(D630="Shrub",".99",IF(D630="Tree","1.00",IF(D630="Vine",".98"))))))</f>
        <v>.97</v>
      </c>
      <c r="CB630" s="149" t="str">
        <f>IF(R630="Bogs Ponds Streams",".96", IF(R630="Coastal Areas",".97",IF(R630="Meadows Dry Open",".96",IF(R630="Forest &amp; Understory",".97",IF(R630="Moist Open",".98",IF(R630="Moist Shady",".96",IF(R630="Sub-Alpine","1.0")))))))</f>
        <v>.96</v>
      </c>
      <c r="CC630" s="76" t="str">
        <f>IF(S630="Local Endemic",".50",IF(S630="Regional Endemic",".70",IF(S630="Cascadia",".90",IF(S630="Rocky Mountain",".95",IF(S630="North America",".99")))))</f>
        <v>.90</v>
      </c>
      <c r="CD630" s="4"/>
      <c r="CE630" s="21">
        <f>IF(W630&gt;3,3,W630)</f>
        <v>3</v>
      </c>
      <c r="CF630" s="21">
        <f>IF(AC630&gt;102,102,AC630)</f>
        <v>18</v>
      </c>
      <c r="CG630" s="34">
        <f ca="1">IF(AI630&lt;$AW$4,$AW$4,AI630)</f>
        <v>2019</v>
      </c>
      <c r="CH630" s="34">
        <f ca="1">IF(AJ630&lt;$AW$4,$AW$4,AJ630)</f>
        <v>2019</v>
      </c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L630" s="12"/>
    </row>
    <row r="631" spans="1:116" s="13" customFormat="1" ht="15" customHeight="1" x14ac:dyDescent="0.3">
      <c r="A631" s="235"/>
      <c r="B631" s="218"/>
      <c r="C631" s="375">
        <v>1</v>
      </c>
      <c r="D631" s="67" t="s">
        <v>2505</v>
      </c>
      <c r="E631" s="67" t="s">
        <v>2501</v>
      </c>
      <c r="F631" s="403">
        <f ca="1">IF(BC631&lt;2025, "Extinct&lt; 6Yrs?",BA631)</f>
        <v>2032.1274096256684</v>
      </c>
      <c r="G631" s="376" t="s">
        <v>525</v>
      </c>
      <c r="H631" s="376" t="s">
        <v>4028</v>
      </c>
      <c r="I631" s="379" t="s">
        <v>202</v>
      </c>
      <c r="J631" s="378" t="s">
        <v>3544</v>
      </c>
      <c r="K631" s="378" t="s">
        <v>201</v>
      </c>
      <c r="L631" s="63" t="s">
        <v>1632</v>
      </c>
      <c r="M631" s="64" t="s">
        <v>4704</v>
      </c>
      <c r="N631" s="64" t="s">
        <v>5602</v>
      </c>
      <c r="O631" s="64" t="s">
        <v>6501</v>
      </c>
      <c r="P631" s="61" t="s">
        <v>198</v>
      </c>
      <c r="Q631" s="67" t="s">
        <v>2552</v>
      </c>
      <c r="R631" s="61" t="s">
        <v>2530</v>
      </c>
      <c r="S631" s="61" t="s">
        <v>2459</v>
      </c>
      <c r="T631" s="134" t="str">
        <f>IF(R631="Bogs Ponds Streams","20",IF(R631="Coastal Areas","26",IF(R631="Meadows Dry Open","10",IF(R631="Forest &amp; Understory","14",IF(R631="Moist Open","12",IF(R631="Moist Shady","10",IF(R631="Sub-Alpine Slopes","0")))))))</f>
        <v>14</v>
      </c>
      <c r="U631" s="134" t="str">
        <f>IF(R631="Bogs Ponds Streams","52",IF(R631="Coastal Areas","51",IF(R631="Meadows Dry Open","53",IF(R631="Forest &amp; Understory","52",IF(R631="Moist Open","50",IF(R631="Moist Shady","46",IF(R631="Sub-Alpine Slopes","40")))))))</f>
        <v>52</v>
      </c>
      <c r="V631" s="134" t="str">
        <f>IF(R631="Bogs Ponds Streams","84",IF(R631="Coastal Areas","76",IF(R631="Meadows Dry Open","96", IF(R631="Forest &amp; Understory","90", IF(R631="Moist Open","88", IF(R631="Moist Shady","82", IF(R631="Sub-Alpine Slopes","80")))))))</f>
        <v>90</v>
      </c>
      <c r="W631" s="67">
        <v>20</v>
      </c>
      <c r="X631" s="67">
        <v>0</v>
      </c>
      <c r="Y631" s="67">
        <v>3500</v>
      </c>
      <c r="Z631" s="67" t="s">
        <v>2519</v>
      </c>
      <c r="AA631" s="67" t="s">
        <v>2518</v>
      </c>
      <c r="AB631" s="67">
        <v>6.8</v>
      </c>
      <c r="AC631" s="85">
        <f>C631+AK631+(0.1)*AL631</f>
        <v>6</v>
      </c>
      <c r="AD631" s="78">
        <v>9</v>
      </c>
      <c r="AE631" s="67">
        <v>5</v>
      </c>
      <c r="AF631" s="67">
        <v>5</v>
      </c>
      <c r="AG631" s="67">
        <v>1900</v>
      </c>
      <c r="AH631" s="78">
        <v>0</v>
      </c>
      <c r="AI631" s="67">
        <f>AJ631</f>
        <v>2004</v>
      </c>
      <c r="AJ631" s="69">
        <v>2004</v>
      </c>
      <c r="AK631" s="69">
        <v>5</v>
      </c>
      <c r="AL631" s="69">
        <v>0</v>
      </c>
      <c r="AM631" s="70">
        <v>5</v>
      </c>
      <c r="AN631" s="70">
        <v>0</v>
      </c>
      <c r="AO631" s="86">
        <v>0</v>
      </c>
      <c r="AP631" s="70">
        <v>0</v>
      </c>
      <c r="AQ631" s="70">
        <v>0</v>
      </c>
      <c r="AR631" s="70">
        <v>0</v>
      </c>
      <c r="AS631" s="86">
        <v>0</v>
      </c>
      <c r="AT631" s="70">
        <v>0</v>
      </c>
      <c r="AU631" s="70">
        <v>0</v>
      </c>
      <c r="AV631" s="70">
        <v>0</v>
      </c>
      <c r="AW631" s="86">
        <v>0</v>
      </c>
      <c r="AX631" s="70">
        <v>0</v>
      </c>
      <c r="AY631" s="233"/>
      <c r="AZ631" s="4"/>
      <c r="BA631" s="35">
        <f ca="1">IF(OR(S631="North America",S631="Rocky Mountain"), "Widespread",BC631)</f>
        <v>2032.1274096256684</v>
      </c>
      <c r="BB631" s="4"/>
      <c r="BC631" s="35">
        <f ca="1">IF(BE631&gt;2046, "Abundant",BE631)</f>
        <v>2032.1274096256684</v>
      </c>
      <c r="BD631" s="4"/>
      <c r="BE631" s="81">
        <f ca="1">YEAR($C$13)+(BG631*80)</f>
        <v>2032.1274096256684</v>
      </c>
      <c r="BF631" s="4"/>
      <c r="BG631" s="137">
        <f ca="1">BH631*$BH$14</f>
        <v>0.16409262032085559</v>
      </c>
      <c r="BH631" s="137">
        <f ca="1">(((BJ631+BK631+BM631+BN631)/4)*$BM$11)+(((BP631+BQ631)/2)*$BQ$11)+(((BU631+BV631+BW631)/3)*$BU$11)+(((BY631+BZ631+CA631+CB631+CC631)/5)*$CA$11)</f>
        <v>0.16409262032085559</v>
      </c>
      <c r="BI631" s="4"/>
      <c r="BJ631" s="33">
        <f>AP631/(AM631+AO631)</f>
        <v>0</v>
      </c>
      <c r="BK631" s="33">
        <f>(AN631+AO631)/(AM631+AO631)</f>
        <v>0</v>
      </c>
      <c r="BL631" s="4"/>
      <c r="BM631" s="127">
        <f>CF631/102</f>
        <v>5.8823529411764705E-2</v>
      </c>
      <c r="BN631" s="127">
        <f>C631/2</f>
        <v>0.5</v>
      </c>
      <c r="BO631" s="4"/>
      <c r="BP631" s="127">
        <f>(AK631)/($AW$6)</f>
        <v>5.0505050505050504E-2</v>
      </c>
      <c r="BQ631" s="127">
        <f ca="1">(CH631-$AW$4)/((YEAR($C$13))-$AW$4)</f>
        <v>0</v>
      </c>
      <c r="BR631" s="127">
        <f>(AL631)/($AW$6)</f>
        <v>0</v>
      </c>
      <c r="BS631" s="4"/>
      <c r="BT631" s="127"/>
      <c r="BU631" s="127">
        <f ca="1">(CG631-$AW$4)/((YEAR($C$13))-$AW$4)</f>
        <v>0</v>
      </c>
      <c r="BV631" s="127">
        <f>AE631/5</f>
        <v>1</v>
      </c>
      <c r="BW631" s="127">
        <f>AF631/5</f>
        <v>1</v>
      </c>
      <c r="BX631" s="4"/>
      <c r="BY631" s="148" t="str">
        <f>IF(E631="A",".98",IF(E631="B",".99",IF(E631="C","1.00",IF(E631="D","1.00" ))))</f>
        <v>1.00</v>
      </c>
      <c r="BZ631" s="127">
        <f>(CE631+7)/10</f>
        <v>1</v>
      </c>
      <c r="CA631" s="76" t="str">
        <f>IF(D631="Fern",".97",IF(D631="Grass",".99",IF(D631="Herb",".97",IF(D631="Shrub",".99",IF(D631="Tree","1.00",IF(D631="Vine",".98"))))))</f>
        <v>.97</v>
      </c>
      <c r="CB631" s="149" t="str">
        <f>IF(R631="Bogs Ponds Streams",".96", IF(R631="Coastal Areas",".97",IF(R631="Meadows Dry Open",".96",IF(R631="Forest &amp; Understory",".97",IF(R631="Moist Open",".98",IF(R631="Moist Shady",".96",IF(R631="Sub-Alpine","1.0")))))))</f>
        <v>.97</v>
      </c>
      <c r="CC631" s="76" t="str">
        <f>IF(S631="Local Endemic",".50",IF(S631="Regional Endemic",".70",IF(S631="Cascadia",".90",IF(S631="Rocky Mountain",".95",IF(S631="North America",".99")))))</f>
        <v>.90</v>
      </c>
      <c r="CD631" s="4"/>
      <c r="CE631" s="21">
        <f>IF(W631&gt;3,3,W631)</f>
        <v>3</v>
      </c>
      <c r="CF631" s="21">
        <f>IF(AC631&gt;102,102,AC631)</f>
        <v>6</v>
      </c>
      <c r="CG631" s="34">
        <f>IF(AI631&lt;$AW$4,$AW$4,AI631)</f>
        <v>2004</v>
      </c>
      <c r="CH631" s="34">
        <f>IF(AJ631&lt;$AW$4,$AW$4,AJ631)</f>
        <v>2004</v>
      </c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12"/>
    </row>
    <row r="632" spans="1:116" ht="15" customHeight="1" x14ac:dyDescent="0.3">
      <c r="A632" s="235"/>
      <c r="B632" s="218"/>
      <c r="C632" s="225">
        <v>8</v>
      </c>
      <c r="D632" s="94" t="s">
        <v>1155</v>
      </c>
      <c r="E632" s="59" t="s">
        <v>2501</v>
      </c>
      <c r="F632" s="397" t="str">
        <f ca="1">IF(BC632&lt;2025, "Extinct&lt; 6Yrs?",BA632)</f>
        <v>Abundant</v>
      </c>
      <c r="G632" s="363" t="s">
        <v>525</v>
      </c>
      <c r="H632" s="363" t="s">
        <v>681</v>
      </c>
      <c r="I632" s="366" t="s">
        <v>470</v>
      </c>
      <c r="J632" s="9" t="s">
        <v>4014</v>
      </c>
      <c r="K632" s="365" t="s">
        <v>136</v>
      </c>
      <c r="L632" s="10" t="s">
        <v>1633</v>
      </c>
      <c r="M632" s="8" t="s">
        <v>4705</v>
      </c>
      <c r="N632" s="8" t="s">
        <v>5603</v>
      </c>
      <c r="O632" s="8" t="s">
        <v>6502</v>
      </c>
      <c r="P632" s="9" t="s">
        <v>468</v>
      </c>
      <c r="Q632" s="59" t="s">
        <v>2552</v>
      </c>
      <c r="R632" s="9" t="s">
        <v>2499</v>
      </c>
      <c r="S632" s="9" t="s">
        <v>2459</v>
      </c>
      <c r="T632" s="123" t="str">
        <f>IF(R632="Bogs Ponds Streams","20",IF(R632="Coastal Areas","26",IF(R632="Meadows Dry Open","10",IF(R632="Forest &amp; Understory","14",IF(R632="Moist Open","12",IF(R632="Moist Shady","10",IF(R632="Sub-Alpine Slopes","0")))))))</f>
        <v>20</v>
      </c>
      <c r="U632" s="123" t="str">
        <f>IF(R632="Bogs Ponds Streams","52",IF(R632="Coastal Areas","51",IF(R632="Meadows Dry Open","53",IF(R632="Forest &amp; Understory","52",IF(R632="Moist Open","50",IF(R632="Moist Shady","46",IF(R632="Sub-Alpine Slopes","40")))))))</f>
        <v>52</v>
      </c>
      <c r="V632" s="123" t="str">
        <f>IF(R632="Bogs Ponds Streams","84",IF(R632="Coastal Areas","76",IF(R632="Meadows Dry Open","96", IF(R632="Forest &amp; Understory","90", IF(R632="Moist Open","88", IF(R632="Moist Shady","82", IF(R632="Sub-Alpine Slopes","80")))))))</f>
        <v>84</v>
      </c>
      <c r="W632" s="59">
        <v>20</v>
      </c>
      <c r="X632" s="59">
        <v>0</v>
      </c>
      <c r="Y632" s="59">
        <v>3500</v>
      </c>
      <c r="Z632" s="59" t="s">
        <v>2519</v>
      </c>
      <c r="AA632" s="59" t="s">
        <v>2518</v>
      </c>
      <c r="AB632" s="59">
        <v>6.8</v>
      </c>
      <c r="AC632" s="45">
        <f>C632+AK632+(0.1)*AL632</f>
        <v>18</v>
      </c>
      <c r="AD632" s="77">
        <v>24</v>
      </c>
      <c r="AE632" s="59">
        <v>5</v>
      </c>
      <c r="AF632" s="59">
        <v>5</v>
      </c>
      <c r="AG632" s="59">
        <v>1900</v>
      </c>
      <c r="AH632" s="77">
        <v>0</v>
      </c>
      <c r="AI632" s="59">
        <f ca="1">AJ632</f>
        <v>2019</v>
      </c>
      <c r="AJ632" s="18">
        <f ca="1">YEAR(TODAY())</f>
        <v>2019</v>
      </c>
      <c r="AK632" s="18">
        <v>10</v>
      </c>
      <c r="AL632" s="18">
        <v>0</v>
      </c>
      <c r="AM632" s="18">
        <v>1</v>
      </c>
      <c r="AN632" s="18">
        <v>1</v>
      </c>
      <c r="AO632" s="18">
        <v>5</v>
      </c>
      <c r="AP632" s="18">
        <v>1</v>
      </c>
      <c r="AQ632" s="18">
        <v>0</v>
      </c>
      <c r="AR632" s="18">
        <v>0</v>
      </c>
      <c r="AS632" s="18">
        <v>0</v>
      </c>
      <c r="AT632" s="18">
        <v>0</v>
      </c>
      <c r="AU632" s="18">
        <v>0</v>
      </c>
      <c r="AV632" s="18">
        <v>0</v>
      </c>
      <c r="AW632" s="18">
        <v>0</v>
      </c>
      <c r="AX632" s="18">
        <v>0</v>
      </c>
      <c r="AY632" s="233"/>
      <c r="AZ632" s="4"/>
      <c r="BA632" s="35" t="str">
        <f ca="1">IF(OR(S632="North America",S632="Rocky Mountain"), "Widespread",BC632)</f>
        <v>Abundant</v>
      </c>
      <c r="BB632" s="4"/>
      <c r="BC632" s="35" t="str">
        <f ca="1">IF(BE632&gt;2046, "Abundant",BE632)</f>
        <v>Abundant</v>
      </c>
      <c r="BD632" s="4"/>
      <c r="BE632" s="81">
        <f ca="1">YEAR($C$13)+(BG632*80)</f>
        <v>2104.2817682709447</v>
      </c>
      <c r="BF632" s="4"/>
      <c r="BG632" s="137">
        <f ca="1">BH632*$BH$14</f>
        <v>1.0660221033868094</v>
      </c>
      <c r="BH632" s="137">
        <f ca="1">(((BJ632+BK632+BM632+BN632)/4)*$BM$11)+(((BP632+BQ632)/2)*$BQ$11)+(((BU632+BV632+BW632)/3)*$BU$11)+(((BY632+BZ632+CA632+CB632+CC632)/5)*$CA$11)</f>
        <v>1.0660221033868094</v>
      </c>
      <c r="BI632" s="4"/>
      <c r="BJ632" s="33">
        <f>AP632/(AM632+AO632)</f>
        <v>0.16666666666666666</v>
      </c>
      <c r="BK632" s="33">
        <f>(AN632+AO632)/(AM632+AO632)</f>
        <v>1</v>
      </c>
      <c r="BL632" s="4"/>
      <c r="BM632" s="127">
        <f>CF632/102</f>
        <v>0.17647058823529413</v>
      </c>
      <c r="BN632" s="127">
        <f>C632/2</f>
        <v>4</v>
      </c>
      <c r="BO632" s="4"/>
      <c r="BP632" s="127">
        <f>(AK632)/($AW$6)</f>
        <v>0.10101010101010101</v>
      </c>
      <c r="BQ632" s="127">
        <f ca="1">(CH632-$AW$4)/((YEAR($C$13))-$AW$4)</f>
        <v>1</v>
      </c>
      <c r="BR632" s="127">
        <f>(AL632)/($AW$6)</f>
        <v>0</v>
      </c>
      <c r="BS632" s="4"/>
      <c r="BT632" s="127"/>
      <c r="BU632" s="127">
        <f ca="1">(CG632-$AW$4)/((YEAR($C$13))-$AW$4)</f>
        <v>1</v>
      </c>
      <c r="BV632" s="127">
        <f>AE632/5</f>
        <v>1</v>
      </c>
      <c r="BW632" s="127">
        <f>AF632/5</f>
        <v>1</v>
      </c>
      <c r="BX632" s="4"/>
      <c r="BY632" s="148" t="str">
        <f>IF(E632="A",".98",IF(E632="B",".99",IF(E632="C","1.00",IF(E632="D","1.00" ))))</f>
        <v>1.00</v>
      </c>
      <c r="BZ632" s="127">
        <f>(CE632+7)/10</f>
        <v>1</v>
      </c>
      <c r="CA632" s="76" t="str">
        <f>IF(D632="Fern",".97",IF(D632="Grass",".99",IF(D632="Herb",".97",IF(D632="Shrub",".99",IF(D632="Tree","1.00",IF(D632="Vine",".98"))))))</f>
        <v>.99</v>
      </c>
      <c r="CB632" s="149" t="str">
        <f>IF(R632="Bogs Ponds Streams",".96", IF(R632="Coastal Areas",".97",IF(R632="Meadows Dry Open",".96",IF(R632="Forest &amp; Understory",".97",IF(R632="Moist Open",".98",IF(R632="Moist Shady",".96",IF(R632="Sub-Alpine","1.0")))))))</f>
        <v>.96</v>
      </c>
      <c r="CC632" s="76" t="str">
        <f>IF(S632="Local Endemic",".50",IF(S632="Regional Endemic",".70",IF(S632="Cascadia",".90",IF(S632="Rocky Mountain",".95",IF(S632="North America",".99")))))</f>
        <v>.90</v>
      </c>
      <c r="CD632" s="4"/>
      <c r="CE632" s="21">
        <f>IF(W632&gt;3,3,W632)</f>
        <v>3</v>
      </c>
      <c r="CF632" s="21">
        <f>IF(AC632&gt;102,102,AC632)</f>
        <v>18</v>
      </c>
      <c r="CG632" s="34">
        <f ca="1">IF(AI632&lt;$AW$4,$AW$4,AI632)</f>
        <v>2019</v>
      </c>
      <c r="CH632" s="34">
        <f ca="1">IF(AJ632&lt;$AW$4,$AW$4,AJ632)</f>
        <v>2019</v>
      </c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13"/>
      <c r="DL632" s="13"/>
    </row>
    <row r="633" spans="1:116" ht="15" customHeight="1" x14ac:dyDescent="0.3">
      <c r="A633" s="235"/>
      <c r="B633" s="218"/>
      <c r="C633" s="375">
        <v>1</v>
      </c>
      <c r="D633" s="95" t="s">
        <v>1155</v>
      </c>
      <c r="E633" s="67" t="s">
        <v>2501</v>
      </c>
      <c r="F633" s="403">
        <f ca="1">IF(BC633&lt;2025, "Extinct&lt; 6Yrs?",BA633)</f>
        <v>2032.6115279857397</v>
      </c>
      <c r="G633" s="376" t="s">
        <v>525</v>
      </c>
      <c r="H633" s="376" t="s">
        <v>4028</v>
      </c>
      <c r="I633" s="380" t="s">
        <v>471</v>
      </c>
      <c r="J633" s="378" t="s">
        <v>3543</v>
      </c>
      <c r="K633" s="378" t="s">
        <v>1091</v>
      </c>
      <c r="L633" s="63" t="s">
        <v>1634</v>
      </c>
      <c r="M633" s="64" t="s">
        <v>4706</v>
      </c>
      <c r="N633" s="64" t="s">
        <v>5604</v>
      </c>
      <c r="O633" s="64" t="s">
        <v>6503</v>
      </c>
      <c r="P633" s="61" t="s">
        <v>468</v>
      </c>
      <c r="Q633" s="67" t="s">
        <v>2552</v>
      </c>
      <c r="R633" s="61" t="s">
        <v>2453</v>
      </c>
      <c r="S633" s="61" t="s">
        <v>2459</v>
      </c>
      <c r="T633" s="134" t="str">
        <f>IF(R633="Bogs Ponds Streams","20",IF(R633="Coastal Areas","26",IF(R633="Meadows Dry Open","10",IF(R633="Forest &amp; Understory","14",IF(R633="Moist Open","12",IF(R633="Moist Shady","10",IF(R633="Sub-Alpine Slopes","0")))))))</f>
        <v>26</v>
      </c>
      <c r="U633" s="134" t="str">
        <f>IF(R633="Bogs Ponds Streams","52",IF(R633="Coastal Areas","51",IF(R633="Meadows Dry Open","53",IF(R633="Forest &amp; Understory","52",IF(R633="Moist Open","50",IF(R633="Moist Shady","46",IF(R633="Sub-Alpine Slopes","40")))))))</f>
        <v>51</v>
      </c>
      <c r="V633" s="134" t="str">
        <f>IF(R633="Bogs Ponds Streams","84",IF(R633="Coastal Areas","76",IF(R633="Meadows Dry Open","96", IF(R633="Forest &amp; Understory","90", IF(R633="Moist Open","88", IF(R633="Moist Shady","82", IF(R633="Sub-Alpine Slopes","80")))))))</f>
        <v>76</v>
      </c>
      <c r="W633" s="67">
        <v>20</v>
      </c>
      <c r="X633" s="67">
        <v>0</v>
      </c>
      <c r="Y633" s="67">
        <v>3500</v>
      </c>
      <c r="Z633" s="67" t="s">
        <v>2519</v>
      </c>
      <c r="AA633" s="67" t="s">
        <v>2518</v>
      </c>
      <c r="AB633" s="67">
        <v>6.8</v>
      </c>
      <c r="AC633" s="85">
        <f>C633+AK633+(0.1)*AL633</f>
        <v>8</v>
      </c>
      <c r="AD633" s="78">
        <v>22</v>
      </c>
      <c r="AE633" s="67">
        <v>5</v>
      </c>
      <c r="AF633" s="67">
        <v>5</v>
      </c>
      <c r="AG633" s="67">
        <v>1900</v>
      </c>
      <c r="AH633" s="78">
        <v>0</v>
      </c>
      <c r="AI633" s="67">
        <f>AJ633</f>
        <v>2004</v>
      </c>
      <c r="AJ633" s="69">
        <v>2004</v>
      </c>
      <c r="AK633" s="69">
        <v>7</v>
      </c>
      <c r="AL633" s="69">
        <v>0</v>
      </c>
      <c r="AM633" s="70">
        <v>5</v>
      </c>
      <c r="AN633" s="70">
        <v>0</v>
      </c>
      <c r="AO633" s="86">
        <v>0</v>
      </c>
      <c r="AP633" s="70">
        <v>0</v>
      </c>
      <c r="AQ633" s="70">
        <v>0</v>
      </c>
      <c r="AR633" s="70">
        <v>0</v>
      </c>
      <c r="AS633" s="86">
        <v>0</v>
      </c>
      <c r="AT633" s="70">
        <v>0</v>
      </c>
      <c r="AU633" s="70">
        <v>0</v>
      </c>
      <c r="AV633" s="70">
        <v>0</v>
      </c>
      <c r="AW633" s="86">
        <v>0</v>
      </c>
      <c r="AX633" s="70">
        <v>0</v>
      </c>
      <c r="AY633" s="233"/>
      <c r="AZ633" s="4"/>
      <c r="BA633" s="35">
        <f ca="1">IF(OR(S633="North America",S633="Rocky Mountain"), "Widespread",BC633)</f>
        <v>2032.6115279857397</v>
      </c>
      <c r="BB633" s="4"/>
      <c r="BC633" s="35">
        <f ca="1">IF(BE633&gt;2046, "Abundant",BE633)</f>
        <v>2032.6115279857397</v>
      </c>
      <c r="BD633" s="4"/>
      <c r="BE633" s="81">
        <f ca="1">YEAR($C$13)+(BG633*80)</f>
        <v>2032.6115279857397</v>
      </c>
      <c r="BF633" s="4"/>
      <c r="BG633" s="137">
        <f ca="1">BH633*$BH$14</f>
        <v>0.17014409982174689</v>
      </c>
      <c r="BH633" s="137">
        <f ca="1">(((BJ633+BK633+BM633+BN633)/4)*$BM$11)+(((BP633+BQ633)/2)*$BQ$11)+(((BU633+BV633+BW633)/3)*$BU$11)+(((BY633+BZ633+CA633+CB633+CC633)/5)*$CA$11)</f>
        <v>0.17014409982174689</v>
      </c>
      <c r="BI633" s="4"/>
      <c r="BJ633" s="33">
        <f>AP633/(AM633+AO633)</f>
        <v>0</v>
      </c>
      <c r="BK633" s="33">
        <f>(AN633+AO633)/(AM633+AO633)</f>
        <v>0</v>
      </c>
      <c r="BL633" s="4"/>
      <c r="BM633" s="127">
        <f>CF633/102</f>
        <v>7.8431372549019607E-2</v>
      </c>
      <c r="BN633" s="127">
        <f>C633/2</f>
        <v>0.5</v>
      </c>
      <c r="BO633" s="4"/>
      <c r="BP633" s="127">
        <f>(AK633)/($AW$6)</f>
        <v>7.0707070707070704E-2</v>
      </c>
      <c r="BQ633" s="127">
        <f ca="1">(CH633-$AW$4)/((YEAR($C$13))-$AW$4)</f>
        <v>0</v>
      </c>
      <c r="BR633" s="127">
        <f>(AL633)/($AW$6)</f>
        <v>0</v>
      </c>
      <c r="BS633" s="4"/>
      <c r="BT633" s="127"/>
      <c r="BU633" s="127">
        <f ca="1">(CG633-$AW$4)/((YEAR($C$13))-$AW$4)</f>
        <v>0</v>
      </c>
      <c r="BV633" s="127">
        <f>AE633/5</f>
        <v>1</v>
      </c>
      <c r="BW633" s="127">
        <f>AF633/5</f>
        <v>1</v>
      </c>
      <c r="BX633" s="4"/>
      <c r="BY633" s="148" t="str">
        <f>IF(E633="A",".98",IF(E633="B",".99",IF(E633="C","1.00",IF(E633="D","1.00" ))))</f>
        <v>1.00</v>
      </c>
      <c r="BZ633" s="127">
        <f>(CE633+7)/10</f>
        <v>1</v>
      </c>
      <c r="CA633" s="76" t="str">
        <f>IF(D633="Fern",".97",IF(D633="Grass",".99",IF(D633="Herb",".97",IF(D633="Shrub",".99",IF(D633="Tree","1.00",IF(D633="Vine",".98"))))))</f>
        <v>.99</v>
      </c>
      <c r="CB633" s="149" t="str">
        <f>IF(R633="Bogs Ponds Streams",".96", IF(R633="Coastal Areas",".97",IF(R633="Meadows Dry Open",".96",IF(R633="Forest &amp; Understory",".97",IF(R633="Moist Open",".98",IF(R633="Moist Shady",".96",IF(R633="Sub-Alpine","1.0")))))))</f>
        <v>.97</v>
      </c>
      <c r="CC633" s="76" t="str">
        <f>IF(S633="Local Endemic",".50",IF(S633="Regional Endemic",".70",IF(S633="Cascadia",".90",IF(S633="Rocky Mountain",".95",IF(S633="North America",".99")))))</f>
        <v>.90</v>
      </c>
      <c r="CD633" s="4"/>
      <c r="CE633" s="21">
        <f>IF(W633&gt;3,3,W633)</f>
        <v>3</v>
      </c>
      <c r="CF633" s="21">
        <f>IF(AC633&gt;102,102,AC633)</f>
        <v>8</v>
      </c>
      <c r="CG633" s="34">
        <f>IF(AI633&lt;$AW$4,$AW$4,AI633)</f>
        <v>2004</v>
      </c>
      <c r="CH633" s="34">
        <f>IF(AJ633&lt;$AW$4,$AW$4,AJ633)</f>
        <v>2004</v>
      </c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13"/>
      <c r="DL633" s="13"/>
    </row>
    <row r="634" spans="1:116" ht="15" customHeight="1" x14ac:dyDescent="0.3">
      <c r="A634" s="235"/>
      <c r="B634" s="218"/>
      <c r="C634" s="375">
        <v>1</v>
      </c>
      <c r="D634" s="95" t="s">
        <v>1155</v>
      </c>
      <c r="E634" s="67" t="s">
        <v>2501</v>
      </c>
      <c r="F634" s="403">
        <f ca="1">IF(BC634&lt;2025, "Extinct&lt; 6Yrs?",BA634)</f>
        <v>2030.8059579322637</v>
      </c>
      <c r="G634" s="376" t="s">
        <v>525</v>
      </c>
      <c r="H634" s="376" t="s">
        <v>4028</v>
      </c>
      <c r="I634" s="377" t="s">
        <v>2329</v>
      </c>
      <c r="J634" s="378" t="s">
        <v>2436</v>
      </c>
      <c r="K634" s="378" t="s">
        <v>2328</v>
      </c>
      <c r="L634" s="63" t="s">
        <v>2435</v>
      </c>
      <c r="M634" s="64" t="s">
        <v>4707</v>
      </c>
      <c r="N634" s="64" t="s">
        <v>5605</v>
      </c>
      <c r="O634" s="64" t="s">
        <v>6504</v>
      </c>
      <c r="P634" s="61" t="s">
        <v>468</v>
      </c>
      <c r="Q634" s="67" t="s">
        <v>2552</v>
      </c>
      <c r="R634" s="163" t="s">
        <v>2497</v>
      </c>
      <c r="S634" s="65" t="s">
        <v>2459</v>
      </c>
      <c r="T634" s="134" t="str">
        <f>IF(R634="Bogs Ponds Streams","20",IF(R634="Coastal Areas","26",IF(R634="Meadows Dry Open","10",IF(R634="Forest &amp; Understory","14",IF(R634="Moist Open","12",IF(R634="Moist Shady","10",IF(R634="Sub-Alpine Slopes","0")))))))</f>
        <v>12</v>
      </c>
      <c r="U634" s="134" t="str">
        <f>IF(R634="Bogs Ponds Streams","52",IF(R634="Coastal Areas","51",IF(R634="Meadows Dry Open","53",IF(R634="Forest &amp; Understory","52",IF(R634="Moist Open","50",IF(R634="Moist Shady","46",IF(R634="Sub-Alpine Slopes","40")))))))</f>
        <v>50</v>
      </c>
      <c r="V634" s="134" t="str">
        <f>IF(R634="Bogs Ponds Streams","84",IF(R634="Coastal Areas","76",IF(R634="Meadows Dry Open","96", IF(R634="Forest &amp; Understory","90", IF(R634="Moist Open","88", IF(R634="Moist Shady","82", IF(R634="Sub-Alpine Slopes","80")))))))</f>
        <v>88</v>
      </c>
      <c r="W634" s="67">
        <v>20</v>
      </c>
      <c r="X634" s="67">
        <v>0</v>
      </c>
      <c r="Y634" s="67">
        <v>3500</v>
      </c>
      <c r="Z634" s="67" t="s">
        <v>2519</v>
      </c>
      <c r="AA634" s="67" t="s">
        <v>2518</v>
      </c>
      <c r="AB634" s="67">
        <v>6.8</v>
      </c>
      <c r="AC634" s="85">
        <f>C634+AK634+(0.1)*AL634</f>
        <v>4</v>
      </c>
      <c r="AD634" s="78">
        <v>89</v>
      </c>
      <c r="AE634" s="68">
        <v>3</v>
      </c>
      <c r="AF634" s="68">
        <v>3</v>
      </c>
      <c r="AG634" s="78">
        <v>1937</v>
      </c>
      <c r="AH634" s="78">
        <v>0</v>
      </c>
      <c r="AI634" s="78">
        <v>2010</v>
      </c>
      <c r="AJ634" s="67">
        <v>1995</v>
      </c>
      <c r="AK634" s="67">
        <v>3</v>
      </c>
      <c r="AL634" s="67">
        <v>0</v>
      </c>
      <c r="AM634" s="70">
        <v>5</v>
      </c>
      <c r="AN634" s="70">
        <v>0</v>
      </c>
      <c r="AO634" s="86">
        <v>0</v>
      </c>
      <c r="AP634" s="70">
        <v>0</v>
      </c>
      <c r="AQ634" s="70">
        <v>0</v>
      </c>
      <c r="AR634" s="70">
        <v>0</v>
      </c>
      <c r="AS634" s="86">
        <v>0</v>
      </c>
      <c r="AT634" s="70">
        <v>0</v>
      </c>
      <c r="AU634" s="70">
        <v>0</v>
      </c>
      <c r="AV634" s="70">
        <v>0</v>
      </c>
      <c r="AW634" s="86">
        <v>0</v>
      </c>
      <c r="AX634" s="70">
        <v>0</v>
      </c>
      <c r="AY634" s="233"/>
      <c r="AZ634" s="11"/>
      <c r="BA634" s="35">
        <f ca="1">IF(OR(S634="North America",S634="Rocky Mountain"), "Widespread",BC634)</f>
        <v>2030.8059579322637</v>
      </c>
      <c r="BB634" s="11"/>
      <c r="BC634" s="35">
        <f ca="1">IF(BE634&gt;2046, "Abundant",BE634)</f>
        <v>2030.8059579322637</v>
      </c>
      <c r="BD634" s="11"/>
      <c r="BE634" s="81">
        <f ca="1">YEAR($C$13)+(BG634*80)</f>
        <v>2030.8059579322637</v>
      </c>
      <c r="BF634" s="11"/>
      <c r="BG634" s="137">
        <f ca="1">BH634*$BH$14</f>
        <v>0.14757447415329766</v>
      </c>
      <c r="BH634" s="137">
        <f ca="1">(((BJ634+BK634+BM634+BN634)/4)*$BM$11)+(((BP634+BQ634)/2)*$BQ$11)+(((BU634+BV634+BW634)/3)*$BU$11)+(((BY634+BZ634+CA634+CB634+CC634)/5)*$CA$11)</f>
        <v>0.14757447415329766</v>
      </c>
      <c r="BI634" s="11"/>
      <c r="BJ634" s="33">
        <f>AP634/(AM634+AO634)</f>
        <v>0</v>
      </c>
      <c r="BK634" s="33">
        <f>(AN634+AO634)/(AM634+AO634)</f>
        <v>0</v>
      </c>
      <c r="BL634" s="11"/>
      <c r="BM634" s="127">
        <f>CF634/102</f>
        <v>3.9215686274509803E-2</v>
      </c>
      <c r="BN634" s="127">
        <f>C634/2</f>
        <v>0.5</v>
      </c>
      <c r="BO634" s="11"/>
      <c r="BP634" s="127">
        <f>(AK634)/($AW$6)</f>
        <v>3.0303030303030304E-2</v>
      </c>
      <c r="BQ634" s="127">
        <f ca="1">(CH634-$AW$4)/((YEAR($C$13))-$AW$4)</f>
        <v>0</v>
      </c>
      <c r="BR634" s="127">
        <f>(AL634)/($AW$6)</f>
        <v>0</v>
      </c>
      <c r="BS634" s="11"/>
      <c r="BT634" s="127"/>
      <c r="BU634" s="127">
        <f ca="1">(CG634-$AW$4)/((YEAR($C$13))-$AW$4)</f>
        <v>0.4</v>
      </c>
      <c r="BV634" s="127">
        <f>AE634/5</f>
        <v>0.6</v>
      </c>
      <c r="BW634" s="127">
        <f>AF634/5</f>
        <v>0.6</v>
      </c>
      <c r="BX634" s="11"/>
      <c r="BY634" s="148" t="str">
        <f>IF(E634="A",".98",IF(E634="B",".99",IF(E634="C","1.00",IF(E634="D","1.00" ))))</f>
        <v>1.00</v>
      </c>
      <c r="BZ634" s="127">
        <f>(CE634+7)/10</f>
        <v>1</v>
      </c>
      <c r="CA634" s="76" t="str">
        <f>IF(D634="Fern",".97",IF(D634="Grass",".99",IF(D634="Herb",".97",IF(D634="Shrub",".99",IF(D634="Tree","1.00",IF(D634="Vine",".98"))))))</f>
        <v>.99</v>
      </c>
      <c r="CB634" s="149" t="str">
        <f>IF(R634="Bogs Ponds Streams",".96", IF(R634="Coastal Areas",".97",IF(R634="Meadows Dry Open",".96",IF(R634="Forest &amp; Understory",".97",IF(R634="Moist Open",".98",IF(R634="Moist Shady",".96",IF(R634="Sub-Alpine","1.0")))))))</f>
        <v>.98</v>
      </c>
      <c r="CC634" s="76" t="str">
        <f>IF(S634="Local Endemic",".50",IF(S634="Regional Endemic",".70",IF(S634="Cascadia",".90",IF(S634="Rocky Mountain",".95",IF(S634="North America",".99")))))</f>
        <v>.90</v>
      </c>
      <c r="CD634" s="11"/>
      <c r="CE634" s="21">
        <f>IF(W634&gt;3,3,W634)</f>
        <v>3</v>
      </c>
      <c r="CF634" s="21">
        <f>IF(AC634&gt;102,102,AC634)</f>
        <v>4</v>
      </c>
      <c r="CG634" s="34">
        <f>IF(AI634&lt;$AW$4,$AW$4,AI634)</f>
        <v>2010</v>
      </c>
      <c r="CH634" s="34">
        <f>IF(AJ634&lt;$AW$4,$AW$4,AJ634)</f>
        <v>2004</v>
      </c>
      <c r="CI634" s="11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11"/>
      <c r="DC634" s="11"/>
      <c r="DD634" s="11"/>
      <c r="DE634" s="11"/>
      <c r="DF634" s="11"/>
      <c r="DG634" s="11"/>
      <c r="DH634" s="11"/>
      <c r="DI634" s="11"/>
      <c r="DJ634" s="11"/>
      <c r="DK634" s="13"/>
    </row>
    <row r="635" spans="1:116" ht="15" customHeight="1" x14ac:dyDescent="0.3">
      <c r="A635" s="235"/>
      <c r="B635" s="218"/>
      <c r="C635" s="375">
        <v>1</v>
      </c>
      <c r="D635" s="95" t="s">
        <v>1155</v>
      </c>
      <c r="E635" s="67" t="s">
        <v>2501</v>
      </c>
      <c r="F635" s="403">
        <f ca="1">IF(BC635&lt;2025, "Extinct&lt; 6Yrs?",BA635)</f>
        <v>2030.8059579322637</v>
      </c>
      <c r="G635" s="376" t="s">
        <v>525</v>
      </c>
      <c r="H635" s="376" t="s">
        <v>4028</v>
      </c>
      <c r="I635" s="377" t="s">
        <v>3185</v>
      </c>
      <c r="J635" s="378" t="s">
        <v>3542</v>
      </c>
      <c r="K635" s="378" t="s">
        <v>3541</v>
      </c>
      <c r="L635" s="63" t="s">
        <v>3184</v>
      </c>
      <c r="M635" s="64" t="s">
        <v>4708</v>
      </c>
      <c r="N635" s="64" t="s">
        <v>5606</v>
      </c>
      <c r="O635" s="64" t="s">
        <v>6505</v>
      </c>
      <c r="P635" s="61" t="s">
        <v>468</v>
      </c>
      <c r="Q635" s="67" t="s">
        <v>2552</v>
      </c>
      <c r="R635" s="163" t="s">
        <v>2497</v>
      </c>
      <c r="S635" s="65" t="s">
        <v>2459</v>
      </c>
      <c r="T635" s="134" t="str">
        <f>IF(R635="Bogs Ponds Streams","20",IF(R635="Coastal Areas","26",IF(R635="Meadows Dry Open","10",IF(R635="Forest &amp; Understory","14",IF(R635="Moist Open","12",IF(R635="Moist Shady","10",IF(R635="Sub-Alpine Slopes","0")))))))</f>
        <v>12</v>
      </c>
      <c r="U635" s="134" t="str">
        <f>IF(R635="Bogs Ponds Streams","52",IF(R635="Coastal Areas","51",IF(R635="Meadows Dry Open","53",IF(R635="Forest &amp; Understory","52",IF(R635="Moist Open","50",IF(R635="Moist Shady","46",IF(R635="Sub-Alpine Slopes","40")))))))</f>
        <v>50</v>
      </c>
      <c r="V635" s="134" t="str">
        <f>IF(R635="Bogs Ponds Streams","84",IF(R635="Coastal Areas","76",IF(R635="Meadows Dry Open","96", IF(R635="Forest &amp; Understory","90", IF(R635="Moist Open","88", IF(R635="Moist Shady","82", IF(R635="Sub-Alpine Slopes","80")))))))</f>
        <v>88</v>
      </c>
      <c r="W635" s="67">
        <v>20</v>
      </c>
      <c r="X635" s="67">
        <v>0</v>
      </c>
      <c r="Y635" s="67">
        <v>3500</v>
      </c>
      <c r="Z635" s="67" t="s">
        <v>2519</v>
      </c>
      <c r="AA635" s="67" t="s">
        <v>2518</v>
      </c>
      <c r="AB635" s="67">
        <v>6.8</v>
      </c>
      <c r="AC635" s="85">
        <f>C635+AK635+(0.1)*AL635</f>
        <v>4</v>
      </c>
      <c r="AD635" s="78">
        <v>89</v>
      </c>
      <c r="AE635" s="68">
        <v>3</v>
      </c>
      <c r="AF635" s="68">
        <v>3</v>
      </c>
      <c r="AG635" s="78">
        <v>1937</v>
      </c>
      <c r="AH635" s="78">
        <v>0</v>
      </c>
      <c r="AI635" s="78">
        <v>2010</v>
      </c>
      <c r="AJ635" s="67">
        <v>1995</v>
      </c>
      <c r="AK635" s="67">
        <v>3</v>
      </c>
      <c r="AL635" s="67">
        <v>0</v>
      </c>
      <c r="AM635" s="70">
        <v>5</v>
      </c>
      <c r="AN635" s="70">
        <v>0</v>
      </c>
      <c r="AO635" s="86">
        <v>0</v>
      </c>
      <c r="AP635" s="70">
        <v>0</v>
      </c>
      <c r="AQ635" s="70">
        <v>0</v>
      </c>
      <c r="AR635" s="70">
        <v>0</v>
      </c>
      <c r="AS635" s="86">
        <v>0</v>
      </c>
      <c r="AT635" s="70">
        <v>0</v>
      </c>
      <c r="AU635" s="70">
        <v>0</v>
      </c>
      <c r="AV635" s="70">
        <v>0</v>
      </c>
      <c r="AW635" s="86">
        <v>0</v>
      </c>
      <c r="AX635" s="70">
        <v>0</v>
      </c>
      <c r="AY635" s="233"/>
      <c r="AZ635" s="11"/>
      <c r="BA635" s="35">
        <f ca="1">IF(OR(S635="North America",S635="Rocky Mountain"), "Widespread",BC635)</f>
        <v>2030.8059579322637</v>
      </c>
      <c r="BB635" s="11"/>
      <c r="BC635" s="35">
        <f ca="1">IF(BE635&gt;2046, "Abundant",BE635)</f>
        <v>2030.8059579322637</v>
      </c>
      <c r="BD635" s="11"/>
      <c r="BE635" s="81">
        <f ca="1">YEAR($C$13)+(BG635*80)</f>
        <v>2030.8059579322637</v>
      </c>
      <c r="BF635" s="11"/>
      <c r="BG635" s="137">
        <f ca="1">BH635*$BH$14</f>
        <v>0.14757447415329766</v>
      </c>
      <c r="BH635" s="137">
        <f ca="1">(((BJ635+BK635+BM635+BN635)/4)*$BM$11)+(((BP635+BQ635)/2)*$BQ$11)+(((BU635+BV635+BW635)/3)*$BU$11)+(((BY635+BZ635+CA635+CB635+CC635)/5)*$CA$11)</f>
        <v>0.14757447415329766</v>
      </c>
      <c r="BI635" s="11"/>
      <c r="BJ635" s="33">
        <f>AP635/(AM635+AO635)</f>
        <v>0</v>
      </c>
      <c r="BK635" s="33">
        <f>(AN635+AO635)/(AM635+AO635)</f>
        <v>0</v>
      </c>
      <c r="BL635" s="11"/>
      <c r="BM635" s="127">
        <f>CF635/102</f>
        <v>3.9215686274509803E-2</v>
      </c>
      <c r="BN635" s="127">
        <f>C635/2</f>
        <v>0.5</v>
      </c>
      <c r="BO635" s="11"/>
      <c r="BP635" s="127">
        <f>(AK635)/($AW$6)</f>
        <v>3.0303030303030304E-2</v>
      </c>
      <c r="BQ635" s="127">
        <f ca="1">(CH635-$AW$4)/((YEAR($C$13))-$AW$4)</f>
        <v>0</v>
      </c>
      <c r="BR635" s="127">
        <f>(AL635)/($AW$6)</f>
        <v>0</v>
      </c>
      <c r="BS635" s="11"/>
      <c r="BT635" s="127"/>
      <c r="BU635" s="127">
        <f ca="1">(CG635-$AW$4)/((YEAR($C$13))-$AW$4)</f>
        <v>0.4</v>
      </c>
      <c r="BV635" s="127">
        <f>AE635/5</f>
        <v>0.6</v>
      </c>
      <c r="BW635" s="127">
        <f>AF635/5</f>
        <v>0.6</v>
      </c>
      <c r="BX635" s="11"/>
      <c r="BY635" s="148" t="str">
        <f>IF(E635="A",".98",IF(E635="B",".99",IF(E635="C","1.00",IF(E635="D","1.00" ))))</f>
        <v>1.00</v>
      </c>
      <c r="BZ635" s="127">
        <f>(CE635+7)/10</f>
        <v>1</v>
      </c>
      <c r="CA635" s="76" t="str">
        <f>IF(D635="Fern",".97",IF(D635="Grass",".99",IF(D635="Herb",".97",IF(D635="Shrub",".99",IF(D635="Tree","1.00",IF(D635="Vine",".98"))))))</f>
        <v>.99</v>
      </c>
      <c r="CB635" s="149" t="str">
        <f>IF(R635="Bogs Ponds Streams",".96", IF(R635="Coastal Areas",".97",IF(R635="Meadows Dry Open",".96",IF(R635="Forest &amp; Understory",".97",IF(R635="Moist Open",".98",IF(R635="Moist Shady",".96",IF(R635="Sub-Alpine","1.0")))))))</f>
        <v>.98</v>
      </c>
      <c r="CC635" s="76" t="str">
        <f>IF(S635="Local Endemic",".50",IF(S635="Regional Endemic",".70",IF(S635="Cascadia",".90",IF(S635="Rocky Mountain",".95",IF(S635="North America",".99")))))</f>
        <v>.90</v>
      </c>
      <c r="CD635" s="11"/>
      <c r="CE635" s="21">
        <f>IF(W635&gt;3,3,W635)</f>
        <v>3</v>
      </c>
      <c r="CF635" s="21">
        <f>IF(AC635&gt;102,102,AC635)</f>
        <v>4</v>
      </c>
      <c r="CG635" s="34">
        <f>IF(AI635&lt;$AW$4,$AW$4,AI635)</f>
        <v>2010</v>
      </c>
      <c r="CH635" s="34">
        <f>IF(AJ635&lt;$AW$4,$AW$4,AJ635)</f>
        <v>2004</v>
      </c>
      <c r="CI635" s="11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11"/>
      <c r="DC635" s="11"/>
      <c r="DD635" s="11"/>
      <c r="DE635" s="11"/>
      <c r="DF635" s="11"/>
      <c r="DG635" s="11"/>
      <c r="DH635" s="11"/>
      <c r="DI635" s="11"/>
      <c r="DJ635" s="11"/>
      <c r="DK635" s="13"/>
    </row>
    <row r="636" spans="1:116" ht="15" customHeight="1" x14ac:dyDescent="0.3">
      <c r="A636" s="235"/>
      <c r="B636" s="218"/>
      <c r="C636" s="226">
        <v>2</v>
      </c>
      <c r="D636" s="119" t="s">
        <v>1155</v>
      </c>
      <c r="E636" s="104" t="s">
        <v>2501</v>
      </c>
      <c r="F636" s="400">
        <f ca="1">IF(BC636&lt;2025, "Extinct&lt; 6Yrs?",BA636)</f>
        <v>2041.8575172905526</v>
      </c>
      <c r="G636" s="369" t="s">
        <v>525</v>
      </c>
      <c r="H636" s="369" t="s">
        <v>4028</v>
      </c>
      <c r="I636" s="370" t="s">
        <v>232</v>
      </c>
      <c r="J636" s="371" t="s">
        <v>3719</v>
      </c>
      <c r="K636" s="371" t="s">
        <v>1092</v>
      </c>
      <c r="L636" s="106" t="s">
        <v>2230</v>
      </c>
      <c r="M636" s="111" t="s">
        <v>4709</v>
      </c>
      <c r="N636" s="111" t="s">
        <v>5607</v>
      </c>
      <c r="O636" s="111" t="s">
        <v>6506</v>
      </c>
      <c r="P636" s="105" t="s">
        <v>468</v>
      </c>
      <c r="Q636" s="104" t="s">
        <v>2552</v>
      </c>
      <c r="R636" s="105" t="s">
        <v>2453</v>
      </c>
      <c r="S636" s="105" t="s">
        <v>2459</v>
      </c>
      <c r="T636" s="133" t="str">
        <f>IF(R636="Bogs Ponds Streams","20",IF(R636="Coastal Areas","26",IF(R636="Meadows Dry Open","10",IF(R636="Forest &amp; Understory","14",IF(R636="Moist Open","12",IF(R636="Moist Shady","10",IF(R636="Sub-Alpine Slopes","0")))))))</f>
        <v>26</v>
      </c>
      <c r="U636" s="133" t="str">
        <f>IF(R636="Bogs Ponds Streams","52",IF(R636="Coastal Areas","51",IF(R636="Meadows Dry Open","53",IF(R636="Forest &amp; Understory","52",IF(R636="Moist Open","50",IF(R636="Moist Shady","46",IF(R636="Sub-Alpine Slopes","40")))))))</f>
        <v>51</v>
      </c>
      <c r="V636" s="133" t="str">
        <f>IF(R636="Bogs Ponds Streams","84",IF(R636="Coastal Areas","76",IF(R636="Meadows Dry Open","96", IF(R636="Forest &amp; Understory","90", IF(R636="Moist Open","88", IF(R636="Moist Shady","82", IF(R636="Sub-Alpine Slopes","80")))))))</f>
        <v>76</v>
      </c>
      <c r="W636" s="104">
        <v>20</v>
      </c>
      <c r="X636" s="104">
        <v>0</v>
      </c>
      <c r="Y636" s="104">
        <v>3500</v>
      </c>
      <c r="Z636" s="104" t="s">
        <v>2519</v>
      </c>
      <c r="AA636" s="104" t="s">
        <v>2518</v>
      </c>
      <c r="AB636" s="104">
        <v>6.8</v>
      </c>
      <c r="AC636" s="107">
        <f>C636+AK636+(0.1)*AL636</f>
        <v>12.1</v>
      </c>
      <c r="AD636" s="113">
        <v>31</v>
      </c>
      <c r="AE636" s="104">
        <v>5</v>
      </c>
      <c r="AF636" s="104">
        <v>5</v>
      </c>
      <c r="AG636" s="104">
        <v>1900</v>
      </c>
      <c r="AH636" s="113">
        <v>0</v>
      </c>
      <c r="AI636" s="104">
        <f>AJ636</f>
        <v>2004</v>
      </c>
      <c r="AJ636" s="108">
        <v>2004</v>
      </c>
      <c r="AK636" s="108">
        <v>10</v>
      </c>
      <c r="AL636" s="108">
        <v>1</v>
      </c>
      <c r="AM636" s="109">
        <v>5</v>
      </c>
      <c r="AN636" s="109">
        <v>1</v>
      </c>
      <c r="AO636" s="110">
        <v>0</v>
      </c>
      <c r="AP636" s="109">
        <v>0</v>
      </c>
      <c r="AQ636" s="109">
        <v>0</v>
      </c>
      <c r="AR636" s="109">
        <v>0</v>
      </c>
      <c r="AS636" s="110">
        <v>0</v>
      </c>
      <c r="AT636" s="109">
        <v>0</v>
      </c>
      <c r="AU636" s="109">
        <v>0</v>
      </c>
      <c r="AV636" s="109">
        <v>0</v>
      </c>
      <c r="AW636" s="110">
        <v>0</v>
      </c>
      <c r="AX636" s="109">
        <v>0</v>
      </c>
      <c r="AY636" s="233"/>
      <c r="AZ636" s="4"/>
      <c r="BA636" s="35">
        <f ca="1">IF(OR(S636="North America",S636="Rocky Mountain"), "Widespread",BC636)</f>
        <v>2041.8575172905526</v>
      </c>
      <c r="BB636" s="4"/>
      <c r="BC636" s="35">
        <f ca="1">IF(BE636&gt;2046, "Abundant",BE636)</f>
        <v>2041.8575172905526</v>
      </c>
      <c r="BD636" s="4"/>
      <c r="BE636" s="81">
        <f ca="1">YEAR($C$13)+(BG636*80)</f>
        <v>2041.8575172905526</v>
      </c>
      <c r="BF636" s="4"/>
      <c r="BG636" s="137">
        <f ca="1">BH636*$BH$14</f>
        <v>0.28571896613190728</v>
      </c>
      <c r="BH636" s="137">
        <f ca="1">(((BJ636+BK636+BM636+BN636)/4)*$BM$11)+(((BP636+BQ636)/2)*$BQ$11)+(((BU636+BV636+BW636)/3)*$BU$11)+(((BY636+BZ636+CA636+CB636+CC636)/5)*$CA$11)</f>
        <v>0.28571896613190728</v>
      </c>
      <c r="BI636" s="4"/>
      <c r="BJ636" s="33">
        <f>AP636/(AM636+AO636)</f>
        <v>0</v>
      </c>
      <c r="BK636" s="33">
        <f>(AN636+AO636)/(AM636+AO636)</f>
        <v>0.2</v>
      </c>
      <c r="BL636" s="4"/>
      <c r="BM636" s="127">
        <f>CF636/102</f>
        <v>0.11862745098039215</v>
      </c>
      <c r="BN636" s="127">
        <f>C636/2</f>
        <v>1</v>
      </c>
      <c r="BO636" s="4"/>
      <c r="BP636" s="127">
        <f>(AK636)/($AW$6)</f>
        <v>0.10101010101010101</v>
      </c>
      <c r="BQ636" s="127">
        <f ca="1">(CH636-$AW$4)/((YEAR($C$13))-$AW$4)</f>
        <v>0</v>
      </c>
      <c r="BR636" s="127">
        <f>(AL636)/($AW$6)</f>
        <v>1.0101010101010102E-2</v>
      </c>
      <c r="BS636" s="4"/>
      <c r="BT636" s="127"/>
      <c r="BU636" s="127">
        <f ca="1">(CG636-$AW$4)/((YEAR($C$13))-$AW$4)</f>
        <v>0</v>
      </c>
      <c r="BV636" s="127">
        <f>AE636/5</f>
        <v>1</v>
      </c>
      <c r="BW636" s="127">
        <f>AF636/5</f>
        <v>1</v>
      </c>
      <c r="BX636" s="4"/>
      <c r="BY636" s="148" t="str">
        <f>IF(E636="A",".98",IF(E636="B",".99",IF(E636="C","1.00",IF(E636="D","1.00" ))))</f>
        <v>1.00</v>
      </c>
      <c r="BZ636" s="127">
        <f>(CE636+7)/10</f>
        <v>1</v>
      </c>
      <c r="CA636" s="76" t="str">
        <f>IF(D636="Fern",".97",IF(D636="Grass",".99",IF(D636="Herb",".97",IF(D636="Shrub",".99",IF(D636="Tree","1.00",IF(D636="Vine",".98"))))))</f>
        <v>.99</v>
      </c>
      <c r="CB636" s="149" t="str">
        <f>IF(R636="Bogs Ponds Streams",".96", IF(R636="Coastal Areas",".97",IF(R636="Meadows Dry Open",".96",IF(R636="Forest &amp; Understory",".97",IF(R636="Moist Open",".98",IF(R636="Moist Shady",".96",IF(R636="Sub-Alpine","1.0")))))))</f>
        <v>.97</v>
      </c>
      <c r="CC636" s="76" t="str">
        <f>IF(S636="Local Endemic",".50",IF(S636="Regional Endemic",".70",IF(S636="Cascadia",".90",IF(S636="Rocky Mountain",".95",IF(S636="North America",".99")))))</f>
        <v>.90</v>
      </c>
      <c r="CD636" s="4"/>
      <c r="CE636" s="21">
        <f>IF(W636&gt;3,3,W636)</f>
        <v>3</v>
      </c>
      <c r="CF636" s="21">
        <f>IF(AC636&gt;102,102,AC636)</f>
        <v>12.1</v>
      </c>
      <c r="CG636" s="34">
        <f>IF(AI636&lt;$AW$4,$AW$4,AI636)</f>
        <v>2004</v>
      </c>
      <c r="CH636" s="34">
        <f>IF(AJ636&lt;$AW$4,$AW$4,AJ636)</f>
        <v>2004</v>
      </c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13"/>
    </row>
    <row r="637" spans="1:116" ht="15" customHeight="1" x14ac:dyDescent="0.3">
      <c r="A637" s="235"/>
      <c r="B637" s="218"/>
      <c r="C637" s="226">
        <v>2</v>
      </c>
      <c r="D637" s="119" t="s">
        <v>1155</v>
      </c>
      <c r="E637" s="104" t="s">
        <v>2501</v>
      </c>
      <c r="F637" s="400" t="str">
        <f ca="1">IF(BC637&lt;2025, "Extinct&lt; 6Yrs?",BA637)</f>
        <v>Abundant</v>
      </c>
      <c r="G637" s="369" t="s">
        <v>525</v>
      </c>
      <c r="H637" s="369" t="s">
        <v>4028</v>
      </c>
      <c r="I637" s="372" t="s">
        <v>1361</v>
      </c>
      <c r="J637" s="371" t="s">
        <v>3718</v>
      </c>
      <c r="K637" s="371" t="s">
        <v>1360</v>
      </c>
      <c r="L637" s="106" t="s">
        <v>2231</v>
      </c>
      <c r="M637" s="111" t="s">
        <v>4710</v>
      </c>
      <c r="N637" s="111" t="s">
        <v>5608</v>
      </c>
      <c r="O637" s="111" t="s">
        <v>6507</v>
      </c>
      <c r="P637" s="105" t="s">
        <v>468</v>
      </c>
      <c r="Q637" s="104" t="s">
        <v>2552</v>
      </c>
      <c r="R637" s="161" t="s">
        <v>2497</v>
      </c>
      <c r="S637" s="114" t="s">
        <v>2309</v>
      </c>
      <c r="T637" s="133" t="str">
        <f>IF(R637="Bogs Ponds Streams","20",IF(R637="Coastal Areas","26",IF(R637="Meadows Dry Open","10",IF(R637="Forest &amp; Understory","14",IF(R637="Moist Open","12",IF(R637="Moist Shady","10",IF(R637="Sub-Alpine Slopes","0")))))))</f>
        <v>12</v>
      </c>
      <c r="U637" s="133" t="str">
        <f>IF(R637="Bogs Ponds Streams","52",IF(R637="Coastal Areas","51",IF(R637="Meadows Dry Open","53",IF(R637="Forest &amp; Understory","52",IF(R637="Moist Open","50",IF(R637="Moist Shady","46",IF(R637="Sub-Alpine Slopes","40")))))))</f>
        <v>50</v>
      </c>
      <c r="V637" s="133" t="str">
        <f>IF(R637="Bogs Ponds Streams","84",IF(R637="Coastal Areas","76",IF(R637="Meadows Dry Open","96", IF(R637="Forest &amp; Understory","90", IF(R637="Moist Open","88", IF(R637="Moist Shady","82", IF(R637="Sub-Alpine Slopes","80")))))))</f>
        <v>88</v>
      </c>
      <c r="W637" s="104">
        <v>20</v>
      </c>
      <c r="X637" s="104">
        <v>0</v>
      </c>
      <c r="Y637" s="104">
        <v>3500</v>
      </c>
      <c r="Z637" s="104" t="s">
        <v>2519</v>
      </c>
      <c r="AA637" s="104" t="s">
        <v>2518</v>
      </c>
      <c r="AB637" s="104">
        <v>6.8</v>
      </c>
      <c r="AC637" s="107">
        <f>C637+AK637+(0.1)*AL637</f>
        <v>7</v>
      </c>
      <c r="AD637" s="113">
        <v>13</v>
      </c>
      <c r="AE637" s="104">
        <v>5</v>
      </c>
      <c r="AF637" s="104">
        <v>5</v>
      </c>
      <c r="AG637" s="104">
        <v>1900</v>
      </c>
      <c r="AH637" s="113">
        <v>0</v>
      </c>
      <c r="AI637" s="104">
        <f ca="1">AJ637</f>
        <v>2019</v>
      </c>
      <c r="AJ637" s="108">
        <f ca="1">YEAR(TODAY())</f>
        <v>2019</v>
      </c>
      <c r="AK637" s="108">
        <v>5</v>
      </c>
      <c r="AL637" s="108">
        <v>0</v>
      </c>
      <c r="AM637" s="108">
        <v>1</v>
      </c>
      <c r="AN637" s="108">
        <v>1</v>
      </c>
      <c r="AO637" s="108">
        <v>5</v>
      </c>
      <c r="AP637" s="108">
        <v>1</v>
      </c>
      <c r="AQ637" s="108">
        <v>0</v>
      </c>
      <c r="AR637" s="108">
        <v>0</v>
      </c>
      <c r="AS637" s="108">
        <v>0</v>
      </c>
      <c r="AT637" s="108">
        <v>0</v>
      </c>
      <c r="AU637" s="108">
        <v>0</v>
      </c>
      <c r="AV637" s="108">
        <v>0</v>
      </c>
      <c r="AW637" s="108">
        <v>0</v>
      </c>
      <c r="AX637" s="108">
        <v>0</v>
      </c>
      <c r="AY637" s="233"/>
      <c r="AZ637" s="4"/>
      <c r="BA637" s="35" t="str">
        <f ca="1">IF(OR(S637="North America",S637="Rocky Mountain"), "Widespread",BC637)</f>
        <v>Abundant</v>
      </c>
      <c r="BB637" s="4"/>
      <c r="BC637" s="35" t="str">
        <f ca="1">IF(BE637&gt;2046, "Abundant",BE637)</f>
        <v>Abundant</v>
      </c>
      <c r="BD637" s="4"/>
      <c r="BE637" s="81">
        <f ca="1">YEAR($C$13)+(BG637*80)</f>
        <v>2066.3239900178255</v>
      </c>
      <c r="BF637" s="4"/>
      <c r="BG637" s="137">
        <f ca="1">BH637*$BH$14</f>
        <v>0.59154987522281643</v>
      </c>
      <c r="BH637" s="137">
        <f ca="1">(((BJ637+BK637+BM637+BN637)/4)*$BM$11)+(((BP637+BQ637)/2)*$BQ$11)+(((BU637+BV637+BW637)/3)*$BU$11)+(((BY637+BZ637+CA637+CB637+CC637)/5)*$CA$11)</f>
        <v>0.59154987522281643</v>
      </c>
      <c r="BI637" s="4"/>
      <c r="BJ637" s="33">
        <f>AP637/(AM637+AO637)</f>
        <v>0.16666666666666666</v>
      </c>
      <c r="BK637" s="33">
        <f>(AN637+AO637)/(AM637+AO637)</f>
        <v>1</v>
      </c>
      <c r="BL637" s="4"/>
      <c r="BM637" s="127">
        <f>CF637/102</f>
        <v>6.8627450980392163E-2</v>
      </c>
      <c r="BN637" s="127">
        <f>C637/2</f>
        <v>1</v>
      </c>
      <c r="BO637" s="4"/>
      <c r="BP637" s="127">
        <f>(AK637)/($AW$6)</f>
        <v>5.0505050505050504E-2</v>
      </c>
      <c r="BQ637" s="127">
        <f ca="1">(CH637-$AW$4)/((YEAR($C$13))-$AW$4)</f>
        <v>1</v>
      </c>
      <c r="BR637" s="127">
        <f>(AL637)/($AW$6)</f>
        <v>0</v>
      </c>
      <c r="BS637" s="4"/>
      <c r="BT637" s="127"/>
      <c r="BU637" s="127">
        <f ca="1">(CG637-$AW$4)/((YEAR($C$13))-$AW$4)</f>
        <v>1</v>
      </c>
      <c r="BV637" s="127">
        <f>AE637/5</f>
        <v>1</v>
      </c>
      <c r="BW637" s="127">
        <f>AF637/5</f>
        <v>1</v>
      </c>
      <c r="BX637" s="4"/>
      <c r="BY637" s="148" t="str">
        <f>IF(E637="A",".98",IF(E637="B",".99",IF(E637="C","1.00",IF(E637="D","1.00" ))))</f>
        <v>1.00</v>
      </c>
      <c r="BZ637" s="127">
        <f>(CE637+7)/10</f>
        <v>1</v>
      </c>
      <c r="CA637" s="76" t="str">
        <f>IF(D637="Fern",".97",IF(D637="Grass",".99",IF(D637="Herb",".97",IF(D637="Shrub",".99",IF(D637="Tree","1.00",IF(D637="Vine",".98"))))))</f>
        <v>.99</v>
      </c>
      <c r="CB637" s="149" t="str">
        <f>IF(R637="Bogs Ponds Streams",".96", IF(R637="Coastal Areas",".97",IF(R637="Meadows Dry Open",".96",IF(R637="Forest &amp; Understory",".97",IF(R637="Moist Open",".98",IF(R637="Moist Shady",".96",IF(R637="Sub-Alpine","1.0")))))))</f>
        <v>.98</v>
      </c>
      <c r="CC637" s="76" t="str">
        <f>IF(S637="Local Endemic",".50",IF(S637="Regional Endemic",".70",IF(S637="Cascadia",".90",IF(S637="Rocky Mountain",".95",IF(S637="North America",".99")))))</f>
        <v>.70</v>
      </c>
      <c r="CD637" s="4"/>
      <c r="CE637" s="21">
        <f>IF(W637&gt;3,3,W637)</f>
        <v>3</v>
      </c>
      <c r="CF637" s="21">
        <f>IF(AC637&gt;102,102,AC637)</f>
        <v>7</v>
      </c>
      <c r="CG637" s="34">
        <f ca="1">IF(AI637&lt;$AW$4,$AW$4,AI637)</f>
        <v>2019</v>
      </c>
      <c r="CH637" s="34">
        <f ca="1">IF(AJ637&lt;$AW$4,$AW$4,AJ637)</f>
        <v>2019</v>
      </c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13"/>
    </row>
    <row r="638" spans="1:116" ht="15" customHeight="1" x14ac:dyDescent="0.3">
      <c r="A638" s="235"/>
      <c r="B638" s="218"/>
      <c r="C638" s="375">
        <v>1</v>
      </c>
      <c r="D638" s="95" t="s">
        <v>1155</v>
      </c>
      <c r="E638" s="67" t="s">
        <v>2501</v>
      </c>
      <c r="F638" s="403">
        <f ca="1">IF(BC638&lt;2025, "Extinct&lt; 6Yrs?",BA638)</f>
        <v>2029.4109062388591</v>
      </c>
      <c r="G638" s="376" t="s">
        <v>525</v>
      </c>
      <c r="H638" s="376" t="s">
        <v>4028</v>
      </c>
      <c r="I638" s="377" t="s">
        <v>2437</v>
      </c>
      <c r="J638" s="378" t="s">
        <v>3540</v>
      </c>
      <c r="K638" s="378" t="s">
        <v>2322</v>
      </c>
      <c r="L638" s="64" t="s">
        <v>2438</v>
      </c>
      <c r="M638" s="64" t="s">
        <v>4711</v>
      </c>
      <c r="N638" s="64" t="s">
        <v>5609</v>
      </c>
      <c r="O638" s="64" t="s">
        <v>6508</v>
      </c>
      <c r="P638" s="61" t="s">
        <v>468</v>
      </c>
      <c r="Q638" s="67" t="s">
        <v>2552</v>
      </c>
      <c r="R638" s="163" t="s">
        <v>2497</v>
      </c>
      <c r="S638" s="164" t="s">
        <v>2309</v>
      </c>
      <c r="T638" s="134" t="str">
        <f>IF(R638="Bogs Ponds Streams","20",IF(R638="Coastal Areas","26",IF(R638="Meadows Dry Open","10",IF(R638="Forest &amp; Understory","14",IF(R638="Moist Open","12",IF(R638="Moist Shady","10",IF(R638="Sub-Alpine Slopes","0")))))))</f>
        <v>12</v>
      </c>
      <c r="U638" s="134" t="str">
        <f>IF(R638="Bogs Ponds Streams","52",IF(R638="Coastal Areas","51",IF(R638="Meadows Dry Open","53",IF(R638="Forest &amp; Understory","52",IF(R638="Moist Open","50",IF(R638="Moist Shady","46",IF(R638="Sub-Alpine Slopes","40")))))))</f>
        <v>50</v>
      </c>
      <c r="V638" s="134" t="str">
        <f>IF(R638="Bogs Ponds Streams","84",IF(R638="Coastal Areas","76",IF(R638="Meadows Dry Open","96", IF(R638="Forest &amp; Understory","90", IF(R638="Moist Open","88", IF(R638="Moist Shady","82", IF(R638="Sub-Alpine Slopes","80")))))))</f>
        <v>88</v>
      </c>
      <c r="W638" s="67">
        <v>20</v>
      </c>
      <c r="X638" s="67">
        <v>0</v>
      </c>
      <c r="Y638" s="67">
        <v>3500</v>
      </c>
      <c r="Z638" s="67" t="s">
        <v>2519</v>
      </c>
      <c r="AA638" s="67" t="s">
        <v>2518</v>
      </c>
      <c r="AB638" s="67">
        <v>6.8</v>
      </c>
      <c r="AC638" s="85">
        <f>C638+AK638+(0.1)*AL638</f>
        <v>2</v>
      </c>
      <c r="AD638" s="78">
        <v>9</v>
      </c>
      <c r="AE638" s="68">
        <v>2</v>
      </c>
      <c r="AF638" s="68">
        <v>4</v>
      </c>
      <c r="AG638" s="78">
        <v>1904</v>
      </c>
      <c r="AH638" s="78">
        <v>0</v>
      </c>
      <c r="AI638" s="78">
        <v>2004</v>
      </c>
      <c r="AJ638" s="67">
        <v>1990</v>
      </c>
      <c r="AK638" s="67">
        <v>1</v>
      </c>
      <c r="AL638" s="67">
        <v>0</v>
      </c>
      <c r="AM638" s="70">
        <v>5</v>
      </c>
      <c r="AN638" s="70">
        <v>0</v>
      </c>
      <c r="AO638" s="86">
        <v>0</v>
      </c>
      <c r="AP638" s="70">
        <v>0</v>
      </c>
      <c r="AQ638" s="70">
        <v>0</v>
      </c>
      <c r="AR638" s="70">
        <v>0</v>
      </c>
      <c r="AS638" s="86">
        <v>0</v>
      </c>
      <c r="AT638" s="70">
        <v>0</v>
      </c>
      <c r="AU638" s="70">
        <v>0</v>
      </c>
      <c r="AV638" s="70">
        <v>0</v>
      </c>
      <c r="AW638" s="86">
        <v>0</v>
      </c>
      <c r="AX638" s="70">
        <v>0</v>
      </c>
      <c r="AY638" s="233"/>
      <c r="AZ638" s="11"/>
      <c r="BA638" s="35">
        <f ca="1">IF(OR(S638="North America",S638="Rocky Mountain"), "Widespread",BC638)</f>
        <v>2029.4109062388591</v>
      </c>
      <c r="BB638" s="11"/>
      <c r="BC638" s="35">
        <f ca="1">IF(BE638&gt;2046, "Abundant",BE638)</f>
        <v>2029.4109062388591</v>
      </c>
      <c r="BD638" s="11"/>
      <c r="BE638" s="81">
        <f ca="1">YEAR($C$13)+(BG638*80)</f>
        <v>2029.4109062388591</v>
      </c>
      <c r="BF638" s="11"/>
      <c r="BG638" s="137">
        <f ca="1">BH638*$BH$14</f>
        <v>0.13013632798573976</v>
      </c>
      <c r="BH638" s="137">
        <f ca="1">(((BJ638+BK638+BM638+BN638)/4)*$BM$11)+(((BP638+BQ638)/2)*$BQ$11)+(((BU638+BV638+BW638)/3)*$BU$11)+(((BY638+BZ638+CA638+CB638+CC638)/5)*$CA$11)</f>
        <v>0.13013632798573976</v>
      </c>
      <c r="BI638" s="11"/>
      <c r="BJ638" s="33">
        <f>AP638/(AM638+AO638)</f>
        <v>0</v>
      </c>
      <c r="BK638" s="33">
        <f>(AN638+AO638)/(AM638+AO638)</f>
        <v>0</v>
      </c>
      <c r="BL638" s="11"/>
      <c r="BM638" s="127">
        <f>CF638/102</f>
        <v>1.9607843137254902E-2</v>
      </c>
      <c r="BN638" s="127">
        <f>C638/2</f>
        <v>0.5</v>
      </c>
      <c r="BO638" s="11"/>
      <c r="BP638" s="127">
        <f>(AK638)/($AW$6)</f>
        <v>1.0101010101010102E-2</v>
      </c>
      <c r="BQ638" s="127">
        <f ca="1">(CH638-$AW$4)/((YEAR($C$13))-$AW$4)</f>
        <v>0</v>
      </c>
      <c r="BR638" s="127">
        <f>(AL638)/($AW$6)</f>
        <v>0</v>
      </c>
      <c r="BS638" s="11"/>
      <c r="BT638" s="127"/>
      <c r="BU638" s="127">
        <f ca="1">(CG638-$AW$4)/((YEAR($C$13))-$AW$4)</f>
        <v>0</v>
      </c>
      <c r="BV638" s="127">
        <f>AE638/5</f>
        <v>0.4</v>
      </c>
      <c r="BW638" s="127">
        <f>AF638/5</f>
        <v>0.8</v>
      </c>
      <c r="BX638" s="11"/>
      <c r="BY638" s="148" t="str">
        <f>IF(E638="A",".98",IF(E638="B",".99",IF(E638="C","1.00",IF(E638="D","1.00" ))))</f>
        <v>1.00</v>
      </c>
      <c r="BZ638" s="127">
        <f>(CE638+7)/10</f>
        <v>1</v>
      </c>
      <c r="CA638" s="76" t="str">
        <f>IF(D638="Fern",".97",IF(D638="Grass",".99",IF(D638="Herb",".97",IF(D638="Shrub",".99",IF(D638="Tree","1.00",IF(D638="Vine",".98"))))))</f>
        <v>.99</v>
      </c>
      <c r="CB638" s="149" t="str">
        <f>IF(R638="Bogs Ponds Streams",".96", IF(R638="Coastal Areas",".97",IF(R638="Meadows Dry Open",".96",IF(R638="Forest &amp; Understory",".97",IF(R638="Moist Open",".98",IF(R638="Moist Shady",".96",IF(R638="Sub-Alpine","1.0")))))))</f>
        <v>.98</v>
      </c>
      <c r="CC638" s="76" t="str">
        <f>IF(S638="Local Endemic",".50",IF(S638="Regional Endemic",".70",IF(S638="Cascadia",".90",IF(S638="Rocky Mountain",".95",IF(S638="North America",".99")))))</f>
        <v>.70</v>
      </c>
      <c r="CD638" s="11"/>
      <c r="CE638" s="21">
        <f>IF(W638&gt;3,3,W638)</f>
        <v>3</v>
      </c>
      <c r="CF638" s="21">
        <f>IF(AC638&gt;102,102,AC638)</f>
        <v>2</v>
      </c>
      <c r="CG638" s="34">
        <f>IF(AI638&lt;$AW$4,$AW$4,AI638)</f>
        <v>2004</v>
      </c>
      <c r="CH638" s="34">
        <f>IF(AJ638&lt;$AW$4,$AW$4,AJ638)</f>
        <v>2004</v>
      </c>
      <c r="CI638" s="11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11"/>
      <c r="DC638" s="11"/>
      <c r="DD638" s="11"/>
      <c r="DE638" s="11"/>
      <c r="DF638" s="11"/>
      <c r="DG638" s="11"/>
      <c r="DH638" s="11"/>
      <c r="DI638" s="11"/>
      <c r="DJ638" s="11"/>
      <c r="DK638" s="13"/>
    </row>
    <row r="639" spans="1:116" ht="15" customHeight="1" x14ac:dyDescent="0.3">
      <c r="A639" s="235"/>
      <c r="B639" s="218"/>
      <c r="C639" s="375">
        <v>1</v>
      </c>
      <c r="D639" s="67" t="s">
        <v>2505</v>
      </c>
      <c r="E639" s="67" t="s">
        <v>2501</v>
      </c>
      <c r="F639" s="403" t="str">
        <f ca="1">IF(BC639&lt;2025, "Extinct&lt; 6Yrs?",BA639)</f>
        <v>Abundant</v>
      </c>
      <c r="G639" s="376" t="s">
        <v>525</v>
      </c>
      <c r="H639" s="376" t="s">
        <v>4028</v>
      </c>
      <c r="I639" s="380" t="s">
        <v>1290</v>
      </c>
      <c r="J639" s="378" t="s">
        <v>3717</v>
      </c>
      <c r="K639" s="378" t="s">
        <v>1289</v>
      </c>
      <c r="L639" s="63" t="s">
        <v>1635</v>
      </c>
      <c r="M639" s="64" t="s">
        <v>4712</v>
      </c>
      <c r="N639" s="64" t="s">
        <v>5610</v>
      </c>
      <c r="O639" s="64" t="s">
        <v>6509</v>
      </c>
      <c r="P639" s="61" t="s">
        <v>674</v>
      </c>
      <c r="Q639" s="67" t="s">
        <v>2552</v>
      </c>
      <c r="R639" s="163" t="s">
        <v>2497</v>
      </c>
      <c r="S639" s="164" t="s">
        <v>2309</v>
      </c>
      <c r="T639" s="134" t="str">
        <f>IF(R639="Bogs Ponds Streams","20",IF(R639="Coastal Areas","26",IF(R639="Meadows Dry Open","10",IF(R639="Forest &amp; Understory","14",IF(R639="Moist Open","12",IF(R639="Moist Shady","10",IF(R639="Sub-Alpine Slopes","0")))))))</f>
        <v>12</v>
      </c>
      <c r="U639" s="134" t="str">
        <f>IF(R639="Bogs Ponds Streams","52",IF(R639="Coastal Areas","51",IF(R639="Meadows Dry Open","53",IF(R639="Forest &amp; Understory","52",IF(R639="Moist Open","50",IF(R639="Moist Shady","46",IF(R639="Sub-Alpine Slopes","40")))))))</f>
        <v>50</v>
      </c>
      <c r="V639" s="134" t="str">
        <f>IF(R639="Bogs Ponds Streams","84",IF(R639="Coastal Areas","76",IF(R639="Meadows Dry Open","96", IF(R639="Forest &amp; Understory","90", IF(R639="Moist Open","88", IF(R639="Moist Shady","82", IF(R639="Sub-Alpine Slopes","80")))))))</f>
        <v>88</v>
      </c>
      <c r="W639" s="67">
        <v>20</v>
      </c>
      <c r="X639" s="67">
        <v>0</v>
      </c>
      <c r="Y639" s="67">
        <v>3500</v>
      </c>
      <c r="Z639" s="67" t="s">
        <v>2519</v>
      </c>
      <c r="AA639" s="67" t="s">
        <v>2518</v>
      </c>
      <c r="AB639" s="67">
        <v>6.8</v>
      </c>
      <c r="AC639" s="85">
        <f>C639+AK639+(0.1)*AL639</f>
        <v>3</v>
      </c>
      <c r="AD639" s="78">
        <v>32</v>
      </c>
      <c r="AE639" s="68">
        <v>2</v>
      </c>
      <c r="AF639" s="68">
        <v>4</v>
      </c>
      <c r="AG639" s="78">
        <v>1897</v>
      </c>
      <c r="AH639" s="78">
        <v>0</v>
      </c>
      <c r="AI639" s="78">
        <v>2007</v>
      </c>
      <c r="AJ639" s="69">
        <f ca="1">YEAR(TODAY())</f>
        <v>2019</v>
      </c>
      <c r="AK639" s="69">
        <v>2</v>
      </c>
      <c r="AL639" s="69">
        <v>0</v>
      </c>
      <c r="AM639" s="69">
        <v>1</v>
      </c>
      <c r="AN639" s="69">
        <v>1</v>
      </c>
      <c r="AO639" s="69">
        <v>5</v>
      </c>
      <c r="AP639" s="69">
        <v>1</v>
      </c>
      <c r="AQ639" s="69">
        <v>0</v>
      </c>
      <c r="AR639" s="69">
        <v>0</v>
      </c>
      <c r="AS639" s="69">
        <v>0</v>
      </c>
      <c r="AT639" s="69">
        <v>0</v>
      </c>
      <c r="AU639" s="69">
        <v>0</v>
      </c>
      <c r="AV639" s="69">
        <v>0</v>
      </c>
      <c r="AW639" s="69">
        <v>0</v>
      </c>
      <c r="AX639" s="69">
        <v>0</v>
      </c>
      <c r="AY639" s="233"/>
      <c r="AZ639" s="4"/>
      <c r="BA639" s="35" t="str">
        <f ca="1">IF(OR(S639="North America",S639="Rocky Mountain"), "Widespread",BC639)</f>
        <v>Abundant</v>
      </c>
      <c r="BB639" s="4"/>
      <c r="BC639" s="35" t="str">
        <f ca="1">IF(BE639&gt;2046, "Abundant",BE639)</f>
        <v>Abundant</v>
      </c>
      <c r="BD639" s="4"/>
      <c r="BE639" s="81">
        <f ca="1">YEAR($C$13)+(BG639*80)</f>
        <v>2056.0700320855617</v>
      </c>
      <c r="BF639" s="4"/>
      <c r="BG639" s="137">
        <f ca="1">BH639*$BH$14</f>
        <v>0.46337540106951869</v>
      </c>
      <c r="BH639" s="137">
        <f ca="1">(((BJ639+BK639+BM639+BN639)/4)*$BM$11)+(((BP639+BQ639)/2)*$BQ$11)+(((BU639+BV639+BW639)/3)*$BU$11)+(((BY639+BZ639+CA639+CB639+CC639)/5)*$CA$11)</f>
        <v>0.46337540106951869</v>
      </c>
      <c r="BI639" s="4"/>
      <c r="BJ639" s="33">
        <f>AP639/(AM639+AO639)</f>
        <v>0.16666666666666666</v>
      </c>
      <c r="BK639" s="33">
        <f>(AN639+AO639)/(AM639+AO639)</f>
        <v>1</v>
      </c>
      <c r="BL639" s="4"/>
      <c r="BM639" s="127">
        <f>CF639/102</f>
        <v>2.9411764705882353E-2</v>
      </c>
      <c r="BN639" s="127">
        <f>C639/2</f>
        <v>0.5</v>
      </c>
      <c r="BO639" s="4"/>
      <c r="BP639" s="127">
        <f>(AK639)/($AW$6)</f>
        <v>2.0202020202020204E-2</v>
      </c>
      <c r="BQ639" s="127">
        <f ca="1">(CH639-$AW$4)/((YEAR($C$13))-$AW$4)</f>
        <v>1</v>
      </c>
      <c r="BR639" s="127">
        <f>(AL639)/($AW$6)</f>
        <v>0</v>
      </c>
      <c r="BS639" s="4"/>
      <c r="BT639" s="127"/>
      <c r="BU639" s="127">
        <f ca="1">(CG639-$AW$4)/((YEAR($C$13))-$AW$4)</f>
        <v>0.2</v>
      </c>
      <c r="BV639" s="127">
        <f>AE639/5</f>
        <v>0.4</v>
      </c>
      <c r="BW639" s="127">
        <f>AF639/5</f>
        <v>0.8</v>
      </c>
      <c r="BX639" s="4"/>
      <c r="BY639" s="148" t="str">
        <f>IF(E639="A",".98",IF(E639="B",".99",IF(E639="C","1.00",IF(E639="D","1.00" ))))</f>
        <v>1.00</v>
      </c>
      <c r="BZ639" s="127">
        <f>(CE639+7)/10</f>
        <v>1</v>
      </c>
      <c r="CA639" s="76" t="str">
        <f>IF(D639="Fern",".97",IF(D639="Grass",".99",IF(D639="Herb",".97",IF(D639="Shrub",".99",IF(D639="Tree","1.00",IF(D639="Vine",".98"))))))</f>
        <v>.97</v>
      </c>
      <c r="CB639" s="149" t="str">
        <f>IF(R639="Bogs Ponds Streams",".96", IF(R639="Coastal Areas",".97",IF(R639="Meadows Dry Open",".96",IF(R639="Forest &amp; Understory",".97",IF(R639="Moist Open",".98",IF(R639="Moist Shady",".96",IF(R639="Sub-Alpine","1.0")))))))</f>
        <v>.98</v>
      </c>
      <c r="CC639" s="76" t="str">
        <f>IF(S639="Local Endemic",".50",IF(S639="Regional Endemic",".70",IF(S639="Cascadia",".90",IF(S639="Rocky Mountain",".95",IF(S639="North America",".99")))))</f>
        <v>.70</v>
      </c>
      <c r="CD639" s="4"/>
      <c r="CE639" s="21">
        <f>IF(W639&gt;3,3,W639)</f>
        <v>3</v>
      </c>
      <c r="CF639" s="21">
        <f>IF(AC639&gt;102,102,AC639)</f>
        <v>3</v>
      </c>
      <c r="CG639" s="34">
        <f>IF(AI639&lt;$AW$4,$AW$4,AI639)</f>
        <v>2007</v>
      </c>
      <c r="CH639" s="34">
        <f ca="1">IF(AJ639&lt;$AW$4,$AW$4,AJ639)</f>
        <v>2019</v>
      </c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13"/>
    </row>
    <row r="640" spans="1:116" ht="15" customHeight="1" x14ac:dyDescent="0.3">
      <c r="A640" s="235"/>
      <c r="B640" s="218"/>
      <c r="C640" s="225">
        <v>8</v>
      </c>
      <c r="D640" s="59" t="s">
        <v>2505</v>
      </c>
      <c r="E640" s="59" t="s">
        <v>2501</v>
      </c>
      <c r="F640" s="397" t="str">
        <f ca="1">IF(BC640&lt;2025, "Extinct&lt; 6Yrs?",BA640)</f>
        <v>Widespread</v>
      </c>
      <c r="G640" s="363" t="s">
        <v>525</v>
      </c>
      <c r="H640" s="363" t="s">
        <v>685</v>
      </c>
      <c r="I640" s="364" t="s">
        <v>2587</v>
      </c>
      <c r="J640" s="365" t="s">
        <v>1218</v>
      </c>
      <c r="K640" s="365" t="s">
        <v>1178</v>
      </c>
      <c r="L640" s="17" t="s">
        <v>1636</v>
      </c>
      <c r="M640" s="8" t="s">
        <v>4713</v>
      </c>
      <c r="N640" s="8" t="s">
        <v>5611</v>
      </c>
      <c r="O640" s="8" t="s">
        <v>6510</v>
      </c>
      <c r="P640" s="398" t="s">
        <v>674</v>
      </c>
      <c r="Q640" s="59" t="s">
        <v>2552</v>
      </c>
      <c r="R640" s="160" t="s">
        <v>2497</v>
      </c>
      <c r="S640" s="17" t="s">
        <v>2479</v>
      </c>
      <c r="T640" s="123" t="str">
        <f>IF(R640="Bogs Ponds Streams","20",IF(R640="Coastal Areas","26",IF(R640="Meadows Dry Open","10",IF(R640="Forest &amp; Understory","14",IF(R640="Moist Open","12",IF(R640="Moist Shady","10",IF(R640="Sub-Alpine Slopes","0")))))))</f>
        <v>12</v>
      </c>
      <c r="U640" s="123" t="str">
        <f>IF(R640="Bogs Ponds Streams","52",IF(R640="Coastal Areas","51",IF(R640="Meadows Dry Open","53",IF(R640="Forest &amp; Understory","52",IF(R640="Moist Open","50",IF(R640="Moist Shady","46",IF(R640="Sub-Alpine Slopes","40")))))))</f>
        <v>50</v>
      </c>
      <c r="V640" s="123" t="str">
        <f>IF(R640="Bogs Ponds Streams","84",IF(R640="Coastal Areas","76",IF(R640="Meadows Dry Open","96", IF(R640="Forest &amp; Understory","90", IF(R640="Moist Open","88", IF(R640="Moist Shady","82", IF(R640="Sub-Alpine Slopes","80")))))))</f>
        <v>88</v>
      </c>
      <c r="W640" s="59">
        <v>20</v>
      </c>
      <c r="X640" s="59">
        <v>0</v>
      </c>
      <c r="Y640" s="59">
        <v>3500</v>
      </c>
      <c r="Z640" s="59" t="s">
        <v>2519</v>
      </c>
      <c r="AA640" s="59" t="s">
        <v>2518</v>
      </c>
      <c r="AB640" s="59">
        <v>6.8</v>
      </c>
      <c r="AC640" s="45">
        <f>C640+AK640+(0.1)*AL640</f>
        <v>19.3</v>
      </c>
      <c r="AD640" s="77">
        <v>221</v>
      </c>
      <c r="AE640" s="59">
        <v>5</v>
      </c>
      <c r="AF640" s="59">
        <v>5</v>
      </c>
      <c r="AG640" s="59">
        <v>1900</v>
      </c>
      <c r="AH640" s="77">
        <v>0</v>
      </c>
      <c r="AI640" s="59">
        <f ca="1">AJ640</f>
        <v>2019</v>
      </c>
      <c r="AJ640" s="18">
        <f ca="1">YEAR(TODAY())</f>
        <v>2019</v>
      </c>
      <c r="AK640" s="18">
        <v>8</v>
      </c>
      <c r="AL640" s="18">
        <v>33</v>
      </c>
      <c r="AM640" s="18">
        <v>1</v>
      </c>
      <c r="AN640" s="18">
        <v>1</v>
      </c>
      <c r="AO640" s="18">
        <v>5</v>
      </c>
      <c r="AP640" s="18">
        <v>1</v>
      </c>
      <c r="AQ640" s="18">
        <v>0</v>
      </c>
      <c r="AR640" s="18">
        <v>0</v>
      </c>
      <c r="AS640" s="18">
        <v>0</v>
      </c>
      <c r="AT640" s="18">
        <v>0</v>
      </c>
      <c r="AU640" s="18">
        <v>0</v>
      </c>
      <c r="AV640" s="18">
        <v>0</v>
      </c>
      <c r="AW640" s="18">
        <v>0</v>
      </c>
      <c r="AX640" s="18">
        <v>0</v>
      </c>
      <c r="AY640" s="233"/>
      <c r="AZ640" s="4"/>
      <c r="BA640" s="35" t="str">
        <f>IF(OR(S640="North America",S640="Rocky Mountain"), "Widespread",BC640)</f>
        <v>Widespread</v>
      </c>
      <c r="BB640" s="4"/>
      <c r="BC640" s="35" t="str">
        <f ca="1">IF(BE640&gt;2046, "Abundant",BE640)</f>
        <v>Abundant</v>
      </c>
      <c r="BD640" s="4"/>
      <c r="BE640" s="81">
        <f ca="1">YEAR($C$13)+(BG640*80)</f>
        <v>2104.2082852049912</v>
      </c>
      <c r="BF640" s="4"/>
      <c r="BG640" s="137">
        <f ca="1">BH640*$BH$14</f>
        <v>1.0651035650623886</v>
      </c>
      <c r="BH640" s="137">
        <f ca="1">(((BJ640+BK640+BM640+BN640)/4)*$BM$11)+(((BP640+BQ640)/2)*$BQ$11)+(((BU640+BV640+BW640)/3)*$BU$11)+(((BY640+BZ640+CA640+CB640+CC640)/5)*$CA$11)</f>
        <v>1.0651035650623886</v>
      </c>
      <c r="BI640" s="4"/>
      <c r="BJ640" s="33">
        <f>AP640/(AM640+AO640)</f>
        <v>0.16666666666666666</v>
      </c>
      <c r="BK640" s="33">
        <f>(AN640+AO640)/(AM640+AO640)</f>
        <v>1</v>
      </c>
      <c r="BL640" s="4"/>
      <c r="BM640" s="127">
        <f>CF640/102</f>
        <v>0.1892156862745098</v>
      </c>
      <c r="BN640" s="127">
        <f>C640/2</f>
        <v>4</v>
      </c>
      <c r="BO640" s="4"/>
      <c r="BP640" s="127">
        <f>(AK640)/($AW$6)</f>
        <v>8.0808080808080815E-2</v>
      </c>
      <c r="BQ640" s="127">
        <f ca="1">(CH640-$AW$4)/((YEAR($C$13))-$AW$4)</f>
        <v>1</v>
      </c>
      <c r="BR640" s="127">
        <f>(AL640)/($AW$6)</f>
        <v>0.33333333333333331</v>
      </c>
      <c r="BS640" s="4"/>
      <c r="BT640" s="127"/>
      <c r="BU640" s="127">
        <f ca="1">(CG640-$AW$4)/((YEAR($C$13))-$AW$4)</f>
        <v>1</v>
      </c>
      <c r="BV640" s="127">
        <f>AE640/5</f>
        <v>1</v>
      </c>
      <c r="BW640" s="127">
        <f>AF640/5</f>
        <v>1</v>
      </c>
      <c r="BX640" s="4"/>
      <c r="BY640" s="148" t="str">
        <f>IF(E640="A",".98",IF(E640="B",".99",IF(E640="C","1.00",IF(E640="D","1.00" ))))</f>
        <v>1.00</v>
      </c>
      <c r="BZ640" s="127">
        <f>(CE640+7)/10</f>
        <v>1</v>
      </c>
      <c r="CA640" s="76" t="str">
        <f>IF(D640="Fern",".97",IF(D640="Grass",".99",IF(D640="Herb",".97",IF(D640="Shrub",".99",IF(D640="Tree","1.00",IF(D640="Vine",".98"))))))</f>
        <v>.97</v>
      </c>
      <c r="CB640" s="149" t="str">
        <f>IF(R640="Bogs Ponds Streams",".96", IF(R640="Coastal Areas",".97",IF(R640="Meadows Dry Open",".96",IF(R640="Forest &amp; Understory",".97",IF(R640="Moist Open",".98",IF(R640="Moist Shady",".96",IF(R640="Sub-Alpine","1.0")))))))</f>
        <v>.98</v>
      </c>
      <c r="CC640" s="76" t="str">
        <f>IF(S640="Local Endemic",".50",IF(S640="Regional Endemic",".70",IF(S640="Cascadia",".90",IF(S640="Rocky Mountain",".95",IF(S640="North America",".99")))))</f>
        <v>.95</v>
      </c>
      <c r="CD640" s="4"/>
      <c r="CE640" s="21">
        <f>IF(W640&gt;3,3,W640)</f>
        <v>3</v>
      </c>
      <c r="CF640" s="21">
        <f>IF(AC640&gt;102,102,AC640)</f>
        <v>19.3</v>
      </c>
      <c r="CG640" s="34">
        <f ca="1">IF(AI640&lt;$AW$4,$AW$4,AI640)</f>
        <v>2019</v>
      </c>
      <c r="CH640" s="34">
        <f ca="1">IF(AJ640&lt;$AW$4,$AW$4,AJ640)</f>
        <v>2019</v>
      </c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13"/>
    </row>
    <row r="641" spans="1:115" ht="15" customHeight="1" x14ac:dyDescent="0.3">
      <c r="A641" s="235"/>
      <c r="B641" s="218"/>
      <c r="C641" s="375">
        <v>1</v>
      </c>
      <c r="D641" s="67" t="s">
        <v>2505</v>
      </c>
      <c r="E641" s="67" t="s">
        <v>2502</v>
      </c>
      <c r="F641" s="403" t="str">
        <f ca="1">IF(BC641&lt;2025, "Extinct&lt; 6Yrs?",BA641)</f>
        <v>Widespread</v>
      </c>
      <c r="G641" s="376" t="s">
        <v>525</v>
      </c>
      <c r="H641" s="376" t="s">
        <v>4028</v>
      </c>
      <c r="I641" s="380" t="s">
        <v>271</v>
      </c>
      <c r="J641" s="378" t="s">
        <v>3539</v>
      </c>
      <c r="K641" s="378" t="s">
        <v>29</v>
      </c>
      <c r="L641" s="63" t="s">
        <v>2232</v>
      </c>
      <c r="M641" s="64" t="s">
        <v>4714</v>
      </c>
      <c r="N641" s="64" t="s">
        <v>5612</v>
      </c>
      <c r="O641" s="64" t="s">
        <v>6511</v>
      </c>
      <c r="P641" s="61" t="s">
        <v>268</v>
      </c>
      <c r="Q641" s="67" t="s">
        <v>2552</v>
      </c>
      <c r="R641" s="61" t="s">
        <v>2500</v>
      </c>
      <c r="S641" s="61" t="s">
        <v>2495</v>
      </c>
      <c r="T641" s="134" t="str">
        <f>IF(R641="Bogs Ponds Streams","20",IF(R641="Coastal Areas","26",IF(R641="Meadows Dry Open","10",IF(R641="Forest &amp; Understory","14",IF(R641="Moist Open","12",IF(R641="Moist Shady","10",IF(R641="Sub-Alpine Slopes","0")))))))</f>
        <v>10</v>
      </c>
      <c r="U641" s="134" t="str">
        <f>IF(R641="Bogs Ponds Streams","52",IF(R641="Coastal Areas","51",IF(R641="Meadows Dry Open","53",IF(R641="Forest &amp; Understory","52",IF(R641="Moist Open","50",IF(R641="Moist Shady","46",IF(R641="Sub-Alpine Slopes","40")))))))</f>
        <v>53</v>
      </c>
      <c r="V641" s="134" t="str">
        <f>IF(R641="Bogs Ponds Streams","84",IF(R641="Coastal Areas","76",IF(R641="Meadows Dry Open","96", IF(R641="Forest &amp; Understory","90", IF(R641="Moist Open","88", IF(R641="Moist Shady","82", IF(R641="Sub-Alpine Slopes","80")))))))</f>
        <v>96</v>
      </c>
      <c r="W641" s="67">
        <v>1</v>
      </c>
      <c r="X641" s="67">
        <v>0</v>
      </c>
      <c r="Y641" s="67">
        <v>3500</v>
      </c>
      <c r="Z641" s="67" t="s">
        <v>2519</v>
      </c>
      <c r="AA641" s="67" t="s">
        <v>2518</v>
      </c>
      <c r="AB641" s="67">
        <v>6.8</v>
      </c>
      <c r="AC641" s="85">
        <f>C641+AK641+(0.1)*AL641</f>
        <v>16.3</v>
      </c>
      <c r="AD641" s="78">
        <v>167</v>
      </c>
      <c r="AE641" s="67">
        <v>5</v>
      </c>
      <c r="AF641" s="67">
        <v>5</v>
      </c>
      <c r="AG641" s="67">
        <v>1900</v>
      </c>
      <c r="AH641" s="78">
        <v>0</v>
      </c>
      <c r="AI641" s="67">
        <f>AJ641</f>
        <v>2004</v>
      </c>
      <c r="AJ641" s="69">
        <v>2004</v>
      </c>
      <c r="AK641" s="69">
        <v>12</v>
      </c>
      <c r="AL641" s="69">
        <v>33</v>
      </c>
      <c r="AM641" s="70">
        <v>5</v>
      </c>
      <c r="AN641" s="70">
        <v>0</v>
      </c>
      <c r="AO641" s="86">
        <v>0</v>
      </c>
      <c r="AP641" s="70">
        <v>0</v>
      </c>
      <c r="AQ641" s="70">
        <v>0</v>
      </c>
      <c r="AR641" s="70">
        <v>0</v>
      </c>
      <c r="AS641" s="86">
        <v>0</v>
      </c>
      <c r="AT641" s="70">
        <v>0</v>
      </c>
      <c r="AU641" s="70">
        <v>0</v>
      </c>
      <c r="AV641" s="70">
        <v>0</v>
      </c>
      <c r="AW641" s="86">
        <v>0</v>
      </c>
      <c r="AX641" s="70">
        <v>0</v>
      </c>
      <c r="AY641" s="233"/>
      <c r="AZ641" s="4"/>
      <c r="BA641" s="35" t="str">
        <f>IF(OR(S641="North America",S641="Rocky Mountain"), "Widespread",BC641)</f>
        <v>Widespread</v>
      </c>
      <c r="BB641" s="4"/>
      <c r="BC641" s="35">
        <f ca="1">IF(BE641&gt;2046, "Abundant",BE641)</f>
        <v>2034.1428591800357</v>
      </c>
      <c r="BD641" s="4"/>
      <c r="BE641" s="81">
        <f ca="1">YEAR($C$13)+(BG641*80)</f>
        <v>2034.1428591800357</v>
      </c>
      <c r="BF641" s="4"/>
      <c r="BG641" s="137">
        <f ca="1">BH641*$BH$14</f>
        <v>0.18928573975044563</v>
      </c>
      <c r="BH641" s="137">
        <f ca="1">(((BJ641+BK641+BM641+BN641)/4)*$BM$11)+(((BP641+BQ641)/2)*$BQ$11)+(((BU641+BV641+BW641)/3)*$BU$11)+(((BY641+BZ641+CA641+CB641+CC641)/5)*$CA$11)</f>
        <v>0.18928573975044563</v>
      </c>
      <c r="BI641" s="4"/>
      <c r="BJ641" s="33">
        <f>AP641/(AM641+AO641)</f>
        <v>0</v>
      </c>
      <c r="BK641" s="33">
        <f>(AN641+AO641)/(AM641+AO641)</f>
        <v>0</v>
      </c>
      <c r="BL641" s="4"/>
      <c r="BM641" s="127">
        <f>CF641/102</f>
        <v>0.15980392156862747</v>
      </c>
      <c r="BN641" s="127">
        <f>C641/2</f>
        <v>0.5</v>
      </c>
      <c r="BO641" s="4"/>
      <c r="BP641" s="127">
        <f>(AK641)/($AW$6)</f>
        <v>0.12121212121212122</v>
      </c>
      <c r="BQ641" s="127">
        <f ca="1">(CH641-$AW$4)/((YEAR($C$13))-$AW$4)</f>
        <v>0</v>
      </c>
      <c r="BR641" s="127">
        <f>(AL641)/($AW$6)</f>
        <v>0.33333333333333331</v>
      </c>
      <c r="BS641" s="4"/>
      <c r="BT641" s="127"/>
      <c r="BU641" s="127">
        <f ca="1">(CG641-$AW$4)/((YEAR($C$13))-$AW$4)</f>
        <v>0</v>
      </c>
      <c r="BV641" s="127">
        <f>AE641/5</f>
        <v>1</v>
      </c>
      <c r="BW641" s="127">
        <f>AF641/5</f>
        <v>1</v>
      </c>
      <c r="BX641" s="4"/>
      <c r="BY641" s="148" t="str">
        <f>IF(E641="A",".98",IF(E641="B",".99",IF(E641="C","1.00",IF(E641="D","1.00" ))))</f>
        <v>.98</v>
      </c>
      <c r="BZ641" s="127">
        <f>(CE641+7)/10</f>
        <v>0.8</v>
      </c>
      <c r="CA641" s="76" t="str">
        <f>IF(D641="Fern",".97",IF(D641="Grass",".99",IF(D641="Herb",".97",IF(D641="Shrub",".99",IF(D641="Tree","1.00",IF(D641="Vine",".98"))))))</f>
        <v>.97</v>
      </c>
      <c r="CB641" s="149" t="str">
        <f>IF(R641="Bogs Ponds Streams",".96", IF(R641="Coastal Areas",".97",IF(R641="Meadows Dry Open",".96",IF(R641="Forest &amp; Understory",".97",IF(R641="Moist Open",".98",IF(R641="Moist Shady",".96",IF(R641="Sub-Alpine","1.0")))))))</f>
        <v>.96</v>
      </c>
      <c r="CC641" s="76" t="str">
        <f>IF(S641="Local Endemic",".50",IF(S641="Regional Endemic",".70",IF(S641="Cascadia",".90",IF(S641="Rocky Mountain",".95",IF(S641="North America",".99")))))</f>
        <v>.99</v>
      </c>
      <c r="CD641" s="4"/>
      <c r="CE641" s="21">
        <f>IF(W641&gt;3,3,W641)</f>
        <v>1</v>
      </c>
      <c r="CF641" s="21">
        <f>IF(AC641&gt;102,102,AC641)</f>
        <v>16.3</v>
      </c>
      <c r="CG641" s="34">
        <f>IF(AI641&lt;$AW$4,$AW$4,AI641)</f>
        <v>2004</v>
      </c>
      <c r="CH641" s="34">
        <f>IF(AJ641&lt;$AW$4,$AW$4,AJ641)</f>
        <v>2004</v>
      </c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</row>
    <row r="642" spans="1:115" ht="15" customHeight="1" x14ac:dyDescent="0.3">
      <c r="A642" s="235"/>
      <c r="B642" s="218"/>
      <c r="C642" s="225">
        <v>8</v>
      </c>
      <c r="D642" s="96" t="s">
        <v>2506</v>
      </c>
      <c r="E642" s="60" t="s">
        <v>2501</v>
      </c>
      <c r="F642" s="397" t="str">
        <f ca="1">IF(BC642&lt;2025, "Extinct&lt; 6Yrs?",BA642)</f>
        <v>Abundant</v>
      </c>
      <c r="G642" s="363" t="s">
        <v>525</v>
      </c>
      <c r="H642" s="363" t="s">
        <v>685</v>
      </c>
      <c r="I642" s="366" t="s">
        <v>270</v>
      </c>
      <c r="J642" s="365" t="s">
        <v>4013</v>
      </c>
      <c r="K642" s="365" t="s">
        <v>269</v>
      </c>
      <c r="L642" s="10" t="s">
        <v>1637</v>
      </c>
      <c r="M642" s="8" t="s">
        <v>4715</v>
      </c>
      <c r="N642" s="8" t="s">
        <v>5613</v>
      </c>
      <c r="O642" s="8" t="s">
        <v>6512</v>
      </c>
      <c r="P642" s="9" t="s">
        <v>268</v>
      </c>
      <c r="Q642" s="59" t="s">
        <v>2552</v>
      </c>
      <c r="R642" s="9" t="s">
        <v>2453</v>
      </c>
      <c r="S642" s="9" t="s">
        <v>2459</v>
      </c>
      <c r="T642" s="123" t="str">
        <f>IF(R642="Bogs Ponds Streams","20",IF(R642="Coastal Areas","26",IF(R642="Meadows Dry Open","10",IF(R642="Forest &amp; Understory","14",IF(R642="Moist Open","12",IF(R642="Moist Shady","10",IF(R642="Sub-Alpine Slopes","0")))))))</f>
        <v>26</v>
      </c>
      <c r="U642" s="123" t="str">
        <f>IF(R642="Bogs Ponds Streams","52",IF(R642="Coastal Areas","51",IF(R642="Meadows Dry Open","53",IF(R642="Forest &amp; Understory","52",IF(R642="Moist Open","50",IF(R642="Moist Shady","46",IF(R642="Sub-Alpine Slopes","40")))))))</f>
        <v>51</v>
      </c>
      <c r="V642" s="123" t="str">
        <f>IF(R642="Bogs Ponds Streams","84",IF(R642="Coastal Areas","76",IF(R642="Meadows Dry Open","96", IF(R642="Forest &amp; Understory","90", IF(R642="Moist Open","88", IF(R642="Moist Shady","82", IF(R642="Sub-Alpine Slopes","80")))))))</f>
        <v>76</v>
      </c>
      <c r="W642" s="59">
        <v>20</v>
      </c>
      <c r="X642" s="59">
        <v>0</v>
      </c>
      <c r="Y642" s="59">
        <v>3500</v>
      </c>
      <c r="Z642" s="59" t="s">
        <v>2519</v>
      </c>
      <c r="AA642" s="59" t="s">
        <v>2518</v>
      </c>
      <c r="AB642" s="59">
        <v>6.8</v>
      </c>
      <c r="AC642" s="45">
        <f>C642+AK642+(0.1)*AL642</f>
        <v>17</v>
      </c>
      <c r="AD642" s="77">
        <v>39</v>
      </c>
      <c r="AE642" s="59">
        <v>5</v>
      </c>
      <c r="AF642" s="59">
        <v>5</v>
      </c>
      <c r="AG642" s="59">
        <v>1900</v>
      </c>
      <c r="AH642" s="77">
        <v>0</v>
      </c>
      <c r="AI642" s="59">
        <f ca="1">AJ642</f>
        <v>2019</v>
      </c>
      <c r="AJ642" s="18">
        <f ca="1">YEAR(TODAY())</f>
        <v>2019</v>
      </c>
      <c r="AK642" s="18">
        <v>9</v>
      </c>
      <c r="AL642" s="18">
        <v>0</v>
      </c>
      <c r="AM642" s="18">
        <v>1</v>
      </c>
      <c r="AN642" s="18">
        <v>1</v>
      </c>
      <c r="AO642" s="18">
        <v>5</v>
      </c>
      <c r="AP642" s="18">
        <v>1</v>
      </c>
      <c r="AQ642" s="18">
        <v>0</v>
      </c>
      <c r="AR642" s="18">
        <v>0</v>
      </c>
      <c r="AS642" s="18">
        <v>0</v>
      </c>
      <c r="AT642" s="18">
        <v>0</v>
      </c>
      <c r="AU642" s="18">
        <v>0</v>
      </c>
      <c r="AV642" s="18">
        <v>0</v>
      </c>
      <c r="AW642" s="18">
        <v>0</v>
      </c>
      <c r="AX642" s="18">
        <v>0</v>
      </c>
      <c r="AY642" s="233"/>
      <c r="AZ642" s="4"/>
      <c r="BA642" s="35" t="str">
        <f ca="1">IF(OR(S642="North America",S642="Rocky Mountain"), "Widespread",BC642)</f>
        <v>Abundant</v>
      </c>
      <c r="BB642" s="4"/>
      <c r="BC642" s="35" t="str">
        <f ca="1">IF(BE642&gt;2046, "Abundant",BE642)</f>
        <v>Abundant</v>
      </c>
      <c r="BD642" s="4"/>
      <c r="BE642" s="81">
        <f ca="1">YEAR($C$13)+(BG642*80)</f>
        <v>2104.0461090909089</v>
      </c>
      <c r="BF642" s="4"/>
      <c r="BG642" s="137">
        <f ca="1">BH642*$BH$14</f>
        <v>1.0630763636363636</v>
      </c>
      <c r="BH642" s="137">
        <f ca="1">(((BJ642+BK642+BM642+BN642)/4)*$BM$11)+(((BP642+BQ642)/2)*$BQ$11)+(((BU642+BV642+BW642)/3)*$BU$11)+(((BY642+BZ642+CA642+CB642+CC642)/5)*$CA$11)</f>
        <v>1.0630763636363636</v>
      </c>
      <c r="BI642" s="4"/>
      <c r="BJ642" s="33">
        <f>AP642/(AM642+AO642)</f>
        <v>0.16666666666666666</v>
      </c>
      <c r="BK642" s="33">
        <f>(AN642+AO642)/(AM642+AO642)</f>
        <v>1</v>
      </c>
      <c r="BL642" s="4"/>
      <c r="BM642" s="127">
        <f>CF642/102</f>
        <v>0.16666666666666666</v>
      </c>
      <c r="BN642" s="127">
        <f>C642/2</f>
        <v>4</v>
      </c>
      <c r="BO642" s="4"/>
      <c r="BP642" s="127">
        <f>(AK642)/($AW$6)</f>
        <v>9.0909090909090912E-2</v>
      </c>
      <c r="BQ642" s="127">
        <f ca="1">(CH642-$AW$4)/((YEAR($C$13))-$AW$4)</f>
        <v>1</v>
      </c>
      <c r="BR642" s="127">
        <f>(AL642)/($AW$6)</f>
        <v>0</v>
      </c>
      <c r="BS642" s="4"/>
      <c r="BT642" s="127"/>
      <c r="BU642" s="127">
        <f ca="1">(CG642-$AW$4)/((YEAR($C$13))-$AW$4)</f>
        <v>1</v>
      </c>
      <c r="BV642" s="127">
        <f>AE642/5</f>
        <v>1</v>
      </c>
      <c r="BW642" s="127">
        <f>AF642/5</f>
        <v>1</v>
      </c>
      <c r="BX642" s="4"/>
      <c r="BY642" s="148" t="str">
        <f>IF(E642="A",".98",IF(E642="B",".99",IF(E642="C","1.00",IF(E642="D","1.00" ))))</f>
        <v>1.00</v>
      </c>
      <c r="BZ642" s="127">
        <f>(CE642+7)/10</f>
        <v>1</v>
      </c>
      <c r="CA642" s="76" t="str">
        <f>IF(D642="Fern",".97",IF(D642="Grass",".99",IF(D642="Herb",".97",IF(D642="Shrub",".99",IF(D642="Tree","1.00",IF(D642="Vine",".98"))))))</f>
        <v>.99</v>
      </c>
      <c r="CB642" s="149" t="str">
        <f>IF(R642="Bogs Ponds Streams",".96", IF(R642="Coastal Areas",".97",IF(R642="Meadows Dry Open",".96",IF(R642="Forest &amp; Understory",".97",IF(R642="Moist Open",".98",IF(R642="Moist Shady",".96",IF(R642="Sub-Alpine","1.0")))))))</f>
        <v>.97</v>
      </c>
      <c r="CC642" s="76" t="str">
        <f>IF(S642="Local Endemic",".50",IF(S642="Regional Endemic",".70",IF(S642="Cascadia",".90",IF(S642="Rocky Mountain",".95",IF(S642="North America",".99")))))</f>
        <v>.90</v>
      </c>
      <c r="CD642" s="4"/>
      <c r="CE642" s="21">
        <f>IF(W642&gt;3,3,W642)</f>
        <v>3</v>
      </c>
      <c r="CF642" s="21">
        <f>IF(AC642&gt;102,102,AC642)</f>
        <v>17</v>
      </c>
      <c r="CG642" s="34">
        <f ca="1">IF(AI642&lt;$AW$4,$AW$4,AI642)</f>
        <v>2019</v>
      </c>
      <c r="CH642" s="34">
        <f ca="1">IF(AJ642&lt;$AW$4,$AW$4,AJ642)</f>
        <v>2019</v>
      </c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</row>
    <row r="643" spans="1:115" ht="15" customHeight="1" x14ac:dyDescent="0.3">
      <c r="A643" s="235"/>
      <c r="B643" s="218"/>
      <c r="C643" s="375">
        <v>1</v>
      </c>
      <c r="D643" s="67" t="s">
        <v>2505</v>
      </c>
      <c r="E643" s="67" t="s">
        <v>2502</v>
      </c>
      <c r="F643" s="403">
        <f ca="1">IF(BC643&lt;2025, "Extinct&lt; 6Yrs?",BA643)</f>
        <v>2036.2438274509805</v>
      </c>
      <c r="G643" s="376" t="s">
        <v>525</v>
      </c>
      <c r="H643" s="376" t="s">
        <v>4028</v>
      </c>
      <c r="I643" s="379" t="s">
        <v>2692</v>
      </c>
      <c r="J643" s="378" t="s">
        <v>3538</v>
      </c>
      <c r="K643" s="378" t="s">
        <v>2800</v>
      </c>
      <c r="L643" s="65" t="s">
        <v>2233</v>
      </c>
      <c r="M643" s="64" t="s">
        <v>4716</v>
      </c>
      <c r="N643" s="64" t="s">
        <v>5614</v>
      </c>
      <c r="O643" s="64" t="s">
        <v>6513</v>
      </c>
      <c r="P643" s="404" t="s">
        <v>268</v>
      </c>
      <c r="Q643" s="67" t="s">
        <v>2552</v>
      </c>
      <c r="R643" s="61" t="s">
        <v>2500</v>
      </c>
      <c r="S643" s="61" t="s">
        <v>2459</v>
      </c>
      <c r="T643" s="134" t="str">
        <f>IF(R643="Bogs Ponds Streams","20",IF(R643="Coastal Areas","26",IF(R643="Meadows Dry Open","10",IF(R643="Forest &amp; Understory","14",IF(R643="Moist Open","12",IF(R643="Moist Shady","10",IF(R643="Sub-Alpine Slopes","0")))))))</f>
        <v>10</v>
      </c>
      <c r="U643" s="134" t="str">
        <f>IF(R643="Bogs Ponds Streams","52",IF(R643="Coastal Areas","51",IF(R643="Meadows Dry Open","53",IF(R643="Forest &amp; Understory","52",IF(R643="Moist Open","50",IF(R643="Moist Shady","46",IF(R643="Sub-Alpine Slopes","40")))))))</f>
        <v>53</v>
      </c>
      <c r="V643" s="134" t="str">
        <f>IF(R643="Bogs Ponds Streams","84",IF(R643="Coastal Areas","76",IF(R643="Meadows Dry Open","96", IF(R643="Forest &amp; Understory","90", IF(R643="Moist Open","88", IF(R643="Moist Shady","82", IF(R643="Sub-Alpine Slopes","80")))))))</f>
        <v>96</v>
      </c>
      <c r="W643" s="67">
        <v>1</v>
      </c>
      <c r="X643" s="67">
        <v>0</v>
      </c>
      <c r="Y643" s="67">
        <v>3500</v>
      </c>
      <c r="Z643" s="67" t="s">
        <v>2519</v>
      </c>
      <c r="AA643" s="67" t="s">
        <v>2518</v>
      </c>
      <c r="AB643" s="67">
        <v>6.8</v>
      </c>
      <c r="AC643" s="85">
        <f>C643+AK643+(0.1)*AL643</f>
        <v>24.1</v>
      </c>
      <c r="AD643" s="78">
        <v>89</v>
      </c>
      <c r="AE643" s="67">
        <v>5</v>
      </c>
      <c r="AF643" s="67">
        <v>5</v>
      </c>
      <c r="AG643" s="67">
        <v>1900</v>
      </c>
      <c r="AH643" s="78">
        <v>0</v>
      </c>
      <c r="AI643" s="67">
        <f>AJ643</f>
        <v>2004</v>
      </c>
      <c r="AJ643" s="69">
        <v>2004</v>
      </c>
      <c r="AK643" s="69">
        <v>22</v>
      </c>
      <c r="AL643" s="69">
        <v>11</v>
      </c>
      <c r="AM643" s="70">
        <v>5</v>
      </c>
      <c r="AN643" s="70">
        <v>0</v>
      </c>
      <c r="AO643" s="86">
        <v>0</v>
      </c>
      <c r="AP643" s="70">
        <v>0</v>
      </c>
      <c r="AQ643" s="70">
        <v>0</v>
      </c>
      <c r="AR643" s="70">
        <v>0</v>
      </c>
      <c r="AS643" s="86">
        <v>0</v>
      </c>
      <c r="AT643" s="70">
        <v>0</v>
      </c>
      <c r="AU643" s="70">
        <v>0</v>
      </c>
      <c r="AV643" s="70">
        <v>0</v>
      </c>
      <c r="AW643" s="86">
        <v>0</v>
      </c>
      <c r="AX643" s="70">
        <v>0</v>
      </c>
      <c r="AY643" s="233"/>
      <c r="AZ643" s="4"/>
      <c r="BA643" s="35">
        <f ca="1">IF(OR(S643="North America",S643="Rocky Mountain"), "Widespread",BC643)</f>
        <v>2036.2438274509805</v>
      </c>
      <c r="BB643" s="4"/>
      <c r="BC643" s="35">
        <f ca="1">IF(BE643&gt;2046, "Abundant",BE643)</f>
        <v>2036.2438274509805</v>
      </c>
      <c r="BD643" s="4"/>
      <c r="BE643" s="81">
        <f ca="1">YEAR($C$13)+(BG643*80)</f>
        <v>2036.2438274509805</v>
      </c>
      <c r="BF643" s="4"/>
      <c r="BG643" s="137">
        <f ca="1">BH643*$BH$14</f>
        <v>0.21554784313725489</v>
      </c>
      <c r="BH643" s="137">
        <f ca="1">(((BJ643+BK643+BM643+BN643)/4)*$BM$11)+(((BP643+BQ643)/2)*$BQ$11)+(((BU643+BV643+BW643)/3)*$BU$11)+(((BY643+BZ643+CA643+CB643+CC643)/5)*$CA$11)</f>
        <v>0.21554784313725489</v>
      </c>
      <c r="BI643" s="4"/>
      <c r="BJ643" s="33">
        <f>AP643/(AM643+AO643)</f>
        <v>0</v>
      </c>
      <c r="BK643" s="33">
        <f>(AN643+AO643)/(AM643+AO643)</f>
        <v>0</v>
      </c>
      <c r="BL643" s="4"/>
      <c r="BM643" s="127">
        <f>CF643/102</f>
        <v>0.23627450980392159</v>
      </c>
      <c r="BN643" s="127">
        <f>C643/2</f>
        <v>0.5</v>
      </c>
      <c r="BO643" s="4"/>
      <c r="BP643" s="127">
        <f>(AK643)/($AW$6)</f>
        <v>0.22222222222222221</v>
      </c>
      <c r="BQ643" s="127">
        <f ca="1">(CH643-$AW$4)/((YEAR($C$13))-$AW$4)</f>
        <v>0</v>
      </c>
      <c r="BR643" s="127">
        <f>(AL643)/($AW$6)</f>
        <v>0.1111111111111111</v>
      </c>
      <c r="BS643" s="4"/>
      <c r="BT643" s="127"/>
      <c r="BU643" s="127">
        <f ca="1">(CG643-$AW$4)/((YEAR($C$13))-$AW$4)</f>
        <v>0</v>
      </c>
      <c r="BV643" s="127">
        <f>AE643/5</f>
        <v>1</v>
      </c>
      <c r="BW643" s="127">
        <f>AF643/5</f>
        <v>1</v>
      </c>
      <c r="BX643" s="4"/>
      <c r="BY643" s="148" t="str">
        <f>IF(E643="A",".98",IF(E643="B",".99",IF(E643="C","1.00",IF(E643="D","1.00" ))))</f>
        <v>.98</v>
      </c>
      <c r="BZ643" s="127">
        <f>(CE643+7)/10</f>
        <v>0.8</v>
      </c>
      <c r="CA643" s="76" t="str">
        <f>IF(D643="Fern",".97",IF(D643="Grass",".99",IF(D643="Herb",".97",IF(D643="Shrub",".99",IF(D643="Tree","1.00",IF(D643="Vine",".98"))))))</f>
        <v>.97</v>
      </c>
      <c r="CB643" s="149" t="str">
        <f>IF(R643="Bogs Ponds Streams",".96", IF(R643="Coastal Areas",".97",IF(R643="Meadows Dry Open",".96",IF(R643="Forest &amp; Understory",".97",IF(R643="Moist Open",".98",IF(R643="Moist Shady",".96",IF(R643="Sub-Alpine","1.0")))))))</f>
        <v>.96</v>
      </c>
      <c r="CC643" s="76" t="str">
        <f>IF(S643="Local Endemic",".50",IF(S643="Regional Endemic",".70",IF(S643="Cascadia",".90",IF(S643="Rocky Mountain",".95",IF(S643="North America",".99")))))</f>
        <v>.90</v>
      </c>
      <c r="CD643" s="4"/>
      <c r="CE643" s="21">
        <f>IF(W643&gt;3,3,W643)</f>
        <v>1</v>
      </c>
      <c r="CF643" s="21">
        <f>IF(AC643&gt;102,102,AC643)</f>
        <v>24.1</v>
      </c>
      <c r="CG643" s="34">
        <f>IF(AI643&lt;$AW$4,$AW$4,AI643)</f>
        <v>2004</v>
      </c>
      <c r="CH643" s="34">
        <f>IF(AJ643&lt;$AW$4,$AW$4,AJ643)</f>
        <v>2004</v>
      </c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</row>
    <row r="644" spans="1:115" ht="15" customHeight="1" x14ac:dyDescent="0.3">
      <c r="A644" s="235"/>
      <c r="B644" s="218"/>
      <c r="C644" s="225">
        <v>8</v>
      </c>
      <c r="D644" s="59" t="s">
        <v>1154</v>
      </c>
      <c r="E644" s="59" t="s">
        <v>2501</v>
      </c>
      <c r="F644" s="397" t="str">
        <f ca="1">IF(BC644&lt;2025, "Extinct&lt; 6Yrs?",BA644)</f>
        <v>Abundant</v>
      </c>
      <c r="G644" s="363" t="s">
        <v>525</v>
      </c>
      <c r="H644" s="363" t="s">
        <v>685</v>
      </c>
      <c r="I644" s="366" t="s">
        <v>505</v>
      </c>
      <c r="J644" s="365" t="s">
        <v>4012</v>
      </c>
      <c r="K644" s="365" t="s">
        <v>9</v>
      </c>
      <c r="L644" s="10" t="s">
        <v>1638</v>
      </c>
      <c r="M644" s="8" t="s">
        <v>4717</v>
      </c>
      <c r="N644" s="8" t="s">
        <v>5615</v>
      </c>
      <c r="O644" s="8" t="s">
        <v>6514</v>
      </c>
      <c r="P644" s="9" t="s">
        <v>491</v>
      </c>
      <c r="Q644" s="59" t="s">
        <v>2552</v>
      </c>
      <c r="R644" s="9" t="s">
        <v>2498</v>
      </c>
      <c r="S644" s="9" t="s">
        <v>2459</v>
      </c>
      <c r="T644" s="123" t="str">
        <f>IF(R644="Bogs Ponds Streams","20",IF(R644="Coastal Areas","26",IF(R644="Meadows Dry Open","10",IF(R644="Forest &amp; Understory","14",IF(R644="Moist Open","12",IF(R644="Moist Shady","10",IF(R644="Sub-Alpine Slopes","0")))))))</f>
        <v>10</v>
      </c>
      <c r="U644" s="123" t="str">
        <f>IF(R644="Bogs Ponds Streams","52",IF(R644="Coastal Areas","51",IF(R644="Meadows Dry Open","53",IF(R644="Forest &amp; Understory","52",IF(R644="Moist Open","50",IF(R644="Moist Shady","46",IF(R644="Sub-Alpine Slopes","40")))))))</f>
        <v>46</v>
      </c>
      <c r="V644" s="123" t="str">
        <f>IF(R644="Bogs Ponds Streams","84",IF(R644="Coastal Areas","76",IF(R644="Meadows Dry Open","96", IF(R644="Forest &amp; Understory","90", IF(R644="Moist Open","88", IF(R644="Moist Shady","82", IF(R644="Sub-Alpine Slopes","80")))))))</f>
        <v>82</v>
      </c>
      <c r="W644" s="59">
        <v>20</v>
      </c>
      <c r="X644" s="59">
        <v>0</v>
      </c>
      <c r="Y644" s="59">
        <v>3500</v>
      </c>
      <c r="Z644" s="59" t="s">
        <v>2519</v>
      </c>
      <c r="AA644" s="59" t="s">
        <v>2518</v>
      </c>
      <c r="AB644" s="59">
        <v>6.8</v>
      </c>
      <c r="AC644" s="45">
        <f>C644+AK644+(0.1)*AL644</f>
        <v>107</v>
      </c>
      <c r="AD644" s="77">
        <v>237</v>
      </c>
      <c r="AE644" s="59">
        <v>5</v>
      </c>
      <c r="AF644" s="59">
        <v>5</v>
      </c>
      <c r="AG644" s="59">
        <v>1900</v>
      </c>
      <c r="AH644" s="77">
        <v>0</v>
      </c>
      <c r="AI644" s="59">
        <f ca="1">AJ644</f>
        <v>2019</v>
      </c>
      <c r="AJ644" s="18">
        <f ca="1">YEAR(TODAY())</f>
        <v>2019</v>
      </c>
      <c r="AK644" s="18">
        <v>99</v>
      </c>
      <c r="AL644" s="18">
        <v>0</v>
      </c>
      <c r="AM644" s="18">
        <v>1</v>
      </c>
      <c r="AN644" s="18">
        <v>1</v>
      </c>
      <c r="AO644" s="18">
        <v>5</v>
      </c>
      <c r="AP644" s="18">
        <v>1</v>
      </c>
      <c r="AQ644" s="18">
        <v>0</v>
      </c>
      <c r="AR644" s="18">
        <v>0</v>
      </c>
      <c r="AS644" s="18">
        <v>0</v>
      </c>
      <c r="AT644" s="18">
        <v>0</v>
      </c>
      <c r="AU644" s="18">
        <v>0</v>
      </c>
      <c r="AV644" s="18">
        <v>0</v>
      </c>
      <c r="AW644" s="18">
        <v>0</v>
      </c>
      <c r="AX644" s="18">
        <v>0</v>
      </c>
      <c r="AY644" s="233"/>
      <c r="AZ644" s="4"/>
      <c r="BA644" s="35" t="str">
        <f ca="1">IF(OR(S644="North America",S644="Rocky Mountain"), "Widespread",BC644)</f>
        <v>Abundant</v>
      </c>
      <c r="BB644" s="4"/>
      <c r="BC644" s="35" t="str">
        <f ca="1">IF(BE644&gt;2046, "Abundant",BE644)</f>
        <v>Abundant</v>
      </c>
      <c r="BD644" s="4"/>
      <c r="BE644" s="81">
        <f ca="1">YEAR($C$13)+(BG644*80)</f>
        <v>2124.9456</v>
      </c>
      <c r="BF644" s="4"/>
      <c r="BG644" s="137">
        <f ca="1">BH644*$BH$14</f>
        <v>1.3243200000000002</v>
      </c>
      <c r="BH644" s="137">
        <f ca="1">(((BJ644+BK644+BM644+BN644)/4)*$BM$11)+(((BP644+BQ644)/2)*$BQ$11)+(((BU644+BV644+BW644)/3)*$BU$11)+(((BY644+BZ644+CA644+CB644+CC644)/5)*$CA$11)</f>
        <v>1.3243200000000002</v>
      </c>
      <c r="BI644" s="4"/>
      <c r="BJ644" s="33">
        <f>AP644/(AM644+AO644)</f>
        <v>0.16666666666666666</v>
      </c>
      <c r="BK644" s="33">
        <f>(AN644+AO644)/(AM644+AO644)</f>
        <v>1</v>
      </c>
      <c r="BL644" s="4"/>
      <c r="BM644" s="127">
        <f>CF644/102</f>
        <v>1</v>
      </c>
      <c r="BN644" s="127">
        <f>C644/2</f>
        <v>4</v>
      </c>
      <c r="BO644" s="4"/>
      <c r="BP644" s="127">
        <f>(AK644)/($AW$6)</f>
        <v>1</v>
      </c>
      <c r="BQ644" s="127">
        <f ca="1">(CH644-$AW$4)/((YEAR($C$13))-$AW$4)</f>
        <v>1</v>
      </c>
      <c r="BR644" s="127">
        <f>(AL644)/($AW$6)</f>
        <v>0</v>
      </c>
      <c r="BS644" s="4"/>
      <c r="BT644" s="127"/>
      <c r="BU644" s="127">
        <f ca="1">(CG644-$AW$4)/((YEAR($C$13))-$AW$4)</f>
        <v>1</v>
      </c>
      <c r="BV644" s="127">
        <f>AE644/5</f>
        <v>1</v>
      </c>
      <c r="BW644" s="127">
        <f>AF644/5</f>
        <v>1</v>
      </c>
      <c r="BX644" s="4"/>
      <c r="BY644" s="148" t="str">
        <f>IF(E644="A",".98",IF(E644="B",".99",IF(E644="C","1.00",IF(E644="D","1.00" ))))</f>
        <v>1.00</v>
      </c>
      <c r="BZ644" s="127">
        <f>(CE644+7)/10</f>
        <v>1</v>
      </c>
      <c r="CA644" s="76" t="str">
        <f>IF(D644="Fern",".97",IF(D644="Grass",".99",IF(D644="Herb",".97",IF(D644="Shrub",".99",IF(D644="Tree","1.00",IF(D644="Vine",".98"))))))</f>
        <v>.97</v>
      </c>
      <c r="CB644" s="149" t="str">
        <f>IF(R644="Bogs Ponds Streams",".96", IF(R644="Coastal Areas",".97",IF(R644="Meadows Dry Open",".96",IF(R644="Forest &amp; Understory",".97",IF(R644="Moist Open",".98",IF(R644="Moist Shady",".96",IF(R644="Sub-Alpine","1.0")))))))</f>
        <v>.96</v>
      </c>
      <c r="CC644" s="76" t="str">
        <f>IF(S644="Local Endemic",".50",IF(S644="Regional Endemic",".70",IF(S644="Cascadia",".90",IF(S644="Rocky Mountain",".95",IF(S644="North America",".99")))))</f>
        <v>.90</v>
      </c>
      <c r="CD644" s="4"/>
      <c r="CE644" s="21">
        <f>IF(W644&gt;3,3,W644)</f>
        <v>3</v>
      </c>
      <c r="CF644" s="21">
        <f>IF(AC644&gt;102,102,AC644)</f>
        <v>102</v>
      </c>
      <c r="CG644" s="34">
        <f ca="1">IF(AI644&lt;$AW$4,$AW$4,AI644)</f>
        <v>2019</v>
      </c>
      <c r="CH644" s="34">
        <f ca="1">IF(AJ644&lt;$AW$4,$AW$4,AJ644)</f>
        <v>2019</v>
      </c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13"/>
    </row>
    <row r="645" spans="1:115" ht="15" customHeight="1" x14ac:dyDescent="0.3">
      <c r="A645" s="235"/>
      <c r="B645" s="218"/>
      <c r="C645" s="225">
        <v>8</v>
      </c>
      <c r="D645" s="59" t="s">
        <v>1154</v>
      </c>
      <c r="E645" s="59" t="s">
        <v>2501</v>
      </c>
      <c r="F645" s="397" t="str">
        <f ca="1">IF(BC645&lt;2025, "Extinct&lt; 6Yrs?",BA645)</f>
        <v>Widespread</v>
      </c>
      <c r="G645" s="363" t="s">
        <v>525</v>
      </c>
      <c r="H645" s="363" t="s">
        <v>682</v>
      </c>
      <c r="I645" s="366" t="s">
        <v>506</v>
      </c>
      <c r="J645" s="365" t="s">
        <v>4011</v>
      </c>
      <c r="K645" s="365" t="s">
        <v>10</v>
      </c>
      <c r="L645" s="10" t="s">
        <v>1639</v>
      </c>
      <c r="M645" s="8" t="s">
        <v>4718</v>
      </c>
      <c r="N645" s="8" t="s">
        <v>5616</v>
      </c>
      <c r="O645" s="8" t="s">
        <v>6515</v>
      </c>
      <c r="P645" s="9" t="s">
        <v>491</v>
      </c>
      <c r="Q645" s="59" t="s">
        <v>2552</v>
      </c>
      <c r="R645" s="9" t="s">
        <v>2498</v>
      </c>
      <c r="S645" s="9" t="s">
        <v>2479</v>
      </c>
      <c r="T645" s="123" t="str">
        <f>IF(R645="Bogs Ponds Streams","20",IF(R645="Coastal Areas","26",IF(R645="Meadows Dry Open","10",IF(R645="Forest &amp; Understory","14",IF(R645="Moist Open","12",IF(R645="Moist Shady","10",IF(R645="Sub-Alpine Slopes","0")))))))</f>
        <v>10</v>
      </c>
      <c r="U645" s="123" t="str">
        <f>IF(R645="Bogs Ponds Streams","52",IF(R645="Coastal Areas","51",IF(R645="Meadows Dry Open","53",IF(R645="Forest &amp; Understory","52",IF(R645="Moist Open","50",IF(R645="Moist Shady","46",IF(R645="Sub-Alpine Slopes","40")))))))</f>
        <v>46</v>
      </c>
      <c r="V645" s="123" t="str">
        <f>IF(R645="Bogs Ponds Streams","84",IF(R645="Coastal Areas","76",IF(R645="Meadows Dry Open","96", IF(R645="Forest &amp; Understory","90", IF(R645="Moist Open","88", IF(R645="Moist Shady","82", IF(R645="Sub-Alpine Slopes","80")))))))</f>
        <v>82</v>
      </c>
      <c r="W645" s="59">
        <v>20</v>
      </c>
      <c r="X645" s="59">
        <v>0</v>
      </c>
      <c r="Y645" s="59">
        <v>3500</v>
      </c>
      <c r="Z645" s="59" t="s">
        <v>2519</v>
      </c>
      <c r="AA645" s="59" t="s">
        <v>2518</v>
      </c>
      <c r="AB645" s="59">
        <v>6.8</v>
      </c>
      <c r="AC645" s="45">
        <f>C645+AK645+(0.1)*AL645</f>
        <v>29.1</v>
      </c>
      <c r="AD645" s="77">
        <v>45</v>
      </c>
      <c r="AE645" s="59">
        <v>5</v>
      </c>
      <c r="AF645" s="59">
        <v>5</v>
      </c>
      <c r="AG645" s="59">
        <v>1900</v>
      </c>
      <c r="AH645" s="77">
        <v>0</v>
      </c>
      <c r="AI645" s="59">
        <f ca="1">AJ645</f>
        <v>2019</v>
      </c>
      <c r="AJ645" s="18">
        <f ca="1">YEAR(TODAY())</f>
        <v>2019</v>
      </c>
      <c r="AK645" s="18">
        <v>20</v>
      </c>
      <c r="AL645" s="18">
        <v>11</v>
      </c>
      <c r="AM645" s="18">
        <v>1</v>
      </c>
      <c r="AN645" s="18">
        <v>1</v>
      </c>
      <c r="AO645" s="18">
        <v>5</v>
      </c>
      <c r="AP645" s="18">
        <v>1</v>
      </c>
      <c r="AQ645" s="18">
        <v>0</v>
      </c>
      <c r="AR645" s="18">
        <v>0</v>
      </c>
      <c r="AS645" s="18">
        <v>0</v>
      </c>
      <c r="AT645" s="18">
        <v>0</v>
      </c>
      <c r="AU645" s="18">
        <v>0</v>
      </c>
      <c r="AV645" s="18">
        <v>0</v>
      </c>
      <c r="AW645" s="18">
        <v>0</v>
      </c>
      <c r="AX645" s="18">
        <v>0</v>
      </c>
      <c r="AY645" s="233"/>
      <c r="AZ645" s="4"/>
      <c r="BA645" s="35" t="str">
        <f>IF(OR(S645="North America",S645="Rocky Mountain"), "Widespread",BC645)</f>
        <v>Widespread</v>
      </c>
      <c r="BB645" s="4"/>
      <c r="BC645" s="35" t="str">
        <f ca="1">IF(BE645&gt;2046, "Abundant",BE645)</f>
        <v>Abundant</v>
      </c>
      <c r="BD645" s="4"/>
      <c r="BE645" s="81">
        <f ca="1">YEAR($C$13)+(BG645*80)</f>
        <v>2106.8093718360069</v>
      </c>
      <c r="BF645" s="4"/>
      <c r="BG645" s="137">
        <f ca="1">BH645*$BH$14</f>
        <v>1.0976171479500891</v>
      </c>
      <c r="BH645" s="137">
        <f ca="1">(((BJ645+BK645+BM645+BN645)/4)*$BM$11)+(((BP645+BQ645)/2)*$BQ$11)+(((BU645+BV645+BW645)/3)*$BU$11)+(((BY645+BZ645+CA645+CB645+CC645)/5)*$CA$11)</f>
        <v>1.0976171479500891</v>
      </c>
      <c r="BI645" s="4"/>
      <c r="BJ645" s="33">
        <f>AP645/(AM645+AO645)</f>
        <v>0.16666666666666666</v>
      </c>
      <c r="BK645" s="33">
        <f>(AN645+AO645)/(AM645+AO645)</f>
        <v>1</v>
      </c>
      <c r="BL645" s="4"/>
      <c r="BM645" s="127">
        <f>CF645/102</f>
        <v>0.28529411764705886</v>
      </c>
      <c r="BN645" s="127">
        <f>C645/2</f>
        <v>4</v>
      </c>
      <c r="BO645" s="4"/>
      <c r="BP645" s="127">
        <f>(AK645)/($AW$6)</f>
        <v>0.20202020202020202</v>
      </c>
      <c r="BQ645" s="127">
        <f ca="1">(CH645-$AW$4)/((YEAR($C$13))-$AW$4)</f>
        <v>1</v>
      </c>
      <c r="BR645" s="127">
        <f>(AL645)/($AW$6)</f>
        <v>0.1111111111111111</v>
      </c>
      <c r="BS645" s="4"/>
      <c r="BT645" s="127"/>
      <c r="BU645" s="127">
        <f ca="1">(CG645-$AW$4)/((YEAR($C$13))-$AW$4)</f>
        <v>1</v>
      </c>
      <c r="BV645" s="127">
        <f>AE645/5</f>
        <v>1</v>
      </c>
      <c r="BW645" s="127">
        <f>AF645/5</f>
        <v>1</v>
      </c>
      <c r="BX645" s="4"/>
      <c r="BY645" s="148" t="str">
        <f>IF(E645="A",".98",IF(E645="B",".99",IF(E645="C","1.00",IF(E645="D","1.00" ))))</f>
        <v>1.00</v>
      </c>
      <c r="BZ645" s="127">
        <f>(CE645+7)/10</f>
        <v>1</v>
      </c>
      <c r="CA645" s="76" t="str">
        <f>IF(D645="Fern",".97",IF(D645="Grass",".99",IF(D645="Herb",".97",IF(D645="Shrub",".99",IF(D645="Tree","1.00",IF(D645="Vine",".98"))))))</f>
        <v>.97</v>
      </c>
      <c r="CB645" s="149" t="str">
        <f>IF(R645="Bogs Ponds Streams",".96", IF(R645="Coastal Areas",".97",IF(R645="Meadows Dry Open",".96",IF(R645="Forest &amp; Understory",".97",IF(R645="Moist Open",".98",IF(R645="Moist Shady",".96",IF(R645="Sub-Alpine","1.0")))))))</f>
        <v>.96</v>
      </c>
      <c r="CC645" s="76" t="str">
        <f>IF(S645="Local Endemic",".50",IF(S645="Regional Endemic",".70",IF(S645="Cascadia",".90",IF(S645="Rocky Mountain",".95",IF(S645="North America",".99")))))</f>
        <v>.95</v>
      </c>
      <c r="CD645" s="4"/>
      <c r="CE645" s="21">
        <f>IF(W645&gt;3,3,W645)</f>
        <v>3</v>
      </c>
      <c r="CF645" s="21">
        <f>IF(AC645&gt;102,102,AC645)</f>
        <v>29.1</v>
      </c>
      <c r="CG645" s="34">
        <f ca="1">IF(AI645&lt;$AW$4,$AW$4,AI645)</f>
        <v>2019</v>
      </c>
      <c r="CH645" s="34">
        <f ca="1">IF(AJ645&lt;$AW$4,$AW$4,AJ645)</f>
        <v>2019</v>
      </c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13"/>
    </row>
    <row r="646" spans="1:115" ht="15" customHeight="1" x14ac:dyDescent="0.3">
      <c r="A646" s="235"/>
      <c r="B646" s="218"/>
      <c r="C646" s="225">
        <v>8</v>
      </c>
      <c r="D646" s="93" t="s">
        <v>1154</v>
      </c>
      <c r="E646" s="59" t="s">
        <v>2501</v>
      </c>
      <c r="F646" s="397" t="str">
        <f ca="1">IF(BC646&lt;2025, "Extinct&lt; 6Yrs?",BA646)</f>
        <v>Abundant</v>
      </c>
      <c r="G646" s="363" t="s">
        <v>525</v>
      </c>
      <c r="H646" s="363" t="s">
        <v>682</v>
      </c>
      <c r="I646" s="366" t="s">
        <v>507</v>
      </c>
      <c r="J646" s="365" t="s">
        <v>4010</v>
      </c>
      <c r="K646" s="365" t="s">
        <v>1135</v>
      </c>
      <c r="L646" s="10" t="s">
        <v>2235</v>
      </c>
      <c r="M646" s="8" t="s">
        <v>4719</v>
      </c>
      <c r="N646" s="8" t="s">
        <v>5617</v>
      </c>
      <c r="O646" s="8" t="s">
        <v>6516</v>
      </c>
      <c r="P646" s="58" t="s">
        <v>491</v>
      </c>
      <c r="Q646" s="59" t="s">
        <v>2552</v>
      </c>
      <c r="R646" s="58" t="s">
        <v>2500</v>
      </c>
      <c r="S646" s="9" t="s">
        <v>2459</v>
      </c>
      <c r="T646" s="123" t="str">
        <f>IF(R646="Bogs Ponds Streams","20",IF(R646="Coastal Areas","26",IF(R646="Meadows Dry Open","10",IF(R646="Forest &amp; Understory","14",IF(R646="Moist Open","12",IF(R646="Moist Shady","10",IF(R646="Sub-Alpine Slopes","0")))))))</f>
        <v>10</v>
      </c>
      <c r="U646" s="123" t="str">
        <f>IF(R646="Bogs Ponds Streams","52",IF(R646="Coastal Areas","51",IF(R646="Meadows Dry Open","53",IF(R646="Forest &amp; Understory","52",IF(R646="Moist Open","50",IF(R646="Moist Shady","46",IF(R646="Sub-Alpine Slopes","40")))))))</f>
        <v>53</v>
      </c>
      <c r="V646" s="123" t="str">
        <f>IF(R646="Bogs Ponds Streams","84",IF(R646="Coastal Areas","76",IF(R646="Meadows Dry Open","96", IF(R646="Forest &amp; Understory","90", IF(R646="Moist Open","88", IF(R646="Moist Shady","82", IF(R646="Sub-Alpine Slopes","80")))))))</f>
        <v>96</v>
      </c>
      <c r="W646" s="59">
        <v>20</v>
      </c>
      <c r="X646" s="59">
        <v>0</v>
      </c>
      <c r="Y646" s="59">
        <v>3500</v>
      </c>
      <c r="Z646" s="59" t="s">
        <v>2519</v>
      </c>
      <c r="AA646" s="59" t="s">
        <v>2518</v>
      </c>
      <c r="AB646" s="59">
        <v>6.8</v>
      </c>
      <c r="AC646" s="45">
        <f>C646+AK646+(0.1)*AL646</f>
        <v>30</v>
      </c>
      <c r="AD646" s="77">
        <v>40</v>
      </c>
      <c r="AE646" s="59">
        <v>5</v>
      </c>
      <c r="AF646" s="59">
        <v>5</v>
      </c>
      <c r="AG646" s="59">
        <v>1900</v>
      </c>
      <c r="AH646" s="77">
        <v>0</v>
      </c>
      <c r="AI646" s="59">
        <f ca="1">AJ646</f>
        <v>2019</v>
      </c>
      <c r="AJ646" s="18">
        <f ca="1">YEAR(TODAY())</f>
        <v>2019</v>
      </c>
      <c r="AK646" s="18">
        <v>22</v>
      </c>
      <c r="AL646" s="18">
        <v>0</v>
      </c>
      <c r="AM646" s="18">
        <v>1</v>
      </c>
      <c r="AN646" s="18">
        <v>1</v>
      </c>
      <c r="AO646" s="18">
        <v>5</v>
      </c>
      <c r="AP646" s="18">
        <v>1</v>
      </c>
      <c r="AQ646" s="18">
        <v>0</v>
      </c>
      <c r="AR646" s="18">
        <v>0</v>
      </c>
      <c r="AS646" s="18">
        <v>0</v>
      </c>
      <c r="AT646" s="18">
        <v>0</v>
      </c>
      <c r="AU646" s="18">
        <v>0</v>
      </c>
      <c r="AV646" s="18">
        <v>0</v>
      </c>
      <c r="AW646" s="18">
        <v>0</v>
      </c>
      <c r="AX646" s="18">
        <v>0</v>
      </c>
      <c r="AY646" s="233"/>
      <c r="AZ646" s="4"/>
      <c r="BA646" s="35" t="str">
        <f ca="1">IF(OR(S646="North America",S646="Rocky Mountain"), "Widespread",BC646)</f>
        <v>Abundant</v>
      </c>
      <c r="BB646" s="4"/>
      <c r="BC646" s="35" t="str">
        <f ca="1">IF(BE646&gt;2046, "Abundant",BE646)</f>
        <v>Abundant</v>
      </c>
      <c r="BD646" s="4"/>
      <c r="BE646" s="81">
        <f ca="1">YEAR($C$13)+(BG646*80)</f>
        <v>2107.1416784313724</v>
      </c>
      <c r="BF646" s="4"/>
      <c r="BG646" s="137">
        <f ca="1">BH646*$BH$14</f>
        <v>1.1017709803921569</v>
      </c>
      <c r="BH646" s="137">
        <f ca="1">(((BJ646+BK646+BM646+BN646)/4)*$BM$11)+(((BP646+BQ646)/2)*$BQ$11)+(((BU646+BV646+BW646)/3)*$BU$11)+(((BY646+BZ646+CA646+CB646+CC646)/5)*$CA$11)</f>
        <v>1.1017709803921569</v>
      </c>
      <c r="BI646" s="4"/>
      <c r="BJ646" s="33">
        <f>AP646/(AM646+AO646)</f>
        <v>0.16666666666666666</v>
      </c>
      <c r="BK646" s="33">
        <f>(AN646+AO646)/(AM646+AO646)</f>
        <v>1</v>
      </c>
      <c r="BL646" s="4"/>
      <c r="BM646" s="127">
        <f>CF646/102</f>
        <v>0.29411764705882354</v>
      </c>
      <c r="BN646" s="127">
        <f>C646/2</f>
        <v>4</v>
      </c>
      <c r="BO646" s="4"/>
      <c r="BP646" s="127">
        <f>(AK646)/($AW$6)</f>
        <v>0.22222222222222221</v>
      </c>
      <c r="BQ646" s="127">
        <f ca="1">(CH646-$AW$4)/((YEAR($C$13))-$AW$4)</f>
        <v>1</v>
      </c>
      <c r="BR646" s="127">
        <f>(AL646)/($AW$6)</f>
        <v>0</v>
      </c>
      <c r="BS646" s="4"/>
      <c r="BT646" s="127"/>
      <c r="BU646" s="127">
        <f ca="1">(CG646-$AW$4)/((YEAR($C$13))-$AW$4)</f>
        <v>1</v>
      </c>
      <c r="BV646" s="127">
        <f>AE646/5</f>
        <v>1</v>
      </c>
      <c r="BW646" s="127">
        <f>AF646/5</f>
        <v>1</v>
      </c>
      <c r="BX646" s="4"/>
      <c r="BY646" s="148" t="str">
        <f>IF(E646="A",".98",IF(E646="B",".99",IF(E646="C","1.00",IF(E646="D","1.00" ))))</f>
        <v>1.00</v>
      </c>
      <c r="BZ646" s="127">
        <f>(CE646+7)/10</f>
        <v>1</v>
      </c>
      <c r="CA646" s="76" t="str">
        <f>IF(D646="Fern",".97",IF(D646="Grass",".99",IF(D646="Herb",".97",IF(D646="Shrub",".99",IF(D646="Tree","1.00",IF(D646="Vine",".98"))))))</f>
        <v>.97</v>
      </c>
      <c r="CB646" s="149" t="str">
        <f>IF(R646="Bogs Ponds Streams",".96", IF(R646="Coastal Areas",".97",IF(R646="Meadows Dry Open",".96",IF(R646="Forest &amp; Understory",".97",IF(R646="Moist Open",".98",IF(R646="Moist Shady",".96",IF(R646="Sub-Alpine","1.0")))))))</f>
        <v>.96</v>
      </c>
      <c r="CC646" s="76" t="str">
        <f>IF(S646="Local Endemic",".50",IF(S646="Regional Endemic",".70",IF(S646="Cascadia",".90",IF(S646="Rocky Mountain",".95",IF(S646="North America",".99")))))</f>
        <v>.90</v>
      </c>
      <c r="CD646" s="4"/>
      <c r="CE646" s="21">
        <f>IF(W646&gt;3,3,W646)</f>
        <v>3</v>
      </c>
      <c r="CF646" s="21">
        <f>IF(AC646&gt;102,102,AC646)</f>
        <v>30</v>
      </c>
      <c r="CG646" s="34">
        <f ca="1">IF(AI646&lt;$AW$4,$AW$4,AI646)</f>
        <v>2019</v>
      </c>
      <c r="CH646" s="34">
        <f ca="1">IF(AJ646&lt;$AW$4,$AW$4,AJ646)</f>
        <v>2019</v>
      </c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13"/>
    </row>
    <row r="647" spans="1:115" ht="15" customHeight="1" x14ac:dyDescent="0.3">
      <c r="A647" s="235"/>
      <c r="B647" s="218"/>
      <c r="C647" s="225">
        <v>8</v>
      </c>
      <c r="D647" s="59" t="s">
        <v>1154</v>
      </c>
      <c r="E647" s="59" t="s">
        <v>2501</v>
      </c>
      <c r="F647" s="397" t="str">
        <f ca="1">IF(BC647&lt;2025, "Extinct&lt; 6Yrs?",BA647)</f>
        <v>Abundant</v>
      </c>
      <c r="G647" s="363" t="s">
        <v>525</v>
      </c>
      <c r="H647" s="363" t="s">
        <v>684</v>
      </c>
      <c r="I647" s="366" t="s">
        <v>3111</v>
      </c>
      <c r="J647" s="365" t="s">
        <v>4009</v>
      </c>
      <c r="K647" s="365" t="s">
        <v>1094</v>
      </c>
      <c r="L647" s="10" t="s">
        <v>1640</v>
      </c>
      <c r="M647" s="8" t="s">
        <v>4720</v>
      </c>
      <c r="N647" s="8" t="s">
        <v>5618</v>
      </c>
      <c r="O647" s="8" t="s">
        <v>6517</v>
      </c>
      <c r="P647" s="9" t="s">
        <v>741</v>
      </c>
      <c r="Q647" s="59" t="s">
        <v>2552</v>
      </c>
      <c r="R647" s="9" t="s">
        <v>2530</v>
      </c>
      <c r="S647" s="9" t="s">
        <v>2309</v>
      </c>
      <c r="T647" s="123" t="str">
        <f>IF(R647="Bogs Ponds Streams","20",IF(R647="Coastal Areas","26",IF(R647="Meadows Dry Open","10",IF(R647="Forest &amp; Understory","14",IF(R647="Moist Open","12",IF(R647="Moist Shady","10",IF(R647="Sub-Alpine Slopes","0")))))))</f>
        <v>14</v>
      </c>
      <c r="U647" s="123" t="str">
        <f>IF(R647="Bogs Ponds Streams","52",IF(R647="Coastal Areas","51",IF(R647="Meadows Dry Open","53",IF(R647="Forest &amp; Understory","52",IF(R647="Moist Open","50",IF(R647="Moist Shady","46",IF(R647="Sub-Alpine Slopes","40")))))))</f>
        <v>52</v>
      </c>
      <c r="V647" s="123" t="str">
        <f>IF(R647="Bogs Ponds Streams","84",IF(R647="Coastal Areas","76",IF(R647="Meadows Dry Open","96", IF(R647="Forest &amp; Understory","90", IF(R647="Moist Open","88", IF(R647="Moist Shady","82", IF(R647="Sub-Alpine Slopes","80")))))))</f>
        <v>90</v>
      </c>
      <c r="W647" s="59">
        <v>20</v>
      </c>
      <c r="X647" s="59">
        <v>0</v>
      </c>
      <c r="Y647" s="59">
        <v>3500</v>
      </c>
      <c r="Z647" s="59" t="s">
        <v>2519</v>
      </c>
      <c r="AA647" s="59" t="s">
        <v>2518</v>
      </c>
      <c r="AB647" s="59">
        <v>6.8</v>
      </c>
      <c r="AC647" s="45">
        <f>C647+AK647+(0.1)*AL647</f>
        <v>30.2</v>
      </c>
      <c r="AD647" s="77">
        <v>78</v>
      </c>
      <c r="AE647" s="59">
        <v>5</v>
      </c>
      <c r="AF647" s="59">
        <v>5</v>
      </c>
      <c r="AG647" s="59">
        <v>1900</v>
      </c>
      <c r="AH647" s="77">
        <v>0</v>
      </c>
      <c r="AI647" s="59">
        <f ca="1">AJ647</f>
        <v>2019</v>
      </c>
      <c r="AJ647" s="18">
        <f ca="1">YEAR(TODAY())</f>
        <v>2019</v>
      </c>
      <c r="AK647" s="18">
        <v>22</v>
      </c>
      <c r="AL647" s="18">
        <v>2</v>
      </c>
      <c r="AM647" s="18">
        <v>1</v>
      </c>
      <c r="AN647" s="18">
        <v>1</v>
      </c>
      <c r="AO647" s="18">
        <v>5</v>
      </c>
      <c r="AP647" s="18">
        <v>1</v>
      </c>
      <c r="AQ647" s="18">
        <v>0</v>
      </c>
      <c r="AR647" s="18">
        <v>0</v>
      </c>
      <c r="AS647" s="18">
        <v>0</v>
      </c>
      <c r="AT647" s="18">
        <v>0</v>
      </c>
      <c r="AU647" s="18">
        <v>0</v>
      </c>
      <c r="AV647" s="18">
        <v>0</v>
      </c>
      <c r="AW647" s="18">
        <v>0</v>
      </c>
      <c r="AX647" s="18">
        <v>0</v>
      </c>
      <c r="AY647" s="233"/>
      <c r="AZ647" s="4"/>
      <c r="BA647" s="35" t="str">
        <f ca="1">IF(OR(S647="North America",S647="Rocky Mountain"), "Widespread",BC647)</f>
        <v>Abundant</v>
      </c>
      <c r="BB647" s="4"/>
      <c r="BC647" s="35" t="str">
        <f ca="1">IF(BE647&gt;2046, "Abundant",BE647)</f>
        <v>Abundant</v>
      </c>
      <c r="BD647" s="4"/>
      <c r="BE647" s="81">
        <f ca="1">YEAR($C$13)+(BG647*80)</f>
        <v>2107.1044078431373</v>
      </c>
      <c r="BF647" s="4"/>
      <c r="BG647" s="137">
        <f ca="1">BH647*$BH$14</f>
        <v>1.1013050980392158</v>
      </c>
      <c r="BH647" s="137">
        <f ca="1">(((BJ647+BK647+BM647+BN647)/4)*$BM$11)+(((BP647+BQ647)/2)*$BQ$11)+(((BU647+BV647+BW647)/3)*$BU$11)+(((BY647+BZ647+CA647+CB647+CC647)/5)*$CA$11)</f>
        <v>1.1013050980392158</v>
      </c>
      <c r="BI647" s="4"/>
      <c r="BJ647" s="33">
        <f>AP647/(AM647+AO647)</f>
        <v>0.16666666666666666</v>
      </c>
      <c r="BK647" s="33">
        <f>(AN647+AO647)/(AM647+AO647)</f>
        <v>1</v>
      </c>
      <c r="BL647" s="4"/>
      <c r="BM647" s="127">
        <f>CF647/102</f>
        <v>0.29607843137254902</v>
      </c>
      <c r="BN647" s="127">
        <f>C647/2</f>
        <v>4</v>
      </c>
      <c r="BO647" s="4"/>
      <c r="BP647" s="127">
        <f>(AK647)/($AW$6)</f>
        <v>0.22222222222222221</v>
      </c>
      <c r="BQ647" s="127">
        <f ca="1">(CH647-$AW$4)/((YEAR($C$13))-$AW$4)</f>
        <v>1</v>
      </c>
      <c r="BR647" s="127">
        <f>(AL647)/($AW$6)</f>
        <v>2.0202020202020204E-2</v>
      </c>
      <c r="BS647" s="4"/>
      <c r="BT647" s="127"/>
      <c r="BU647" s="127">
        <f ca="1">(CG647-$AW$4)/((YEAR($C$13))-$AW$4)</f>
        <v>1</v>
      </c>
      <c r="BV647" s="127">
        <f>AE647/5</f>
        <v>1</v>
      </c>
      <c r="BW647" s="127">
        <f>AF647/5</f>
        <v>1</v>
      </c>
      <c r="BX647" s="4"/>
      <c r="BY647" s="148" t="str">
        <f>IF(E647="A",".98",IF(E647="B",".99",IF(E647="C","1.00",IF(E647="D","1.00" ))))</f>
        <v>1.00</v>
      </c>
      <c r="BZ647" s="127">
        <f>(CE647+7)/10</f>
        <v>1</v>
      </c>
      <c r="CA647" s="76" t="str">
        <f>IF(D647="Fern",".97",IF(D647="Grass",".99",IF(D647="Herb",".97",IF(D647="Shrub",".99",IF(D647="Tree","1.00",IF(D647="Vine",".98"))))))</f>
        <v>.97</v>
      </c>
      <c r="CB647" s="149" t="str">
        <f>IF(R647="Bogs Ponds Streams",".96", IF(R647="Coastal Areas",".97",IF(R647="Meadows Dry Open",".96",IF(R647="Forest &amp; Understory",".97",IF(R647="Moist Open",".98",IF(R647="Moist Shady",".96",IF(R647="Sub-Alpine","1.0")))))))</f>
        <v>.97</v>
      </c>
      <c r="CC647" s="76" t="str">
        <f>IF(S647="Local Endemic",".50",IF(S647="Regional Endemic",".70",IF(S647="Cascadia",".90",IF(S647="Rocky Mountain",".95",IF(S647="North America",".99")))))</f>
        <v>.70</v>
      </c>
      <c r="CD647" s="4"/>
      <c r="CE647" s="21">
        <f>IF(W647&gt;3,3,W647)</f>
        <v>3</v>
      </c>
      <c r="CF647" s="21">
        <f>IF(AC647&gt;102,102,AC647)</f>
        <v>30.2</v>
      </c>
      <c r="CG647" s="34">
        <f ca="1">IF(AI647&lt;$AW$4,$AW$4,AI647)</f>
        <v>2019</v>
      </c>
      <c r="CH647" s="34">
        <f ca="1">IF(AJ647&lt;$AW$4,$AW$4,AJ647)</f>
        <v>2019</v>
      </c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13"/>
    </row>
    <row r="648" spans="1:115" ht="15" customHeight="1" x14ac:dyDescent="0.3">
      <c r="A648" s="235"/>
      <c r="B648" s="218"/>
      <c r="C648" s="375">
        <v>1</v>
      </c>
      <c r="D648" s="67" t="s">
        <v>1154</v>
      </c>
      <c r="E648" s="67" t="s">
        <v>2501</v>
      </c>
      <c r="F648" s="403" t="str">
        <f ca="1">IF(BC648&lt;2025, "Extinct&lt; 6Yrs?",BA648)</f>
        <v>Abundant</v>
      </c>
      <c r="G648" s="376" t="s">
        <v>525</v>
      </c>
      <c r="H648" s="376" t="s">
        <v>4028</v>
      </c>
      <c r="I648" s="380" t="s">
        <v>509</v>
      </c>
      <c r="J648" s="378" t="s">
        <v>3716</v>
      </c>
      <c r="K648" s="378" t="s">
        <v>508</v>
      </c>
      <c r="L648" s="63" t="s">
        <v>1641</v>
      </c>
      <c r="M648" s="64" t="s">
        <v>4721</v>
      </c>
      <c r="N648" s="64" t="s">
        <v>5619</v>
      </c>
      <c r="O648" s="64" t="s">
        <v>6518</v>
      </c>
      <c r="P648" s="61" t="s">
        <v>741</v>
      </c>
      <c r="Q648" s="67" t="s">
        <v>2552</v>
      </c>
      <c r="R648" s="61" t="s">
        <v>2498</v>
      </c>
      <c r="S648" s="61" t="s">
        <v>2459</v>
      </c>
      <c r="T648" s="134" t="str">
        <f>IF(R648="Bogs Ponds Streams","20",IF(R648="Coastal Areas","26",IF(R648="Meadows Dry Open","10",IF(R648="Forest &amp; Understory","14",IF(R648="Moist Open","12",IF(R648="Moist Shady","10",IF(R648="Sub-Alpine Slopes","0")))))))</f>
        <v>10</v>
      </c>
      <c r="U648" s="134" t="str">
        <f>IF(R648="Bogs Ponds Streams","52",IF(R648="Coastal Areas","51",IF(R648="Meadows Dry Open","53",IF(R648="Forest &amp; Understory","52",IF(R648="Moist Open","50",IF(R648="Moist Shady","46",IF(R648="Sub-Alpine Slopes","40")))))))</f>
        <v>46</v>
      </c>
      <c r="V648" s="134" t="str">
        <f>IF(R648="Bogs Ponds Streams","84",IF(R648="Coastal Areas","76",IF(R648="Meadows Dry Open","96", IF(R648="Forest &amp; Understory","90", IF(R648="Moist Open","88", IF(R648="Moist Shady","82", IF(R648="Sub-Alpine Slopes","80")))))))</f>
        <v>82</v>
      </c>
      <c r="W648" s="67">
        <v>20</v>
      </c>
      <c r="X648" s="67">
        <v>0</v>
      </c>
      <c r="Y648" s="67">
        <v>3500</v>
      </c>
      <c r="Z648" s="67" t="s">
        <v>2519</v>
      </c>
      <c r="AA648" s="67" t="s">
        <v>2518</v>
      </c>
      <c r="AB648" s="67">
        <v>6.8</v>
      </c>
      <c r="AC648" s="85">
        <f>C648+AK648+(0.1)*AL648</f>
        <v>4</v>
      </c>
      <c r="AD648" s="78">
        <v>15</v>
      </c>
      <c r="AE648" s="68">
        <v>2</v>
      </c>
      <c r="AF648" s="68">
        <v>4</v>
      </c>
      <c r="AG648" s="78">
        <v>1925</v>
      </c>
      <c r="AH648" s="78">
        <v>0</v>
      </c>
      <c r="AI648" s="78">
        <v>2000</v>
      </c>
      <c r="AJ648" s="69">
        <f ca="1">YEAR(TODAY())</f>
        <v>2019</v>
      </c>
      <c r="AK648" s="69">
        <v>3</v>
      </c>
      <c r="AL648" s="69">
        <v>0</v>
      </c>
      <c r="AM648" s="69">
        <v>1</v>
      </c>
      <c r="AN648" s="69">
        <v>1</v>
      </c>
      <c r="AO648" s="69">
        <v>5</v>
      </c>
      <c r="AP648" s="69">
        <v>1</v>
      </c>
      <c r="AQ648" s="69">
        <v>0</v>
      </c>
      <c r="AR648" s="69">
        <v>0</v>
      </c>
      <c r="AS648" s="69">
        <v>0</v>
      </c>
      <c r="AT648" s="69">
        <v>0</v>
      </c>
      <c r="AU648" s="69">
        <v>0</v>
      </c>
      <c r="AV648" s="69">
        <v>0</v>
      </c>
      <c r="AW648" s="69">
        <v>0</v>
      </c>
      <c r="AX648" s="69">
        <v>0</v>
      </c>
      <c r="AY648" s="233"/>
      <c r="AZ648" s="4"/>
      <c r="BA648" s="35" t="str">
        <f ca="1">IF(OR(S648="North America",S648="Rocky Mountain"), "Widespread",BC648)</f>
        <v>Abundant</v>
      </c>
      <c r="BB648" s="4"/>
      <c r="BC648" s="35" t="str">
        <f ca="1">IF(BE648&gt;2046, "Abundant",BE648)</f>
        <v>Abundant</v>
      </c>
      <c r="BD648" s="4"/>
      <c r="BE648" s="81">
        <f ca="1">YEAR($C$13)+(BG648*80)</f>
        <v>2055.9398245989305</v>
      </c>
      <c r="BF648" s="4"/>
      <c r="BG648" s="137">
        <f ca="1">BH648*$BH$14</f>
        <v>0.46174780748663108</v>
      </c>
      <c r="BH648" s="137">
        <f ca="1">(((BJ648+BK648+BM648+BN648)/4)*$BM$11)+(((BP648+BQ648)/2)*$BQ$11)+(((BU648+BV648+BW648)/3)*$BU$11)+(((BY648+BZ648+CA648+CB648+CC648)/5)*$CA$11)</f>
        <v>0.46174780748663108</v>
      </c>
      <c r="BI648" s="4"/>
      <c r="BJ648" s="33">
        <f>AP648/(AM648+AO648)</f>
        <v>0.16666666666666666</v>
      </c>
      <c r="BK648" s="33">
        <f>(AN648+AO648)/(AM648+AO648)</f>
        <v>1</v>
      </c>
      <c r="BL648" s="4"/>
      <c r="BM648" s="127">
        <f>CF648/102</f>
        <v>3.9215686274509803E-2</v>
      </c>
      <c r="BN648" s="127">
        <f>C648/2</f>
        <v>0.5</v>
      </c>
      <c r="BO648" s="4"/>
      <c r="BP648" s="127">
        <f>(AK648)/($AW$6)</f>
        <v>3.0303030303030304E-2</v>
      </c>
      <c r="BQ648" s="127">
        <f ca="1">(CH648-$AW$4)/((YEAR($C$13))-$AW$4)</f>
        <v>1</v>
      </c>
      <c r="BR648" s="127">
        <f>(AL648)/($AW$6)</f>
        <v>0</v>
      </c>
      <c r="BS648" s="4"/>
      <c r="BT648" s="127"/>
      <c r="BU648" s="127">
        <f ca="1">(CG648-$AW$4)/((YEAR($C$13))-$AW$4)</f>
        <v>0</v>
      </c>
      <c r="BV648" s="127">
        <f>AE648/5</f>
        <v>0.4</v>
      </c>
      <c r="BW648" s="127">
        <f>AF648/5</f>
        <v>0.8</v>
      </c>
      <c r="BX648" s="4"/>
      <c r="BY648" s="148" t="str">
        <f>IF(E648="A",".98",IF(E648="B",".99",IF(E648="C","1.00",IF(E648="D","1.00" ))))</f>
        <v>1.00</v>
      </c>
      <c r="BZ648" s="127">
        <f>(CE648+7)/10</f>
        <v>1</v>
      </c>
      <c r="CA648" s="76" t="str">
        <f>IF(D648="Fern",".97",IF(D648="Grass",".99",IF(D648="Herb",".97",IF(D648="Shrub",".99",IF(D648="Tree","1.00",IF(D648="Vine",".98"))))))</f>
        <v>.97</v>
      </c>
      <c r="CB648" s="149" t="str">
        <f>IF(R648="Bogs Ponds Streams",".96", IF(R648="Coastal Areas",".97",IF(R648="Meadows Dry Open",".96",IF(R648="Forest &amp; Understory",".97",IF(R648="Moist Open",".98",IF(R648="Moist Shady",".96",IF(R648="Sub-Alpine","1.0")))))))</f>
        <v>.96</v>
      </c>
      <c r="CC648" s="76" t="str">
        <f>IF(S648="Local Endemic",".50",IF(S648="Regional Endemic",".70",IF(S648="Cascadia",".90",IF(S648="Rocky Mountain",".95",IF(S648="North America",".99")))))</f>
        <v>.90</v>
      </c>
      <c r="CD648" s="4"/>
      <c r="CE648" s="21">
        <f>IF(W648&gt;3,3,W648)</f>
        <v>3</v>
      </c>
      <c r="CF648" s="21">
        <f>IF(AC648&gt;102,102,AC648)</f>
        <v>4</v>
      </c>
      <c r="CG648" s="34">
        <f>IF(AI648&lt;$AW$4,$AW$4,AI648)</f>
        <v>2004</v>
      </c>
      <c r="CH648" s="34">
        <f ca="1">IF(AJ648&lt;$AW$4,$AW$4,AJ648)</f>
        <v>2019</v>
      </c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13"/>
    </row>
    <row r="649" spans="1:115" ht="15" customHeight="1" x14ac:dyDescent="0.3">
      <c r="A649" s="235"/>
      <c r="B649" s="218"/>
      <c r="C649" s="226">
        <v>2</v>
      </c>
      <c r="D649" s="104" t="s">
        <v>1154</v>
      </c>
      <c r="E649" s="104" t="s">
        <v>2501</v>
      </c>
      <c r="F649" s="400" t="str">
        <f ca="1">IF(BC649&lt;2025, "Extinct&lt; 6Yrs?",BA649)</f>
        <v>Abundant</v>
      </c>
      <c r="G649" s="369" t="s">
        <v>525</v>
      </c>
      <c r="H649" s="369" t="s">
        <v>4028</v>
      </c>
      <c r="I649" s="370" t="s">
        <v>510</v>
      </c>
      <c r="J649" s="371" t="s">
        <v>3715</v>
      </c>
      <c r="K649" s="371" t="s">
        <v>1095</v>
      </c>
      <c r="L649" s="106" t="s">
        <v>1642</v>
      </c>
      <c r="M649" s="111" t="s">
        <v>4722</v>
      </c>
      <c r="N649" s="111" t="s">
        <v>5620</v>
      </c>
      <c r="O649" s="111" t="s">
        <v>6519</v>
      </c>
      <c r="P649" s="105" t="s">
        <v>741</v>
      </c>
      <c r="Q649" s="104" t="s">
        <v>2552</v>
      </c>
      <c r="R649" s="105" t="s">
        <v>2500</v>
      </c>
      <c r="S649" s="105" t="s">
        <v>2459</v>
      </c>
      <c r="T649" s="133" t="str">
        <f>IF(R649="Bogs Ponds Streams","20",IF(R649="Coastal Areas","26",IF(R649="Meadows Dry Open","10",IF(R649="Forest &amp; Understory","14",IF(R649="Moist Open","12",IF(R649="Moist Shady","10",IF(R649="Sub-Alpine Slopes","0")))))))</f>
        <v>10</v>
      </c>
      <c r="U649" s="133" t="str">
        <f>IF(R649="Bogs Ponds Streams","52",IF(R649="Coastal Areas","51",IF(R649="Meadows Dry Open","53",IF(R649="Forest &amp; Understory","52",IF(R649="Moist Open","50",IF(R649="Moist Shady","46",IF(R649="Sub-Alpine Slopes","40")))))))</f>
        <v>53</v>
      </c>
      <c r="V649" s="133" t="str">
        <f>IF(R649="Bogs Ponds Streams","84",IF(R649="Coastal Areas","76",IF(R649="Meadows Dry Open","96", IF(R649="Forest &amp; Understory","90", IF(R649="Moist Open","88", IF(R649="Moist Shady","82", IF(R649="Sub-Alpine Slopes","80")))))))</f>
        <v>96</v>
      </c>
      <c r="W649" s="104">
        <v>20</v>
      </c>
      <c r="X649" s="104">
        <v>0</v>
      </c>
      <c r="Y649" s="104">
        <v>3500</v>
      </c>
      <c r="Z649" s="104" t="s">
        <v>2519</v>
      </c>
      <c r="AA649" s="104" t="s">
        <v>2518</v>
      </c>
      <c r="AB649" s="104">
        <v>6.8</v>
      </c>
      <c r="AC649" s="107">
        <f>C649+AK649+(0.1)*AL649</f>
        <v>24</v>
      </c>
      <c r="AD649" s="113">
        <v>67</v>
      </c>
      <c r="AE649" s="104">
        <v>5</v>
      </c>
      <c r="AF649" s="104">
        <v>5</v>
      </c>
      <c r="AG649" s="104">
        <v>1900</v>
      </c>
      <c r="AH649" s="113">
        <v>0</v>
      </c>
      <c r="AI649" s="104">
        <f ca="1">AJ649</f>
        <v>2019</v>
      </c>
      <c r="AJ649" s="108">
        <f ca="1">YEAR(TODAY())</f>
        <v>2019</v>
      </c>
      <c r="AK649" s="108">
        <v>22</v>
      </c>
      <c r="AL649" s="108">
        <v>0</v>
      </c>
      <c r="AM649" s="108">
        <v>1</v>
      </c>
      <c r="AN649" s="108">
        <v>1</v>
      </c>
      <c r="AO649" s="108">
        <v>5</v>
      </c>
      <c r="AP649" s="108">
        <v>1</v>
      </c>
      <c r="AQ649" s="108">
        <v>0</v>
      </c>
      <c r="AR649" s="108">
        <v>0</v>
      </c>
      <c r="AS649" s="108">
        <v>0</v>
      </c>
      <c r="AT649" s="108">
        <v>0</v>
      </c>
      <c r="AU649" s="108">
        <v>0</v>
      </c>
      <c r="AV649" s="108">
        <v>0</v>
      </c>
      <c r="AW649" s="108">
        <v>0</v>
      </c>
      <c r="AX649" s="108">
        <v>0</v>
      </c>
      <c r="AY649" s="233"/>
      <c r="AZ649" s="4"/>
      <c r="BA649" s="35" t="str">
        <f ca="1">IF(OR(S649="North America",S649="Rocky Mountain"), "Widespread",BC649)</f>
        <v>Abundant</v>
      </c>
      <c r="BB649" s="4"/>
      <c r="BC649" s="35" t="str">
        <f ca="1">IF(BE649&gt;2046, "Abundant",BE649)</f>
        <v>Abundant</v>
      </c>
      <c r="BD649" s="4"/>
      <c r="BE649" s="81">
        <f ca="1">YEAR($C$13)+(BG649*80)</f>
        <v>2070.4357960784314</v>
      </c>
      <c r="BF649" s="4"/>
      <c r="BG649" s="137">
        <f ca="1">BH649*$BH$14</f>
        <v>0.64294745098039219</v>
      </c>
      <c r="BH649" s="137">
        <f ca="1">(((BJ649+BK649+BM649+BN649)/4)*$BM$11)+(((BP649+BQ649)/2)*$BQ$11)+(((BU649+BV649+BW649)/3)*$BU$11)+(((BY649+BZ649+CA649+CB649+CC649)/5)*$CA$11)</f>
        <v>0.64294745098039219</v>
      </c>
      <c r="BI649" s="4"/>
      <c r="BJ649" s="33">
        <f>AP649/(AM649+AO649)</f>
        <v>0.16666666666666666</v>
      </c>
      <c r="BK649" s="33">
        <f>(AN649+AO649)/(AM649+AO649)</f>
        <v>1</v>
      </c>
      <c r="BL649" s="4"/>
      <c r="BM649" s="127">
        <f>CF649/102</f>
        <v>0.23529411764705882</v>
      </c>
      <c r="BN649" s="127">
        <f>C649/2</f>
        <v>1</v>
      </c>
      <c r="BO649" s="4"/>
      <c r="BP649" s="127">
        <f>(AK649)/($AW$6)</f>
        <v>0.22222222222222221</v>
      </c>
      <c r="BQ649" s="127">
        <f ca="1">(CH649-$AW$4)/((YEAR($C$13))-$AW$4)</f>
        <v>1</v>
      </c>
      <c r="BR649" s="127">
        <f>(AL649)/($AW$6)</f>
        <v>0</v>
      </c>
      <c r="BS649" s="4"/>
      <c r="BT649" s="127"/>
      <c r="BU649" s="127">
        <f ca="1">(CG649-$AW$4)/((YEAR($C$13))-$AW$4)</f>
        <v>1</v>
      </c>
      <c r="BV649" s="127">
        <f>AE649/5</f>
        <v>1</v>
      </c>
      <c r="BW649" s="127">
        <f>AF649/5</f>
        <v>1</v>
      </c>
      <c r="BX649" s="4"/>
      <c r="BY649" s="148" t="str">
        <f>IF(E649="A",".98",IF(E649="B",".99",IF(E649="C","1.00",IF(E649="D","1.00" ))))</f>
        <v>1.00</v>
      </c>
      <c r="BZ649" s="127">
        <f>(CE649+7)/10</f>
        <v>1</v>
      </c>
      <c r="CA649" s="76" t="str">
        <f>IF(D649="Fern",".97",IF(D649="Grass",".99",IF(D649="Herb",".97",IF(D649="Shrub",".99",IF(D649="Tree","1.00",IF(D649="Vine",".98"))))))</f>
        <v>.97</v>
      </c>
      <c r="CB649" s="149" t="str">
        <f>IF(R649="Bogs Ponds Streams",".96", IF(R649="Coastal Areas",".97",IF(R649="Meadows Dry Open",".96",IF(R649="Forest &amp; Understory",".97",IF(R649="Moist Open",".98",IF(R649="Moist Shady",".96",IF(R649="Sub-Alpine","1.0")))))))</f>
        <v>.96</v>
      </c>
      <c r="CC649" s="76" t="str">
        <f>IF(S649="Local Endemic",".50",IF(S649="Regional Endemic",".70",IF(S649="Cascadia",".90",IF(S649="Rocky Mountain",".95",IF(S649="North America",".99")))))</f>
        <v>.90</v>
      </c>
      <c r="CD649" s="4"/>
      <c r="CE649" s="21">
        <f>IF(W649&gt;3,3,W649)</f>
        <v>3</v>
      </c>
      <c r="CF649" s="21">
        <f>IF(AC649&gt;102,102,AC649)</f>
        <v>24</v>
      </c>
      <c r="CG649" s="34">
        <f ca="1">IF(AI649&lt;$AW$4,$AW$4,AI649)</f>
        <v>2019</v>
      </c>
      <c r="CH649" s="34">
        <f ca="1">IF(AJ649&lt;$AW$4,$AW$4,AJ649)</f>
        <v>2019</v>
      </c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13"/>
    </row>
    <row r="650" spans="1:115" ht="15" customHeight="1" x14ac:dyDescent="0.3">
      <c r="A650" s="235"/>
      <c r="B650" s="218"/>
      <c r="C650" s="225">
        <v>8</v>
      </c>
      <c r="D650" s="59" t="s">
        <v>1154</v>
      </c>
      <c r="E650" s="59" t="s">
        <v>2501</v>
      </c>
      <c r="F650" s="397" t="str">
        <f ca="1">IF(BC650&lt;2025, "Extinct&lt; 6Yrs?",BA650)</f>
        <v>Widespread</v>
      </c>
      <c r="G650" s="363" t="s">
        <v>525</v>
      </c>
      <c r="H650" s="363" t="s">
        <v>683</v>
      </c>
      <c r="I650" s="366" t="s">
        <v>140</v>
      </c>
      <c r="J650" s="365" t="s">
        <v>4008</v>
      </c>
      <c r="K650" s="365" t="s">
        <v>1096</v>
      </c>
      <c r="L650" s="10" t="s">
        <v>1643</v>
      </c>
      <c r="M650" s="8" t="s">
        <v>4723</v>
      </c>
      <c r="N650" s="8" t="s">
        <v>5621</v>
      </c>
      <c r="O650" s="8" t="s">
        <v>6520</v>
      </c>
      <c r="P650" s="9" t="s">
        <v>741</v>
      </c>
      <c r="Q650" s="59" t="s">
        <v>2552</v>
      </c>
      <c r="R650" s="9" t="s">
        <v>2498</v>
      </c>
      <c r="S650" s="9" t="s">
        <v>2479</v>
      </c>
      <c r="T650" s="123" t="str">
        <f>IF(R650="Bogs Ponds Streams","20",IF(R650="Coastal Areas","26",IF(R650="Meadows Dry Open","10",IF(R650="Forest &amp; Understory","14",IF(R650="Moist Open","12",IF(R650="Moist Shady","10",IF(R650="Sub-Alpine Slopes","0")))))))</f>
        <v>10</v>
      </c>
      <c r="U650" s="123" t="str">
        <f>IF(R650="Bogs Ponds Streams","52",IF(R650="Coastal Areas","51",IF(R650="Meadows Dry Open","53",IF(R650="Forest &amp; Understory","52",IF(R650="Moist Open","50",IF(R650="Moist Shady","46",IF(R650="Sub-Alpine Slopes","40")))))))</f>
        <v>46</v>
      </c>
      <c r="V650" s="123" t="str">
        <f>IF(R650="Bogs Ponds Streams","84",IF(R650="Coastal Areas","76",IF(R650="Meadows Dry Open","96", IF(R650="Forest &amp; Understory","90", IF(R650="Moist Open","88", IF(R650="Moist Shady","82", IF(R650="Sub-Alpine Slopes","80")))))))</f>
        <v>82</v>
      </c>
      <c r="W650" s="59">
        <v>20</v>
      </c>
      <c r="X650" s="59">
        <v>0</v>
      </c>
      <c r="Y650" s="59">
        <v>3500</v>
      </c>
      <c r="Z650" s="59" t="s">
        <v>2519</v>
      </c>
      <c r="AA650" s="59" t="s">
        <v>2518</v>
      </c>
      <c r="AB650" s="59">
        <v>6.8</v>
      </c>
      <c r="AC650" s="45">
        <f>C650+AK650+(0.1)*AL650</f>
        <v>107.7</v>
      </c>
      <c r="AD650" s="77">
        <v>201</v>
      </c>
      <c r="AE650" s="59">
        <v>5</v>
      </c>
      <c r="AF650" s="59">
        <v>5</v>
      </c>
      <c r="AG650" s="59">
        <v>1900</v>
      </c>
      <c r="AH650" s="77">
        <v>0</v>
      </c>
      <c r="AI650" s="59">
        <f ca="1">AJ650</f>
        <v>2019</v>
      </c>
      <c r="AJ650" s="18">
        <f ca="1">YEAR(TODAY())</f>
        <v>2019</v>
      </c>
      <c r="AK650" s="18">
        <v>99</v>
      </c>
      <c r="AL650" s="18">
        <v>7</v>
      </c>
      <c r="AM650" s="18">
        <v>1</v>
      </c>
      <c r="AN650" s="18">
        <v>1</v>
      </c>
      <c r="AO650" s="18">
        <v>5</v>
      </c>
      <c r="AP650" s="18">
        <v>1</v>
      </c>
      <c r="AQ650" s="18">
        <v>0</v>
      </c>
      <c r="AR650" s="18">
        <v>0</v>
      </c>
      <c r="AS650" s="18">
        <v>0</v>
      </c>
      <c r="AT650" s="18">
        <v>0</v>
      </c>
      <c r="AU650" s="18">
        <v>0</v>
      </c>
      <c r="AV650" s="18">
        <v>0</v>
      </c>
      <c r="AW650" s="18">
        <v>0</v>
      </c>
      <c r="AX650" s="18">
        <v>0</v>
      </c>
      <c r="AY650" s="233"/>
      <c r="AZ650" s="4"/>
      <c r="BA650" s="35" t="str">
        <f>IF(OR(S650="North America",S650="Rocky Mountain"), "Widespread",BC650)</f>
        <v>Widespread</v>
      </c>
      <c r="BB650" s="4"/>
      <c r="BC650" s="35" t="str">
        <f ca="1">IF(BE650&gt;2046, "Abundant",BE650)</f>
        <v>Abundant</v>
      </c>
      <c r="BD650" s="4"/>
      <c r="BE650" s="81">
        <f ca="1">YEAR($C$13)+(BG650*80)</f>
        <v>2124.9616000000001</v>
      </c>
      <c r="BF650" s="4"/>
      <c r="BG650" s="137">
        <f ca="1">BH650*$BH$14</f>
        <v>1.3245200000000001</v>
      </c>
      <c r="BH650" s="137">
        <f ca="1">(((BJ650+BK650+BM650+BN650)/4)*$BM$11)+(((BP650+BQ650)/2)*$BQ$11)+(((BU650+BV650+BW650)/3)*$BU$11)+(((BY650+BZ650+CA650+CB650+CC650)/5)*$CA$11)</f>
        <v>1.3245200000000001</v>
      </c>
      <c r="BI650" s="4"/>
      <c r="BJ650" s="33">
        <f>AP650/(AM650+AO650)</f>
        <v>0.16666666666666666</v>
      </c>
      <c r="BK650" s="33">
        <f>(AN650+AO650)/(AM650+AO650)</f>
        <v>1</v>
      </c>
      <c r="BL650" s="4"/>
      <c r="BM650" s="127">
        <f>CF650/102</f>
        <v>1</v>
      </c>
      <c r="BN650" s="127">
        <f>C650/2</f>
        <v>4</v>
      </c>
      <c r="BO650" s="4"/>
      <c r="BP650" s="127">
        <f>(AK650)/($AW$6)</f>
        <v>1</v>
      </c>
      <c r="BQ650" s="127">
        <f ca="1">(CH650-$AW$4)/((YEAR($C$13))-$AW$4)</f>
        <v>1</v>
      </c>
      <c r="BR650" s="127">
        <f>(AL650)/($AW$6)</f>
        <v>7.0707070707070704E-2</v>
      </c>
      <c r="BS650" s="4"/>
      <c r="BT650" s="127"/>
      <c r="BU650" s="127">
        <f ca="1">(CG650-$AW$4)/((YEAR($C$13))-$AW$4)</f>
        <v>1</v>
      </c>
      <c r="BV650" s="127">
        <f>AE650/5</f>
        <v>1</v>
      </c>
      <c r="BW650" s="127">
        <f>AF650/5</f>
        <v>1</v>
      </c>
      <c r="BX650" s="4"/>
      <c r="BY650" s="148" t="str">
        <f>IF(E650="A",".98",IF(E650="B",".99",IF(E650="C","1.00",IF(E650="D","1.00" ))))</f>
        <v>1.00</v>
      </c>
      <c r="BZ650" s="127">
        <f>(CE650+7)/10</f>
        <v>1</v>
      </c>
      <c r="CA650" s="76" t="str">
        <f>IF(D650="Fern",".97",IF(D650="Grass",".99",IF(D650="Herb",".97",IF(D650="Shrub",".99",IF(D650="Tree","1.00",IF(D650="Vine",".98"))))))</f>
        <v>.97</v>
      </c>
      <c r="CB650" s="149" t="str">
        <f>IF(R650="Bogs Ponds Streams",".96", IF(R650="Coastal Areas",".97",IF(R650="Meadows Dry Open",".96",IF(R650="Forest &amp; Understory",".97",IF(R650="Moist Open",".98",IF(R650="Moist Shady",".96",IF(R650="Sub-Alpine","1.0")))))))</f>
        <v>.96</v>
      </c>
      <c r="CC650" s="76" t="str">
        <f>IF(S650="Local Endemic",".50",IF(S650="Regional Endemic",".70",IF(S650="Cascadia",".90",IF(S650="Rocky Mountain",".95",IF(S650="North America",".99")))))</f>
        <v>.95</v>
      </c>
      <c r="CD650" s="4"/>
      <c r="CE650" s="21">
        <f>IF(W650&gt;3,3,W650)</f>
        <v>3</v>
      </c>
      <c r="CF650" s="21">
        <f>IF(AC650&gt;102,102,AC650)</f>
        <v>102</v>
      </c>
      <c r="CG650" s="34">
        <f ca="1">IF(AI650&lt;$AW$4,$AW$4,AI650)</f>
        <v>2019</v>
      </c>
      <c r="CH650" s="34">
        <f ca="1">IF(AJ650&lt;$AW$4,$AW$4,AJ650)</f>
        <v>2019</v>
      </c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13"/>
    </row>
    <row r="651" spans="1:115" ht="15" customHeight="1" x14ac:dyDescent="0.3">
      <c r="A651" s="235"/>
      <c r="B651" s="218"/>
      <c r="C651" s="225">
        <v>9</v>
      </c>
      <c r="D651" s="59" t="s">
        <v>1154</v>
      </c>
      <c r="E651" s="59" t="s">
        <v>2501</v>
      </c>
      <c r="F651" s="397" t="str">
        <f ca="1">IF(BC651&lt;2025, "Extinct&lt; 6Yrs?",BA651)</f>
        <v>Widespread</v>
      </c>
      <c r="G651" s="363" t="s">
        <v>525</v>
      </c>
      <c r="H651" s="363" t="s">
        <v>689</v>
      </c>
      <c r="I651" s="364" t="s">
        <v>759</v>
      </c>
      <c r="J651" s="365" t="s">
        <v>4007</v>
      </c>
      <c r="K651" s="365" t="s">
        <v>2801</v>
      </c>
      <c r="L651" s="10" t="s">
        <v>2236</v>
      </c>
      <c r="M651" s="8" t="s">
        <v>4724</v>
      </c>
      <c r="N651" s="8" t="s">
        <v>5622</v>
      </c>
      <c r="O651" s="8" t="s">
        <v>6521</v>
      </c>
      <c r="P651" s="9" t="s">
        <v>741</v>
      </c>
      <c r="Q651" s="59" t="s">
        <v>2552</v>
      </c>
      <c r="R651" s="9" t="s">
        <v>2500</v>
      </c>
      <c r="S651" s="17" t="s">
        <v>2495</v>
      </c>
      <c r="T651" s="123" t="str">
        <f>IF(R651="Bogs Ponds Streams","20",IF(R651="Coastal Areas","26",IF(R651="Meadows Dry Open","10",IF(R651="Forest &amp; Understory","14",IF(R651="Moist Open","12",IF(R651="Moist Shady","10",IF(R651="Sub-Alpine Slopes","0")))))))</f>
        <v>10</v>
      </c>
      <c r="U651" s="123" t="str">
        <f>IF(R651="Bogs Ponds Streams","52",IF(R651="Coastal Areas","51",IF(R651="Meadows Dry Open","53",IF(R651="Forest &amp; Understory","52",IF(R651="Moist Open","50",IF(R651="Moist Shady","46",IF(R651="Sub-Alpine Slopes","40")))))))</f>
        <v>53</v>
      </c>
      <c r="V651" s="123" t="str">
        <f>IF(R651="Bogs Ponds Streams","84",IF(R651="Coastal Areas","76",IF(R651="Meadows Dry Open","96", IF(R651="Forest &amp; Understory","90", IF(R651="Moist Open","88", IF(R651="Moist Shady","82", IF(R651="Sub-Alpine Slopes","80")))))))</f>
        <v>96</v>
      </c>
      <c r="W651" s="59">
        <v>20</v>
      </c>
      <c r="X651" s="59">
        <v>0</v>
      </c>
      <c r="Y651" s="59">
        <v>3500</v>
      </c>
      <c r="Z651" s="59" t="s">
        <v>2519</v>
      </c>
      <c r="AA651" s="59" t="s">
        <v>2518</v>
      </c>
      <c r="AB651" s="59">
        <v>6.8</v>
      </c>
      <c r="AC651" s="45">
        <f>C651+AK651+(0.1)*AL651</f>
        <v>108.9</v>
      </c>
      <c r="AD651" s="77">
        <v>0</v>
      </c>
      <c r="AE651" s="59">
        <v>5</v>
      </c>
      <c r="AF651" s="59">
        <v>5</v>
      </c>
      <c r="AG651" s="59">
        <v>1900</v>
      </c>
      <c r="AH651" s="77">
        <v>0</v>
      </c>
      <c r="AI651" s="59">
        <f ca="1">AJ651</f>
        <v>2019</v>
      </c>
      <c r="AJ651" s="18">
        <f ca="1">YEAR(TODAY())</f>
        <v>2019</v>
      </c>
      <c r="AK651" s="18">
        <v>99</v>
      </c>
      <c r="AL651" s="18">
        <v>9</v>
      </c>
      <c r="AM651" s="18">
        <v>1</v>
      </c>
      <c r="AN651" s="18">
        <v>1</v>
      </c>
      <c r="AO651" s="18">
        <v>5</v>
      </c>
      <c r="AP651" s="18">
        <v>1</v>
      </c>
      <c r="AQ651" s="18">
        <v>0</v>
      </c>
      <c r="AR651" s="18">
        <v>0</v>
      </c>
      <c r="AS651" s="18">
        <v>0</v>
      </c>
      <c r="AT651" s="18">
        <v>0</v>
      </c>
      <c r="AU651" s="18">
        <v>0</v>
      </c>
      <c r="AV651" s="18">
        <v>0</v>
      </c>
      <c r="AW651" s="18">
        <v>0</v>
      </c>
      <c r="AX651" s="18">
        <v>0</v>
      </c>
      <c r="AY651" s="233"/>
      <c r="AZ651" s="4"/>
      <c r="BA651" s="35" t="str">
        <f>IF(OR(S651="North America",S651="Rocky Mountain"), "Widespread",BC651)</f>
        <v>Widespread</v>
      </c>
      <c r="BB651" s="4"/>
      <c r="BC651" s="35" t="str">
        <f ca="1">IF(BE651&gt;2046, "Abundant",BE651)</f>
        <v>Abundant</v>
      </c>
      <c r="BD651" s="4"/>
      <c r="BE651" s="81">
        <f ca="1">YEAR($C$13)+(BG651*80)</f>
        <v>2130.9744000000001</v>
      </c>
      <c r="BF651" s="4"/>
      <c r="BG651" s="137">
        <f ca="1">BH651*$BH$14</f>
        <v>1.39968</v>
      </c>
      <c r="BH651" s="137">
        <f ca="1">(((BJ651+BK651+BM651+BN651)/4)*$BM$11)+(((BP651+BQ651)/2)*$BQ$11)+(((BU651+BV651+BW651)/3)*$BU$11)+(((BY651+BZ651+CA651+CB651+CC651)/5)*$CA$11)</f>
        <v>1.39968</v>
      </c>
      <c r="BI651" s="4"/>
      <c r="BJ651" s="33">
        <f>AP651/(AM651+AO651)</f>
        <v>0.16666666666666666</v>
      </c>
      <c r="BK651" s="33">
        <f>(AN651+AO651)/(AM651+AO651)</f>
        <v>1</v>
      </c>
      <c r="BL651" s="4"/>
      <c r="BM651" s="127">
        <f>CF651/102</f>
        <v>1</v>
      </c>
      <c r="BN651" s="127">
        <f>C651/2</f>
        <v>4.5</v>
      </c>
      <c r="BO651" s="4"/>
      <c r="BP651" s="127">
        <f>(AK651)/($AW$6)</f>
        <v>1</v>
      </c>
      <c r="BQ651" s="127">
        <f ca="1">(CH651-$AW$4)/((YEAR($C$13))-$AW$4)</f>
        <v>1</v>
      </c>
      <c r="BR651" s="127">
        <f>(AL651)/($AW$6)</f>
        <v>9.0909090909090912E-2</v>
      </c>
      <c r="BS651" s="4"/>
      <c r="BT651" s="127"/>
      <c r="BU651" s="127">
        <f ca="1">(CG651-$AW$4)/((YEAR($C$13))-$AW$4)</f>
        <v>1</v>
      </c>
      <c r="BV651" s="127">
        <f>AE651/5</f>
        <v>1</v>
      </c>
      <c r="BW651" s="127">
        <f>AF651/5</f>
        <v>1</v>
      </c>
      <c r="BX651" s="4"/>
      <c r="BY651" s="148" t="str">
        <f>IF(E651="A",".98",IF(E651="B",".99",IF(E651="C","1.00",IF(E651="D","1.00" ))))</f>
        <v>1.00</v>
      </c>
      <c r="BZ651" s="127">
        <f>(CE651+7)/10</f>
        <v>1</v>
      </c>
      <c r="CA651" s="76" t="str">
        <f>IF(D651="Fern",".97",IF(D651="Grass",".99",IF(D651="Herb",".97",IF(D651="Shrub",".99",IF(D651="Tree","1.00",IF(D651="Vine",".98"))))))</f>
        <v>.97</v>
      </c>
      <c r="CB651" s="149" t="str">
        <f>IF(R651="Bogs Ponds Streams",".96", IF(R651="Coastal Areas",".97",IF(R651="Meadows Dry Open",".96",IF(R651="Forest &amp; Understory",".97",IF(R651="Moist Open",".98",IF(R651="Moist Shady",".96",IF(R651="Sub-Alpine","1.0")))))))</f>
        <v>.96</v>
      </c>
      <c r="CC651" s="76" t="str">
        <f>IF(S651="Local Endemic",".50",IF(S651="Regional Endemic",".70",IF(S651="Cascadia",".90",IF(S651="Rocky Mountain",".95",IF(S651="North America",".99")))))</f>
        <v>.99</v>
      </c>
      <c r="CD651" s="4"/>
      <c r="CE651" s="21">
        <f>IF(W651&gt;3,3,W651)</f>
        <v>3</v>
      </c>
      <c r="CF651" s="21">
        <f>IF(AC651&gt;102,102,AC651)</f>
        <v>102</v>
      </c>
      <c r="CG651" s="34">
        <f ca="1">IF(AI651&lt;$AW$4,$AW$4,AI651)</f>
        <v>2019</v>
      </c>
      <c r="CH651" s="34">
        <f ca="1">IF(AJ651&lt;$AW$4,$AW$4,AJ651)</f>
        <v>2019</v>
      </c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13"/>
    </row>
    <row r="652" spans="1:115" ht="15" customHeight="1" x14ac:dyDescent="0.3">
      <c r="A652" s="235"/>
      <c r="B652" s="218"/>
      <c r="C652" s="225">
        <v>8</v>
      </c>
      <c r="D652" s="59" t="s">
        <v>2507</v>
      </c>
      <c r="E652" s="59" t="s">
        <v>2501</v>
      </c>
      <c r="F652" s="397" t="str">
        <f ca="1">IF(BC652&lt;2025, "Extinct&lt; 6Yrs?",BA652)</f>
        <v>Widespread</v>
      </c>
      <c r="G652" s="363" t="s">
        <v>525</v>
      </c>
      <c r="H652" s="363" t="s">
        <v>691</v>
      </c>
      <c r="I652" s="366" t="s">
        <v>3112</v>
      </c>
      <c r="J652" s="365" t="s">
        <v>4006</v>
      </c>
      <c r="K652" s="365" t="s">
        <v>1097</v>
      </c>
      <c r="L652" s="10" t="s">
        <v>1644</v>
      </c>
      <c r="M652" s="8" t="s">
        <v>4725</v>
      </c>
      <c r="N652" s="8" t="s">
        <v>5623</v>
      </c>
      <c r="O652" s="8" t="s">
        <v>4725</v>
      </c>
      <c r="P652" s="9" t="s">
        <v>547</v>
      </c>
      <c r="Q652" s="59" t="s">
        <v>2552</v>
      </c>
      <c r="R652" s="9" t="s">
        <v>2497</v>
      </c>
      <c r="S652" s="9" t="s">
        <v>2495</v>
      </c>
      <c r="T652" s="123" t="str">
        <f>IF(R652="Bogs Ponds Streams","20",IF(R652="Coastal Areas","26",IF(R652="Meadows Dry Open","10",IF(R652="Forest &amp; Understory","14",IF(R652="Moist Open","12",IF(R652="Moist Shady","10",IF(R652="Sub-Alpine Slopes","0")))))))</f>
        <v>12</v>
      </c>
      <c r="U652" s="123" t="str">
        <f>IF(R652="Bogs Ponds Streams","52",IF(R652="Coastal Areas","51",IF(R652="Meadows Dry Open","53",IF(R652="Forest &amp; Understory","52",IF(R652="Moist Open","50",IF(R652="Moist Shady","46",IF(R652="Sub-Alpine Slopes","40")))))))</f>
        <v>50</v>
      </c>
      <c r="V652" s="123" t="str">
        <f>IF(R652="Bogs Ponds Streams","84",IF(R652="Coastal Areas","76",IF(R652="Meadows Dry Open","96", IF(R652="Forest &amp; Understory","90", IF(R652="Moist Open","88", IF(R652="Moist Shady","82", IF(R652="Sub-Alpine Slopes","80")))))))</f>
        <v>88</v>
      </c>
      <c r="W652" s="59">
        <v>20</v>
      </c>
      <c r="X652" s="59">
        <v>0</v>
      </c>
      <c r="Y652" s="59">
        <v>3500</v>
      </c>
      <c r="Z652" s="59" t="s">
        <v>2519</v>
      </c>
      <c r="AA652" s="59" t="s">
        <v>2518</v>
      </c>
      <c r="AB652" s="59">
        <v>6.8</v>
      </c>
      <c r="AC652" s="45">
        <f>C652+AK652+(0.1)*AL652</f>
        <v>107.9</v>
      </c>
      <c r="AD652" s="77">
        <v>144</v>
      </c>
      <c r="AE652" s="59">
        <v>5</v>
      </c>
      <c r="AF652" s="59">
        <v>5</v>
      </c>
      <c r="AG652" s="59">
        <v>1900</v>
      </c>
      <c r="AH652" s="77">
        <v>0</v>
      </c>
      <c r="AI652" s="59">
        <f ca="1">AJ652</f>
        <v>2019</v>
      </c>
      <c r="AJ652" s="18">
        <f ca="1">YEAR(TODAY())</f>
        <v>2019</v>
      </c>
      <c r="AK652" s="18">
        <v>99</v>
      </c>
      <c r="AL652" s="18">
        <v>9</v>
      </c>
      <c r="AM652" s="18">
        <v>1</v>
      </c>
      <c r="AN652" s="18">
        <v>1</v>
      </c>
      <c r="AO652" s="18">
        <v>5</v>
      </c>
      <c r="AP652" s="18">
        <v>1</v>
      </c>
      <c r="AQ652" s="18">
        <v>0</v>
      </c>
      <c r="AR652" s="18">
        <v>0</v>
      </c>
      <c r="AS652" s="18">
        <v>0</v>
      </c>
      <c r="AT652" s="18">
        <v>0</v>
      </c>
      <c r="AU652" s="18">
        <v>0</v>
      </c>
      <c r="AV652" s="18">
        <v>0</v>
      </c>
      <c r="AW652" s="18">
        <v>0</v>
      </c>
      <c r="AX652" s="18">
        <v>0</v>
      </c>
      <c r="AY652" s="233"/>
      <c r="AZ652" s="4"/>
      <c r="BA652" s="35" t="str">
        <f>IF(OR(S652="North America",S652="Rocky Mountain"), "Widespread",BC652)</f>
        <v>Widespread</v>
      </c>
      <c r="BB652" s="4"/>
      <c r="BC652" s="35" t="str">
        <f ca="1">IF(BE652&gt;2046, "Abundant",BE652)</f>
        <v>Abundant</v>
      </c>
      <c r="BD652" s="4"/>
      <c r="BE652" s="81">
        <f ca="1">YEAR($C$13)+(BG652*80)</f>
        <v>2124.9904000000001</v>
      </c>
      <c r="BF652" s="4"/>
      <c r="BG652" s="137">
        <f ca="1">BH652*$BH$14</f>
        <v>1.3248800000000001</v>
      </c>
      <c r="BH652" s="137">
        <f ca="1">(((BJ652+BK652+BM652+BN652)/4)*$BM$11)+(((BP652+BQ652)/2)*$BQ$11)+(((BU652+BV652+BW652)/3)*$BU$11)+(((BY652+BZ652+CA652+CB652+CC652)/5)*$CA$11)</f>
        <v>1.3248800000000001</v>
      </c>
      <c r="BI652" s="4"/>
      <c r="BJ652" s="33">
        <f>AP652/(AM652+AO652)</f>
        <v>0.16666666666666666</v>
      </c>
      <c r="BK652" s="33">
        <f>(AN652+AO652)/(AM652+AO652)</f>
        <v>1</v>
      </c>
      <c r="BL652" s="4"/>
      <c r="BM652" s="127">
        <f>CF652/102</f>
        <v>1</v>
      </c>
      <c r="BN652" s="127">
        <f>C652/2</f>
        <v>4</v>
      </c>
      <c r="BO652" s="4"/>
      <c r="BP652" s="127">
        <f>(AK652)/($AW$6)</f>
        <v>1</v>
      </c>
      <c r="BQ652" s="127">
        <f ca="1">(CH652-$AW$4)/((YEAR($C$13))-$AW$4)</f>
        <v>1</v>
      </c>
      <c r="BR652" s="127">
        <f>(AL652)/($AW$6)</f>
        <v>9.0909090909090912E-2</v>
      </c>
      <c r="BS652" s="4"/>
      <c r="BT652" s="127"/>
      <c r="BU652" s="127">
        <f ca="1">(CG652-$AW$4)/((YEAR($C$13))-$AW$4)</f>
        <v>1</v>
      </c>
      <c r="BV652" s="127">
        <f>AE652/5</f>
        <v>1</v>
      </c>
      <c r="BW652" s="127">
        <f>AF652/5</f>
        <v>1</v>
      </c>
      <c r="BX652" s="4"/>
      <c r="BY652" s="148" t="str">
        <f>IF(E652="A",".98",IF(E652="B",".99",IF(E652="C","1.00",IF(E652="D","1.00" ))))</f>
        <v>1.00</v>
      </c>
      <c r="BZ652" s="127">
        <f>(CE652+7)/10</f>
        <v>1</v>
      </c>
      <c r="CA652" s="76" t="str">
        <f>IF(D652="Fern",".97",IF(D652="Grass",".99",IF(D652="Herb",".97",IF(D652="Shrub",".99",IF(D652="Tree","1.00",IF(D652="Vine",".98"))))))</f>
        <v>1.00</v>
      </c>
      <c r="CB652" s="149" t="str">
        <f>IF(R652="Bogs Ponds Streams",".96", IF(R652="Coastal Areas",".97",IF(R652="Meadows Dry Open",".96",IF(R652="Forest &amp; Understory",".97",IF(R652="Moist Open",".98",IF(R652="Moist Shady",".96",IF(R652="Sub-Alpine","1.0")))))))</f>
        <v>.98</v>
      </c>
      <c r="CC652" s="76" t="str">
        <f>IF(S652="Local Endemic",".50",IF(S652="Regional Endemic",".70",IF(S652="Cascadia",".90",IF(S652="Rocky Mountain",".95",IF(S652="North America",".99")))))</f>
        <v>.99</v>
      </c>
      <c r="CD652" s="4"/>
      <c r="CE652" s="21">
        <f>IF(W652&gt;3,3,W652)</f>
        <v>3</v>
      </c>
      <c r="CF652" s="21">
        <f>IF(AC652&gt;102,102,AC652)</f>
        <v>102</v>
      </c>
      <c r="CG652" s="34">
        <f ca="1">IF(AI652&lt;$AW$4,$AW$4,AI652)</f>
        <v>2019</v>
      </c>
      <c r="CH652" s="34">
        <f ca="1">IF(AJ652&lt;$AW$4,$AW$4,AJ652)</f>
        <v>2019</v>
      </c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</row>
    <row r="653" spans="1:115" ht="15" customHeight="1" x14ac:dyDescent="0.3">
      <c r="A653" s="235"/>
      <c r="B653" s="218"/>
      <c r="C653" s="225">
        <v>8</v>
      </c>
      <c r="D653" s="59" t="s">
        <v>2507</v>
      </c>
      <c r="E653" s="59" t="s">
        <v>2501</v>
      </c>
      <c r="F653" s="397" t="str">
        <f ca="1">IF(BC653&lt;2025, "Extinct&lt; 6Yrs?",BA653)</f>
        <v>Widespread</v>
      </c>
      <c r="G653" s="363" t="s">
        <v>525</v>
      </c>
      <c r="H653" s="363" t="s">
        <v>681</v>
      </c>
      <c r="I653" s="364" t="s">
        <v>1099</v>
      </c>
      <c r="J653" s="365" t="s">
        <v>4005</v>
      </c>
      <c r="K653" s="365" t="s">
        <v>1098</v>
      </c>
      <c r="L653" s="10" t="s">
        <v>1645</v>
      </c>
      <c r="M653" s="8" t="s">
        <v>4726</v>
      </c>
      <c r="N653" s="8" t="s">
        <v>5624</v>
      </c>
      <c r="O653" s="8" t="s">
        <v>6522</v>
      </c>
      <c r="P653" s="9" t="s">
        <v>547</v>
      </c>
      <c r="Q653" s="59" t="s">
        <v>2552</v>
      </c>
      <c r="R653" s="9" t="s">
        <v>2497</v>
      </c>
      <c r="S653" s="9" t="s">
        <v>2479</v>
      </c>
      <c r="T653" s="123" t="str">
        <f>IF(R653="Bogs Ponds Streams","20",IF(R653="Coastal Areas","26",IF(R653="Meadows Dry Open","10",IF(R653="Forest &amp; Understory","14",IF(R653="Moist Open","12",IF(R653="Moist Shady","10",IF(R653="Sub-Alpine Slopes","0")))))))</f>
        <v>12</v>
      </c>
      <c r="U653" s="123" t="str">
        <f>IF(R653="Bogs Ponds Streams","52",IF(R653="Coastal Areas","51",IF(R653="Meadows Dry Open","53",IF(R653="Forest &amp; Understory","52",IF(R653="Moist Open","50",IF(R653="Moist Shady","46",IF(R653="Sub-Alpine Slopes","40")))))))</f>
        <v>50</v>
      </c>
      <c r="V653" s="123" t="str">
        <f>IF(R653="Bogs Ponds Streams","84",IF(R653="Coastal Areas","76",IF(R653="Meadows Dry Open","96", IF(R653="Forest &amp; Understory","90", IF(R653="Moist Open","88", IF(R653="Moist Shady","82", IF(R653="Sub-Alpine Slopes","80")))))))</f>
        <v>88</v>
      </c>
      <c r="W653" s="59">
        <v>20</v>
      </c>
      <c r="X653" s="59">
        <v>0</v>
      </c>
      <c r="Y653" s="59">
        <v>3500</v>
      </c>
      <c r="Z653" s="59" t="s">
        <v>2519</v>
      </c>
      <c r="AA653" s="59" t="s">
        <v>2518</v>
      </c>
      <c r="AB653" s="59">
        <v>6.8</v>
      </c>
      <c r="AC653" s="45">
        <f>C653+AK653+(0.1)*AL653</f>
        <v>107.9</v>
      </c>
      <c r="AD653" s="77">
        <v>88</v>
      </c>
      <c r="AE653" s="59">
        <v>5</v>
      </c>
      <c r="AF653" s="59">
        <v>5</v>
      </c>
      <c r="AG653" s="59">
        <v>1900</v>
      </c>
      <c r="AH653" s="77">
        <v>0</v>
      </c>
      <c r="AI653" s="59">
        <f ca="1">AJ653</f>
        <v>2019</v>
      </c>
      <c r="AJ653" s="18">
        <f ca="1">YEAR(TODAY())</f>
        <v>2019</v>
      </c>
      <c r="AK653" s="18">
        <v>99</v>
      </c>
      <c r="AL653" s="18">
        <v>9</v>
      </c>
      <c r="AM653" s="18">
        <v>1</v>
      </c>
      <c r="AN653" s="18">
        <v>1</v>
      </c>
      <c r="AO653" s="18">
        <v>5</v>
      </c>
      <c r="AP653" s="18">
        <v>1</v>
      </c>
      <c r="AQ653" s="18">
        <v>0</v>
      </c>
      <c r="AR653" s="18">
        <v>0</v>
      </c>
      <c r="AS653" s="18">
        <v>0</v>
      </c>
      <c r="AT653" s="18">
        <v>0</v>
      </c>
      <c r="AU653" s="18">
        <v>0</v>
      </c>
      <c r="AV653" s="18">
        <v>0</v>
      </c>
      <c r="AW653" s="18">
        <v>0</v>
      </c>
      <c r="AX653" s="18">
        <v>0</v>
      </c>
      <c r="AY653" s="233"/>
      <c r="AZ653" s="4"/>
      <c r="BA653" s="35" t="str">
        <f>IF(OR(S653="North America",S653="Rocky Mountain"), "Widespread",BC653)</f>
        <v>Widespread</v>
      </c>
      <c r="BB653" s="4"/>
      <c r="BC653" s="35" t="str">
        <f ca="1">IF(BE653&gt;2046, "Abundant",BE653)</f>
        <v>Abundant</v>
      </c>
      <c r="BD653" s="4"/>
      <c r="BE653" s="81">
        <f ca="1">YEAR($C$13)+(BG653*80)</f>
        <v>2124.9776000000002</v>
      </c>
      <c r="BF653" s="4"/>
      <c r="BG653" s="137">
        <f ca="1">BH653*$BH$14</f>
        <v>1.3247200000000001</v>
      </c>
      <c r="BH653" s="137">
        <f ca="1">(((BJ653+BK653+BM653+BN653)/4)*$BM$11)+(((BP653+BQ653)/2)*$BQ$11)+(((BU653+BV653+BW653)/3)*$BU$11)+(((BY653+BZ653+CA653+CB653+CC653)/5)*$CA$11)</f>
        <v>1.3247200000000001</v>
      </c>
      <c r="BI653" s="4"/>
      <c r="BJ653" s="33">
        <f>AP653/(AM653+AO653)</f>
        <v>0.16666666666666666</v>
      </c>
      <c r="BK653" s="33">
        <f>(AN653+AO653)/(AM653+AO653)</f>
        <v>1</v>
      </c>
      <c r="BL653" s="4"/>
      <c r="BM653" s="127">
        <f>CF653/102</f>
        <v>1</v>
      </c>
      <c r="BN653" s="127">
        <f>C653/2</f>
        <v>4</v>
      </c>
      <c r="BO653" s="4"/>
      <c r="BP653" s="127">
        <f>(AK653)/($AW$6)</f>
        <v>1</v>
      </c>
      <c r="BQ653" s="127">
        <f ca="1">(CH653-$AW$4)/((YEAR($C$13))-$AW$4)</f>
        <v>1</v>
      </c>
      <c r="BR653" s="127">
        <f>(AL653)/($AW$6)</f>
        <v>9.0909090909090912E-2</v>
      </c>
      <c r="BS653" s="4"/>
      <c r="BT653" s="127"/>
      <c r="BU653" s="127">
        <f ca="1">(CG653-$AW$4)/((YEAR($C$13))-$AW$4)</f>
        <v>1</v>
      </c>
      <c r="BV653" s="127">
        <f>AE653/5</f>
        <v>1</v>
      </c>
      <c r="BW653" s="127">
        <f>AF653/5</f>
        <v>1</v>
      </c>
      <c r="BX653" s="4"/>
      <c r="BY653" s="148" t="str">
        <f>IF(E653="A",".98",IF(E653="B",".99",IF(E653="C","1.00",IF(E653="D","1.00" ))))</f>
        <v>1.00</v>
      </c>
      <c r="BZ653" s="127">
        <f>(CE653+7)/10</f>
        <v>1</v>
      </c>
      <c r="CA653" s="76" t="str">
        <f>IF(D653="Fern",".97",IF(D653="Grass",".99",IF(D653="Herb",".97",IF(D653="Shrub",".99",IF(D653="Tree","1.00",IF(D653="Vine",".98"))))))</f>
        <v>1.00</v>
      </c>
      <c r="CB653" s="149" t="str">
        <f>IF(R653="Bogs Ponds Streams",".96", IF(R653="Coastal Areas",".97",IF(R653="Meadows Dry Open",".96",IF(R653="Forest &amp; Understory",".97",IF(R653="Moist Open",".98",IF(R653="Moist Shady",".96",IF(R653="Sub-Alpine","1.0")))))))</f>
        <v>.98</v>
      </c>
      <c r="CC653" s="76" t="str">
        <f>IF(S653="Local Endemic",".50",IF(S653="Regional Endemic",".70",IF(S653="Cascadia",".90",IF(S653="Rocky Mountain",".95",IF(S653="North America",".99")))))</f>
        <v>.95</v>
      </c>
      <c r="CD653" s="4"/>
      <c r="CE653" s="21">
        <f>IF(W653&gt;3,3,W653)</f>
        <v>3</v>
      </c>
      <c r="CF653" s="21">
        <f>IF(AC653&gt;102,102,AC653)</f>
        <v>102</v>
      </c>
      <c r="CG653" s="34">
        <f ca="1">IF(AI653&lt;$AW$4,$AW$4,AI653)</f>
        <v>2019</v>
      </c>
      <c r="CH653" s="34">
        <f ca="1">IF(AJ653&lt;$AW$4,$AW$4,AJ653)</f>
        <v>2019</v>
      </c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</row>
    <row r="654" spans="1:115" ht="15" customHeight="1" x14ac:dyDescent="0.3">
      <c r="A654" s="235"/>
      <c r="B654" s="218"/>
      <c r="C654" s="225">
        <v>8</v>
      </c>
      <c r="D654" s="59" t="s">
        <v>2505</v>
      </c>
      <c r="E654" s="59" t="s">
        <v>2501</v>
      </c>
      <c r="F654" s="397" t="str">
        <f ca="1">IF(BC654&lt;2025, "Extinct&lt; 6Yrs?",BA654)</f>
        <v>Widespread</v>
      </c>
      <c r="G654" s="363" t="s">
        <v>525</v>
      </c>
      <c r="H654" s="363" t="s">
        <v>684</v>
      </c>
      <c r="I654" s="366" t="s">
        <v>241</v>
      </c>
      <c r="J654" s="365" t="s">
        <v>4004</v>
      </c>
      <c r="K654" s="365" t="s">
        <v>1232</v>
      </c>
      <c r="L654" s="10" t="s">
        <v>1646</v>
      </c>
      <c r="M654" s="8" t="s">
        <v>4727</v>
      </c>
      <c r="N654" s="8" t="s">
        <v>5625</v>
      </c>
      <c r="O654" s="8" t="s">
        <v>6523</v>
      </c>
      <c r="P654" s="9" t="s">
        <v>235</v>
      </c>
      <c r="Q654" s="59" t="s">
        <v>2552</v>
      </c>
      <c r="R654" s="9" t="s">
        <v>2499</v>
      </c>
      <c r="S654" s="9" t="s">
        <v>2495</v>
      </c>
      <c r="T654" s="123" t="str">
        <f>IF(R654="Bogs Ponds Streams","20",IF(R654="Coastal Areas","26",IF(R654="Meadows Dry Open","10",IF(R654="Forest &amp; Understory","14",IF(R654="Moist Open","12",IF(R654="Moist Shady","10",IF(R654="Sub-Alpine Slopes","0")))))))</f>
        <v>20</v>
      </c>
      <c r="U654" s="123" t="str">
        <f>IF(R654="Bogs Ponds Streams","52",IF(R654="Coastal Areas","51",IF(R654="Meadows Dry Open","53",IF(R654="Forest &amp; Understory","52",IF(R654="Moist Open","50",IF(R654="Moist Shady","46",IF(R654="Sub-Alpine Slopes","40")))))))</f>
        <v>52</v>
      </c>
      <c r="V654" s="123" t="str">
        <f>IF(R654="Bogs Ponds Streams","84",IF(R654="Coastal Areas","76",IF(R654="Meadows Dry Open","96", IF(R654="Forest &amp; Understory","90", IF(R654="Moist Open","88", IF(R654="Moist Shady","82", IF(R654="Sub-Alpine Slopes","80")))))))</f>
        <v>84</v>
      </c>
      <c r="W654" s="59">
        <v>20</v>
      </c>
      <c r="X654" s="59">
        <v>0</v>
      </c>
      <c r="Y654" s="59">
        <v>3500</v>
      </c>
      <c r="Z654" s="59" t="s">
        <v>2519</v>
      </c>
      <c r="AA654" s="59" t="s">
        <v>2518</v>
      </c>
      <c r="AB654" s="59">
        <v>6.8</v>
      </c>
      <c r="AC654" s="45">
        <f>C654+AK654+(0.1)*AL654</f>
        <v>18</v>
      </c>
      <c r="AD654" s="77">
        <v>59</v>
      </c>
      <c r="AE654" s="59">
        <v>5</v>
      </c>
      <c r="AF654" s="59">
        <v>5</v>
      </c>
      <c r="AG654" s="59">
        <v>1900</v>
      </c>
      <c r="AH654" s="77">
        <v>0</v>
      </c>
      <c r="AI654" s="59">
        <f ca="1">AJ654</f>
        <v>2019</v>
      </c>
      <c r="AJ654" s="18">
        <f ca="1">YEAR(TODAY())</f>
        <v>2019</v>
      </c>
      <c r="AK654" s="18">
        <v>10</v>
      </c>
      <c r="AL654" s="18">
        <v>0</v>
      </c>
      <c r="AM654" s="18">
        <v>1</v>
      </c>
      <c r="AN654" s="18">
        <v>1</v>
      </c>
      <c r="AO654" s="25">
        <v>0</v>
      </c>
      <c r="AP654" s="24">
        <v>0</v>
      </c>
      <c r="AQ654" s="18">
        <v>0</v>
      </c>
      <c r="AR654" s="18">
        <v>0</v>
      </c>
      <c r="AS654" s="18">
        <v>0</v>
      </c>
      <c r="AT654" s="18">
        <v>0</v>
      </c>
      <c r="AU654" s="18">
        <v>0</v>
      </c>
      <c r="AV654" s="18">
        <v>0</v>
      </c>
      <c r="AW654" s="18">
        <v>0</v>
      </c>
      <c r="AX654" s="18">
        <v>0</v>
      </c>
      <c r="AY654" s="233"/>
      <c r="AZ654" s="4"/>
      <c r="BA654" s="35" t="str">
        <f>IF(OR(S654="North America",S654="Rocky Mountain"), "Widespread",BC654)</f>
        <v>Widespread</v>
      </c>
      <c r="BB654" s="4"/>
      <c r="BC654" s="35" t="str">
        <f ca="1">IF(BE654&gt;2046, "Abundant",BE654)</f>
        <v>Abundant</v>
      </c>
      <c r="BD654" s="4"/>
      <c r="BE654" s="81">
        <f ca="1">YEAR($C$13)+(BG654*80)</f>
        <v>2102.304168270945</v>
      </c>
      <c r="BF654" s="4"/>
      <c r="BG654" s="137">
        <f ca="1">BH654*$BH$14</f>
        <v>1.0413021033868093</v>
      </c>
      <c r="BH654" s="137">
        <f ca="1">(((BJ654+BK654+BM654+BN654)/4)*$BM$11)+(((BP654+BQ654)/2)*$BQ$11)+(((BU654+BV654+BW654)/3)*$BU$11)+(((BY654+BZ654+CA654+CB654+CC654)/5)*$CA$11)</f>
        <v>1.0413021033868093</v>
      </c>
      <c r="BI654" s="4"/>
      <c r="BJ654" s="33">
        <f>AP654/(AM654+AO654)</f>
        <v>0</v>
      </c>
      <c r="BK654" s="33">
        <f>(AN654+AO654)/(AM654+AO654)</f>
        <v>1</v>
      </c>
      <c r="BL654" s="4"/>
      <c r="BM654" s="127">
        <f>CF654/102</f>
        <v>0.17647058823529413</v>
      </c>
      <c r="BN654" s="127">
        <f>C654/2</f>
        <v>4</v>
      </c>
      <c r="BO654" s="4"/>
      <c r="BP654" s="127">
        <f>(AK654)/($AW$6)</f>
        <v>0.10101010101010101</v>
      </c>
      <c r="BQ654" s="127">
        <f ca="1">(CH654-$AW$4)/((YEAR($C$13))-$AW$4)</f>
        <v>1</v>
      </c>
      <c r="BR654" s="127">
        <f>(AL654)/($AW$6)</f>
        <v>0</v>
      </c>
      <c r="BS654" s="4"/>
      <c r="BT654" s="127"/>
      <c r="BU654" s="127">
        <f ca="1">(CG654-$AW$4)/((YEAR($C$13))-$AW$4)</f>
        <v>1</v>
      </c>
      <c r="BV654" s="127">
        <f>AE654/5</f>
        <v>1</v>
      </c>
      <c r="BW654" s="127">
        <f>AF654/5</f>
        <v>1</v>
      </c>
      <c r="BX654" s="4"/>
      <c r="BY654" s="148" t="str">
        <f>IF(E654="A",".98",IF(E654="B",".99",IF(E654="C","1.00",IF(E654="D","1.00" ))))</f>
        <v>1.00</v>
      </c>
      <c r="BZ654" s="127">
        <f>(CE654+7)/10</f>
        <v>1</v>
      </c>
      <c r="CA654" s="76" t="str">
        <f>IF(D654="Fern",".97",IF(D654="Grass",".99",IF(D654="Herb",".97",IF(D654="Shrub",".99",IF(D654="Tree","1.00",IF(D654="Vine",".98"))))))</f>
        <v>.97</v>
      </c>
      <c r="CB654" s="149" t="str">
        <f>IF(R654="Bogs Ponds Streams",".96", IF(R654="Coastal Areas",".97",IF(R654="Meadows Dry Open",".96",IF(R654="Forest &amp; Understory",".97",IF(R654="Moist Open",".98",IF(R654="Moist Shady",".96",IF(R654="Sub-Alpine","1.0")))))))</f>
        <v>.96</v>
      </c>
      <c r="CC654" s="76" t="str">
        <f>IF(S654="Local Endemic",".50",IF(S654="Regional Endemic",".70",IF(S654="Cascadia",".90",IF(S654="Rocky Mountain",".95",IF(S654="North America",".99")))))</f>
        <v>.99</v>
      </c>
      <c r="CD654" s="4"/>
      <c r="CE654" s="21">
        <f>IF(W654&gt;3,3,W654)</f>
        <v>3</v>
      </c>
      <c r="CF654" s="21">
        <f>IF(AC654&gt;102,102,AC654)</f>
        <v>18</v>
      </c>
      <c r="CG654" s="34">
        <f ca="1">IF(AI654&lt;$AW$4,$AW$4,AI654)</f>
        <v>2019</v>
      </c>
      <c r="CH654" s="34">
        <f ca="1">IF(AJ654&lt;$AW$4,$AW$4,AJ654)</f>
        <v>2019</v>
      </c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13"/>
    </row>
    <row r="655" spans="1:115" ht="15" customHeight="1" x14ac:dyDescent="0.3">
      <c r="A655" s="235"/>
      <c r="B655" s="218"/>
      <c r="C655" s="375">
        <v>1</v>
      </c>
      <c r="D655" s="67" t="s">
        <v>2505</v>
      </c>
      <c r="E655" s="67" t="s">
        <v>2501</v>
      </c>
      <c r="F655" s="403" t="str">
        <f ca="1">IF(BC655&lt;2025, "Extinct&lt; 6Yrs?",BA655)</f>
        <v>Widespread</v>
      </c>
      <c r="G655" s="376" t="s">
        <v>525</v>
      </c>
      <c r="H655" s="376" t="s">
        <v>4028</v>
      </c>
      <c r="I655" s="380" t="s">
        <v>245</v>
      </c>
      <c r="J655" s="378" t="s">
        <v>3537</v>
      </c>
      <c r="K655" s="378" t="s">
        <v>343</v>
      </c>
      <c r="L655" s="63" t="s">
        <v>1647</v>
      </c>
      <c r="M655" s="64" t="s">
        <v>4728</v>
      </c>
      <c r="N655" s="64" t="s">
        <v>5626</v>
      </c>
      <c r="O655" s="64" t="s">
        <v>6524</v>
      </c>
      <c r="P655" s="61" t="s">
        <v>235</v>
      </c>
      <c r="Q655" s="67" t="s">
        <v>2552</v>
      </c>
      <c r="R655" s="61" t="s">
        <v>2499</v>
      </c>
      <c r="S655" s="61" t="s">
        <v>2495</v>
      </c>
      <c r="T655" s="134" t="str">
        <f>IF(R655="Bogs Ponds Streams","20",IF(R655="Coastal Areas","26",IF(R655="Meadows Dry Open","10",IF(R655="Forest &amp; Understory","14",IF(R655="Moist Open","12",IF(R655="Moist Shady","10",IF(R655="Sub-Alpine Slopes","0")))))))</f>
        <v>20</v>
      </c>
      <c r="U655" s="134" t="str">
        <f>IF(R655="Bogs Ponds Streams","52",IF(R655="Coastal Areas","51",IF(R655="Meadows Dry Open","53",IF(R655="Forest &amp; Understory","52",IF(R655="Moist Open","50",IF(R655="Moist Shady","46",IF(R655="Sub-Alpine Slopes","40")))))))</f>
        <v>52</v>
      </c>
      <c r="V655" s="134" t="str">
        <f>IF(R655="Bogs Ponds Streams","84",IF(R655="Coastal Areas","76",IF(R655="Meadows Dry Open","96", IF(R655="Forest &amp; Understory","90", IF(R655="Moist Open","88", IF(R655="Moist Shady","82", IF(R655="Sub-Alpine Slopes","80")))))))</f>
        <v>84</v>
      </c>
      <c r="W655" s="67">
        <v>20</v>
      </c>
      <c r="X655" s="67">
        <v>0</v>
      </c>
      <c r="Y655" s="67">
        <v>3500</v>
      </c>
      <c r="Z655" s="67" t="s">
        <v>2519</v>
      </c>
      <c r="AA655" s="67" t="s">
        <v>2518</v>
      </c>
      <c r="AB655" s="67">
        <v>6.8</v>
      </c>
      <c r="AC655" s="85">
        <f>C655+AK655+(0.1)*AL655</f>
        <v>47.2</v>
      </c>
      <c r="AD655" s="78">
        <v>81</v>
      </c>
      <c r="AE655" s="67">
        <v>5</v>
      </c>
      <c r="AF655" s="67">
        <v>5</v>
      </c>
      <c r="AG655" s="67">
        <v>1900</v>
      </c>
      <c r="AH655" s="78">
        <v>0</v>
      </c>
      <c r="AI655" s="67">
        <f>AJ655</f>
        <v>2004</v>
      </c>
      <c r="AJ655" s="69">
        <v>2004</v>
      </c>
      <c r="AK655" s="69">
        <v>44</v>
      </c>
      <c r="AL655" s="69">
        <v>22</v>
      </c>
      <c r="AM655" s="70">
        <v>5</v>
      </c>
      <c r="AN655" s="70">
        <v>0</v>
      </c>
      <c r="AO655" s="86">
        <v>0</v>
      </c>
      <c r="AP655" s="70">
        <v>0</v>
      </c>
      <c r="AQ655" s="70">
        <v>0</v>
      </c>
      <c r="AR655" s="70">
        <v>0</v>
      </c>
      <c r="AS655" s="86">
        <v>0</v>
      </c>
      <c r="AT655" s="70">
        <v>0</v>
      </c>
      <c r="AU655" s="70">
        <v>0</v>
      </c>
      <c r="AV655" s="70">
        <v>0</v>
      </c>
      <c r="AW655" s="86">
        <v>0</v>
      </c>
      <c r="AX655" s="70">
        <v>0</v>
      </c>
      <c r="AY655" s="233"/>
      <c r="AZ655" s="4"/>
      <c r="BA655" s="35" t="str">
        <f>IF(OR(S655="North America",S655="Rocky Mountain"), "Widespread",BC655)</f>
        <v>Widespread</v>
      </c>
      <c r="BB655" s="4"/>
      <c r="BC655" s="35">
        <f ca="1">IF(BE655&gt;2046, "Abundant",BE655)</f>
        <v>2041.7273411764706</v>
      </c>
      <c r="BD655" s="4"/>
      <c r="BE655" s="81">
        <f ca="1">YEAR($C$13)+(BG655*80)</f>
        <v>2041.7273411764706</v>
      </c>
      <c r="BF655" s="4"/>
      <c r="BG655" s="137">
        <f ca="1">BH655*$BH$14</f>
        <v>0.28409176470588232</v>
      </c>
      <c r="BH655" s="137">
        <f ca="1">(((BJ655+BK655+BM655+BN655)/4)*$BM$11)+(((BP655+BQ655)/2)*$BQ$11)+(((BU655+BV655+BW655)/3)*$BU$11)+(((BY655+BZ655+CA655+CB655+CC655)/5)*$CA$11)</f>
        <v>0.28409176470588232</v>
      </c>
      <c r="BI655" s="4"/>
      <c r="BJ655" s="33">
        <f>AP655/(AM655+AO655)</f>
        <v>0</v>
      </c>
      <c r="BK655" s="33">
        <f>(AN655+AO655)/(AM655+AO655)</f>
        <v>0</v>
      </c>
      <c r="BL655" s="4"/>
      <c r="BM655" s="127">
        <f>CF655/102</f>
        <v>0.46274509803921571</v>
      </c>
      <c r="BN655" s="127">
        <f>C655/2</f>
        <v>0.5</v>
      </c>
      <c r="BO655" s="4"/>
      <c r="BP655" s="127">
        <f>(AK655)/($AW$6)</f>
        <v>0.44444444444444442</v>
      </c>
      <c r="BQ655" s="127">
        <f ca="1">(CH655-$AW$4)/((YEAR($C$13))-$AW$4)</f>
        <v>0</v>
      </c>
      <c r="BR655" s="127">
        <f>(AL655)/($AW$6)</f>
        <v>0.22222222222222221</v>
      </c>
      <c r="BS655" s="4"/>
      <c r="BT655" s="127"/>
      <c r="BU655" s="127">
        <f ca="1">(CG655-$AW$4)/((YEAR($C$13))-$AW$4)</f>
        <v>0</v>
      </c>
      <c r="BV655" s="127">
        <f>AE655/5</f>
        <v>1</v>
      </c>
      <c r="BW655" s="127">
        <f>AF655/5</f>
        <v>1</v>
      </c>
      <c r="BX655" s="4"/>
      <c r="BY655" s="148" t="str">
        <f>IF(E655="A",".98",IF(E655="B",".99",IF(E655="C","1.00",IF(E655="D","1.00" ))))</f>
        <v>1.00</v>
      </c>
      <c r="BZ655" s="127">
        <f>(CE655+7)/10</f>
        <v>1</v>
      </c>
      <c r="CA655" s="76" t="str">
        <f>IF(D655="Fern",".97",IF(D655="Grass",".99",IF(D655="Herb",".97",IF(D655="Shrub",".99",IF(D655="Tree","1.00",IF(D655="Vine",".98"))))))</f>
        <v>.97</v>
      </c>
      <c r="CB655" s="149" t="str">
        <f>IF(R655="Bogs Ponds Streams",".96", IF(R655="Coastal Areas",".97",IF(R655="Meadows Dry Open",".96",IF(R655="Forest &amp; Understory",".97",IF(R655="Moist Open",".98",IF(R655="Moist Shady",".96",IF(R655="Sub-Alpine","1.0")))))))</f>
        <v>.96</v>
      </c>
      <c r="CC655" s="76" t="str">
        <f>IF(S655="Local Endemic",".50",IF(S655="Regional Endemic",".70",IF(S655="Cascadia",".90",IF(S655="Rocky Mountain",".95",IF(S655="North America",".99")))))</f>
        <v>.99</v>
      </c>
      <c r="CD655" s="4"/>
      <c r="CE655" s="21">
        <f>IF(W655&gt;3,3,W655)</f>
        <v>3</v>
      </c>
      <c r="CF655" s="21">
        <f>IF(AC655&gt;102,102,AC655)</f>
        <v>47.2</v>
      </c>
      <c r="CG655" s="34">
        <f>IF(AI655&lt;$AW$4,$AW$4,AI655)</f>
        <v>2004</v>
      </c>
      <c r="CH655" s="34">
        <f>IF(AJ655&lt;$AW$4,$AW$4,AJ655)</f>
        <v>2004</v>
      </c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</row>
    <row r="656" spans="1:115" ht="15" customHeight="1" x14ac:dyDescent="0.3">
      <c r="A656" s="235"/>
      <c r="B656" s="218"/>
      <c r="C656" s="226">
        <v>2</v>
      </c>
      <c r="D656" s="104" t="s">
        <v>2505</v>
      </c>
      <c r="E656" s="104" t="s">
        <v>2501</v>
      </c>
      <c r="F656" s="400" t="str">
        <f ca="1">IF(BC656&lt;2025, "Extinct&lt; 6Yrs?",BA656)</f>
        <v>Widespread</v>
      </c>
      <c r="G656" s="369" t="s">
        <v>525</v>
      </c>
      <c r="H656" s="369" t="s">
        <v>4028</v>
      </c>
      <c r="I656" s="370" t="s">
        <v>3113</v>
      </c>
      <c r="J656" s="371" t="s">
        <v>3714</v>
      </c>
      <c r="K656" s="371" t="s">
        <v>239</v>
      </c>
      <c r="L656" s="106" t="s">
        <v>1648</v>
      </c>
      <c r="M656" s="111" t="s">
        <v>4729</v>
      </c>
      <c r="N656" s="111" t="s">
        <v>5627</v>
      </c>
      <c r="O656" s="111" t="s">
        <v>6525</v>
      </c>
      <c r="P656" s="105" t="s">
        <v>235</v>
      </c>
      <c r="Q656" s="104" t="s">
        <v>2552</v>
      </c>
      <c r="R656" s="105" t="s">
        <v>2499</v>
      </c>
      <c r="S656" s="105" t="s">
        <v>2495</v>
      </c>
      <c r="T656" s="133" t="str">
        <f>IF(R656="Bogs Ponds Streams","20",IF(R656="Coastal Areas","26",IF(R656="Meadows Dry Open","10",IF(R656="Forest &amp; Understory","14",IF(R656="Moist Open","12",IF(R656="Moist Shady","10",IF(R656="Sub-Alpine Slopes","0")))))))</f>
        <v>20</v>
      </c>
      <c r="U656" s="133" t="str">
        <f>IF(R656="Bogs Ponds Streams","52",IF(R656="Coastal Areas","51",IF(R656="Meadows Dry Open","53",IF(R656="Forest &amp; Understory","52",IF(R656="Moist Open","50",IF(R656="Moist Shady","46",IF(R656="Sub-Alpine Slopes","40")))))))</f>
        <v>52</v>
      </c>
      <c r="V656" s="133" t="str">
        <f>IF(R656="Bogs Ponds Streams","84",IF(R656="Coastal Areas","76",IF(R656="Meadows Dry Open","96", IF(R656="Forest &amp; Understory","90", IF(R656="Moist Open","88", IF(R656="Moist Shady","82", IF(R656="Sub-Alpine Slopes","80")))))))</f>
        <v>84</v>
      </c>
      <c r="W656" s="104">
        <v>20</v>
      </c>
      <c r="X656" s="104">
        <v>0</v>
      </c>
      <c r="Y656" s="104">
        <v>3500</v>
      </c>
      <c r="Z656" s="104" t="s">
        <v>2519</v>
      </c>
      <c r="AA656" s="104" t="s">
        <v>2518</v>
      </c>
      <c r="AB656" s="104">
        <v>6.8</v>
      </c>
      <c r="AC656" s="107">
        <f>C656+AK656+(0.1)*AL656</f>
        <v>47.1</v>
      </c>
      <c r="AD656" s="113">
        <v>55</v>
      </c>
      <c r="AE656" s="104">
        <v>5</v>
      </c>
      <c r="AF656" s="104">
        <v>5</v>
      </c>
      <c r="AG656" s="104">
        <v>1900</v>
      </c>
      <c r="AH656" s="113">
        <v>0</v>
      </c>
      <c r="AI656" s="104">
        <f>AJ656</f>
        <v>2004</v>
      </c>
      <c r="AJ656" s="108">
        <v>2004</v>
      </c>
      <c r="AK656" s="108">
        <v>44</v>
      </c>
      <c r="AL656" s="108">
        <v>11</v>
      </c>
      <c r="AM656" s="109">
        <v>5</v>
      </c>
      <c r="AN656" s="109">
        <v>1</v>
      </c>
      <c r="AO656" s="110">
        <v>0</v>
      </c>
      <c r="AP656" s="109">
        <v>0</v>
      </c>
      <c r="AQ656" s="109">
        <v>0</v>
      </c>
      <c r="AR656" s="109">
        <v>0</v>
      </c>
      <c r="AS656" s="110">
        <v>0</v>
      </c>
      <c r="AT656" s="109">
        <v>0</v>
      </c>
      <c r="AU656" s="109">
        <v>0</v>
      </c>
      <c r="AV656" s="109">
        <v>0</v>
      </c>
      <c r="AW656" s="110">
        <v>0</v>
      </c>
      <c r="AX656" s="109">
        <v>0</v>
      </c>
      <c r="AY656" s="233"/>
      <c r="AZ656" s="4"/>
      <c r="BA656" s="35" t="str">
        <f>IF(OR(S656="North America",S656="Rocky Mountain"), "Widespread",BC656)</f>
        <v>Widespread</v>
      </c>
      <c r="BB656" s="4"/>
      <c r="BC656" s="35" t="str">
        <f ca="1">IF(BE656&gt;2046, "Abundant",BE656)</f>
        <v>Abundant</v>
      </c>
      <c r="BD656" s="4"/>
      <c r="BE656" s="81">
        <f ca="1">YEAR($C$13)+(BG656*80)</f>
        <v>2050.1155764705882</v>
      </c>
      <c r="BF656" s="4"/>
      <c r="BG656" s="137">
        <f ca="1">BH656*$BH$14</f>
        <v>0.38894470588235291</v>
      </c>
      <c r="BH656" s="137">
        <f ca="1">(((BJ656+BK656+BM656+BN656)/4)*$BM$11)+(((BP656+BQ656)/2)*$BQ$11)+(((BU656+BV656+BW656)/3)*$BU$11)+(((BY656+BZ656+CA656+CB656+CC656)/5)*$CA$11)</f>
        <v>0.38894470588235291</v>
      </c>
      <c r="BI656" s="4"/>
      <c r="BJ656" s="33">
        <f>AP656/(AM656+AO656)</f>
        <v>0</v>
      </c>
      <c r="BK656" s="33">
        <f>(AN656+AO656)/(AM656+AO656)</f>
        <v>0.2</v>
      </c>
      <c r="BL656" s="4"/>
      <c r="BM656" s="127">
        <f>CF656/102</f>
        <v>0.46176470588235297</v>
      </c>
      <c r="BN656" s="127">
        <f>C656/2</f>
        <v>1</v>
      </c>
      <c r="BO656" s="4"/>
      <c r="BP656" s="127">
        <f>(AK656)/($AW$6)</f>
        <v>0.44444444444444442</v>
      </c>
      <c r="BQ656" s="127">
        <f ca="1">(CH656-$AW$4)/((YEAR($C$13))-$AW$4)</f>
        <v>0</v>
      </c>
      <c r="BR656" s="127">
        <f>(AL656)/($AW$6)</f>
        <v>0.1111111111111111</v>
      </c>
      <c r="BS656" s="4"/>
      <c r="BT656" s="127"/>
      <c r="BU656" s="127">
        <f ca="1">(CG656-$AW$4)/((YEAR($C$13))-$AW$4)</f>
        <v>0</v>
      </c>
      <c r="BV656" s="127">
        <f>AE656/5</f>
        <v>1</v>
      </c>
      <c r="BW656" s="127">
        <f>AF656/5</f>
        <v>1</v>
      </c>
      <c r="BX656" s="4"/>
      <c r="BY656" s="148" t="str">
        <f>IF(E656="A",".98",IF(E656="B",".99",IF(E656="C","1.00",IF(E656="D","1.00" ))))</f>
        <v>1.00</v>
      </c>
      <c r="BZ656" s="127">
        <f>(CE656+7)/10</f>
        <v>1</v>
      </c>
      <c r="CA656" s="76" t="str">
        <f>IF(D656="Fern",".97",IF(D656="Grass",".99",IF(D656="Herb",".97",IF(D656="Shrub",".99",IF(D656="Tree","1.00",IF(D656="Vine",".98"))))))</f>
        <v>.97</v>
      </c>
      <c r="CB656" s="149" t="str">
        <f>IF(R656="Bogs Ponds Streams",".96", IF(R656="Coastal Areas",".97",IF(R656="Meadows Dry Open",".96",IF(R656="Forest &amp; Understory",".97",IF(R656="Moist Open",".98",IF(R656="Moist Shady",".96",IF(R656="Sub-Alpine","1.0")))))))</f>
        <v>.96</v>
      </c>
      <c r="CC656" s="76" t="str">
        <f>IF(S656="Local Endemic",".50",IF(S656="Regional Endemic",".70",IF(S656="Cascadia",".90",IF(S656="Rocky Mountain",".95",IF(S656="North America",".99")))))</f>
        <v>.99</v>
      </c>
      <c r="CD656" s="4"/>
      <c r="CE656" s="21">
        <f>IF(W656&gt;3,3,W656)</f>
        <v>3</v>
      </c>
      <c r="CF656" s="21">
        <f>IF(AC656&gt;102,102,AC656)</f>
        <v>47.1</v>
      </c>
      <c r="CG656" s="34">
        <f>IF(AI656&lt;$AW$4,$AW$4,AI656)</f>
        <v>2004</v>
      </c>
      <c r="CH656" s="34">
        <f>IF(AJ656&lt;$AW$4,$AW$4,AJ656)</f>
        <v>2004</v>
      </c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</row>
    <row r="657" spans="1:115" ht="15" customHeight="1" x14ac:dyDescent="0.3">
      <c r="A657" s="235"/>
      <c r="B657" s="218"/>
      <c r="C657" s="375">
        <v>1</v>
      </c>
      <c r="D657" s="67" t="s">
        <v>2505</v>
      </c>
      <c r="E657" s="67" t="s">
        <v>2501</v>
      </c>
      <c r="F657" s="403" t="str">
        <f ca="1">IF(BC657&lt;2025, "Extinct&lt; 6Yrs?",BA657)</f>
        <v>Widespread</v>
      </c>
      <c r="G657" s="376" t="s">
        <v>525</v>
      </c>
      <c r="H657" s="376" t="s">
        <v>4028</v>
      </c>
      <c r="I657" s="380" t="s">
        <v>3114</v>
      </c>
      <c r="J657" s="378" t="s">
        <v>3536</v>
      </c>
      <c r="K657" s="378" t="s">
        <v>246</v>
      </c>
      <c r="L657" s="63" t="s">
        <v>1649</v>
      </c>
      <c r="M657" s="362"/>
      <c r="N657" s="64" t="s">
        <v>5628</v>
      </c>
      <c r="O657" s="64" t="s">
        <v>6526</v>
      </c>
      <c r="P657" s="61" t="s">
        <v>235</v>
      </c>
      <c r="Q657" s="67" t="s">
        <v>2552</v>
      </c>
      <c r="R657" s="61" t="s">
        <v>2499</v>
      </c>
      <c r="S657" s="61" t="s">
        <v>2495</v>
      </c>
      <c r="T657" s="134" t="str">
        <f>IF(R657="Bogs Ponds Streams","20",IF(R657="Coastal Areas","26",IF(R657="Meadows Dry Open","10",IF(R657="Forest &amp; Understory","14",IF(R657="Moist Open","12",IF(R657="Moist Shady","10",IF(R657="Sub-Alpine Slopes","0")))))))</f>
        <v>20</v>
      </c>
      <c r="U657" s="134" t="str">
        <f>IF(R657="Bogs Ponds Streams","52",IF(R657="Coastal Areas","51",IF(R657="Meadows Dry Open","53",IF(R657="Forest &amp; Understory","52",IF(R657="Moist Open","50",IF(R657="Moist Shady","46",IF(R657="Sub-Alpine Slopes","40")))))))</f>
        <v>52</v>
      </c>
      <c r="V657" s="134" t="str">
        <f>IF(R657="Bogs Ponds Streams","84",IF(R657="Coastal Areas","76",IF(R657="Meadows Dry Open","96", IF(R657="Forest &amp; Understory","90", IF(R657="Moist Open","88", IF(R657="Moist Shady","82", IF(R657="Sub-Alpine Slopes","80")))))))</f>
        <v>84</v>
      </c>
      <c r="W657" s="67">
        <v>20</v>
      </c>
      <c r="X657" s="67">
        <v>0</v>
      </c>
      <c r="Y657" s="67">
        <v>3500</v>
      </c>
      <c r="Z657" s="67" t="s">
        <v>2519</v>
      </c>
      <c r="AA657" s="67" t="s">
        <v>2518</v>
      </c>
      <c r="AB657" s="67">
        <v>6.8</v>
      </c>
      <c r="AC657" s="85">
        <f>C657+AK657+(0.1)*AL657</f>
        <v>25.2</v>
      </c>
      <c r="AD657" s="78">
        <v>89</v>
      </c>
      <c r="AE657" s="67">
        <v>5</v>
      </c>
      <c r="AF657" s="67">
        <v>5</v>
      </c>
      <c r="AG657" s="67">
        <v>1900</v>
      </c>
      <c r="AH657" s="78">
        <v>0</v>
      </c>
      <c r="AI657" s="67">
        <f>AJ657</f>
        <v>2004</v>
      </c>
      <c r="AJ657" s="69">
        <v>2004</v>
      </c>
      <c r="AK657" s="69">
        <v>22</v>
      </c>
      <c r="AL657" s="69">
        <v>22</v>
      </c>
      <c r="AM657" s="70">
        <v>5</v>
      </c>
      <c r="AN657" s="70">
        <v>0</v>
      </c>
      <c r="AO657" s="86">
        <v>0</v>
      </c>
      <c r="AP657" s="70">
        <v>0</v>
      </c>
      <c r="AQ657" s="70">
        <v>0</v>
      </c>
      <c r="AR657" s="70">
        <v>0</v>
      </c>
      <c r="AS657" s="86">
        <v>0</v>
      </c>
      <c r="AT657" s="70">
        <v>0</v>
      </c>
      <c r="AU657" s="70">
        <v>0</v>
      </c>
      <c r="AV657" s="70">
        <v>0</v>
      </c>
      <c r="AW657" s="86">
        <v>0</v>
      </c>
      <c r="AX657" s="70">
        <v>0</v>
      </c>
      <c r="AY657" s="233"/>
      <c r="AZ657" s="4"/>
      <c r="BA657" s="35" t="str">
        <f>IF(OR(S657="North America",S657="Rocky Mountain"), "Widespread",BC657)</f>
        <v>Widespread</v>
      </c>
      <c r="BB657" s="4"/>
      <c r="BC657" s="35">
        <f ca="1">IF(BE657&gt;2046, "Abundant",BE657)</f>
        <v>2036.4724392156863</v>
      </c>
      <c r="BD657" s="4"/>
      <c r="BE657" s="81">
        <f ca="1">YEAR($C$13)+(BG657*80)</f>
        <v>2036.4724392156863</v>
      </c>
      <c r="BF657" s="4"/>
      <c r="BG657" s="137">
        <f ca="1">BH657*$BH$14</f>
        <v>0.21840549019607844</v>
      </c>
      <c r="BH657" s="137">
        <f ca="1">(((BJ657+BK657+BM657+BN657)/4)*$BM$11)+(((BP657+BQ657)/2)*$BQ$11)+(((BU657+BV657+BW657)/3)*$BU$11)+(((BY657+BZ657+CA657+CB657+CC657)/5)*$CA$11)</f>
        <v>0.21840549019607844</v>
      </c>
      <c r="BI657" s="4"/>
      <c r="BJ657" s="33">
        <f>AP657/(AM657+AO657)</f>
        <v>0</v>
      </c>
      <c r="BK657" s="33">
        <f>(AN657+AO657)/(AM657+AO657)</f>
        <v>0</v>
      </c>
      <c r="BL657" s="4"/>
      <c r="BM657" s="127">
        <f>CF657/102</f>
        <v>0.24705882352941175</v>
      </c>
      <c r="BN657" s="127">
        <f>C657/2</f>
        <v>0.5</v>
      </c>
      <c r="BO657" s="4"/>
      <c r="BP657" s="127">
        <f>(AK657)/($AW$6)</f>
        <v>0.22222222222222221</v>
      </c>
      <c r="BQ657" s="127">
        <f ca="1">(CH657-$AW$4)/((YEAR($C$13))-$AW$4)</f>
        <v>0</v>
      </c>
      <c r="BR657" s="127">
        <f>(AL657)/($AW$6)</f>
        <v>0.22222222222222221</v>
      </c>
      <c r="BS657" s="4"/>
      <c r="BT657" s="127"/>
      <c r="BU657" s="127">
        <f ca="1">(CG657-$AW$4)/((YEAR($C$13))-$AW$4)</f>
        <v>0</v>
      </c>
      <c r="BV657" s="127">
        <f>AE657/5</f>
        <v>1</v>
      </c>
      <c r="BW657" s="127">
        <f>AF657/5</f>
        <v>1</v>
      </c>
      <c r="BX657" s="4"/>
      <c r="BY657" s="148" t="str">
        <f>IF(E657="A",".98",IF(E657="B",".99",IF(E657="C","1.00",IF(E657="D","1.00" ))))</f>
        <v>1.00</v>
      </c>
      <c r="BZ657" s="127">
        <f>(CE657+7)/10</f>
        <v>1</v>
      </c>
      <c r="CA657" s="76" t="str">
        <f>IF(D657="Fern",".97",IF(D657="Grass",".99",IF(D657="Herb",".97",IF(D657="Shrub",".99",IF(D657="Tree","1.00",IF(D657="Vine",".98"))))))</f>
        <v>.97</v>
      </c>
      <c r="CB657" s="149" t="str">
        <f>IF(R657="Bogs Ponds Streams",".96", IF(R657="Coastal Areas",".97",IF(R657="Meadows Dry Open",".96",IF(R657="Forest &amp; Understory",".97",IF(R657="Moist Open",".98",IF(R657="Moist Shady",".96",IF(R657="Sub-Alpine","1.0")))))))</f>
        <v>.96</v>
      </c>
      <c r="CC657" s="76" t="str">
        <f>IF(S657="Local Endemic",".50",IF(S657="Regional Endemic",".70",IF(S657="Cascadia",".90",IF(S657="Rocky Mountain",".95",IF(S657="North America",".99")))))</f>
        <v>.99</v>
      </c>
      <c r="CD657" s="4"/>
      <c r="CE657" s="21">
        <f>IF(W657&gt;3,3,W657)</f>
        <v>3</v>
      </c>
      <c r="CF657" s="21">
        <f>IF(AC657&gt;102,102,AC657)</f>
        <v>25.2</v>
      </c>
      <c r="CG657" s="34">
        <f>IF(AI657&lt;$AW$4,$AW$4,AI657)</f>
        <v>2004</v>
      </c>
      <c r="CH657" s="34">
        <f>IF(AJ657&lt;$AW$4,$AW$4,AJ657)</f>
        <v>2004</v>
      </c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</row>
    <row r="658" spans="1:115" ht="15" customHeight="1" x14ac:dyDescent="0.3">
      <c r="A658" s="235"/>
      <c r="B658" s="218"/>
      <c r="C658" s="375">
        <v>1</v>
      </c>
      <c r="D658" s="67" t="s">
        <v>2505</v>
      </c>
      <c r="E658" s="67" t="s">
        <v>2501</v>
      </c>
      <c r="F658" s="403" t="str">
        <f ca="1">IF(BC658&lt;2025, "Extinct&lt; 6Yrs?",BA658)</f>
        <v>Widespread</v>
      </c>
      <c r="G658" s="376" t="s">
        <v>525</v>
      </c>
      <c r="H658" s="376" t="s">
        <v>4028</v>
      </c>
      <c r="I658" s="380" t="s">
        <v>3115</v>
      </c>
      <c r="J658" s="378" t="s">
        <v>3535</v>
      </c>
      <c r="K658" s="378" t="s">
        <v>242</v>
      </c>
      <c r="L658" s="63" t="s">
        <v>1650</v>
      </c>
      <c r="M658" s="64" t="s">
        <v>4730</v>
      </c>
      <c r="N658" s="64" t="s">
        <v>5629</v>
      </c>
      <c r="O658" s="64" t="s">
        <v>6527</v>
      </c>
      <c r="P658" s="61" t="s">
        <v>235</v>
      </c>
      <c r="Q658" s="67" t="s">
        <v>2552</v>
      </c>
      <c r="R658" s="61" t="s">
        <v>2499</v>
      </c>
      <c r="S658" s="61" t="s">
        <v>2495</v>
      </c>
      <c r="T658" s="134" t="str">
        <f>IF(R658="Bogs Ponds Streams","20",IF(R658="Coastal Areas","26",IF(R658="Meadows Dry Open","10",IF(R658="Forest &amp; Understory","14",IF(R658="Moist Open","12",IF(R658="Moist Shady","10",IF(R658="Sub-Alpine Slopes","0")))))))</f>
        <v>20</v>
      </c>
      <c r="U658" s="134" t="str">
        <f>IF(R658="Bogs Ponds Streams","52",IF(R658="Coastal Areas","51",IF(R658="Meadows Dry Open","53",IF(R658="Forest &amp; Understory","52",IF(R658="Moist Open","50",IF(R658="Moist Shady","46",IF(R658="Sub-Alpine Slopes","40")))))))</f>
        <v>52</v>
      </c>
      <c r="V658" s="134" t="str">
        <f>IF(R658="Bogs Ponds Streams","84",IF(R658="Coastal Areas","76",IF(R658="Meadows Dry Open","96", IF(R658="Forest &amp; Understory","90", IF(R658="Moist Open","88", IF(R658="Moist Shady","82", IF(R658="Sub-Alpine Slopes","80")))))))</f>
        <v>84</v>
      </c>
      <c r="W658" s="67">
        <v>20</v>
      </c>
      <c r="X658" s="67">
        <v>0</v>
      </c>
      <c r="Y658" s="67">
        <v>3500</v>
      </c>
      <c r="Z658" s="67" t="s">
        <v>2519</v>
      </c>
      <c r="AA658" s="67" t="s">
        <v>2518</v>
      </c>
      <c r="AB658" s="67">
        <v>6.8</v>
      </c>
      <c r="AC658" s="85">
        <f>C658+AK658+(0.1)*AL658</f>
        <v>5.6</v>
      </c>
      <c r="AD658" s="78">
        <v>25</v>
      </c>
      <c r="AE658" s="67">
        <v>5</v>
      </c>
      <c r="AF658" s="67">
        <v>5</v>
      </c>
      <c r="AG658" s="67">
        <v>1900</v>
      </c>
      <c r="AH658" s="78">
        <v>0</v>
      </c>
      <c r="AI658" s="67">
        <f>AJ658</f>
        <v>2004</v>
      </c>
      <c r="AJ658" s="69">
        <v>2004</v>
      </c>
      <c r="AK658" s="69">
        <v>4</v>
      </c>
      <c r="AL658" s="69">
        <v>6</v>
      </c>
      <c r="AM658" s="70">
        <v>5</v>
      </c>
      <c r="AN658" s="70">
        <v>0</v>
      </c>
      <c r="AO658" s="86">
        <v>0</v>
      </c>
      <c r="AP658" s="70">
        <v>0</v>
      </c>
      <c r="AQ658" s="70">
        <v>0</v>
      </c>
      <c r="AR658" s="70">
        <v>0</v>
      </c>
      <c r="AS658" s="86">
        <v>0</v>
      </c>
      <c r="AT658" s="70">
        <v>0</v>
      </c>
      <c r="AU658" s="70">
        <v>0</v>
      </c>
      <c r="AV658" s="70">
        <v>0</v>
      </c>
      <c r="AW658" s="86">
        <v>0</v>
      </c>
      <c r="AX658" s="70">
        <v>0</v>
      </c>
      <c r="AY658" s="233"/>
      <c r="AZ658" s="4"/>
      <c r="BA658" s="35" t="str">
        <f>IF(OR(S658="North America",S658="Rocky Mountain"), "Widespread",BC658)</f>
        <v>Widespread</v>
      </c>
      <c r="BB658" s="4"/>
      <c r="BC658" s="35">
        <f ca="1">IF(BE658&gt;2046, "Abundant",BE658)</f>
        <v>2031.984738680927</v>
      </c>
      <c r="BD658" s="4"/>
      <c r="BE658" s="81">
        <f ca="1">YEAR($C$13)+(BG658*80)</f>
        <v>2031.984738680927</v>
      </c>
      <c r="BF658" s="4"/>
      <c r="BG658" s="137">
        <f ca="1">BH658*$BH$14</f>
        <v>0.16230923351158646</v>
      </c>
      <c r="BH658" s="137">
        <f ca="1">(((BJ658+BK658+BM658+BN658)/4)*$BM$11)+(((BP658+BQ658)/2)*$BQ$11)+(((BU658+BV658+BW658)/3)*$BU$11)+(((BY658+BZ658+CA658+CB658+CC658)/5)*$CA$11)</f>
        <v>0.16230923351158646</v>
      </c>
      <c r="BI658" s="4"/>
      <c r="BJ658" s="33">
        <f>AP658/(AM658+AO658)</f>
        <v>0</v>
      </c>
      <c r="BK658" s="33">
        <f>(AN658+AO658)/(AM658+AO658)</f>
        <v>0</v>
      </c>
      <c r="BL658" s="4"/>
      <c r="BM658" s="127">
        <f>CF658/102</f>
        <v>5.4901960784313725E-2</v>
      </c>
      <c r="BN658" s="127">
        <f>C658/2</f>
        <v>0.5</v>
      </c>
      <c r="BO658" s="4"/>
      <c r="BP658" s="127">
        <f>(AK658)/($AW$6)</f>
        <v>4.0404040404040407E-2</v>
      </c>
      <c r="BQ658" s="127">
        <f ca="1">(CH658-$AW$4)/((YEAR($C$13))-$AW$4)</f>
        <v>0</v>
      </c>
      <c r="BR658" s="127">
        <f>(AL658)/($AW$6)</f>
        <v>6.0606060606060608E-2</v>
      </c>
      <c r="BS658" s="4"/>
      <c r="BT658" s="127"/>
      <c r="BU658" s="127">
        <f ca="1">(CG658-$AW$4)/((YEAR($C$13))-$AW$4)</f>
        <v>0</v>
      </c>
      <c r="BV658" s="127">
        <f>AE658/5</f>
        <v>1</v>
      </c>
      <c r="BW658" s="127">
        <f>AF658/5</f>
        <v>1</v>
      </c>
      <c r="BX658" s="4"/>
      <c r="BY658" s="148" t="str">
        <f>IF(E658="A",".98",IF(E658="B",".99",IF(E658="C","1.00",IF(E658="D","1.00" ))))</f>
        <v>1.00</v>
      </c>
      <c r="BZ658" s="127">
        <f>(CE658+7)/10</f>
        <v>1</v>
      </c>
      <c r="CA658" s="76" t="str">
        <f>IF(D658="Fern",".97",IF(D658="Grass",".99",IF(D658="Herb",".97",IF(D658="Shrub",".99",IF(D658="Tree","1.00",IF(D658="Vine",".98"))))))</f>
        <v>.97</v>
      </c>
      <c r="CB658" s="149" t="str">
        <f>IF(R658="Bogs Ponds Streams",".96", IF(R658="Coastal Areas",".97",IF(R658="Meadows Dry Open",".96",IF(R658="Forest &amp; Understory",".97",IF(R658="Moist Open",".98",IF(R658="Moist Shady",".96",IF(R658="Sub-Alpine","1.0")))))))</f>
        <v>.96</v>
      </c>
      <c r="CC658" s="76" t="str">
        <f>IF(S658="Local Endemic",".50",IF(S658="Regional Endemic",".70",IF(S658="Cascadia",".90",IF(S658="Rocky Mountain",".95",IF(S658="North America",".99")))))</f>
        <v>.99</v>
      </c>
      <c r="CD658" s="4"/>
      <c r="CE658" s="21">
        <f>IF(W658&gt;3,3,W658)</f>
        <v>3</v>
      </c>
      <c r="CF658" s="21">
        <f>IF(AC658&gt;102,102,AC658)</f>
        <v>5.6</v>
      </c>
      <c r="CG658" s="34">
        <f>IF(AI658&lt;$AW$4,$AW$4,AI658)</f>
        <v>2004</v>
      </c>
      <c r="CH658" s="34">
        <f>IF(AJ658&lt;$AW$4,$AW$4,AJ658)</f>
        <v>2004</v>
      </c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</row>
    <row r="659" spans="1:115" ht="15" customHeight="1" x14ac:dyDescent="0.3">
      <c r="A659" s="235"/>
      <c r="B659" s="218"/>
      <c r="C659" s="225">
        <v>8</v>
      </c>
      <c r="D659" s="59" t="s">
        <v>2505</v>
      </c>
      <c r="E659" s="59" t="s">
        <v>2501</v>
      </c>
      <c r="F659" s="397" t="str">
        <f ca="1">IF(BC659&lt;2025, "Extinct&lt; 6Yrs?",BA659)</f>
        <v>Widespread</v>
      </c>
      <c r="G659" s="363" t="s">
        <v>525</v>
      </c>
      <c r="H659" s="363" t="s">
        <v>686</v>
      </c>
      <c r="I659" s="366" t="s">
        <v>3116</v>
      </c>
      <c r="J659" s="365" t="s">
        <v>4003</v>
      </c>
      <c r="K659" s="365" t="s">
        <v>240</v>
      </c>
      <c r="L659" s="10" t="s">
        <v>1651</v>
      </c>
      <c r="M659" s="8" t="s">
        <v>4731</v>
      </c>
      <c r="N659" s="8" t="s">
        <v>5630</v>
      </c>
      <c r="O659" s="8" t="s">
        <v>6528</v>
      </c>
      <c r="P659" s="9" t="s">
        <v>235</v>
      </c>
      <c r="Q659" s="59" t="s">
        <v>2552</v>
      </c>
      <c r="R659" s="9" t="s">
        <v>2499</v>
      </c>
      <c r="S659" s="9" t="s">
        <v>2495</v>
      </c>
      <c r="T659" s="123" t="str">
        <f>IF(R659="Bogs Ponds Streams","20",IF(R659="Coastal Areas","26",IF(R659="Meadows Dry Open","10",IF(R659="Forest &amp; Understory","14",IF(R659="Moist Open","12",IF(R659="Moist Shady","10",IF(R659="Sub-Alpine Slopes","0")))))))</f>
        <v>20</v>
      </c>
      <c r="U659" s="123" t="str">
        <f>IF(R659="Bogs Ponds Streams","52",IF(R659="Coastal Areas","51",IF(R659="Meadows Dry Open","53",IF(R659="Forest &amp; Understory","52",IF(R659="Moist Open","50",IF(R659="Moist Shady","46",IF(R659="Sub-Alpine Slopes","40")))))))</f>
        <v>52</v>
      </c>
      <c r="V659" s="123" t="str">
        <f>IF(R659="Bogs Ponds Streams","84",IF(R659="Coastal Areas","76",IF(R659="Meadows Dry Open","96", IF(R659="Forest &amp; Understory","90", IF(R659="Moist Open","88", IF(R659="Moist Shady","82", IF(R659="Sub-Alpine Slopes","80")))))))</f>
        <v>84</v>
      </c>
      <c r="W659" s="59">
        <v>20</v>
      </c>
      <c r="X659" s="59">
        <v>0</v>
      </c>
      <c r="Y659" s="59">
        <v>3500</v>
      </c>
      <c r="Z659" s="59" t="s">
        <v>2519</v>
      </c>
      <c r="AA659" s="59" t="s">
        <v>2518</v>
      </c>
      <c r="AB659" s="59">
        <v>6.8</v>
      </c>
      <c r="AC659" s="45">
        <f>C659+AK659+(0.1)*AL659</f>
        <v>42.1</v>
      </c>
      <c r="AD659" s="77">
        <v>94</v>
      </c>
      <c r="AE659" s="59">
        <v>5</v>
      </c>
      <c r="AF659" s="59">
        <v>5</v>
      </c>
      <c r="AG659" s="59">
        <v>1900</v>
      </c>
      <c r="AH659" s="77">
        <v>0</v>
      </c>
      <c r="AI659" s="59">
        <f ca="1">AJ659</f>
        <v>2019</v>
      </c>
      <c r="AJ659" s="18">
        <f ca="1">YEAR(TODAY())</f>
        <v>2019</v>
      </c>
      <c r="AK659" s="18">
        <v>33</v>
      </c>
      <c r="AL659" s="18">
        <v>11</v>
      </c>
      <c r="AM659" s="18">
        <v>1</v>
      </c>
      <c r="AN659" s="18">
        <v>1</v>
      </c>
      <c r="AO659" s="24">
        <v>1</v>
      </c>
      <c r="AP659" s="24">
        <v>0</v>
      </c>
      <c r="AQ659" s="18">
        <v>0</v>
      </c>
      <c r="AR659" s="18">
        <v>0</v>
      </c>
      <c r="AS659" s="18">
        <v>0</v>
      </c>
      <c r="AT659" s="18">
        <v>0</v>
      </c>
      <c r="AU659" s="18">
        <v>0</v>
      </c>
      <c r="AV659" s="18">
        <v>0</v>
      </c>
      <c r="AW659" s="18">
        <v>0</v>
      </c>
      <c r="AX659" s="18">
        <v>0</v>
      </c>
      <c r="AY659" s="233"/>
      <c r="AZ659" s="4"/>
      <c r="BA659" s="35" t="str">
        <f>IF(OR(S659="North America",S659="Rocky Mountain"), "Widespread",BC659)</f>
        <v>Widespread</v>
      </c>
      <c r="BB659" s="4"/>
      <c r="BC659" s="35" t="str">
        <f ca="1">IF(BE659&gt;2046, "Abundant",BE659)</f>
        <v>Abundant</v>
      </c>
      <c r="BD659" s="4"/>
      <c r="BE659" s="81">
        <f ca="1">YEAR($C$13)+(BG659*80)</f>
        <v>2107.9273411764707</v>
      </c>
      <c r="BF659" s="4"/>
      <c r="BG659" s="137">
        <f ca="1">BH659*$BH$14</f>
        <v>1.1115917647058824</v>
      </c>
      <c r="BH659" s="137">
        <f ca="1">(((BJ659+BK659+BM659+BN659)/4)*$BM$11)+(((BP659+BQ659)/2)*$BQ$11)+(((BU659+BV659+BW659)/3)*$BU$11)+(((BY659+BZ659+CA659+CB659+CC659)/5)*$CA$11)</f>
        <v>1.1115917647058824</v>
      </c>
      <c r="BI659" s="4"/>
      <c r="BJ659" s="33">
        <f>AP659/(AM659+AO659)</f>
        <v>0</v>
      </c>
      <c r="BK659" s="33">
        <f>(AN659+AO659)/(AM659+AO659)</f>
        <v>1</v>
      </c>
      <c r="BL659" s="4"/>
      <c r="BM659" s="127">
        <f>CF659/102</f>
        <v>0.41274509803921572</v>
      </c>
      <c r="BN659" s="127">
        <f>C659/2</f>
        <v>4</v>
      </c>
      <c r="BO659" s="4"/>
      <c r="BP659" s="127">
        <f>(AK659)/($AW$6)</f>
        <v>0.33333333333333331</v>
      </c>
      <c r="BQ659" s="127">
        <f ca="1">(CH659-$AW$4)/((YEAR($C$13))-$AW$4)</f>
        <v>1</v>
      </c>
      <c r="BR659" s="127">
        <f>(AL659)/($AW$6)</f>
        <v>0.1111111111111111</v>
      </c>
      <c r="BS659" s="4"/>
      <c r="BT659" s="127"/>
      <c r="BU659" s="127">
        <f ca="1">(CG659-$AW$4)/((YEAR($C$13))-$AW$4)</f>
        <v>1</v>
      </c>
      <c r="BV659" s="127">
        <f>AE659/5</f>
        <v>1</v>
      </c>
      <c r="BW659" s="127">
        <f>AF659/5</f>
        <v>1</v>
      </c>
      <c r="BX659" s="4"/>
      <c r="BY659" s="148" t="str">
        <f>IF(E659="A",".98",IF(E659="B",".99",IF(E659="C","1.00",IF(E659="D","1.00" ))))</f>
        <v>1.00</v>
      </c>
      <c r="BZ659" s="127">
        <f>(CE659+7)/10</f>
        <v>1</v>
      </c>
      <c r="CA659" s="76" t="str">
        <f>IF(D659="Fern",".97",IF(D659="Grass",".99",IF(D659="Herb",".97",IF(D659="Shrub",".99",IF(D659="Tree","1.00",IF(D659="Vine",".98"))))))</f>
        <v>.97</v>
      </c>
      <c r="CB659" s="149" t="str">
        <f>IF(R659="Bogs Ponds Streams",".96", IF(R659="Coastal Areas",".97",IF(R659="Meadows Dry Open",".96",IF(R659="Forest &amp; Understory",".97",IF(R659="Moist Open",".98",IF(R659="Moist Shady",".96",IF(R659="Sub-Alpine","1.0")))))))</f>
        <v>.96</v>
      </c>
      <c r="CC659" s="76" t="str">
        <f>IF(S659="Local Endemic",".50",IF(S659="Regional Endemic",".70",IF(S659="Cascadia",".90",IF(S659="Rocky Mountain",".95",IF(S659="North America",".99")))))</f>
        <v>.99</v>
      </c>
      <c r="CD659" s="4"/>
      <c r="CE659" s="21">
        <f>IF(W659&gt;3,3,W659)</f>
        <v>3</v>
      </c>
      <c r="CF659" s="21">
        <f>IF(AC659&gt;102,102,AC659)</f>
        <v>42.1</v>
      </c>
      <c r="CG659" s="34">
        <f ca="1">IF(AI659&lt;$AW$4,$AW$4,AI659)</f>
        <v>2019</v>
      </c>
      <c r="CH659" s="34">
        <f ca="1">IF(AJ659&lt;$AW$4,$AW$4,AJ659)</f>
        <v>2019</v>
      </c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13"/>
    </row>
    <row r="660" spans="1:115" ht="15" customHeight="1" x14ac:dyDescent="0.3">
      <c r="A660" s="235"/>
      <c r="B660" s="218"/>
      <c r="C660" s="375">
        <v>1</v>
      </c>
      <c r="D660" s="67" t="s">
        <v>2505</v>
      </c>
      <c r="E660" s="67" t="s">
        <v>2501</v>
      </c>
      <c r="F660" s="403" t="str">
        <f ca="1">IF(BC660&lt;2025, "Extinct&lt; 6Yrs?",BA660)</f>
        <v>Widespread</v>
      </c>
      <c r="G660" s="376" t="s">
        <v>525</v>
      </c>
      <c r="H660" s="376" t="s">
        <v>4028</v>
      </c>
      <c r="I660" s="380" t="s">
        <v>244</v>
      </c>
      <c r="J660" s="378" t="s">
        <v>3534</v>
      </c>
      <c r="K660" s="378" t="s">
        <v>243</v>
      </c>
      <c r="L660" s="63" t="s">
        <v>1652</v>
      </c>
      <c r="M660" s="64" t="s">
        <v>4732</v>
      </c>
      <c r="N660" s="64" t="s">
        <v>5631</v>
      </c>
      <c r="O660" s="64" t="s">
        <v>6529</v>
      </c>
      <c r="P660" s="61" t="s">
        <v>235</v>
      </c>
      <c r="Q660" s="67" t="s">
        <v>2552</v>
      </c>
      <c r="R660" s="61" t="s">
        <v>2499</v>
      </c>
      <c r="S660" s="61" t="s">
        <v>2495</v>
      </c>
      <c r="T660" s="134" t="str">
        <f>IF(R660="Bogs Ponds Streams","20",IF(R660="Coastal Areas","26",IF(R660="Meadows Dry Open","10",IF(R660="Forest &amp; Understory","14",IF(R660="Moist Open","12",IF(R660="Moist Shady","10",IF(R660="Sub-Alpine Slopes","0")))))))</f>
        <v>20</v>
      </c>
      <c r="U660" s="134" t="str">
        <f>IF(R660="Bogs Ponds Streams","52",IF(R660="Coastal Areas","51",IF(R660="Meadows Dry Open","53",IF(R660="Forest &amp; Understory","52",IF(R660="Moist Open","50",IF(R660="Moist Shady","46",IF(R660="Sub-Alpine Slopes","40")))))))</f>
        <v>52</v>
      </c>
      <c r="V660" s="134" t="str">
        <f>IF(R660="Bogs Ponds Streams","84",IF(R660="Coastal Areas","76",IF(R660="Meadows Dry Open","96", IF(R660="Forest &amp; Understory","90", IF(R660="Moist Open","88", IF(R660="Moist Shady","82", IF(R660="Sub-Alpine Slopes","80")))))))</f>
        <v>84</v>
      </c>
      <c r="W660" s="67">
        <v>20</v>
      </c>
      <c r="X660" s="67">
        <v>0</v>
      </c>
      <c r="Y660" s="67">
        <v>3500</v>
      </c>
      <c r="Z660" s="67" t="s">
        <v>2519</v>
      </c>
      <c r="AA660" s="67" t="s">
        <v>2518</v>
      </c>
      <c r="AB660" s="67">
        <v>6.8</v>
      </c>
      <c r="AC660" s="85">
        <f>C660+AK660+(0.1)*AL660</f>
        <v>6.5</v>
      </c>
      <c r="AD660" s="78">
        <v>27</v>
      </c>
      <c r="AE660" s="67">
        <v>5</v>
      </c>
      <c r="AF660" s="67">
        <v>5</v>
      </c>
      <c r="AG660" s="67">
        <v>1900</v>
      </c>
      <c r="AH660" s="78">
        <v>0</v>
      </c>
      <c r="AI660" s="67">
        <f>AJ660</f>
        <v>2004</v>
      </c>
      <c r="AJ660" s="69">
        <v>2004</v>
      </c>
      <c r="AK660" s="69">
        <v>5</v>
      </c>
      <c r="AL660" s="69">
        <v>5</v>
      </c>
      <c r="AM660" s="70">
        <v>5</v>
      </c>
      <c r="AN660" s="70">
        <v>0</v>
      </c>
      <c r="AO660" s="86">
        <v>0</v>
      </c>
      <c r="AP660" s="70">
        <v>0</v>
      </c>
      <c r="AQ660" s="70">
        <v>0</v>
      </c>
      <c r="AR660" s="70">
        <v>0</v>
      </c>
      <c r="AS660" s="86">
        <v>0</v>
      </c>
      <c r="AT660" s="70">
        <v>0</v>
      </c>
      <c r="AU660" s="70">
        <v>0</v>
      </c>
      <c r="AV660" s="70">
        <v>0</v>
      </c>
      <c r="AW660" s="86">
        <v>0</v>
      </c>
      <c r="AX660" s="70">
        <v>0</v>
      </c>
      <c r="AY660" s="233"/>
      <c r="AZ660" s="4"/>
      <c r="BA660" s="35" t="str">
        <f>IF(OR(S660="North America",S660="Rocky Mountain"), "Widespread",BC660)</f>
        <v>Widespread</v>
      </c>
      <c r="BB660" s="4"/>
      <c r="BC660" s="35">
        <f ca="1">IF(BE660&gt;2046, "Abundant",BE660)</f>
        <v>2032.2118331550803</v>
      </c>
      <c r="BD660" s="4"/>
      <c r="BE660" s="81">
        <f ca="1">YEAR($C$13)+(BG660*80)</f>
        <v>2032.2118331550803</v>
      </c>
      <c r="BF660" s="4"/>
      <c r="BG660" s="137">
        <f ca="1">BH660*$BH$14</f>
        <v>0.16514791443850266</v>
      </c>
      <c r="BH660" s="137">
        <f ca="1">(((BJ660+BK660+BM660+BN660)/4)*$BM$11)+(((BP660+BQ660)/2)*$BQ$11)+(((BU660+BV660+BW660)/3)*$BU$11)+(((BY660+BZ660+CA660+CB660+CC660)/5)*$CA$11)</f>
        <v>0.16514791443850266</v>
      </c>
      <c r="BI660" s="4"/>
      <c r="BJ660" s="33">
        <f>AP660/(AM660+AO660)</f>
        <v>0</v>
      </c>
      <c r="BK660" s="33">
        <f>(AN660+AO660)/(AM660+AO660)</f>
        <v>0</v>
      </c>
      <c r="BL660" s="4"/>
      <c r="BM660" s="127">
        <f>CF660/102</f>
        <v>6.3725490196078427E-2</v>
      </c>
      <c r="BN660" s="127">
        <f>C660/2</f>
        <v>0.5</v>
      </c>
      <c r="BO660" s="4"/>
      <c r="BP660" s="127">
        <f>(AK660)/($AW$6)</f>
        <v>5.0505050505050504E-2</v>
      </c>
      <c r="BQ660" s="127">
        <f ca="1">(CH660-$AW$4)/((YEAR($C$13))-$AW$4)</f>
        <v>0</v>
      </c>
      <c r="BR660" s="127">
        <f>(AL660)/($AW$6)</f>
        <v>5.0505050505050504E-2</v>
      </c>
      <c r="BS660" s="4"/>
      <c r="BT660" s="127"/>
      <c r="BU660" s="127">
        <f ca="1">(CG660-$AW$4)/((YEAR($C$13))-$AW$4)</f>
        <v>0</v>
      </c>
      <c r="BV660" s="127">
        <f>AE660/5</f>
        <v>1</v>
      </c>
      <c r="BW660" s="127">
        <f>AF660/5</f>
        <v>1</v>
      </c>
      <c r="BX660" s="4"/>
      <c r="BY660" s="148" t="str">
        <f>IF(E660="A",".98",IF(E660="B",".99",IF(E660="C","1.00",IF(E660="D","1.00" ))))</f>
        <v>1.00</v>
      </c>
      <c r="BZ660" s="127">
        <f>(CE660+7)/10</f>
        <v>1</v>
      </c>
      <c r="CA660" s="76" t="str">
        <f>IF(D660="Fern",".97",IF(D660="Grass",".99",IF(D660="Herb",".97",IF(D660="Shrub",".99",IF(D660="Tree","1.00",IF(D660="Vine",".98"))))))</f>
        <v>.97</v>
      </c>
      <c r="CB660" s="149" t="str">
        <f>IF(R660="Bogs Ponds Streams",".96", IF(R660="Coastal Areas",".97",IF(R660="Meadows Dry Open",".96",IF(R660="Forest &amp; Understory",".97",IF(R660="Moist Open",".98",IF(R660="Moist Shady",".96",IF(R660="Sub-Alpine","1.0")))))))</f>
        <v>.96</v>
      </c>
      <c r="CC660" s="76" t="str">
        <f>IF(S660="Local Endemic",".50",IF(S660="Regional Endemic",".70",IF(S660="Cascadia",".90",IF(S660="Rocky Mountain",".95",IF(S660="North America",".99")))))</f>
        <v>.99</v>
      </c>
      <c r="CD660" s="4"/>
      <c r="CE660" s="21">
        <f>IF(W660&gt;3,3,W660)</f>
        <v>3</v>
      </c>
      <c r="CF660" s="21">
        <f>IF(AC660&gt;102,102,AC660)</f>
        <v>6.5</v>
      </c>
      <c r="CG660" s="34">
        <f>IF(AI660&lt;$AW$4,$AW$4,AI660)</f>
        <v>2004</v>
      </c>
      <c r="CH660" s="34">
        <f>IF(AJ660&lt;$AW$4,$AW$4,AJ660)</f>
        <v>2004</v>
      </c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</row>
    <row r="661" spans="1:115" ht="15" customHeight="1" x14ac:dyDescent="0.3">
      <c r="A661" s="235"/>
      <c r="B661" s="218"/>
      <c r="C661" s="226">
        <v>2</v>
      </c>
      <c r="D661" s="118" t="s">
        <v>2505</v>
      </c>
      <c r="E661" s="104" t="s">
        <v>2501</v>
      </c>
      <c r="F661" s="400" t="str">
        <f ca="1">IF(BC661&lt;2025, "Extinct&lt; 6Yrs?",BA661)</f>
        <v>Widespread</v>
      </c>
      <c r="G661" s="369" t="s">
        <v>525</v>
      </c>
      <c r="H661" s="369" t="s">
        <v>4028</v>
      </c>
      <c r="I661" s="370" t="s">
        <v>3117</v>
      </c>
      <c r="J661" s="371" t="s">
        <v>3713</v>
      </c>
      <c r="K661" s="371" t="s">
        <v>1291</v>
      </c>
      <c r="L661" s="106" t="s">
        <v>1653</v>
      </c>
      <c r="M661" s="111" t="s">
        <v>4733</v>
      </c>
      <c r="N661" s="111" t="s">
        <v>5632</v>
      </c>
      <c r="O661" s="111" t="s">
        <v>6530</v>
      </c>
      <c r="P661" s="105" t="s">
        <v>235</v>
      </c>
      <c r="Q661" s="104" t="s">
        <v>2552</v>
      </c>
      <c r="R661" s="161" t="s">
        <v>2497</v>
      </c>
      <c r="S661" s="105" t="s">
        <v>2495</v>
      </c>
      <c r="T661" s="133" t="str">
        <f>IF(R661="Bogs Ponds Streams","20",IF(R661="Coastal Areas","26",IF(R661="Meadows Dry Open","10",IF(R661="Forest &amp; Understory","14",IF(R661="Moist Open","12",IF(R661="Moist Shady","10",IF(R661="Sub-Alpine Slopes","0")))))))</f>
        <v>12</v>
      </c>
      <c r="U661" s="133" t="str">
        <f>IF(R661="Bogs Ponds Streams","52",IF(R661="Coastal Areas","51",IF(R661="Meadows Dry Open","53",IF(R661="Forest &amp; Understory","52",IF(R661="Moist Open","50",IF(R661="Moist Shady","46",IF(R661="Sub-Alpine Slopes","40")))))))</f>
        <v>50</v>
      </c>
      <c r="V661" s="133" t="str">
        <f>IF(R661="Bogs Ponds Streams","84",IF(R661="Coastal Areas","76",IF(R661="Meadows Dry Open","96", IF(R661="Forest &amp; Understory","90", IF(R661="Moist Open","88", IF(R661="Moist Shady","82", IF(R661="Sub-Alpine Slopes","80")))))))</f>
        <v>88</v>
      </c>
      <c r="W661" s="104">
        <v>20</v>
      </c>
      <c r="X661" s="104">
        <v>0</v>
      </c>
      <c r="Y661" s="104">
        <v>3500</v>
      </c>
      <c r="Z661" s="104" t="s">
        <v>2519</v>
      </c>
      <c r="AA661" s="104" t="s">
        <v>2518</v>
      </c>
      <c r="AB661" s="104">
        <v>6.8</v>
      </c>
      <c r="AC661" s="107">
        <f>C661+AK661+(0.1)*AL661</f>
        <v>4</v>
      </c>
      <c r="AD661" s="113">
        <v>11</v>
      </c>
      <c r="AE661" s="112">
        <v>3</v>
      </c>
      <c r="AF661" s="112">
        <v>5</v>
      </c>
      <c r="AG661" s="113">
        <v>1925</v>
      </c>
      <c r="AH661" s="113">
        <v>0</v>
      </c>
      <c r="AI661" s="113">
        <v>2000</v>
      </c>
      <c r="AJ661" s="108">
        <v>2004</v>
      </c>
      <c r="AK661" s="108">
        <v>2</v>
      </c>
      <c r="AL661" s="108">
        <v>0</v>
      </c>
      <c r="AM661" s="109">
        <v>5</v>
      </c>
      <c r="AN661" s="109">
        <v>1</v>
      </c>
      <c r="AO661" s="109">
        <v>1</v>
      </c>
      <c r="AP661" s="109">
        <v>0</v>
      </c>
      <c r="AQ661" s="109">
        <v>0</v>
      </c>
      <c r="AR661" s="109">
        <v>0</v>
      </c>
      <c r="AS661" s="110">
        <v>0</v>
      </c>
      <c r="AT661" s="109">
        <v>0</v>
      </c>
      <c r="AU661" s="109">
        <v>0</v>
      </c>
      <c r="AV661" s="109">
        <v>0</v>
      </c>
      <c r="AW661" s="110">
        <v>0</v>
      </c>
      <c r="AX661" s="109">
        <v>0</v>
      </c>
      <c r="AY661" s="233"/>
      <c r="AZ661" s="4"/>
      <c r="BA661" s="35" t="str">
        <f>IF(OR(S661="North America",S661="Rocky Mountain"), "Widespread",BC661)</f>
        <v>Widespread</v>
      </c>
      <c r="BB661" s="4"/>
      <c r="BC661" s="35">
        <f ca="1">IF(BE661&gt;2046, "Abundant",BE661)</f>
        <v>2040.7071458110518</v>
      </c>
      <c r="BD661" s="4"/>
      <c r="BE661" s="81">
        <f ca="1">YEAR($C$13)+(BG661*80)</f>
        <v>2040.7071458110518</v>
      </c>
      <c r="BF661" s="4"/>
      <c r="BG661" s="137">
        <f ca="1">BH661*$BH$14</f>
        <v>0.27133932263814614</v>
      </c>
      <c r="BH661" s="137">
        <f ca="1">(((BJ661+BK661+BM661+BN661)/4)*$BM$11)+(((BP661+BQ661)/2)*$BQ$11)+(((BU661+BV661+BW661)/3)*$BU$11)+(((BY661+BZ661+CA661+CB661+CC661)/5)*$CA$11)</f>
        <v>0.27133932263814614</v>
      </c>
      <c r="BI661" s="4"/>
      <c r="BJ661" s="33">
        <f>AP661/(AM661+AO661)</f>
        <v>0</v>
      </c>
      <c r="BK661" s="33">
        <f>(AN661+AO661)/(AM661+AO661)</f>
        <v>0.33333333333333331</v>
      </c>
      <c r="BL661" s="4"/>
      <c r="BM661" s="127">
        <f>CF661/102</f>
        <v>3.9215686274509803E-2</v>
      </c>
      <c r="BN661" s="127">
        <f>C661/2</f>
        <v>1</v>
      </c>
      <c r="BO661" s="4"/>
      <c r="BP661" s="127">
        <f>(AK661)/($AW$6)</f>
        <v>2.0202020202020204E-2</v>
      </c>
      <c r="BQ661" s="127">
        <f ca="1">(CH661-$AW$4)/((YEAR($C$13))-$AW$4)</f>
        <v>0</v>
      </c>
      <c r="BR661" s="127">
        <f>(AL661)/($AW$6)</f>
        <v>0</v>
      </c>
      <c r="BS661" s="4"/>
      <c r="BT661" s="127"/>
      <c r="BU661" s="127">
        <f ca="1">(CG661-$AW$4)/((YEAR($C$13))-$AW$4)</f>
        <v>0</v>
      </c>
      <c r="BV661" s="127">
        <f>AE661/5</f>
        <v>0.6</v>
      </c>
      <c r="BW661" s="127">
        <f>AF661/5</f>
        <v>1</v>
      </c>
      <c r="BX661" s="4"/>
      <c r="BY661" s="148" t="str">
        <f>IF(E661="A",".98",IF(E661="B",".99",IF(E661="C","1.00",IF(E661="D","1.00" ))))</f>
        <v>1.00</v>
      </c>
      <c r="BZ661" s="127">
        <f>(CE661+7)/10</f>
        <v>1</v>
      </c>
      <c r="CA661" s="76" t="str">
        <f>IF(D661="Fern",".97",IF(D661="Grass",".99",IF(D661="Herb",".97",IF(D661="Shrub",".99",IF(D661="Tree","1.00",IF(D661="Vine",".98"))))))</f>
        <v>.97</v>
      </c>
      <c r="CB661" s="149" t="str">
        <f>IF(R661="Bogs Ponds Streams",".96", IF(R661="Coastal Areas",".97",IF(R661="Meadows Dry Open",".96",IF(R661="Forest &amp; Understory",".97",IF(R661="Moist Open",".98",IF(R661="Moist Shady",".96",IF(R661="Sub-Alpine","1.0")))))))</f>
        <v>.98</v>
      </c>
      <c r="CC661" s="76" t="str">
        <f>IF(S661="Local Endemic",".50",IF(S661="Regional Endemic",".70",IF(S661="Cascadia",".90",IF(S661="Rocky Mountain",".95",IF(S661="North America",".99")))))</f>
        <v>.99</v>
      </c>
      <c r="CD661" s="4"/>
      <c r="CE661" s="21">
        <f>IF(W661&gt;3,3,W661)</f>
        <v>3</v>
      </c>
      <c r="CF661" s="21">
        <f>IF(AC661&gt;102,102,AC661)</f>
        <v>4</v>
      </c>
      <c r="CG661" s="34">
        <f>IF(AI661&lt;$AW$4,$AW$4,AI661)</f>
        <v>2004</v>
      </c>
      <c r="CH661" s="34">
        <f>IF(AJ661&lt;$AW$4,$AW$4,AJ661)</f>
        <v>2004</v>
      </c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</row>
    <row r="662" spans="1:115" ht="15" customHeight="1" x14ac:dyDescent="0.3">
      <c r="A662" s="235"/>
      <c r="B662" s="218"/>
      <c r="C662" s="225">
        <v>8</v>
      </c>
      <c r="D662" s="59" t="s">
        <v>2505</v>
      </c>
      <c r="E662" s="59" t="s">
        <v>2501</v>
      </c>
      <c r="F662" s="397" t="str">
        <f ca="1">IF(BC662&lt;2025, "Extinct&lt; 6Yrs?",BA662)</f>
        <v>Widespread</v>
      </c>
      <c r="G662" s="363" t="s">
        <v>525</v>
      </c>
      <c r="H662" s="363" t="s">
        <v>685</v>
      </c>
      <c r="I662" s="366" t="s">
        <v>237</v>
      </c>
      <c r="J662" s="365" t="s">
        <v>238</v>
      </c>
      <c r="K662" s="365" t="s">
        <v>344</v>
      </c>
      <c r="L662" s="10" t="s">
        <v>1654</v>
      </c>
      <c r="M662" s="8" t="s">
        <v>4734</v>
      </c>
      <c r="N662" s="8" t="s">
        <v>5633</v>
      </c>
      <c r="O662" s="8" t="s">
        <v>6531</v>
      </c>
      <c r="P662" s="9" t="s">
        <v>235</v>
      </c>
      <c r="Q662" s="59" t="s">
        <v>2552</v>
      </c>
      <c r="R662" s="9" t="s">
        <v>2499</v>
      </c>
      <c r="S662" s="9" t="s">
        <v>2495</v>
      </c>
      <c r="T662" s="123" t="str">
        <f>IF(R662="Bogs Ponds Streams","20",IF(R662="Coastal Areas","26",IF(R662="Meadows Dry Open","10",IF(R662="Forest &amp; Understory","14",IF(R662="Moist Open","12",IF(R662="Moist Shady","10",IF(R662="Sub-Alpine Slopes","0")))))))</f>
        <v>20</v>
      </c>
      <c r="U662" s="123" t="str">
        <f>IF(R662="Bogs Ponds Streams","52",IF(R662="Coastal Areas","51",IF(R662="Meadows Dry Open","53",IF(R662="Forest &amp; Understory","52",IF(R662="Moist Open","50",IF(R662="Moist Shady","46",IF(R662="Sub-Alpine Slopes","40")))))))</f>
        <v>52</v>
      </c>
      <c r="V662" s="123" t="str">
        <f>IF(R662="Bogs Ponds Streams","84",IF(R662="Coastal Areas","76",IF(R662="Meadows Dry Open","96", IF(R662="Forest &amp; Understory","90", IF(R662="Moist Open","88", IF(R662="Moist Shady","82", IF(R662="Sub-Alpine Slopes","80")))))))</f>
        <v>84</v>
      </c>
      <c r="W662" s="59">
        <v>20</v>
      </c>
      <c r="X662" s="59">
        <v>0</v>
      </c>
      <c r="Y662" s="59">
        <v>3500</v>
      </c>
      <c r="Z662" s="59" t="s">
        <v>2519</v>
      </c>
      <c r="AA662" s="59" t="s">
        <v>2518</v>
      </c>
      <c r="AB662" s="59">
        <v>6.8</v>
      </c>
      <c r="AC662" s="45">
        <f>C662+AK662+(0.1)*AL662</f>
        <v>31.1</v>
      </c>
      <c r="AD662" s="77">
        <v>65</v>
      </c>
      <c r="AE662" s="59">
        <v>5</v>
      </c>
      <c r="AF662" s="59">
        <v>5</v>
      </c>
      <c r="AG662" s="59">
        <v>1900</v>
      </c>
      <c r="AH662" s="77">
        <v>0</v>
      </c>
      <c r="AI662" s="59">
        <f ca="1">AJ662</f>
        <v>2019</v>
      </c>
      <c r="AJ662" s="18">
        <f ca="1">YEAR(TODAY())</f>
        <v>2019</v>
      </c>
      <c r="AK662" s="18">
        <v>22</v>
      </c>
      <c r="AL662" s="18">
        <v>11</v>
      </c>
      <c r="AM662" s="18">
        <v>1</v>
      </c>
      <c r="AN662" s="18">
        <v>1</v>
      </c>
      <c r="AO662" s="18">
        <v>5</v>
      </c>
      <c r="AP662" s="18">
        <v>1</v>
      </c>
      <c r="AQ662" s="18">
        <v>0</v>
      </c>
      <c r="AR662" s="18">
        <v>0</v>
      </c>
      <c r="AS662" s="18">
        <v>0</v>
      </c>
      <c r="AT662" s="18">
        <v>0</v>
      </c>
      <c r="AU662" s="18">
        <v>0</v>
      </c>
      <c r="AV662" s="18">
        <v>0</v>
      </c>
      <c r="AW662" s="18">
        <v>0</v>
      </c>
      <c r="AX662" s="18">
        <v>0</v>
      </c>
      <c r="AY662" s="233"/>
      <c r="AZ662" s="4"/>
      <c r="BA662" s="35" t="str">
        <f>IF(OR(S662="North America",S662="Rocky Mountain"), "Widespread",BC662)</f>
        <v>Widespread</v>
      </c>
      <c r="BB662" s="4"/>
      <c r="BC662" s="35" t="str">
        <f ca="1">IF(BE662&gt;2046, "Abundant",BE662)</f>
        <v>Abundant</v>
      </c>
      <c r="BD662" s="4"/>
      <c r="BE662" s="81">
        <f ca="1">YEAR($C$13)+(BG662*80)</f>
        <v>2107.2998901960782</v>
      </c>
      <c r="BF662" s="4"/>
      <c r="BG662" s="137">
        <f ca="1">BH662*$BH$14</f>
        <v>1.1037486274509802</v>
      </c>
      <c r="BH662" s="137">
        <f ca="1">(((BJ662+BK662+BM662+BN662)/4)*$BM$11)+(((BP662+BQ662)/2)*$BQ$11)+(((BU662+BV662+BW662)/3)*$BU$11)+(((BY662+BZ662+CA662+CB662+CC662)/5)*$CA$11)</f>
        <v>1.1037486274509802</v>
      </c>
      <c r="BI662" s="4"/>
      <c r="BJ662" s="33">
        <f>AP662/(AM662+AO662)</f>
        <v>0.16666666666666666</v>
      </c>
      <c r="BK662" s="33">
        <f>(AN662+AO662)/(AM662+AO662)</f>
        <v>1</v>
      </c>
      <c r="BL662" s="4"/>
      <c r="BM662" s="127">
        <f>CF662/102</f>
        <v>0.30490196078431375</v>
      </c>
      <c r="BN662" s="127">
        <f>C662/2</f>
        <v>4</v>
      </c>
      <c r="BO662" s="4"/>
      <c r="BP662" s="127">
        <f>(AK662)/($AW$6)</f>
        <v>0.22222222222222221</v>
      </c>
      <c r="BQ662" s="127">
        <f ca="1">(CH662-$AW$4)/((YEAR($C$13))-$AW$4)</f>
        <v>1</v>
      </c>
      <c r="BR662" s="127">
        <f>(AL662)/($AW$6)</f>
        <v>0.1111111111111111</v>
      </c>
      <c r="BS662" s="4"/>
      <c r="BT662" s="127"/>
      <c r="BU662" s="127">
        <f ca="1">(CG662-$AW$4)/((YEAR($C$13))-$AW$4)</f>
        <v>1</v>
      </c>
      <c r="BV662" s="127">
        <f>AE662/5</f>
        <v>1</v>
      </c>
      <c r="BW662" s="127">
        <f>AF662/5</f>
        <v>1</v>
      </c>
      <c r="BX662" s="4"/>
      <c r="BY662" s="148" t="str">
        <f>IF(E662="A",".98",IF(E662="B",".99",IF(E662="C","1.00",IF(E662="D","1.00" ))))</f>
        <v>1.00</v>
      </c>
      <c r="BZ662" s="127">
        <f>(CE662+7)/10</f>
        <v>1</v>
      </c>
      <c r="CA662" s="76" t="str">
        <f>IF(D662="Fern",".97",IF(D662="Grass",".99",IF(D662="Herb",".97",IF(D662="Shrub",".99",IF(D662="Tree","1.00",IF(D662="Vine",".98"))))))</f>
        <v>.97</v>
      </c>
      <c r="CB662" s="149" t="str">
        <f>IF(R662="Bogs Ponds Streams",".96", IF(R662="Coastal Areas",".97",IF(R662="Meadows Dry Open",".96",IF(R662="Forest &amp; Understory",".97",IF(R662="Moist Open",".98",IF(R662="Moist Shady",".96",IF(R662="Sub-Alpine","1.0")))))))</f>
        <v>.96</v>
      </c>
      <c r="CC662" s="76" t="str">
        <f>IF(S662="Local Endemic",".50",IF(S662="Regional Endemic",".70",IF(S662="Cascadia",".90",IF(S662="Rocky Mountain",".95",IF(S662="North America",".99")))))</f>
        <v>.99</v>
      </c>
      <c r="CD662" s="4"/>
      <c r="CE662" s="21">
        <f>IF(W662&gt;3,3,W662)</f>
        <v>3</v>
      </c>
      <c r="CF662" s="21">
        <f>IF(AC662&gt;102,102,AC662)</f>
        <v>31.1</v>
      </c>
      <c r="CG662" s="34">
        <f ca="1">IF(AI662&lt;$AW$4,$AW$4,AI662)</f>
        <v>2019</v>
      </c>
      <c r="CH662" s="34">
        <f ca="1">IF(AJ662&lt;$AW$4,$AW$4,AJ662)</f>
        <v>2019</v>
      </c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13"/>
    </row>
    <row r="663" spans="1:115" ht="15" customHeight="1" x14ac:dyDescent="0.3">
      <c r="A663" s="235"/>
      <c r="B663" s="218"/>
      <c r="C663" s="375">
        <v>1</v>
      </c>
      <c r="D663" s="67" t="s">
        <v>2505</v>
      </c>
      <c r="E663" s="67" t="s">
        <v>2501</v>
      </c>
      <c r="F663" s="403" t="str">
        <f ca="1">IF(BC663&lt;2025, "Extinct&lt; 6Yrs?",BA663)</f>
        <v>Widespread</v>
      </c>
      <c r="G663" s="376" t="s">
        <v>525</v>
      </c>
      <c r="H663" s="376" t="s">
        <v>4028</v>
      </c>
      <c r="I663" s="380" t="s">
        <v>3118</v>
      </c>
      <c r="J663" s="378" t="s">
        <v>3533</v>
      </c>
      <c r="K663" s="378" t="s">
        <v>238</v>
      </c>
      <c r="L663" s="63" t="s">
        <v>1655</v>
      </c>
      <c r="M663" s="64" t="s">
        <v>4735</v>
      </c>
      <c r="N663" s="64" t="s">
        <v>5634</v>
      </c>
      <c r="O663" s="64" t="s">
        <v>6532</v>
      </c>
      <c r="P663" s="61" t="s">
        <v>235</v>
      </c>
      <c r="Q663" s="67" t="s">
        <v>2552</v>
      </c>
      <c r="R663" s="61" t="s">
        <v>2499</v>
      </c>
      <c r="S663" s="61" t="s">
        <v>2495</v>
      </c>
      <c r="T663" s="134" t="str">
        <f>IF(R663="Bogs Ponds Streams","20",IF(R663="Coastal Areas","26",IF(R663="Meadows Dry Open","10",IF(R663="Forest &amp; Understory","14",IF(R663="Moist Open","12",IF(R663="Moist Shady","10",IF(R663="Sub-Alpine Slopes","0")))))))</f>
        <v>20</v>
      </c>
      <c r="U663" s="134" t="str">
        <f>IF(R663="Bogs Ponds Streams","52",IF(R663="Coastal Areas","51",IF(R663="Meadows Dry Open","53",IF(R663="Forest &amp; Understory","52",IF(R663="Moist Open","50",IF(R663="Moist Shady","46",IF(R663="Sub-Alpine Slopes","40")))))))</f>
        <v>52</v>
      </c>
      <c r="V663" s="134" t="str">
        <f>IF(R663="Bogs Ponds Streams","84",IF(R663="Coastal Areas","76",IF(R663="Meadows Dry Open","96", IF(R663="Forest &amp; Understory","90", IF(R663="Moist Open","88", IF(R663="Moist Shady","82", IF(R663="Sub-Alpine Slopes","80")))))))</f>
        <v>84</v>
      </c>
      <c r="W663" s="67">
        <v>20</v>
      </c>
      <c r="X663" s="67">
        <v>0</v>
      </c>
      <c r="Y663" s="67">
        <v>3500</v>
      </c>
      <c r="Z663" s="67" t="s">
        <v>2519</v>
      </c>
      <c r="AA663" s="67" t="s">
        <v>2518</v>
      </c>
      <c r="AB663" s="67">
        <v>6.8</v>
      </c>
      <c r="AC663" s="85">
        <f>C663+AK663+(0.1)*AL663</f>
        <v>13.8</v>
      </c>
      <c r="AD663" s="78">
        <v>64</v>
      </c>
      <c r="AE663" s="67">
        <v>5</v>
      </c>
      <c r="AF663" s="67">
        <v>5</v>
      </c>
      <c r="AG663" s="67">
        <v>1900</v>
      </c>
      <c r="AH663" s="78">
        <v>0</v>
      </c>
      <c r="AI663" s="67">
        <f>AJ663</f>
        <v>2004</v>
      </c>
      <c r="AJ663" s="69">
        <v>2004</v>
      </c>
      <c r="AK663" s="69">
        <v>12</v>
      </c>
      <c r="AL663" s="69">
        <v>8</v>
      </c>
      <c r="AM663" s="70">
        <v>5</v>
      </c>
      <c r="AN663" s="70">
        <v>0</v>
      </c>
      <c r="AO663" s="86">
        <v>0</v>
      </c>
      <c r="AP663" s="70">
        <v>0</v>
      </c>
      <c r="AQ663" s="70">
        <v>0</v>
      </c>
      <c r="AR663" s="70">
        <v>0</v>
      </c>
      <c r="AS663" s="86">
        <v>0</v>
      </c>
      <c r="AT663" s="70">
        <v>0</v>
      </c>
      <c r="AU663" s="70">
        <v>0</v>
      </c>
      <c r="AV663" s="70">
        <v>0</v>
      </c>
      <c r="AW663" s="86">
        <v>0</v>
      </c>
      <c r="AX663" s="70">
        <v>0</v>
      </c>
      <c r="AY663" s="233"/>
      <c r="AZ663" s="4"/>
      <c r="BA663" s="35" t="str">
        <f>IF(OR(S663="North America",S663="Rocky Mountain"), "Widespread",BC663)</f>
        <v>Widespread</v>
      </c>
      <c r="BB663" s="4"/>
      <c r="BC663" s="35">
        <f ca="1">IF(BE663&gt;2046, "Abundant",BE663)</f>
        <v>2033.9191415329769</v>
      </c>
      <c r="BD663" s="4"/>
      <c r="BE663" s="81">
        <f ca="1">YEAR($C$13)+(BG663*80)</f>
        <v>2033.9191415329769</v>
      </c>
      <c r="BF663" s="4"/>
      <c r="BG663" s="137">
        <f ca="1">BH663*$BH$14</f>
        <v>0.18648926916221034</v>
      </c>
      <c r="BH663" s="137">
        <f ca="1">(((BJ663+BK663+BM663+BN663)/4)*$BM$11)+(((BP663+BQ663)/2)*$BQ$11)+(((BU663+BV663+BW663)/3)*$BU$11)+(((BY663+BZ663+CA663+CB663+CC663)/5)*$CA$11)</f>
        <v>0.18648926916221034</v>
      </c>
      <c r="BI663" s="4"/>
      <c r="BJ663" s="33">
        <f>AP663/(AM663+AO663)</f>
        <v>0</v>
      </c>
      <c r="BK663" s="33">
        <f>(AN663+AO663)/(AM663+AO663)</f>
        <v>0</v>
      </c>
      <c r="BL663" s="4"/>
      <c r="BM663" s="127">
        <f>CF663/102</f>
        <v>0.13529411764705884</v>
      </c>
      <c r="BN663" s="127">
        <f>C663/2</f>
        <v>0.5</v>
      </c>
      <c r="BO663" s="4"/>
      <c r="BP663" s="127">
        <f>(AK663)/($AW$6)</f>
        <v>0.12121212121212122</v>
      </c>
      <c r="BQ663" s="127">
        <f ca="1">(CH663-$AW$4)/((YEAR($C$13))-$AW$4)</f>
        <v>0</v>
      </c>
      <c r="BR663" s="127">
        <f>(AL663)/($AW$6)</f>
        <v>8.0808080808080815E-2</v>
      </c>
      <c r="BS663" s="4"/>
      <c r="BT663" s="127"/>
      <c r="BU663" s="127">
        <f ca="1">(CG663-$AW$4)/((YEAR($C$13))-$AW$4)</f>
        <v>0</v>
      </c>
      <c r="BV663" s="127">
        <f>AE663/5</f>
        <v>1</v>
      </c>
      <c r="BW663" s="127">
        <f>AF663/5</f>
        <v>1</v>
      </c>
      <c r="BX663" s="4"/>
      <c r="BY663" s="148" t="str">
        <f>IF(E663="A",".98",IF(E663="B",".99",IF(E663="C","1.00",IF(E663="D","1.00" ))))</f>
        <v>1.00</v>
      </c>
      <c r="BZ663" s="127">
        <f>(CE663+7)/10</f>
        <v>1</v>
      </c>
      <c r="CA663" s="76" t="str">
        <f>IF(D663="Fern",".97",IF(D663="Grass",".99",IF(D663="Herb",".97",IF(D663="Shrub",".99",IF(D663="Tree","1.00",IF(D663="Vine",".98"))))))</f>
        <v>.97</v>
      </c>
      <c r="CB663" s="149" t="str">
        <f>IF(R663="Bogs Ponds Streams",".96", IF(R663="Coastal Areas",".97",IF(R663="Meadows Dry Open",".96",IF(R663="Forest &amp; Understory",".97",IF(R663="Moist Open",".98",IF(R663="Moist Shady",".96",IF(R663="Sub-Alpine","1.0")))))))</f>
        <v>.96</v>
      </c>
      <c r="CC663" s="76" t="str">
        <f>IF(S663="Local Endemic",".50",IF(S663="Regional Endemic",".70",IF(S663="Cascadia",".90",IF(S663="Rocky Mountain",".95",IF(S663="North America",".99")))))</f>
        <v>.99</v>
      </c>
      <c r="CD663" s="4"/>
      <c r="CE663" s="21">
        <f>IF(W663&gt;3,3,W663)</f>
        <v>3</v>
      </c>
      <c r="CF663" s="21">
        <f>IF(AC663&gt;102,102,AC663)</f>
        <v>13.8</v>
      </c>
      <c r="CG663" s="34">
        <f>IF(AI663&lt;$AW$4,$AW$4,AI663)</f>
        <v>2004</v>
      </c>
      <c r="CH663" s="34">
        <f>IF(AJ663&lt;$AW$4,$AW$4,AJ663)</f>
        <v>2004</v>
      </c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</row>
    <row r="664" spans="1:115" ht="15" customHeight="1" x14ac:dyDescent="0.3">
      <c r="A664" s="235"/>
      <c r="B664" s="218"/>
      <c r="C664" s="375">
        <v>1</v>
      </c>
      <c r="D664" s="67" t="s">
        <v>2505</v>
      </c>
      <c r="E664" s="67" t="s">
        <v>2501</v>
      </c>
      <c r="F664" s="403" t="str">
        <f ca="1">IF(BC664&lt;2025, "Extinct&lt; 6Yrs?",BA664)</f>
        <v>Widespread</v>
      </c>
      <c r="G664" s="376" t="s">
        <v>525</v>
      </c>
      <c r="H664" s="376" t="s">
        <v>4028</v>
      </c>
      <c r="I664" s="380" t="s">
        <v>234</v>
      </c>
      <c r="J664" s="378" t="s">
        <v>3532</v>
      </c>
      <c r="K664" s="378" t="s">
        <v>233</v>
      </c>
      <c r="L664" s="63" t="s">
        <v>1656</v>
      </c>
      <c r="M664" s="64" t="s">
        <v>4736</v>
      </c>
      <c r="N664" s="64" t="s">
        <v>5635</v>
      </c>
      <c r="O664" s="64" t="s">
        <v>6533</v>
      </c>
      <c r="P664" s="61" t="s">
        <v>235</v>
      </c>
      <c r="Q664" s="67" t="s">
        <v>2552</v>
      </c>
      <c r="R664" s="61" t="s">
        <v>2498</v>
      </c>
      <c r="S664" s="61" t="s">
        <v>2495</v>
      </c>
      <c r="T664" s="134" t="str">
        <f>IF(R664="Bogs Ponds Streams","20",IF(R664="Coastal Areas","26",IF(R664="Meadows Dry Open","10",IF(R664="Forest &amp; Understory","14",IF(R664="Moist Open","12",IF(R664="Moist Shady","10",IF(R664="Sub-Alpine Slopes","0")))))))</f>
        <v>10</v>
      </c>
      <c r="U664" s="134" t="str">
        <f>IF(R664="Bogs Ponds Streams","52",IF(R664="Coastal Areas","51",IF(R664="Meadows Dry Open","53",IF(R664="Forest &amp; Understory","52",IF(R664="Moist Open","50",IF(R664="Moist Shady","46",IF(R664="Sub-Alpine Slopes","40")))))))</f>
        <v>46</v>
      </c>
      <c r="V664" s="134" t="str">
        <f>IF(R664="Bogs Ponds Streams","84",IF(R664="Coastal Areas","76",IF(R664="Meadows Dry Open","96", IF(R664="Forest &amp; Understory","90", IF(R664="Moist Open","88", IF(R664="Moist Shady","82", IF(R664="Sub-Alpine Slopes","80")))))))</f>
        <v>82</v>
      </c>
      <c r="W664" s="67">
        <v>20</v>
      </c>
      <c r="X664" s="67">
        <v>0</v>
      </c>
      <c r="Y664" s="67">
        <v>3500</v>
      </c>
      <c r="Z664" s="67" t="s">
        <v>2519</v>
      </c>
      <c r="AA664" s="67" t="s">
        <v>2518</v>
      </c>
      <c r="AB664" s="67">
        <v>6.8</v>
      </c>
      <c r="AC664" s="85">
        <f>C664+AK664+(0.1)*AL664</f>
        <v>13.4</v>
      </c>
      <c r="AD664" s="78">
        <v>30</v>
      </c>
      <c r="AE664" s="67">
        <v>5</v>
      </c>
      <c r="AF664" s="67">
        <v>5</v>
      </c>
      <c r="AG664" s="67">
        <v>1900</v>
      </c>
      <c r="AH664" s="78">
        <v>0</v>
      </c>
      <c r="AI664" s="67">
        <f>AJ664</f>
        <v>2004</v>
      </c>
      <c r="AJ664" s="69">
        <v>2004</v>
      </c>
      <c r="AK664" s="69">
        <v>12</v>
      </c>
      <c r="AL664" s="69">
        <v>4</v>
      </c>
      <c r="AM664" s="70">
        <v>5</v>
      </c>
      <c r="AN664" s="70">
        <v>0</v>
      </c>
      <c r="AO664" s="86">
        <v>0</v>
      </c>
      <c r="AP664" s="70">
        <v>0</v>
      </c>
      <c r="AQ664" s="70">
        <v>0</v>
      </c>
      <c r="AR664" s="70">
        <v>0</v>
      </c>
      <c r="AS664" s="86">
        <v>0</v>
      </c>
      <c r="AT664" s="70">
        <v>0</v>
      </c>
      <c r="AU664" s="70">
        <v>0</v>
      </c>
      <c r="AV664" s="70">
        <v>0</v>
      </c>
      <c r="AW664" s="86">
        <v>0</v>
      </c>
      <c r="AX664" s="70">
        <v>0</v>
      </c>
      <c r="AY664" s="233"/>
      <c r="AZ664" s="4"/>
      <c r="BA664" s="35" t="str">
        <f>IF(OR(S664="North America",S664="Rocky Mountain"), "Widespread",BC664)</f>
        <v>Widespread</v>
      </c>
      <c r="BB664" s="4"/>
      <c r="BC664" s="35">
        <f ca="1">IF(BE664&gt;2046, "Abundant",BE664)</f>
        <v>2033.8720827094473</v>
      </c>
      <c r="BD664" s="4"/>
      <c r="BE664" s="81">
        <f ca="1">YEAR($C$13)+(BG664*80)</f>
        <v>2033.8720827094473</v>
      </c>
      <c r="BF664" s="4"/>
      <c r="BG664" s="137">
        <f ca="1">BH664*$BH$14</f>
        <v>0.18590103386809267</v>
      </c>
      <c r="BH664" s="137">
        <f ca="1">(((BJ664+BK664+BM664+BN664)/4)*$BM$11)+(((BP664+BQ664)/2)*$BQ$11)+(((BU664+BV664+BW664)/3)*$BU$11)+(((BY664+BZ664+CA664+CB664+CC664)/5)*$CA$11)</f>
        <v>0.18590103386809267</v>
      </c>
      <c r="BI664" s="4"/>
      <c r="BJ664" s="33">
        <f>AP664/(AM664+AO664)</f>
        <v>0</v>
      </c>
      <c r="BK664" s="33">
        <f>(AN664+AO664)/(AM664+AO664)</f>
        <v>0</v>
      </c>
      <c r="BL664" s="4"/>
      <c r="BM664" s="127">
        <f>CF664/102</f>
        <v>0.13137254901960785</v>
      </c>
      <c r="BN664" s="127">
        <f>C664/2</f>
        <v>0.5</v>
      </c>
      <c r="BO664" s="4"/>
      <c r="BP664" s="127">
        <f>(AK664)/($AW$6)</f>
        <v>0.12121212121212122</v>
      </c>
      <c r="BQ664" s="127">
        <f ca="1">(CH664-$AW$4)/((YEAR($C$13))-$AW$4)</f>
        <v>0</v>
      </c>
      <c r="BR664" s="127">
        <f>(AL664)/($AW$6)</f>
        <v>4.0404040404040407E-2</v>
      </c>
      <c r="BS664" s="4"/>
      <c r="BT664" s="127"/>
      <c r="BU664" s="127">
        <f ca="1">(CG664-$AW$4)/((YEAR($C$13))-$AW$4)</f>
        <v>0</v>
      </c>
      <c r="BV664" s="127">
        <f>AE664/5</f>
        <v>1</v>
      </c>
      <c r="BW664" s="127">
        <f>AF664/5</f>
        <v>1</v>
      </c>
      <c r="BX664" s="4"/>
      <c r="BY664" s="148" t="str">
        <f>IF(E664="A",".98",IF(E664="B",".99",IF(E664="C","1.00",IF(E664="D","1.00" ))))</f>
        <v>1.00</v>
      </c>
      <c r="BZ664" s="127">
        <f>(CE664+7)/10</f>
        <v>1</v>
      </c>
      <c r="CA664" s="76" t="str">
        <f>IF(D664="Fern",".97",IF(D664="Grass",".99",IF(D664="Herb",".97",IF(D664="Shrub",".99",IF(D664="Tree","1.00",IF(D664="Vine",".98"))))))</f>
        <v>.97</v>
      </c>
      <c r="CB664" s="149" t="str">
        <f>IF(R664="Bogs Ponds Streams",".96", IF(R664="Coastal Areas",".97",IF(R664="Meadows Dry Open",".96",IF(R664="Forest &amp; Understory",".97",IF(R664="Moist Open",".98",IF(R664="Moist Shady",".96",IF(R664="Sub-Alpine","1.0")))))))</f>
        <v>.96</v>
      </c>
      <c r="CC664" s="76" t="str">
        <f>IF(S664="Local Endemic",".50",IF(S664="Regional Endemic",".70",IF(S664="Cascadia",".90",IF(S664="Rocky Mountain",".95",IF(S664="North America",".99")))))</f>
        <v>.99</v>
      </c>
      <c r="CD664" s="4"/>
      <c r="CE664" s="21">
        <f>IF(W664&gt;3,3,W664)</f>
        <v>3</v>
      </c>
      <c r="CF664" s="21">
        <f>IF(AC664&gt;102,102,AC664)</f>
        <v>13.4</v>
      </c>
      <c r="CG664" s="34">
        <f>IF(AI664&lt;$AW$4,$AW$4,AI664)</f>
        <v>2004</v>
      </c>
      <c r="CH664" s="34">
        <f>IF(AJ664&lt;$AW$4,$AW$4,AJ664)</f>
        <v>2004</v>
      </c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</row>
    <row r="665" spans="1:115" ht="15" customHeight="1" x14ac:dyDescent="0.3">
      <c r="A665" s="235"/>
      <c r="B665" s="218"/>
      <c r="C665" s="226">
        <v>2</v>
      </c>
      <c r="D665" s="104" t="s">
        <v>2505</v>
      </c>
      <c r="E665" s="104" t="s">
        <v>2501</v>
      </c>
      <c r="F665" s="400" t="str">
        <f ca="1">IF(BC665&lt;2025, "Extinct&lt; 6Yrs?",BA665)</f>
        <v>Widespread</v>
      </c>
      <c r="G665" s="369" t="s">
        <v>525</v>
      </c>
      <c r="H665" s="369" t="s">
        <v>4028</v>
      </c>
      <c r="I665" s="370" t="s">
        <v>236</v>
      </c>
      <c r="J665" s="371" t="s">
        <v>3712</v>
      </c>
      <c r="K665" s="371" t="s">
        <v>1100</v>
      </c>
      <c r="L665" s="106" t="s">
        <v>2802</v>
      </c>
      <c r="M665" s="111" t="s">
        <v>4737</v>
      </c>
      <c r="N665" s="111" t="s">
        <v>5636</v>
      </c>
      <c r="O665" s="111" t="s">
        <v>6534</v>
      </c>
      <c r="P665" s="105" t="s">
        <v>235</v>
      </c>
      <c r="Q665" s="104" t="s">
        <v>2552</v>
      </c>
      <c r="R665" s="105" t="s">
        <v>2499</v>
      </c>
      <c r="S665" s="105" t="s">
        <v>2495</v>
      </c>
      <c r="T665" s="133" t="str">
        <f>IF(R665="Bogs Ponds Streams","20",IF(R665="Coastal Areas","26",IF(R665="Meadows Dry Open","10",IF(R665="Forest &amp; Understory","14",IF(R665="Moist Open","12",IF(R665="Moist Shady","10",IF(R665="Sub-Alpine Slopes","0")))))))</f>
        <v>20</v>
      </c>
      <c r="U665" s="133" t="str">
        <f>IF(R665="Bogs Ponds Streams","52",IF(R665="Coastal Areas","51",IF(R665="Meadows Dry Open","53",IF(R665="Forest &amp; Understory","52",IF(R665="Moist Open","50",IF(R665="Moist Shady","46",IF(R665="Sub-Alpine Slopes","40")))))))</f>
        <v>52</v>
      </c>
      <c r="V665" s="133" t="str">
        <f>IF(R665="Bogs Ponds Streams","84",IF(R665="Coastal Areas","76",IF(R665="Meadows Dry Open","96", IF(R665="Forest &amp; Understory","90", IF(R665="Moist Open","88", IF(R665="Moist Shady","82", IF(R665="Sub-Alpine Slopes","80")))))))</f>
        <v>84</v>
      </c>
      <c r="W665" s="104">
        <v>20</v>
      </c>
      <c r="X665" s="104">
        <v>0</v>
      </c>
      <c r="Y665" s="104">
        <v>3500</v>
      </c>
      <c r="Z665" s="104" t="s">
        <v>2519</v>
      </c>
      <c r="AA665" s="104" t="s">
        <v>2518</v>
      </c>
      <c r="AB665" s="104">
        <v>6.8</v>
      </c>
      <c r="AC665" s="107">
        <f>C665+AK665+(0.1)*AL665</f>
        <v>25.1</v>
      </c>
      <c r="AD665" s="113">
        <v>39</v>
      </c>
      <c r="AE665" s="104">
        <v>5</v>
      </c>
      <c r="AF665" s="104">
        <v>5</v>
      </c>
      <c r="AG665" s="104">
        <v>1900</v>
      </c>
      <c r="AH665" s="113">
        <v>0</v>
      </c>
      <c r="AI665" s="104">
        <f>AJ665</f>
        <v>2004</v>
      </c>
      <c r="AJ665" s="108">
        <v>2004</v>
      </c>
      <c r="AK665" s="108">
        <v>22</v>
      </c>
      <c r="AL665" s="108">
        <v>11</v>
      </c>
      <c r="AM665" s="109">
        <v>5</v>
      </c>
      <c r="AN665" s="109">
        <v>1</v>
      </c>
      <c r="AO665" s="110">
        <v>0</v>
      </c>
      <c r="AP665" s="109">
        <v>0</v>
      </c>
      <c r="AQ665" s="109">
        <v>0</v>
      </c>
      <c r="AR665" s="109">
        <v>0</v>
      </c>
      <c r="AS665" s="110">
        <v>0</v>
      </c>
      <c r="AT665" s="109">
        <v>0</v>
      </c>
      <c r="AU665" s="109">
        <v>0</v>
      </c>
      <c r="AV665" s="109">
        <v>0</v>
      </c>
      <c r="AW665" s="110">
        <v>0</v>
      </c>
      <c r="AX665" s="109">
        <v>0</v>
      </c>
      <c r="AY665" s="233"/>
      <c r="AZ665" s="4"/>
      <c r="BA665" s="35" t="str">
        <f>IF(OR(S665="North America",S665="Rocky Mountain"), "Widespread",BC665)</f>
        <v>Widespread</v>
      </c>
      <c r="BB665" s="4"/>
      <c r="BC665" s="35">
        <f ca="1">IF(BE665&gt;2046, "Abundant",BE665)</f>
        <v>2044.8606745098039</v>
      </c>
      <c r="BD665" s="4"/>
      <c r="BE665" s="81">
        <f ca="1">YEAR($C$13)+(BG665*80)</f>
        <v>2044.8606745098039</v>
      </c>
      <c r="BF665" s="4"/>
      <c r="BG665" s="137">
        <f ca="1">BH665*$BH$14</f>
        <v>0.323258431372549</v>
      </c>
      <c r="BH665" s="137">
        <f ca="1">(((BJ665+BK665+BM665+BN665)/4)*$BM$11)+(((BP665+BQ665)/2)*$BQ$11)+(((BU665+BV665+BW665)/3)*$BU$11)+(((BY665+BZ665+CA665+CB665+CC665)/5)*$CA$11)</f>
        <v>0.323258431372549</v>
      </c>
      <c r="BI665" s="4"/>
      <c r="BJ665" s="33">
        <f>AP665/(AM665+AO665)</f>
        <v>0</v>
      </c>
      <c r="BK665" s="33">
        <f>(AN665+AO665)/(AM665+AO665)</f>
        <v>0.2</v>
      </c>
      <c r="BL665" s="4"/>
      <c r="BM665" s="127">
        <f>CF665/102</f>
        <v>0.24607843137254903</v>
      </c>
      <c r="BN665" s="127">
        <f>C665/2</f>
        <v>1</v>
      </c>
      <c r="BO665" s="4"/>
      <c r="BP665" s="127">
        <f>(AK665)/($AW$6)</f>
        <v>0.22222222222222221</v>
      </c>
      <c r="BQ665" s="127">
        <f ca="1">(CH665-$AW$4)/((YEAR($C$13))-$AW$4)</f>
        <v>0</v>
      </c>
      <c r="BR665" s="127">
        <f>(AL665)/($AW$6)</f>
        <v>0.1111111111111111</v>
      </c>
      <c r="BS665" s="4"/>
      <c r="BT665" s="127"/>
      <c r="BU665" s="127">
        <f ca="1">(CG665-$AW$4)/((YEAR($C$13))-$AW$4)</f>
        <v>0</v>
      </c>
      <c r="BV665" s="127">
        <f>AE665/5</f>
        <v>1</v>
      </c>
      <c r="BW665" s="127">
        <f>AF665/5</f>
        <v>1</v>
      </c>
      <c r="BX665" s="4"/>
      <c r="BY665" s="148" t="str">
        <f>IF(E665="A",".98",IF(E665="B",".99",IF(E665="C","1.00",IF(E665="D","1.00" ))))</f>
        <v>1.00</v>
      </c>
      <c r="BZ665" s="127">
        <f>(CE665+7)/10</f>
        <v>1</v>
      </c>
      <c r="CA665" s="76" t="str">
        <f>IF(D665="Fern",".97",IF(D665="Grass",".99",IF(D665="Herb",".97",IF(D665="Shrub",".99",IF(D665="Tree","1.00",IF(D665="Vine",".98"))))))</f>
        <v>.97</v>
      </c>
      <c r="CB665" s="149" t="str">
        <f>IF(R665="Bogs Ponds Streams",".96", IF(R665="Coastal Areas",".97",IF(R665="Meadows Dry Open",".96",IF(R665="Forest &amp; Understory",".97",IF(R665="Moist Open",".98",IF(R665="Moist Shady",".96",IF(R665="Sub-Alpine","1.0")))))))</f>
        <v>.96</v>
      </c>
      <c r="CC665" s="76" t="str">
        <f>IF(S665="Local Endemic",".50",IF(S665="Regional Endemic",".70",IF(S665="Cascadia",".90",IF(S665="Rocky Mountain",".95",IF(S665="North America",".99")))))</f>
        <v>.99</v>
      </c>
      <c r="CD665" s="4"/>
      <c r="CE665" s="21">
        <f>IF(W665&gt;3,3,W665)</f>
        <v>3</v>
      </c>
      <c r="CF665" s="21">
        <f>IF(AC665&gt;102,102,AC665)</f>
        <v>25.1</v>
      </c>
      <c r="CG665" s="34">
        <f>IF(AI665&lt;$AW$4,$AW$4,AI665)</f>
        <v>2004</v>
      </c>
      <c r="CH665" s="34">
        <f>IF(AJ665&lt;$AW$4,$AW$4,AJ665)</f>
        <v>2004</v>
      </c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</row>
    <row r="666" spans="1:115" ht="15" customHeight="1" x14ac:dyDescent="0.3">
      <c r="A666" s="235"/>
      <c r="B666" s="218"/>
      <c r="C666" s="225">
        <v>8</v>
      </c>
      <c r="D666" s="59" t="s">
        <v>2505</v>
      </c>
      <c r="E666" s="59" t="s">
        <v>2501</v>
      </c>
      <c r="F666" s="397" t="str">
        <f ca="1">IF(BC666&lt;2025, "Extinct&lt; 6Yrs?",BA666)</f>
        <v>Widespread</v>
      </c>
      <c r="G666" s="363" t="s">
        <v>525</v>
      </c>
      <c r="H666" s="363" t="s">
        <v>696</v>
      </c>
      <c r="I666" s="364" t="s">
        <v>1159</v>
      </c>
      <c r="J666" s="365" t="s">
        <v>4002</v>
      </c>
      <c r="K666" s="365" t="s">
        <v>1102</v>
      </c>
      <c r="L666" s="10" t="s">
        <v>1657</v>
      </c>
      <c r="M666" s="8" t="s">
        <v>4738</v>
      </c>
      <c r="N666" s="8" t="s">
        <v>5637</v>
      </c>
      <c r="O666" s="8" t="s">
        <v>6535</v>
      </c>
      <c r="P666" s="9" t="s">
        <v>303</v>
      </c>
      <c r="Q666" s="59" t="s">
        <v>2552</v>
      </c>
      <c r="R666" s="9" t="s">
        <v>2497</v>
      </c>
      <c r="S666" s="9" t="s">
        <v>2495</v>
      </c>
      <c r="T666" s="123" t="str">
        <f>IF(R666="Bogs Ponds Streams","20",IF(R666="Coastal Areas","26",IF(R666="Meadows Dry Open","10",IF(R666="Forest &amp; Understory","14",IF(R666="Moist Open","12",IF(R666="Moist Shady","10",IF(R666="Sub-Alpine Slopes","0")))))))</f>
        <v>12</v>
      </c>
      <c r="U666" s="123" t="str">
        <f>IF(R666="Bogs Ponds Streams","52",IF(R666="Coastal Areas","51",IF(R666="Meadows Dry Open","53",IF(R666="Forest &amp; Understory","52",IF(R666="Moist Open","50",IF(R666="Moist Shady","46",IF(R666="Sub-Alpine Slopes","40")))))))</f>
        <v>50</v>
      </c>
      <c r="V666" s="123" t="str">
        <f>IF(R666="Bogs Ponds Streams","84",IF(R666="Coastal Areas","76",IF(R666="Meadows Dry Open","96", IF(R666="Forest &amp; Understory","90", IF(R666="Moist Open","88", IF(R666="Moist Shady","82", IF(R666="Sub-Alpine Slopes","80")))))))</f>
        <v>88</v>
      </c>
      <c r="W666" s="59">
        <v>20</v>
      </c>
      <c r="X666" s="59">
        <v>0</v>
      </c>
      <c r="Y666" s="59">
        <v>3500</v>
      </c>
      <c r="Z666" s="59" t="s">
        <v>2519</v>
      </c>
      <c r="AA666" s="59" t="s">
        <v>2518</v>
      </c>
      <c r="AB666" s="59">
        <v>6.8</v>
      </c>
      <c r="AC666" s="45">
        <f>C666+AK666+(0.1)*AL666</f>
        <v>43.2</v>
      </c>
      <c r="AD666" s="77">
        <v>136</v>
      </c>
      <c r="AE666" s="59">
        <v>5</v>
      </c>
      <c r="AF666" s="59">
        <v>5</v>
      </c>
      <c r="AG666" s="59">
        <v>1900</v>
      </c>
      <c r="AH666" s="77">
        <v>0</v>
      </c>
      <c r="AI666" s="59">
        <f ca="1">AJ666</f>
        <v>2019</v>
      </c>
      <c r="AJ666" s="18">
        <f ca="1">YEAR(TODAY())</f>
        <v>2019</v>
      </c>
      <c r="AK666" s="18">
        <v>33</v>
      </c>
      <c r="AL666" s="18">
        <v>22</v>
      </c>
      <c r="AM666" s="18">
        <v>1</v>
      </c>
      <c r="AN666" s="18">
        <v>1</v>
      </c>
      <c r="AO666" s="18">
        <v>5</v>
      </c>
      <c r="AP666" s="18">
        <v>1</v>
      </c>
      <c r="AQ666" s="18">
        <v>0</v>
      </c>
      <c r="AR666" s="18">
        <v>0</v>
      </c>
      <c r="AS666" s="18">
        <v>0</v>
      </c>
      <c r="AT666" s="18">
        <v>0</v>
      </c>
      <c r="AU666" s="18">
        <v>0</v>
      </c>
      <c r="AV666" s="18">
        <v>0</v>
      </c>
      <c r="AW666" s="18">
        <v>0</v>
      </c>
      <c r="AX666" s="18">
        <v>0</v>
      </c>
      <c r="AY666" s="233"/>
      <c r="AZ666" s="4"/>
      <c r="BA666" s="35" t="str">
        <f>IF(OR(S666="North America",S666="Rocky Mountain"), "Widespread",BC666)</f>
        <v>Widespread</v>
      </c>
      <c r="BB666" s="4"/>
      <c r="BC666" s="35" t="str">
        <f ca="1">IF(BE666&gt;2046, "Abundant",BE666)</f>
        <v>Abundant</v>
      </c>
      <c r="BD666" s="4"/>
      <c r="BE666" s="81">
        <f ca="1">YEAR($C$13)+(BG666*80)</f>
        <v>2110.0631529411767</v>
      </c>
      <c r="BF666" s="4"/>
      <c r="BG666" s="137">
        <f ca="1">BH666*$BH$14</f>
        <v>1.138289411764706</v>
      </c>
      <c r="BH666" s="137">
        <f ca="1">(((BJ666+BK666+BM666+BN666)/4)*$BM$11)+(((BP666+BQ666)/2)*$BQ$11)+(((BU666+BV666+BW666)/3)*$BU$11)+(((BY666+BZ666+CA666+CB666+CC666)/5)*$CA$11)</f>
        <v>1.138289411764706</v>
      </c>
      <c r="BI666" s="4"/>
      <c r="BJ666" s="33">
        <f>AP666/(AM666+AO666)</f>
        <v>0.16666666666666666</v>
      </c>
      <c r="BK666" s="33">
        <f>(AN666+AO666)/(AM666+AO666)</f>
        <v>1</v>
      </c>
      <c r="BL666" s="4"/>
      <c r="BM666" s="127">
        <f>CF666/102</f>
        <v>0.42352941176470593</v>
      </c>
      <c r="BN666" s="127">
        <f>C666/2</f>
        <v>4</v>
      </c>
      <c r="BO666" s="4"/>
      <c r="BP666" s="127">
        <f>(AK666)/($AW$6)</f>
        <v>0.33333333333333331</v>
      </c>
      <c r="BQ666" s="127">
        <f ca="1">(CH666-$AW$4)/((YEAR($C$13))-$AW$4)</f>
        <v>1</v>
      </c>
      <c r="BR666" s="127">
        <f>(AL666)/($AW$6)</f>
        <v>0.22222222222222221</v>
      </c>
      <c r="BS666" s="4"/>
      <c r="BT666" s="127"/>
      <c r="BU666" s="127">
        <f ca="1">(CG666-$AW$4)/((YEAR($C$13))-$AW$4)</f>
        <v>1</v>
      </c>
      <c r="BV666" s="127">
        <f>AE666/5</f>
        <v>1</v>
      </c>
      <c r="BW666" s="127">
        <f>AF666/5</f>
        <v>1</v>
      </c>
      <c r="BX666" s="4"/>
      <c r="BY666" s="148" t="str">
        <f>IF(E666="A",".98",IF(E666="B",".99",IF(E666="C","1.00",IF(E666="D","1.00" ))))</f>
        <v>1.00</v>
      </c>
      <c r="BZ666" s="127">
        <f>(CE666+7)/10</f>
        <v>1</v>
      </c>
      <c r="CA666" s="76" t="str">
        <f>IF(D666="Fern",".97",IF(D666="Grass",".99",IF(D666="Herb",".97",IF(D666="Shrub",".99",IF(D666="Tree","1.00",IF(D666="Vine",".98"))))))</f>
        <v>.97</v>
      </c>
      <c r="CB666" s="149" t="str">
        <f>IF(R666="Bogs Ponds Streams",".96", IF(R666="Coastal Areas",".97",IF(R666="Meadows Dry Open",".96",IF(R666="Forest &amp; Understory",".97",IF(R666="Moist Open",".98",IF(R666="Moist Shady",".96",IF(R666="Sub-Alpine","1.0")))))))</f>
        <v>.98</v>
      </c>
      <c r="CC666" s="76" t="str">
        <f>IF(S666="Local Endemic",".50",IF(S666="Regional Endemic",".70",IF(S666="Cascadia",".90",IF(S666="Rocky Mountain",".95",IF(S666="North America",".99")))))</f>
        <v>.99</v>
      </c>
      <c r="CD666" s="4"/>
      <c r="CE666" s="21">
        <f>IF(W666&gt;3,3,W666)</f>
        <v>3</v>
      </c>
      <c r="CF666" s="21">
        <f>IF(AC666&gt;102,102,AC666)</f>
        <v>43.2</v>
      </c>
      <c r="CG666" s="34">
        <f ca="1">IF(AI666&lt;$AW$4,$AW$4,AI666)</f>
        <v>2019</v>
      </c>
      <c r="CH666" s="34">
        <f ca="1">IF(AJ666&lt;$AW$4,$AW$4,AJ666)</f>
        <v>2019</v>
      </c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13"/>
    </row>
    <row r="667" spans="1:115" ht="15" customHeight="1" x14ac:dyDescent="0.3">
      <c r="A667" s="235"/>
      <c r="B667" s="218"/>
      <c r="C667" s="225">
        <v>8</v>
      </c>
      <c r="D667" s="59" t="s">
        <v>2505</v>
      </c>
      <c r="E667" s="59" t="s">
        <v>2501</v>
      </c>
      <c r="F667" s="397" t="str">
        <f ca="1">IF(BC667&lt;2025, "Extinct&lt; 6Yrs?",BA667)</f>
        <v>Widespread</v>
      </c>
      <c r="G667" s="363" t="s">
        <v>525</v>
      </c>
      <c r="H667" s="363" t="s">
        <v>696</v>
      </c>
      <c r="I667" s="366" t="s">
        <v>314</v>
      </c>
      <c r="J667" s="365" t="s">
        <v>4001</v>
      </c>
      <c r="K667" s="365" t="s">
        <v>313</v>
      </c>
      <c r="L667" s="10" t="s">
        <v>1658</v>
      </c>
      <c r="M667" s="8" t="s">
        <v>4739</v>
      </c>
      <c r="N667" s="8" t="s">
        <v>5638</v>
      </c>
      <c r="O667" s="8" t="s">
        <v>6536</v>
      </c>
      <c r="P667" s="9" t="s">
        <v>303</v>
      </c>
      <c r="Q667" s="59" t="s">
        <v>2552</v>
      </c>
      <c r="R667" s="9" t="s">
        <v>2497</v>
      </c>
      <c r="S667" s="9" t="s">
        <v>2479</v>
      </c>
      <c r="T667" s="123" t="str">
        <f>IF(R667="Bogs Ponds Streams","20",IF(R667="Coastal Areas","26",IF(R667="Meadows Dry Open","10",IF(R667="Forest &amp; Understory","14",IF(R667="Moist Open","12",IF(R667="Moist Shady","10",IF(R667="Sub-Alpine Slopes","0")))))))</f>
        <v>12</v>
      </c>
      <c r="U667" s="123" t="str">
        <f>IF(R667="Bogs Ponds Streams","52",IF(R667="Coastal Areas","51",IF(R667="Meadows Dry Open","53",IF(R667="Forest &amp; Understory","52",IF(R667="Moist Open","50",IF(R667="Moist Shady","46",IF(R667="Sub-Alpine Slopes","40")))))))</f>
        <v>50</v>
      </c>
      <c r="V667" s="123" t="str">
        <f>IF(R667="Bogs Ponds Streams","84",IF(R667="Coastal Areas","76",IF(R667="Meadows Dry Open","96", IF(R667="Forest &amp; Understory","90", IF(R667="Moist Open","88", IF(R667="Moist Shady","82", IF(R667="Sub-Alpine Slopes","80")))))))</f>
        <v>88</v>
      </c>
      <c r="W667" s="59">
        <v>20</v>
      </c>
      <c r="X667" s="59">
        <v>0</v>
      </c>
      <c r="Y667" s="59">
        <v>3500</v>
      </c>
      <c r="Z667" s="59" t="s">
        <v>2519</v>
      </c>
      <c r="AA667" s="59" t="s">
        <v>2518</v>
      </c>
      <c r="AB667" s="59">
        <v>6.8</v>
      </c>
      <c r="AC667" s="45">
        <f>C667+AK667+(0.1)*AL667</f>
        <v>20.100000000000001</v>
      </c>
      <c r="AD667" s="77">
        <v>58</v>
      </c>
      <c r="AE667" s="60">
        <v>2</v>
      </c>
      <c r="AF667" s="60">
        <v>2</v>
      </c>
      <c r="AG667" s="77">
        <v>1925</v>
      </c>
      <c r="AH667" s="77">
        <v>0</v>
      </c>
      <c r="AI667" s="77">
        <v>2000</v>
      </c>
      <c r="AJ667" s="18">
        <f ca="1">YEAR(TODAY())</f>
        <v>2019</v>
      </c>
      <c r="AK667" s="18">
        <v>11</v>
      </c>
      <c r="AL667" s="18">
        <v>11</v>
      </c>
      <c r="AM667" s="18">
        <v>1</v>
      </c>
      <c r="AN667" s="18">
        <v>1</v>
      </c>
      <c r="AO667" s="18">
        <v>5</v>
      </c>
      <c r="AP667" s="18">
        <v>1</v>
      </c>
      <c r="AQ667" s="18">
        <v>0</v>
      </c>
      <c r="AR667" s="18">
        <v>0</v>
      </c>
      <c r="AS667" s="18">
        <v>0</v>
      </c>
      <c r="AT667" s="18">
        <v>0</v>
      </c>
      <c r="AU667" s="18">
        <v>0</v>
      </c>
      <c r="AV667" s="18">
        <v>0</v>
      </c>
      <c r="AW667" s="18">
        <v>0</v>
      </c>
      <c r="AX667" s="18">
        <v>0</v>
      </c>
      <c r="AY667" s="233"/>
      <c r="AZ667" s="4"/>
      <c r="BA667" s="35" t="str">
        <f>IF(OR(S667="North America",S667="Rocky Mountain"), "Widespread",BC667)</f>
        <v>Widespread</v>
      </c>
      <c r="BB667" s="4"/>
      <c r="BC667" s="35" t="str">
        <f ca="1">IF(BE667&gt;2046, "Abundant",BE667)</f>
        <v>Abundant</v>
      </c>
      <c r="BD667" s="4"/>
      <c r="BE667" s="81">
        <f ca="1">YEAR($C$13)+(BG667*80)</f>
        <v>2099.9727058823528</v>
      </c>
      <c r="BF667" s="4"/>
      <c r="BG667" s="137">
        <f ca="1">BH667*$BH$14</f>
        <v>1.0121588235294117</v>
      </c>
      <c r="BH667" s="137">
        <f ca="1">(((BJ667+BK667+BM667+BN667)/4)*$BM$11)+(((BP667+BQ667)/2)*$BQ$11)+(((BU667+BV667+BW667)/3)*$BU$11)+(((BY667+BZ667+CA667+CB667+CC667)/5)*$CA$11)</f>
        <v>1.0121588235294117</v>
      </c>
      <c r="BI667" s="4"/>
      <c r="BJ667" s="33">
        <f>AP667/(AM667+AO667)</f>
        <v>0.16666666666666666</v>
      </c>
      <c r="BK667" s="33">
        <f>(AN667+AO667)/(AM667+AO667)</f>
        <v>1</v>
      </c>
      <c r="BL667" s="4"/>
      <c r="BM667" s="127">
        <f>CF667/102</f>
        <v>0.19705882352941179</v>
      </c>
      <c r="BN667" s="127">
        <f>C667/2</f>
        <v>4</v>
      </c>
      <c r="BO667" s="4"/>
      <c r="BP667" s="127">
        <f>(AK667)/($AW$6)</f>
        <v>0.1111111111111111</v>
      </c>
      <c r="BQ667" s="127">
        <f ca="1">(CH667-$AW$4)/((YEAR($C$13))-$AW$4)</f>
        <v>1</v>
      </c>
      <c r="BR667" s="127">
        <f>(AL667)/($AW$6)</f>
        <v>0.1111111111111111</v>
      </c>
      <c r="BS667" s="4"/>
      <c r="BT667" s="127"/>
      <c r="BU667" s="127">
        <f ca="1">(CG667-$AW$4)/((YEAR($C$13))-$AW$4)</f>
        <v>0</v>
      </c>
      <c r="BV667" s="127">
        <f>AE667/5</f>
        <v>0.4</v>
      </c>
      <c r="BW667" s="127">
        <f>AF667/5</f>
        <v>0.4</v>
      </c>
      <c r="BX667" s="4"/>
      <c r="BY667" s="148" t="str">
        <f>IF(E667="A",".98",IF(E667="B",".99",IF(E667="C","1.00",IF(E667="D","1.00" ))))</f>
        <v>1.00</v>
      </c>
      <c r="BZ667" s="127">
        <f>(CE667+7)/10</f>
        <v>1</v>
      </c>
      <c r="CA667" s="76" t="str">
        <f>IF(D667="Fern",".97",IF(D667="Grass",".99",IF(D667="Herb",".97",IF(D667="Shrub",".99",IF(D667="Tree","1.00",IF(D667="Vine",".98"))))))</f>
        <v>.97</v>
      </c>
      <c r="CB667" s="149" t="str">
        <f>IF(R667="Bogs Ponds Streams",".96", IF(R667="Coastal Areas",".97",IF(R667="Meadows Dry Open",".96",IF(R667="Forest &amp; Understory",".97",IF(R667="Moist Open",".98",IF(R667="Moist Shady",".96",IF(R667="Sub-Alpine","1.0")))))))</f>
        <v>.98</v>
      </c>
      <c r="CC667" s="76" t="str">
        <f>IF(S667="Local Endemic",".50",IF(S667="Regional Endemic",".70",IF(S667="Cascadia",".90",IF(S667="Rocky Mountain",".95",IF(S667="North America",".99")))))</f>
        <v>.95</v>
      </c>
      <c r="CD667" s="4"/>
      <c r="CE667" s="21">
        <f>IF(W667&gt;3,3,W667)</f>
        <v>3</v>
      </c>
      <c r="CF667" s="21">
        <f>IF(AC667&gt;102,102,AC667)</f>
        <v>20.100000000000001</v>
      </c>
      <c r="CG667" s="34">
        <f>IF(AI667&lt;$AW$4,$AW$4,AI667)</f>
        <v>2004</v>
      </c>
      <c r="CH667" s="34">
        <f ca="1">IF(AJ667&lt;$AW$4,$AW$4,AJ667)</f>
        <v>2019</v>
      </c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13"/>
    </row>
    <row r="668" spans="1:115" ht="15" customHeight="1" x14ac:dyDescent="0.3">
      <c r="A668" s="235"/>
      <c r="B668" s="218"/>
      <c r="C668" s="225">
        <v>8</v>
      </c>
      <c r="D668" s="59" t="s">
        <v>2505</v>
      </c>
      <c r="E668" s="59" t="s">
        <v>2501</v>
      </c>
      <c r="F668" s="397" t="str">
        <f ca="1">IF(BC668&lt;2025, "Extinct&lt; 6Yrs?",BA668)</f>
        <v>Widespread</v>
      </c>
      <c r="G668" s="363" t="s">
        <v>525</v>
      </c>
      <c r="H668" s="363" t="s">
        <v>696</v>
      </c>
      <c r="I668" s="366" t="s">
        <v>312</v>
      </c>
      <c r="J668" s="365" t="s">
        <v>4000</v>
      </c>
      <c r="K668" s="365" t="s">
        <v>1101</v>
      </c>
      <c r="L668" s="10" t="s">
        <v>1659</v>
      </c>
      <c r="M668" s="8" t="s">
        <v>4740</v>
      </c>
      <c r="N668" s="8" t="s">
        <v>5639</v>
      </c>
      <c r="O668" s="8" t="s">
        <v>6537</v>
      </c>
      <c r="P668" s="9" t="s">
        <v>303</v>
      </c>
      <c r="Q668" s="59" t="s">
        <v>2552</v>
      </c>
      <c r="R668" s="9" t="s">
        <v>2498</v>
      </c>
      <c r="S668" s="9" t="s">
        <v>2495</v>
      </c>
      <c r="T668" s="123" t="str">
        <f>IF(R668="Bogs Ponds Streams","20",IF(R668="Coastal Areas","26",IF(R668="Meadows Dry Open","10",IF(R668="Forest &amp; Understory","14",IF(R668="Moist Open","12",IF(R668="Moist Shady","10",IF(R668="Sub-Alpine Slopes","0")))))))</f>
        <v>10</v>
      </c>
      <c r="U668" s="123" t="str">
        <f>IF(R668="Bogs Ponds Streams","52",IF(R668="Coastal Areas","51",IF(R668="Meadows Dry Open","53",IF(R668="Forest &amp; Understory","52",IF(R668="Moist Open","50",IF(R668="Moist Shady","46",IF(R668="Sub-Alpine Slopes","40")))))))</f>
        <v>46</v>
      </c>
      <c r="V668" s="123" t="str">
        <f>IF(R668="Bogs Ponds Streams","84",IF(R668="Coastal Areas","76",IF(R668="Meadows Dry Open","96", IF(R668="Forest &amp; Understory","90", IF(R668="Moist Open","88", IF(R668="Moist Shady","82", IF(R668="Sub-Alpine Slopes","80")))))))</f>
        <v>82</v>
      </c>
      <c r="W668" s="59">
        <v>20</v>
      </c>
      <c r="X668" s="59">
        <v>0</v>
      </c>
      <c r="Y668" s="59">
        <v>3500</v>
      </c>
      <c r="Z668" s="59" t="s">
        <v>2519</v>
      </c>
      <c r="AA668" s="59" t="s">
        <v>2518</v>
      </c>
      <c r="AB668" s="59">
        <v>6.8</v>
      </c>
      <c r="AC668" s="45">
        <f>C668+AK668+(0.1)*AL668</f>
        <v>21.3</v>
      </c>
      <c r="AD668" s="77">
        <v>335</v>
      </c>
      <c r="AE668" s="59">
        <v>5</v>
      </c>
      <c r="AF668" s="59">
        <v>5</v>
      </c>
      <c r="AG668" s="59">
        <v>1900</v>
      </c>
      <c r="AH668" s="77">
        <v>0</v>
      </c>
      <c r="AI668" s="59">
        <f ca="1">AJ668</f>
        <v>2019</v>
      </c>
      <c r="AJ668" s="18">
        <f ca="1">YEAR(TODAY())</f>
        <v>2019</v>
      </c>
      <c r="AK668" s="18">
        <v>10</v>
      </c>
      <c r="AL668" s="18">
        <v>33</v>
      </c>
      <c r="AM668" s="18">
        <v>1</v>
      </c>
      <c r="AN668" s="18">
        <v>1</v>
      </c>
      <c r="AO668" s="24">
        <v>1</v>
      </c>
      <c r="AP668" s="24">
        <v>0</v>
      </c>
      <c r="AQ668" s="18">
        <v>0</v>
      </c>
      <c r="AR668" s="18">
        <v>0</v>
      </c>
      <c r="AS668" s="18">
        <v>0</v>
      </c>
      <c r="AT668" s="18">
        <v>0</v>
      </c>
      <c r="AU668" s="18">
        <v>0</v>
      </c>
      <c r="AV668" s="18">
        <v>0</v>
      </c>
      <c r="AW668" s="18">
        <v>0</v>
      </c>
      <c r="AX668" s="18">
        <v>0</v>
      </c>
      <c r="AY668" s="233"/>
      <c r="AZ668" s="4"/>
      <c r="BA668" s="35" t="str">
        <f>IF(OR(S668="North America",S668="Rocky Mountain"), "Widespread",BC668)</f>
        <v>Widespread</v>
      </c>
      <c r="BB668" s="4"/>
      <c r="BC668" s="35" t="str">
        <f ca="1">IF(BE668&gt;2046, "Abundant",BE668)</f>
        <v>Abundant</v>
      </c>
      <c r="BD668" s="4"/>
      <c r="BE668" s="81">
        <f ca="1">YEAR($C$13)+(BG668*80)</f>
        <v>2102.6924035650622</v>
      </c>
      <c r="BF668" s="4"/>
      <c r="BG668" s="137">
        <f ca="1">BH668*$BH$14</f>
        <v>1.0461550445632799</v>
      </c>
      <c r="BH668" s="137">
        <f ca="1">(((BJ668+BK668+BM668+BN668)/4)*$BM$11)+(((BP668+BQ668)/2)*$BQ$11)+(((BU668+BV668+BW668)/3)*$BU$11)+(((BY668+BZ668+CA668+CB668+CC668)/5)*$CA$11)</f>
        <v>1.0461550445632799</v>
      </c>
      <c r="BI668" s="4"/>
      <c r="BJ668" s="33">
        <f>AP668/(AM668+AO668)</f>
        <v>0</v>
      </c>
      <c r="BK668" s="33">
        <f>(AN668+AO668)/(AM668+AO668)</f>
        <v>1</v>
      </c>
      <c r="BL668" s="4"/>
      <c r="BM668" s="127">
        <f>CF668/102</f>
        <v>0.20882352941176471</v>
      </c>
      <c r="BN668" s="127">
        <f>C668/2</f>
        <v>4</v>
      </c>
      <c r="BO668" s="4"/>
      <c r="BP668" s="127">
        <f>(AK668)/($AW$6)</f>
        <v>0.10101010101010101</v>
      </c>
      <c r="BQ668" s="127">
        <f ca="1">(CH668-$AW$4)/((YEAR($C$13))-$AW$4)</f>
        <v>1</v>
      </c>
      <c r="BR668" s="127">
        <f>(AL668)/($AW$6)</f>
        <v>0.33333333333333331</v>
      </c>
      <c r="BS668" s="4"/>
      <c r="BT668" s="127"/>
      <c r="BU668" s="127">
        <f ca="1">(CG668-$AW$4)/((YEAR($C$13))-$AW$4)</f>
        <v>1</v>
      </c>
      <c r="BV668" s="127">
        <f>AE668/5</f>
        <v>1</v>
      </c>
      <c r="BW668" s="127">
        <f>AF668/5</f>
        <v>1</v>
      </c>
      <c r="BX668" s="4"/>
      <c r="BY668" s="148" t="str">
        <f>IF(E668="A",".98",IF(E668="B",".99",IF(E668="C","1.00",IF(E668="D","1.00" ))))</f>
        <v>1.00</v>
      </c>
      <c r="BZ668" s="127">
        <f>(CE668+7)/10</f>
        <v>1</v>
      </c>
      <c r="CA668" s="76" t="str">
        <f>IF(D668="Fern",".97",IF(D668="Grass",".99",IF(D668="Herb",".97",IF(D668="Shrub",".99",IF(D668="Tree","1.00",IF(D668="Vine",".98"))))))</f>
        <v>.97</v>
      </c>
      <c r="CB668" s="149" t="str">
        <f>IF(R668="Bogs Ponds Streams",".96", IF(R668="Coastal Areas",".97",IF(R668="Meadows Dry Open",".96",IF(R668="Forest &amp; Understory",".97",IF(R668="Moist Open",".98",IF(R668="Moist Shady",".96",IF(R668="Sub-Alpine","1.0")))))))</f>
        <v>.96</v>
      </c>
      <c r="CC668" s="76" t="str">
        <f>IF(S668="Local Endemic",".50",IF(S668="Regional Endemic",".70",IF(S668="Cascadia",".90",IF(S668="Rocky Mountain",".95",IF(S668="North America",".99")))))</f>
        <v>.99</v>
      </c>
      <c r="CD668" s="4"/>
      <c r="CE668" s="21">
        <f>IF(W668&gt;3,3,W668)</f>
        <v>3</v>
      </c>
      <c r="CF668" s="21">
        <f>IF(AC668&gt;102,102,AC668)</f>
        <v>21.3</v>
      </c>
      <c r="CG668" s="34">
        <f ca="1">IF(AI668&lt;$AW$4,$AW$4,AI668)</f>
        <v>2019</v>
      </c>
      <c r="CH668" s="34">
        <f ca="1">IF(AJ668&lt;$AW$4,$AW$4,AJ668)</f>
        <v>2019</v>
      </c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13"/>
    </row>
    <row r="669" spans="1:115" ht="15" customHeight="1" x14ac:dyDescent="0.3">
      <c r="A669" s="235"/>
      <c r="B669" s="218"/>
      <c r="C669" s="225">
        <v>8</v>
      </c>
      <c r="D669" s="59" t="s">
        <v>2505</v>
      </c>
      <c r="E669" s="59" t="s">
        <v>2501</v>
      </c>
      <c r="F669" s="397" t="str">
        <f ca="1">IF(BC669&lt;2025, "Extinct&lt; 6Yrs?",BA669)</f>
        <v>Widespread</v>
      </c>
      <c r="G669" s="363" t="s">
        <v>525</v>
      </c>
      <c r="H669" s="363" t="s">
        <v>683</v>
      </c>
      <c r="I669" s="366" t="s">
        <v>754</v>
      </c>
      <c r="J669" s="365" t="s">
        <v>3999</v>
      </c>
      <c r="K669" s="365" t="s">
        <v>1107</v>
      </c>
      <c r="L669" s="10" t="s">
        <v>1660</v>
      </c>
      <c r="M669" s="8" t="s">
        <v>4741</v>
      </c>
      <c r="N669" s="8" t="s">
        <v>5640</v>
      </c>
      <c r="O669" s="8" t="s">
        <v>6538</v>
      </c>
      <c r="P669" s="9" t="s">
        <v>303</v>
      </c>
      <c r="Q669" s="59" t="s">
        <v>2552</v>
      </c>
      <c r="R669" s="9" t="s">
        <v>2499</v>
      </c>
      <c r="S669" s="9" t="s">
        <v>2495</v>
      </c>
      <c r="T669" s="123" t="str">
        <f>IF(R669="Bogs Ponds Streams","20",IF(R669="Coastal Areas","26",IF(R669="Meadows Dry Open","10",IF(R669="Forest &amp; Understory","14",IF(R669="Moist Open","12",IF(R669="Moist Shady","10",IF(R669="Sub-Alpine Slopes","0")))))))</f>
        <v>20</v>
      </c>
      <c r="U669" s="123" t="str">
        <f>IF(R669="Bogs Ponds Streams","52",IF(R669="Coastal Areas","51",IF(R669="Meadows Dry Open","53",IF(R669="Forest &amp; Understory","52",IF(R669="Moist Open","50",IF(R669="Moist Shady","46",IF(R669="Sub-Alpine Slopes","40")))))))</f>
        <v>52</v>
      </c>
      <c r="V669" s="123" t="str">
        <f>IF(R669="Bogs Ponds Streams","84",IF(R669="Coastal Areas","76",IF(R669="Meadows Dry Open","96", IF(R669="Forest &amp; Understory","90", IF(R669="Moist Open","88", IF(R669="Moist Shady","82", IF(R669="Sub-Alpine Slopes","80")))))))</f>
        <v>84</v>
      </c>
      <c r="W669" s="59">
        <v>20</v>
      </c>
      <c r="X669" s="59">
        <v>0</v>
      </c>
      <c r="Y669" s="59">
        <v>3500</v>
      </c>
      <c r="Z669" s="59" t="s">
        <v>2519</v>
      </c>
      <c r="AA669" s="59" t="s">
        <v>2518</v>
      </c>
      <c r="AB669" s="59">
        <v>6.8</v>
      </c>
      <c r="AC669" s="45">
        <f>C669+AK669+(0.1)*AL669</f>
        <v>54.2</v>
      </c>
      <c r="AD669" s="77">
        <v>154</v>
      </c>
      <c r="AE669" s="59">
        <v>5</v>
      </c>
      <c r="AF669" s="59">
        <v>5</v>
      </c>
      <c r="AG669" s="59">
        <v>1900</v>
      </c>
      <c r="AH669" s="77">
        <v>0</v>
      </c>
      <c r="AI669" s="59">
        <f ca="1">AJ669</f>
        <v>2019</v>
      </c>
      <c r="AJ669" s="18">
        <f ca="1">YEAR(TODAY())</f>
        <v>2019</v>
      </c>
      <c r="AK669" s="18">
        <v>44</v>
      </c>
      <c r="AL669" s="18">
        <v>22</v>
      </c>
      <c r="AM669" s="18">
        <v>1</v>
      </c>
      <c r="AN669" s="18">
        <v>1</v>
      </c>
      <c r="AO669" s="18">
        <v>5</v>
      </c>
      <c r="AP669" s="18">
        <v>1</v>
      </c>
      <c r="AQ669" s="18">
        <v>0</v>
      </c>
      <c r="AR669" s="18">
        <v>0</v>
      </c>
      <c r="AS669" s="18">
        <v>0</v>
      </c>
      <c r="AT669" s="18">
        <v>0</v>
      </c>
      <c r="AU669" s="18">
        <v>0</v>
      </c>
      <c r="AV669" s="18">
        <v>0</v>
      </c>
      <c r="AW669" s="18">
        <v>0</v>
      </c>
      <c r="AX669" s="18">
        <v>0</v>
      </c>
      <c r="AY669" s="233"/>
      <c r="AZ669" s="4"/>
      <c r="BA669" s="35" t="str">
        <f>IF(OR(S669="North America",S669="Rocky Mountain"), "Widespread",BC669)</f>
        <v>Widespread</v>
      </c>
      <c r="BB669" s="4"/>
      <c r="BC669" s="35" t="str">
        <f ca="1">IF(BE669&gt;2046, "Abundant",BE669)</f>
        <v>Abundant</v>
      </c>
      <c r="BD669" s="4"/>
      <c r="BE669" s="81">
        <f ca="1">YEAR($C$13)+(BG669*80)</f>
        <v>2112.6842039215685</v>
      </c>
      <c r="BF669" s="4"/>
      <c r="BG669" s="137">
        <f ca="1">BH669*$BH$14</f>
        <v>1.1710525490196078</v>
      </c>
      <c r="BH669" s="137">
        <f ca="1">(((BJ669+BK669+BM669+BN669)/4)*$BM$11)+(((BP669+BQ669)/2)*$BQ$11)+(((BU669+BV669+BW669)/3)*$BU$11)+(((BY669+BZ669+CA669+CB669+CC669)/5)*$CA$11)</f>
        <v>1.1710525490196078</v>
      </c>
      <c r="BI669" s="4"/>
      <c r="BJ669" s="33">
        <f>AP669/(AM669+AO669)</f>
        <v>0.16666666666666666</v>
      </c>
      <c r="BK669" s="33">
        <f>(AN669+AO669)/(AM669+AO669)</f>
        <v>1</v>
      </c>
      <c r="BL669" s="4"/>
      <c r="BM669" s="127">
        <f>CF669/102</f>
        <v>0.53137254901960784</v>
      </c>
      <c r="BN669" s="127">
        <f>C669/2</f>
        <v>4</v>
      </c>
      <c r="BO669" s="4"/>
      <c r="BP669" s="127">
        <f>(AK669)/($AW$6)</f>
        <v>0.44444444444444442</v>
      </c>
      <c r="BQ669" s="127">
        <f ca="1">(CH669-$AW$4)/((YEAR($C$13))-$AW$4)</f>
        <v>1</v>
      </c>
      <c r="BR669" s="127">
        <f>(AL669)/($AW$6)</f>
        <v>0.22222222222222221</v>
      </c>
      <c r="BS669" s="4"/>
      <c r="BT669" s="127"/>
      <c r="BU669" s="127">
        <f ca="1">(CG669-$AW$4)/((YEAR($C$13))-$AW$4)</f>
        <v>1</v>
      </c>
      <c r="BV669" s="127">
        <f>AE669/5</f>
        <v>1</v>
      </c>
      <c r="BW669" s="127">
        <f>AF669/5</f>
        <v>1</v>
      </c>
      <c r="BX669" s="4"/>
      <c r="BY669" s="148" t="str">
        <f>IF(E669="A",".98",IF(E669="B",".99",IF(E669="C","1.00",IF(E669="D","1.00" ))))</f>
        <v>1.00</v>
      </c>
      <c r="BZ669" s="127">
        <f>(CE669+7)/10</f>
        <v>1</v>
      </c>
      <c r="CA669" s="76" t="str">
        <f>IF(D669="Fern",".97",IF(D669="Grass",".99",IF(D669="Herb",".97",IF(D669="Shrub",".99",IF(D669="Tree","1.00",IF(D669="Vine",".98"))))))</f>
        <v>.97</v>
      </c>
      <c r="CB669" s="149" t="str">
        <f>IF(R669="Bogs Ponds Streams",".96", IF(R669="Coastal Areas",".97",IF(R669="Meadows Dry Open",".96",IF(R669="Forest &amp; Understory",".97",IF(R669="Moist Open",".98",IF(R669="Moist Shady",".96",IF(R669="Sub-Alpine","1.0")))))))</f>
        <v>.96</v>
      </c>
      <c r="CC669" s="76" t="str">
        <f>IF(S669="Local Endemic",".50",IF(S669="Regional Endemic",".70",IF(S669="Cascadia",".90",IF(S669="Rocky Mountain",".95",IF(S669="North America",".99")))))</f>
        <v>.99</v>
      </c>
      <c r="CD669" s="4"/>
      <c r="CE669" s="21">
        <f>IF(W669&gt;3,3,W669)</f>
        <v>3</v>
      </c>
      <c r="CF669" s="21">
        <f>IF(AC669&gt;102,102,AC669)</f>
        <v>54.2</v>
      </c>
      <c r="CG669" s="34">
        <f ca="1">IF(AI669&lt;$AW$4,$AW$4,AI669)</f>
        <v>2019</v>
      </c>
      <c r="CH669" s="34">
        <f ca="1">IF(AJ669&lt;$AW$4,$AW$4,AJ669)</f>
        <v>2019</v>
      </c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13"/>
    </row>
    <row r="670" spans="1:115" ht="15" customHeight="1" x14ac:dyDescent="0.3">
      <c r="A670" s="235"/>
      <c r="B670" s="218"/>
      <c r="C670" s="225">
        <v>8</v>
      </c>
      <c r="D670" s="59" t="s">
        <v>2505</v>
      </c>
      <c r="E670" s="59" t="s">
        <v>2502</v>
      </c>
      <c r="F670" s="397" t="str">
        <f ca="1">IF(BC670&lt;2025, "Extinct&lt; 6Yrs?",BA670)</f>
        <v>Widespread</v>
      </c>
      <c r="G670" s="363" t="s">
        <v>525</v>
      </c>
      <c r="H670" s="363" t="s">
        <v>687</v>
      </c>
      <c r="I670" s="366" t="s">
        <v>3119</v>
      </c>
      <c r="J670" s="365" t="s">
        <v>3998</v>
      </c>
      <c r="K670" s="365" t="s">
        <v>1103</v>
      </c>
      <c r="L670" s="10" t="s">
        <v>1661</v>
      </c>
      <c r="M670" s="8" t="s">
        <v>4742</v>
      </c>
      <c r="N670" s="8" t="s">
        <v>5641</v>
      </c>
      <c r="O670" s="8" t="s">
        <v>6539</v>
      </c>
      <c r="P670" s="9" t="s">
        <v>437</v>
      </c>
      <c r="Q670" s="59" t="s">
        <v>2552</v>
      </c>
      <c r="R670" s="9" t="s">
        <v>2498</v>
      </c>
      <c r="S670" s="9" t="s">
        <v>2479</v>
      </c>
      <c r="T670" s="123" t="str">
        <f>IF(R670="Bogs Ponds Streams","20",IF(R670="Coastal Areas","26",IF(R670="Meadows Dry Open","10",IF(R670="Forest &amp; Understory","14",IF(R670="Moist Open","12",IF(R670="Moist Shady","10",IF(R670="Sub-Alpine Slopes","0")))))))</f>
        <v>10</v>
      </c>
      <c r="U670" s="123" t="str">
        <f>IF(R670="Bogs Ponds Streams","52",IF(R670="Coastal Areas","51",IF(R670="Meadows Dry Open","53",IF(R670="Forest &amp; Understory","52",IF(R670="Moist Open","50",IF(R670="Moist Shady","46",IF(R670="Sub-Alpine Slopes","40")))))))</f>
        <v>46</v>
      </c>
      <c r="V670" s="123" t="str">
        <f>IF(R670="Bogs Ponds Streams","84",IF(R670="Coastal Areas","76",IF(R670="Meadows Dry Open","96", IF(R670="Forest &amp; Understory","90", IF(R670="Moist Open","88", IF(R670="Moist Shady","82", IF(R670="Sub-Alpine Slopes","80")))))))</f>
        <v>82</v>
      </c>
      <c r="W670" s="59">
        <v>1</v>
      </c>
      <c r="X670" s="59">
        <v>0</v>
      </c>
      <c r="Y670" s="59">
        <v>3500</v>
      </c>
      <c r="Z670" s="59" t="s">
        <v>2519</v>
      </c>
      <c r="AA670" s="59" t="s">
        <v>2518</v>
      </c>
      <c r="AB670" s="59">
        <v>6.8</v>
      </c>
      <c r="AC670" s="45">
        <f>C670+AK670+(0.1)*AL670</f>
        <v>42.1</v>
      </c>
      <c r="AD670" s="77">
        <v>116</v>
      </c>
      <c r="AE670" s="59">
        <v>5</v>
      </c>
      <c r="AF670" s="59">
        <v>5</v>
      </c>
      <c r="AG670" s="59">
        <v>1900</v>
      </c>
      <c r="AH670" s="77">
        <v>0</v>
      </c>
      <c r="AI670" s="59">
        <f ca="1">AJ670</f>
        <v>2019</v>
      </c>
      <c r="AJ670" s="18">
        <f ca="1">YEAR(TODAY())</f>
        <v>2019</v>
      </c>
      <c r="AK670" s="18">
        <v>33</v>
      </c>
      <c r="AL670" s="18">
        <v>11</v>
      </c>
      <c r="AM670" s="18">
        <v>1</v>
      </c>
      <c r="AN670" s="18">
        <v>1</v>
      </c>
      <c r="AO670" s="18">
        <v>5</v>
      </c>
      <c r="AP670" s="18">
        <v>1</v>
      </c>
      <c r="AQ670" s="18">
        <v>0</v>
      </c>
      <c r="AR670" s="18">
        <v>0</v>
      </c>
      <c r="AS670" s="18">
        <v>0</v>
      </c>
      <c r="AT670" s="18">
        <v>0</v>
      </c>
      <c r="AU670" s="18">
        <v>0</v>
      </c>
      <c r="AV670" s="18">
        <v>0</v>
      </c>
      <c r="AW670" s="18">
        <v>0</v>
      </c>
      <c r="AX670" s="18">
        <v>0</v>
      </c>
      <c r="AY670" s="233"/>
      <c r="AZ670" s="4"/>
      <c r="BA670" s="35" t="str">
        <f>IF(OR(S670="North America",S670="Rocky Mountain"), "Widespread",BC670)</f>
        <v>Widespread</v>
      </c>
      <c r="BB670" s="4"/>
      <c r="BC670" s="35" t="str">
        <f ca="1">IF(BE670&gt;2046, "Abundant",BE670)</f>
        <v>Abundant</v>
      </c>
      <c r="BD670" s="4"/>
      <c r="BE670" s="81">
        <f ca="1">YEAR($C$13)+(BG670*80)</f>
        <v>2109.8441411764707</v>
      </c>
      <c r="BF670" s="4"/>
      <c r="BG670" s="137">
        <f ca="1">BH670*$BH$14</f>
        <v>1.1355517647058826</v>
      </c>
      <c r="BH670" s="137">
        <f ca="1">(((BJ670+BK670+BM670+BN670)/4)*$BM$11)+(((BP670+BQ670)/2)*$BQ$11)+(((BU670+BV670+BW670)/3)*$BU$11)+(((BY670+BZ670+CA670+CB670+CC670)/5)*$CA$11)</f>
        <v>1.1355517647058826</v>
      </c>
      <c r="BI670" s="4"/>
      <c r="BJ670" s="33">
        <f>AP670/(AM670+AO670)</f>
        <v>0.16666666666666666</v>
      </c>
      <c r="BK670" s="33">
        <f>(AN670+AO670)/(AM670+AO670)</f>
        <v>1</v>
      </c>
      <c r="BL670" s="4"/>
      <c r="BM670" s="127">
        <f>CF670/102</f>
        <v>0.41274509803921572</v>
      </c>
      <c r="BN670" s="127">
        <f>C670/2</f>
        <v>4</v>
      </c>
      <c r="BO670" s="4"/>
      <c r="BP670" s="127">
        <f>(AK670)/($AW$6)</f>
        <v>0.33333333333333331</v>
      </c>
      <c r="BQ670" s="127">
        <f ca="1">(CH670-$AW$4)/((YEAR($C$13))-$AW$4)</f>
        <v>1</v>
      </c>
      <c r="BR670" s="127">
        <f>(AL670)/($AW$6)</f>
        <v>0.1111111111111111</v>
      </c>
      <c r="BS670" s="4"/>
      <c r="BT670" s="127"/>
      <c r="BU670" s="127">
        <f ca="1">(CG670-$AW$4)/((YEAR($C$13))-$AW$4)</f>
        <v>1</v>
      </c>
      <c r="BV670" s="127">
        <f>AE670/5</f>
        <v>1</v>
      </c>
      <c r="BW670" s="127">
        <f>AF670/5</f>
        <v>1</v>
      </c>
      <c r="BX670" s="4"/>
      <c r="BY670" s="148" t="str">
        <f>IF(E670="A",".98",IF(E670="B",".99",IF(E670="C","1.00",IF(E670="D","1.00" ))))</f>
        <v>.98</v>
      </c>
      <c r="BZ670" s="127">
        <f>(CE670+7)/10</f>
        <v>0.8</v>
      </c>
      <c r="CA670" s="76" t="str">
        <f>IF(D670="Fern",".97",IF(D670="Grass",".99",IF(D670="Herb",".97",IF(D670="Shrub",".99",IF(D670="Tree","1.00",IF(D670="Vine",".98"))))))</f>
        <v>.97</v>
      </c>
      <c r="CB670" s="149" t="str">
        <f>IF(R670="Bogs Ponds Streams",".96", IF(R670="Coastal Areas",".97",IF(R670="Meadows Dry Open",".96",IF(R670="Forest &amp; Understory",".97",IF(R670="Moist Open",".98",IF(R670="Moist Shady",".96",IF(R670="Sub-Alpine","1.0")))))))</f>
        <v>.96</v>
      </c>
      <c r="CC670" s="76" t="str">
        <f>IF(S670="Local Endemic",".50",IF(S670="Regional Endemic",".70",IF(S670="Cascadia",".90",IF(S670="Rocky Mountain",".95",IF(S670="North America",".99")))))</f>
        <v>.95</v>
      </c>
      <c r="CD670" s="4"/>
      <c r="CE670" s="21">
        <f>IF(W670&gt;3,3,W670)</f>
        <v>1</v>
      </c>
      <c r="CF670" s="21">
        <f>IF(AC670&gt;102,102,AC670)</f>
        <v>42.1</v>
      </c>
      <c r="CG670" s="34">
        <f ca="1">IF(AI670&lt;$AW$4,$AW$4,AI670)</f>
        <v>2019</v>
      </c>
      <c r="CH670" s="34">
        <f ca="1">IF(AJ670&lt;$AW$4,$AW$4,AJ670)</f>
        <v>2019</v>
      </c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14"/>
    </row>
    <row r="671" spans="1:115" ht="15" customHeight="1" x14ac:dyDescent="0.3">
      <c r="A671" s="235"/>
      <c r="B671" s="218"/>
      <c r="C671" s="225">
        <v>8</v>
      </c>
      <c r="D671" s="59" t="s">
        <v>2505</v>
      </c>
      <c r="E671" s="59" t="s">
        <v>2501</v>
      </c>
      <c r="F671" s="397" t="str">
        <f ca="1">IF(BC671&lt;2025, "Extinct&lt; 6Yrs?",BA671)</f>
        <v>Abundant</v>
      </c>
      <c r="G671" s="363" t="s">
        <v>525</v>
      </c>
      <c r="H671" s="363" t="s">
        <v>687</v>
      </c>
      <c r="I671" s="366" t="s">
        <v>450</v>
      </c>
      <c r="J671" s="365" t="s">
        <v>3996</v>
      </c>
      <c r="K671" s="365" t="s">
        <v>2803</v>
      </c>
      <c r="L671" s="10" t="s">
        <v>1662</v>
      </c>
      <c r="M671" s="8" t="s">
        <v>4743</v>
      </c>
      <c r="N671" s="8" t="s">
        <v>5642</v>
      </c>
      <c r="O671" s="8" t="s">
        <v>6540</v>
      </c>
      <c r="P671" s="9" t="s">
        <v>437</v>
      </c>
      <c r="Q671" s="59" t="s">
        <v>2552</v>
      </c>
      <c r="R671" s="9" t="s">
        <v>2500</v>
      </c>
      <c r="S671" s="9" t="s">
        <v>2459</v>
      </c>
      <c r="T671" s="123" t="str">
        <f>IF(R671="Bogs Ponds Streams","20",IF(R671="Coastal Areas","26",IF(R671="Meadows Dry Open","10",IF(R671="Forest &amp; Understory","14",IF(R671="Moist Open","12",IF(R671="Moist Shady","10",IF(R671="Sub-Alpine Slopes","0")))))))</f>
        <v>10</v>
      </c>
      <c r="U671" s="123" t="str">
        <f>IF(R671="Bogs Ponds Streams","52",IF(R671="Coastal Areas","51",IF(R671="Meadows Dry Open","53",IF(R671="Forest &amp; Understory","52",IF(R671="Moist Open","50",IF(R671="Moist Shady","46",IF(R671="Sub-Alpine Slopes","40")))))))</f>
        <v>53</v>
      </c>
      <c r="V671" s="123" t="str">
        <f>IF(R671="Bogs Ponds Streams","84",IF(R671="Coastal Areas","76",IF(R671="Meadows Dry Open","96", IF(R671="Forest &amp; Understory","90", IF(R671="Moist Open","88", IF(R671="Moist Shady","82", IF(R671="Sub-Alpine Slopes","80")))))))</f>
        <v>96</v>
      </c>
      <c r="W671" s="59">
        <v>20</v>
      </c>
      <c r="X671" s="59">
        <v>0</v>
      </c>
      <c r="Y671" s="59">
        <v>3500</v>
      </c>
      <c r="Z671" s="59" t="s">
        <v>2519</v>
      </c>
      <c r="AA671" s="59" t="s">
        <v>2518</v>
      </c>
      <c r="AB671" s="59">
        <v>6.8</v>
      </c>
      <c r="AC671" s="45">
        <f>C671+AK671+(0.1)*AL671</f>
        <v>23</v>
      </c>
      <c r="AD671" s="77">
        <v>43</v>
      </c>
      <c r="AE671" s="59">
        <v>5</v>
      </c>
      <c r="AF671" s="59">
        <v>5</v>
      </c>
      <c r="AG671" s="59">
        <v>1900</v>
      </c>
      <c r="AH671" s="77">
        <v>0</v>
      </c>
      <c r="AI671" s="59">
        <f ca="1">AJ671</f>
        <v>2019</v>
      </c>
      <c r="AJ671" s="18">
        <f ca="1">YEAR(TODAY())</f>
        <v>2019</v>
      </c>
      <c r="AK671" s="18">
        <v>15</v>
      </c>
      <c r="AL671" s="18">
        <v>0</v>
      </c>
      <c r="AM671" s="18">
        <v>1</v>
      </c>
      <c r="AN671" s="18">
        <v>1</v>
      </c>
      <c r="AO671" s="18">
        <v>5</v>
      </c>
      <c r="AP671" s="18">
        <v>1</v>
      </c>
      <c r="AQ671" s="18">
        <v>0</v>
      </c>
      <c r="AR671" s="18">
        <v>0</v>
      </c>
      <c r="AS671" s="18">
        <v>0</v>
      </c>
      <c r="AT671" s="18">
        <v>0</v>
      </c>
      <c r="AU671" s="18">
        <v>0</v>
      </c>
      <c r="AV671" s="18">
        <v>0</v>
      </c>
      <c r="AW671" s="18">
        <v>0</v>
      </c>
      <c r="AX671" s="18">
        <v>0</v>
      </c>
      <c r="AY671" s="233"/>
      <c r="AZ671" s="4"/>
      <c r="BA671" s="35" t="str">
        <f ca="1">IF(OR(S671="North America",S671="Rocky Mountain"), "Widespread",BC671)</f>
        <v>Abundant</v>
      </c>
      <c r="BB671" s="4"/>
      <c r="BC671" s="35" t="str">
        <f ca="1">IF(BE671&gt;2046, "Abundant",BE671)</f>
        <v>Abundant</v>
      </c>
      <c r="BD671" s="4"/>
      <c r="BE671" s="81">
        <f ca="1">YEAR($C$13)+(BG671*80)</f>
        <v>2105.469664171123</v>
      </c>
      <c r="BF671" s="4"/>
      <c r="BG671" s="137">
        <f ca="1">BH671*$BH$14</f>
        <v>1.0808708021390374</v>
      </c>
      <c r="BH671" s="137">
        <f ca="1">(((BJ671+BK671+BM671+BN671)/4)*$BM$11)+(((BP671+BQ671)/2)*$BQ$11)+(((BU671+BV671+BW671)/3)*$BU$11)+(((BY671+BZ671+CA671+CB671+CC671)/5)*$CA$11)</f>
        <v>1.0808708021390374</v>
      </c>
      <c r="BI671" s="4"/>
      <c r="BJ671" s="33">
        <f>AP671/(AM671+AO671)</f>
        <v>0.16666666666666666</v>
      </c>
      <c r="BK671" s="33">
        <f>(AN671+AO671)/(AM671+AO671)</f>
        <v>1</v>
      </c>
      <c r="BL671" s="4"/>
      <c r="BM671" s="127">
        <f>CF671/102</f>
        <v>0.22549019607843138</v>
      </c>
      <c r="BN671" s="127">
        <f>C671/2</f>
        <v>4</v>
      </c>
      <c r="BO671" s="4"/>
      <c r="BP671" s="127">
        <f>(AK671)/($AW$6)</f>
        <v>0.15151515151515152</v>
      </c>
      <c r="BQ671" s="127">
        <f ca="1">(CH671-$AW$4)/((YEAR($C$13))-$AW$4)</f>
        <v>1</v>
      </c>
      <c r="BR671" s="127">
        <f>(AL671)/($AW$6)</f>
        <v>0</v>
      </c>
      <c r="BS671" s="4"/>
      <c r="BT671" s="127"/>
      <c r="BU671" s="127">
        <f ca="1">(CG671-$AW$4)/((YEAR($C$13))-$AW$4)</f>
        <v>1</v>
      </c>
      <c r="BV671" s="127">
        <f>AE671/5</f>
        <v>1</v>
      </c>
      <c r="BW671" s="127">
        <f>AF671/5</f>
        <v>1</v>
      </c>
      <c r="BX671" s="4"/>
      <c r="BY671" s="148" t="str">
        <f>IF(E671="A",".98",IF(E671="B",".99",IF(E671="C","1.00",IF(E671="D","1.00" ))))</f>
        <v>1.00</v>
      </c>
      <c r="BZ671" s="127">
        <f>(CE671+7)/10</f>
        <v>1</v>
      </c>
      <c r="CA671" s="76" t="str">
        <f>IF(D671="Fern",".97",IF(D671="Grass",".99",IF(D671="Herb",".97",IF(D671="Shrub",".99",IF(D671="Tree","1.00",IF(D671="Vine",".98"))))))</f>
        <v>.97</v>
      </c>
      <c r="CB671" s="149" t="str">
        <f>IF(R671="Bogs Ponds Streams",".96", IF(R671="Coastal Areas",".97",IF(R671="Meadows Dry Open",".96",IF(R671="Forest &amp; Understory",".97",IF(R671="Moist Open",".98",IF(R671="Moist Shady",".96",IF(R671="Sub-Alpine","1.0")))))))</f>
        <v>.96</v>
      </c>
      <c r="CC671" s="76" t="str">
        <f>IF(S671="Local Endemic",".50",IF(S671="Regional Endemic",".70",IF(S671="Cascadia",".90",IF(S671="Rocky Mountain",".95",IF(S671="North America",".99")))))</f>
        <v>.90</v>
      </c>
      <c r="CD671" s="4"/>
      <c r="CE671" s="21">
        <f>IF(W671&gt;3,3,W671)</f>
        <v>3</v>
      </c>
      <c r="CF671" s="21">
        <f>IF(AC671&gt;102,102,AC671)</f>
        <v>23</v>
      </c>
      <c r="CG671" s="34">
        <f ca="1">IF(AI671&lt;$AW$4,$AW$4,AI671)</f>
        <v>2019</v>
      </c>
      <c r="CH671" s="34">
        <f ca="1">IF(AJ671&lt;$AW$4,$AW$4,AJ671)</f>
        <v>2019</v>
      </c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13"/>
    </row>
    <row r="672" spans="1:115" ht="15" customHeight="1" x14ac:dyDescent="0.3">
      <c r="A672" s="235"/>
      <c r="B672" s="218"/>
      <c r="C672" s="225">
        <v>8</v>
      </c>
      <c r="D672" s="59" t="s">
        <v>2505</v>
      </c>
      <c r="E672" s="59" t="s">
        <v>2501</v>
      </c>
      <c r="F672" s="397" t="str">
        <f ca="1">IF(BC672&lt;2025, "Extinct&lt; 6Yrs?",BA672)</f>
        <v>Widespread</v>
      </c>
      <c r="G672" s="363" t="s">
        <v>525</v>
      </c>
      <c r="H672" s="363" t="s">
        <v>683</v>
      </c>
      <c r="I672" s="366" t="s">
        <v>640</v>
      </c>
      <c r="J672" s="365" t="s">
        <v>3997</v>
      </c>
      <c r="K672" s="365" t="s">
        <v>1106</v>
      </c>
      <c r="L672" s="10" t="s">
        <v>1663</v>
      </c>
      <c r="M672" s="8" t="s">
        <v>4744</v>
      </c>
      <c r="N672" s="8" t="s">
        <v>5643</v>
      </c>
      <c r="O672" s="8" t="s">
        <v>6541</v>
      </c>
      <c r="P672" s="9" t="s">
        <v>637</v>
      </c>
      <c r="Q672" s="59" t="s">
        <v>2552</v>
      </c>
      <c r="R672" s="160" t="s">
        <v>2497</v>
      </c>
      <c r="S672" s="17" t="s">
        <v>2495</v>
      </c>
      <c r="T672" s="123" t="str">
        <f>IF(R672="Bogs Ponds Streams","20",IF(R672="Coastal Areas","26",IF(R672="Meadows Dry Open","10",IF(R672="Forest &amp; Understory","14",IF(R672="Moist Open","12",IF(R672="Moist Shady","10",IF(R672="Sub-Alpine Slopes","0")))))))</f>
        <v>12</v>
      </c>
      <c r="U672" s="123" t="str">
        <f>IF(R672="Bogs Ponds Streams","52",IF(R672="Coastal Areas","51",IF(R672="Meadows Dry Open","53",IF(R672="Forest &amp; Understory","52",IF(R672="Moist Open","50",IF(R672="Moist Shady","46",IF(R672="Sub-Alpine Slopes","40")))))))</f>
        <v>50</v>
      </c>
      <c r="V672" s="123" t="str">
        <f>IF(R672="Bogs Ponds Streams","84",IF(R672="Coastal Areas","76",IF(R672="Meadows Dry Open","96", IF(R672="Forest &amp; Understory","90", IF(R672="Moist Open","88", IF(R672="Moist Shady","82", IF(R672="Sub-Alpine Slopes","80")))))))</f>
        <v>88</v>
      </c>
      <c r="W672" s="59">
        <v>20</v>
      </c>
      <c r="X672" s="59">
        <v>0</v>
      </c>
      <c r="Y672" s="59">
        <v>3500</v>
      </c>
      <c r="Z672" s="59" t="s">
        <v>2519</v>
      </c>
      <c r="AA672" s="59" t="s">
        <v>2518</v>
      </c>
      <c r="AB672" s="59">
        <v>6.8</v>
      </c>
      <c r="AC672" s="45">
        <f>C672+AK672+(0.1)*AL672</f>
        <v>66.3</v>
      </c>
      <c r="AD672" s="77">
        <v>169</v>
      </c>
      <c r="AE672" s="59">
        <v>5</v>
      </c>
      <c r="AF672" s="59">
        <v>5</v>
      </c>
      <c r="AG672" s="59">
        <v>1900</v>
      </c>
      <c r="AH672" s="77">
        <v>0</v>
      </c>
      <c r="AI672" s="59">
        <f ca="1">AJ672</f>
        <v>2019</v>
      </c>
      <c r="AJ672" s="18">
        <f ca="1">YEAR(TODAY())</f>
        <v>2019</v>
      </c>
      <c r="AK672" s="18">
        <v>55</v>
      </c>
      <c r="AL672" s="18">
        <v>33</v>
      </c>
      <c r="AM672" s="18">
        <v>1</v>
      </c>
      <c r="AN672" s="18">
        <v>1</v>
      </c>
      <c r="AO672" s="24">
        <v>1</v>
      </c>
      <c r="AP672" s="24">
        <v>0</v>
      </c>
      <c r="AQ672" s="18">
        <v>0</v>
      </c>
      <c r="AR672" s="18">
        <v>0</v>
      </c>
      <c r="AS672" s="18">
        <v>0</v>
      </c>
      <c r="AT672" s="18">
        <v>0</v>
      </c>
      <c r="AU672" s="18">
        <v>0</v>
      </c>
      <c r="AV672" s="18">
        <v>0</v>
      </c>
      <c r="AW672" s="18">
        <v>0</v>
      </c>
      <c r="AX672" s="18">
        <v>0</v>
      </c>
      <c r="AY672" s="233"/>
      <c r="AZ672" s="4"/>
      <c r="BA672" s="35" t="str">
        <f>IF(OR(S672="North America",S672="Rocky Mountain"), "Widespread",BC672)</f>
        <v>Widespread</v>
      </c>
      <c r="BB672" s="4"/>
      <c r="BC672" s="35" t="str">
        <f ca="1">IF(BE672&gt;2046, "Abundant",BE672)</f>
        <v>Abundant</v>
      </c>
      <c r="BD672" s="4"/>
      <c r="BE672" s="81">
        <f ca="1">YEAR($C$13)+(BG672*80)</f>
        <v>2113.4474666666665</v>
      </c>
      <c r="BF672" s="4"/>
      <c r="BG672" s="137">
        <f ca="1">BH672*$BH$14</f>
        <v>1.1805933333333334</v>
      </c>
      <c r="BH672" s="137">
        <f ca="1">(((BJ672+BK672+BM672+BN672)/4)*$BM$11)+(((BP672+BQ672)/2)*$BQ$11)+(((BU672+BV672+BW672)/3)*$BU$11)+(((BY672+BZ672+CA672+CB672+CC672)/5)*$CA$11)</f>
        <v>1.1805933333333334</v>
      </c>
      <c r="BI672" s="4"/>
      <c r="BJ672" s="33">
        <f>AP672/(AM672+AO672)</f>
        <v>0</v>
      </c>
      <c r="BK672" s="33">
        <f>(AN672+AO672)/(AM672+AO672)</f>
        <v>1</v>
      </c>
      <c r="BL672" s="4"/>
      <c r="BM672" s="127">
        <f>CF672/102</f>
        <v>0.65</v>
      </c>
      <c r="BN672" s="127">
        <f>C672/2</f>
        <v>4</v>
      </c>
      <c r="BO672" s="4"/>
      <c r="BP672" s="127">
        <f>(AK672)/($AW$6)</f>
        <v>0.55555555555555558</v>
      </c>
      <c r="BQ672" s="127">
        <f ca="1">(CH672-$AW$4)/((YEAR($C$13))-$AW$4)</f>
        <v>1</v>
      </c>
      <c r="BR672" s="127">
        <f>(AL672)/($AW$6)</f>
        <v>0.33333333333333331</v>
      </c>
      <c r="BS672" s="4"/>
      <c r="BT672" s="127"/>
      <c r="BU672" s="127">
        <f ca="1">(CG672-$AW$4)/((YEAR($C$13))-$AW$4)</f>
        <v>1</v>
      </c>
      <c r="BV672" s="127">
        <f>AE672/5</f>
        <v>1</v>
      </c>
      <c r="BW672" s="127">
        <f>AF672/5</f>
        <v>1</v>
      </c>
      <c r="BX672" s="4"/>
      <c r="BY672" s="148" t="str">
        <f>IF(E672="A",".98",IF(E672="B",".99",IF(E672="C","1.00",IF(E672="D","1.00" ))))</f>
        <v>1.00</v>
      </c>
      <c r="BZ672" s="127">
        <f>(CE672+7)/10</f>
        <v>1</v>
      </c>
      <c r="CA672" s="76" t="str">
        <f>IF(D672="Fern",".97",IF(D672="Grass",".99",IF(D672="Herb",".97",IF(D672="Shrub",".99",IF(D672="Tree","1.00",IF(D672="Vine",".98"))))))</f>
        <v>.97</v>
      </c>
      <c r="CB672" s="149" t="str">
        <f>IF(R672="Bogs Ponds Streams",".96", IF(R672="Coastal Areas",".97",IF(R672="Meadows Dry Open",".96",IF(R672="Forest &amp; Understory",".97",IF(R672="Moist Open",".98",IF(R672="Moist Shady",".96",IF(R672="Sub-Alpine","1.0")))))))</f>
        <v>.98</v>
      </c>
      <c r="CC672" s="76" t="str">
        <f>IF(S672="Local Endemic",".50",IF(S672="Regional Endemic",".70",IF(S672="Cascadia",".90",IF(S672="Rocky Mountain",".95",IF(S672="North America",".99")))))</f>
        <v>.99</v>
      </c>
      <c r="CD672" s="4"/>
      <c r="CE672" s="21">
        <f>IF(W672&gt;3,3,W672)</f>
        <v>3</v>
      </c>
      <c r="CF672" s="21">
        <f>IF(AC672&gt;102,102,AC672)</f>
        <v>66.3</v>
      </c>
      <c r="CG672" s="34">
        <f ca="1">IF(AI672&lt;$AW$4,$AW$4,AI672)</f>
        <v>2019</v>
      </c>
      <c r="CH672" s="34">
        <f ca="1">IF(AJ672&lt;$AW$4,$AW$4,AJ672)</f>
        <v>2019</v>
      </c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13"/>
    </row>
    <row r="673" spans="1:115" ht="15" customHeight="1" x14ac:dyDescent="0.3">
      <c r="A673" s="235"/>
      <c r="B673" s="218"/>
      <c r="C673" s="225">
        <v>8</v>
      </c>
      <c r="D673" s="59" t="s">
        <v>2507</v>
      </c>
      <c r="E673" s="59" t="s">
        <v>2501</v>
      </c>
      <c r="F673" s="397" t="str">
        <f ca="1">IF(BC673&lt;2025, "Extinct&lt; 6Yrs?",BA673)</f>
        <v>Widespread</v>
      </c>
      <c r="G673" s="363" t="s">
        <v>525</v>
      </c>
      <c r="H673" s="363" t="s">
        <v>684</v>
      </c>
      <c r="I673" s="366" t="s">
        <v>316</v>
      </c>
      <c r="J673" s="365" t="s">
        <v>3995</v>
      </c>
      <c r="K673" s="365" t="s">
        <v>315</v>
      </c>
      <c r="L673" s="10" t="s">
        <v>1664</v>
      </c>
      <c r="M673" s="8" t="s">
        <v>4745</v>
      </c>
      <c r="N673" s="8" t="s">
        <v>5644</v>
      </c>
      <c r="O673" s="8" t="s">
        <v>6542</v>
      </c>
      <c r="P673" s="9" t="s">
        <v>303</v>
      </c>
      <c r="Q673" s="59" t="s">
        <v>2552</v>
      </c>
      <c r="R673" s="9" t="s">
        <v>2498</v>
      </c>
      <c r="S673" s="9" t="s">
        <v>2479</v>
      </c>
      <c r="T673" s="123" t="str">
        <f>IF(R673="Bogs Ponds Streams","20",IF(R673="Coastal Areas","26",IF(R673="Meadows Dry Open","10",IF(R673="Forest &amp; Understory","14",IF(R673="Moist Open","12",IF(R673="Moist Shady","10",IF(R673="Sub-Alpine Slopes","0")))))))</f>
        <v>10</v>
      </c>
      <c r="U673" s="123" t="str">
        <f>IF(R673="Bogs Ponds Streams","52",IF(R673="Coastal Areas","51",IF(R673="Meadows Dry Open","53",IF(R673="Forest &amp; Understory","52",IF(R673="Moist Open","50",IF(R673="Moist Shady","46",IF(R673="Sub-Alpine Slopes","40")))))))</f>
        <v>46</v>
      </c>
      <c r="V673" s="123" t="str">
        <f>IF(R673="Bogs Ponds Streams","84",IF(R673="Coastal Areas","76",IF(R673="Meadows Dry Open","96", IF(R673="Forest &amp; Understory","90", IF(R673="Moist Open","88", IF(R673="Moist Shady","82", IF(R673="Sub-Alpine Slopes","80")))))))</f>
        <v>82</v>
      </c>
      <c r="W673" s="59">
        <v>20</v>
      </c>
      <c r="X673" s="59">
        <v>0</v>
      </c>
      <c r="Y673" s="59">
        <v>3500</v>
      </c>
      <c r="Z673" s="59" t="s">
        <v>2519</v>
      </c>
      <c r="AA673" s="59" t="s">
        <v>2518</v>
      </c>
      <c r="AB673" s="59">
        <v>6.8</v>
      </c>
      <c r="AC673" s="45">
        <f>C673+AK673+(0.1)*AL673</f>
        <v>66.3</v>
      </c>
      <c r="AD673" s="77">
        <v>256</v>
      </c>
      <c r="AE673" s="59">
        <v>5</v>
      </c>
      <c r="AF673" s="59">
        <v>5</v>
      </c>
      <c r="AG673" s="59">
        <v>1900</v>
      </c>
      <c r="AH673" s="77">
        <v>0</v>
      </c>
      <c r="AI673" s="59">
        <f ca="1">AJ673</f>
        <v>2019</v>
      </c>
      <c r="AJ673" s="18">
        <f ca="1">YEAR(TODAY())</f>
        <v>2019</v>
      </c>
      <c r="AK673" s="18">
        <v>55</v>
      </c>
      <c r="AL673" s="18">
        <v>33</v>
      </c>
      <c r="AM673" s="18">
        <v>1</v>
      </c>
      <c r="AN673" s="18">
        <v>1</v>
      </c>
      <c r="AO673" s="18">
        <v>5</v>
      </c>
      <c r="AP673" s="18">
        <v>1</v>
      </c>
      <c r="AQ673" s="18">
        <v>0</v>
      </c>
      <c r="AR673" s="18">
        <v>0</v>
      </c>
      <c r="AS673" s="18">
        <v>0</v>
      </c>
      <c r="AT673" s="18">
        <v>0</v>
      </c>
      <c r="AU673" s="18">
        <v>0</v>
      </c>
      <c r="AV673" s="18">
        <v>0</v>
      </c>
      <c r="AW673" s="18">
        <v>0</v>
      </c>
      <c r="AX673" s="18">
        <v>0</v>
      </c>
      <c r="AY673" s="233"/>
      <c r="AZ673" s="4"/>
      <c r="BA673" s="35" t="str">
        <f>IF(OR(S673="North America",S673="Rocky Mountain"), "Widespread",BC673)</f>
        <v>Widespread</v>
      </c>
      <c r="BB673" s="4"/>
      <c r="BC673" s="35" t="str">
        <f ca="1">IF(BE673&gt;2046, "Abundant",BE673)</f>
        <v>Abundant</v>
      </c>
      <c r="BD673" s="4"/>
      <c r="BE673" s="81">
        <f ca="1">YEAR($C$13)+(BG673*80)</f>
        <v>2115.4378666666667</v>
      </c>
      <c r="BF673" s="4"/>
      <c r="BG673" s="137">
        <f ca="1">BH673*$BH$14</f>
        <v>1.2054733333333334</v>
      </c>
      <c r="BH673" s="137">
        <f ca="1">(((BJ673+BK673+BM673+BN673)/4)*$BM$11)+(((BP673+BQ673)/2)*$BQ$11)+(((BU673+BV673+BW673)/3)*$BU$11)+(((BY673+BZ673+CA673+CB673+CC673)/5)*$CA$11)</f>
        <v>1.2054733333333334</v>
      </c>
      <c r="BI673" s="4"/>
      <c r="BJ673" s="33">
        <f>AP673/(AM673+AO673)</f>
        <v>0.16666666666666666</v>
      </c>
      <c r="BK673" s="33">
        <f>(AN673+AO673)/(AM673+AO673)</f>
        <v>1</v>
      </c>
      <c r="BL673" s="4"/>
      <c r="BM673" s="127">
        <f>CF673/102</f>
        <v>0.65</v>
      </c>
      <c r="BN673" s="127">
        <f>C673/2</f>
        <v>4</v>
      </c>
      <c r="BO673" s="4"/>
      <c r="BP673" s="127">
        <f>(AK673)/($AW$6)</f>
        <v>0.55555555555555558</v>
      </c>
      <c r="BQ673" s="127">
        <f ca="1">(CH673-$AW$4)/((YEAR($C$13))-$AW$4)</f>
        <v>1</v>
      </c>
      <c r="BR673" s="127">
        <f>(AL673)/($AW$6)</f>
        <v>0.33333333333333331</v>
      </c>
      <c r="BS673" s="4"/>
      <c r="BT673" s="127"/>
      <c r="BU673" s="127">
        <f ca="1">(CG673-$AW$4)/((YEAR($C$13))-$AW$4)</f>
        <v>1</v>
      </c>
      <c r="BV673" s="127">
        <f>AE673/5</f>
        <v>1</v>
      </c>
      <c r="BW673" s="127">
        <f>AF673/5</f>
        <v>1</v>
      </c>
      <c r="BX673" s="4"/>
      <c r="BY673" s="148" t="str">
        <f>IF(E673="A",".98",IF(E673="B",".99",IF(E673="C","1.00",IF(E673="D","1.00" ))))</f>
        <v>1.00</v>
      </c>
      <c r="BZ673" s="127">
        <f>(CE673+7)/10</f>
        <v>1</v>
      </c>
      <c r="CA673" s="76" t="str">
        <f>IF(D673="Fern",".97",IF(D673="Grass",".99",IF(D673="Herb",".97",IF(D673="Shrub",".99",IF(D673="Tree","1.00",IF(D673="Vine",".98"))))))</f>
        <v>1.00</v>
      </c>
      <c r="CB673" s="149" t="str">
        <f>IF(R673="Bogs Ponds Streams",".96", IF(R673="Coastal Areas",".97",IF(R673="Meadows Dry Open",".96",IF(R673="Forest &amp; Understory",".97",IF(R673="Moist Open",".98",IF(R673="Moist Shady",".96",IF(R673="Sub-Alpine","1.0")))))))</f>
        <v>.96</v>
      </c>
      <c r="CC673" s="76" t="str">
        <f>IF(S673="Local Endemic",".50",IF(S673="Regional Endemic",".70",IF(S673="Cascadia",".90",IF(S673="Rocky Mountain",".95",IF(S673="North America",".99")))))</f>
        <v>.95</v>
      </c>
      <c r="CD673" s="4"/>
      <c r="CE673" s="21">
        <f>IF(W673&gt;3,3,W673)</f>
        <v>3</v>
      </c>
      <c r="CF673" s="21">
        <f>IF(AC673&gt;102,102,AC673)</f>
        <v>66.3</v>
      </c>
      <c r="CG673" s="34">
        <f ca="1">IF(AI673&lt;$AW$4,$AW$4,AI673)</f>
        <v>2019</v>
      </c>
      <c r="CH673" s="34">
        <f ca="1">IF(AJ673&lt;$AW$4,$AW$4,AJ673)</f>
        <v>2019</v>
      </c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</row>
    <row r="674" spans="1:115" ht="15" customHeight="1" x14ac:dyDescent="0.3">
      <c r="A674" s="235"/>
      <c r="B674" s="218"/>
      <c r="C674" s="225">
        <v>8</v>
      </c>
      <c r="D674" s="59" t="s">
        <v>2506</v>
      </c>
      <c r="E674" s="60" t="s">
        <v>2501</v>
      </c>
      <c r="F674" s="397" t="str">
        <f ca="1">IF(BC674&lt;2025, "Extinct&lt; 6Yrs?",BA674)</f>
        <v>Abundant</v>
      </c>
      <c r="G674" s="363" t="s">
        <v>525</v>
      </c>
      <c r="H674" s="363" t="s">
        <v>691</v>
      </c>
      <c r="I674" s="366" t="s">
        <v>1105</v>
      </c>
      <c r="J674" s="365" t="s">
        <v>3994</v>
      </c>
      <c r="K674" s="365" t="s">
        <v>1104</v>
      </c>
      <c r="L674" s="10" t="s">
        <v>1665</v>
      </c>
      <c r="M674" s="8" t="s">
        <v>4746</v>
      </c>
      <c r="N674" s="8" t="s">
        <v>5645</v>
      </c>
      <c r="O674" s="8" t="s">
        <v>6543</v>
      </c>
      <c r="P674" s="9" t="s">
        <v>303</v>
      </c>
      <c r="Q674" s="59" t="s">
        <v>2552</v>
      </c>
      <c r="R674" s="9" t="s">
        <v>2500</v>
      </c>
      <c r="S674" s="9" t="s">
        <v>2459</v>
      </c>
      <c r="T674" s="123" t="str">
        <f>IF(R674="Bogs Ponds Streams","20",IF(R674="Coastal Areas","26",IF(R674="Meadows Dry Open","10",IF(R674="Forest &amp; Understory","14",IF(R674="Moist Open","12",IF(R674="Moist Shady","10",IF(R674="Sub-Alpine Slopes","0")))))))</f>
        <v>10</v>
      </c>
      <c r="U674" s="123" t="str">
        <f>IF(R674="Bogs Ponds Streams","52",IF(R674="Coastal Areas","51",IF(R674="Meadows Dry Open","53",IF(R674="Forest &amp; Understory","52",IF(R674="Moist Open","50",IF(R674="Moist Shady","46",IF(R674="Sub-Alpine Slopes","40")))))))</f>
        <v>53</v>
      </c>
      <c r="V674" s="123" t="str">
        <f>IF(R674="Bogs Ponds Streams","84",IF(R674="Coastal Areas","76",IF(R674="Meadows Dry Open","96", IF(R674="Forest &amp; Understory","90", IF(R674="Moist Open","88", IF(R674="Moist Shady","82", IF(R674="Sub-Alpine Slopes","80")))))))</f>
        <v>96</v>
      </c>
      <c r="W674" s="59">
        <v>20</v>
      </c>
      <c r="X674" s="59">
        <v>0</v>
      </c>
      <c r="Y674" s="59">
        <v>3500</v>
      </c>
      <c r="Z674" s="59" t="s">
        <v>2519</v>
      </c>
      <c r="AA674" s="59" t="s">
        <v>2518</v>
      </c>
      <c r="AB674" s="59">
        <v>6.8</v>
      </c>
      <c r="AC674" s="45">
        <f>C674+AK674+(0.1)*AL674</f>
        <v>36.6</v>
      </c>
      <c r="AD674" s="77">
        <v>219</v>
      </c>
      <c r="AE674" s="59">
        <v>5</v>
      </c>
      <c r="AF674" s="59">
        <v>5</v>
      </c>
      <c r="AG674" s="59">
        <v>1900</v>
      </c>
      <c r="AH674" s="77">
        <v>0</v>
      </c>
      <c r="AI674" s="59">
        <f ca="1">AJ674</f>
        <v>2019</v>
      </c>
      <c r="AJ674" s="18">
        <f ca="1">YEAR(TODAY())</f>
        <v>2019</v>
      </c>
      <c r="AK674" s="18">
        <v>22</v>
      </c>
      <c r="AL674" s="18">
        <v>66</v>
      </c>
      <c r="AM674" s="18">
        <v>1</v>
      </c>
      <c r="AN674" s="18">
        <v>1</v>
      </c>
      <c r="AO674" s="18">
        <v>5</v>
      </c>
      <c r="AP674" s="18">
        <v>1</v>
      </c>
      <c r="AQ674" s="18">
        <v>0</v>
      </c>
      <c r="AR674" s="18">
        <v>0</v>
      </c>
      <c r="AS674" s="18">
        <v>0</v>
      </c>
      <c r="AT674" s="18">
        <v>0</v>
      </c>
      <c r="AU674" s="18">
        <v>0</v>
      </c>
      <c r="AV674" s="18">
        <v>0</v>
      </c>
      <c r="AW674" s="18">
        <v>0</v>
      </c>
      <c r="AX674" s="18">
        <v>0</v>
      </c>
      <c r="AY674" s="233"/>
      <c r="AZ674" s="4"/>
      <c r="BA674" s="35" t="str">
        <f ca="1">IF(OR(S674="North America",S674="Rocky Mountain"), "Widespread",BC674)</f>
        <v>Abundant</v>
      </c>
      <c r="BB674" s="4"/>
      <c r="BC674" s="35" t="str">
        <f ca="1">IF(BE674&gt;2046, "Abundant",BE674)</f>
        <v>Abundant</v>
      </c>
      <c r="BD674" s="4"/>
      <c r="BE674" s="81">
        <f ca="1">YEAR($C$13)+(BG674*80)</f>
        <v>2107.9245490196081</v>
      </c>
      <c r="BF674" s="4"/>
      <c r="BG674" s="137">
        <f ca="1">BH674*$BH$14</f>
        <v>1.1115568627450982</v>
      </c>
      <c r="BH674" s="137">
        <f ca="1">(((BJ674+BK674+BM674+BN674)/4)*$BM$11)+(((BP674+BQ674)/2)*$BQ$11)+(((BU674+BV674+BW674)/3)*$BU$11)+(((BY674+BZ674+CA674+CB674+CC674)/5)*$CA$11)</f>
        <v>1.1115568627450982</v>
      </c>
      <c r="BI674" s="4"/>
      <c r="BJ674" s="33">
        <f>AP674/(AM674+AO674)</f>
        <v>0.16666666666666666</v>
      </c>
      <c r="BK674" s="33">
        <f>(AN674+AO674)/(AM674+AO674)</f>
        <v>1</v>
      </c>
      <c r="BL674" s="4"/>
      <c r="BM674" s="127">
        <f>CF674/102</f>
        <v>0.35882352941176471</v>
      </c>
      <c r="BN674" s="127">
        <f>C674/2</f>
        <v>4</v>
      </c>
      <c r="BO674" s="4"/>
      <c r="BP674" s="127">
        <f>(AK674)/($AW$6)</f>
        <v>0.22222222222222221</v>
      </c>
      <c r="BQ674" s="127">
        <f ca="1">(CH674-$AW$4)/((YEAR($C$13))-$AW$4)</f>
        <v>1</v>
      </c>
      <c r="BR674" s="127">
        <f>(AL674)/($AW$6)</f>
        <v>0.66666666666666663</v>
      </c>
      <c r="BS674" s="4"/>
      <c r="BT674" s="127"/>
      <c r="BU674" s="127">
        <f ca="1">(CG674-$AW$4)/((YEAR($C$13))-$AW$4)</f>
        <v>1</v>
      </c>
      <c r="BV674" s="127">
        <f>AE674/5</f>
        <v>1</v>
      </c>
      <c r="BW674" s="127">
        <f>AF674/5</f>
        <v>1</v>
      </c>
      <c r="BX674" s="4"/>
      <c r="BY674" s="148" t="str">
        <f>IF(E674="A",".98",IF(E674="B",".99",IF(E674="C","1.00",IF(E674="D","1.00" ))))</f>
        <v>1.00</v>
      </c>
      <c r="BZ674" s="127">
        <f>(CE674+7)/10</f>
        <v>1</v>
      </c>
      <c r="CA674" s="76" t="str">
        <f>IF(D674="Fern",".97",IF(D674="Grass",".99",IF(D674="Herb",".97",IF(D674="Shrub",".99",IF(D674="Tree","1.00",IF(D674="Vine",".98"))))))</f>
        <v>.99</v>
      </c>
      <c r="CB674" s="149" t="str">
        <f>IF(R674="Bogs Ponds Streams",".96", IF(R674="Coastal Areas",".97",IF(R674="Meadows Dry Open",".96",IF(R674="Forest &amp; Understory",".97",IF(R674="Moist Open",".98",IF(R674="Moist Shady",".96",IF(R674="Sub-Alpine","1.0")))))))</f>
        <v>.96</v>
      </c>
      <c r="CC674" s="76" t="str">
        <f>IF(S674="Local Endemic",".50",IF(S674="Regional Endemic",".70",IF(S674="Cascadia",".90",IF(S674="Rocky Mountain",".95",IF(S674="North America",".99")))))</f>
        <v>.90</v>
      </c>
      <c r="CD674" s="4"/>
      <c r="CE674" s="21">
        <f>IF(W674&gt;3,3,W674)</f>
        <v>3</v>
      </c>
      <c r="CF674" s="21">
        <f>IF(AC674&gt;102,102,AC674)</f>
        <v>36.6</v>
      </c>
      <c r="CG674" s="34">
        <f ca="1">IF(AI674&lt;$AW$4,$AW$4,AI674)</f>
        <v>2019</v>
      </c>
      <c r="CH674" s="34">
        <f ca="1">IF(AJ674&lt;$AW$4,$AW$4,AJ674)</f>
        <v>2019</v>
      </c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</row>
    <row r="675" spans="1:115" ht="15" customHeight="1" x14ac:dyDescent="0.3">
      <c r="A675" s="235"/>
      <c r="B675" s="218"/>
      <c r="C675" s="375">
        <v>1</v>
      </c>
      <c r="D675" s="67" t="s">
        <v>2505</v>
      </c>
      <c r="E675" s="67" t="s">
        <v>2503</v>
      </c>
      <c r="F675" s="403" t="str">
        <f ca="1">IF(BC675&lt;2025, "Extinct&lt; 6Yrs?",BA675)</f>
        <v>Widespread</v>
      </c>
      <c r="G675" s="376" t="s">
        <v>525</v>
      </c>
      <c r="H675" s="376" t="s">
        <v>4028</v>
      </c>
      <c r="I675" s="379" t="s">
        <v>2693</v>
      </c>
      <c r="J675" s="378" t="s">
        <v>3531</v>
      </c>
      <c r="K675" s="378" t="s">
        <v>1108</v>
      </c>
      <c r="L675" s="65" t="s">
        <v>2241</v>
      </c>
      <c r="M675" s="64" t="s">
        <v>4747</v>
      </c>
      <c r="N675" s="64" t="s">
        <v>5646</v>
      </c>
      <c r="O675" s="64" t="s">
        <v>6544</v>
      </c>
      <c r="P675" s="404" t="s">
        <v>51</v>
      </c>
      <c r="Q675" s="67" t="s">
        <v>2552</v>
      </c>
      <c r="R675" s="61" t="s">
        <v>2500</v>
      </c>
      <c r="S675" s="61" t="s">
        <v>2479</v>
      </c>
      <c r="T675" s="134" t="str">
        <f>IF(R675="Bogs Ponds Streams","20",IF(R675="Coastal Areas","26",IF(R675="Meadows Dry Open","10",IF(R675="Forest &amp; Understory","14",IF(R675="Moist Open","12",IF(R675="Moist Shady","10",IF(R675="Sub-Alpine Slopes","0")))))))</f>
        <v>10</v>
      </c>
      <c r="U675" s="134" t="str">
        <f>IF(R675="Bogs Ponds Streams","52",IF(R675="Coastal Areas","51",IF(R675="Meadows Dry Open","53",IF(R675="Forest &amp; Understory","52",IF(R675="Moist Open","50",IF(R675="Moist Shady","46",IF(R675="Sub-Alpine Slopes","40")))))))</f>
        <v>53</v>
      </c>
      <c r="V675" s="134" t="str">
        <f>IF(R675="Bogs Ponds Streams","84",IF(R675="Coastal Areas","76",IF(R675="Meadows Dry Open","96", IF(R675="Forest &amp; Understory","90", IF(R675="Moist Open","88", IF(R675="Moist Shady","82", IF(R675="Sub-Alpine Slopes","80")))))))</f>
        <v>96</v>
      </c>
      <c r="W675" s="67">
        <v>2</v>
      </c>
      <c r="X675" s="67">
        <v>0</v>
      </c>
      <c r="Y675" s="67">
        <v>3500</v>
      </c>
      <c r="Z675" s="67" t="s">
        <v>2519</v>
      </c>
      <c r="AA675" s="67" t="s">
        <v>2518</v>
      </c>
      <c r="AB675" s="67">
        <v>6.8</v>
      </c>
      <c r="AC675" s="85">
        <f>C675+AK675+(0.1)*AL675</f>
        <v>13.2</v>
      </c>
      <c r="AD675" s="78">
        <v>37</v>
      </c>
      <c r="AE675" s="67">
        <v>5</v>
      </c>
      <c r="AF675" s="67">
        <v>5</v>
      </c>
      <c r="AG675" s="67">
        <v>1900</v>
      </c>
      <c r="AH675" s="78">
        <v>0</v>
      </c>
      <c r="AI675" s="67">
        <f>AJ675</f>
        <v>2004</v>
      </c>
      <c r="AJ675" s="69">
        <v>2004</v>
      </c>
      <c r="AK675" s="69">
        <v>11</v>
      </c>
      <c r="AL675" s="69">
        <v>12</v>
      </c>
      <c r="AM675" s="70">
        <v>5</v>
      </c>
      <c r="AN675" s="70">
        <v>0</v>
      </c>
      <c r="AO675" s="86">
        <v>0</v>
      </c>
      <c r="AP675" s="70">
        <v>0</v>
      </c>
      <c r="AQ675" s="70">
        <v>0</v>
      </c>
      <c r="AR675" s="70">
        <v>0</v>
      </c>
      <c r="AS675" s="86">
        <v>0</v>
      </c>
      <c r="AT675" s="70">
        <v>0</v>
      </c>
      <c r="AU675" s="70">
        <v>0</v>
      </c>
      <c r="AV675" s="70">
        <v>0</v>
      </c>
      <c r="AW675" s="86">
        <v>0</v>
      </c>
      <c r="AX675" s="70">
        <v>0</v>
      </c>
      <c r="AY675" s="233"/>
      <c r="AZ675" s="4"/>
      <c r="BA675" s="35" t="str">
        <f>IF(OR(S675="North America",S675="Rocky Mountain"), "Widespread",BC675)</f>
        <v>Widespread</v>
      </c>
      <c r="BB675" s="4"/>
      <c r="BC675" s="35">
        <f ca="1">IF(BE675&gt;2046, "Abundant",BE675)</f>
        <v>2033.6793411764706</v>
      </c>
      <c r="BD675" s="4"/>
      <c r="BE675" s="81">
        <f ca="1">YEAR($C$13)+(BG675*80)</f>
        <v>2033.6793411764706</v>
      </c>
      <c r="BF675" s="4"/>
      <c r="BG675" s="137">
        <f ca="1">BH675*$BH$14</f>
        <v>0.18349176470588235</v>
      </c>
      <c r="BH675" s="137">
        <f ca="1">(((BJ675+BK675+BM675+BN675)/4)*$BM$11)+(((BP675+BQ675)/2)*$BQ$11)+(((BU675+BV675+BW675)/3)*$BU$11)+(((BY675+BZ675+CA675+CB675+CC675)/5)*$CA$11)</f>
        <v>0.18349176470588235</v>
      </c>
      <c r="BI675" s="4"/>
      <c r="BJ675" s="33">
        <f>AP675/(AM675+AO675)</f>
        <v>0</v>
      </c>
      <c r="BK675" s="33">
        <f>(AN675+AO675)/(AM675+AO675)</f>
        <v>0</v>
      </c>
      <c r="BL675" s="4"/>
      <c r="BM675" s="127">
        <f>CF675/102</f>
        <v>0.12941176470588234</v>
      </c>
      <c r="BN675" s="127">
        <f>C675/2</f>
        <v>0.5</v>
      </c>
      <c r="BO675" s="4"/>
      <c r="BP675" s="127">
        <f>(AK675)/($AW$6)</f>
        <v>0.1111111111111111</v>
      </c>
      <c r="BQ675" s="127">
        <f ca="1">(CH675-$AW$4)/((YEAR($C$13))-$AW$4)</f>
        <v>0</v>
      </c>
      <c r="BR675" s="127">
        <f>(AL675)/($AW$6)</f>
        <v>0.12121212121212122</v>
      </c>
      <c r="BS675" s="4"/>
      <c r="BT675" s="127"/>
      <c r="BU675" s="127">
        <f ca="1">(CG675-$AW$4)/((YEAR($C$13))-$AW$4)</f>
        <v>0</v>
      </c>
      <c r="BV675" s="127">
        <f>AE675/5</f>
        <v>1</v>
      </c>
      <c r="BW675" s="127">
        <f>AF675/5</f>
        <v>1</v>
      </c>
      <c r="BX675" s="4"/>
      <c r="BY675" s="148" t="str">
        <f>IF(E675="A",".98",IF(E675="B",".99",IF(E675="C","1.00",IF(E675="D","1.00" ))))</f>
        <v>.99</v>
      </c>
      <c r="BZ675" s="127">
        <f>(CE675+7)/10</f>
        <v>0.9</v>
      </c>
      <c r="CA675" s="76" t="str">
        <f>IF(D675="Fern",".97",IF(D675="Grass",".99",IF(D675="Herb",".97",IF(D675="Shrub",".99",IF(D675="Tree","1.00",IF(D675="Vine",".98"))))))</f>
        <v>.97</v>
      </c>
      <c r="CB675" s="149" t="str">
        <f>IF(R675="Bogs Ponds Streams",".96", IF(R675="Coastal Areas",".97",IF(R675="Meadows Dry Open",".96",IF(R675="Forest &amp; Understory",".97",IF(R675="Moist Open",".98",IF(R675="Moist Shady",".96",IF(R675="Sub-Alpine","1.0")))))))</f>
        <v>.96</v>
      </c>
      <c r="CC675" s="76" t="str">
        <f>IF(S675="Local Endemic",".50",IF(S675="Regional Endemic",".70",IF(S675="Cascadia",".90",IF(S675="Rocky Mountain",".95",IF(S675="North America",".99")))))</f>
        <v>.95</v>
      </c>
      <c r="CD675" s="4"/>
      <c r="CE675" s="21">
        <f>IF(W675&gt;3,3,W675)</f>
        <v>2</v>
      </c>
      <c r="CF675" s="21">
        <f>IF(AC675&gt;102,102,AC675)</f>
        <v>13.2</v>
      </c>
      <c r="CG675" s="34">
        <f>IF(AI675&lt;$AW$4,$AW$4,AI675)</f>
        <v>2004</v>
      </c>
      <c r="CH675" s="34">
        <f>IF(AJ675&lt;$AW$4,$AW$4,AJ675)</f>
        <v>2004</v>
      </c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</row>
    <row r="676" spans="1:115" ht="15" customHeight="1" x14ac:dyDescent="0.3">
      <c r="A676" s="235"/>
      <c r="B676" s="218"/>
      <c r="C676" s="375">
        <v>1</v>
      </c>
      <c r="D676" s="67" t="s">
        <v>2505</v>
      </c>
      <c r="E676" s="67" t="s">
        <v>2501</v>
      </c>
      <c r="F676" s="403" t="str">
        <f ca="1">IF(BC676&lt;2025, "Extinct&lt; 6Yrs?",BA676)</f>
        <v>Widespread</v>
      </c>
      <c r="G676" s="376" t="s">
        <v>525</v>
      </c>
      <c r="H676" s="376" t="s">
        <v>4028</v>
      </c>
      <c r="I676" s="379" t="s">
        <v>2694</v>
      </c>
      <c r="J676" s="378" t="s">
        <v>3530</v>
      </c>
      <c r="K676" s="378" t="s">
        <v>4074</v>
      </c>
      <c r="L676" s="65" t="s">
        <v>2242</v>
      </c>
      <c r="M676" s="64" t="s">
        <v>4748</v>
      </c>
      <c r="N676" s="64" t="s">
        <v>5647</v>
      </c>
      <c r="O676" s="64" t="s">
        <v>6545</v>
      </c>
      <c r="P676" s="404" t="s">
        <v>51</v>
      </c>
      <c r="Q676" s="67" t="s">
        <v>2552</v>
      </c>
      <c r="R676" s="61" t="s">
        <v>2500</v>
      </c>
      <c r="S676" s="61" t="s">
        <v>2495</v>
      </c>
      <c r="T676" s="134" t="str">
        <f>IF(R676="Bogs Ponds Streams","20",IF(R676="Coastal Areas","26",IF(R676="Meadows Dry Open","10",IF(R676="Forest &amp; Understory","14",IF(R676="Moist Open","12",IF(R676="Moist Shady","10",IF(R676="Sub-Alpine Slopes","0")))))))</f>
        <v>10</v>
      </c>
      <c r="U676" s="134" t="str">
        <f>IF(R676="Bogs Ponds Streams","52",IF(R676="Coastal Areas","51",IF(R676="Meadows Dry Open","53",IF(R676="Forest &amp; Understory","52",IF(R676="Moist Open","50",IF(R676="Moist Shady","46",IF(R676="Sub-Alpine Slopes","40")))))))</f>
        <v>53</v>
      </c>
      <c r="V676" s="134" t="str">
        <f>IF(R676="Bogs Ponds Streams","84",IF(R676="Coastal Areas","76",IF(R676="Meadows Dry Open","96", IF(R676="Forest &amp; Understory","90", IF(R676="Moist Open","88", IF(R676="Moist Shady","82", IF(R676="Sub-Alpine Slopes","80")))))))</f>
        <v>96</v>
      </c>
      <c r="W676" s="67">
        <v>20</v>
      </c>
      <c r="X676" s="67">
        <v>0</v>
      </c>
      <c r="Y676" s="67">
        <v>3500</v>
      </c>
      <c r="Z676" s="67" t="s">
        <v>2519</v>
      </c>
      <c r="AA676" s="67" t="s">
        <v>2518</v>
      </c>
      <c r="AB676" s="67">
        <v>6.8</v>
      </c>
      <c r="AC676" s="85">
        <f>C676+AK676+(0.1)*AL676</f>
        <v>3.8</v>
      </c>
      <c r="AD676" s="78">
        <v>25</v>
      </c>
      <c r="AE676" s="67">
        <v>5</v>
      </c>
      <c r="AF676" s="67">
        <v>5</v>
      </c>
      <c r="AG676" s="67">
        <v>1900</v>
      </c>
      <c r="AH676" s="78">
        <v>0</v>
      </c>
      <c r="AI676" s="67">
        <f>AJ676</f>
        <v>2004</v>
      </c>
      <c r="AJ676" s="69">
        <v>2004</v>
      </c>
      <c r="AK676" s="69">
        <v>2</v>
      </c>
      <c r="AL676" s="69">
        <v>8</v>
      </c>
      <c r="AM676" s="70">
        <v>5</v>
      </c>
      <c r="AN676" s="70">
        <v>0</v>
      </c>
      <c r="AO676" s="86">
        <v>0</v>
      </c>
      <c r="AP676" s="70">
        <v>0</v>
      </c>
      <c r="AQ676" s="70">
        <v>0</v>
      </c>
      <c r="AR676" s="70">
        <v>0</v>
      </c>
      <c r="AS676" s="86">
        <v>0</v>
      </c>
      <c r="AT676" s="70">
        <v>0</v>
      </c>
      <c r="AU676" s="70">
        <v>0</v>
      </c>
      <c r="AV676" s="70">
        <v>0</v>
      </c>
      <c r="AW676" s="86">
        <v>0</v>
      </c>
      <c r="AX676" s="70">
        <v>0</v>
      </c>
      <c r="AY676" s="233"/>
      <c r="AZ676" s="4"/>
      <c r="BA676" s="35" t="str">
        <f>IF(OR(S676="North America",S676="Rocky Mountain"), "Widespread",BC676)</f>
        <v>Widespread</v>
      </c>
      <c r="BB676" s="4"/>
      <c r="BC676" s="35">
        <f ca="1">IF(BE676&gt;2046, "Abundant",BE676)</f>
        <v>2031.5305497326203</v>
      </c>
      <c r="BD676" s="4"/>
      <c r="BE676" s="81">
        <f ca="1">YEAR($C$13)+(BG676*80)</f>
        <v>2031.5305497326203</v>
      </c>
      <c r="BF676" s="4"/>
      <c r="BG676" s="137">
        <f ca="1">BH676*$BH$14</f>
        <v>0.15663187165775402</v>
      </c>
      <c r="BH676" s="137">
        <f ca="1">(((BJ676+BK676+BM676+BN676)/4)*$BM$11)+(((BP676+BQ676)/2)*$BQ$11)+(((BU676+BV676+BW676)/3)*$BU$11)+(((BY676+BZ676+CA676+CB676+CC676)/5)*$CA$11)</f>
        <v>0.15663187165775402</v>
      </c>
      <c r="BI676" s="4"/>
      <c r="BJ676" s="33">
        <f>AP676/(AM676+AO676)</f>
        <v>0</v>
      </c>
      <c r="BK676" s="33">
        <f>(AN676+AO676)/(AM676+AO676)</f>
        <v>0</v>
      </c>
      <c r="BL676" s="4"/>
      <c r="BM676" s="127">
        <f>CF676/102</f>
        <v>3.7254901960784313E-2</v>
      </c>
      <c r="BN676" s="127">
        <f>C676/2</f>
        <v>0.5</v>
      </c>
      <c r="BO676" s="4"/>
      <c r="BP676" s="127">
        <f>(AK676)/($AW$6)</f>
        <v>2.0202020202020204E-2</v>
      </c>
      <c r="BQ676" s="127">
        <f ca="1">(CH676-$AW$4)/((YEAR($C$13))-$AW$4)</f>
        <v>0</v>
      </c>
      <c r="BR676" s="127">
        <f>(AL676)/($AW$6)</f>
        <v>8.0808080808080815E-2</v>
      </c>
      <c r="BS676" s="4"/>
      <c r="BT676" s="127"/>
      <c r="BU676" s="127">
        <f ca="1">(CG676-$AW$4)/((YEAR($C$13))-$AW$4)</f>
        <v>0</v>
      </c>
      <c r="BV676" s="127">
        <f>AE676/5</f>
        <v>1</v>
      </c>
      <c r="BW676" s="127">
        <f>AF676/5</f>
        <v>1</v>
      </c>
      <c r="BX676" s="4"/>
      <c r="BY676" s="148" t="str">
        <f>IF(E676="A",".98",IF(E676="B",".99",IF(E676="C","1.00",IF(E676="D","1.00" ))))</f>
        <v>1.00</v>
      </c>
      <c r="BZ676" s="127">
        <f>(CE676+7)/10</f>
        <v>1</v>
      </c>
      <c r="CA676" s="76" t="str">
        <f>IF(D676="Fern",".97",IF(D676="Grass",".99",IF(D676="Herb",".97",IF(D676="Shrub",".99",IF(D676="Tree","1.00",IF(D676="Vine",".98"))))))</f>
        <v>.97</v>
      </c>
      <c r="CB676" s="149" t="str">
        <f>IF(R676="Bogs Ponds Streams",".96", IF(R676="Coastal Areas",".97",IF(R676="Meadows Dry Open",".96",IF(R676="Forest &amp; Understory",".97",IF(R676="Moist Open",".98",IF(R676="Moist Shady",".96",IF(R676="Sub-Alpine","1.0")))))))</f>
        <v>.96</v>
      </c>
      <c r="CC676" s="76" t="str">
        <f>IF(S676="Local Endemic",".50",IF(S676="Regional Endemic",".70",IF(S676="Cascadia",".90",IF(S676="Rocky Mountain",".95",IF(S676="North America",".99")))))</f>
        <v>.99</v>
      </c>
      <c r="CD676" s="4"/>
      <c r="CE676" s="21">
        <f>IF(W676&gt;3,3,W676)</f>
        <v>3</v>
      </c>
      <c r="CF676" s="21">
        <f>IF(AC676&gt;102,102,AC676)</f>
        <v>3.8</v>
      </c>
      <c r="CG676" s="34">
        <f>IF(AI676&lt;$AW$4,$AW$4,AI676)</f>
        <v>2004</v>
      </c>
      <c r="CH676" s="34">
        <f>IF(AJ676&lt;$AW$4,$AW$4,AJ676)</f>
        <v>2004</v>
      </c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</row>
    <row r="677" spans="1:115" ht="15" customHeight="1" x14ac:dyDescent="0.3">
      <c r="A677" s="235"/>
      <c r="B677" s="218"/>
      <c r="C677" s="225">
        <v>8</v>
      </c>
      <c r="D677" s="59" t="s">
        <v>2507</v>
      </c>
      <c r="E677" s="59" t="s">
        <v>2504</v>
      </c>
      <c r="F677" s="397" t="str">
        <f ca="1">IF(BC677&lt;2025, "Extinct&lt; 6Yrs?",BA677)</f>
        <v>Widespread</v>
      </c>
      <c r="G677" s="363" t="s">
        <v>525</v>
      </c>
      <c r="H677" s="363" t="s">
        <v>677</v>
      </c>
      <c r="I677" s="366" t="s">
        <v>530</v>
      </c>
      <c r="J677" s="365" t="s">
        <v>3993</v>
      </c>
      <c r="K677" s="365" t="s">
        <v>562</v>
      </c>
      <c r="L677" s="10" t="s">
        <v>1666</v>
      </c>
      <c r="M677" s="8" t="s">
        <v>4749</v>
      </c>
      <c r="N677" s="8" t="s">
        <v>5648</v>
      </c>
      <c r="O677" s="8" t="s">
        <v>6546</v>
      </c>
      <c r="P677" s="9" t="s">
        <v>520</v>
      </c>
      <c r="Q677" s="59" t="s">
        <v>2552</v>
      </c>
      <c r="R677" s="9" t="s">
        <v>2498</v>
      </c>
      <c r="S677" s="9" t="s">
        <v>2479</v>
      </c>
      <c r="T677" s="123" t="str">
        <f>IF(R677="Bogs Ponds Streams","20",IF(R677="Coastal Areas","26",IF(R677="Meadows Dry Open","10",IF(R677="Forest &amp; Understory","14",IF(R677="Moist Open","12",IF(R677="Moist Shady","10",IF(R677="Sub-Alpine Slopes","0")))))))</f>
        <v>10</v>
      </c>
      <c r="U677" s="123" t="str">
        <f>IF(R677="Bogs Ponds Streams","52",IF(R677="Coastal Areas","51",IF(R677="Meadows Dry Open","53",IF(R677="Forest &amp; Understory","52",IF(R677="Moist Open","50",IF(R677="Moist Shady","46",IF(R677="Sub-Alpine Slopes","40")))))))</f>
        <v>46</v>
      </c>
      <c r="V677" s="123" t="str">
        <f>IF(R677="Bogs Ponds Streams","84",IF(R677="Coastal Areas","76",IF(R677="Meadows Dry Open","96", IF(R677="Forest &amp; Understory","90", IF(R677="Moist Open","88", IF(R677="Moist Shady","82", IF(R677="Sub-Alpine Slopes","80")))))))</f>
        <v>82</v>
      </c>
      <c r="W677" s="59">
        <v>200</v>
      </c>
      <c r="X677" s="59">
        <v>0</v>
      </c>
      <c r="Y677" s="59">
        <v>3500</v>
      </c>
      <c r="Z677" s="59" t="s">
        <v>2519</v>
      </c>
      <c r="AA677" s="59" t="s">
        <v>2518</v>
      </c>
      <c r="AB677" s="59">
        <v>6.8</v>
      </c>
      <c r="AC677" s="45">
        <f>C677+AK677+(0.1)*AL677</f>
        <v>116.9</v>
      </c>
      <c r="AD677" s="77">
        <v>187</v>
      </c>
      <c r="AE677" s="59">
        <v>5</v>
      </c>
      <c r="AF677" s="59">
        <v>5</v>
      </c>
      <c r="AG677" s="59">
        <v>1900</v>
      </c>
      <c r="AH677" s="77">
        <v>0</v>
      </c>
      <c r="AI677" s="59">
        <f ca="1">AJ677</f>
        <v>2019</v>
      </c>
      <c r="AJ677" s="18">
        <f ca="1">YEAR(TODAY())</f>
        <v>2019</v>
      </c>
      <c r="AK677" s="18">
        <v>99</v>
      </c>
      <c r="AL677" s="18">
        <v>99</v>
      </c>
      <c r="AM677" s="18">
        <v>1</v>
      </c>
      <c r="AN677" s="18">
        <v>1</v>
      </c>
      <c r="AO677" s="18">
        <v>5</v>
      </c>
      <c r="AP677" s="18">
        <v>1</v>
      </c>
      <c r="AQ677" s="18">
        <v>0</v>
      </c>
      <c r="AR677" s="18">
        <v>0</v>
      </c>
      <c r="AS677" s="18">
        <v>0</v>
      </c>
      <c r="AT677" s="18">
        <v>0</v>
      </c>
      <c r="AU677" s="18">
        <v>0</v>
      </c>
      <c r="AV677" s="18">
        <v>0</v>
      </c>
      <c r="AW677" s="18">
        <v>0</v>
      </c>
      <c r="AX677" s="18">
        <v>0</v>
      </c>
      <c r="AY677" s="233"/>
      <c r="AZ677" s="4"/>
      <c r="BA677" s="35" t="str">
        <f>IF(OR(S677="North America",S677="Rocky Mountain"), "Widespread",BC677)</f>
        <v>Widespread</v>
      </c>
      <c r="BB677" s="4"/>
      <c r="BC677" s="35" t="str">
        <f ca="1">IF(BE677&gt;2046, "Abundant",BE677)</f>
        <v>Abundant</v>
      </c>
      <c r="BD677" s="4"/>
      <c r="BE677" s="81">
        <f ca="1">YEAR($C$13)+(BG677*80)</f>
        <v>2124.9712</v>
      </c>
      <c r="BF677" s="4"/>
      <c r="BG677" s="137">
        <f ca="1">BH677*$BH$14</f>
        <v>1.3246400000000003</v>
      </c>
      <c r="BH677" s="137">
        <f ca="1">(((BJ677+BK677+BM677+BN677)/4)*$BM$11)+(((BP677+BQ677)/2)*$BQ$11)+(((BU677+BV677+BW677)/3)*$BU$11)+(((BY677+BZ677+CA677+CB677+CC677)/5)*$CA$11)</f>
        <v>1.3246400000000003</v>
      </c>
      <c r="BI677" s="4"/>
      <c r="BJ677" s="33">
        <f>AP677/(AM677+AO677)</f>
        <v>0.16666666666666666</v>
      </c>
      <c r="BK677" s="33">
        <f>(AN677+AO677)/(AM677+AO677)</f>
        <v>1</v>
      </c>
      <c r="BL677" s="4"/>
      <c r="BM677" s="127">
        <f>CF677/102</f>
        <v>1</v>
      </c>
      <c r="BN677" s="127">
        <f>C677/2</f>
        <v>4</v>
      </c>
      <c r="BO677" s="4"/>
      <c r="BP677" s="127">
        <f>(AK677)/($AW$6)</f>
        <v>1</v>
      </c>
      <c r="BQ677" s="127">
        <f ca="1">(CH677-$AW$4)/((YEAR($C$13))-$AW$4)</f>
        <v>1</v>
      </c>
      <c r="BR677" s="127">
        <f>(AL677)/($AW$6)</f>
        <v>1</v>
      </c>
      <c r="BS677" s="4"/>
      <c r="BT677" s="127"/>
      <c r="BU677" s="127">
        <f ca="1">(CG677-$AW$4)/((YEAR($C$13))-$AW$4)</f>
        <v>1</v>
      </c>
      <c r="BV677" s="127">
        <f>AE677/5</f>
        <v>1</v>
      </c>
      <c r="BW677" s="127">
        <f>AF677/5</f>
        <v>1</v>
      </c>
      <c r="BX677" s="4"/>
      <c r="BY677" s="148" t="str">
        <f>IF(E677="A",".98",IF(E677="B",".99",IF(E677="C","1.00",IF(E677="D","1.00" ))))</f>
        <v>1.00</v>
      </c>
      <c r="BZ677" s="127">
        <f>(CE677+7)/10</f>
        <v>1</v>
      </c>
      <c r="CA677" s="76" t="str">
        <f>IF(D677="Fern",".97",IF(D677="Grass",".99",IF(D677="Herb",".97",IF(D677="Shrub",".99",IF(D677="Tree","1.00",IF(D677="Vine",".98"))))))</f>
        <v>1.00</v>
      </c>
      <c r="CB677" s="149" t="str">
        <f>IF(R677="Bogs Ponds Streams",".96", IF(R677="Coastal Areas",".97",IF(R677="Meadows Dry Open",".96",IF(R677="Forest &amp; Understory",".97",IF(R677="Moist Open",".98",IF(R677="Moist Shady",".96",IF(R677="Sub-Alpine","1.0")))))))</f>
        <v>.96</v>
      </c>
      <c r="CC677" s="76" t="str">
        <f>IF(S677="Local Endemic",".50",IF(S677="Regional Endemic",".70",IF(S677="Cascadia",".90",IF(S677="Rocky Mountain",".95",IF(S677="North America",".99")))))</f>
        <v>.95</v>
      </c>
      <c r="CD677" s="4"/>
      <c r="CE677" s="21">
        <f>IF(W677&gt;3,3,W677)</f>
        <v>3</v>
      </c>
      <c r="CF677" s="21">
        <f>IF(AC677&gt;102,102,AC677)</f>
        <v>102</v>
      </c>
      <c r="CG677" s="34">
        <f ca="1">IF(AI677&lt;$AW$4,$AW$4,AI677)</f>
        <v>2019</v>
      </c>
      <c r="CH677" s="34">
        <f ca="1">IF(AJ677&lt;$AW$4,$AW$4,AJ677)</f>
        <v>2019</v>
      </c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</row>
    <row r="678" spans="1:115" ht="15" customHeight="1" x14ac:dyDescent="0.3">
      <c r="A678" s="235"/>
      <c r="B678" s="218"/>
      <c r="C678" s="375">
        <v>1</v>
      </c>
      <c r="D678" s="67" t="s">
        <v>2505</v>
      </c>
      <c r="E678" s="67" t="s">
        <v>2502</v>
      </c>
      <c r="F678" s="403">
        <f ca="1">IF(BC678&lt;2025, "Extinct&lt; 6Yrs?",BA678)</f>
        <v>2032.3397276292335</v>
      </c>
      <c r="G678" s="376" t="s">
        <v>525</v>
      </c>
      <c r="H678" s="376" t="s">
        <v>4028</v>
      </c>
      <c r="I678" s="379" t="s">
        <v>2695</v>
      </c>
      <c r="J678" s="378" t="s">
        <v>3529</v>
      </c>
      <c r="K678" s="378" t="s">
        <v>2804</v>
      </c>
      <c r="L678" s="65" t="s">
        <v>4033</v>
      </c>
      <c r="M678" s="64" t="s">
        <v>4750</v>
      </c>
      <c r="N678" s="64" t="s">
        <v>5649</v>
      </c>
      <c r="O678" s="64" t="s">
        <v>6547</v>
      </c>
      <c r="P678" s="404" t="s">
        <v>51</v>
      </c>
      <c r="Q678" s="67" t="s">
        <v>2552</v>
      </c>
      <c r="R678" s="61" t="s">
        <v>2500</v>
      </c>
      <c r="S678" s="61" t="s">
        <v>2459</v>
      </c>
      <c r="T678" s="134" t="str">
        <f>IF(R678="Bogs Ponds Streams","20",IF(R678="Coastal Areas","26",IF(R678="Meadows Dry Open","10",IF(R678="Forest &amp; Understory","14",IF(R678="Moist Open","12",IF(R678="Moist Shady","10",IF(R678="Sub-Alpine Slopes","0")))))))</f>
        <v>10</v>
      </c>
      <c r="U678" s="134" t="str">
        <f>IF(R678="Bogs Ponds Streams","52",IF(R678="Coastal Areas","51",IF(R678="Meadows Dry Open","53",IF(R678="Forest &amp; Understory","52",IF(R678="Moist Open","50",IF(R678="Moist Shady","46",IF(R678="Sub-Alpine Slopes","40")))))))</f>
        <v>53</v>
      </c>
      <c r="V678" s="134" t="str">
        <f>IF(R678="Bogs Ponds Streams","84",IF(R678="Coastal Areas","76",IF(R678="Meadows Dry Open","96", IF(R678="Forest &amp; Understory","90", IF(R678="Moist Open","88", IF(R678="Moist Shady","82", IF(R678="Sub-Alpine Slopes","80")))))))</f>
        <v>96</v>
      </c>
      <c r="W678" s="67">
        <v>1</v>
      </c>
      <c r="X678" s="67">
        <v>0</v>
      </c>
      <c r="Y678" s="67">
        <v>3500</v>
      </c>
      <c r="Z678" s="67" t="s">
        <v>2519</v>
      </c>
      <c r="AA678" s="67" t="s">
        <v>2518</v>
      </c>
      <c r="AB678" s="67">
        <v>6.8</v>
      </c>
      <c r="AC678" s="85">
        <f>C678+AK678+(0.1)*AL678</f>
        <v>7.4</v>
      </c>
      <c r="AD678" s="78">
        <v>38</v>
      </c>
      <c r="AE678" s="67">
        <v>5</v>
      </c>
      <c r="AF678" s="67">
        <v>5</v>
      </c>
      <c r="AG678" s="67">
        <v>1900</v>
      </c>
      <c r="AH678" s="78">
        <v>0</v>
      </c>
      <c r="AI678" s="67">
        <f>AJ678</f>
        <v>2004</v>
      </c>
      <c r="AJ678" s="69">
        <v>2004</v>
      </c>
      <c r="AK678" s="69">
        <v>6</v>
      </c>
      <c r="AL678" s="69">
        <v>4</v>
      </c>
      <c r="AM678" s="70">
        <v>5</v>
      </c>
      <c r="AN678" s="70">
        <v>0</v>
      </c>
      <c r="AO678" s="86">
        <v>0</v>
      </c>
      <c r="AP678" s="70">
        <v>0</v>
      </c>
      <c r="AQ678" s="70">
        <v>0</v>
      </c>
      <c r="AR678" s="70">
        <v>0</v>
      </c>
      <c r="AS678" s="86">
        <v>0</v>
      </c>
      <c r="AT678" s="70">
        <v>0</v>
      </c>
      <c r="AU678" s="70">
        <v>0</v>
      </c>
      <c r="AV678" s="70">
        <v>0</v>
      </c>
      <c r="AW678" s="86">
        <v>0</v>
      </c>
      <c r="AX678" s="70">
        <v>0</v>
      </c>
      <c r="AY678" s="233"/>
      <c r="AZ678" s="4"/>
      <c r="BA678" s="35">
        <f ca="1">IF(OR(S678="North America",S678="Rocky Mountain"), "Widespread",BC678)</f>
        <v>2032.3397276292335</v>
      </c>
      <c r="BB678" s="4"/>
      <c r="BC678" s="35">
        <f ca="1">IF(BE678&gt;2046, "Abundant",BE678)</f>
        <v>2032.3397276292335</v>
      </c>
      <c r="BD678" s="4"/>
      <c r="BE678" s="81">
        <f ca="1">YEAR($C$13)+(BG678*80)</f>
        <v>2032.3397276292335</v>
      </c>
      <c r="BF678" s="4"/>
      <c r="BG678" s="137">
        <f ca="1">BH678*$BH$14</f>
        <v>0.16674659536541891</v>
      </c>
      <c r="BH678" s="137">
        <f ca="1">(((BJ678+BK678+BM678+BN678)/4)*$BM$11)+(((BP678+BQ678)/2)*$BQ$11)+(((BU678+BV678+BW678)/3)*$BU$11)+(((BY678+BZ678+CA678+CB678+CC678)/5)*$CA$11)</f>
        <v>0.16674659536541891</v>
      </c>
      <c r="BI678" s="4"/>
      <c r="BJ678" s="33">
        <f>AP678/(AM678+AO678)</f>
        <v>0</v>
      </c>
      <c r="BK678" s="33">
        <f>(AN678+AO678)/(AM678+AO678)</f>
        <v>0</v>
      </c>
      <c r="BL678" s="4"/>
      <c r="BM678" s="127">
        <f>CF678/102</f>
        <v>7.2549019607843143E-2</v>
      </c>
      <c r="BN678" s="127">
        <f>C678/2</f>
        <v>0.5</v>
      </c>
      <c r="BO678" s="4"/>
      <c r="BP678" s="127">
        <f>(AK678)/($AW$6)</f>
        <v>6.0606060606060608E-2</v>
      </c>
      <c r="BQ678" s="127">
        <f ca="1">(CH678-$AW$4)/((YEAR($C$13))-$AW$4)</f>
        <v>0</v>
      </c>
      <c r="BR678" s="127">
        <f>(AL678)/($AW$6)</f>
        <v>4.0404040404040407E-2</v>
      </c>
      <c r="BS678" s="4"/>
      <c r="BT678" s="127"/>
      <c r="BU678" s="127">
        <f ca="1">(CG678-$AW$4)/((YEAR($C$13))-$AW$4)</f>
        <v>0</v>
      </c>
      <c r="BV678" s="127">
        <f>AE678/5</f>
        <v>1</v>
      </c>
      <c r="BW678" s="127">
        <f>AF678/5</f>
        <v>1</v>
      </c>
      <c r="BX678" s="4"/>
      <c r="BY678" s="148" t="str">
        <f>IF(E678="A",".98",IF(E678="B",".99",IF(E678="C","1.00",IF(E678="D","1.00" ))))</f>
        <v>.98</v>
      </c>
      <c r="BZ678" s="127">
        <f>(CE678+7)/10</f>
        <v>0.8</v>
      </c>
      <c r="CA678" s="76" t="str">
        <f>IF(D678="Fern",".97",IF(D678="Grass",".99",IF(D678="Herb",".97",IF(D678="Shrub",".99",IF(D678="Tree","1.00",IF(D678="Vine",".98"))))))</f>
        <v>.97</v>
      </c>
      <c r="CB678" s="149" t="str">
        <f>IF(R678="Bogs Ponds Streams",".96", IF(R678="Coastal Areas",".97",IF(R678="Meadows Dry Open",".96",IF(R678="Forest &amp; Understory",".97",IF(R678="Moist Open",".98",IF(R678="Moist Shady",".96",IF(R678="Sub-Alpine","1.0")))))))</f>
        <v>.96</v>
      </c>
      <c r="CC678" s="76" t="str">
        <f>IF(S678="Local Endemic",".50",IF(S678="Regional Endemic",".70",IF(S678="Cascadia",".90",IF(S678="Rocky Mountain",".95",IF(S678="North America",".99")))))</f>
        <v>.90</v>
      </c>
      <c r="CD678" s="4"/>
      <c r="CE678" s="21">
        <f>IF(W678&gt;3,3,W678)</f>
        <v>1</v>
      </c>
      <c r="CF678" s="21">
        <f>IF(AC678&gt;102,102,AC678)</f>
        <v>7.4</v>
      </c>
      <c r="CG678" s="34">
        <f>IF(AI678&lt;$AW$4,$AW$4,AI678)</f>
        <v>2004</v>
      </c>
      <c r="CH678" s="34">
        <f>IF(AJ678&lt;$AW$4,$AW$4,AJ678)</f>
        <v>2004</v>
      </c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</row>
    <row r="679" spans="1:115" ht="15" customHeight="1" x14ac:dyDescent="0.3">
      <c r="A679" s="235"/>
      <c r="B679" s="218"/>
      <c r="C679" s="226">
        <v>2</v>
      </c>
      <c r="D679" s="104" t="s">
        <v>2505</v>
      </c>
      <c r="E679" s="104" t="s">
        <v>2502</v>
      </c>
      <c r="F679" s="400" t="str">
        <f ca="1">IF(BC679&lt;2025, "Extinct&lt; 6Yrs?",BA679)</f>
        <v>Abundant</v>
      </c>
      <c r="G679" s="369" t="s">
        <v>525</v>
      </c>
      <c r="H679" s="369" t="s">
        <v>4028</v>
      </c>
      <c r="I679" s="370" t="s">
        <v>106</v>
      </c>
      <c r="J679" s="371" t="s">
        <v>3711</v>
      </c>
      <c r="K679" s="371" t="s">
        <v>105</v>
      </c>
      <c r="L679" s="106" t="s">
        <v>1667</v>
      </c>
      <c r="M679" s="111" t="s">
        <v>4751</v>
      </c>
      <c r="N679" s="111" t="s">
        <v>5650</v>
      </c>
      <c r="O679" s="111" t="s">
        <v>6548</v>
      </c>
      <c r="P679" s="105" t="s">
        <v>51</v>
      </c>
      <c r="Q679" s="104" t="s">
        <v>2552</v>
      </c>
      <c r="R679" s="105" t="s">
        <v>2500</v>
      </c>
      <c r="S679" s="105" t="s">
        <v>2459</v>
      </c>
      <c r="T679" s="133" t="str">
        <f>IF(R679="Bogs Ponds Streams","20",IF(R679="Coastal Areas","26",IF(R679="Meadows Dry Open","10",IF(R679="Forest &amp; Understory","14",IF(R679="Moist Open","12",IF(R679="Moist Shady","10",IF(R679="Sub-Alpine Slopes","0")))))))</f>
        <v>10</v>
      </c>
      <c r="U679" s="133" t="str">
        <f>IF(R679="Bogs Ponds Streams","52",IF(R679="Coastal Areas","51",IF(R679="Meadows Dry Open","53",IF(R679="Forest &amp; Understory","52",IF(R679="Moist Open","50",IF(R679="Moist Shady","46",IF(R679="Sub-Alpine Slopes","40")))))))</f>
        <v>53</v>
      </c>
      <c r="V679" s="133" t="str">
        <f>IF(R679="Bogs Ponds Streams","84",IF(R679="Coastal Areas","76",IF(R679="Meadows Dry Open","96", IF(R679="Forest &amp; Understory","90", IF(R679="Moist Open","88", IF(R679="Moist Shady","82", IF(R679="Sub-Alpine Slopes","80")))))))</f>
        <v>96</v>
      </c>
      <c r="W679" s="104">
        <v>1</v>
      </c>
      <c r="X679" s="104">
        <v>0</v>
      </c>
      <c r="Y679" s="104">
        <v>3500</v>
      </c>
      <c r="Z679" s="104" t="s">
        <v>2519</v>
      </c>
      <c r="AA679" s="104" t="s">
        <v>2518</v>
      </c>
      <c r="AB679" s="104">
        <v>6.8</v>
      </c>
      <c r="AC679" s="107">
        <f>C678+AK679+(0.1)*AL679</f>
        <v>3</v>
      </c>
      <c r="AD679" s="113">
        <v>8</v>
      </c>
      <c r="AE679" s="104">
        <v>5</v>
      </c>
      <c r="AF679" s="104">
        <v>5</v>
      </c>
      <c r="AG679" s="104">
        <v>1900</v>
      </c>
      <c r="AH679" s="113">
        <v>0</v>
      </c>
      <c r="AI679" s="104">
        <f>AJ679</f>
        <v>2018</v>
      </c>
      <c r="AJ679" s="108">
        <v>2018</v>
      </c>
      <c r="AK679" s="108">
        <v>2</v>
      </c>
      <c r="AL679" s="108">
        <v>0</v>
      </c>
      <c r="AM679" s="109">
        <v>5</v>
      </c>
      <c r="AN679" s="109">
        <v>1</v>
      </c>
      <c r="AO679" s="110">
        <v>0</v>
      </c>
      <c r="AP679" s="109">
        <v>1</v>
      </c>
      <c r="AQ679" s="109">
        <v>0</v>
      </c>
      <c r="AR679" s="109">
        <v>0</v>
      </c>
      <c r="AS679" s="110">
        <v>0</v>
      </c>
      <c r="AT679" s="109">
        <v>0</v>
      </c>
      <c r="AU679" s="109">
        <v>0</v>
      </c>
      <c r="AV679" s="109">
        <v>0</v>
      </c>
      <c r="AW679" s="110">
        <v>0</v>
      </c>
      <c r="AX679" s="109">
        <v>0</v>
      </c>
      <c r="AY679" s="233"/>
      <c r="AZ679" s="4"/>
      <c r="BA679" s="35" t="str">
        <f ca="1">IF(OR(S679="North America",S679="Rocky Mountain"), "Widespread",BC679)</f>
        <v>Abundant</v>
      </c>
      <c r="BB679" s="4"/>
      <c r="BC679" s="35" t="str">
        <f ca="1">IF(BE679&gt;2046, "Abundant",BE679)</f>
        <v>Abundant</v>
      </c>
      <c r="BD679" s="4"/>
      <c r="BE679" s="81">
        <f ca="1">YEAR($C$13)+(BG679*80)</f>
        <v>2049.3283431966724</v>
      </c>
      <c r="BF679" s="4"/>
      <c r="BG679" s="137">
        <f ca="1">BH679*$BH$14</f>
        <v>0.37910428995840767</v>
      </c>
      <c r="BH679" s="137">
        <f ca="1">(((BJ679+BK679+BM679+BN679)/4)*$BM$11)+(((BP679+BQ679)/2)*$BQ$11)+(((BU679+BV679+BW679)/3)*$BU$11)+(((BY679+BZ679+CA679+CB679+CC679)/5)*$CA$11)</f>
        <v>0.37910428995840767</v>
      </c>
      <c r="BI679" s="4"/>
      <c r="BJ679" s="33">
        <f>AP679/(AM679+AO679)</f>
        <v>0.2</v>
      </c>
      <c r="BK679" s="33">
        <f>(AN679+AO679)/(AM679+AO679)</f>
        <v>0.2</v>
      </c>
      <c r="BL679" s="4"/>
      <c r="BM679" s="127">
        <f>CF679/102</f>
        <v>2.9411764705882353E-2</v>
      </c>
      <c r="BN679" s="127">
        <f>C678/2</f>
        <v>0.5</v>
      </c>
      <c r="BO679" s="4"/>
      <c r="BP679" s="127">
        <f>(AK679)/($AW$6)</f>
        <v>2.0202020202020204E-2</v>
      </c>
      <c r="BQ679" s="127">
        <f ca="1">(CH679-$AW$4)/((YEAR($C$13))-$AW$4)</f>
        <v>0.93333333333333335</v>
      </c>
      <c r="BR679" s="127">
        <f>(AL679)/($AW$6)</f>
        <v>0</v>
      </c>
      <c r="BS679" s="4"/>
      <c r="BT679" s="127"/>
      <c r="BU679" s="127">
        <f ca="1">(CG679-$AW$4)/((YEAR($C$13))-$AW$4)</f>
        <v>0.93333333333333335</v>
      </c>
      <c r="BV679" s="127">
        <f>AE679/5</f>
        <v>1</v>
      </c>
      <c r="BW679" s="127">
        <f>AF679/5</f>
        <v>1</v>
      </c>
      <c r="BX679" s="4"/>
      <c r="BY679" s="148" t="str">
        <f>IF(E679="A",".98",IF(E679="B",".99",IF(E679="C","1.00",IF(E679="D","1.00" ))))</f>
        <v>.98</v>
      </c>
      <c r="BZ679" s="127">
        <f>(CE679+7)/10</f>
        <v>0.8</v>
      </c>
      <c r="CA679" s="76" t="str">
        <f>IF(D679="Fern",".97",IF(D679="Grass",".99",IF(D679="Herb",".97",IF(D679="Shrub",".99",IF(D679="Tree","1.00",IF(D679="Vine",".98"))))))</f>
        <v>.97</v>
      </c>
      <c r="CB679" s="149" t="str">
        <f>IF(R679="Bogs Ponds Streams",".96", IF(R679="Coastal Areas",".97",IF(R679="Meadows Dry Open",".96",IF(R679="Forest &amp; Understory",".97",IF(R679="Moist Open",".98",IF(R679="Moist Shady",".96",IF(R679="Sub-Alpine","1.0")))))))</f>
        <v>.96</v>
      </c>
      <c r="CC679" s="76" t="str">
        <f>IF(S679="Local Endemic",".50",IF(S679="Regional Endemic",".70",IF(S679="Cascadia",".90",IF(S679="Rocky Mountain",".95",IF(S679="North America",".99")))))</f>
        <v>.90</v>
      </c>
      <c r="CD679" s="4"/>
      <c r="CE679" s="21">
        <f>IF(W679&gt;3,3,W679)</f>
        <v>1</v>
      </c>
      <c r="CF679" s="21">
        <f>IF(AC679&gt;102,102,AC679)</f>
        <v>3</v>
      </c>
      <c r="CG679" s="34">
        <f>IF(AI679&lt;$AW$4,$AW$4,AI679)</f>
        <v>2018</v>
      </c>
      <c r="CH679" s="34">
        <f>IF(AJ679&lt;$AW$4,$AW$4,AJ679)</f>
        <v>2018</v>
      </c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</row>
    <row r="680" spans="1:115" ht="15" customHeight="1" x14ac:dyDescent="0.3">
      <c r="A680" s="235"/>
      <c r="B680" s="218"/>
      <c r="C680" s="225">
        <v>8</v>
      </c>
      <c r="D680" s="59" t="s">
        <v>1154</v>
      </c>
      <c r="E680" s="59" t="s">
        <v>2501</v>
      </c>
      <c r="F680" s="397" t="str">
        <f ca="1">IF(BC680&lt;2025, "Extinct&lt; 6Yrs?",BA680)</f>
        <v>Widespread</v>
      </c>
      <c r="G680" s="363" t="s">
        <v>525</v>
      </c>
      <c r="H680" s="363" t="s">
        <v>696</v>
      </c>
      <c r="I680" s="366" t="s">
        <v>493</v>
      </c>
      <c r="J680" s="365" t="s">
        <v>3992</v>
      </c>
      <c r="K680" s="365" t="s">
        <v>1109</v>
      </c>
      <c r="L680" s="10" t="s">
        <v>1668</v>
      </c>
      <c r="M680" s="8" t="s">
        <v>4752</v>
      </c>
      <c r="N680" s="8" t="s">
        <v>5651</v>
      </c>
      <c r="O680" s="8" t="s">
        <v>6549</v>
      </c>
      <c r="P680" s="9" t="s">
        <v>740</v>
      </c>
      <c r="Q680" s="59" t="s">
        <v>2552</v>
      </c>
      <c r="R680" s="9" t="s">
        <v>2500</v>
      </c>
      <c r="S680" s="9" t="s">
        <v>2495</v>
      </c>
      <c r="T680" s="123" t="str">
        <f>IF(R680="Bogs Ponds Streams","20",IF(R680="Coastal Areas","26",IF(R680="Meadows Dry Open","10",IF(R680="Forest &amp; Understory","14",IF(R680="Moist Open","12",IF(R680="Moist Shady","10",IF(R680="Sub-Alpine Slopes","0")))))))</f>
        <v>10</v>
      </c>
      <c r="U680" s="123" t="str">
        <f>IF(R680="Bogs Ponds Streams","52",IF(R680="Coastal Areas","51",IF(R680="Meadows Dry Open","53",IF(R680="Forest &amp; Understory","52",IF(R680="Moist Open","50",IF(R680="Moist Shady","46",IF(R680="Sub-Alpine Slopes","40")))))))</f>
        <v>53</v>
      </c>
      <c r="V680" s="123" t="str">
        <f>IF(R680="Bogs Ponds Streams","84",IF(R680="Coastal Areas","76",IF(R680="Meadows Dry Open","96", IF(R680="Forest &amp; Understory","90", IF(R680="Moist Open","88", IF(R680="Moist Shady","82", IF(R680="Sub-Alpine Slopes","80")))))))</f>
        <v>96</v>
      </c>
      <c r="W680" s="59">
        <v>20</v>
      </c>
      <c r="X680" s="59">
        <v>0</v>
      </c>
      <c r="Y680" s="59">
        <v>3500</v>
      </c>
      <c r="Z680" s="59" t="s">
        <v>2519</v>
      </c>
      <c r="AA680" s="59" t="s">
        <v>2518</v>
      </c>
      <c r="AB680" s="59">
        <v>6.8</v>
      </c>
      <c r="AC680" s="45">
        <f>C680+AK680+(0.1)*AL680</f>
        <v>107.9</v>
      </c>
      <c r="AD680" s="77">
        <v>99</v>
      </c>
      <c r="AE680" s="59">
        <v>5</v>
      </c>
      <c r="AF680" s="59">
        <v>5</v>
      </c>
      <c r="AG680" s="59">
        <v>1900</v>
      </c>
      <c r="AH680" s="77">
        <v>0</v>
      </c>
      <c r="AI680" s="59">
        <f ca="1">AJ680</f>
        <v>2019</v>
      </c>
      <c r="AJ680" s="18">
        <f ca="1">YEAR(TODAY())</f>
        <v>2019</v>
      </c>
      <c r="AK680" s="18">
        <v>99</v>
      </c>
      <c r="AL680" s="18">
        <v>9</v>
      </c>
      <c r="AM680" s="18">
        <v>1</v>
      </c>
      <c r="AN680" s="18">
        <v>1</v>
      </c>
      <c r="AO680" s="18">
        <v>5</v>
      </c>
      <c r="AP680" s="18">
        <v>1</v>
      </c>
      <c r="AQ680" s="18">
        <v>0</v>
      </c>
      <c r="AR680" s="18">
        <v>0</v>
      </c>
      <c r="AS680" s="18">
        <v>0</v>
      </c>
      <c r="AT680" s="18">
        <v>0</v>
      </c>
      <c r="AU680" s="18">
        <v>0</v>
      </c>
      <c r="AV680" s="18">
        <v>0</v>
      </c>
      <c r="AW680" s="18">
        <v>0</v>
      </c>
      <c r="AX680" s="18">
        <v>0</v>
      </c>
      <c r="AY680" s="233"/>
      <c r="AZ680" s="4"/>
      <c r="BA680" s="35" t="str">
        <f>IF(OR(S680="North America",S680="Rocky Mountain"), "Widespread",BC680)</f>
        <v>Widespread</v>
      </c>
      <c r="BB680" s="4"/>
      <c r="BC680" s="35" t="str">
        <f ca="1">IF(BE680&gt;2046, "Abundant",BE680)</f>
        <v>Abundant</v>
      </c>
      <c r="BD680" s="4"/>
      <c r="BE680" s="81">
        <f ca="1">YEAR($C$13)+(BG680*80)</f>
        <v>2124.9744000000001</v>
      </c>
      <c r="BF680" s="4"/>
      <c r="BG680" s="137">
        <f ca="1">BH680*$BH$14</f>
        <v>1.3246800000000001</v>
      </c>
      <c r="BH680" s="137">
        <f ca="1">(((BJ680+BK680+BM680+BN680)/4)*$BM$11)+(((BP680+BQ680)/2)*$BQ$11)+(((BU680+BV680+BW680)/3)*$BU$11)+(((BY680+BZ680+CA680+CB680+CC680)/5)*$CA$11)</f>
        <v>1.3246800000000001</v>
      </c>
      <c r="BI680" s="4"/>
      <c r="BJ680" s="33">
        <f>AP680/(AM680+AO680)</f>
        <v>0.16666666666666666</v>
      </c>
      <c r="BK680" s="33">
        <f>(AN680+AO680)/(AM680+AO680)</f>
        <v>1</v>
      </c>
      <c r="BL680" s="4"/>
      <c r="BM680" s="127">
        <f>CF680/102</f>
        <v>1</v>
      </c>
      <c r="BN680" s="127">
        <f>C680/2</f>
        <v>4</v>
      </c>
      <c r="BO680" s="4"/>
      <c r="BP680" s="127">
        <f>(AK680)/($AW$6)</f>
        <v>1</v>
      </c>
      <c r="BQ680" s="127">
        <f ca="1">(CH680-$AW$4)/((YEAR($C$13))-$AW$4)</f>
        <v>1</v>
      </c>
      <c r="BR680" s="127">
        <f>(AL680)/($AW$6)</f>
        <v>9.0909090909090912E-2</v>
      </c>
      <c r="BS680" s="4"/>
      <c r="BT680" s="127"/>
      <c r="BU680" s="127">
        <f ca="1">(CG680-$AW$4)/((YEAR($C$13))-$AW$4)</f>
        <v>1</v>
      </c>
      <c r="BV680" s="127">
        <f>AE680/5</f>
        <v>1</v>
      </c>
      <c r="BW680" s="127">
        <f>AF680/5</f>
        <v>1</v>
      </c>
      <c r="BX680" s="4"/>
      <c r="BY680" s="148" t="str">
        <f>IF(E680="A",".98",IF(E680="B",".99",IF(E680="C","1.00",IF(E680="D","1.00" ))))</f>
        <v>1.00</v>
      </c>
      <c r="BZ680" s="127">
        <f>(CE680+7)/10</f>
        <v>1</v>
      </c>
      <c r="CA680" s="76" t="str">
        <f>IF(D680="Fern",".97",IF(D680="Grass",".99",IF(D680="Herb",".97",IF(D680="Shrub",".99",IF(D680="Tree","1.00",IF(D680="Vine",".98"))))))</f>
        <v>.97</v>
      </c>
      <c r="CB680" s="149" t="str">
        <f>IF(R680="Bogs Ponds Streams",".96", IF(R680="Coastal Areas",".97",IF(R680="Meadows Dry Open",".96",IF(R680="Forest &amp; Understory",".97",IF(R680="Moist Open",".98",IF(R680="Moist Shady",".96",IF(R680="Sub-Alpine","1.0")))))))</f>
        <v>.96</v>
      </c>
      <c r="CC680" s="76" t="str">
        <f>IF(S680="Local Endemic",".50",IF(S680="Regional Endemic",".70",IF(S680="Cascadia",".90",IF(S680="Rocky Mountain",".95",IF(S680="North America",".99")))))</f>
        <v>.99</v>
      </c>
      <c r="CD680" s="4"/>
      <c r="CE680" s="21">
        <f>IF(W680&gt;3,3,W680)</f>
        <v>3</v>
      </c>
      <c r="CF680" s="21">
        <f>IF(AC680&gt;102,102,AC680)</f>
        <v>102</v>
      </c>
      <c r="CG680" s="34">
        <f ca="1">IF(AI680&lt;$AW$4,$AW$4,AI680)</f>
        <v>2019</v>
      </c>
      <c r="CH680" s="34">
        <f ca="1">IF(AJ680&lt;$AW$4,$AW$4,AJ680)</f>
        <v>2019</v>
      </c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13"/>
    </row>
    <row r="681" spans="1:115" ht="15" customHeight="1" x14ac:dyDescent="0.3">
      <c r="A681" s="235"/>
      <c r="B681" s="218"/>
      <c r="C681" s="226">
        <v>2</v>
      </c>
      <c r="D681" s="104" t="s">
        <v>2505</v>
      </c>
      <c r="E681" s="104" t="s">
        <v>2501</v>
      </c>
      <c r="F681" s="400" t="str">
        <f ca="1">IF(BC681&lt;2025, "Extinct&lt; 6Yrs?",BA681)</f>
        <v>Widespread</v>
      </c>
      <c r="G681" s="369" t="s">
        <v>525</v>
      </c>
      <c r="H681" s="369" t="s">
        <v>4028</v>
      </c>
      <c r="I681" s="372" t="s">
        <v>3120</v>
      </c>
      <c r="J681" s="371" t="s">
        <v>3710</v>
      </c>
      <c r="K681" s="371" t="s">
        <v>1110</v>
      </c>
      <c r="L681" s="106" t="s">
        <v>1669</v>
      </c>
      <c r="M681" s="111" t="s">
        <v>4753</v>
      </c>
      <c r="N681" s="111" t="s">
        <v>5652</v>
      </c>
      <c r="O681" s="111" t="s">
        <v>6550</v>
      </c>
      <c r="P681" s="105" t="s">
        <v>4038</v>
      </c>
      <c r="Q681" s="104" t="s">
        <v>2552</v>
      </c>
      <c r="R681" s="105" t="s">
        <v>2530</v>
      </c>
      <c r="S681" s="105" t="s">
        <v>2495</v>
      </c>
      <c r="T681" s="133" t="str">
        <f>IF(R681="Bogs Ponds Streams","20",IF(R681="Coastal Areas","26",IF(R681="Meadows Dry Open","10",IF(R681="Forest &amp; Understory","14",IF(R681="Moist Open","12",IF(R681="Moist Shady","10",IF(R681="Sub-Alpine Slopes","0")))))))</f>
        <v>14</v>
      </c>
      <c r="U681" s="133" t="str">
        <f>IF(R681="Bogs Ponds Streams","52",IF(R681="Coastal Areas","51",IF(R681="Meadows Dry Open","53",IF(R681="Forest &amp; Understory","52",IF(R681="Moist Open","50",IF(R681="Moist Shady","46",IF(R681="Sub-Alpine Slopes","40")))))))</f>
        <v>52</v>
      </c>
      <c r="V681" s="133" t="str">
        <f>IF(R681="Bogs Ponds Streams","84",IF(R681="Coastal Areas","76",IF(R681="Meadows Dry Open","96", IF(R681="Forest &amp; Understory","90", IF(R681="Moist Open","88", IF(R681="Moist Shady","82", IF(R681="Sub-Alpine Slopes","80")))))))</f>
        <v>90</v>
      </c>
      <c r="W681" s="104">
        <v>20</v>
      </c>
      <c r="X681" s="104">
        <v>0</v>
      </c>
      <c r="Y681" s="104">
        <v>3500</v>
      </c>
      <c r="Z681" s="104" t="s">
        <v>2519</v>
      </c>
      <c r="AA681" s="104" t="s">
        <v>2518</v>
      </c>
      <c r="AB681" s="104">
        <v>6.8</v>
      </c>
      <c r="AC681" s="107">
        <f>C680+AK681+(0.1)*AL681</f>
        <v>16.2</v>
      </c>
      <c r="AD681" s="113">
        <v>61</v>
      </c>
      <c r="AE681" s="104">
        <v>5</v>
      </c>
      <c r="AF681" s="104">
        <v>5</v>
      </c>
      <c r="AG681" s="104">
        <v>1900</v>
      </c>
      <c r="AH681" s="113">
        <v>0</v>
      </c>
      <c r="AI681" s="104">
        <f>AJ681</f>
        <v>2018</v>
      </c>
      <c r="AJ681" s="108">
        <v>2018</v>
      </c>
      <c r="AK681" s="108">
        <v>6</v>
      </c>
      <c r="AL681" s="108">
        <v>22</v>
      </c>
      <c r="AM681" s="109">
        <v>5</v>
      </c>
      <c r="AN681" s="109">
        <v>3</v>
      </c>
      <c r="AO681" s="109">
        <v>3</v>
      </c>
      <c r="AP681" s="109">
        <v>3</v>
      </c>
      <c r="AQ681" s="109">
        <v>0</v>
      </c>
      <c r="AR681" s="109">
        <v>0</v>
      </c>
      <c r="AS681" s="110">
        <v>0</v>
      </c>
      <c r="AT681" s="109">
        <v>0</v>
      </c>
      <c r="AU681" s="109">
        <v>0</v>
      </c>
      <c r="AV681" s="109">
        <v>0</v>
      </c>
      <c r="AW681" s="110">
        <v>0</v>
      </c>
      <c r="AX681" s="109">
        <v>0</v>
      </c>
      <c r="AY681" s="233"/>
      <c r="AZ681" s="4"/>
      <c r="BA681" s="35" t="str">
        <f>IF(OR(S681="North America",S681="Rocky Mountain"), "Widespread",BC681)</f>
        <v>Widespread</v>
      </c>
      <c r="BB681" s="4"/>
      <c r="BC681" s="35" t="str">
        <f ca="1">IF(BE681&gt;2046, "Abundant",BE681)</f>
        <v>Abundant</v>
      </c>
      <c r="BD681" s="4"/>
      <c r="BE681" s="81">
        <f ca="1">YEAR($C$13)+(BG681*80)</f>
        <v>2102.1685328579915</v>
      </c>
      <c r="BF681" s="4"/>
      <c r="BG681" s="137">
        <f ca="1">BH681*$BH$14</f>
        <v>1.0396066607248959</v>
      </c>
      <c r="BH681" s="137">
        <f ca="1">(((BJ681+BK681+BM681+BN681)/4)*$BM$11)+(((BP681+BQ681)/2)*$BQ$11)+(((BU681+BV681+BW681)/3)*$BU$11)+(((BY681+BZ681+CA681+CB681+CC681)/5)*$CA$11)</f>
        <v>1.0396066607248959</v>
      </c>
      <c r="BI681" s="4"/>
      <c r="BJ681" s="33">
        <f>AP681/(AM681+AO681)</f>
        <v>0.375</v>
      </c>
      <c r="BK681" s="33">
        <f>(AN681+AO681)/(AM681+AO681)</f>
        <v>0.75</v>
      </c>
      <c r="BL681" s="4"/>
      <c r="BM681" s="127">
        <f>CF681/102</f>
        <v>0.1588235294117647</v>
      </c>
      <c r="BN681" s="127">
        <f>C680/2</f>
        <v>4</v>
      </c>
      <c r="BO681" s="4"/>
      <c r="BP681" s="127">
        <f>(AK681)/($AW$6)</f>
        <v>6.0606060606060608E-2</v>
      </c>
      <c r="BQ681" s="127">
        <f ca="1">(CH681-$AW$4)/((YEAR($C$13))-$AW$4)</f>
        <v>0.93333333333333335</v>
      </c>
      <c r="BR681" s="127">
        <f>(AL681)/($AW$6)</f>
        <v>0.22222222222222221</v>
      </c>
      <c r="BS681" s="4"/>
      <c r="BT681" s="127"/>
      <c r="BU681" s="127">
        <f ca="1">(CG681-$AW$4)/((YEAR($C$13))-$AW$4)</f>
        <v>0.93333333333333335</v>
      </c>
      <c r="BV681" s="127">
        <f>AE681/5</f>
        <v>1</v>
      </c>
      <c r="BW681" s="127">
        <f>AF681/5</f>
        <v>1</v>
      </c>
      <c r="BX681" s="4"/>
      <c r="BY681" s="148" t="str">
        <f>IF(E681="A",".98",IF(E681="B",".99",IF(E681="C","1.00",IF(E681="D","1.00" ))))</f>
        <v>1.00</v>
      </c>
      <c r="BZ681" s="127">
        <f>(CE681+7)/10</f>
        <v>1</v>
      </c>
      <c r="CA681" s="76" t="str">
        <f>IF(D681="Fern",".97",IF(D681="Grass",".99",IF(D681="Herb",".97",IF(D681="Shrub",".99",IF(D681="Tree","1.00",IF(D681="Vine",".98"))))))</f>
        <v>.97</v>
      </c>
      <c r="CB681" s="149" t="str">
        <f>IF(R681="Bogs Ponds Streams",".96", IF(R681="Coastal Areas",".97",IF(R681="Meadows Dry Open",".96",IF(R681="Forest &amp; Understory",".97",IF(R681="Moist Open",".98",IF(R681="Moist Shady",".96",IF(R681="Sub-Alpine","1.0")))))))</f>
        <v>.97</v>
      </c>
      <c r="CC681" s="76" t="str">
        <f>IF(S681="Local Endemic",".50",IF(S681="Regional Endemic",".70",IF(S681="Cascadia",".90",IF(S681="Rocky Mountain",".95",IF(S681="North America",".99")))))</f>
        <v>.99</v>
      </c>
      <c r="CD681" s="4"/>
      <c r="CE681" s="21">
        <f>IF(W681&gt;3,3,W681)</f>
        <v>3</v>
      </c>
      <c r="CF681" s="21">
        <f>IF(AC681&gt;102,102,AC681)</f>
        <v>16.2</v>
      </c>
      <c r="CG681" s="34">
        <f>IF(AI681&lt;$AW$4,$AW$4,AI681)</f>
        <v>2018</v>
      </c>
      <c r="CH681" s="34">
        <f>IF(AJ681&lt;$AW$4,$AW$4,AJ681)</f>
        <v>2018</v>
      </c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</row>
    <row r="682" spans="1:115" ht="15" customHeight="1" x14ac:dyDescent="0.3">
      <c r="A682" s="235"/>
      <c r="B682" s="218"/>
      <c r="C682" s="375">
        <v>1</v>
      </c>
      <c r="D682" s="95" t="s">
        <v>1155</v>
      </c>
      <c r="E682" s="67" t="s">
        <v>2501</v>
      </c>
      <c r="F682" s="403" t="str">
        <f ca="1">IF(BC682&lt;2025, "Extinct&lt; 6Yrs?",BA682)</f>
        <v>Widespread</v>
      </c>
      <c r="G682" s="376" t="s">
        <v>525</v>
      </c>
      <c r="H682" s="376" t="s">
        <v>4028</v>
      </c>
      <c r="I682" s="379" t="s">
        <v>2696</v>
      </c>
      <c r="J682" s="378" t="s">
        <v>3528</v>
      </c>
      <c r="K682" s="378" t="s">
        <v>2805</v>
      </c>
      <c r="L682" s="65" t="s">
        <v>1670</v>
      </c>
      <c r="M682" s="64" t="s">
        <v>4754</v>
      </c>
      <c r="N682" s="64" t="s">
        <v>5653</v>
      </c>
      <c r="O682" s="64" t="s">
        <v>6551</v>
      </c>
      <c r="P682" s="404" t="s">
        <v>468</v>
      </c>
      <c r="Q682" s="67" t="s">
        <v>2552</v>
      </c>
      <c r="R682" s="163" t="s">
        <v>2497</v>
      </c>
      <c r="S682" s="61" t="s">
        <v>2495</v>
      </c>
      <c r="T682" s="134" t="str">
        <f>IF(R682="Bogs Ponds Streams","20",IF(R682="Coastal Areas","26",IF(R682="Meadows Dry Open","10",IF(R682="Forest &amp; Understory","14",IF(R682="Moist Open","12",IF(R682="Moist Shady","10",IF(R682="Sub-Alpine Slopes","0")))))))</f>
        <v>12</v>
      </c>
      <c r="U682" s="134" t="str">
        <f>IF(R682="Bogs Ponds Streams","52",IF(R682="Coastal Areas","51",IF(R682="Meadows Dry Open","53",IF(R682="Forest &amp; Understory","52",IF(R682="Moist Open","50",IF(R682="Moist Shady","46",IF(R682="Sub-Alpine Slopes","40")))))))</f>
        <v>50</v>
      </c>
      <c r="V682" s="134" t="str">
        <f>IF(R682="Bogs Ponds Streams","84",IF(R682="Coastal Areas","76",IF(R682="Meadows Dry Open","96", IF(R682="Forest &amp; Understory","90", IF(R682="Moist Open","88", IF(R682="Moist Shady","82", IF(R682="Sub-Alpine Slopes","80")))))))</f>
        <v>88</v>
      </c>
      <c r="W682" s="67">
        <v>20</v>
      </c>
      <c r="X682" s="67">
        <v>0</v>
      </c>
      <c r="Y682" s="67">
        <v>3500</v>
      </c>
      <c r="Z682" s="67" t="s">
        <v>2519</v>
      </c>
      <c r="AA682" s="67" t="s">
        <v>2518</v>
      </c>
      <c r="AB682" s="67">
        <v>6.8</v>
      </c>
      <c r="AC682" s="85">
        <f>C682+AK682+(0.1)*AL682</f>
        <v>7.2</v>
      </c>
      <c r="AD682" s="78">
        <v>19</v>
      </c>
      <c r="AE682" s="67">
        <v>5</v>
      </c>
      <c r="AF682" s="67">
        <v>5</v>
      </c>
      <c r="AG682" s="67">
        <v>1900</v>
      </c>
      <c r="AH682" s="78">
        <v>0</v>
      </c>
      <c r="AI682" s="67">
        <f>AJ682</f>
        <v>2004</v>
      </c>
      <c r="AJ682" s="69">
        <v>2004</v>
      </c>
      <c r="AK682" s="69">
        <v>6</v>
      </c>
      <c r="AL682" s="69">
        <v>2</v>
      </c>
      <c r="AM682" s="70">
        <v>5</v>
      </c>
      <c r="AN682" s="70">
        <v>0</v>
      </c>
      <c r="AO682" s="86">
        <v>0</v>
      </c>
      <c r="AP682" s="70">
        <v>0</v>
      </c>
      <c r="AQ682" s="70">
        <v>0</v>
      </c>
      <c r="AR682" s="70">
        <v>0</v>
      </c>
      <c r="AS682" s="86">
        <v>0</v>
      </c>
      <c r="AT682" s="70">
        <v>0</v>
      </c>
      <c r="AU682" s="70">
        <v>0</v>
      </c>
      <c r="AV682" s="70">
        <v>0</v>
      </c>
      <c r="AW682" s="86">
        <v>0</v>
      </c>
      <c r="AX682" s="70">
        <v>0</v>
      </c>
      <c r="AY682" s="233"/>
      <c r="AZ682" s="4"/>
      <c r="BA682" s="35" t="str">
        <f>IF(OR(S682="North America",S682="Rocky Mountain"), "Widespread",BC682)</f>
        <v>Widespread</v>
      </c>
      <c r="BB682" s="4"/>
      <c r="BC682" s="35">
        <f ca="1">IF(BE682&gt;2046, "Abundant",BE682)</f>
        <v>2032.4281982174689</v>
      </c>
      <c r="BD682" s="4"/>
      <c r="BE682" s="81">
        <f ca="1">YEAR($C$13)+(BG682*80)</f>
        <v>2032.4281982174689</v>
      </c>
      <c r="BF682" s="4"/>
      <c r="BG682" s="137">
        <f ca="1">BH682*$BH$14</f>
        <v>0.16785247771836007</v>
      </c>
      <c r="BH682" s="137">
        <f ca="1">(((BJ682+BK682+BM682+BN682)/4)*$BM$11)+(((BP682+BQ682)/2)*$BQ$11)+(((BU682+BV682+BW682)/3)*$BU$11)+(((BY682+BZ682+CA682+CB682+CC682)/5)*$CA$11)</f>
        <v>0.16785247771836007</v>
      </c>
      <c r="BI682" s="4"/>
      <c r="BJ682" s="33">
        <f>AP682/(AM682+AO682)</f>
        <v>0</v>
      </c>
      <c r="BK682" s="33">
        <f>(AN682+AO682)/(AM682+AO682)</f>
        <v>0</v>
      </c>
      <c r="BL682" s="4"/>
      <c r="BM682" s="127">
        <f>CF682/102</f>
        <v>7.0588235294117646E-2</v>
      </c>
      <c r="BN682" s="127">
        <f>C682/2</f>
        <v>0.5</v>
      </c>
      <c r="BO682" s="4"/>
      <c r="BP682" s="127">
        <f>(AK682)/($AW$6)</f>
        <v>6.0606060606060608E-2</v>
      </c>
      <c r="BQ682" s="127">
        <f ca="1">(CH682-$AW$4)/((YEAR($C$13))-$AW$4)</f>
        <v>0</v>
      </c>
      <c r="BR682" s="127">
        <f>(AL682)/($AW$6)</f>
        <v>2.0202020202020204E-2</v>
      </c>
      <c r="BS682" s="4"/>
      <c r="BT682" s="127"/>
      <c r="BU682" s="127">
        <f ca="1">(CG682-$AW$4)/((YEAR($C$13))-$AW$4)</f>
        <v>0</v>
      </c>
      <c r="BV682" s="127">
        <f>AE682/5</f>
        <v>1</v>
      </c>
      <c r="BW682" s="127">
        <f>AF682/5</f>
        <v>1</v>
      </c>
      <c r="BX682" s="4"/>
      <c r="BY682" s="148" t="str">
        <f>IF(E682="A",".98",IF(E682="B",".99",IF(E682="C","1.00",IF(E682="D","1.00" ))))</f>
        <v>1.00</v>
      </c>
      <c r="BZ682" s="127">
        <f>(CE682+7)/10</f>
        <v>1</v>
      </c>
      <c r="CA682" s="76" t="str">
        <f>IF(D682="Fern",".97",IF(D682="Grass",".99",IF(D682="Herb",".97",IF(D682="Shrub",".99",IF(D682="Tree","1.00",IF(D682="Vine",".98"))))))</f>
        <v>.99</v>
      </c>
      <c r="CB682" s="149" t="str">
        <f>IF(R682="Bogs Ponds Streams",".96", IF(R682="Coastal Areas",".97",IF(R682="Meadows Dry Open",".96",IF(R682="Forest &amp; Understory",".97",IF(R682="Moist Open",".98",IF(R682="Moist Shady",".96",IF(R682="Sub-Alpine","1.0")))))))</f>
        <v>.98</v>
      </c>
      <c r="CC682" s="76" t="str">
        <f>IF(S682="Local Endemic",".50",IF(S682="Regional Endemic",".70",IF(S682="Cascadia",".90",IF(S682="Rocky Mountain",".95",IF(S682="North America",".99")))))</f>
        <v>.99</v>
      </c>
      <c r="CD682" s="4"/>
      <c r="CE682" s="21">
        <f>IF(W682&gt;3,3,W682)</f>
        <v>3</v>
      </c>
      <c r="CF682" s="21">
        <f>IF(AC682&gt;102,102,AC682)</f>
        <v>7.2</v>
      </c>
      <c r="CG682" s="34">
        <f>IF(AI682&lt;$AW$4,$AW$4,AI682)</f>
        <v>2004</v>
      </c>
      <c r="CH682" s="34">
        <f>IF(AJ682&lt;$AW$4,$AW$4,AJ682)</f>
        <v>2004</v>
      </c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13"/>
    </row>
    <row r="683" spans="1:115" ht="15" customHeight="1" x14ac:dyDescent="0.3">
      <c r="A683" s="235"/>
      <c r="B683" s="218"/>
      <c r="C683" s="375">
        <v>1</v>
      </c>
      <c r="D683" s="67" t="s">
        <v>2505</v>
      </c>
      <c r="E683" s="67" t="s">
        <v>2501</v>
      </c>
      <c r="F683" s="403">
        <f ca="1">IF(BC683&lt;2025, "Extinct&lt; 6Yrs?",BA683)</f>
        <v>2036.1561098039215</v>
      </c>
      <c r="G683" s="376" t="s">
        <v>525</v>
      </c>
      <c r="H683" s="376" t="s">
        <v>4028</v>
      </c>
      <c r="I683" s="379" t="s">
        <v>2697</v>
      </c>
      <c r="J683" s="378" t="s">
        <v>3527</v>
      </c>
      <c r="K683" s="378" t="s">
        <v>2490</v>
      </c>
      <c r="L683" s="65" t="s">
        <v>1671</v>
      </c>
      <c r="M683" s="64" t="s">
        <v>4755</v>
      </c>
      <c r="N683" s="64" t="s">
        <v>5654</v>
      </c>
      <c r="O683" s="64" t="s">
        <v>6552</v>
      </c>
      <c r="P683" s="404" t="s">
        <v>303</v>
      </c>
      <c r="Q683" s="67" t="s">
        <v>2552</v>
      </c>
      <c r="R683" s="61" t="s">
        <v>2500</v>
      </c>
      <c r="S683" s="61" t="s">
        <v>2309</v>
      </c>
      <c r="T683" s="134" t="str">
        <f>IF(R683="Bogs Ponds Streams","20",IF(R683="Coastal Areas","26",IF(R683="Meadows Dry Open","10",IF(R683="Forest &amp; Understory","14",IF(R683="Moist Open","12",IF(R683="Moist Shady","10",IF(R683="Sub-Alpine Slopes","0")))))))</f>
        <v>10</v>
      </c>
      <c r="U683" s="134" t="str">
        <f>IF(R683="Bogs Ponds Streams","52",IF(R683="Coastal Areas","51",IF(R683="Meadows Dry Open","53",IF(R683="Forest &amp; Understory","52",IF(R683="Moist Open","50",IF(R683="Moist Shady","46",IF(R683="Sub-Alpine Slopes","40")))))))</f>
        <v>53</v>
      </c>
      <c r="V683" s="134" t="str">
        <f>IF(R683="Bogs Ponds Streams","84",IF(R683="Coastal Areas","76",IF(R683="Meadows Dry Open","96", IF(R683="Forest &amp; Understory","90", IF(R683="Moist Open","88", IF(R683="Moist Shady","82", IF(R683="Sub-Alpine Slopes","80")))))))</f>
        <v>96</v>
      </c>
      <c r="W683" s="67">
        <v>20</v>
      </c>
      <c r="X683" s="67">
        <v>0</v>
      </c>
      <c r="Y683" s="67">
        <v>3500</v>
      </c>
      <c r="Z683" s="67" t="s">
        <v>2519</v>
      </c>
      <c r="AA683" s="67" t="s">
        <v>2518</v>
      </c>
      <c r="AB683" s="67">
        <v>6.8</v>
      </c>
      <c r="AC683" s="85">
        <f>C683+AK683+(0.1)*AL683</f>
        <v>23.3</v>
      </c>
      <c r="AD683" s="78">
        <v>25</v>
      </c>
      <c r="AE683" s="67">
        <v>5</v>
      </c>
      <c r="AF683" s="67">
        <v>5</v>
      </c>
      <c r="AG683" s="67">
        <v>1900</v>
      </c>
      <c r="AH683" s="78">
        <v>0</v>
      </c>
      <c r="AI683" s="67">
        <f>AJ683</f>
        <v>2004</v>
      </c>
      <c r="AJ683" s="69">
        <v>2004</v>
      </c>
      <c r="AK683" s="69">
        <v>22</v>
      </c>
      <c r="AL683" s="69">
        <v>3</v>
      </c>
      <c r="AM683" s="70">
        <v>5</v>
      </c>
      <c r="AN683" s="70">
        <v>0</v>
      </c>
      <c r="AO683" s="86">
        <v>0</v>
      </c>
      <c r="AP683" s="70">
        <v>0</v>
      </c>
      <c r="AQ683" s="70">
        <v>0</v>
      </c>
      <c r="AR683" s="70">
        <v>0</v>
      </c>
      <c r="AS683" s="86">
        <v>0</v>
      </c>
      <c r="AT683" s="70">
        <v>0</v>
      </c>
      <c r="AU683" s="70">
        <v>0</v>
      </c>
      <c r="AV683" s="70">
        <v>0</v>
      </c>
      <c r="AW683" s="86">
        <v>0</v>
      </c>
      <c r="AX683" s="70">
        <v>0</v>
      </c>
      <c r="AY683" s="233"/>
      <c r="AZ683" s="4"/>
      <c r="BA683" s="35">
        <f ca="1">IF(OR(S683="North America",S683="Rocky Mountain"), "Widespread",BC683)</f>
        <v>2036.1561098039215</v>
      </c>
      <c r="BB683" s="4"/>
      <c r="BC683" s="35">
        <f ca="1">IF(BE683&gt;2046, "Abundant",BE683)</f>
        <v>2036.1561098039215</v>
      </c>
      <c r="BD683" s="4"/>
      <c r="BE683" s="81">
        <f ca="1">YEAR($C$13)+(BG683*80)</f>
        <v>2036.1561098039215</v>
      </c>
      <c r="BF683" s="4"/>
      <c r="BG683" s="137">
        <f ca="1">BH683*$BH$14</f>
        <v>0.21445137254901961</v>
      </c>
      <c r="BH683" s="137">
        <f ca="1">(((BJ683+BK683+BM683+BN683)/4)*$BM$11)+(((BP683+BQ683)/2)*$BQ$11)+(((BU683+BV683+BW683)/3)*$BU$11)+(((BY683+BZ683+CA683+CB683+CC683)/5)*$CA$11)</f>
        <v>0.21445137254901961</v>
      </c>
      <c r="BI683" s="4"/>
      <c r="BJ683" s="33">
        <f>AP683/(AM683+AO683)</f>
        <v>0</v>
      </c>
      <c r="BK683" s="33">
        <f>(AN683+AO683)/(AM683+AO683)</f>
        <v>0</v>
      </c>
      <c r="BL683" s="4"/>
      <c r="BM683" s="127">
        <f>CF683/102</f>
        <v>0.2284313725490196</v>
      </c>
      <c r="BN683" s="127">
        <f>C683/2</f>
        <v>0.5</v>
      </c>
      <c r="BO683" s="4"/>
      <c r="BP683" s="127">
        <f>(AK683)/($AW$6)</f>
        <v>0.22222222222222221</v>
      </c>
      <c r="BQ683" s="127">
        <f ca="1">(CH683-$AW$4)/((YEAR($C$13))-$AW$4)</f>
        <v>0</v>
      </c>
      <c r="BR683" s="127">
        <f>(AL683)/($AW$6)</f>
        <v>3.0303030303030304E-2</v>
      </c>
      <c r="BS683" s="4"/>
      <c r="BT683" s="127"/>
      <c r="BU683" s="127">
        <f ca="1">(CG683-$AW$4)/((YEAR($C$13))-$AW$4)</f>
        <v>0</v>
      </c>
      <c r="BV683" s="127">
        <f>AE683/5</f>
        <v>1</v>
      </c>
      <c r="BW683" s="127">
        <f>AF683/5</f>
        <v>1</v>
      </c>
      <c r="BX683" s="4"/>
      <c r="BY683" s="148" t="str">
        <f>IF(E683="A",".98",IF(E683="B",".99",IF(E683="C","1.00",IF(E683="D","1.00" ))))</f>
        <v>1.00</v>
      </c>
      <c r="BZ683" s="127">
        <f>(CE683+7)/10</f>
        <v>1</v>
      </c>
      <c r="CA683" s="76" t="str">
        <f>IF(D683="Fern",".97",IF(D683="Grass",".99",IF(D683="Herb",".97",IF(D683="Shrub",".99",IF(D683="Tree","1.00",IF(D683="Vine",".98"))))))</f>
        <v>.97</v>
      </c>
      <c r="CB683" s="149" t="str">
        <f>IF(R683="Bogs Ponds Streams",".96", IF(R683="Coastal Areas",".97",IF(R683="Meadows Dry Open",".96",IF(R683="Forest &amp; Understory",".97",IF(R683="Moist Open",".98",IF(R683="Moist Shady",".96",IF(R683="Sub-Alpine","1.0")))))))</f>
        <v>.96</v>
      </c>
      <c r="CC683" s="76" t="str">
        <f>IF(S683="Local Endemic",".50",IF(S683="Regional Endemic",".70",IF(S683="Cascadia",".90",IF(S683="Rocky Mountain",".95",IF(S683="North America",".99")))))</f>
        <v>.70</v>
      </c>
      <c r="CD683" s="4"/>
      <c r="CE683" s="21">
        <f>IF(W683&gt;3,3,W683)</f>
        <v>3</v>
      </c>
      <c r="CF683" s="21">
        <f>IF(AC683&gt;102,102,AC683)</f>
        <v>23.3</v>
      </c>
      <c r="CG683" s="34">
        <f>IF(AI683&lt;$AW$4,$AW$4,AI683)</f>
        <v>2004</v>
      </c>
      <c r="CH683" s="34">
        <f>IF(AJ683&lt;$AW$4,$AW$4,AJ683)</f>
        <v>2004</v>
      </c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</row>
    <row r="684" spans="1:115" ht="15" customHeight="1" x14ac:dyDescent="0.3">
      <c r="A684" s="235"/>
      <c r="B684" s="218"/>
      <c r="C684" s="226">
        <v>2</v>
      </c>
      <c r="D684" s="104" t="s">
        <v>2505</v>
      </c>
      <c r="E684" s="104" t="s">
        <v>2501</v>
      </c>
      <c r="F684" s="400" t="str">
        <f ca="1">IF(BC684&lt;2025, "Extinct&lt; 6Yrs?",BA684)</f>
        <v>Widespread</v>
      </c>
      <c r="G684" s="369" t="s">
        <v>525</v>
      </c>
      <c r="H684" s="369" t="s">
        <v>4028</v>
      </c>
      <c r="I684" s="372" t="s">
        <v>563</v>
      </c>
      <c r="J684" s="371" t="s">
        <v>3709</v>
      </c>
      <c r="K684" s="371" t="s">
        <v>1111</v>
      </c>
      <c r="L684" s="106" t="s">
        <v>1672</v>
      </c>
      <c r="M684" s="111" t="s">
        <v>4756</v>
      </c>
      <c r="N684" s="111" t="s">
        <v>5655</v>
      </c>
      <c r="O684" s="111" t="s">
        <v>6553</v>
      </c>
      <c r="P684" s="105" t="s">
        <v>198</v>
      </c>
      <c r="Q684" s="104" t="s">
        <v>2552</v>
      </c>
      <c r="R684" s="105" t="s">
        <v>2498</v>
      </c>
      <c r="S684" s="105" t="s">
        <v>2495</v>
      </c>
      <c r="T684" s="133" t="str">
        <f>IF(R684="Bogs Ponds Streams","20",IF(R684="Coastal Areas","26",IF(R684="Meadows Dry Open","10",IF(R684="Forest &amp; Understory","14",IF(R684="Moist Open","12",IF(R684="Moist Shady","10",IF(R684="Sub-Alpine Slopes","0")))))))</f>
        <v>10</v>
      </c>
      <c r="U684" s="133" t="str">
        <f>IF(R684="Bogs Ponds Streams","52",IF(R684="Coastal Areas","51",IF(R684="Meadows Dry Open","53",IF(R684="Forest &amp; Understory","52",IF(R684="Moist Open","50",IF(R684="Moist Shady","46",IF(R684="Sub-Alpine Slopes","40")))))))</f>
        <v>46</v>
      </c>
      <c r="V684" s="133" t="str">
        <f>IF(R684="Bogs Ponds Streams","84",IF(R684="Coastal Areas","76",IF(R684="Meadows Dry Open","96", IF(R684="Forest &amp; Understory","90", IF(R684="Moist Open","88", IF(R684="Moist Shady","82", IF(R684="Sub-Alpine Slopes","80")))))))</f>
        <v>82</v>
      </c>
      <c r="W684" s="104">
        <v>20</v>
      </c>
      <c r="X684" s="104">
        <v>0</v>
      </c>
      <c r="Y684" s="104">
        <v>3500</v>
      </c>
      <c r="Z684" s="104" t="s">
        <v>2519</v>
      </c>
      <c r="AA684" s="104" t="s">
        <v>2518</v>
      </c>
      <c r="AB684" s="104">
        <v>6.8</v>
      </c>
      <c r="AC684" s="107">
        <f>C683+AK684+(0.1)*AL684</f>
        <v>26.3</v>
      </c>
      <c r="AD684" s="113">
        <v>252</v>
      </c>
      <c r="AE684" s="104">
        <v>5</v>
      </c>
      <c r="AF684" s="104">
        <v>5</v>
      </c>
      <c r="AG684" s="104">
        <v>1900</v>
      </c>
      <c r="AH684" s="113">
        <v>0</v>
      </c>
      <c r="AI684" s="104">
        <f>AJ684</f>
        <v>2018</v>
      </c>
      <c r="AJ684" s="108">
        <v>2018</v>
      </c>
      <c r="AK684" s="108">
        <v>22</v>
      </c>
      <c r="AL684" s="108">
        <v>33</v>
      </c>
      <c r="AM684" s="109">
        <v>5</v>
      </c>
      <c r="AN684" s="109">
        <v>5</v>
      </c>
      <c r="AO684" s="110">
        <v>0</v>
      </c>
      <c r="AP684" s="109">
        <v>5</v>
      </c>
      <c r="AQ684" s="109">
        <v>0</v>
      </c>
      <c r="AR684" s="109">
        <v>0</v>
      </c>
      <c r="AS684" s="110">
        <v>0</v>
      </c>
      <c r="AT684" s="109">
        <v>0</v>
      </c>
      <c r="AU684" s="109">
        <v>0</v>
      </c>
      <c r="AV684" s="109">
        <v>0</v>
      </c>
      <c r="AW684" s="110">
        <v>0</v>
      </c>
      <c r="AX684" s="109">
        <v>0</v>
      </c>
      <c r="AY684" s="233"/>
      <c r="AZ684" s="4"/>
      <c r="BA684" s="35" t="str">
        <f>IF(OR(S684="North America",S684="Rocky Mountain"), "Widespread",BC684)</f>
        <v>Widespread</v>
      </c>
      <c r="BB684" s="4"/>
      <c r="BC684" s="35" t="str">
        <f ca="1">IF(BE684&gt;2046, "Abundant",BE684)</f>
        <v>Abundant</v>
      </c>
      <c r="BD684" s="4"/>
      <c r="BE684" s="81">
        <f ca="1">YEAR($C$13)+(BG684*80)</f>
        <v>2073.7929620915033</v>
      </c>
      <c r="BF684" s="4"/>
      <c r="BG684" s="137">
        <f ca="1">BH684*$BH$14</f>
        <v>0.68491202614379076</v>
      </c>
      <c r="BH684" s="137">
        <f ca="1">(((BJ684+BK684+BM684+BN684)/4)*$BM$11)+(((BP684+BQ684)/2)*$BQ$11)+(((BU684+BV684+BW684)/3)*$BU$11)+(((BY684+BZ684+CA684+CB684+CC684)/5)*$CA$11)</f>
        <v>0.68491202614379076</v>
      </c>
      <c r="BI684" s="4"/>
      <c r="BJ684" s="33">
        <f>AP684/(AM684+AO684)</f>
        <v>1</v>
      </c>
      <c r="BK684" s="33">
        <f>(AN684+AO684)/(AM684+AO684)</f>
        <v>1</v>
      </c>
      <c r="BL684" s="4"/>
      <c r="BM684" s="127">
        <f>CF684/102</f>
        <v>0.25784313725490199</v>
      </c>
      <c r="BN684" s="127">
        <f>C683/2</f>
        <v>0.5</v>
      </c>
      <c r="BO684" s="4"/>
      <c r="BP684" s="127">
        <f>(AK684)/($AW$6)</f>
        <v>0.22222222222222221</v>
      </c>
      <c r="BQ684" s="127">
        <f ca="1">(CH684-$AW$4)/((YEAR($C$13))-$AW$4)</f>
        <v>0.93333333333333335</v>
      </c>
      <c r="BR684" s="127">
        <f>(AL684)/($AW$6)</f>
        <v>0.33333333333333331</v>
      </c>
      <c r="BS684" s="4"/>
      <c r="BT684" s="127"/>
      <c r="BU684" s="127">
        <f ca="1">(CG684-$AW$4)/((YEAR($C$13))-$AW$4)</f>
        <v>0.93333333333333335</v>
      </c>
      <c r="BV684" s="127">
        <f>AE684/5</f>
        <v>1</v>
      </c>
      <c r="BW684" s="127">
        <f>AF684/5</f>
        <v>1</v>
      </c>
      <c r="BX684" s="4"/>
      <c r="BY684" s="148" t="str">
        <f>IF(E684="A",".98",IF(E684="B",".99",IF(E684="C","1.00",IF(E684="D","1.00" ))))</f>
        <v>1.00</v>
      </c>
      <c r="BZ684" s="127">
        <f>(CE684+7)/10</f>
        <v>1</v>
      </c>
      <c r="CA684" s="76" t="str">
        <f>IF(D684="Fern",".97",IF(D684="Grass",".99",IF(D684="Herb",".97",IF(D684="Shrub",".99",IF(D684="Tree","1.00",IF(D684="Vine",".98"))))))</f>
        <v>.97</v>
      </c>
      <c r="CB684" s="149" t="str">
        <f>IF(R684="Bogs Ponds Streams",".96", IF(R684="Coastal Areas",".97",IF(R684="Meadows Dry Open",".96",IF(R684="Forest &amp; Understory",".97",IF(R684="Moist Open",".98",IF(R684="Moist Shady",".96",IF(R684="Sub-Alpine","1.0")))))))</f>
        <v>.96</v>
      </c>
      <c r="CC684" s="76" t="str">
        <f>IF(S684="Local Endemic",".50",IF(S684="Regional Endemic",".70",IF(S684="Cascadia",".90",IF(S684="Rocky Mountain",".95",IF(S684="North America",".99")))))</f>
        <v>.99</v>
      </c>
      <c r="CD684" s="4"/>
      <c r="CE684" s="21">
        <f>IF(W684&gt;3,3,W684)</f>
        <v>3</v>
      </c>
      <c r="CF684" s="21">
        <f>IF(AC684&gt;102,102,AC684)</f>
        <v>26.3</v>
      </c>
      <c r="CG684" s="34">
        <f>IF(AI684&lt;$AW$4,$AW$4,AI684)</f>
        <v>2018</v>
      </c>
      <c r="CH684" s="34">
        <f>IF(AJ684&lt;$AW$4,$AW$4,AJ684)</f>
        <v>2018</v>
      </c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</row>
    <row r="685" spans="1:115" ht="15" customHeight="1" x14ac:dyDescent="0.3">
      <c r="A685" s="235"/>
      <c r="B685" s="218"/>
      <c r="C685" s="225">
        <v>8</v>
      </c>
      <c r="D685" s="59" t="s">
        <v>2505</v>
      </c>
      <c r="E685" s="59" t="s">
        <v>2501</v>
      </c>
      <c r="F685" s="397" t="str">
        <f ca="1">IF(BC685&lt;2025, "Extinct&lt; 6Yrs?",BA685)</f>
        <v>Widespread</v>
      </c>
      <c r="G685" s="363" t="s">
        <v>525</v>
      </c>
      <c r="H685" s="363" t="s">
        <v>696</v>
      </c>
      <c r="I685" s="364" t="s">
        <v>564</v>
      </c>
      <c r="J685" s="365" t="s">
        <v>3991</v>
      </c>
      <c r="K685" s="365" t="s">
        <v>1112</v>
      </c>
      <c r="L685" s="10" t="s">
        <v>1673</v>
      </c>
      <c r="M685" s="8" t="s">
        <v>4757</v>
      </c>
      <c r="N685" s="8" t="s">
        <v>5656</v>
      </c>
      <c r="O685" s="8" t="s">
        <v>6554</v>
      </c>
      <c r="P685" s="9" t="s">
        <v>198</v>
      </c>
      <c r="Q685" s="59" t="s">
        <v>2552</v>
      </c>
      <c r="R685" s="9" t="s">
        <v>2530</v>
      </c>
      <c r="S685" s="9" t="s">
        <v>2495</v>
      </c>
      <c r="T685" s="123" t="str">
        <f>IF(R685="Bogs Ponds Streams","20",IF(R685="Coastal Areas","26",IF(R685="Meadows Dry Open","10",IF(R685="Forest &amp; Understory","14",IF(R685="Moist Open","12",IF(R685="Moist Shady","10",IF(R685="Sub-Alpine Slopes","0")))))))</f>
        <v>14</v>
      </c>
      <c r="U685" s="123" t="str">
        <f>IF(R685="Bogs Ponds Streams","52",IF(R685="Coastal Areas","51",IF(R685="Meadows Dry Open","53",IF(R685="Forest &amp; Understory","52",IF(R685="Moist Open","50",IF(R685="Moist Shady","46",IF(R685="Sub-Alpine Slopes","40")))))))</f>
        <v>52</v>
      </c>
      <c r="V685" s="123" t="str">
        <f>IF(R685="Bogs Ponds Streams","84",IF(R685="Coastal Areas","76",IF(R685="Meadows Dry Open","96", IF(R685="Forest &amp; Understory","90", IF(R685="Moist Open","88", IF(R685="Moist Shady","82", IF(R685="Sub-Alpine Slopes","80")))))))</f>
        <v>90</v>
      </c>
      <c r="W685" s="59">
        <v>20</v>
      </c>
      <c r="X685" s="59">
        <v>0</v>
      </c>
      <c r="Y685" s="59">
        <v>3500</v>
      </c>
      <c r="Z685" s="59" t="s">
        <v>2519</v>
      </c>
      <c r="AA685" s="59" t="s">
        <v>2518</v>
      </c>
      <c r="AB685" s="59">
        <v>6.8</v>
      </c>
      <c r="AC685" s="45">
        <f>C685+AK685+(0.1)*AL685</f>
        <v>17.3</v>
      </c>
      <c r="AD685" s="77">
        <v>85</v>
      </c>
      <c r="AE685" s="59">
        <v>5</v>
      </c>
      <c r="AF685" s="59">
        <v>5</v>
      </c>
      <c r="AG685" s="59">
        <v>1900</v>
      </c>
      <c r="AH685" s="77">
        <v>0</v>
      </c>
      <c r="AI685" s="59">
        <f ca="1">AJ685</f>
        <v>2019</v>
      </c>
      <c r="AJ685" s="18">
        <f ca="1">YEAR(TODAY())</f>
        <v>2019</v>
      </c>
      <c r="AK685" s="18">
        <v>6</v>
      </c>
      <c r="AL685" s="18">
        <v>33</v>
      </c>
      <c r="AM685" s="18">
        <v>1</v>
      </c>
      <c r="AN685" s="18">
        <v>1</v>
      </c>
      <c r="AO685" s="25">
        <v>0</v>
      </c>
      <c r="AP685" s="24">
        <v>0</v>
      </c>
      <c r="AQ685" s="18">
        <v>0</v>
      </c>
      <c r="AR685" s="18">
        <v>0</v>
      </c>
      <c r="AS685" s="18">
        <v>0</v>
      </c>
      <c r="AT685" s="18">
        <v>0</v>
      </c>
      <c r="AU685" s="18">
        <v>0</v>
      </c>
      <c r="AV685" s="18">
        <v>0</v>
      </c>
      <c r="AW685" s="18">
        <v>0</v>
      </c>
      <c r="AX685" s="18">
        <v>0</v>
      </c>
      <c r="AY685" s="233"/>
      <c r="AZ685" s="4"/>
      <c r="BA685" s="35" t="str">
        <f>IF(OR(S685="North America",S685="Rocky Mountain"), "Widespread",BC685)</f>
        <v>Widespread</v>
      </c>
      <c r="BB685" s="4"/>
      <c r="BC685" s="35" t="str">
        <f ca="1">IF(BE685&gt;2046, "Abundant",BE685)</f>
        <v>Abundant</v>
      </c>
      <c r="BD685" s="4"/>
      <c r="BE685" s="81">
        <f ca="1">YEAR($C$13)+(BG685*80)</f>
        <v>2101.7401668449197</v>
      </c>
      <c r="BF685" s="4"/>
      <c r="BG685" s="137">
        <f ca="1">BH685*$BH$14</f>
        <v>1.0342520855614974</v>
      </c>
      <c r="BH685" s="137">
        <f ca="1">(((BJ685+BK685+BM685+BN685)/4)*$BM$11)+(((BP685+BQ685)/2)*$BQ$11)+(((BU685+BV685+BW685)/3)*$BU$11)+(((BY685+BZ685+CA685+CB685+CC685)/5)*$CA$11)</f>
        <v>1.0342520855614974</v>
      </c>
      <c r="BI685" s="4"/>
      <c r="BJ685" s="33">
        <f>AP685/(AM685+AO685)</f>
        <v>0</v>
      </c>
      <c r="BK685" s="33">
        <f>(AN685+AO685)/(AM685+AO685)</f>
        <v>1</v>
      </c>
      <c r="BL685" s="4"/>
      <c r="BM685" s="127">
        <f>CF685/102</f>
        <v>0.16960784313725491</v>
      </c>
      <c r="BN685" s="127">
        <f>C685/2</f>
        <v>4</v>
      </c>
      <c r="BO685" s="4"/>
      <c r="BP685" s="127">
        <f>(AK685)/($AW$6)</f>
        <v>6.0606060606060608E-2</v>
      </c>
      <c r="BQ685" s="127">
        <f ca="1">(CH685-$AW$4)/((YEAR($C$13))-$AW$4)</f>
        <v>1</v>
      </c>
      <c r="BR685" s="127">
        <f>(AL685)/($AW$6)</f>
        <v>0.33333333333333331</v>
      </c>
      <c r="BS685" s="4"/>
      <c r="BT685" s="127"/>
      <c r="BU685" s="127">
        <f ca="1">(CG685-$AW$4)/((YEAR($C$13))-$AW$4)</f>
        <v>1</v>
      </c>
      <c r="BV685" s="127">
        <f>AE685/5</f>
        <v>1</v>
      </c>
      <c r="BW685" s="127">
        <f>AF685/5</f>
        <v>1</v>
      </c>
      <c r="BX685" s="4"/>
      <c r="BY685" s="148" t="str">
        <f>IF(E685="A",".98",IF(E685="B",".99",IF(E685="C","1.00",IF(E685="D","1.00" ))))</f>
        <v>1.00</v>
      </c>
      <c r="BZ685" s="127">
        <f>(CE685+7)/10</f>
        <v>1</v>
      </c>
      <c r="CA685" s="76" t="str">
        <f>IF(D685="Fern",".97",IF(D685="Grass",".99",IF(D685="Herb",".97",IF(D685="Shrub",".99",IF(D685="Tree","1.00",IF(D685="Vine",".98"))))))</f>
        <v>.97</v>
      </c>
      <c r="CB685" s="149" t="str">
        <f>IF(R685="Bogs Ponds Streams",".96", IF(R685="Coastal Areas",".97",IF(R685="Meadows Dry Open",".96",IF(R685="Forest &amp; Understory",".97",IF(R685="Moist Open",".98",IF(R685="Moist Shady",".96",IF(R685="Sub-Alpine","1.0")))))))</f>
        <v>.97</v>
      </c>
      <c r="CC685" s="76" t="str">
        <f>IF(S685="Local Endemic",".50",IF(S685="Regional Endemic",".70",IF(S685="Cascadia",".90",IF(S685="Rocky Mountain",".95",IF(S685="North America",".99")))))</f>
        <v>.99</v>
      </c>
      <c r="CD685" s="4"/>
      <c r="CE685" s="21">
        <f>IF(W685&gt;3,3,W685)</f>
        <v>3</v>
      </c>
      <c r="CF685" s="21">
        <f>IF(AC685&gt;102,102,AC685)</f>
        <v>17.3</v>
      </c>
      <c r="CG685" s="34">
        <f ca="1">IF(AI685&lt;$AW$4,$AW$4,AI685)</f>
        <v>2019</v>
      </c>
      <c r="CH685" s="34">
        <f ca="1">IF(AJ685&lt;$AW$4,$AW$4,AJ685)</f>
        <v>2019</v>
      </c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13"/>
    </row>
    <row r="686" spans="1:115" ht="15" customHeight="1" x14ac:dyDescent="0.3">
      <c r="A686" s="235"/>
      <c r="B686" s="218"/>
      <c r="C686" s="225">
        <v>8</v>
      </c>
      <c r="D686" s="59" t="s">
        <v>2505</v>
      </c>
      <c r="E686" s="59" t="s">
        <v>2501</v>
      </c>
      <c r="F686" s="397" t="str">
        <f ca="1">IF(BC686&lt;2025, "Extinct&lt; 6Yrs?",BA686)</f>
        <v>Widespread</v>
      </c>
      <c r="G686" s="363" t="s">
        <v>525</v>
      </c>
      <c r="H686" s="363" t="s">
        <v>688</v>
      </c>
      <c r="I686" s="364" t="s">
        <v>565</v>
      </c>
      <c r="J686" s="365" t="s">
        <v>3990</v>
      </c>
      <c r="K686" s="365" t="s">
        <v>21</v>
      </c>
      <c r="L686" s="10" t="s">
        <v>1674</v>
      </c>
      <c r="M686" s="8" t="s">
        <v>4758</v>
      </c>
      <c r="N686" s="8" t="s">
        <v>5657</v>
      </c>
      <c r="O686" s="8" t="s">
        <v>6555</v>
      </c>
      <c r="P686" s="9" t="s">
        <v>198</v>
      </c>
      <c r="Q686" s="59" t="s">
        <v>2552</v>
      </c>
      <c r="R686" s="9" t="s">
        <v>2530</v>
      </c>
      <c r="S686" s="9" t="s">
        <v>2479</v>
      </c>
      <c r="T686" s="123" t="str">
        <f>IF(R686="Bogs Ponds Streams","20",IF(R686="Coastal Areas","26",IF(R686="Meadows Dry Open","10",IF(R686="Forest &amp; Understory","14",IF(R686="Moist Open","12",IF(R686="Moist Shady","10",IF(R686="Sub-Alpine Slopes","0")))))))</f>
        <v>14</v>
      </c>
      <c r="U686" s="123" t="str">
        <f>IF(R686="Bogs Ponds Streams","52",IF(R686="Coastal Areas","51",IF(R686="Meadows Dry Open","53",IF(R686="Forest &amp; Understory","52",IF(R686="Moist Open","50",IF(R686="Moist Shady","46",IF(R686="Sub-Alpine Slopes","40")))))))</f>
        <v>52</v>
      </c>
      <c r="V686" s="123" t="str">
        <f>IF(R686="Bogs Ponds Streams","84",IF(R686="Coastal Areas","76",IF(R686="Meadows Dry Open","96", IF(R686="Forest &amp; Understory","90", IF(R686="Moist Open","88", IF(R686="Moist Shady","82", IF(R686="Sub-Alpine Slopes","80")))))))</f>
        <v>90</v>
      </c>
      <c r="W686" s="59">
        <v>20</v>
      </c>
      <c r="X686" s="59">
        <v>0</v>
      </c>
      <c r="Y686" s="59">
        <v>3500</v>
      </c>
      <c r="Z686" s="59" t="s">
        <v>2519</v>
      </c>
      <c r="AA686" s="59" t="s">
        <v>2518</v>
      </c>
      <c r="AB686" s="59">
        <v>6.8</v>
      </c>
      <c r="AC686" s="45">
        <f>C686+AK686+(0.1)*AL686</f>
        <v>30.6</v>
      </c>
      <c r="AD686" s="77">
        <v>61</v>
      </c>
      <c r="AE686" s="59">
        <v>5</v>
      </c>
      <c r="AF686" s="59">
        <v>5</v>
      </c>
      <c r="AG686" s="59">
        <v>1900</v>
      </c>
      <c r="AH686" s="77">
        <v>0</v>
      </c>
      <c r="AI686" s="59">
        <f ca="1">AJ686</f>
        <v>2019</v>
      </c>
      <c r="AJ686" s="18">
        <f ca="1">YEAR(TODAY())</f>
        <v>2019</v>
      </c>
      <c r="AK686" s="18">
        <v>22</v>
      </c>
      <c r="AL686" s="18">
        <v>6</v>
      </c>
      <c r="AM686" s="18">
        <v>1</v>
      </c>
      <c r="AN686" s="18">
        <v>1</v>
      </c>
      <c r="AO686" s="25">
        <v>0</v>
      </c>
      <c r="AP686" s="24">
        <v>0</v>
      </c>
      <c r="AQ686" s="18">
        <v>0</v>
      </c>
      <c r="AR686" s="18">
        <v>0</v>
      </c>
      <c r="AS686" s="18">
        <v>0</v>
      </c>
      <c r="AT686" s="18">
        <v>0</v>
      </c>
      <c r="AU686" s="18">
        <v>0</v>
      </c>
      <c r="AV686" s="18">
        <v>0</v>
      </c>
      <c r="AW686" s="18">
        <v>0</v>
      </c>
      <c r="AX686" s="18">
        <v>0</v>
      </c>
      <c r="AY686" s="233"/>
      <c r="AZ686" s="4"/>
      <c r="BA686" s="35" t="str">
        <f>IF(OR(S686="North America",S686="Rocky Mountain"), "Widespread",BC686)</f>
        <v>Widespread</v>
      </c>
      <c r="BB686" s="4"/>
      <c r="BC686" s="35" t="str">
        <f ca="1">IF(BE686&gt;2046, "Abundant",BE686)</f>
        <v>Abundant</v>
      </c>
      <c r="BD686" s="4"/>
      <c r="BE686" s="81">
        <f ca="1">YEAR($C$13)+(BG686*80)</f>
        <v>2105.2314666666666</v>
      </c>
      <c r="BF686" s="4"/>
      <c r="BG686" s="137">
        <f ca="1">BH686*$BH$14</f>
        <v>1.0778933333333334</v>
      </c>
      <c r="BH686" s="137">
        <f ca="1">(((BJ686+BK686+BM686+BN686)/4)*$BM$11)+(((BP686+BQ686)/2)*$BQ$11)+(((BU686+BV686+BW686)/3)*$BU$11)+(((BY686+BZ686+CA686+CB686+CC686)/5)*$CA$11)</f>
        <v>1.0778933333333334</v>
      </c>
      <c r="BI686" s="4"/>
      <c r="BJ686" s="33">
        <f>AP686/(AM686+AO686)</f>
        <v>0</v>
      </c>
      <c r="BK686" s="33">
        <f>(AN686+AO686)/(AM686+AO686)</f>
        <v>1</v>
      </c>
      <c r="BL686" s="4"/>
      <c r="BM686" s="127">
        <f>CF686/102</f>
        <v>0.3</v>
      </c>
      <c r="BN686" s="127">
        <f>C686/2</f>
        <v>4</v>
      </c>
      <c r="BO686" s="4"/>
      <c r="BP686" s="127">
        <f>(AK686)/($AW$6)</f>
        <v>0.22222222222222221</v>
      </c>
      <c r="BQ686" s="127">
        <f ca="1">(CH686-$AW$4)/((YEAR($C$13))-$AW$4)</f>
        <v>1</v>
      </c>
      <c r="BR686" s="127">
        <f>(AL686)/($AW$6)</f>
        <v>6.0606060606060608E-2</v>
      </c>
      <c r="BS686" s="4"/>
      <c r="BT686" s="127"/>
      <c r="BU686" s="127">
        <f ca="1">(CG686-$AW$4)/((YEAR($C$13))-$AW$4)</f>
        <v>1</v>
      </c>
      <c r="BV686" s="127">
        <f>AE686/5</f>
        <v>1</v>
      </c>
      <c r="BW686" s="127">
        <f>AF686/5</f>
        <v>1</v>
      </c>
      <c r="BX686" s="4"/>
      <c r="BY686" s="148" t="str">
        <f>IF(E686="A",".98",IF(E686="B",".99",IF(E686="C","1.00",IF(E686="D","1.00" ))))</f>
        <v>1.00</v>
      </c>
      <c r="BZ686" s="127">
        <f>(CE686+7)/10</f>
        <v>1</v>
      </c>
      <c r="CA686" s="76" t="str">
        <f>IF(D686="Fern",".97",IF(D686="Grass",".99",IF(D686="Herb",".97",IF(D686="Shrub",".99",IF(D686="Tree","1.00",IF(D686="Vine",".98"))))))</f>
        <v>.97</v>
      </c>
      <c r="CB686" s="149" t="str">
        <f>IF(R686="Bogs Ponds Streams",".96", IF(R686="Coastal Areas",".97",IF(R686="Meadows Dry Open",".96",IF(R686="Forest &amp; Understory",".97",IF(R686="Moist Open",".98",IF(R686="Moist Shady",".96",IF(R686="Sub-Alpine","1.0")))))))</f>
        <v>.97</v>
      </c>
      <c r="CC686" s="76" t="str">
        <f>IF(S686="Local Endemic",".50",IF(S686="Regional Endemic",".70",IF(S686="Cascadia",".90",IF(S686="Rocky Mountain",".95",IF(S686="North America",".99")))))</f>
        <v>.95</v>
      </c>
      <c r="CD686" s="4"/>
      <c r="CE686" s="21">
        <f>IF(W686&gt;3,3,W686)</f>
        <v>3</v>
      </c>
      <c r="CF686" s="21">
        <f>IF(AC686&gt;102,102,AC686)</f>
        <v>30.6</v>
      </c>
      <c r="CG686" s="34">
        <f ca="1">IF(AI686&lt;$AW$4,$AW$4,AI686)</f>
        <v>2019</v>
      </c>
      <c r="CH686" s="34">
        <f ca="1">IF(AJ686&lt;$AW$4,$AW$4,AJ686)</f>
        <v>2019</v>
      </c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13"/>
    </row>
    <row r="687" spans="1:115" ht="15" customHeight="1" x14ac:dyDescent="0.3">
      <c r="A687" s="235"/>
      <c r="B687" s="218"/>
      <c r="C687" s="225">
        <v>8</v>
      </c>
      <c r="D687" s="59" t="s">
        <v>2507</v>
      </c>
      <c r="E687" s="59" t="s">
        <v>2501</v>
      </c>
      <c r="F687" s="397" t="str">
        <f ca="1">IF(BC687&lt;2025, "Extinct&lt; 6Yrs?",BA687)</f>
        <v>Abundant</v>
      </c>
      <c r="G687" s="363" t="s">
        <v>525</v>
      </c>
      <c r="H687" s="363" t="s">
        <v>690</v>
      </c>
      <c r="I687" s="366" t="s">
        <v>3121</v>
      </c>
      <c r="J687" s="365" t="s">
        <v>3989</v>
      </c>
      <c r="K687" s="365" t="s">
        <v>1070</v>
      </c>
      <c r="L687" s="10" t="s">
        <v>1675</v>
      </c>
      <c r="M687" s="8" t="s">
        <v>4759</v>
      </c>
      <c r="N687" s="8" t="s">
        <v>5658</v>
      </c>
      <c r="O687" s="8" t="s">
        <v>6556</v>
      </c>
      <c r="P687" s="9" t="s">
        <v>602</v>
      </c>
      <c r="Q687" s="59" t="s">
        <v>2552</v>
      </c>
      <c r="R687" s="9" t="s">
        <v>2500</v>
      </c>
      <c r="S687" s="9" t="s">
        <v>2459</v>
      </c>
      <c r="T687" s="123" t="str">
        <f>IF(R687="Bogs Ponds Streams","20",IF(R687="Coastal Areas","26",IF(R687="Meadows Dry Open","10",IF(R687="Forest &amp; Understory","14",IF(R687="Moist Open","12",IF(R687="Moist Shady","10",IF(R687="Sub-Alpine Slopes","0")))))))</f>
        <v>10</v>
      </c>
      <c r="U687" s="123" t="str">
        <f>IF(R687="Bogs Ponds Streams","52",IF(R687="Coastal Areas","51",IF(R687="Meadows Dry Open","53",IF(R687="Forest &amp; Understory","52",IF(R687="Moist Open","50",IF(R687="Moist Shady","46",IF(R687="Sub-Alpine Slopes","40")))))))</f>
        <v>53</v>
      </c>
      <c r="V687" s="123" t="str">
        <f>IF(R687="Bogs Ponds Streams","84",IF(R687="Coastal Areas","76",IF(R687="Meadows Dry Open","96", IF(R687="Forest &amp; Understory","90", IF(R687="Moist Open","88", IF(R687="Moist Shady","82", IF(R687="Sub-Alpine Slopes","80")))))))</f>
        <v>96</v>
      </c>
      <c r="W687" s="59">
        <v>20</v>
      </c>
      <c r="X687" s="59">
        <v>0</v>
      </c>
      <c r="Y687" s="59">
        <v>3500</v>
      </c>
      <c r="Z687" s="59" t="s">
        <v>2519</v>
      </c>
      <c r="AA687" s="59" t="s">
        <v>2518</v>
      </c>
      <c r="AB687" s="59">
        <v>6.8</v>
      </c>
      <c r="AC687" s="45">
        <f>C687+AK687+(0.1)*AL687</f>
        <v>54.2</v>
      </c>
      <c r="AD687" s="77">
        <v>127</v>
      </c>
      <c r="AE687" s="59">
        <v>5</v>
      </c>
      <c r="AF687" s="59">
        <v>5</v>
      </c>
      <c r="AG687" s="59">
        <v>1900</v>
      </c>
      <c r="AH687" s="77">
        <v>0</v>
      </c>
      <c r="AI687" s="59">
        <f ca="1">AJ687</f>
        <v>2019</v>
      </c>
      <c r="AJ687" s="18">
        <f ca="1">YEAR(TODAY())</f>
        <v>2019</v>
      </c>
      <c r="AK687" s="18">
        <v>44</v>
      </c>
      <c r="AL687" s="18">
        <v>22</v>
      </c>
      <c r="AM687" s="18">
        <v>1</v>
      </c>
      <c r="AN687" s="18">
        <v>1</v>
      </c>
      <c r="AO687" s="18">
        <v>5</v>
      </c>
      <c r="AP687" s="18">
        <v>1</v>
      </c>
      <c r="AQ687" s="18">
        <v>0</v>
      </c>
      <c r="AR687" s="18">
        <v>0</v>
      </c>
      <c r="AS687" s="18">
        <v>0</v>
      </c>
      <c r="AT687" s="18">
        <v>0</v>
      </c>
      <c r="AU687" s="18">
        <v>0</v>
      </c>
      <c r="AV687" s="18">
        <v>0</v>
      </c>
      <c r="AW687" s="18">
        <v>0</v>
      </c>
      <c r="AX687" s="18">
        <v>0</v>
      </c>
      <c r="AY687" s="233"/>
      <c r="AZ687" s="4"/>
      <c r="BA687" s="35" t="str">
        <f ca="1">IF(OR(S687="North America",S687="Rocky Mountain"), "Widespread",BC687)</f>
        <v>Abundant</v>
      </c>
      <c r="BB687" s="4"/>
      <c r="BC687" s="35" t="str">
        <f ca="1">IF(BE687&gt;2046, "Abundant",BE687)</f>
        <v>Abundant</v>
      </c>
      <c r="BD687" s="4"/>
      <c r="BE687" s="81">
        <f ca="1">YEAR($C$13)+(BG687*80)</f>
        <v>2112.6650039215688</v>
      </c>
      <c r="BF687" s="4"/>
      <c r="BG687" s="137">
        <f ca="1">BH687*$BH$14</f>
        <v>1.1708125490196077</v>
      </c>
      <c r="BH687" s="137">
        <f ca="1">(((BJ687+BK687+BM687+BN687)/4)*$BM$11)+(((BP687+BQ687)/2)*$BQ$11)+(((BU687+BV687+BW687)/3)*$BU$11)+(((BY687+BZ687+CA687+CB687+CC687)/5)*$CA$11)</f>
        <v>1.1708125490196077</v>
      </c>
      <c r="BI687" s="4"/>
      <c r="BJ687" s="33">
        <f>AP687/(AM687+AO687)</f>
        <v>0.16666666666666666</v>
      </c>
      <c r="BK687" s="33">
        <f>(AN687+AO687)/(AM687+AO687)</f>
        <v>1</v>
      </c>
      <c r="BL687" s="4"/>
      <c r="BM687" s="127">
        <f>CF687/102</f>
        <v>0.53137254901960784</v>
      </c>
      <c r="BN687" s="127">
        <f>C687/2</f>
        <v>4</v>
      </c>
      <c r="BO687" s="4"/>
      <c r="BP687" s="127">
        <f>(AK687)/($AW$6)</f>
        <v>0.44444444444444442</v>
      </c>
      <c r="BQ687" s="127">
        <f ca="1">(CH687-$AW$4)/((YEAR($C$13))-$AW$4)</f>
        <v>1</v>
      </c>
      <c r="BR687" s="127">
        <f>(AL687)/($AW$6)</f>
        <v>0.22222222222222221</v>
      </c>
      <c r="BS687" s="4"/>
      <c r="BT687" s="127"/>
      <c r="BU687" s="127">
        <f ca="1">(CG687-$AW$4)/((YEAR($C$13))-$AW$4)</f>
        <v>1</v>
      </c>
      <c r="BV687" s="127">
        <f>AE687/5</f>
        <v>1</v>
      </c>
      <c r="BW687" s="127">
        <f>AF687/5</f>
        <v>1</v>
      </c>
      <c r="BX687" s="4"/>
      <c r="BY687" s="148" t="str">
        <f>IF(E687="A",".98",IF(E687="B",".99",IF(E687="C","1.00",IF(E687="D","1.00" ))))</f>
        <v>1.00</v>
      </c>
      <c r="BZ687" s="127">
        <f>(CE687+7)/10</f>
        <v>1</v>
      </c>
      <c r="CA687" s="76" t="str">
        <f>IF(D687="Fern",".97",IF(D687="Grass",".99",IF(D687="Herb",".97",IF(D687="Shrub",".99",IF(D687="Tree","1.00",IF(D687="Vine",".98"))))))</f>
        <v>1.00</v>
      </c>
      <c r="CB687" s="149" t="str">
        <f>IF(R687="Bogs Ponds Streams",".96", IF(R687="Coastal Areas",".97",IF(R687="Meadows Dry Open",".96",IF(R687="Forest &amp; Understory",".97",IF(R687="Moist Open",".98",IF(R687="Moist Shady",".96",IF(R687="Sub-Alpine","1.0")))))))</f>
        <v>.96</v>
      </c>
      <c r="CC687" s="76" t="str">
        <f>IF(S687="Local Endemic",".50",IF(S687="Regional Endemic",".70",IF(S687="Cascadia",".90",IF(S687="Rocky Mountain",".95",IF(S687="North America",".99")))))</f>
        <v>.90</v>
      </c>
      <c r="CD687" s="4"/>
      <c r="CE687" s="21">
        <f>IF(W687&gt;3,3,W687)</f>
        <v>3</v>
      </c>
      <c r="CF687" s="21">
        <f>IF(AC687&gt;102,102,AC687)</f>
        <v>54.2</v>
      </c>
      <c r="CG687" s="34">
        <f ca="1">IF(AI687&lt;$AW$4,$AW$4,AI687)</f>
        <v>2019</v>
      </c>
      <c r="CH687" s="34">
        <f ca="1">IF(AJ687&lt;$AW$4,$AW$4,AJ687)</f>
        <v>2019</v>
      </c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</row>
    <row r="688" spans="1:115" ht="15" customHeight="1" x14ac:dyDescent="0.3">
      <c r="A688" s="235"/>
      <c r="B688" s="218"/>
      <c r="C688" s="375">
        <v>1</v>
      </c>
      <c r="D688" s="67" t="s">
        <v>2505</v>
      </c>
      <c r="E688" s="67" t="s">
        <v>2501</v>
      </c>
      <c r="F688" s="403" t="str">
        <f ca="1">IF(BC688&lt;2025, "Extinct&lt; 6Yrs?",BA688)</f>
        <v>Widespread</v>
      </c>
      <c r="G688" s="376" t="s">
        <v>525</v>
      </c>
      <c r="H688" s="376" t="s">
        <v>4028</v>
      </c>
      <c r="I688" s="380" t="s">
        <v>1293</v>
      </c>
      <c r="J688" s="378" t="s">
        <v>4070</v>
      </c>
      <c r="K688" s="378" t="s">
        <v>1292</v>
      </c>
      <c r="L688" s="63" t="s">
        <v>1676</v>
      </c>
      <c r="M688" s="64" t="s">
        <v>4760</v>
      </c>
      <c r="N688" s="64" t="s">
        <v>5659</v>
      </c>
      <c r="O688" s="64" t="s">
        <v>6557</v>
      </c>
      <c r="P688" s="61" t="s">
        <v>285</v>
      </c>
      <c r="Q688" s="67" t="s">
        <v>2552</v>
      </c>
      <c r="R688" s="61" t="s">
        <v>2499</v>
      </c>
      <c r="S688" s="61" t="s">
        <v>2479</v>
      </c>
      <c r="T688" s="134" t="str">
        <f>IF(R688="Bogs Ponds Streams","20",IF(R688="Coastal Areas","26",IF(R688="Meadows Dry Open","10",IF(R688="Forest &amp; Understory","14",IF(R688="Moist Open","12",IF(R688="Moist Shady","10",IF(R688="Sub-Alpine Slopes","0")))))))</f>
        <v>20</v>
      </c>
      <c r="U688" s="134" t="str">
        <f>IF(R688="Bogs Ponds Streams","52",IF(R688="Coastal Areas","51",IF(R688="Meadows Dry Open","53",IF(R688="Forest &amp; Understory","52",IF(R688="Moist Open","50",IF(R688="Moist Shady","46",IF(R688="Sub-Alpine Slopes","40")))))))</f>
        <v>52</v>
      </c>
      <c r="V688" s="134" t="str">
        <f>IF(R688="Bogs Ponds Streams","84",IF(R688="Coastal Areas","76",IF(R688="Meadows Dry Open","96", IF(R688="Forest &amp; Understory","90", IF(R688="Moist Open","88", IF(R688="Moist Shady","82", IF(R688="Sub-Alpine Slopes","80")))))))</f>
        <v>84</v>
      </c>
      <c r="W688" s="67">
        <v>20</v>
      </c>
      <c r="X688" s="67">
        <v>0</v>
      </c>
      <c r="Y688" s="67">
        <v>3500</v>
      </c>
      <c r="Z688" s="67" t="s">
        <v>2519</v>
      </c>
      <c r="AA688" s="67" t="s">
        <v>2518</v>
      </c>
      <c r="AB688" s="67">
        <v>6.8</v>
      </c>
      <c r="AC688" s="85">
        <f>C688+AK688+(0.1)*AL688</f>
        <v>8.1999999999999993</v>
      </c>
      <c r="AD688" s="78">
        <v>113</v>
      </c>
      <c r="AE688" s="67">
        <v>5</v>
      </c>
      <c r="AF688" s="67">
        <v>5</v>
      </c>
      <c r="AG688" s="67">
        <v>1900</v>
      </c>
      <c r="AH688" s="78">
        <v>0</v>
      </c>
      <c r="AI688" s="67">
        <f>AJ688</f>
        <v>2004</v>
      </c>
      <c r="AJ688" s="69">
        <v>2004</v>
      </c>
      <c r="AK688" s="69">
        <v>5</v>
      </c>
      <c r="AL688" s="69">
        <v>22</v>
      </c>
      <c r="AM688" s="70">
        <v>5</v>
      </c>
      <c r="AN688" s="70">
        <v>0</v>
      </c>
      <c r="AO688" s="86">
        <v>0</v>
      </c>
      <c r="AP688" s="70">
        <v>0</v>
      </c>
      <c r="AQ688" s="70">
        <v>0</v>
      </c>
      <c r="AR688" s="70">
        <v>0</v>
      </c>
      <c r="AS688" s="86">
        <v>0</v>
      </c>
      <c r="AT688" s="70">
        <v>0</v>
      </c>
      <c r="AU688" s="70">
        <v>0</v>
      </c>
      <c r="AV688" s="70">
        <v>0</v>
      </c>
      <c r="AW688" s="86">
        <v>0</v>
      </c>
      <c r="AX688" s="70">
        <v>0</v>
      </c>
      <c r="AY688" s="233"/>
      <c r="AZ688" s="4"/>
      <c r="BA688" s="35" t="str">
        <f>IF(OR(S688="North America",S688="Rocky Mountain"), "Widespread",BC688)</f>
        <v>Widespread</v>
      </c>
      <c r="BB688" s="4"/>
      <c r="BC688" s="35">
        <f ca="1">IF(BE688&gt;2046, "Abundant",BE688)</f>
        <v>2032.3990331550801</v>
      </c>
      <c r="BD688" s="4"/>
      <c r="BE688" s="81">
        <f ca="1">YEAR($C$13)+(BG688*80)</f>
        <v>2032.3990331550801</v>
      </c>
      <c r="BF688" s="4"/>
      <c r="BG688" s="137">
        <f ca="1">BH688*$BH$14</f>
        <v>0.16748791443850267</v>
      </c>
      <c r="BH688" s="137">
        <f ca="1">(((BJ688+BK688+BM688+BN688)/4)*$BM$11)+(((BP688+BQ688)/2)*$BQ$11)+(((BU688+BV688+BW688)/3)*$BU$11)+(((BY688+BZ688+CA688+CB688+CC688)/5)*$CA$11)</f>
        <v>0.16748791443850267</v>
      </c>
      <c r="BI688" s="4"/>
      <c r="BJ688" s="33">
        <f>AP688/(AM688+AO688)</f>
        <v>0</v>
      </c>
      <c r="BK688" s="33">
        <f>(AN688+AO688)/(AM688+AO688)</f>
        <v>0</v>
      </c>
      <c r="BL688" s="4"/>
      <c r="BM688" s="127">
        <f>CF688/102</f>
        <v>8.039215686274509E-2</v>
      </c>
      <c r="BN688" s="127">
        <f>C688/2</f>
        <v>0.5</v>
      </c>
      <c r="BO688" s="4"/>
      <c r="BP688" s="127">
        <f>(AK688)/($AW$6)</f>
        <v>5.0505050505050504E-2</v>
      </c>
      <c r="BQ688" s="127">
        <f ca="1">(CH688-$AW$4)/((YEAR($C$13))-$AW$4)</f>
        <v>0</v>
      </c>
      <c r="BR688" s="127">
        <f>(AL688)/($AW$6)</f>
        <v>0.22222222222222221</v>
      </c>
      <c r="BS688" s="4"/>
      <c r="BT688" s="127"/>
      <c r="BU688" s="127">
        <f ca="1">(CG688-$AW$4)/((YEAR($C$13))-$AW$4)</f>
        <v>0</v>
      </c>
      <c r="BV688" s="127">
        <f>AE688/5</f>
        <v>1</v>
      </c>
      <c r="BW688" s="127">
        <f>AF688/5</f>
        <v>1</v>
      </c>
      <c r="BX688" s="4"/>
      <c r="BY688" s="148" t="str">
        <f>IF(E688="A",".98",IF(E688="B",".99",IF(E688="C","1.00",IF(E688="D","1.00" ))))</f>
        <v>1.00</v>
      </c>
      <c r="BZ688" s="127">
        <f>(CE688+7)/10</f>
        <v>1</v>
      </c>
      <c r="CA688" s="76" t="str">
        <f>IF(D688="Fern",".97",IF(D688="Grass",".99",IF(D688="Herb",".97",IF(D688="Shrub",".99",IF(D688="Tree","1.00",IF(D688="Vine",".98"))))))</f>
        <v>.97</v>
      </c>
      <c r="CB688" s="149" t="str">
        <f>IF(R688="Bogs Ponds Streams",".96", IF(R688="Coastal Areas",".97",IF(R688="Meadows Dry Open",".96",IF(R688="Forest &amp; Understory",".97",IF(R688="Moist Open",".98",IF(R688="Moist Shady",".96",IF(R688="Sub-Alpine","1.0")))))))</f>
        <v>.96</v>
      </c>
      <c r="CC688" s="76" t="str">
        <f>IF(S688="Local Endemic",".50",IF(S688="Regional Endemic",".70",IF(S688="Cascadia",".90",IF(S688="Rocky Mountain",".95",IF(S688="North America",".99")))))</f>
        <v>.95</v>
      </c>
      <c r="CD688" s="4"/>
      <c r="CE688" s="21">
        <f>IF(W688&gt;3,3,W688)</f>
        <v>3</v>
      </c>
      <c r="CF688" s="21">
        <f>IF(AC688&gt;102,102,AC688)</f>
        <v>8.1999999999999993</v>
      </c>
      <c r="CG688" s="34">
        <f>IF(AI688&lt;$AW$4,$AW$4,AI688)</f>
        <v>2004</v>
      </c>
      <c r="CH688" s="34">
        <f>IF(AJ688&lt;$AW$4,$AW$4,AJ688)</f>
        <v>2004</v>
      </c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</row>
    <row r="689" spans="1:115" ht="15" customHeight="1" x14ac:dyDescent="0.3">
      <c r="A689" s="235"/>
      <c r="B689" s="218"/>
      <c r="C689" s="226">
        <v>2</v>
      </c>
      <c r="D689" s="104" t="s">
        <v>2505</v>
      </c>
      <c r="E689" s="104" t="s">
        <v>2501</v>
      </c>
      <c r="F689" s="400" t="str">
        <f ca="1">IF(BC689&lt;2025, "Extinct&lt; 6Yrs?",BA689)</f>
        <v>Widespread</v>
      </c>
      <c r="G689" s="369" t="s">
        <v>525</v>
      </c>
      <c r="H689" s="369" t="s">
        <v>4028</v>
      </c>
      <c r="I689" s="370" t="s">
        <v>289</v>
      </c>
      <c r="J689" s="371" t="s">
        <v>3708</v>
      </c>
      <c r="K689" s="371" t="s">
        <v>1113</v>
      </c>
      <c r="L689" s="106" t="s">
        <v>1677</v>
      </c>
      <c r="M689" s="111" t="s">
        <v>4761</v>
      </c>
      <c r="N689" s="111" t="s">
        <v>5660</v>
      </c>
      <c r="O689" s="111" t="s">
        <v>6558</v>
      </c>
      <c r="P689" s="105" t="s">
        <v>285</v>
      </c>
      <c r="Q689" s="104" t="s">
        <v>2552</v>
      </c>
      <c r="R689" s="105" t="s">
        <v>2499</v>
      </c>
      <c r="S689" s="105" t="s">
        <v>2479</v>
      </c>
      <c r="T689" s="133" t="str">
        <f>IF(R689="Bogs Ponds Streams","20",IF(R689="Coastal Areas","26",IF(R689="Meadows Dry Open","10",IF(R689="Forest &amp; Understory","14",IF(R689="Moist Open","12",IF(R689="Moist Shady","10",IF(R689="Sub-Alpine Slopes","0")))))))</f>
        <v>20</v>
      </c>
      <c r="U689" s="133" t="str">
        <f>IF(R689="Bogs Ponds Streams","52",IF(R689="Coastal Areas","51",IF(R689="Meadows Dry Open","53",IF(R689="Forest &amp; Understory","52",IF(R689="Moist Open","50",IF(R689="Moist Shady","46",IF(R689="Sub-Alpine Slopes","40")))))))</f>
        <v>52</v>
      </c>
      <c r="V689" s="133" t="str">
        <f>IF(R689="Bogs Ponds Streams","84",IF(R689="Coastal Areas","76",IF(R689="Meadows Dry Open","96", IF(R689="Forest &amp; Understory","90", IF(R689="Moist Open","88", IF(R689="Moist Shady","82", IF(R689="Sub-Alpine Slopes","80")))))))</f>
        <v>84</v>
      </c>
      <c r="W689" s="104">
        <v>20</v>
      </c>
      <c r="X689" s="104">
        <v>0</v>
      </c>
      <c r="Y689" s="104">
        <v>3500</v>
      </c>
      <c r="Z689" s="104" t="s">
        <v>2519</v>
      </c>
      <c r="AA689" s="104" t="s">
        <v>2518</v>
      </c>
      <c r="AB689" s="104">
        <v>6.8</v>
      </c>
      <c r="AC689" s="107">
        <f>C689+AK689+(0.1)*AL689</f>
        <v>26.2</v>
      </c>
      <c r="AD689" s="113">
        <v>198</v>
      </c>
      <c r="AE689" s="104">
        <v>5</v>
      </c>
      <c r="AF689" s="104">
        <v>5</v>
      </c>
      <c r="AG689" s="104">
        <v>1900</v>
      </c>
      <c r="AH689" s="113">
        <v>0</v>
      </c>
      <c r="AI689" s="104">
        <f>AJ689</f>
        <v>2004</v>
      </c>
      <c r="AJ689" s="108">
        <v>2004</v>
      </c>
      <c r="AK689" s="108">
        <v>22</v>
      </c>
      <c r="AL689" s="108">
        <v>22</v>
      </c>
      <c r="AM689" s="109">
        <v>5</v>
      </c>
      <c r="AN689" s="109">
        <v>1</v>
      </c>
      <c r="AO689" s="109">
        <v>1</v>
      </c>
      <c r="AP689" s="109">
        <v>0</v>
      </c>
      <c r="AQ689" s="109">
        <v>0</v>
      </c>
      <c r="AR689" s="109">
        <v>0</v>
      </c>
      <c r="AS689" s="110">
        <v>0</v>
      </c>
      <c r="AT689" s="109">
        <v>0</v>
      </c>
      <c r="AU689" s="109">
        <v>0</v>
      </c>
      <c r="AV689" s="109">
        <v>0</v>
      </c>
      <c r="AW689" s="110">
        <v>0</v>
      </c>
      <c r="AX689" s="109">
        <v>0</v>
      </c>
      <c r="AY689" s="233"/>
      <c r="AZ689" s="4"/>
      <c r="BA689" s="35" t="str">
        <f>IF(OR(S689="North America",S689="Rocky Mountain"), "Widespread",BC689)</f>
        <v>Widespread</v>
      </c>
      <c r="BB689" s="4"/>
      <c r="BC689" s="35" t="str">
        <f ca="1">IF(BE689&gt;2046, "Abundant",BE689)</f>
        <v>Abundant</v>
      </c>
      <c r="BD689" s="4"/>
      <c r="BE689" s="81">
        <f ca="1">YEAR($C$13)+(BG689*80)</f>
        <v>2046.5772862745098</v>
      </c>
      <c r="BF689" s="4"/>
      <c r="BG689" s="137">
        <f ca="1">BH689*$BH$14</f>
        <v>0.34471607843137253</v>
      </c>
      <c r="BH689" s="137">
        <f ca="1">(((BJ689+BK689+BM689+BN689)/4)*$BM$11)+(((BP689+BQ689)/2)*$BQ$11)+(((BU689+BV689+BW689)/3)*$BU$11)+(((BY689+BZ689+CA689+CB689+CC689)/5)*$CA$11)</f>
        <v>0.34471607843137253</v>
      </c>
      <c r="BI689" s="4"/>
      <c r="BJ689" s="33">
        <f>AP689/(AM689+AO689)</f>
        <v>0</v>
      </c>
      <c r="BK689" s="33">
        <f>(AN689+AO689)/(AM689+AO689)</f>
        <v>0.33333333333333331</v>
      </c>
      <c r="BL689" s="4"/>
      <c r="BM689" s="127">
        <f>CF689/102</f>
        <v>0.25686274509803919</v>
      </c>
      <c r="BN689" s="127">
        <f>C689/2</f>
        <v>1</v>
      </c>
      <c r="BO689" s="4"/>
      <c r="BP689" s="127">
        <f>(AK689)/($AW$6)</f>
        <v>0.22222222222222221</v>
      </c>
      <c r="BQ689" s="127">
        <f ca="1">(CH689-$AW$4)/((YEAR($C$13))-$AW$4)</f>
        <v>0</v>
      </c>
      <c r="BR689" s="127">
        <f>(AL689)/($AW$6)</f>
        <v>0.22222222222222221</v>
      </c>
      <c r="BS689" s="4"/>
      <c r="BT689" s="127"/>
      <c r="BU689" s="127">
        <f ca="1">(CG689-$AW$4)/((YEAR($C$13))-$AW$4)</f>
        <v>0</v>
      </c>
      <c r="BV689" s="127">
        <f>AE689/5</f>
        <v>1</v>
      </c>
      <c r="BW689" s="127">
        <f>AF689/5</f>
        <v>1</v>
      </c>
      <c r="BX689" s="4"/>
      <c r="BY689" s="148" t="str">
        <f>IF(E689="A",".98",IF(E689="B",".99",IF(E689="C","1.00",IF(E689="D","1.00" ))))</f>
        <v>1.00</v>
      </c>
      <c r="BZ689" s="127">
        <f>(CE689+7)/10</f>
        <v>1</v>
      </c>
      <c r="CA689" s="76" t="str">
        <f>IF(D689="Fern",".97",IF(D689="Grass",".99",IF(D689="Herb",".97",IF(D689="Shrub",".99",IF(D689="Tree","1.00",IF(D689="Vine",".98"))))))</f>
        <v>.97</v>
      </c>
      <c r="CB689" s="149" t="str">
        <f>IF(R689="Bogs Ponds Streams",".96", IF(R689="Coastal Areas",".97",IF(R689="Meadows Dry Open",".96",IF(R689="Forest &amp; Understory",".97",IF(R689="Moist Open",".98",IF(R689="Moist Shady",".96",IF(R689="Sub-Alpine","1.0")))))))</f>
        <v>.96</v>
      </c>
      <c r="CC689" s="76" t="str">
        <f>IF(S689="Local Endemic",".50",IF(S689="Regional Endemic",".70",IF(S689="Cascadia",".90",IF(S689="Rocky Mountain",".95",IF(S689="North America",".99")))))</f>
        <v>.95</v>
      </c>
      <c r="CD689" s="4"/>
      <c r="CE689" s="21">
        <f>IF(W689&gt;3,3,W689)</f>
        <v>3</v>
      </c>
      <c r="CF689" s="21">
        <f>IF(AC689&gt;102,102,AC689)</f>
        <v>26.2</v>
      </c>
      <c r="CG689" s="34">
        <f>IF(AI689&lt;$AW$4,$AW$4,AI689)</f>
        <v>2004</v>
      </c>
      <c r="CH689" s="34">
        <f>IF(AJ689&lt;$AW$4,$AW$4,AJ689)</f>
        <v>2004</v>
      </c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</row>
    <row r="690" spans="1:115" ht="15" customHeight="1" x14ac:dyDescent="0.3">
      <c r="A690" s="235"/>
      <c r="B690" s="218"/>
      <c r="C690" s="375">
        <v>1</v>
      </c>
      <c r="D690" s="97" t="s">
        <v>2505</v>
      </c>
      <c r="E690" s="67" t="s">
        <v>2501</v>
      </c>
      <c r="F690" s="403">
        <f ca="1">IF(BC690&lt;2025, "Extinct&lt; 6Yrs?",BA690)</f>
        <v>2030.0309951277482</v>
      </c>
      <c r="G690" s="376" t="s">
        <v>525</v>
      </c>
      <c r="H690" s="376" t="s">
        <v>4028</v>
      </c>
      <c r="I690" s="380" t="s">
        <v>294</v>
      </c>
      <c r="J690" s="378" t="s">
        <v>3526</v>
      </c>
      <c r="K690" s="378" t="s">
        <v>293</v>
      </c>
      <c r="L690" s="63" t="s">
        <v>1678</v>
      </c>
      <c r="M690" s="64" t="s">
        <v>4762</v>
      </c>
      <c r="N690" s="64" t="s">
        <v>5661</v>
      </c>
      <c r="O690" s="64" t="s">
        <v>6559</v>
      </c>
      <c r="P690" s="61" t="s">
        <v>285</v>
      </c>
      <c r="Q690" s="67" t="s">
        <v>2552</v>
      </c>
      <c r="R690" s="61" t="s">
        <v>2500</v>
      </c>
      <c r="S690" s="61" t="s">
        <v>2459</v>
      </c>
      <c r="T690" s="134" t="str">
        <f>IF(R690="Bogs Ponds Streams","20",IF(R690="Coastal Areas","26",IF(R690="Meadows Dry Open","10",IF(R690="Forest &amp; Understory","14",IF(R690="Moist Open","12",IF(R690="Moist Shady","10",IF(R690="Sub-Alpine Slopes","0")))))))</f>
        <v>10</v>
      </c>
      <c r="U690" s="134" t="str">
        <f>IF(R690="Bogs Ponds Streams","52",IF(R690="Coastal Areas","51",IF(R690="Meadows Dry Open","53",IF(R690="Forest &amp; Understory","52",IF(R690="Moist Open","50",IF(R690="Moist Shady","46",IF(R690="Sub-Alpine Slopes","40")))))))</f>
        <v>53</v>
      </c>
      <c r="V690" s="134" t="str">
        <f>IF(R690="Bogs Ponds Streams","84",IF(R690="Coastal Areas","76",IF(R690="Meadows Dry Open","96", IF(R690="Forest &amp; Understory","90", IF(R690="Moist Open","88", IF(R690="Moist Shady","82", IF(R690="Sub-Alpine Slopes","80")))))))</f>
        <v>96</v>
      </c>
      <c r="W690" s="67">
        <v>20</v>
      </c>
      <c r="X690" s="67">
        <v>0</v>
      </c>
      <c r="Y690" s="67">
        <v>3500</v>
      </c>
      <c r="Z690" s="67" t="s">
        <v>2519</v>
      </c>
      <c r="AA690" s="67" t="s">
        <v>2518</v>
      </c>
      <c r="AB690" s="67">
        <v>6.8</v>
      </c>
      <c r="AC690" s="85">
        <f>C690+AK690+(0.1)*AL690</f>
        <v>2</v>
      </c>
      <c r="AD690" s="78">
        <v>21</v>
      </c>
      <c r="AE690" s="68">
        <v>2</v>
      </c>
      <c r="AF690" s="68">
        <v>5</v>
      </c>
      <c r="AG690" s="78">
        <v>1973</v>
      </c>
      <c r="AH690" s="78">
        <v>0</v>
      </c>
      <c r="AI690" s="78">
        <v>2005</v>
      </c>
      <c r="AJ690" s="69">
        <v>2004</v>
      </c>
      <c r="AK690" s="69">
        <v>1</v>
      </c>
      <c r="AL690" s="69">
        <v>0</v>
      </c>
      <c r="AM690" s="70">
        <v>5</v>
      </c>
      <c r="AN690" s="70">
        <v>0</v>
      </c>
      <c r="AO690" s="86">
        <v>0</v>
      </c>
      <c r="AP690" s="70">
        <v>0</v>
      </c>
      <c r="AQ690" s="70">
        <v>0</v>
      </c>
      <c r="AR690" s="70">
        <v>0</v>
      </c>
      <c r="AS690" s="86">
        <v>0</v>
      </c>
      <c r="AT690" s="70">
        <v>0</v>
      </c>
      <c r="AU690" s="70">
        <v>0</v>
      </c>
      <c r="AV690" s="70">
        <v>0</v>
      </c>
      <c r="AW690" s="86">
        <v>0</v>
      </c>
      <c r="AX690" s="70">
        <v>0</v>
      </c>
      <c r="AY690" s="233"/>
      <c r="AZ690" s="4"/>
      <c r="BA690" s="35">
        <f ca="1">IF(OR(S690="North America",S690="Rocky Mountain"), "Widespread",BC690)</f>
        <v>2030.0309951277482</v>
      </c>
      <c r="BB690" s="4"/>
      <c r="BC690" s="35">
        <f ca="1">IF(BE690&gt;2046, "Abundant",BE690)</f>
        <v>2030.0309951277482</v>
      </c>
      <c r="BD690" s="4"/>
      <c r="BE690" s="81">
        <f ca="1">YEAR($C$13)+(BG690*80)</f>
        <v>2030.0309951277482</v>
      </c>
      <c r="BF690" s="4"/>
      <c r="BG690" s="137">
        <f ca="1">BH690*$BH$14</f>
        <v>0.13788743909685086</v>
      </c>
      <c r="BH690" s="137">
        <f ca="1">(((BJ690+BK690+BM690+BN690)/4)*$BM$11)+(((BP690+BQ690)/2)*$BQ$11)+(((BU690+BV690+BW690)/3)*$BU$11)+(((BY690+BZ690+CA690+CB690+CC690)/5)*$CA$11)</f>
        <v>0.13788743909685086</v>
      </c>
      <c r="BI690" s="4"/>
      <c r="BJ690" s="33">
        <f>AP690/(AM690+AO690)</f>
        <v>0</v>
      </c>
      <c r="BK690" s="33">
        <f>(AN690+AO690)/(AM690+AO690)</f>
        <v>0</v>
      </c>
      <c r="BL690" s="4"/>
      <c r="BM690" s="127">
        <f>CF690/102</f>
        <v>1.9607843137254902E-2</v>
      </c>
      <c r="BN690" s="127">
        <f>C690/2</f>
        <v>0.5</v>
      </c>
      <c r="BO690" s="4"/>
      <c r="BP690" s="127">
        <f>(AK690)/($AW$6)</f>
        <v>1.0101010101010102E-2</v>
      </c>
      <c r="BQ690" s="127">
        <f ca="1">(CH690-$AW$4)/((YEAR($C$13))-$AW$4)</f>
        <v>0</v>
      </c>
      <c r="BR690" s="127">
        <f>(AL690)/($AW$6)</f>
        <v>0</v>
      </c>
      <c r="BS690" s="4"/>
      <c r="BT690" s="127"/>
      <c r="BU690" s="127">
        <f ca="1">(CG690-$AW$4)/((YEAR($C$13))-$AW$4)</f>
        <v>6.6666666666666666E-2</v>
      </c>
      <c r="BV690" s="127">
        <f>AE690/5</f>
        <v>0.4</v>
      </c>
      <c r="BW690" s="127">
        <f>AF690/5</f>
        <v>1</v>
      </c>
      <c r="BX690" s="4"/>
      <c r="BY690" s="148" t="str">
        <f>IF(E690="A",".98",IF(E690="B",".99",IF(E690="C","1.00",IF(E690="D","1.00" ))))</f>
        <v>1.00</v>
      </c>
      <c r="BZ690" s="127">
        <f>(CE690+7)/10</f>
        <v>1</v>
      </c>
      <c r="CA690" s="76" t="str">
        <f>IF(D690="Fern",".97",IF(D690="Grass",".99",IF(D690="Herb",".97",IF(D690="Shrub",".99",IF(D690="Tree","1.00",IF(D690="Vine",".98"))))))</f>
        <v>.97</v>
      </c>
      <c r="CB690" s="149" t="str">
        <f>IF(R690="Bogs Ponds Streams",".96", IF(R690="Coastal Areas",".97",IF(R690="Meadows Dry Open",".96",IF(R690="Forest &amp; Understory",".97",IF(R690="Moist Open",".98",IF(R690="Moist Shady",".96",IF(R690="Sub-Alpine","1.0")))))))</f>
        <v>.96</v>
      </c>
      <c r="CC690" s="76" t="str">
        <f>IF(S690="Local Endemic",".50",IF(S690="Regional Endemic",".70",IF(S690="Cascadia",".90",IF(S690="Rocky Mountain",".95",IF(S690="North America",".99")))))</f>
        <v>.90</v>
      </c>
      <c r="CD690" s="4"/>
      <c r="CE690" s="21">
        <f>IF(W690&gt;3,3,W690)</f>
        <v>3</v>
      </c>
      <c r="CF690" s="21">
        <f>IF(AC690&gt;102,102,AC690)</f>
        <v>2</v>
      </c>
      <c r="CG690" s="34">
        <f>IF(AI690&lt;$AW$4,$AW$4,AI690)</f>
        <v>2005</v>
      </c>
      <c r="CH690" s="34">
        <f>IF(AJ690&lt;$AW$4,$AW$4,AJ690)</f>
        <v>2004</v>
      </c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</row>
    <row r="691" spans="1:115" ht="15" customHeight="1" x14ac:dyDescent="0.3">
      <c r="A691" s="235"/>
      <c r="B691" s="218"/>
      <c r="C691" s="375">
        <v>1</v>
      </c>
      <c r="D691" s="97" t="s">
        <v>2505</v>
      </c>
      <c r="E691" s="67" t="s">
        <v>2501</v>
      </c>
      <c r="F691" s="403" t="str">
        <f ca="1">IF(BC691&lt;2025, "Extinct&lt; 6Yrs?",BA691)</f>
        <v>Widespread</v>
      </c>
      <c r="G691" s="376" t="s">
        <v>525</v>
      </c>
      <c r="H691" s="376" t="s">
        <v>4028</v>
      </c>
      <c r="I691" s="380" t="s">
        <v>292</v>
      </c>
      <c r="J691" s="378" t="s">
        <v>3525</v>
      </c>
      <c r="K691" s="378" t="s">
        <v>4084</v>
      </c>
      <c r="L691" s="63" t="s">
        <v>1679</v>
      </c>
      <c r="M691" s="64" t="s">
        <v>4763</v>
      </c>
      <c r="N691" s="64" t="s">
        <v>5662</v>
      </c>
      <c r="O691" s="64" t="s">
        <v>6560</v>
      </c>
      <c r="P691" s="61" t="s">
        <v>285</v>
      </c>
      <c r="Q691" s="67" t="s">
        <v>2552</v>
      </c>
      <c r="R691" s="61" t="s">
        <v>2498</v>
      </c>
      <c r="S691" s="61" t="s">
        <v>2495</v>
      </c>
      <c r="T691" s="134" t="str">
        <f>IF(R691="Bogs Ponds Streams","20",IF(R691="Coastal Areas","26",IF(R691="Meadows Dry Open","10",IF(R691="Forest &amp; Understory","14",IF(R691="Moist Open","12",IF(R691="Moist Shady","10",IF(R691="Sub-Alpine Slopes","0")))))))</f>
        <v>10</v>
      </c>
      <c r="U691" s="134" t="str">
        <f>IF(R691="Bogs Ponds Streams","52",IF(R691="Coastal Areas","51",IF(R691="Meadows Dry Open","53",IF(R691="Forest &amp; Understory","52",IF(R691="Moist Open","50",IF(R691="Moist Shady","46",IF(R691="Sub-Alpine Slopes","40")))))))</f>
        <v>46</v>
      </c>
      <c r="V691" s="134" t="str">
        <f>IF(R691="Bogs Ponds Streams","84",IF(R691="Coastal Areas","76",IF(R691="Meadows Dry Open","96", IF(R691="Forest &amp; Understory","90", IF(R691="Moist Open","88", IF(R691="Moist Shady","82", IF(R691="Sub-Alpine Slopes","80")))))))</f>
        <v>82</v>
      </c>
      <c r="W691" s="67">
        <v>20</v>
      </c>
      <c r="X691" s="67">
        <v>0</v>
      </c>
      <c r="Y691" s="67">
        <v>3500</v>
      </c>
      <c r="Z691" s="67" t="s">
        <v>2519</v>
      </c>
      <c r="AA691" s="67" t="s">
        <v>2518</v>
      </c>
      <c r="AB691" s="67">
        <v>6.8</v>
      </c>
      <c r="AC691" s="85">
        <f>C691+AK691+(0.1)*AL691</f>
        <v>24.1</v>
      </c>
      <c r="AD691" s="78">
        <v>117</v>
      </c>
      <c r="AE691" s="67">
        <v>5</v>
      </c>
      <c r="AF691" s="67">
        <v>5</v>
      </c>
      <c r="AG691" s="67">
        <v>1900</v>
      </c>
      <c r="AH691" s="78">
        <v>0</v>
      </c>
      <c r="AI691" s="67">
        <f>AJ691</f>
        <v>2004</v>
      </c>
      <c r="AJ691" s="69">
        <v>2004</v>
      </c>
      <c r="AK691" s="69">
        <v>22</v>
      </c>
      <c r="AL691" s="69">
        <v>11</v>
      </c>
      <c r="AM691" s="70">
        <v>5</v>
      </c>
      <c r="AN691" s="70">
        <v>0</v>
      </c>
      <c r="AO691" s="86">
        <v>0</v>
      </c>
      <c r="AP691" s="70">
        <v>0</v>
      </c>
      <c r="AQ691" s="70">
        <v>0</v>
      </c>
      <c r="AR691" s="70">
        <v>0</v>
      </c>
      <c r="AS691" s="86">
        <v>0</v>
      </c>
      <c r="AT691" s="70">
        <v>0</v>
      </c>
      <c r="AU691" s="70">
        <v>0</v>
      </c>
      <c r="AV691" s="70">
        <v>0</v>
      </c>
      <c r="AW691" s="86">
        <v>0</v>
      </c>
      <c r="AX691" s="70">
        <v>0</v>
      </c>
      <c r="AY691" s="233"/>
      <c r="AZ691" s="4"/>
      <c r="BA691" s="35" t="str">
        <f>IF(OR(S691="North America",S691="Rocky Mountain"), "Widespread",BC691)</f>
        <v>Widespread</v>
      </c>
      <c r="BB691" s="4"/>
      <c r="BC691" s="35">
        <f ca="1">IF(BE691&gt;2046, "Abundant",BE691)</f>
        <v>2036.3430274509803</v>
      </c>
      <c r="BD691" s="4"/>
      <c r="BE691" s="81">
        <f ca="1">YEAR($C$13)+(BG691*80)</f>
        <v>2036.3430274509803</v>
      </c>
      <c r="BF691" s="4"/>
      <c r="BG691" s="137">
        <f ca="1">BH691*$BH$14</f>
        <v>0.21678784313725488</v>
      </c>
      <c r="BH691" s="137">
        <f ca="1">(((BJ691+BK691+BM691+BN691)/4)*$BM$11)+(((BP691+BQ691)/2)*$BQ$11)+(((BU691+BV691+BW691)/3)*$BU$11)+(((BY691+BZ691+CA691+CB691+CC691)/5)*$CA$11)</f>
        <v>0.21678784313725488</v>
      </c>
      <c r="BI691" s="4"/>
      <c r="BJ691" s="33">
        <f>AP691/(AM691+AO691)</f>
        <v>0</v>
      </c>
      <c r="BK691" s="33">
        <f>(AN691+AO691)/(AM691+AO691)</f>
        <v>0</v>
      </c>
      <c r="BL691" s="4"/>
      <c r="BM691" s="127">
        <f>CF691/102</f>
        <v>0.23627450980392159</v>
      </c>
      <c r="BN691" s="127">
        <f>C691/2</f>
        <v>0.5</v>
      </c>
      <c r="BO691" s="4"/>
      <c r="BP691" s="127">
        <f>(AK691)/($AW$6)</f>
        <v>0.22222222222222221</v>
      </c>
      <c r="BQ691" s="127">
        <f ca="1">(CH691-$AW$4)/((YEAR($C$13))-$AW$4)</f>
        <v>0</v>
      </c>
      <c r="BR691" s="127">
        <f>(AL691)/($AW$6)</f>
        <v>0.1111111111111111</v>
      </c>
      <c r="BS691" s="4"/>
      <c r="BT691" s="127"/>
      <c r="BU691" s="127">
        <f ca="1">(CG691-$AW$4)/((YEAR($C$13))-$AW$4)</f>
        <v>0</v>
      </c>
      <c r="BV691" s="127">
        <f>AE691/5</f>
        <v>1</v>
      </c>
      <c r="BW691" s="127">
        <f>AF691/5</f>
        <v>1</v>
      </c>
      <c r="BX691" s="4"/>
      <c r="BY691" s="148" t="str">
        <f>IF(E691="A",".98",IF(E691="B",".99",IF(E691="C","1.00",IF(E691="D","1.00" ))))</f>
        <v>1.00</v>
      </c>
      <c r="BZ691" s="127">
        <f>(CE691+7)/10</f>
        <v>1</v>
      </c>
      <c r="CA691" s="76" t="str">
        <f>IF(D691="Fern",".97",IF(D691="Grass",".99",IF(D691="Herb",".97",IF(D691="Shrub",".99",IF(D691="Tree","1.00",IF(D691="Vine",".98"))))))</f>
        <v>.97</v>
      </c>
      <c r="CB691" s="149" t="str">
        <f>IF(R691="Bogs Ponds Streams",".96", IF(R691="Coastal Areas",".97",IF(R691="Meadows Dry Open",".96",IF(R691="Forest &amp; Understory",".97",IF(R691="Moist Open",".98",IF(R691="Moist Shady",".96",IF(R691="Sub-Alpine","1.0")))))))</f>
        <v>.96</v>
      </c>
      <c r="CC691" s="76" t="str">
        <f>IF(S691="Local Endemic",".50",IF(S691="Regional Endemic",".70",IF(S691="Cascadia",".90",IF(S691="Rocky Mountain",".95",IF(S691="North America",".99")))))</f>
        <v>.99</v>
      </c>
      <c r="CD691" s="4"/>
      <c r="CE691" s="21">
        <f>IF(W691&gt;3,3,W691)</f>
        <v>3</v>
      </c>
      <c r="CF691" s="21">
        <f>IF(AC691&gt;102,102,AC691)</f>
        <v>24.1</v>
      </c>
      <c r="CG691" s="34">
        <f>IF(AI691&lt;$AW$4,$AW$4,AI691)</f>
        <v>2004</v>
      </c>
      <c r="CH691" s="34">
        <f>IF(AJ691&lt;$AW$4,$AW$4,AJ691)</f>
        <v>2004</v>
      </c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</row>
    <row r="692" spans="1:115" ht="15" customHeight="1" x14ac:dyDescent="0.3">
      <c r="A692" s="235"/>
      <c r="B692" s="218"/>
      <c r="C692" s="375">
        <v>1</v>
      </c>
      <c r="D692" s="97" t="s">
        <v>2505</v>
      </c>
      <c r="E692" s="67" t="s">
        <v>2501</v>
      </c>
      <c r="F692" s="403" t="str">
        <f ca="1">IF(BC692&lt;2025, "Extinct&lt; 6Yrs?",BA692)</f>
        <v>Widespread</v>
      </c>
      <c r="G692" s="376" t="s">
        <v>525</v>
      </c>
      <c r="H692" s="376" t="s">
        <v>4028</v>
      </c>
      <c r="I692" s="380" t="s">
        <v>291</v>
      </c>
      <c r="J692" s="378" t="s">
        <v>3524</v>
      </c>
      <c r="K692" s="378" t="s">
        <v>78</v>
      </c>
      <c r="L692" s="63" t="s">
        <v>1680</v>
      </c>
      <c r="M692" s="64" t="s">
        <v>4764</v>
      </c>
      <c r="N692" s="64" t="s">
        <v>5663</v>
      </c>
      <c r="O692" s="64" t="s">
        <v>6561</v>
      </c>
      <c r="P692" s="61" t="s">
        <v>285</v>
      </c>
      <c r="Q692" s="67" t="s">
        <v>2552</v>
      </c>
      <c r="R692" s="61" t="s">
        <v>2498</v>
      </c>
      <c r="S692" s="65" t="s">
        <v>2495</v>
      </c>
      <c r="T692" s="134" t="str">
        <f>IF(R692="Bogs Ponds Streams","20",IF(R692="Coastal Areas","26",IF(R692="Meadows Dry Open","10",IF(R692="Forest &amp; Understory","14",IF(R692="Moist Open","12",IF(R692="Moist Shady","10",IF(R692="Sub-Alpine Slopes","0")))))))</f>
        <v>10</v>
      </c>
      <c r="U692" s="134" t="str">
        <f>IF(R692="Bogs Ponds Streams","52",IF(R692="Coastal Areas","51",IF(R692="Meadows Dry Open","53",IF(R692="Forest &amp; Understory","52",IF(R692="Moist Open","50",IF(R692="Moist Shady","46",IF(R692="Sub-Alpine Slopes","40")))))))</f>
        <v>46</v>
      </c>
      <c r="V692" s="134" t="str">
        <f>IF(R692="Bogs Ponds Streams","84",IF(R692="Coastal Areas","76",IF(R692="Meadows Dry Open","96", IF(R692="Forest &amp; Understory","90", IF(R692="Moist Open","88", IF(R692="Moist Shady","82", IF(R692="Sub-Alpine Slopes","80")))))))</f>
        <v>82</v>
      </c>
      <c r="W692" s="67">
        <v>20</v>
      </c>
      <c r="X692" s="67">
        <v>0</v>
      </c>
      <c r="Y692" s="67">
        <v>3500</v>
      </c>
      <c r="Z692" s="67" t="s">
        <v>2519</v>
      </c>
      <c r="AA692" s="67" t="s">
        <v>2518</v>
      </c>
      <c r="AB692" s="67">
        <v>6.8</v>
      </c>
      <c r="AC692" s="85">
        <f>C692+AK692+(0.1)*AL692</f>
        <v>3.6</v>
      </c>
      <c r="AD692" s="78">
        <v>50</v>
      </c>
      <c r="AE692" s="67">
        <v>5</v>
      </c>
      <c r="AF692" s="67">
        <v>5</v>
      </c>
      <c r="AG692" s="67">
        <v>1900</v>
      </c>
      <c r="AH692" s="78">
        <v>0</v>
      </c>
      <c r="AI692" s="67">
        <f>AJ692</f>
        <v>2004</v>
      </c>
      <c r="AJ692" s="69">
        <v>2004</v>
      </c>
      <c r="AK692" s="69">
        <v>2</v>
      </c>
      <c r="AL692" s="69">
        <v>6</v>
      </c>
      <c r="AM692" s="70">
        <v>5</v>
      </c>
      <c r="AN692" s="70">
        <v>0</v>
      </c>
      <c r="AO692" s="86">
        <v>0</v>
      </c>
      <c r="AP692" s="70">
        <v>0</v>
      </c>
      <c r="AQ692" s="70">
        <v>0</v>
      </c>
      <c r="AR692" s="70">
        <v>0</v>
      </c>
      <c r="AS692" s="86">
        <v>0</v>
      </c>
      <c r="AT692" s="70">
        <v>0</v>
      </c>
      <c r="AU692" s="70">
        <v>0</v>
      </c>
      <c r="AV692" s="70">
        <v>0</v>
      </c>
      <c r="AW692" s="86">
        <v>0</v>
      </c>
      <c r="AX692" s="70">
        <v>0</v>
      </c>
      <c r="AY692" s="233"/>
      <c r="AZ692" s="4"/>
      <c r="BA692" s="35" t="str">
        <f>IF(OR(S692="North America",S692="Rocky Mountain"), "Widespread",BC692)</f>
        <v>Widespread</v>
      </c>
      <c r="BB692" s="4"/>
      <c r="BC692" s="35">
        <f ca="1">IF(BE692&gt;2046, "Abundant",BE692)</f>
        <v>2031.5070203208556</v>
      </c>
      <c r="BD692" s="4"/>
      <c r="BE692" s="81">
        <f ca="1">YEAR($C$13)+(BG692*80)</f>
        <v>2031.5070203208556</v>
      </c>
      <c r="BF692" s="4"/>
      <c r="BG692" s="137">
        <f ca="1">BH692*$BH$14</f>
        <v>0.15633775401069519</v>
      </c>
      <c r="BH692" s="137">
        <f ca="1">(((BJ692+BK692+BM692+BN692)/4)*$BM$11)+(((BP692+BQ692)/2)*$BQ$11)+(((BU692+BV692+BW692)/3)*$BU$11)+(((BY692+BZ692+CA692+CB692+CC692)/5)*$CA$11)</f>
        <v>0.15633775401069519</v>
      </c>
      <c r="BI692" s="4"/>
      <c r="BJ692" s="33">
        <f>AP692/(AM692+AO692)</f>
        <v>0</v>
      </c>
      <c r="BK692" s="33">
        <f>(AN692+AO692)/(AM692+AO692)</f>
        <v>0</v>
      </c>
      <c r="BL692" s="4"/>
      <c r="BM692" s="127">
        <f>CF692/102</f>
        <v>3.5294117647058823E-2</v>
      </c>
      <c r="BN692" s="127">
        <f>C692/2</f>
        <v>0.5</v>
      </c>
      <c r="BO692" s="4"/>
      <c r="BP692" s="127">
        <f>(AK692)/($AW$6)</f>
        <v>2.0202020202020204E-2</v>
      </c>
      <c r="BQ692" s="127">
        <f ca="1">(CH692-$AW$4)/((YEAR($C$13))-$AW$4)</f>
        <v>0</v>
      </c>
      <c r="BR692" s="127">
        <f>(AL692)/($AW$6)</f>
        <v>6.0606060606060608E-2</v>
      </c>
      <c r="BS692" s="4"/>
      <c r="BT692" s="127"/>
      <c r="BU692" s="127">
        <f ca="1">(CG692-$AW$4)/((YEAR($C$13))-$AW$4)</f>
        <v>0</v>
      </c>
      <c r="BV692" s="127">
        <f>AE692/5</f>
        <v>1</v>
      </c>
      <c r="BW692" s="127">
        <f>AF692/5</f>
        <v>1</v>
      </c>
      <c r="BX692" s="4"/>
      <c r="BY692" s="148" t="str">
        <f>IF(E692="A",".98",IF(E692="B",".99",IF(E692="C","1.00",IF(E692="D","1.00" ))))</f>
        <v>1.00</v>
      </c>
      <c r="BZ692" s="127">
        <f>(CE692+7)/10</f>
        <v>1</v>
      </c>
      <c r="CA692" s="76" t="str">
        <f>IF(D692="Fern",".97",IF(D692="Grass",".99",IF(D692="Herb",".97",IF(D692="Shrub",".99",IF(D692="Tree","1.00",IF(D692="Vine",".98"))))))</f>
        <v>.97</v>
      </c>
      <c r="CB692" s="149" t="str">
        <f>IF(R692="Bogs Ponds Streams",".96", IF(R692="Coastal Areas",".97",IF(R692="Meadows Dry Open",".96",IF(R692="Forest &amp; Understory",".97",IF(R692="Moist Open",".98",IF(R692="Moist Shady",".96",IF(R692="Sub-Alpine","1.0")))))))</f>
        <v>.96</v>
      </c>
      <c r="CC692" s="76" t="str">
        <f>IF(S692="Local Endemic",".50",IF(S692="Regional Endemic",".70",IF(S692="Cascadia",".90",IF(S692="Rocky Mountain",".95",IF(S692="North America",".99")))))</f>
        <v>.99</v>
      </c>
      <c r="CD692" s="4"/>
      <c r="CE692" s="21">
        <f>IF(W692&gt;3,3,W692)</f>
        <v>3</v>
      </c>
      <c r="CF692" s="21">
        <f>IF(AC692&gt;102,102,AC692)</f>
        <v>3.6</v>
      </c>
      <c r="CG692" s="34">
        <f>IF(AI692&lt;$AW$4,$AW$4,AI692)</f>
        <v>2004</v>
      </c>
      <c r="CH692" s="34">
        <f>IF(AJ692&lt;$AW$4,$AW$4,AJ692)</f>
        <v>2004</v>
      </c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</row>
    <row r="693" spans="1:115" ht="15" customHeight="1" x14ac:dyDescent="0.3">
      <c r="A693" s="235"/>
      <c r="B693" s="218"/>
      <c r="C693" s="225">
        <v>8</v>
      </c>
      <c r="D693" s="59" t="s">
        <v>2505</v>
      </c>
      <c r="E693" s="59" t="s">
        <v>2502</v>
      </c>
      <c r="F693" s="397" t="str">
        <f ca="1">IF(BC693&lt;2025, "Extinct&lt; 6Yrs?",BA693)</f>
        <v>Abundant</v>
      </c>
      <c r="G693" s="363" t="s">
        <v>525</v>
      </c>
      <c r="H693" s="363" t="s">
        <v>682</v>
      </c>
      <c r="I693" s="366" t="s">
        <v>296</v>
      </c>
      <c r="J693" s="365" t="s">
        <v>3988</v>
      </c>
      <c r="K693" s="365" t="s">
        <v>295</v>
      </c>
      <c r="L693" s="10" t="s">
        <v>1681</v>
      </c>
      <c r="M693" s="8" t="s">
        <v>4765</v>
      </c>
      <c r="N693" s="8" t="s">
        <v>5664</v>
      </c>
      <c r="O693" s="8" t="s">
        <v>6562</v>
      </c>
      <c r="P693" s="9" t="s">
        <v>285</v>
      </c>
      <c r="Q693" s="59" t="s">
        <v>2552</v>
      </c>
      <c r="R693" s="9" t="s">
        <v>2498</v>
      </c>
      <c r="S693" s="9" t="s">
        <v>2459</v>
      </c>
      <c r="T693" s="123" t="str">
        <f>IF(R693="Bogs Ponds Streams","20",IF(R693="Coastal Areas","26",IF(R693="Meadows Dry Open","10",IF(R693="Forest &amp; Understory","14",IF(R693="Moist Open","12",IF(R693="Moist Shady","10",IF(R693="Sub-Alpine Slopes","0")))))))</f>
        <v>10</v>
      </c>
      <c r="U693" s="123" t="str">
        <f>IF(R693="Bogs Ponds Streams","52",IF(R693="Coastal Areas","51",IF(R693="Meadows Dry Open","53",IF(R693="Forest &amp; Understory","52",IF(R693="Moist Open","50",IF(R693="Moist Shady","46",IF(R693="Sub-Alpine Slopes","40")))))))</f>
        <v>46</v>
      </c>
      <c r="V693" s="123" t="str">
        <f>IF(R693="Bogs Ponds Streams","84",IF(R693="Coastal Areas","76",IF(R693="Meadows Dry Open","96", IF(R693="Forest &amp; Understory","90", IF(R693="Moist Open","88", IF(R693="Moist Shady","82", IF(R693="Sub-Alpine Slopes","80")))))))</f>
        <v>82</v>
      </c>
      <c r="W693" s="59">
        <v>1</v>
      </c>
      <c r="X693" s="59">
        <v>0</v>
      </c>
      <c r="Y693" s="59">
        <v>3500</v>
      </c>
      <c r="Z693" s="59" t="s">
        <v>2519</v>
      </c>
      <c r="AA693" s="59" t="s">
        <v>2518</v>
      </c>
      <c r="AB693" s="59">
        <v>6.8</v>
      </c>
      <c r="AC693" s="45">
        <f>C693+AK693+(0.1)*AL693</f>
        <v>42.1</v>
      </c>
      <c r="AD693" s="77">
        <v>183</v>
      </c>
      <c r="AE693" s="59">
        <v>5</v>
      </c>
      <c r="AF693" s="59">
        <v>5</v>
      </c>
      <c r="AG693" s="59">
        <v>1900</v>
      </c>
      <c r="AH693" s="77">
        <v>0</v>
      </c>
      <c r="AI693" s="59">
        <f ca="1">AJ693</f>
        <v>2019</v>
      </c>
      <c r="AJ693" s="18">
        <f ca="1">YEAR(TODAY())</f>
        <v>2019</v>
      </c>
      <c r="AK693" s="18">
        <v>33</v>
      </c>
      <c r="AL693" s="18">
        <v>11</v>
      </c>
      <c r="AM693" s="18">
        <v>1</v>
      </c>
      <c r="AN693" s="18">
        <v>1</v>
      </c>
      <c r="AO693" s="18">
        <v>5</v>
      </c>
      <c r="AP693" s="18">
        <v>1</v>
      </c>
      <c r="AQ693" s="18">
        <v>0</v>
      </c>
      <c r="AR693" s="18">
        <v>0</v>
      </c>
      <c r="AS693" s="18">
        <v>0</v>
      </c>
      <c r="AT693" s="18">
        <v>0</v>
      </c>
      <c r="AU693" s="18">
        <v>0</v>
      </c>
      <c r="AV693" s="18">
        <v>0</v>
      </c>
      <c r="AW693" s="18">
        <v>0</v>
      </c>
      <c r="AX693" s="18">
        <v>0</v>
      </c>
      <c r="AY693" s="233"/>
      <c r="AZ693" s="4"/>
      <c r="BA693" s="35" t="str">
        <f ca="1">IF(OR(S693="North America",S693="Rocky Mountain"), "Widespread",BC693)</f>
        <v>Abundant</v>
      </c>
      <c r="BB693" s="4"/>
      <c r="BC693" s="35" t="str">
        <f ca="1">IF(BE693&gt;2046, "Abundant",BE693)</f>
        <v>Abundant</v>
      </c>
      <c r="BD693" s="4"/>
      <c r="BE693" s="81">
        <f ca="1">YEAR($C$13)+(BG693*80)</f>
        <v>2109.8281411764706</v>
      </c>
      <c r="BF693" s="4"/>
      <c r="BG693" s="137">
        <f ca="1">BH693*$BH$14</f>
        <v>1.1353517647058826</v>
      </c>
      <c r="BH693" s="137">
        <f ca="1">(((BJ693+BK693+BM693+BN693)/4)*$BM$11)+(((BP693+BQ693)/2)*$BQ$11)+(((BU693+BV693+BW693)/3)*$BU$11)+(((BY693+BZ693+CA693+CB693+CC693)/5)*$CA$11)</f>
        <v>1.1353517647058826</v>
      </c>
      <c r="BI693" s="4"/>
      <c r="BJ693" s="33">
        <f>AP693/(AM693+AO693)</f>
        <v>0.16666666666666666</v>
      </c>
      <c r="BK693" s="33">
        <f>(AN693+AO693)/(AM693+AO693)</f>
        <v>1</v>
      </c>
      <c r="BL693" s="4"/>
      <c r="BM693" s="127">
        <f>CF693/102</f>
        <v>0.41274509803921572</v>
      </c>
      <c r="BN693" s="127">
        <f>C693/2</f>
        <v>4</v>
      </c>
      <c r="BO693" s="4"/>
      <c r="BP693" s="127">
        <f>(AK693)/($AW$6)</f>
        <v>0.33333333333333331</v>
      </c>
      <c r="BQ693" s="127">
        <f ca="1">(CH693-$AW$4)/((YEAR($C$13))-$AW$4)</f>
        <v>1</v>
      </c>
      <c r="BR693" s="127">
        <f>(AL693)/($AW$6)</f>
        <v>0.1111111111111111</v>
      </c>
      <c r="BS693" s="4"/>
      <c r="BT693" s="127"/>
      <c r="BU693" s="127">
        <f ca="1">(CG693-$AW$4)/((YEAR($C$13))-$AW$4)</f>
        <v>1</v>
      </c>
      <c r="BV693" s="127">
        <f>AE693/5</f>
        <v>1</v>
      </c>
      <c r="BW693" s="127">
        <f>AF693/5</f>
        <v>1</v>
      </c>
      <c r="BX693" s="4"/>
      <c r="BY693" s="148" t="str">
        <f>IF(E693="A",".98",IF(E693="B",".99",IF(E693="C","1.00",IF(E693="D","1.00" ))))</f>
        <v>.98</v>
      </c>
      <c r="BZ693" s="127">
        <f>(CE693+7)/10</f>
        <v>0.8</v>
      </c>
      <c r="CA693" s="76" t="str">
        <f>IF(D693="Fern",".97",IF(D693="Grass",".99",IF(D693="Herb",".97",IF(D693="Shrub",".99",IF(D693="Tree","1.00",IF(D693="Vine",".98"))))))</f>
        <v>.97</v>
      </c>
      <c r="CB693" s="149" t="str">
        <f>IF(R693="Bogs Ponds Streams",".96", IF(R693="Coastal Areas",".97",IF(R693="Meadows Dry Open",".96",IF(R693="Forest &amp; Understory",".97",IF(R693="Moist Open",".98",IF(R693="Moist Shady",".96",IF(R693="Sub-Alpine","1.0")))))))</f>
        <v>.96</v>
      </c>
      <c r="CC693" s="76" t="str">
        <f>IF(S693="Local Endemic",".50",IF(S693="Regional Endemic",".70",IF(S693="Cascadia",".90",IF(S693="Rocky Mountain",".95",IF(S693="North America",".99")))))</f>
        <v>.90</v>
      </c>
      <c r="CD693" s="4"/>
      <c r="CE693" s="21">
        <f>IF(W693&gt;3,3,W693)</f>
        <v>1</v>
      </c>
      <c r="CF693" s="21">
        <f>IF(AC693&gt;102,102,AC693)</f>
        <v>42.1</v>
      </c>
      <c r="CG693" s="34">
        <f ca="1">IF(AI693&lt;$AW$4,$AW$4,AI693)</f>
        <v>2019</v>
      </c>
      <c r="CH693" s="34">
        <f ca="1">IF(AJ693&lt;$AW$4,$AW$4,AJ693)</f>
        <v>2019</v>
      </c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13"/>
    </row>
    <row r="694" spans="1:115" ht="15" customHeight="1" x14ac:dyDescent="0.3">
      <c r="A694" s="235"/>
      <c r="B694" s="218"/>
      <c r="C694" s="375">
        <v>1</v>
      </c>
      <c r="D694" s="67" t="s">
        <v>2505</v>
      </c>
      <c r="E694" s="67" t="s">
        <v>2502</v>
      </c>
      <c r="F694" s="403" t="str">
        <f ca="1">IF(BC694&lt;2025, "Extinct&lt; 6Yrs?",BA694)</f>
        <v>Widespread</v>
      </c>
      <c r="G694" s="376" t="s">
        <v>525</v>
      </c>
      <c r="H694" s="376" t="s">
        <v>4028</v>
      </c>
      <c r="I694" s="380" t="s">
        <v>3122</v>
      </c>
      <c r="J694" s="378" t="s">
        <v>3523</v>
      </c>
      <c r="K694" s="378" t="s">
        <v>290</v>
      </c>
      <c r="L694" s="63" t="s">
        <v>1682</v>
      </c>
      <c r="M694" s="64" t="s">
        <v>4766</v>
      </c>
      <c r="N694" s="64" t="s">
        <v>5665</v>
      </c>
      <c r="O694" s="64" t="s">
        <v>6563</v>
      </c>
      <c r="P694" s="61" t="s">
        <v>285</v>
      </c>
      <c r="Q694" s="67" t="s">
        <v>2552</v>
      </c>
      <c r="R694" s="61" t="s">
        <v>2497</v>
      </c>
      <c r="S694" s="61" t="s">
        <v>2479</v>
      </c>
      <c r="T694" s="134" t="str">
        <f>IF(R694="Bogs Ponds Streams","20",IF(R694="Coastal Areas","26",IF(R694="Meadows Dry Open","10",IF(R694="Forest &amp; Understory","14",IF(R694="Moist Open","12",IF(R694="Moist Shady","10",IF(R694="Sub-Alpine Slopes","0")))))))</f>
        <v>12</v>
      </c>
      <c r="U694" s="134" t="str">
        <f>IF(R694="Bogs Ponds Streams","52",IF(R694="Coastal Areas","51",IF(R694="Meadows Dry Open","53",IF(R694="Forest &amp; Understory","52",IF(R694="Moist Open","50",IF(R694="Moist Shady","46",IF(R694="Sub-Alpine Slopes","40")))))))</f>
        <v>50</v>
      </c>
      <c r="V694" s="134" t="str">
        <f>IF(R694="Bogs Ponds Streams","84",IF(R694="Coastal Areas","76",IF(R694="Meadows Dry Open","96", IF(R694="Forest &amp; Understory","90", IF(R694="Moist Open","88", IF(R694="Moist Shady","82", IF(R694="Sub-Alpine Slopes","80")))))))</f>
        <v>88</v>
      </c>
      <c r="W694" s="67">
        <v>1</v>
      </c>
      <c r="X694" s="67">
        <v>0</v>
      </c>
      <c r="Y694" s="67">
        <v>3500</v>
      </c>
      <c r="Z694" s="67" t="s">
        <v>2519</v>
      </c>
      <c r="AA694" s="67" t="s">
        <v>2518</v>
      </c>
      <c r="AB694" s="67">
        <v>6.8</v>
      </c>
      <c r="AC694" s="85">
        <f>C694+AK694+(0.1)*AL694</f>
        <v>13.6</v>
      </c>
      <c r="AD694" s="78">
        <v>103</v>
      </c>
      <c r="AE694" s="67">
        <v>5</v>
      </c>
      <c r="AF694" s="67">
        <v>5</v>
      </c>
      <c r="AG694" s="67">
        <v>1900</v>
      </c>
      <c r="AH694" s="78">
        <v>0</v>
      </c>
      <c r="AI694" s="67">
        <f>AJ694</f>
        <v>2004</v>
      </c>
      <c r="AJ694" s="69">
        <v>2004</v>
      </c>
      <c r="AK694" s="69">
        <v>12</v>
      </c>
      <c r="AL694" s="69">
        <v>6</v>
      </c>
      <c r="AM694" s="70">
        <v>5</v>
      </c>
      <c r="AN694" s="70">
        <v>0</v>
      </c>
      <c r="AO694" s="86">
        <v>0</v>
      </c>
      <c r="AP694" s="70">
        <v>0</v>
      </c>
      <c r="AQ694" s="70">
        <v>0</v>
      </c>
      <c r="AR694" s="70">
        <v>0</v>
      </c>
      <c r="AS694" s="86">
        <v>0</v>
      </c>
      <c r="AT694" s="70">
        <v>0</v>
      </c>
      <c r="AU694" s="70">
        <v>0</v>
      </c>
      <c r="AV694" s="70">
        <v>0</v>
      </c>
      <c r="AW694" s="86">
        <v>0</v>
      </c>
      <c r="AX694" s="70">
        <v>0</v>
      </c>
      <c r="AY694" s="233"/>
      <c r="AZ694" s="4"/>
      <c r="BA694" s="35" t="str">
        <f>IF(OR(S694="North America",S694="Rocky Mountain"), "Widespread",BC694)</f>
        <v>Widespread</v>
      </c>
      <c r="BB694" s="4"/>
      <c r="BC694" s="35">
        <f ca="1">IF(BE694&gt;2046, "Abundant",BE694)</f>
        <v>2033.8188121212122</v>
      </c>
      <c r="BD694" s="4"/>
      <c r="BE694" s="81">
        <f ca="1">YEAR($C$13)+(BG694*80)</f>
        <v>2033.8188121212122</v>
      </c>
      <c r="BF694" s="4"/>
      <c r="BG694" s="137">
        <f ca="1">BH694*$BH$14</f>
        <v>0.18523515151515152</v>
      </c>
      <c r="BH694" s="137">
        <f ca="1">(((BJ694+BK694+BM694+BN694)/4)*$BM$11)+(((BP694+BQ694)/2)*$BQ$11)+(((BU694+BV694+BW694)/3)*$BU$11)+(((BY694+BZ694+CA694+CB694+CC694)/5)*$CA$11)</f>
        <v>0.18523515151515152</v>
      </c>
      <c r="BI694" s="4"/>
      <c r="BJ694" s="33">
        <f>AP694/(AM694+AO694)</f>
        <v>0</v>
      </c>
      <c r="BK694" s="33">
        <f>(AN694+AO694)/(AM694+AO694)</f>
        <v>0</v>
      </c>
      <c r="BL694" s="4"/>
      <c r="BM694" s="127">
        <f>CF694/102</f>
        <v>0.13333333333333333</v>
      </c>
      <c r="BN694" s="127">
        <f>C694/2</f>
        <v>0.5</v>
      </c>
      <c r="BO694" s="4"/>
      <c r="BP694" s="127">
        <f>(AK694)/($AW$6)</f>
        <v>0.12121212121212122</v>
      </c>
      <c r="BQ694" s="127">
        <f ca="1">(CH694-$AW$4)/((YEAR($C$13))-$AW$4)</f>
        <v>0</v>
      </c>
      <c r="BR694" s="127">
        <f>(AL694)/($AW$6)</f>
        <v>6.0606060606060608E-2</v>
      </c>
      <c r="BS694" s="4"/>
      <c r="BT694" s="127"/>
      <c r="BU694" s="127">
        <f ca="1">(CG694-$AW$4)/((YEAR($C$13))-$AW$4)</f>
        <v>0</v>
      </c>
      <c r="BV694" s="127">
        <f>AE694/5</f>
        <v>1</v>
      </c>
      <c r="BW694" s="127">
        <f>AF694/5</f>
        <v>1</v>
      </c>
      <c r="BX694" s="4"/>
      <c r="BY694" s="148" t="str">
        <f>IF(E694="A",".98",IF(E694="B",".99",IF(E694="C","1.00",IF(E694="D","1.00" ))))</f>
        <v>.98</v>
      </c>
      <c r="BZ694" s="127">
        <f>(CE694+7)/10</f>
        <v>0.8</v>
      </c>
      <c r="CA694" s="76" t="str">
        <f>IF(D694="Fern",".97",IF(D694="Grass",".99",IF(D694="Herb",".97",IF(D694="Shrub",".99",IF(D694="Tree","1.00",IF(D694="Vine",".98"))))))</f>
        <v>.97</v>
      </c>
      <c r="CB694" s="149" t="str">
        <f>IF(R694="Bogs Ponds Streams",".96", IF(R694="Coastal Areas",".97",IF(R694="Meadows Dry Open",".96",IF(R694="Forest &amp; Understory",".97",IF(R694="Moist Open",".98",IF(R694="Moist Shady",".96",IF(R694="Sub-Alpine","1.0")))))))</f>
        <v>.98</v>
      </c>
      <c r="CC694" s="76" t="str">
        <f>IF(S694="Local Endemic",".50",IF(S694="Regional Endemic",".70",IF(S694="Cascadia",".90",IF(S694="Rocky Mountain",".95",IF(S694="North America",".99")))))</f>
        <v>.95</v>
      </c>
      <c r="CD694" s="4"/>
      <c r="CE694" s="21">
        <f>IF(W694&gt;3,3,W694)</f>
        <v>1</v>
      </c>
      <c r="CF694" s="21">
        <f>IF(AC694&gt;102,102,AC694)</f>
        <v>13.6</v>
      </c>
      <c r="CG694" s="34">
        <f>IF(AI694&lt;$AW$4,$AW$4,AI694)</f>
        <v>2004</v>
      </c>
      <c r="CH694" s="34">
        <f>IF(AJ694&lt;$AW$4,$AW$4,AJ694)</f>
        <v>2004</v>
      </c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</row>
    <row r="695" spans="1:115" ht="15" customHeight="1" x14ac:dyDescent="0.3">
      <c r="A695" s="235"/>
      <c r="B695" s="218"/>
      <c r="C695" s="226">
        <v>2</v>
      </c>
      <c r="D695" s="104" t="s">
        <v>2505</v>
      </c>
      <c r="E695" s="104" t="s">
        <v>2502</v>
      </c>
      <c r="F695" s="400" t="str">
        <f ca="1">IF(BC695&lt;2025, "Extinct&lt; 6Yrs?",BA695)</f>
        <v>Widespread</v>
      </c>
      <c r="G695" s="369" t="s">
        <v>525</v>
      </c>
      <c r="H695" s="369" t="s">
        <v>4028</v>
      </c>
      <c r="I695" s="372" t="s">
        <v>2698</v>
      </c>
      <c r="J695" s="371" t="s">
        <v>3707</v>
      </c>
      <c r="K695" s="371" t="s">
        <v>1115</v>
      </c>
      <c r="L695" s="114" t="s">
        <v>1683</v>
      </c>
      <c r="M695" s="111" t="s">
        <v>4767</v>
      </c>
      <c r="N695" s="111" t="s">
        <v>5666</v>
      </c>
      <c r="O695" s="111" t="s">
        <v>6564</v>
      </c>
      <c r="P695" s="401" t="s">
        <v>285</v>
      </c>
      <c r="Q695" s="104" t="s">
        <v>2552</v>
      </c>
      <c r="R695" s="105" t="s">
        <v>2498</v>
      </c>
      <c r="S695" s="105" t="s">
        <v>2495</v>
      </c>
      <c r="T695" s="133" t="str">
        <f>IF(R695="Bogs Ponds Streams","20",IF(R695="Coastal Areas","26",IF(R695="Meadows Dry Open","10",IF(R695="Forest &amp; Understory","14",IF(R695="Moist Open","12",IF(R695="Moist Shady","10",IF(R695="Sub-Alpine Slopes","0")))))))</f>
        <v>10</v>
      </c>
      <c r="U695" s="133" t="str">
        <f>IF(R695="Bogs Ponds Streams","52",IF(R695="Coastal Areas","51",IF(R695="Meadows Dry Open","53",IF(R695="Forest &amp; Understory","52",IF(R695="Moist Open","50",IF(R695="Moist Shady","46",IF(R695="Sub-Alpine Slopes","40")))))))</f>
        <v>46</v>
      </c>
      <c r="V695" s="133" t="str">
        <f>IF(R695="Bogs Ponds Streams","84",IF(R695="Coastal Areas","76",IF(R695="Meadows Dry Open","96", IF(R695="Forest &amp; Understory","90", IF(R695="Moist Open","88", IF(R695="Moist Shady","82", IF(R695="Sub-Alpine Slopes","80")))))))</f>
        <v>82</v>
      </c>
      <c r="W695" s="104">
        <v>1</v>
      </c>
      <c r="X695" s="104">
        <v>0</v>
      </c>
      <c r="Y695" s="104">
        <v>3500</v>
      </c>
      <c r="Z695" s="104" t="s">
        <v>2519</v>
      </c>
      <c r="AA695" s="104" t="s">
        <v>2518</v>
      </c>
      <c r="AB695" s="104">
        <v>6.8</v>
      </c>
      <c r="AC695" s="107">
        <f>C695+AK695+(0.1)*AL695</f>
        <v>14.5</v>
      </c>
      <c r="AD695" s="113">
        <v>78</v>
      </c>
      <c r="AE695" s="104">
        <v>5</v>
      </c>
      <c r="AF695" s="104">
        <v>5</v>
      </c>
      <c r="AG695" s="104">
        <v>1900</v>
      </c>
      <c r="AH695" s="113">
        <v>0</v>
      </c>
      <c r="AI695" s="104">
        <f>AJ695</f>
        <v>2004</v>
      </c>
      <c r="AJ695" s="108">
        <v>2004</v>
      </c>
      <c r="AK695" s="108">
        <v>11</v>
      </c>
      <c r="AL695" s="108">
        <v>15</v>
      </c>
      <c r="AM695" s="109">
        <v>5</v>
      </c>
      <c r="AN695" s="109">
        <v>1</v>
      </c>
      <c r="AO695" s="110">
        <v>0</v>
      </c>
      <c r="AP695" s="109">
        <v>0</v>
      </c>
      <c r="AQ695" s="109">
        <v>0</v>
      </c>
      <c r="AR695" s="109">
        <v>0</v>
      </c>
      <c r="AS695" s="110">
        <v>0</v>
      </c>
      <c r="AT695" s="109">
        <v>0</v>
      </c>
      <c r="AU695" s="109">
        <v>0</v>
      </c>
      <c r="AV695" s="109">
        <v>0</v>
      </c>
      <c r="AW695" s="110">
        <v>0</v>
      </c>
      <c r="AX695" s="109">
        <v>0</v>
      </c>
      <c r="AY695" s="233"/>
      <c r="AZ695" s="4"/>
      <c r="BA695" s="35" t="str">
        <f>IF(OR(S695="North America",S695="Rocky Mountain"), "Widespread",BC695)</f>
        <v>Widespread</v>
      </c>
      <c r="BB695" s="4"/>
      <c r="BC695" s="35">
        <f ca="1">IF(BE695&gt;2046, "Abundant",BE695)</f>
        <v>2042.2098823529411</v>
      </c>
      <c r="BD695" s="4"/>
      <c r="BE695" s="81">
        <f ca="1">YEAR($C$13)+(BG695*80)</f>
        <v>2042.2098823529411</v>
      </c>
      <c r="BF695" s="4"/>
      <c r="BG695" s="137">
        <f ca="1">BH695*$BH$14</f>
        <v>0.29012352941176467</v>
      </c>
      <c r="BH695" s="137">
        <f ca="1">(((BJ695+BK695+BM695+BN695)/4)*$BM$11)+(((BP695+BQ695)/2)*$BQ$11)+(((BU695+BV695+BW695)/3)*$BU$11)+(((BY695+BZ695+CA695+CB695+CC695)/5)*$CA$11)</f>
        <v>0.29012352941176467</v>
      </c>
      <c r="BI695" s="4"/>
      <c r="BJ695" s="33">
        <f>AP695/(AM695+AO695)</f>
        <v>0</v>
      </c>
      <c r="BK695" s="33">
        <f>(AN695+AO695)/(AM695+AO695)</f>
        <v>0.2</v>
      </c>
      <c r="BL695" s="4"/>
      <c r="BM695" s="127">
        <f>CF695/102</f>
        <v>0.14215686274509803</v>
      </c>
      <c r="BN695" s="127">
        <f>C695/2</f>
        <v>1</v>
      </c>
      <c r="BO695" s="4"/>
      <c r="BP695" s="127">
        <f>(AK695)/($AW$6)</f>
        <v>0.1111111111111111</v>
      </c>
      <c r="BQ695" s="127">
        <f ca="1">(CH695-$AW$4)/((YEAR($C$13))-$AW$4)</f>
        <v>0</v>
      </c>
      <c r="BR695" s="127">
        <f>(AL695)/($AW$6)</f>
        <v>0.15151515151515152</v>
      </c>
      <c r="BS695" s="4"/>
      <c r="BT695" s="127"/>
      <c r="BU695" s="127">
        <f ca="1">(CG695-$AW$4)/((YEAR($C$13))-$AW$4)</f>
        <v>0</v>
      </c>
      <c r="BV695" s="127">
        <f>AE695/5</f>
        <v>1</v>
      </c>
      <c r="BW695" s="127">
        <f>AF695/5</f>
        <v>1</v>
      </c>
      <c r="BX695" s="4"/>
      <c r="BY695" s="148" t="str">
        <f>IF(E695="A",".98",IF(E695="B",".99",IF(E695="C","1.00",IF(E695="D","1.00" ))))</f>
        <v>.98</v>
      </c>
      <c r="BZ695" s="127">
        <f>(CE695+7)/10</f>
        <v>0.8</v>
      </c>
      <c r="CA695" s="76" t="str">
        <f>IF(D695="Fern",".97",IF(D695="Grass",".99",IF(D695="Herb",".97",IF(D695="Shrub",".99",IF(D695="Tree","1.00",IF(D695="Vine",".98"))))))</f>
        <v>.97</v>
      </c>
      <c r="CB695" s="149" t="str">
        <f>IF(R695="Bogs Ponds Streams",".96", IF(R695="Coastal Areas",".97",IF(R695="Meadows Dry Open",".96",IF(R695="Forest &amp; Understory",".97",IF(R695="Moist Open",".98",IF(R695="Moist Shady",".96",IF(R695="Sub-Alpine","1.0")))))))</f>
        <v>.96</v>
      </c>
      <c r="CC695" s="76" t="str">
        <f>IF(S695="Local Endemic",".50",IF(S695="Regional Endemic",".70",IF(S695="Cascadia",".90",IF(S695="Rocky Mountain",".95",IF(S695="North America",".99")))))</f>
        <v>.99</v>
      </c>
      <c r="CD695" s="4"/>
      <c r="CE695" s="21">
        <f>IF(W695&gt;3,3,W695)</f>
        <v>1</v>
      </c>
      <c r="CF695" s="21">
        <f>IF(AC695&gt;102,102,AC695)</f>
        <v>14.5</v>
      </c>
      <c r="CG695" s="34">
        <f>IF(AI695&lt;$AW$4,$AW$4,AI695)</f>
        <v>2004</v>
      </c>
      <c r="CH695" s="34">
        <f>IF(AJ695&lt;$AW$4,$AW$4,AJ695)</f>
        <v>2004</v>
      </c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</row>
    <row r="696" spans="1:115" ht="15" customHeight="1" x14ac:dyDescent="0.3">
      <c r="A696" s="235"/>
      <c r="B696" s="218"/>
      <c r="C696" s="226">
        <v>2</v>
      </c>
      <c r="D696" s="104" t="s">
        <v>2505</v>
      </c>
      <c r="E696" s="104" t="s">
        <v>2502</v>
      </c>
      <c r="F696" s="400" t="str">
        <f ca="1">IF(BC696&lt;2025, "Extinct&lt; 6Yrs?",BA696)</f>
        <v>Widespread</v>
      </c>
      <c r="G696" s="369" t="s">
        <v>525</v>
      </c>
      <c r="H696" s="369" t="s">
        <v>4028</v>
      </c>
      <c r="I696" s="370" t="s">
        <v>3123</v>
      </c>
      <c r="J696" s="371" t="s">
        <v>3706</v>
      </c>
      <c r="K696" s="371" t="s">
        <v>1116</v>
      </c>
      <c r="L696" s="106" t="s">
        <v>1684</v>
      </c>
      <c r="M696" s="111" t="s">
        <v>4768</v>
      </c>
      <c r="N696" s="111" t="s">
        <v>5667</v>
      </c>
      <c r="O696" s="111" t="s">
        <v>6565</v>
      </c>
      <c r="P696" s="105" t="s">
        <v>285</v>
      </c>
      <c r="Q696" s="104" t="s">
        <v>2552</v>
      </c>
      <c r="R696" s="105" t="s">
        <v>2498</v>
      </c>
      <c r="S696" s="105" t="s">
        <v>2479</v>
      </c>
      <c r="T696" s="133" t="str">
        <f>IF(R696="Bogs Ponds Streams","20",IF(R696="Coastal Areas","26",IF(R696="Meadows Dry Open","10",IF(R696="Forest &amp; Understory","14",IF(R696="Moist Open","12",IF(R696="Moist Shady","10",IF(R696="Sub-Alpine Slopes","0")))))))</f>
        <v>10</v>
      </c>
      <c r="U696" s="133" t="str">
        <f>IF(R696="Bogs Ponds Streams","52",IF(R696="Coastal Areas","51",IF(R696="Meadows Dry Open","53",IF(R696="Forest &amp; Understory","52",IF(R696="Moist Open","50",IF(R696="Moist Shady","46",IF(R696="Sub-Alpine Slopes","40")))))))</f>
        <v>46</v>
      </c>
      <c r="V696" s="133" t="str">
        <f>IF(R696="Bogs Ponds Streams","84",IF(R696="Coastal Areas","76",IF(R696="Meadows Dry Open","96", IF(R696="Forest &amp; Understory","90", IF(R696="Moist Open","88", IF(R696="Moist Shady","82", IF(R696="Sub-Alpine Slopes","80")))))))</f>
        <v>82</v>
      </c>
      <c r="W696" s="104">
        <v>1</v>
      </c>
      <c r="X696" s="104">
        <v>0</v>
      </c>
      <c r="Y696" s="104">
        <v>3500</v>
      </c>
      <c r="Z696" s="104" t="s">
        <v>2519</v>
      </c>
      <c r="AA696" s="104" t="s">
        <v>2518</v>
      </c>
      <c r="AB696" s="104">
        <v>6.8</v>
      </c>
      <c r="AC696" s="107">
        <f>C696+AK696+(0.1)*AL696</f>
        <v>37.200000000000003</v>
      </c>
      <c r="AD696" s="113">
        <v>262</v>
      </c>
      <c r="AE696" s="104">
        <v>5</v>
      </c>
      <c r="AF696" s="104">
        <v>5</v>
      </c>
      <c r="AG696" s="104">
        <v>1900</v>
      </c>
      <c r="AH696" s="113">
        <v>0</v>
      </c>
      <c r="AI696" s="104">
        <f>AJ696</f>
        <v>2004</v>
      </c>
      <c r="AJ696" s="108">
        <v>2004</v>
      </c>
      <c r="AK696" s="108">
        <v>33</v>
      </c>
      <c r="AL696" s="108">
        <v>22</v>
      </c>
      <c r="AM696" s="109">
        <v>5</v>
      </c>
      <c r="AN696" s="109">
        <v>1</v>
      </c>
      <c r="AO696" s="110">
        <v>0</v>
      </c>
      <c r="AP696" s="109">
        <v>0</v>
      </c>
      <c r="AQ696" s="109">
        <v>0</v>
      </c>
      <c r="AR696" s="109">
        <v>0</v>
      </c>
      <c r="AS696" s="110">
        <v>0</v>
      </c>
      <c r="AT696" s="109">
        <v>0</v>
      </c>
      <c r="AU696" s="109">
        <v>0</v>
      </c>
      <c r="AV696" s="109">
        <v>0</v>
      </c>
      <c r="AW696" s="110">
        <v>0</v>
      </c>
      <c r="AX696" s="109">
        <v>0</v>
      </c>
      <c r="AY696" s="233"/>
      <c r="AZ696" s="4"/>
      <c r="BA696" s="35" t="str">
        <f>IF(OR(S696="North America",S696="Rocky Mountain"), "Widespread",BC696)</f>
        <v>Widespread</v>
      </c>
      <c r="BB696" s="4"/>
      <c r="BC696" s="35" t="str">
        <f ca="1">IF(BE696&gt;2046, "Abundant",BE696)</f>
        <v>Abundant</v>
      </c>
      <c r="BD696" s="4"/>
      <c r="BE696" s="81">
        <f ca="1">YEAR($C$13)+(BG696*80)</f>
        <v>2047.5343372549019</v>
      </c>
      <c r="BF696" s="4"/>
      <c r="BG696" s="137">
        <f ca="1">BH696*$BH$14</f>
        <v>0.35667921568627448</v>
      </c>
      <c r="BH696" s="137">
        <f ca="1">(((BJ696+BK696+BM696+BN696)/4)*$BM$11)+(((BP696+BQ696)/2)*$BQ$11)+(((BU696+BV696+BW696)/3)*$BU$11)+(((BY696+BZ696+CA696+CB696+CC696)/5)*$CA$11)</f>
        <v>0.35667921568627448</v>
      </c>
      <c r="BI696" s="4"/>
      <c r="BJ696" s="33">
        <f>AP696/(AM696+AO696)</f>
        <v>0</v>
      </c>
      <c r="BK696" s="33">
        <f>(AN696+AO696)/(AM696+AO696)</f>
        <v>0.2</v>
      </c>
      <c r="BL696" s="4"/>
      <c r="BM696" s="127">
        <f>CF696/102</f>
        <v>0.36470588235294121</v>
      </c>
      <c r="BN696" s="127">
        <f>C696/2</f>
        <v>1</v>
      </c>
      <c r="BO696" s="4"/>
      <c r="BP696" s="127">
        <f>(AK696)/($AW$6)</f>
        <v>0.33333333333333331</v>
      </c>
      <c r="BQ696" s="127">
        <f ca="1">(CH696-$AW$4)/((YEAR($C$13))-$AW$4)</f>
        <v>0</v>
      </c>
      <c r="BR696" s="127">
        <f>(AL696)/($AW$6)</f>
        <v>0.22222222222222221</v>
      </c>
      <c r="BS696" s="4"/>
      <c r="BT696" s="127"/>
      <c r="BU696" s="127">
        <f ca="1">(CG696-$AW$4)/((YEAR($C$13))-$AW$4)</f>
        <v>0</v>
      </c>
      <c r="BV696" s="127">
        <f>AE696/5</f>
        <v>1</v>
      </c>
      <c r="BW696" s="127">
        <f>AF696/5</f>
        <v>1</v>
      </c>
      <c r="BX696" s="4"/>
      <c r="BY696" s="148" t="str">
        <f>IF(E696="A",".98",IF(E696="B",".99",IF(E696="C","1.00",IF(E696="D","1.00" ))))</f>
        <v>.98</v>
      </c>
      <c r="BZ696" s="127">
        <f>(CE696+7)/10</f>
        <v>0.8</v>
      </c>
      <c r="CA696" s="76" t="str">
        <f>IF(D696="Fern",".97",IF(D696="Grass",".99",IF(D696="Herb",".97",IF(D696="Shrub",".99",IF(D696="Tree","1.00",IF(D696="Vine",".98"))))))</f>
        <v>.97</v>
      </c>
      <c r="CB696" s="149" t="str">
        <f>IF(R696="Bogs Ponds Streams",".96", IF(R696="Coastal Areas",".97",IF(R696="Meadows Dry Open",".96",IF(R696="Forest &amp; Understory",".97",IF(R696="Moist Open",".98",IF(R696="Moist Shady",".96",IF(R696="Sub-Alpine","1.0")))))))</f>
        <v>.96</v>
      </c>
      <c r="CC696" s="76" t="str">
        <f>IF(S696="Local Endemic",".50",IF(S696="Regional Endemic",".70",IF(S696="Cascadia",".90",IF(S696="Rocky Mountain",".95",IF(S696="North America",".99")))))</f>
        <v>.95</v>
      </c>
      <c r="CD696" s="4"/>
      <c r="CE696" s="21">
        <f>IF(W696&gt;3,3,W696)</f>
        <v>1</v>
      </c>
      <c r="CF696" s="21">
        <f>IF(AC696&gt;102,102,AC696)</f>
        <v>37.200000000000003</v>
      </c>
      <c r="CG696" s="34">
        <f>IF(AI696&lt;$AW$4,$AW$4,AI696)</f>
        <v>2004</v>
      </c>
      <c r="CH696" s="34">
        <f>IF(AJ696&lt;$AW$4,$AW$4,AJ696)</f>
        <v>2004</v>
      </c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</row>
    <row r="697" spans="1:115" ht="15" customHeight="1" x14ac:dyDescent="0.3">
      <c r="A697" s="235"/>
      <c r="B697" s="218"/>
      <c r="C697" s="225">
        <v>8</v>
      </c>
      <c r="D697" s="59" t="s">
        <v>2507</v>
      </c>
      <c r="E697" s="59" t="s">
        <v>2501</v>
      </c>
      <c r="F697" s="397" t="str">
        <f ca="1">IF(BC697&lt;2025, "Extinct&lt; 6Yrs?",BA697)</f>
        <v>Abundant</v>
      </c>
      <c r="G697" s="363" t="s">
        <v>525</v>
      </c>
      <c r="H697" s="363" t="s">
        <v>685</v>
      </c>
      <c r="I697" s="366" t="s">
        <v>301</v>
      </c>
      <c r="J697" s="365" t="s">
        <v>3987</v>
      </c>
      <c r="K697" s="365" t="s">
        <v>703</v>
      </c>
      <c r="L697" s="10" t="s">
        <v>1685</v>
      </c>
      <c r="M697" s="8" t="s">
        <v>4769</v>
      </c>
      <c r="N697" s="8" t="s">
        <v>5668</v>
      </c>
      <c r="O697" s="8" t="s">
        <v>6566</v>
      </c>
      <c r="P697" s="9" t="s">
        <v>298</v>
      </c>
      <c r="Q697" s="59" t="s">
        <v>2552</v>
      </c>
      <c r="R697" s="9" t="s">
        <v>2497</v>
      </c>
      <c r="S697" s="17" t="s">
        <v>2459</v>
      </c>
      <c r="T697" s="123" t="str">
        <f>IF(R697="Bogs Ponds Streams","20",IF(R697="Coastal Areas","26",IF(R697="Meadows Dry Open","10",IF(R697="Forest &amp; Understory","14",IF(R697="Moist Open","12",IF(R697="Moist Shady","10",IF(R697="Sub-Alpine Slopes","0")))))))</f>
        <v>12</v>
      </c>
      <c r="U697" s="123" t="str">
        <f>IF(R697="Bogs Ponds Streams","52",IF(R697="Coastal Areas","51",IF(R697="Meadows Dry Open","53",IF(R697="Forest &amp; Understory","52",IF(R697="Moist Open","50",IF(R697="Moist Shady","46",IF(R697="Sub-Alpine Slopes","40")))))))</f>
        <v>50</v>
      </c>
      <c r="V697" s="123" t="str">
        <f>IF(R697="Bogs Ponds Streams","84",IF(R697="Coastal Areas","76",IF(R697="Meadows Dry Open","96", IF(R697="Forest &amp; Understory","90", IF(R697="Moist Open","88", IF(R697="Moist Shady","82", IF(R697="Sub-Alpine Slopes","80")))))))</f>
        <v>88</v>
      </c>
      <c r="W697" s="59">
        <v>20</v>
      </c>
      <c r="X697" s="59">
        <v>0</v>
      </c>
      <c r="Y697" s="59">
        <v>3500</v>
      </c>
      <c r="Z697" s="59" t="s">
        <v>2519</v>
      </c>
      <c r="AA697" s="59" t="s">
        <v>2518</v>
      </c>
      <c r="AB697" s="59">
        <v>6.8</v>
      </c>
      <c r="AC697" s="45">
        <f>C697+AK697+(0.1)*AL697</f>
        <v>107.9</v>
      </c>
      <c r="AD697" s="77">
        <v>104</v>
      </c>
      <c r="AE697" s="59">
        <v>5</v>
      </c>
      <c r="AF697" s="59">
        <v>5</v>
      </c>
      <c r="AG697" s="59">
        <v>1900</v>
      </c>
      <c r="AH697" s="77">
        <v>0</v>
      </c>
      <c r="AI697" s="59">
        <f ca="1">AJ697</f>
        <v>2019</v>
      </c>
      <c r="AJ697" s="18">
        <f ca="1">YEAR(TODAY())</f>
        <v>2019</v>
      </c>
      <c r="AK697" s="18">
        <v>99</v>
      </c>
      <c r="AL697" s="18">
        <v>9</v>
      </c>
      <c r="AM697" s="18">
        <v>1</v>
      </c>
      <c r="AN697" s="18">
        <v>1</v>
      </c>
      <c r="AO697" s="18">
        <v>5</v>
      </c>
      <c r="AP697" s="18">
        <v>1</v>
      </c>
      <c r="AQ697" s="18">
        <v>0</v>
      </c>
      <c r="AR697" s="18">
        <v>0</v>
      </c>
      <c r="AS697" s="18">
        <v>0</v>
      </c>
      <c r="AT697" s="18">
        <v>0</v>
      </c>
      <c r="AU697" s="18">
        <v>0</v>
      </c>
      <c r="AV697" s="18">
        <v>0</v>
      </c>
      <c r="AW697" s="18">
        <v>0</v>
      </c>
      <c r="AX697" s="18">
        <v>0</v>
      </c>
      <c r="AY697" s="233"/>
      <c r="AZ697" s="4"/>
      <c r="BA697" s="35" t="str">
        <f ca="1">IF(OR(S697="North America",S697="Rocky Mountain"), "Widespread",BC697)</f>
        <v>Abundant</v>
      </c>
      <c r="BB697" s="4"/>
      <c r="BC697" s="35" t="str">
        <f ca="1">IF(BE697&gt;2046, "Abundant",BE697)</f>
        <v>Abundant</v>
      </c>
      <c r="BD697" s="4"/>
      <c r="BE697" s="81">
        <f ca="1">YEAR($C$13)+(BG697*80)</f>
        <v>2124.9616000000001</v>
      </c>
      <c r="BF697" s="4"/>
      <c r="BG697" s="137">
        <f ca="1">BH697*$BH$14</f>
        <v>1.3245200000000001</v>
      </c>
      <c r="BH697" s="137">
        <f ca="1">(((BJ697+BK697+BM697+BN697)/4)*$BM$11)+(((BP697+BQ697)/2)*$BQ$11)+(((BU697+BV697+BW697)/3)*$BU$11)+(((BY697+BZ697+CA697+CB697+CC697)/5)*$CA$11)</f>
        <v>1.3245200000000001</v>
      </c>
      <c r="BI697" s="4"/>
      <c r="BJ697" s="33">
        <f>AP697/(AM697+AO697)</f>
        <v>0.16666666666666666</v>
      </c>
      <c r="BK697" s="33">
        <f>(AN697+AO697)/(AM697+AO697)</f>
        <v>1</v>
      </c>
      <c r="BL697" s="4"/>
      <c r="BM697" s="127">
        <f>CF697/102</f>
        <v>1</v>
      </c>
      <c r="BN697" s="127">
        <f>C697/2</f>
        <v>4</v>
      </c>
      <c r="BO697" s="4"/>
      <c r="BP697" s="127">
        <f>(AK697)/($AW$6)</f>
        <v>1</v>
      </c>
      <c r="BQ697" s="127">
        <f ca="1">(CH697-$AW$4)/((YEAR($C$13))-$AW$4)</f>
        <v>1</v>
      </c>
      <c r="BR697" s="127">
        <f>(AL697)/($AW$6)</f>
        <v>9.0909090909090912E-2</v>
      </c>
      <c r="BS697" s="4"/>
      <c r="BT697" s="127"/>
      <c r="BU697" s="127">
        <f ca="1">(CG697-$AW$4)/((YEAR($C$13))-$AW$4)</f>
        <v>1</v>
      </c>
      <c r="BV697" s="127">
        <f>AE697/5</f>
        <v>1</v>
      </c>
      <c r="BW697" s="127">
        <f>AF697/5</f>
        <v>1</v>
      </c>
      <c r="BX697" s="4"/>
      <c r="BY697" s="148" t="str">
        <f>IF(E697="A",".98",IF(E697="B",".99",IF(E697="C","1.00",IF(E697="D","1.00" ))))</f>
        <v>1.00</v>
      </c>
      <c r="BZ697" s="127">
        <f>(CE697+7)/10</f>
        <v>1</v>
      </c>
      <c r="CA697" s="76" t="str">
        <f>IF(D697="Fern",".97",IF(D697="Grass",".99",IF(D697="Herb",".97",IF(D697="Shrub",".99",IF(D697="Tree","1.00",IF(D697="Vine",".98"))))))</f>
        <v>1.00</v>
      </c>
      <c r="CB697" s="149" t="str">
        <f>IF(R697="Bogs Ponds Streams",".96", IF(R697="Coastal Areas",".97",IF(R697="Meadows Dry Open",".96",IF(R697="Forest &amp; Understory",".97",IF(R697="Moist Open",".98",IF(R697="Moist Shady",".96",IF(R697="Sub-Alpine","1.0")))))))</f>
        <v>.98</v>
      </c>
      <c r="CC697" s="76" t="str">
        <f>IF(S697="Local Endemic",".50",IF(S697="Regional Endemic",".70",IF(S697="Cascadia",".90",IF(S697="Rocky Mountain",".95",IF(S697="North America",".99")))))</f>
        <v>.90</v>
      </c>
      <c r="CD697" s="4"/>
      <c r="CE697" s="21">
        <f>IF(W697&gt;3,3,W697)</f>
        <v>3</v>
      </c>
      <c r="CF697" s="21">
        <f>IF(AC697&gt;102,102,AC697)</f>
        <v>102</v>
      </c>
      <c r="CG697" s="34">
        <f ca="1">IF(AI697&lt;$AW$4,$AW$4,AI697)</f>
        <v>2019</v>
      </c>
      <c r="CH697" s="34">
        <f ca="1">IF(AJ697&lt;$AW$4,$AW$4,AJ697)</f>
        <v>2019</v>
      </c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</row>
    <row r="698" spans="1:115" ht="15" customHeight="1" x14ac:dyDescent="0.3">
      <c r="A698" s="235"/>
      <c r="B698" s="218"/>
      <c r="C698" s="225">
        <v>8</v>
      </c>
      <c r="D698" s="59" t="s">
        <v>2505</v>
      </c>
      <c r="E698" s="59" t="s">
        <v>2501</v>
      </c>
      <c r="F698" s="397" t="str">
        <f ca="1">IF(BC698&lt;2025, "Extinct&lt; 6Yrs?",BA698)</f>
        <v>Widespread</v>
      </c>
      <c r="G698" s="363" t="s">
        <v>525</v>
      </c>
      <c r="H698" s="363" t="s">
        <v>696</v>
      </c>
      <c r="I698" s="366" t="s">
        <v>75</v>
      </c>
      <c r="J698" s="365" t="s">
        <v>3986</v>
      </c>
      <c r="K698" s="365" t="s">
        <v>116</v>
      </c>
      <c r="L698" s="10" t="s">
        <v>1686</v>
      </c>
      <c r="M698" s="8" t="s">
        <v>4770</v>
      </c>
      <c r="N698" s="8" t="s">
        <v>5669</v>
      </c>
      <c r="O698" s="8" t="s">
        <v>6567</v>
      </c>
      <c r="P698" s="9" t="s">
        <v>667</v>
      </c>
      <c r="Q698" s="59" t="s">
        <v>2552</v>
      </c>
      <c r="R698" s="9" t="s">
        <v>2498</v>
      </c>
      <c r="S698" s="9" t="s">
        <v>2495</v>
      </c>
      <c r="T698" s="123" t="str">
        <f>IF(R698="Bogs Ponds Streams","20",IF(R698="Coastal Areas","26",IF(R698="Meadows Dry Open","10",IF(R698="Forest &amp; Understory","14",IF(R698="Moist Open","12",IF(R698="Moist Shady","10",IF(R698="Sub-Alpine Slopes","0")))))))</f>
        <v>10</v>
      </c>
      <c r="U698" s="123" t="str">
        <f>IF(R698="Bogs Ponds Streams","52",IF(R698="Coastal Areas","51",IF(R698="Meadows Dry Open","53",IF(R698="Forest &amp; Understory","52",IF(R698="Moist Open","50",IF(R698="Moist Shady","46",IF(R698="Sub-Alpine Slopes","40")))))))</f>
        <v>46</v>
      </c>
      <c r="V698" s="123" t="str">
        <f>IF(R698="Bogs Ponds Streams","84",IF(R698="Coastal Areas","76",IF(R698="Meadows Dry Open","96", IF(R698="Forest &amp; Understory","90", IF(R698="Moist Open","88", IF(R698="Moist Shady","82", IF(R698="Sub-Alpine Slopes","80")))))))</f>
        <v>82</v>
      </c>
      <c r="W698" s="59">
        <v>20</v>
      </c>
      <c r="X698" s="59">
        <v>0</v>
      </c>
      <c r="Y698" s="59">
        <v>3500</v>
      </c>
      <c r="Z698" s="59" t="s">
        <v>2519</v>
      </c>
      <c r="AA698" s="59" t="s">
        <v>2518</v>
      </c>
      <c r="AB698" s="59">
        <v>6.8</v>
      </c>
      <c r="AC698" s="45">
        <f>C698+AK698+(0.1)*AL698</f>
        <v>15.9</v>
      </c>
      <c r="AD698" s="77">
        <v>88</v>
      </c>
      <c r="AE698" s="59">
        <v>5</v>
      </c>
      <c r="AF698" s="59">
        <v>5</v>
      </c>
      <c r="AG698" s="59">
        <v>1900</v>
      </c>
      <c r="AH698" s="77">
        <v>0</v>
      </c>
      <c r="AI698" s="59">
        <f>AJ698</f>
        <v>2004</v>
      </c>
      <c r="AJ698" s="18">
        <v>2004</v>
      </c>
      <c r="AK698" s="18">
        <v>7</v>
      </c>
      <c r="AL698" s="18">
        <v>9</v>
      </c>
      <c r="AM698" s="18">
        <v>1</v>
      </c>
      <c r="AN698" s="18">
        <v>1</v>
      </c>
      <c r="AO698" s="25">
        <v>0</v>
      </c>
      <c r="AP698" s="24">
        <v>0</v>
      </c>
      <c r="AQ698" s="18">
        <v>0</v>
      </c>
      <c r="AR698" s="18">
        <v>0</v>
      </c>
      <c r="AS698" s="18">
        <v>0</v>
      </c>
      <c r="AT698" s="18">
        <v>0</v>
      </c>
      <c r="AU698" s="18">
        <v>0</v>
      </c>
      <c r="AV698" s="18">
        <v>0</v>
      </c>
      <c r="AW698" s="18">
        <v>0</v>
      </c>
      <c r="AX698" s="18">
        <v>0</v>
      </c>
      <c r="AY698" s="233"/>
      <c r="AZ698" s="4"/>
      <c r="BA698" s="35" t="str">
        <f>IF(OR(S698="North America",S698="Rocky Mountain"), "Widespread",BC698)</f>
        <v>Widespread</v>
      </c>
      <c r="BB698" s="4"/>
      <c r="BC698" s="35" t="str">
        <f ca="1">IF(BE698&gt;2046, "Abundant",BE698)</f>
        <v>Abundant</v>
      </c>
      <c r="BD698" s="4"/>
      <c r="BE698" s="81">
        <f ca="1">YEAR($C$13)+(BG698*80)</f>
        <v>2087.5601397504456</v>
      </c>
      <c r="BF698" s="4"/>
      <c r="BG698" s="137">
        <f ca="1">BH698*$BH$14</f>
        <v>0.85700174688057051</v>
      </c>
      <c r="BH698" s="137">
        <f ca="1">(((BJ698+BK698+BM698+BN698)/4)*$BM$11)+(((BP698+BQ698)/2)*$BQ$11)+(((BU698+BV698+BW698)/3)*$BU$11)+(((BY698+BZ698+CA698+CB698+CC698)/5)*$CA$11)</f>
        <v>0.85700174688057051</v>
      </c>
      <c r="BI698" s="4"/>
      <c r="BJ698" s="33">
        <f>AP698/(AM698+AO698)</f>
        <v>0</v>
      </c>
      <c r="BK698" s="33">
        <f>(AN698+AO698)/(AM698+AO698)</f>
        <v>1</v>
      </c>
      <c r="BL698" s="4"/>
      <c r="BM698" s="127">
        <f>CF698/102</f>
        <v>0.15588235294117647</v>
      </c>
      <c r="BN698" s="127">
        <f>C698/2</f>
        <v>4</v>
      </c>
      <c r="BO698" s="4"/>
      <c r="BP698" s="127">
        <f>(AK698)/($AW$6)</f>
        <v>7.0707070707070704E-2</v>
      </c>
      <c r="BQ698" s="127">
        <f ca="1">(CH698-$AW$4)/((YEAR($C$13))-$AW$4)</f>
        <v>0</v>
      </c>
      <c r="BR698" s="127">
        <f>(AL698)/($AW$6)</f>
        <v>9.0909090909090912E-2</v>
      </c>
      <c r="BS698" s="4"/>
      <c r="BT698" s="127"/>
      <c r="BU698" s="127">
        <f ca="1">(CG698-$AW$4)/((YEAR($C$13))-$AW$4)</f>
        <v>0</v>
      </c>
      <c r="BV698" s="127">
        <f>AE698/5</f>
        <v>1</v>
      </c>
      <c r="BW698" s="127">
        <f>AF698/5</f>
        <v>1</v>
      </c>
      <c r="BX698" s="4"/>
      <c r="BY698" s="148" t="str">
        <f>IF(E698="A",".98",IF(E698="B",".99",IF(E698="C","1.00",IF(E698="D","1.00" ))))</f>
        <v>1.00</v>
      </c>
      <c r="BZ698" s="127">
        <f>(CE698+7)/10</f>
        <v>1</v>
      </c>
      <c r="CA698" s="76" t="str">
        <f>IF(D698="Fern",".97",IF(D698="Grass",".99",IF(D698="Herb",".97",IF(D698="Shrub",".99",IF(D698="Tree","1.00",IF(D698="Vine",".98"))))))</f>
        <v>.97</v>
      </c>
      <c r="CB698" s="149" t="str">
        <f>IF(R698="Bogs Ponds Streams",".96", IF(R698="Coastal Areas",".97",IF(R698="Meadows Dry Open",".96",IF(R698="Forest &amp; Understory",".97",IF(R698="Moist Open",".98",IF(R698="Moist Shady",".96",IF(R698="Sub-Alpine","1.0")))))))</f>
        <v>.96</v>
      </c>
      <c r="CC698" s="76" t="str">
        <f>IF(S698="Local Endemic",".50",IF(S698="Regional Endemic",".70",IF(S698="Cascadia",".90",IF(S698="Rocky Mountain",".95",IF(S698="North America",".99")))))</f>
        <v>.99</v>
      </c>
      <c r="CD698" s="4"/>
      <c r="CE698" s="21">
        <f>IF(W698&gt;3,3,W698)</f>
        <v>3</v>
      </c>
      <c r="CF698" s="21">
        <f>IF(AC698&gt;102,102,AC698)</f>
        <v>15.9</v>
      </c>
      <c r="CG698" s="34">
        <f>IF(AI698&lt;$AW$4,$AW$4,AI698)</f>
        <v>2004</v>
      </c>
      <c r="CH698" s="34">
        <f>IF(AJ698&lt;$AW$4,$AW$4,AJ698)</f>
        <v>2004</v>
      </c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13"/>
    </row>
    <row r="699" spans="1:115" ht="15" customHeight="1" x14ac:dyDescent="0.3">
      <c r="A699" s="235"/>
      <c r="B699" s="218"/>
      <c r="C699" s="225">
        <v>8</v>
      </c>
      <c r="D699" s="59" t="s">
        <v>2506</v>
      </c>
      <c r="E699" s="59" t="s">
        <v>2504</v>
      </c>
      <c r="F699" s="397" t="str">
        <f ca="1">IF(BC699&lt;2025, "Extinct&lt; 6Yrs?",BA699)</f>
        <v>Abundant</v>
      </c>
      <c r="G699" s="363" t="s">
        <v>525</v>
      </c>
      <c r="H699" s="363" t="s">
        <v>690</v>
      </c>
      <c r="I699" s="364" t="s">
        <v>567</v>
      </c>
      <c r="J699" s="365" t="s">
        <v>3985</v>
      </c>
      <c r="K699" s="365" t="s">
        <v>1117</v>
      </c>
      <c r="L699" s="10" t="s">
        <v>1687</v>
      </c>
      <c r="M699" s="8" t="s">
        <v>4771</v>
      </c>
      <c r="N699" s="8" t="s">
        <v>5670</v>
      </c>
      <c r="O699" s="8" t="s">
        <v>6568</v>
      </c>
      <c r="P699" s="9" t="s">
        <v>198</v>
      </c>
      <c r="Q699" s="59" t="s">
        <v>2552</v>
      </c>
      <c r="R699" s="9" t="s">
        <v>2498</v>
      </c>
      <c r="S699" s="9" t="s">
        <v>2459</v>
      </c>
      <c r="T699" s="123" t="str">
        <f>IF(R699="Bogs Ponds Streams","20",IF(R699="Coastal Areas","26",IF(R699="Meadows Dry Open","10",IF(R699="Forest &amp; Understory","14",IF(R699="Moist Open","12",IF(R699="Moist Shady","10",IF(R699="Sub-Alpine Slopes","0")))))))</f>
        <v>10</v>
      </c>
      <c r="U699" s="123" t="str">
        <f>IF(R699="Bogs Ponds Streams","52",IF(R699="Coastal Areas","51",IF(R699="Meadows Dry Open","53",IF(R699="Forest &amp; Understory","52",IF(R699="Moist Open","50",IF(R699="Moist Shady","46",IF(R699="Sub-Alpine Slopes","40")))))))</f>
        <v>46</v>
      </c>
      <c r="V699" s="123" t="str">
        <f>IF(R699="Bogs Ponds Streams","84",IF(R699="Coastal Areas","76",IF(R699="Meadows Dry Open","96", IF(R699="Forest &amp; Understory","90", IF(R699="Moist Open","88", IF(R699="Moist Shady","82", IF(R699="Sub-Alpine Slopes","80")))))))</f>
        <v>82</v>
      </c>
      <c r="W699" s="59">
        <v>20</v>
      </c>
      <c r="X699" s="59">
        <v>0</v>
      </c>
      <c r="Y699" s="59">
        <v>3500</v>
      </c>
      <c r="Z699" s="59" t="s">
        <v>2519</v>
      </c>
      <c r="AA699" s="59" t="s">
        <v>2518</v>
      </c>
      <c r="AB699" s="59">
        <v>6.8</v>
      </c>
      <c r="AC699" s="45">
        <f>C699+AK699+(0.1)*AL699</f>
        <v>24.4</v>
      </c>
      <c r="AD699" s="77">
        <v>136</v>
      </c>
      <c r="AE699" s="59">
        <v>5</v>
      </c>
      <c r="AF699" s="59">
        <v>5</v>
      </c>
      <c r="AG699" s="59">
        <v>1900</v>
      </c>
      <c r="AH699" s="77">
        <v>0</v>
      </c>
      <c r="AI699" s="59">
        <f ca="1">AJ699</f>
        <v>2019</v>
      </c>
      <c r="AJ699" s="18">
        <f ca="1">YEAR(TODAY())</f>
        <v>2019</v>
      </c>
      <c r="AK699" s="18">
        <v>12</v>
      </c>
      <c r="AL699" s="18">
        <v>44</v>
      </c>
      <c r="AM699" s="18">
        <v>1</v>
      </c>
      <c r="AN699" s="18">
        <v>1</v>
      </c>
      <c r="AO699" s="18">
        <v>5</v>
      </c>
      <c r="AP699" s="18">
        <v>1</v>
      </c>
      <c r="AQ699" s="18">
        <v>0</v>
      </c>
      <c r="AR699" s="18">
        <v>0</v>
      </c>
      <c r="AS699" s="18">
        <v>0</v>
      </c>
      <c r="AT699" s="18">
        <v>0</v>
      </c>
      <c r="AU699" s="18">
        <v>0</v>
      </c>
      <c r="AV699" s="18">
        <v>0</v>
      </c>
      <c r="AW699" s="18">
        <v>0</v>
      </c>
      <c r="AX699" s="18">
        <v>0</v>
      </c>
      <c r="AY699" s="233"/>
      <c r="AZ699" s="4"/>
      <c r="BA699" s="35" t="str">
        <f ca="1">IF(OR(S699="North America",S699="Rocky Mountain"), "Widespread",BC699)</f>
        <v>Abundant</v>
      </c>
      <c r="BB699" s="4"/>
      <c r="BC699" s="35" t="str">
        <f ca="1">IF(BE699&gt;2046, "Abundant",BE699)</f>
        <v>Abundant</v>
      </c>
      <c r="BD699" s="4"/>
      <c r="BE699" s="81">
        <f ca="1">YEAR($C$13)+(BG699*80)</f>
        <v>2105.2771336898395</v>
      </c>
      <c r="BF699" s="4"/>
      <c r="BG699" s="137">
        <f ca="1">BH699*$BH$14</f>
        <v>1.0784641711229948</v>
      </c>
      <c r="BH699" s="137">
        <f ca="1">(((BJ699+BK699+BM699+BN699)/4)*$BM$11)+(((BP699+BQ699)/2)*$BQ$11)+(((BU699+BV699+BW699)/3)*$BU$11)+(((BY699+BZ699+CA699+CB699+CC699)/5)*$CA$11)</f>
        <v>1.0784641711229948</v>
      </c>
      <c r="BI699" s="4"/>
      <c r="BJ699" s="33">
        <f>AP699/(AM699+AO699)</f>
        <v>0.16666666666666666</v>
      </c>
      <c r="BK699" s="33">
        <f>(AN699+AO699)/(AM699+AO699)</f>
        <v>1</v>
      </c>
      <c r="BL699" s="4"/>
      <c r="BM699" s="127">
        <f>CF699/102</f>
        <v>0.23921568627450979</v>
      </c>
      <c r="BN699" s="127">
        <f>C699/2</f>
        <v>4</v>
      </c>
      <c r="BO699" s="4"/>
      <c r="BP699" s="127">
        <f>(AK699)/($AW$6)</f>
        <v>0.12121212121212122</v>
      </c>
      <c r="BQ699" s="127">
        <f ca="1">(CH699-$AW$4)/((YEAR($C$13))-$AW$4)</f>
        <v>1</v>
      </c>
      <c r="BR699" s="127">
        <f>(AL699)/($AW$6)</f>
        <v>0.44444444444444442</v>
      </c>
      <c r="BS699" s="4"/>
      <c r="BT699" s="127"/>
      <c r="BU699" s="127">
        <f ca="1">(CG699-$AW$4)/((YEAR($C$13))-$AW$4)</f>
        <v>1</v>
      </c>
      <c r="BV699" s="127">
        <f>AE699/5</f>
        <v>1</v>
      </c>
      <c r="BW699" s="127">
        <f>AF699/5</f>
        <v>1</v>
      </c>
      <c r="BX699" s="4"/>
      <c r="BY699" s="148" t="str">
        <f>IF(E699="A",".98",IF(E699="B",".99",IF(E699="C","1.00",IF(E699="D","1.00" ))))</f>
        <v>1.00</v>
      </c>
      <c r="BZ699" s="127">
        <f>(CE699+7)/10</f>
        <v>1</v>
      </c>
      <c r="CA699" s="76" t="str">
        <f>IF(D699="Fern",".97",IF(D699="Grass",".99",IF(D699="Herb",".97",IF(D699="Shrub",".99",IF(D699="Tree","1.00",IF(D699="Vine",".98"))))))</f>
        <v>.99</v>
      </c>
      <c r="CB699" s="149" t="str">
        <f>IF(R699="Bogs Ponds Streams",".96", IF(R699="Coastal Areas",".97",IF(R699="Meadows Dry Open",".96",IF(R699="Forest &amp; Understory",".97",IF(R699="Moist Open",".98",IF(R699="Moist Shady",".96",IF(R699="Sub-Alpine","1.0")))))))</f>
        <v>.96</v>
      </c>
      <c r="CC699" s="76" t="str">
        <f>IF(S699="Local Endemic",".50",IF(S699="Regional Endemic",".70",IF(S699="Cascadia",".90",IF(S699="Rocky Mountain",".95",IF(S699="North America",".99")))))</f>
        <v>.90</v>
      </c>
      <c r="CD699" s="4"/>
      <c r="CE699" s="21">
        <f>IF(W699&gt;3,3,W699)</f>
        <v>3</v>
      </c>
      <c r="CF699" s="21">
        <f>IF(AC699&gt;102,102,AC699)</f>
        <v>24.4</v>
      </c>
      <c r="CG699" s="34">
        <f ca="1">IF(AI699&lt;$AW$4,$AW$4,AI699)</f>
        <v>2019</v>
      </c>
      <c r="CH699" s="34">
        <f ca="1">IF(AJ699&lt;$AW$4,$AW$4,AJ699)</f>
        <v>2019</v>
      </c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</row>
    <row r="700" spans="1:115" ht="15" customHeight="1" x14ac:dyDescent="0.3">
      <c r="A700" s="235"/>
      <c r="B700" s="218"/>
      <c r="C700" s="225">
        <v>8</v>
      </c>
      <c r="D700" s="59" t="s">
        <v>2506</v>
      </c>
      <c r="E700" s="59" t="s">
        <v>2504</v>
      </c>
      <c r="F700" s="397" t="str">
        <f ca="1">IF(BC700&lt;2025, "Extinct&lt; 6Yrs?",BA700)</f>
        <v>Abundant</v>
      </c>
      <c r="G700" s="363" t="s">
        <v>525</v>
      </c>
      <c r="H700" s="363" t="s">
        <v>690</v>
      </c>
      <c r="I700" s="364" t="s">
        <v>737</v>
      </c>
      <c r="J700" s="365" t="s">
        <v>3984</v>
      </c>
      <c r="K700" s="365" t="s">
        <v>1118</v>
      </c>
      <c r="L700" s="10" t="s">
        <v>1688</v>
      </c>
      <c r="M700" s="8" t="s">
        <v>4772</v>
      </c>
      <c r="N700" s="8" t="s">
        <v>5671</v>
      </c>
      <c r="O700" s="8" t="s">
        <v>6569</v>
      </c>
      <c r="P700" s="9" t="s">
        <v>198</v>
      </c>
      <c r="Q700" s="59" t="s">
        <v>2552</v>
      </c>
      <c r="R700" s="9" t="s">
        <v>2499</v>
      </c>
      <c r="S700" s="9" t="s">
        <v>2459</v>
      </c>
      <c r="T700" s="123" t="str">
        <f>IF(R700="Bogs Ponds Streams","20",IF(R700="Coastal Areas","26",IF(R700="Meadows Dry Open","10",IF(R700="Forest &amp; Understory","14",IF(R700="Moist Open","12",IF(R700="Moist Shady","10",IF(R700="Sub-Alpine Slopes","0")))))))</f>
        <v>20</v>
      </c>
      <c r="U700" s="123" t="str">
        <f>IF(R700="Bogs Ponds Streams","52",IF(R700="Coastal Areas","51",IF(R700="Meadows Dry Open","53",IF(R700="Forest &amp; Understory","52",IF(R700="Moist Open","50",IF(R700="Moist Shady","46",IF(R700="Sub-Alpine Slopes","40")))))))</f>
        <v>52</v>
      </c>
      <c r="V700" s="123" t="str">
        <f>IF(R700="Bogs Ponds Streams","84",IF(R700="Coastal Areas","76",IF(R700="Meadows Dry Open","96", IF(R700="Forest &amp; Understory","90", IF(R700="Moist Open","88", IF(R700="Moist Shady","82", IF(R700="Sub-Alpine Slopes","80")))))))</f>
        <v>84</v>
      </c>
      <c r="W700" s="59">
        <v>20</v>
      </c>
      <c r="X700" s="59">
        <v>0</v>
      </c>
      <c r="Y700" s="59">
        <v>3500</v>
      </c>
      <c r="Z700" s="59" t="s">
        <v>2519</v>
      </c>
      <c r="AA700" s="59" t="s">
        <v>2518</v>
      </c>
      <c r="AB700" s="59">
        <v>6.8</v>
      </c>
      <c r="AC700" s="45">
        <f>C700+AK700+(0.1)*AL700</f>
        <v>14.2</v>
      </c>
      <c r="AD700" s="77">
        <v>143</v>
      </c>
      <c r="AE700" s="59">
        <v>5</v>
      </c>
      <c r="AF700" s="59">
        <v>5</v>
      </c>
      <c r="AG700" s="59">
        <v>1900</v>
      </c>
      <c r="AH700" s="77">
        <v>0</v>
      </c>
      <c r="AI700" s="59">
        <f ca="1">AJ700</f>
        <v>2019</v>
      </c>
      <c r="AJ700" s="18">
        <f ca="1">YEAR(TODAY())</f>
        <v>2019</v>
      </c>
      <c r="AK700" s="18">
        <v>4</v>
      </c>
      <c r="AL700" s="18">
        <v>22</v>
      </c>
      <c r="AM700" s="18">
        <v>1</v>
      </c>
      <c r="AN700" s="18">
        <v>1</v>
      </c>
      <c r="AO700" s="18">
        <v>5</v>
      </c>
      <c r="AP700" s="18">
        <v>1</v>
      </c>
      <c r="AQ700" s="18">
        <v>0</v>
      </c>
      <c r="AR700" s="18">
        <v>0</v>
      </c>
      <c r="AS700" s="18">
        <v>0</v>
      </c>
      <c r="AT700" s="18">
        <v>0</v>
      </c>
      <c r="AU700" s="18">
        <v>0</v>
      </c>
      <c r="AV700" s="18">
        <v>0</v>
      </c>
      <c r="AW700" s="18">
        <v>0</v>
      </c>
      <c r="AX700" s="18">
        <v>0</v>
      </c>
      <c r="AY700" s="233"/>
      <c r="AZ700" s="4"/>
      <c r="BA700" s="35" t="str">
        <f ca="1">IF(OR(S700="North America",S700="Rocky Mountain"), "Widespread",BC700)</f>
        <v>Abundant</v>
      </c>
      <c r="BB700" s="4"/>
      <c r="BC700" s="35" t="str">
        <f ca="1">IF(BE700&gt;2046, "Abundant",BE700)</f>
        <v>Abundant</v>
      </c>
      <c r="BD700" s="4"/>
      <c r="BE700" s="81">
        <f ca="1">YEAR($C$13)+(BG700*80)</f>
        <v>2103.1074367201427</v>
      </c>
      <c r="BF700" s="4"/>
      <c r="BG700" s="137">
        <f ca="1">BH700*$BH$14</f>
        <v>1.0513429590017827</v>
      </c>
      <c r="BH700" s="137">
        <f ca="1">(((BJ700+BK700+BM700+BN700)/4)*$BM$11)+(((BP700+BQ700)/2)*$BQ$11)+(((BU700+BV700+BW700)/3)*$BU$11)+(((BY700+BZ700+CA700+CB700+CC700)/5)*$CA$11)</f>
        <v>1.0513429590017827</v>
      </c>
      <c r="BI700" s="4"/>
      <c r="BJ700" s="33">
        <f>AP700/(AM700+AO700)</f>
        <v>0.16666666666666666</v>
      </c>
      <c r="BK700" s="33">
        <f>(AN700+AO700)/(AM700+AO700)</f>
        <v>1</v>
      </c>
      <c r="BL700" s="4"/>
      <c r="BM700" s="127">
        <f>CF700/102</f>
        <v>0.13921568627450981</v>
      </c>
      <c r="BN700" s="127">
        <f>C700/2</f>
        <v>4</v>
      </c>
      <c r="BO700" s="4"/>
      <c r="BP700" s="127">
        <f>(AK700)/($AW$6)</f>
        <v>4.0404040404040407E-2</v>
      </c>
      <c r="BQ700" s="127">
        <f ca="1">(CH700-$AW$4)/((YEAR($C$13))-$AW$4)</f>
        <v>1</v>
      </c>
      <c r="BR700" s="127">
        <f>(AL700)/($AW$6)</f>
        <v>0.22222222222222221</v>
      </c>
      <c r="BS700" s="4"/>
      <c r="BT700" s="127"/>
      <c r="BU700" s="127">
        <f ca="1">(CG700-$AW$4)/((YEAR($C$13))-$AW$4)</f>
        <v>1</v>
      </c>
      <c r="BV700" s="127">
        <f>AE700/5</f>
        <v>1</v>
      </c>
      <c r="BW700" s="127">
        <f>AF700/5</f>
        <v>1</v>
      </c>
      <c r="BX700" s="4"/>
      <c r="BY700" s="148" t="str">
        <f>IF(E700="A",".98",IF(E700="B",".99",IF(E700="C","1.00",IF(E700="D","1.00" ))))</f>
        <v>1.00</v>
      </c>
      <c r="BZ700" s="127">
        <f>(CE700+7)/10</f>
        <v>1</v>
      </c>
      <c r="CA700" s="76" t="str">
        <f>IF(D700="Fern",".97",IF(D700="Grass",".99",IF(D700="Herb",".97",IF(D700="Shrub",".99",IF(D700="Tree","1.00",IF(D700="Vine",".98"))))))</f>
        <v>.99</v>
      </c>
      <c r="CB700" s="149" t="str">
        <f>IF(R700="Bogs Ponds Streams",".96", IF(R700="Coastal Areas",".97",IF(R700="Meadows Dry Open",".96",IF(R700="Forest &amp; Understory",".97",IF(R700="Moist Open",".98",IF(R700="Moist Shady",".96",IF(R700="Sub-Alpine","1.0")))))))</f>
        <v>.96</v>
      </c>
      <c r="CC700" s="76" t="str">
        <f>IF(S700="Local Endemic",".50",IF(S700="Regional Endemic",".70",IF(S700="Cascadia",".90",IF(S700="Rocky Mountain",".95",IF(S700="North America",".99")))))</f>
        <v>.90</v>
      </c>
      <c r="CD700" s="4"/>
      <c r="CE700" s="21">
        <f>IF(W700&gt;3,3,W700)</f>
        <v>3</v>
      </c>
      <c r="CF700" s="21">
        <f>IF(AC700&gt;102,102,AC700)</f>
        <v>14.2</v>
      </c>
      <c r="CG700" s="34">
        <f ca="1">IF(AI700&lt;$AW$4,$AW$4,AI700)</f>
        <v>2019</v>
      </c>
      <c r="CH700" s="34">
        <f ca="1">IF(AJ700&lt;$AW$4,$AW$4,AJ700)</f>
        <v>2019</v>
      </c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</row>
    <row r="701" spans="1:115" ht="15" customHeight="1" x14ac:dyDescent="0.3">
      <c r="A701" s="235"/>
      <c r="B701" s="218"/>
      <c r="C701" s="225">
        <v>8</v>
      </c>
      <c r="D701" s="59" t="s">
        <v>2506</v>
      </c>
      <c r="E701" s="59" t="s">
        <v>2504</v>
      </c>
      <c r="F701" s="397" t="str">
        <f ca="1">IF(BC701&lt;2025, "Extinct&lt; 6Yrs?",BA701)</f>
        <v>Widespread</v>
      </c>
      <c r="G701" s="363" t="s">
        <v>525</v>
      </c>
      <c r="H701" s="363" t="s">
        <v>690</v>
      </c>
      <c r="I701" s="366" t="s">
        <v>736</v>
      </c>
      <c r="J701" s="365" t="s">
        <v>3983</v>
      </c>
      <c r="K701" s="365" t="s">
        <v>2485</v>
      </c>
      <c r="L701" s="10" t="s">
        <v>2244</v>
      </c>
      <c r="M701" s="8" t="s">
        <v>4773</v>
      </c>
      <c r="N701" s="8" t="s">
        <v>5672</v>
      </c>
      <c r="O701" s="8" t="s">
        <v>6570</v>
      </c>
      <c r="P701" s="9" t="s">
        <v>198</v>
      </c>
      <c r="Q701" s="59" t="s">
        <v>2552</v>
      </c>
      <c r="R701" s="9" t="s">
        <v>2499</v>
      </c>
      <c r="S701" s="9" t="s">
        <v>2495</v>
      </c>
      <c r="T701" s="123" t="str">
        <f>IF(R701="Bogs Ponds Streams","20",IF(R701="Coastal Areas","26",IF(R701="Meadows Dry Open","10",IF(R701="Forest &amp; Understory","14",IF(R701="Moist Open","12",IF(R701="Moist Shady","10",IF(R701="Sub-Alpine Slopes","0")))))))</f>
        <v>20</v>
      </c>
      <c r="U701" s="123" t="str">
        <f>IF(R701="Bogs Ponds Streams","52",IF(R701="Coastal Areas","51",IF(R701="Meadows Dry Open","53",IF(R701="Forest &amp; Understory","52",IF(R701="Moist Open","50",IF(R701="Moist Shady","46",IF(R701="Sub-Alpine Slopes","40")))))))</f>
        <v>52</v>
      </c>
      <c r="V701" s="123" t="str">
        <f>IF(R701="Bogs Ponds Streams","84",IF(R701="Coastal Areas","76",IF(R701="Meadows Dry Open","96", IF(R701="Forest &amp; Understory","90", IF(R701="Moist Open","88", IF(R701="Moist Shady","82", IF(R701="Sub-Alpine Slopes","80")))))))</f>
        <v>84</v>
      </c>
      <c r="W701" s="59">
        <v>20</v>
      </c>
      <c r="X701" s="59">
        <v>0</v>
      </c>
      <c r="Y701" s="59">
        <v>3500</v>
      </c>
      <c r="Z701" s="59" t="s">
        <v>2519</v>
      </c>
      <c r="AA701" s="59" t="s">
        <v>2518</v>
      </c>
      <c r="AB701" s="59">
        <v>6.8</v>
      </c>
      <c r="AC701" s="45">
        <f>C701+AK701+(0.1)*AL701</f>
        <v>11.2</v>
      </c>
      <c r="AD701" s="77">
        <v>108</v>
      </c>
      <c r="AE701" s="59">
        <v>5</v>
      </c>
      <c r="AF701" s="59">
        <v>5</v>
      </c>
      <c r="AG701" s="59">
        <v>1900</v>
      </c>
      <c r="AH701" s="77">
        <v>0</v>
      </c>
      <c r="AI701" s="59">
        <f ca="1">AJ701</f>
        <v>2019</v>
      </c>
      <c r="AJ701" s="18">
        <f ca="1">YEAR(TODAY())</f>
        <v>2019</v>
      </c>
      <c r="AK701" s="18">
        <v>2</v>
      </c>
      <c r="AL701" s="18">
        <v>12</v>
      </c>
      <c r="AM701" s="18">
        <v>1</v>
      </c>
      <c r="AN701" s="18">
        <v>1</v>
      </c>
      <c r="AO701" s="18">
        <v>5</v>
      </c>
      <c r="AP701" s="18">
        <v>1</v>
      </c>
      <c r="AQ701" s="18">
        <v>0</v>
      </c>
      <c r="AR701" s="18">
        <v>0</v>
      </c>
      <c r="AS701" s="18">
        <v>0</v>
      </c>
      <c r="AT701" s="18">
        <v>0</v>
      </c>
      <c r="AU701" s="18">
        <v>0</v>
      </c>
      <c r="AV701" s="18">
        <v>0</v>
      </c>
      <c r="AW701" s="18">
        <v>0</v>
      </c>
      <c r="AX701" s="18">
        <v>0</v>
      </c>
      <c r="AY701" s="233"/>
      <c r="AZ701" s="4"/>
      <c r="BA701" s="35" t="str">
        <f>IF(OR(S701="North America",S701="Rocky Mountain"), "Widespread",BC701)</f>
        <v>Widespread</v>
      </c>
      <c r="BB701" s="4"/>
      <c r="BC701" s="35" t="str">
        <f ca="1">IF(BE701&gt;2046, "Abundant",BE701)</f>
        <v>Abundant</v>
      </c>
      <c r="BD701" s="4"/>
      <c r="BE701" s="81">
        <f ca="1">YEAR($C$13)+(BG701*80)</f>
        <v>2102.5408713012475</v>
      </c>
      <c r="BF701" s="4"/>
      <c r="BG701" s="137">
        <f ca="1">BH701*$BH$14</f>
        <v>1.0442608912655971</v>
      </c>
      <c r="BH701" s="137">
        <f ca="1">(((BJ701+BK701+BM701+BN701)/4)*$BM$11)+(((BP701+BQ701)/2)*$BQ$11)+(((BU701+BV701+BW701)/3)*$BU$11)+(((BY701+BZ701+CA701+CB701+CC701)/5)*$CA$11)</f>
        <v>1.0442608912655971</v>
      </c>
      <c r="BI701" s="4"/>
      <c r="BJ701" s="33">
        <f>AP701/(AM701+AO701)</f>
        <v>0.16666666666666666</v>
      </c>
      <c r="BK701" s="33">
        <f>(AN701+AO701)/(AM701+AO701)</f>
        <v>1</v>
      </c>
      <c r="BL701" s="4"/>
      <c r="BM701" s="127">
        <f>CF701/102</f>
        <v>0.10980392156862745</v>
      </c>
      <c r="BN701" s="127">
        <f>C701/2</f>
        <v>4</v>
      </c>
      <c r="BO701" s="4"/>
      <c r="BP701" s="127">
        <f>(AK701)/($AW$6)</f>
        <v>2.0202020202020204E-2</v>
      </c>
      <c r="BQ701" s="127">
        <f ca="1">(CH701-$AW$4)/((YEAR($C$13))-$AW$4)</f>
        <v>1</v>
      </c>
      <c r="BR701" s="127">
        <f>(AL701)/($AW$6)</f>
        <v>0.12121212121212122</v>
      </c>
      <c r="BS701" s="4"/>
      <c r="BT701" s="127"/>
      <c r="BU701" s="127">
        <f ca="1">(CG701-$AW$4)/((YEAR($C$13))-$AW$4)</f>
        <v>1</v>
      </c>
      <c r="BV701" s="127">
        <f>AE701/5</f>
        <v>1</v>
      </c>
      <c r="BW701" s="127">
        <f>AF701/5</f>
        <v>1</v>
      </c>
      <c r="BX701" s="4"/>
      <c r="BY701" s="148" t="str">
        <f>IF(E701="A",".98",IF(E701="B",".99",IF(E701="C","1.00",IF(E701="D","1.00" ))))</f>
        <v>1.00</v>
      </c>
      <c r="BZ701" s="127">
        <f>(CE701+7)/10</f>
        <v>1</v>
      </c>
      <c r="CA701" s="76" t="str">
        <f>IF(D701="Fern",".97",IF(D701="Grass",".99",IF(D701="Herb",".97",IF(D701="Shrub",".99",IF(D701="Tree","1.00",IF(D701="Vine",".98"))))))</f>
        <v>.99</v>
      </c>
      <c r="CB701" s="149" t="str">
        <f>IF(R701="Bogs Ponds Streams",".96", IF(R701="Coastal Areas",".97",IF(R701="Meadows Dry Open",".96",IF(R701="Forest &amp; Understory",".97",IF(R701="Moist Open",".98",IF(R701="Moist Shady",".96",IF(R701="Sub-Alpine","1.0")))))))</f>
        <v>.96</v>
      </c>
      <c r="CC701" s="76" t="str">
        <f>IF(S701="Local Endemic",".50",IF(S701="Regional Endemic",".70",IF(S701="Cascadia",".90",IF(S701="Rocky Mountain",".95",IF(S701="North America",".99")))))</f>
        <v>.99</v>
      </c>
      <c r="CD701" s="4"/>
      <c r="CE701" s="21">
        <f>IF(W701&gt;3,3,W701)</f>
        <v>3</v>
      </c>
      <c r="CF701" s="21">
        <f>IF(AC701&gt;102,102,AC701)</f>
        <v>11.2</v>
      </c>
      <c r="CG701" s="34">
        <f ca="1">IF(AI701&lt;$AW$4,$AW$4,AI701)</f>
        <v>2019</v>
      </c>
      <c r="CH701" s="34">
        <f ca="1">IF(AJ701&lt;$AW$4,$AW$4,AJ701)</f>
        <v>2019</v>
      </c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</row>
    <row r="702" spans="1:115" ht="15" customHeight="1" x14ac:dyDescent="0.3">
      <c r="A702" s="235"/>
      <c r="B702" s="218"/>
      <c r="C702" s="225">
        <v>8</v>
      </c>
      <c r="D702" s="59" t="s">
        <v>2506</v>
      </c>
      <c r="E702" s="59" t="s">
        <v>2504</v>
      </c>
      <c r="F702" s="397" t="str">
        <f ca="1">IF(BC702&lt;2025, "Extinct&lt; 6Yrs?",BA702)</f>
        <v>Abundant</v>
      </c>
      <c r="G702" s="363" t="s">
        <v>525</v>
      </c>
      <c r="H702" s="363" t="s">
        <v>690</v>
      </c>
      <c r="I702" s="366" t="s">
        <v>566</v>
      </c>
      <c r="J702" s="365" t="s">
        <v>3982</v>
      </c>
      <c r="K702" s="365" t="s">
        <v>1119</v>
      </c>
      <c r="L702" s="10" t="s">
        <v>1689</v>
      </c>
      <c r="M702" s="8" t="s">
        <v>4774</v>
      </c>
      <c r="N702" s="8" t="s">
        <v>5673</v>
      </c>
      <c r="O702" s="8" t="s">
        <v>6571</v>
      </c>
      <c r="P702" s="9" t="s">
        <v>198</v>
      </c>
      <c r="Q702" s="59" t="s">
        <v>2552</v>
      </c>
      <c r="R702" s="9" t="s">
        <v>2498</v>
      </c>
      <c r="S702" s="9" t="s">
        <v>2459</v>
      </c>
      <c r="T702" s="123" t="str">
        <f>IF(R702="Bogs Ponds Streams","20",IF(R702="Coastal Areas","26",IF(R702="Meadows Dry Open","10",IF(R702="Forest &amp; Understory","14",IF(R702="Moist Open","12",IF(R702="Moist Shady","10",IF(R702="Sub-Alpine Slopes","0")))))))</f>
        <v>10</v>
      </c>
      <c r="U702" s="123" t="str">
        <f>IF(R702="Bogs Ponds Streams","52",IF(R702="Coastal Areas","51",IF(R702="Meadows Dry Open","53",IF(R702="Forest &amp; Understory","52",IF(R702="Moist Open","50",IF(R702="Moist Shady","46",IF(R702="Sub-Alpine Slopes","40")))))))</f>
        <v>46</v>
      </c>
      <c r="V702" s="123" t="str">
        <f>IF(R702="Bogs Ponds Streams","84",IF(R702="Coastal Areas","76",IF(R702="Meadows Dry Open","96", IF(R702="Forest &amp; Understory","90", IF(R702="Moist Open","88", IF(R702="Moist Shady","82", IF(R702="Sub-Alpine Slopes","80")))))))</f>
        <v>82</v>
      </c>
      <c r="W702" s="59">
        <v>20</v>
      </c>
      <c r="X702" s="59">
        <v>0</v>
      </c>
      <c r="Y702" s="59">
        <v>3500</v>
      </c>
      <c r="Z702" s="59" t="s">
        <v>2519</v>
      </c>
      <c r="AA702" s="59" t="s">
        <v>2518</v>
      </c>
      <c r="AB702" s="59">
        <v>6.8</v>
      </c>
      <c r="AC702" s="45">
        <f>C702+AK702+(0.1)*AL702</f>
        <v>41</v>
      </c>
      <c r="AD702" s="77">
        <v>66</v>
      </c>
      <c r="AE702" s="59">
        <v>5</v>
      </c>
      <c r="AF702" s="59">
        <v>5</v>
      </c>
      <c r="AG702" s="59">
        <v>1900</v>
      </c>
      <c r="AH702" s="77">
        <v>0</v>
      </c>
      <c r="AI702" s="59">
        <f ca="1">AJ702</f>
        <v>2019</v>
      </c>
      <c r="AJ702" s="18">
        <f ca="1">YEAR(TODAY())</f>
        <v>2019</v>
      </c>
      <c r="AK702" s="18">
        <v>33</v>
      </c>
      <c r="AL702" s="18">
        <v>0</v>
      </c>
      <c r="AM702" s="18">
        <v>1</v>
      </c>
      <c r="AN702" s="18">
        <v>1</v>
      </c>
      <c r="AO702" s="18">
        <v>5</v>
      </c>
      <c r="AP702" s="18">
        <v>1</v>
      </c>
      <c r="AQ702" s="18">
        <v>0</v>
      </c>
      <c r="AR702" s="18">
        <v>0</v>
      </c>
      <c r="AS702" s="18">
        <v>0</v>
      </c>
      <c r="AT702" s="18">
        <v>0</v>
      </c>
      <c r="AU702" s="18">
        <v>0</v>
      </c>
      <c r="AV702" s="18">
        <v>0</v>
      </c>
      <c r="AW702" s="18">
        <v>0</v>
      </c>
      <c r="AX702" s="18">
        <v>0</v>
      </c>
      <c r="AY702" s="233"/>
      <c r="AZ702" s="4"/>
      <c r="BA702" s="35" t="str">
        <f ca="1">IF(OR(S702="North America",S702="Rocky Mountain"), "Widespread",BC702)</f>
        <v>Abundant</v>
      </c>
      <c r="BB702" s="4"/>
      <c r="BC702" s="35" t="str">
        <f ca="1">IF(BE702&gt;2046, "Abundant",BE702)</f>
        <v>Abundant</v>
      </c>
      <c r="BD702" s="4"/>
      <c r="BE702" s="81">
        <f ca="1">YEAR($C$13)+(BG702*80)</f>
        <v>2109.7755294117646</v>
      </c>
      <c r="BF702" s="4"/>
      <c r="BG702" s="137">
        <f ca="1">BH702*$BH$14</f>
        <v>1.1346941176470589</v>
      </c>
      <c r="BH702" s="137">
        <f ca="1">(((BJ702+BK702+BM702+BN702)/4)*$BM$11)+(((BP702+BQ702)/2)*$BQ$11)+(((BU702+BV702+BW702)/3)*$BU$11)+(((BY702+BZ702+CA702+CB702+CC702)/5)*$CA$11)</f>
        <v>1.1346941176470589</v>
      </c>
      <c r="BI702" s="4"/>
      <c r="BJ702" s="33">
        <f>AP702/(AM702+AO702)</f>
        <v>0.16666666666666666</v>
      </c>
      <c r="BK702" s="33">
        <f>(AN702+AO702)/(AM702+AO702)</f>
        <v>1</v>
      </c>
      <c r="BL702" s="4"/>
      <c r="BM702" s="127">
        <f>CF702/102</f>
        <v>0.40196078431372551</v>
      </c>
      <c r="BN702" s="127">
        <f>C702/2</f>
        <v>4</v>
      </c>
      <c r="BO702" s="4"/>
      <c r="BP702" s="127">
        <f>(AK702)/($AW$6)</f>
        <v>0.33333333333333331</v>
      </c>
      <c r="BQ702" s="127">
        <f ca="1">(CH702-$AW$4)/((YEAR($C$13))-$AW$4)</f>
        <v>1</v>
      </c>
      <c r="BR702" s="127">
        <f>(AL702)/($AW$6)</f>
        <v>0</v>
      </c>
      <c r="BS702" s="4"/>
      <c r="BT702" s="127"/>
      <c r="BU702" s="127">
        <f ca="1">(CG702-$AW$4)/((YEAR($C$13))-$AW$4)</f>
        <v>1</v>
      </c>
      <c r="BV702" s="127">
        <f>AE702/5</f>
        <v>1</v>
      </c>
      <c r="BW702" s="127">
        <f>AF702/5</f>
        <v>1</v>
      </c>
      <c r="BX702" s="4"/>
      <c r="BY702" s="148" t="str">
        <f>IF(E702="A",".98",IF(E702="B",".99",IF(E702="C","1.00",IF(E702="D","1.00" ))))</f>
        <v>1.00</v>
      </c>
      <c r="BZ702" s="127">
        <f>(CE702+7)/10</f>
        <v>1</v>
      </c>
      <c r="CA702" s="76" t="str">
        <f>IF(D702="Fern",".97",IF(D702="Grass",".99",IF(D702="Herb",".97",IF(D702="Shrub",".99",IF(D702="Tree","1.00",IF(D702="Vine",".98"))))))</f>
        <v>.99</v>
      </c>
      <c r="CB702" s="149" t="str">
        <f>IF(R702="Bogs Ponds Streams",".96", IF(R702="Coastal Areas",".97",IF(R702="Meadows Dry Open",".96",IF(R702="Forest &amp; Understory",".97",IF(R702="Moist Open",".98",IF(R702="Moist Shady",".96",IF(R702="Sub-Alpine","1.0")))))))</f>
        <v>.96</v>
      </c>
      <c r="CC702" s="76" t="str">
        <f>IF(S702="Local Endemic",".50",IF(S702="Regional Endemic",".70",IF(S702="Cascadia",".90",IF(S702="Rocky Mountain",".95",IF(S702="North America",".99")))))</f>
        <v>.90</v>
      </c>
      <c r="CD702" s="4"/>
      <c r="CE702" s="21">
        <f>IF(W702&gt;3,3,W702)</f>
        <v>3</v>
      </c>
      <c r="CF702" s="21">
        <f>IF(AC702&gt;102,102,AC702)</f>
        <v>41</v>
      </c>
      <c r="CG702" s="34">
        <f ca="1">IF(AI702&lt;$AW$4,$AW$4,AI702)</f>
        <v>2019</v>
      </c>
      <c r="CH702" s="34">
        <f ca="1">IF(AJ702&lt;$AW$4,$AW$4,AJ702)</f>
        <v>2019</v>
      </c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</row>
    <row r="703" spans="1:115" ht="15" customHeight="1" x14ac:dyDescent="0.3">
      <c r="A703" s="235"/>
      <c r="B703" s="218"/>
      <c r="C703" s="225">
        <v>8</v>
      </c>
      <c r="D703" s="59" t="s">
        <v>2506</v>
      </c>
      <c r="E703" s="59" t="s">
        <v>2504</v>
      </c>
      <c r="F703" s="397" t="str">
        <f ca="1">IF(BC703&lt;2025, "Extinct&lt; 6Yrs?",BA703)</f>
        <v>Abundant</v>
      </c>
      <c r="G703" s="363" t="s">
        <v>525</v>
      </c>
      <c r="H703" s="363" t="s">
        <v>690</v>
      </c>
      <c r="I703" s="8" t="s">
        <v>718</v>
      </c>
      <c r="J703" s="365" t="s">
        <v>3981</v>
      </c>
      <c r="K703" s="365" t="s">
        <v>1120</v>
      </c>
      <c r="L703" s="10" t="s">
        <v>2245</v>
      </c>
      <c r="M703" s="8" t="s">
        <v>4775</v>
      </c>
      <c r="N703" s="8" t="s">
        <v>5674</v>
      </c>
      <c r="O703" s="8" t="s">
        <v>6572</v>
      </c>
      <c r="P703" s="9" t="s">
        <v>198</v>
      </c>
      <c r="Q703" s="59" t="s">
        <v>2552</v>
      </c>
      <c r="R703" s="9" t="s">
        <v>2500</v>
      </c>
      <c r="S703" s="17" t="s">
        <v>2459</v>
      </c>
      <c r="T703" s="123" t="str">
        <f>IF(R703="Bogs Ponds Streams","20",IF(R703="Coastal Areas","26",IF(R703="Meadows Dry Open","10",IF(R703="Forest &amp; Understory","14",IF(R703="Moist Open","12",IF(R703="Moist Shady","10",IF(R703="Sub-Alpine Slopes","0")))))))</f>
        <v>10</v>
      </c>
      <c r="U703" s="123" t="str">
        <f>IF(R703="Bogs Ponds Streams","52",IF(R703="Coastal Areas","51",IF(R703="Meadows Dry Open","53",IF(R703="Forest &amp; Understory","52",IF(R703="Moist Open","50",IF(R703="Moist Shady","46",IF(R703="Sub-Alpine Slopes","40")))))))</f>
        <v>53</v>
      </c>
      <c r="V703" s="123" t="str">
        <f>IF(R703="Bogs Ponds Streams","84",IF(R703="Coastal Areas","76",IF(R703="Meadows Dry Open","96", IF(R703="Forest &amp; Understory","90", IF(R703="Moist Open","88", IF(R703="Moist Shady","82", IF(R703="Sub-Alpine Slopes","80")))))))</f>
        <v>96</v>
      </c>
      <c r="W703" s="59">
        <v>20</v>
      </c>
      <c r="X703" s="59">
        <v>0</v>
      </c>
      <c r="Y703" s="59">
        <v>3500</v>
      </c>
      <c r="Z703" s="59" t="s">
        <v>2519</v>
      </c>
      <c r="AA703" s="59" t="s">
        <v>2518</v>
      </c>
      <c r="AB703" s="59">
        <v>6.8</v>
      </c>
      <c r="AC703" s="45">
        <f>C703+AK703+(0.1)*AL703</f>
        <v>76.2</v>
      </c>
      <c r="AD703" s="77">
        <v>235</v>
      </c>
      <c r="AE703" s="59">
        <v>5</v>
      </c>
      <c r="AF703" s="59">
        <v>5</v>
      </c>
      <c r="AG703" s="59">
        <v>1900</v>
      </c>
      <c r="AH703" s="77">
        <v>0</v>
      </c>
      <c r="AI703" s="59">
        <f ca="1">AJ703</f>
        <v>2019</v>
      </c>
      <c r="AJ703" s="18">
        <f ca="1">YEAR(TODAY())</f>
        <v>2019</v>
      </c>
      <c r="AK703" s="18">
        <v>66</v>
      </c>
      <c r="AL703" s="18">
        <v>22</v>
      </c>
      <c r="AM703" s="18">
        <v>1</v>
      </c>
      <c r="AN703" s="18">
        <v>1</v>
      </c>
      <c r="AO703" s="18">
        <v>5</v>
      </c>
      <c r="AP703" s="18">
        <v>1</v>
      </c>
      <c r="AQ703" s="18">
        <v>0</v>
      </c>
      <c r="AR703" s="18">
        <v>0</v>
      </c>
      <c r="AS703" s="18">
        <v>0</v>
      </c>
      <c r="AT703" s="18">
        <v>0</v>
      </c>
      <c r="AU703" s="18">
        <v>0</v>
      </c>
      <c r="AV703" s="18">
        <v>0</v>
      </c>
      <c r="AW703" s="18">
        <v>0</v>
      </c>
      <c r="AX703" s="18">
        <v>0</v>
      </c>
      <c r="AY703" s="233"/>
      <c r="AZ703" s="4"/>
      <c r="BA703" s="35" t="str">
        <f ca="1">IF(OR(S703="North America",S703="Rocky Mountain"), "Widespread",BC703)</f>
        <v>Abundant</v>
      </c>
      <c r="BB703" s="4"/>
      <c r="BC703" s="35" t="str">
        <f ca="1">IF(BE703&gt;2046, "Abundant",BE703)</f>
        <v>Abundant</v>
      </c>
      <c r="BD703" s="4"/>
      <c r="BE703" s="81">
        <f ca="1">YEAR($C$13)+(BG703*80)</f>
        <v>2117.9167058823527</v>
      </c>
      <c r="BF703" s="4"/>
      <c r="BG703" s="137">
        <f ca="1">BH703*$BH$14</f>
        <v>1.2364588235294118</v>
      </c>
      <c r="BH703" s="137">
        <f ca="1">(((BJ703+BK703+BM703+BN703)/4)*$BM$11)+(((BP703+BQ703)/2)*$BQ$11)+(((BU703+BV703+BW703)/3)*$BU$11)+(((BY703+BZ703+CA703+CB703+CC703)/5)*$CA$11)</f>
        <v>1.2364588235294118</v>
      </c>
      <c r="BI703" s="4"/>
      <c r="BJ703" s="33">
        <f>AP703/(AM703+AO703)</f>
        <v>0.16666666666666666</v>
      </c>
      <c r="BK703" s="33">
        <f>(AN703+AO703)/(AM703+AO703)</f>
        <v>1</v>
      </c>
      <c r="BL703" s="4"/>
      <c r="BM703" s="127">
        <f>CF703/102</f>
        <v>0.74705882352941178</v>
      </c>
      <c r="BN703" s="127">
        <f>C703/2</f>
        <v>4</v>
      </c>
      <c r="BO703" s="4"/>
      <c r="BP703" s="127">
        <f>(AK703)/($AW$6)</f>
        <v>0.66666666666666663</v>
      </c>
      <c r="BQ703" s="127">
        <f ca="1">(CH703-$AW$4)/((YEAR($C$13))-$AW$4)</f>
        <v>1</v>
      </c>
      <c r="BR703" s="127">
        <f>(AL703)/($AW$6)</f>
        <v>0.22222222222222221</v>
      </c>
      <c r="BS703" s="4"/>
      <c r="BT703" s="127"/>
      <c r="BU703" s="127">
        <f ca="1">(CG703-$AW$4)/((YEAR($C$13))-$AW$4)</f>
        <v>1</v>
      </c>
      <c r="BV703" s="127">
        <f>AE703/5</f>
        <v>1</v>
      </c>
      <c r="BW703" s="127">
        <f>AF703/5</f>
        <v>1</v>
      </c>
      <c r="BX703" s="4"/>
      <c r="BY703" s="148" t="str">
        <f>IF(E703="A",".98",IF(E703="B",".99",IF(E703="C","1.00",IF(E703="D","1.00" ))))</f>
        <v>1.00</v>
      </c>
      <c r="BZ703" s="127">
        <f>(CE703+7)/10</f>
        <v>1</v>
      </c>
      <c r="CA703" s="76" t="str">
        <f>IF(D703="Fern",".97",IF(D703="Grass",".99",IF(D703="Herb",".97",IF(D703="Shrub",".99",IF(D703="Tree","1.00",IF(D703="Vine",".98"))))))</f>
        <v>.99</v>
      </c>
      <c r="CB703" s="149" t="str">
        <f>IF(R703="Bogs Ponds Streams",".96", IF(R703="Coastal Areas",".97",IF(R703="Meadows Dry Open",".96",IF(R703="Forest &amp; Understory",".97",IF(R703="Moist Open",".98",IF(R703="Moist Shady",".96",IF(R703="Sub-Alpine","1.0")))))))</f>
        <v>.96</v>
      </c>
      <c r="CC703" s="76" t="str">
        <f>IF(S703="Local Endemic",".50",IF(S703="Regional Endemic",".70",IF(S703="Cascadia",".90",IF(S703="Rocky Mountain",".95",IF(S703="North America",".99")))))</f>
        <v>.90</v>
      </c>
      <c r="CD703" s="4"/>
      <c r="CE703" s="21">
        <f>IF(W703&gt;3,3,W703)</f>
        <v>3</v>
      </c>
      <c r="CF703" s="21">
        <f>IF(AC703&gt;102,102,AC703)</f>
        <v>76.2</v>
      </c>
      <c r="CG703" s="34">
        <f ca="1">IF(AI703&lt;$AW$4,$AW$4,AI703)</f>
        <v>2019</v>
      </c>
      <c r="CH703" s="34">
        <f ca="1">IF(AJ703&lt;$AW$4,$AW$4,AJ703)</f>
        <v>2019</v>
      </c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</row>
    <row r="704" spans="1:115" ht="15" customHeight="1" x14ac:dyDescent="0.3">
      <c r="A704" s="235"/>
      <c r="B704" s="218"/>
      <c r="C704" s="226">
        <v>2</v>
      </c>
      <c r="D704" s="104" t="s">
        <v>2506</v>
      </c>
      <c r="E704" s="104" t="s">
        <v>2504</v>
      </c>
      <c r="F704" s="400" t="str">
        <f ca="1">IF(BC704&lt;2025, "Extinct&lt; 6Yrs?",BA704)</f>
        <v>Abundant</v>
      </c>
      <c r="G704" s="369" t="s">
        <v>525</v>
      </c>
      <c r="H704" s="369" t="s">
        <v>4028</v>
      </c>
      <c r="I704" s="372" t="s">
        <v>1170</v>
      </c>
      <c r="J704" s="371" t="s">
        <v>3705</v>
      </c>
      <c r="K704" s="371" t="s">
        <v>1171</v>
      </c>
      <c r="L704" s="106" t="s">
        <v>1215</v>
      </c>
      <c r="M704" s="111" t="s">
        <v>4776</v>
      </c>
      <c r="N704" s="111" t="s">
        <v>1215</v>
      </c>
      <c r="O704" s="111" t="s">
        <v>4776</v>
      </c>
      <c r="P704" s="105" t="s">
        <v>198</v>
      </c>
      <c r="Q704" s="104" t="s">
        <v>2552</v>
      </c>
      <c r="R704" s="161" t="s">
        <v>2525</v>
      </c>
      <c r="S704" s="162" t="s">
        <v>2309</v>
      </c>
      <c r="T704" s="133" t="str">
        <f>IF(R704="Bogs Ponds Streams","20",IF(R704="Coastal Areas","26",IF(R704="Meadows Dry Open","10",IF(R704="Forest &amp; Understory","14",IF(R704="Moist Open","12",IF(R704="Moist Shady","10",IF(R704="Sub-Alpine Slopes","0")))))))</f>
        <v>0</v>
      </c>
      <c r="U704" s="133" t="str">
        <f>IF(R704="Bogs Ponds Streams","52",IF(R704="Coastal Areas","51",IF(R704="Meadows Dry Open","53",IF(R704="Forest &amp; Understory","52",IF(R704="Moist Open","50",IF(R704="Moist Shady","46",IF(R704="Sub-Alpine Slopes","40")))))))</f>
        <v>40</v>
      </c>
      <c r="V704" s="133" t="str">
        <f>IF(R704="Bogs Ponds Streams","84",IF(R704="Coastal Areas","76",IF(R704="Meadows Dry Open","96", IF(R704="Forest &amp; Understory","90", IF(R704="Moist Open","88", IF(R704="Moist Shady","82", IF(R704="Sub-Alpine Slopes","80")))))))</f>
        <v>80</v>
      </c>
      <c r="W704" s="104">
        <v>20</v>
      </c>
      <c r="X704" s="104">
        <v>0</v>
      </c>
      <c r="Y704" s="104">
        <v>3500</v>
      </c>
      <c r="Z704" s="104" t="s">
        <v>2519</v>
      </c>
      <c r="AA704" s="104" t="s">
        <v>2518</v>
      </c>
      <c r="AB704" s="104">
        <v>6.8</v>
      </c>
      <c r="AC704" s="107">
        <f>C704+AK704+(0.1)*AL704</f>
        <v>3</v>
      </c>
      <c r="AD704" s="113">
        <v>6</v>
      </c>
      <c r="AE704" s="104">
        <v>5</v>
      </c>
      <c r="AF704" s="104">
        <v>5</v>
      </c>
      <c r="AG704" s="104">
        <v>1900</v>
      </c>
      <c r="AH704" s="113">
        <v>0</v>
      </c>
      <c r="AI704" s="104">
        <f ca="1">AJ704</f>
        <v>2019</v>
      </c>
      <c r="AJ704" s="108">
        <f ca="1">YEAR(TODAY())</f>
        <v>2019</v>
      </c>
      <c r="AK704" s="108">
        <v>1</v>
      </c>
      <c r="AL704" s="108">
        <v>0</v>
      </c>
      <c r="AM704" s="108">
        <v>1</v>
      </c>
      <c r="AN704" s="108">
        <v>1</v>
      </c>
      <c r="AO704" s="110">
        <v>0</v>
      </c>
      <c r="AP704" s="108">
        <v>1</v>
      </c>
      <c r="AQ704" s="108">
        <v>0</v>
      </c>
      <c r="AR704" s="108">
        <v>0</v>
      </c>
      <c r="AS704" s="108">
        <v>0</v>
      </c>
      <c r="AT704" s="108">
        <v>0</v>
      </c>
      <c r="AU704" s="108">
        <v>0</v>
      </c>
      <c r="AV704" s="108">
        <v>0</v>
      </c>
      <c r="AW704" s="108">
        <v>0</v>
      </c>
      <c r="AX704" s="108">
        <v>0</v>
      </c>
      <c r="AY704" s="233"/>
      <c r="AZ704" s="4"/>
      <c r="BA704" s="35" t="str">
        <f ca="1">IF(OR(S704="North America",S704="Rocky Mountain"), "Widespread",BC704)</f>
        <v>Abundant</v>
      </c>
      <c r="BB704" s="4"/>
      <c r="BC704" s="35" t="str">
        <f ca="1">IF(BE704&gt;2046, "Abundant",BE704)</f>
        <v>Abundant</v>
      </c>
      <c r="BD704" s="4"/>
      <c r="BE704" s="81">
        <f ca="1">YEAR($C$13)+(BG704*80)</f>
        <v>2075.3749532976826</v>
      </c>
      <c r="BF704" s="4"/>
      <c r="BG704" s="137">
        <f ca="1">BH704*$BH$14</f>
        <v>0.70468691622103374</v>
      </c>
      <c r="BH704" s="137">
        <f ca="1">(((BJ704+BK704+BM704+BN704)/4)*$BM$11)+(((BP704+BQ704)/2)*$BQ$11)+(((BU704+BV704+BW704)/3)*$BU$11)+(((BY704+BZ704+CA704+CB704+CC704)/5)*$CA$11)</f>
        <v>0.70468691622103374</v>
      </c>
      <c r="BI704" s="4"/>
      <c r="BJ704" s="33">
        <f>AP704/(AM704+AO704)</f>
        <v>1</v>
      </c>
      <c r="BK704" s="33">
        <f>(AN704+AO704)/(AM704+AO704)</f>
        <v>1</v>
      </c>
      <c r="BL704" s="4"/>
      <c r="BM704" s="127">
        <f>CF704/102</f>
        <v>2.9411764705882353E-2</v>
      </c>
      <c r="BN704" s="127">
        <f>C704/2</f>
        <v>1</v>
      </c>
      <c r="BO704" s="4"/>
      <c r="BP704" s="127">
        <f>(AK704)/($AW$6)</f>
        <v>1.0101010101010102E-2</v>
      </c>
      <c r="BQ704" s="127">
        <f ca="1">(CH704-$AW$4)/((YEAR($C$13))-$AW$4)</f>
        <v>1</v>
      </c>
      <c r="BR704" s="127">
        <f>(AL704)/($AW$6)</f>
        <v>0</v>
      </c>
      <c r="BS704" s="4"/>
      <c r="BT704" s="127"/>
      <c r="BU704" s="127">
        <f ca="1">(CG704-$AW$4)/((YEAR($C$13))-$AW$4)</f>
        <v>1</v>
      </c>
      <c r="BV704" s="127">
        <f>AE704/5</f>
        <v>1</v>
      </c>
      <c r="BW704" s="127">
        <f>AF704/5</f>
        <v>1</v>
      </c>
      <c r="BX704" s="4"/>
      <c r="BY704" s="148" t="str">
        <f>IF(E704="A",".98",IF(E704="B",".99",IF(E704="C","1.00",IF(E704="D","1.00" ))))</f>
        <v>1.00</v>
      </c>
      <c r="BZ704" s="127">
        <f>(CE704+7)/10</f>
        <v>1</v>
      </c>
      <c r="CA704" s="76" t="str">
        <f>IF(D704="Fern",".97",IF(D704="Grass",".99",IF(D704="Herb",".97",IF(D704="Shrub",".99",IF(D704="Tree","1.00",IF(D704="Vine",".98"))))))</f>
        <v>.99</v>
      </c>
      <c r="CB704" s="149" t="str">
        <f>IF(R704="Bogs Ponds Streams",".96", IF(R704="Coastal Areas",".97",IF(R704="Meadows Dry Open",".96",IF(R704="Forest &amp; Understory",".97",IF(R704="Moist Open",".98",IF(R704="Moist Shady",".96",IF(R704="Sub-Alpine Slopes","1.0")))))))</f>
        <v>1.0</v>
      </c>
      <c r="CC704" s="76" t="str">
        <f>IF(S704="Local Endemic",".50",IF(S704="Regional Endemic",".70",IF(S704="Cascadia",".90",IF(S704="Rocky Mountain",".95",IF(S704="North America",".99")))))</f>
        <v>.70</v>
      </c>
      <c r="CD704" s="4"/>
      <c r="CE704" s="21">
        <f>IF(W704&gt;3,3,W704)</f>
        <v>3</v>
      </c>
      <c r="CF704" s="21">
        <f>IF(AC704&gt;102,102,AC704)</f>
        <v>3</v>
      </c>
      <c r="CG704" s="34">
        <f ca="1">IF(AI704&lt;$AW$4,$AW$4,AI704)</f>
        <v>2019</v>
      </c>
      <c r="CH704" s="34">
        <f ca="1">IF(AJ704&lt;$AW$4,$AW$4,AJ704)</f>
        <v>2019</v>
      </c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</row>
    <row r="705" spans="1:115" ht="15" customHeight="1" x14ac:dyDescent="0.3">
      <c r="A705" s="235"/>
      <c r="B705" s="218"/>
      <c r="C705" s="225">
        <v>8</v>
      </c>
      <c r="D705" s="59" t="s">
        <v>2506</v>
      </c>
      <c r="E705" s="59" t="s">
        <v>2504</v>
      </c>
      <c r="F705" s="397" t="str">
        <f ca="1">IF(BC705&lt;2025, "Extinct&lt; 6Yrs?",BA705)</f>
        <v>Widespread</v>
      </c>
      <c r="G705" s="363" t="s">
        <v>525</v>
      </c>
      <c r="H705" s="363" t="s">
        <v>690</v>
      </c>
      <c r="I705" s="365" t="s">
        <v>1334</v>
      </c>
      <c r="J705" s="365" t="s">
        <v>3980</v>
      </c>
      <c r="K705" s="365" t="s">
        <v>1333</v>
      </c>
      <c r="L705" s="10" t="s">
        <v>1690</v>
      </c>
      <c r="M705" s="8" t="s">
        <v>4777</v>
      </c>
      <c r="N705" s="8" t="s">
        <v>5675</v>
      </c>
      <c r="O705" s="8" t="s">
        <v>6573</v>
      </c>
      <c r="P705" s="9" t="s">
        <v>557</v>
      </c>
      <c r="Q705" s="59" t="s">
        <v>2552</v>
      </c>
      <c r="R705" s="9" t="s">
        <v>2497</v>
      </c>
      <c r="S705" s="17" t="s">
        <v>2495</v>
      </c>
      <c r="T705" s="123" t="str">
        <f>IF(R705="Bogs Ponds Streams","20",IF(R705="Coastal Areas","26",IF(R705="Meadows Dry Open","10",IF(R705="Forest &amp; Understory","14",IF(R705="Moist Open","12",IF(R705="Moist Shady","10",IF(R705="Sub-Alpine Slopes","0")))))))</f>
        <v>12</v>
      </c>
      <c r="U705" s="123" t="str">
        <f>IF(R705="Bogs Ponds Streams","52",IF(R705="Coastal Areas","51",IF(R705="Meadows Dry Open","53",IF(R705="Forest &amp; Understory","52",IF(R705="Moist Open","50",IF(R705="Moist Shady","46",IF(R705="Sub-Alpine Slopes","40")))))))</f>
        <v>50</v>
      </c>
      <c r="V705" s="123" t="str">
        <f>IF(R705="Bogs Ponds Streams","84",IF(R705="Coastal Areas","76",IF(R705="Meadows Dry Open","96", IF(R705="Forest &amp; Understory","90", IF(R705="Moist Open","88", IF(R705="Moist Shady","82", IF(R705="Sub-Alpine Slopes","80")))))))</f>
        <v>88</v>
      </c>
      <c r="W705" s="59">
        <v>20</v>
      </c>
      <c r="X705" s="59">
        <v>0</v>
      </c>
      <c r="Y705" s="59">
        <v>3500</v>
      </c>
      <c r="Z705" s="59" t="s">
        <v>2519</v>
      </c>
      <c r="AA705" s="59" t="s">
        <v>2518</v>
      </c>
      <c r="AB705" s="59">
        <v>6.8</v>
      </c>
      <c r="AC705" s="45">
        <f>C705+AK705+(0.1)*AL705</f>
        <v>11.2</v>
      </c>
      <c r="AD705" s="77">
        <v>39</v>
      </c>
      <c r="AE705" s="59">
        <v>5</v>
      </c>
      <c r="AF705" s="59">
        <v>5</v>
      </c>
      <c r="AG705" s="59">
        <v>1900</v>
      </c>
      <c r="AH705" s="77">
        <v>0</v>
      </c>
      <c r="AI705" s="59">
        <f ca="1">AJ705</f>
        <v>2019</v>
      </c>
      <c r="AJ705" s="18">
        <f ca="1">YEAR(TODAY())</f>
        <v>2019</v>
      </c>
      <c r="AK705" s="18">
        <v>1</v>
      </c>
      <c r="AL705" s="18">
        <v>22</v>
      </c>
      <c r="AM705" s="18">
        <v>1</v>
      </c>
      <c r="AN705" s="18">
        <v>1</v>
      </c>
      <c r="AO705" s="18">
        <v>5</v>
      </c>
      <c r="AP705" s="18">
        <v>1</v>
      </c>
      <c r="AQ705" s="18">
        <v>0</v>
      </c>
      <c r="AR705" s="18">
        <v>0</v>
      </c>
      <c r="AS705" s="18">
        <v>0</v>
      </c>
      <c r="AT705" s="18">
        <v>0</v>
      </c>
      <c r="AU705" s="18">
        <v>0</v>
      </c>
      <c r="AV705" s="18">
        <v>0</v>
      </c>
      <c r="AW705" s="18">
        <v>0</v>
      </c>
      <c r="AX705" s="18">
        <v>0</v>
      </c>
      <c r="AY705" s="233"/>
      <c r="AZ705" s="4"/>
      <c r="BA705" s="35" t="str">
        <f>IF(OR(S705="North America",S705="Rocky Mountain"), "Widespread",BC705)</f>
        <v>Widespread</v>
      </c>
      <c r="BB705" s="4"/>
      <c r="BC705" s="35" t="str">
        <f ca="1">IF(BE705&gt;2046, "Abundant",BE705)</f>
        <v>Abundant</v>
      </c>
      <c r="BD705" s="4"/>
      <c r="BE705" s="81">
        <f ca="1">YEAR($C$13)+(BG705*80)</f>
        <v>2102.4260591800357</v>
      </c>
      <c r="BF705" s="4"/>
      <c r="BG705" s="137">
        <f ca="1">BH705*$BH$14</f>
        <v>1.0428257397504457</v>
      </c>
      <c r="BH705" s="137">
        <f ca="1">(((BJ705+BK705+BM705+BN705)/4)*$BM$11)+(((BP705+BQ705)/2)*$BQ$11)+(((BU705+BV705+BW705)/3)*$BU$11)+(((BY705+BZ705+CA705+CB705+CC705)/5)*$CA$11)</f>
        <v>1.0428257397504457</v>
      </c>
      <c r="BI705" s="4"/>
      <c r="BJ705" s="33">
        <f>AP705/(AM705+AO705)</f>
        <v>0.16666666666666666</v>
      </c>
      <c r="BK705" s="33">
        <f>(AN705+AO705)/(AM705+AO705)</f>
        <v>1</v>
      </c>
      <c r="BL705" s="4"/>
      <c r="BM705" s="127">
        <f>CF705/102</f>
        <v>0.10980392156862745</v>
      </c>
      <c r="BN705" s="127">
        <f>C705/2</f>
        <v>4</v>
      </c>
      <c r="BO705" s="4"/>
      <c r="BP705" s="127">
        <f>(AK705)/($AW$6)</f>
        <v>1.0101010101010102E-2</v>
      </c>
      <c r="BQ705" s="127">
        <f ca="1">(CH705-$AW$4)/((YEAR($C$13))-$AW$4)</f>
        <v>1</v>
      </c>
      <c r="BR705" s="127">
        <f>(AL705)/($AW$6)</f>
        <v>0.22222222222222221</v>
      </c>
      <c r="BS705" s="4"/>
      <c r="BT705" s="127"/>
      <c r="BU705" s="127">
        <f ca="1">(CG705-$AW$4)/((YEAR($C$13))-$AW$4)</f>
        <v>1</v>
      </c>
      <c r="BV705" s="127">
        <f>AE705/5</f>
        <v>1</v>
      </c>
      <c r="BW705" s="127">
        <f>AF705/5</f>
        <v>1</v>
      </c>
      <c r="BX705" s="4"/>
      <c r="BY705" s="148" t="str">
        <f>IF(E705="A",".98",IF(E705="B",".99",IF(E705="C","1.00",IF(E705="D","1.00" ))))</f>
        <v>1.00</v>
      </c>
      <c r="BZ705" s="127">
        <f>(CE705+7)/10</f>
        <v>1</v>
      </c>
      <c r="CA705" s="76" t="str">
        <f>IF(D705="Fern",".97",IF(D705="Grass",".99",IF(D705="Herb",".97",IF(D705="Shrub",".99",IF(D705="Tree","1.00",IF(D705="Vine",".98"))))))</f>
        <v>.99</v>
      </c>
      <c r="CB705" s="149" t="str">
        <f>IF(R705="Bogs Ponds Streams",".96", IF(R705="Coastal Areas",".97",IF(R705="Meadows Dry Open",".96",IF(R705="Forest &amp; Understory",".97",IF(R705="Moist Open",".98",IF(R705="Moist Shady",".96",IF(R705="Sub-Alpine","1.0")))))))</f>
        <v>.98</v>
      </c>
      <c r="CC705" s="76" t="str">
        <f>IF(S705="Local Endemic",".50",IF(S705="Regional Endemic",".70",IF(S705="Cascadia",".90",IF(S705="Rocky Mountain",".95",IF(S705="North America",".99")))))</f>
        <v>.99</v>
      </c>
      <c r="CD705" s="4"/>
      <c r="CE705" s="21">
        <f>IF(W705&gt;3,3,W705)</f>
        <v>3</v>
      </c>
      <c r="CF705" s="21">
        <f>IF(AC705&gt;102,102,AC705)</f>
        <v>11.2</v>
      </c>
      <c r="CG705" s="34">
        <f ca="1">IF(AI705&lt;$AW$4,$AW$4,AI705)</f>
        <v>2019</v>
      </c>
      <c r="CH705" s="34">
        <f ca="1">IF(AJ705&lt;$AW$4,$AW$4,AJ705)</f>
        <v>2019</v>
      </c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</row>
    <row r="706" spans="1:115" ht="15" customHeight="1" x14ac:dyDescent="0.3">
      <c r="A706" s="235"/>
      <c r="B706" s="218"/>
      <c r="C706" s="375">
        <v>1</v>
      </c>
      <c r="D706" s="95" t="s">
        <v>1155</v>
      </c>
      <c r="E706" s="67" t="s">
        <v>2501</v>
      </c>
      <c r="F706" s="403" t="str">
        <f ca="1">IF(BC706&lt;2025, "Extinct&lt; 6Yrs?",BA706)</f>
        <v>Widespread</v>
      </c>
      <c r="G706" s="376" t="s">
        <v>525</v>
      </c>
      <c r="H706" s="376" t="s">
        <v>4028</v>
      </c>
      <c r="I706" s="380" t="s">
        <v>3124</v>
      </c>
      <c r="J706" s="378" t="s">
        <v>3522</v>
      </c>
      <c r="K706" s="378" t="s">
        <v>1121</v>
      </c>
      <c r="L706" s="63" t="s">
        <v>1691</v>
      </c>
      <c r="M706" s="64" t="s">
        <v>4778</v>
      </c>
      <c r="N706" s="64" t="s">
        <v>5676</v>
      </c>
      <c r="O706" s="64" t="s">
        <v>6574</v>
      </c>
      <c r="P706" s="61" t="s">
        <v>403</v>
      </c>
      <c r="Q706" s="67" t="s">
        <v>2552</v>
      </c>
      <c r="R706" s="61" t="s">
        <v>2499</v>
      </c>
      <c r="S706" s="61" t="s">
        <v>2495</v>
      </c>
      <c r="T706" s="134" t="str">
        <f>IF(R706="Bogs Ponds Streams","20",IF(R706="Coastal Areas","26",IF(R706="Meadows Dry Open","10",IF(R706="Forest &amp; Understory","14",IF(R706="Moist Open","12",IF(R706="Moist Shady","10",IF(R706="Sub-Alpine Slopes","0")))))))</f>
        <v>20</v>
      </c>
      <c r="U706" s="134" t="str">
        <f>IF(R706="Bogs Ponds Streams","52",IF(R706="Coastal Areas","51",IF(R706="Meadows Dry Open","53",IF(R706="Forest &amp; Understory","52",IF(R706="Moist Open","50",IF(R706="Moist Shady","46",IF(R706="Sub-Alpine Slopes","40")))))))</f>
        <v>52</v>
      </c>
      <c r="V706" s="134" t="str">
        <f>IF(R706="Bogs Ponds Streams","84",IF(R706="Coastal Areas","76",IF(R706="Meadows Dry Open","96", IF(R706="Forest &amp; Understory","90", IF(R706="Moist Open","88", IF(R706="Moist Shady","82", IF(R706="Sub-Alpine Slopes","80")))))))</f>
        <v>84</v>
      </c>
      <c r="W706" s="67">
        <v>20</v>
      </c>
      <c r="X706" s="67">
        <v>0</v>
      </c>
      <c r="Y706" s="67">
        <v>3500</v>
      </c>
      <c r="Z706" s="67" t="s">
        <v>2519</v>
      </c>
      <c r="AA706" s="67" t="s">
        <v>2518</v>
      </c>
      <c r="AB706" s="67">
        <v>6.8</v>
      </c>
      <c r="AC706" s="85">
        <f>C706+AK706+(0.1)*AL706</f>
        <v>23.5</v>
      </c>
      <c r="AD706" s="78">
        <v>43</v>
      </c>
      <c r="AE706" s="67">
        <v>5</v>
      </c>
      <c r="AF706" s="67">
        <v>5</v>
      </c>
      <c r="AG706" s="67">
        <v>1900</v>
      </c>
      <c r="AH706" s="78">
        <v>0</v>
      </c>
      <c r="AI706" s="67">
        <f>AJ706</f>
        <v>2004</v>
      </c>
      <c r="AJ706" s="69">
        <v>2004</v>
      </c>
      <c r="AK706" s="69">
        <v>22</v>
      </c>
      <c r="AL706" s="69">
        <v>5</v>
      </c>
      <c r="AM706" s="70">
        <v>5</v>
      </c>
      <c r="AN706" s="70">
        <v>0</v>
      </c>
      <c r="AO706" s="86">
        <v>0</v>
      </c>
      <c r="AP706" s="70">
        <v>0</v>
      </c>
      <c r="AQ706" s="70">
        <v>0</v>
      </c>
      <c r="AR706" s="70">
        <v>0</v>
      </c>
      <c r="AS706" s="86">
        <v>0</v>
      </c>
      <c r="AT706" s="70">
        <v>0</v>
      </c>
      <c r="AU706" s="70">
        <v>0</v>
      </c>
      <c r="AV706" s="70">
        <v>0</v>
      </c>
      <c r="AW706" s="86">
        <v>0</v>
      </c>
      <c r="AX706" s="70">
        <v>0</v>
      </c>
      <c r="AY706" s="233"/>
      <c r="AZ706" s="4"/>
      <c r="BA706" s="35" t="str">
        <f>IF(OR(S706="North America",S706="Rocky Mountain"), "Widespread",BC706)</f>
        <v>Widespread</v>
      </c>
      <c r="BB706" s="4"/>
      <c r="BC706" s="35">
        <f ca="1">IF(BE706&gt;2046, "Abundant",BE706)</f>
        <v>2036.2788392156863</v>
      </c>
      <c r="BD706" s="4"/>
      <c r="BE706" s="81">
        <f ca="1">YEAR($C$13)+(BG706*80)</f>
        <v>2036.2788392156863</v>
      </c>
      <c r="BF706" s="4"/>
      <c r="BG706" s="137">
        <f ca="1">BH706*$BH$14</f>
        <v>0.21598549019607843</v>
      </c>
      <c r="BH706" s="137">
        <f ca="1">(((BJ706+BK706+BM706+BN706)/4)*$BM$11)+(((BP706+BQ706)/2)*$BQ$11)+(((BU706+BV706+BW706)/3)*$BU$11)+(((BY706+BZ706+CA706+CB706+CC706)/5)*$CA$11)</f>
        <v>0.21598549019607843</v>
      </c>
      <c r="BI706" s="4"/>
      <c r="BJ706" s="33">
        <f>AP706/(AM706+AO706)</f>
        <v>0</v>
      </c>
      <c r="BK706" s="33">
        <f>(AN706+AO706)/(AM706+AO706)</f>
        <v>0</v>
      </c>
      <c r="BL706" s="4"/>
      <c r="BM706" s="127">
        <f>CF706/102</f>
        <v>0.23039215686274508</v>
      </c>
      <c r="BN706" s="127">
        <f>C706/2</f>
        <v>0.5</v>
      </c>
      <c r="BO706" s="4"/>
      <c r="BP706" s="127">
        <f>(AK706)/($AW$6)</f>
        <v>0.22222222222222221</v>
      </c>
      <c r="BQ706" s="127">
        <f ca="1">(CH706-$AW$4)/((YEAR($C$13))-$AW$4)</f>
        <v>0</v>
      </c>
      <c r="BR706" s="127">
        <f>(AL706)/($AW$6)</f>
        <v>5.0505050505050504E-2</v>
      </c>
      <c r="BS706" s="4"/>
      <c r="BT706" s="127"/>
      <c r="BU706" s="127">
        <f ca="1">(CG706-$AW$4)/((YEAR($C$13))-$AW$4)</f>
        <v>0</v>
      </c>
      <c r="BV706" s="127">
        <f>AE706/5</f>
        <v>1</v>
      </c>
      <c r="BW706" s="127">
        <f>AF706/5</f>
        <v>1</v>
      </c>
      <c r="BX706" s="4"/>
      <c r="BY706" s="148" t="str">
        <f>IF(E706="A",".98",IF(E706="B",".99",IF(E706="C","1.00",IF(E706="D","1.00" ))))</f>
        <v>1.00</v>
      </c>
      <c r="BZ706" s="127">
        <f>(CE706+7)/10</f>
        <v>1</v>
      </c>
      <c r="CA706" s="76" t="str">
        <f>IF(D706="Fern",".97",IF(D706="Grass",".99",IF(D706="Herb",".97",IF(D706="Shrub",".99",IF(D706="Tree","1.00",IF(D706="Vine",".98"))))))</f>
        <v>.99</v>
      </c>
      <c r="CB706" s="149" t="str">
        <f>IF(R706="Bogs Ponds Streams",".96", IF(R706="Coastal Areas",".97",IF(R706="Meadows Dry Open",".96",IF(R706="Forest &amp; Understory",".97",IF(R706="Moist Open",".98",IF(R706="Moist Shady",".96",IF(R706="Sub-Alpine","1.0")))))))</f>
        <v>.96</v>
      </c>
      <c r="CC706" s="76" t="str">
        <f>IF(S706="Local Endemic",".50",IF(S706="Regional Endemic",".70",IF(S706="Cascadia",".90",IF(S706="Rocky Mountain",".95",IF(S706="North America",".99")))))</f>
        <v>.99</v>
      </c>
      <c r="CD706" s="4"/>
      <c r="CE706" s="21">
        <f>IF(W706&gt;3,3,W706)</f>
        <v>3</v>
      </c>
      <c r="CF706" s="21">
        <f>IF(AC706&gt;102,102,AC706)</f>
        <v>23.5</v>
      </c>
      <c r="CG706" s="34">
        <f>IF(AI706&lt;$AW$4,$AW$4,AI706)</f>
        <v>2004</v>
      </c>
      <c r="CH706" s="34">
        <f>IF(AJ706&lt;$AW$4,$AW$4,AJ706)</f>
        <v>2004</v>
      </c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13"/>
    </row>
    <row r="707" spans="1:115" ht="15" customHeight="1" x14ac:dyDescent="0.3">
      <c r="A707" s="235"/>
      <c r="B707" s="218"/>
      <c r="C707" s="225">
        <v>8</v>
      </c>
      <c r="D707" s="59" t="s">
        <v>2506</v>
      </c>
      <c r="E707" s="60" t="s">
        <v>2501</v>
      </c>
      <c r="F707" s="397" t="str">
        <f ca="1">IF(BC707&lt;2025, "Extinct&lt; 6Yrs?",BA707)</f>
        <v>Abundant</v>
      </c>
      <c r="G707" s="363" t="s">
        <v>525</v>
      </c>
      <c r="H707" s="363" t="s">
        <v>688</v>
      </c>
      <c r="I707" s="366" t="s">
        <v>619</v>
      </c>
      <c r="J707" s="365" t="s">
        <v>1122</v>
      </c>
      <c r="K707" s="365" t="s">
        <v>618</v>
      </c>
      <c r="L707" s="10" t="s">
        <v>1692</v>
      </c>
      <c r="M707" s="8" t="s">
        <v>4779</v>
      </c>
      <c r="N707" s="8" t="s">
        <v>5677</v>
      </c>
      <c r="O707" s="8" t="s">
        <v>6575</v>
      </c>
      <c r="P707" s="9" t="s">
        <v>611</v>
      </c>
      <c r="Q707" s="59" t="s">
        <v>2552</v>
      </c>
      <c r="R707" s="9" t="s">
        <v>2497</v>
      </c>
      <c r="S707" s="9" t="s">
        <v>2309</v>
      </c>
      <c r="T707" s="123" t="str">
        <f>IF(R707="Bogs Ponds Streams","20",IF(R707="Coastal Areas","26",IF(R707="Meadows Dry Open","10",IF(R707="Forest &amp; Understory","14",IF(R707="Moist Open","12",IF(R707="Moist Shady","10",IF(R707="Sub-Alpine Slopes","0")))))))</f>
        <v>12</v>
      </c>
      <c r="U707" s="123" t="str">
        <f>IF(R707="Bogs Ponds Streams","52",IF(R707="Coastal Areas","51",IF(R707="Meadows Dry Open","53",IF(R707="Forest &amp; Understory","52",IF(R707="Moist Open","50",IF(R707="Moist Shady","46",IF(R707="Sub-Alpine Slopes","40")))))))</f>
        <v>50</v>
      </c>
      <c r="V707" s="123" t="str">
        <f>IF(R707="Bogs Ponds Streams","84",IF(R707="Coastal Areas","76",IF(R707="Meadows Dry Open","96", IF(R707="Forest &amp; Understory","90", IF(R707="Moist Open","88", IF(R707="Moist Shady","82", IF(R707="Sub-Alpine Slopes","80")))))))</f>
        <v>88</v>
      </c>
      <c r="W707" s="59">
        <v>20</v>
      </c>
      <c r="X707" s="59">
        <v>0</v>
      </c>
      <c r="Y707" s="59">
        <v>3500</v>
      </c>
      <c r="Z707" s="59" t="s">
        <v>2519</v>
      </c>
      <c r="AA707" s="59" t="s">
        <v>2518</v>
      </c>
      <c r="AB707" s="59">
        <v>6.8</v>
      </c>
      <c r="AC707" s="45">
        <f>C707+AK707+(0.1)*AL707</f>
        <v>19.7</v>
      </c>
      <c r="AD707" s="77">
        <v>53</v>
      </c>
      <c r="AE707" s="59">
        <v>5</v>
      </c>
      <c r="AF707" s="59">
        <v>5</v>
      </c>
      <c r="AG707" s="59">
        <v>1900</v>
      </c>
      <c r="AH707" s="77">
        <v>0</v>
      </c>
      <c r="AI707" s="59">
        <f ca="1">AJ707</f>
        <v>2019</v>
      </c>
      <c r="AJ707" s="18">
        <f ca="1">YEAR(TODAY())</f>
        <v>2019</v>
      </c>
      <c r="AK707" s="18">
        <v>11</v>
      </c>
      <c r="AL707" s="18">
        <v>7</v>
      </c>
      <c r="AM707" s="18">
        <v>1</v>
      </c>
      <c r="AN707" s="18">
        <v>1</v>
      </c>
      <c r="AO707" s="18">
        <v>5</v>
      </c>
      <c r="AP707" s="18">
        <v>1</v>
      </c>
      <c r="AQ707" s="18">
        <v>0</v>
      </c>
      <c r="AR707" s="18">
        <v>0</v>
      </c>
      <c r="AS707" s="18">
        <v>0</v>
      </c>
      <c r="AT707" s="18">
        <v>0</v>
      </c>
      <c r="AU707" s="18">
        <v>0</v>
      </c>
      <c r="AV707" s="18">
        <v>0</v>
      </c>
      <c r="AW707" s="18">
        <v>0</v>
      </c>
      <c r="AX707" s="18">
        <v>0</v>
      </c>
      <c r="AY707" s="233"/>
      <c r="AZ707" s="4"/>
      <c r="BA707" s="35" t="str">
        <f ca="1">IF(OR(S707="North America",S707="Rocky Mountain"), "Widespread",BC707)</f>
        <v>Abundant</v>
      </c>
      <c r="BB707" s="4"/>
      <c r="BC707" s="35" t="str">
        <f ca="1">IF(BE707&gt;2046, "Abundant",BE707)</f>
        <v>Abundant</v>
      </c>
      <c r="BD707" s="4"/>
      <c r="BE707" s="81">
        <f ca="1">YEAR($C$13)+(BG707*80)</f>
        <v>2104.5453803921569</v>
      </c>
      <c r="BF707" s="4"/>
      <c r="BG707" s="137">
        <f ca="1">BH707*$BH$14</f>
        <v>1.0693172549019607</v>
      </c>
      <c r="BH707" s="137">
        <f ca="1">(((BJ707+BK707+BM707+BN707)/4)*$BM$11)+(((BP707+BQ707)/2)*$BQ$11)+(((BU707+BV707+BW707)/3)*$BU$11)+(((BY707+BZ707+CA707+CB707+CC707)/5)*$CA$11)</f>
        <v>1.0693172549019607</v>
      </c>
      <c r="BI707" s="4"/>
      <c r="BJ707" s="33">
        <f>AP707/(AM707+AO707)</f>
        <v>0.16666666666666666</v>
      </c>
      <c r="BK707" s="33">
        <f>(AN707+AO707)/(AM707+AO707)</f>
        <v>1</v>
      </c>
      <c r="BL707" s="4"/>
      <c r="BM707" s="127">
        <f>CF707/102</f>
        <v>0.19313725490196076</v>
      </c>
      <c r="BN707" s="127">
        <f>C707/2</f>
        <v>4</v>
      </c>
      <c r="BO707" s="4"/>
      <c r="BP707" s="127">
        <f>(AK707)/($AW$6)</f>
        <v>0.1111111111111111</v>
      </c>
      <c r="BQ707" s="127">
        <f ca="1">(CH707-$AW$4)/((YEAR($C$13))-$AW$4)</f>
        <v>1</v>
      </c>
      <c r="BR707" s="127">
        <f>(AL707)/($AW$6)</f>
        <v>7.0707070707070704E-2</v>
      </c>
      <c r="BS707" s="4"/>
      <c r="BT707" s="127"/>
      <c r="BU707" s="127">
        <f ca="1">(CG707-$AW$4)/((YEAR($C$13))-$AW$4)</f>
        <v>1</v>
      </c>
      <c r="BV707" s="127">
        <f>AE707/5</f>
        <v>1</v>
      </c>
      <c r="BW707" s="127">
        <f>AF707/5</f>
        <v>1</v>
      </c>
      <c r="BX707" s="4"/>
      <c r="BY707" s="148" t="str">
        <f>IF(E707="A",".98",IF(E707="B",".99",IF(E707="C","1.00",IF(E707="D","1.00" ))))</f>
        <v>1.00</v>
      </c>
      <c r="BZ707" s="127">
        <f>(CE707+7)/10</f>
        <v>1</v>
      </c>
      <c r="CA707" s="76" t="str">
        <f>IF(D707="Fern",".97",IF(D707="Grass",".99",IF(D707="Herb",".97",IF(D707="Shrub",".99",IF(D707="Tree","1.00",IF(D707="Vine",".98"))))))</f>
        <v>.99</v>
      </c>
      <c r="CB707" s="149" t="str">
        <f>IF(R707="Bogs Ponds Streams",".96", IF(R707="Coastal Areas",".97",IF(R707="Meadows Dry Open",".96",IF(R707="Forest &amp; Understory",".97",IF(R707="Moist Open",".98",IF(R707="Moist Shady",".96",IF(R707="Sub-Alpine","1.0")))))))</f>
        <v>.98</v>
      </c>
      <c r="CC707" s="76" t="str">
        <f>IF(S707="Local Endemic",".50",IF(S707="Regional Endemic",".70",IF(S707="Cascadia",".90",IF(S707="Rocky Mountain",".95",IF(S707="North America",".99")))))</f>
        <v>.70</v>
      </c>
      <c r="CD707" s="4"/>
      <c r="CE707" s="21">
        <f>IF(W707&gt;3,3,W707)</f>
        <v>3</v>
      </c>
      <c r="CF707" s="21">
        <f>IF(AC707&gt;102,102,AC707)</f>
        <v>19.7</v>
      </c>
      <c r="CG707" s="34">
        <f ca="1">IF(AI707&lt;$AW$4,$AW$4,AI707)</f>
        <v>2019</v>
      </c>
      <c r="CH707" s="34">
        <f ca="1">IF(AJ707&lt;$AW$4,$AW$4,AJ707)</f>
        <v>2019</v>
      </c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</row>
    <row r="708" spans="1:115" ht="15" customHeight="1" x14ac:dyDescent="0.3">
      <c r="A708" s="235"/>
      <c r="B708" s="218"/>
      <c r="C708" s="225">
        <v>8</v>
      </c>
      <c r="D708" s="59" t="s">
        <v>2506</v>
      </c>
      <c r="E708" s="60" t="s">
        <v>2501</v>
      </c>
      <c r="F708" s="397" t="str">
        <f ca="1">IF(BC708&lt;2025, "Extinct&lt; 6Yrs?",BA708)</f>
        <v>Widespread</v>
      </c>
      <c r="G708" s="363" t="s">
        <v>525</v>
      </c>
      <c r="H708" s="363" t="s">
        <v>688</v>
      </c>
      <c r="I708" s="366" t="s">
        <v>723</v>
      </c>
      <c r="J708" s="365" t="s">
        <v>3979</v>
      </c>
      <c r="K708" s="365" t="s">
        <v>722</v>
      </c>
      <c r="L708" s="17" t="s">
        <v>1693</v>
      </c>
      <c r="M708" s="8" t="s">
        <v>4780</v>
      </c>
      <c r="N708" s="8" t="s">
        <v>5678</v>
      </c>
      <c r="O708" s="8" t="s">
        <v>6576</v>
      </c>
      <c r="P708" s="9" t="s">
        <v>611</v>
      </c>
      <c r="Q708" s="59" t="s">
        <v>2552</v>
      </c>
      <c r="R708" s="9" t="s">
        <v>2500</v>
      </c>
      <c r="S708" s="17" t="s">
        <v>2495</v>
      </c>
      <c r="T708" s="123" t="str">
        <f>IF(R708="Bogs Ponds Streams","20",IF(R708="Coastal Areas","26",IF(R708="Meadows Dry Open","10",IF(R708="Forest &amp; Understory","14",IF(R708="Moist Open","12",IF(R708="Moist Shady","10",IF(R708="Sub-Alpine Slopes","0")))))))</f>
        <v>10</v>
      </c>
      <c r="U708" s="123" t="str">
        <f>IF(R708="Bogs Ponds Streams","52",IF(R708="Coastal Areas","51",IF(R708="Meadows Dry Open","53",IF(R708="Forest &amp; Understory","52",IF(R708="Moist Open","50",IF(R708="Moist Shady","46",IF(R708="Sub-Alpine Slopes","40")))))))</f>
        <v>53</v>
      </c>
      <c r="V708" s="123" t="str">
        <f>IF(R708="Bogs Ponds Streams","84",IF(R708="Coastal Areas","76",IF(R708="Meadows Dry Open","96", IF(R708="Forest &amp; Understory","90", IF(R708="Moist Open","88", IF(R708="Moist Shady","82", IF(R708="Sub-Alpine Slopes","80")))))))</f>
        <v>96</v>
      </c>
      <c r="W708" s="59">
        <v>20</v>
      </c>
      <c r="X708" s="59">
        <v>0</v>
      </c>
      <c r="Y708" s="59">
        <v>3500</v>
      </c>
      <c r="Z708" s="59" t="s">
        <v>2519</v>
      </c>
      <c r="AA708" s="59" t="s">
        <v>2518</v>
      </c>
      <c r="AB708" s="59">
        <v>6.8</v>
      </c>
      <c r="AC708" s="45">
        <f>C708+AK708+(0.1)*AL708</f>
        <v>14.5</v>
      </c>
      <c r="AD708" s="77">
        <v>120</v>
      </c>
      <c r="AE708" s="59">
        <v>5</v>
      </c>
      <c r="AF708" s="59">
        <v>5</v>
      </c>
      <c r="AG708" s="59">
        <v>1900</v>
      </c>
      <c r="AH708" s="77">
        <v>0</v>
      </c>
      <c r="AI708" s="59">
        <f ca="1">AJ708</f>
        <v>2019</v>
      </c>
      <c r="AJ708" s="18">
        <f ca="1">YEAR(TODAY())</f>
        <v>2019</v>
      </c>
      <c r="AK708" s="18">
        <v>1</v>
      </c>
      <c r="AL708" s="18">
        <v>55</v>
      </c>
      <c r="AM708" s="18">
        <v>1</v>
      </c>
      <c r="AN708" s="18">
        <v>1</v>
      </c>
      <c r="AO708" s="18">
        <v>5</v>
      </c>
      <c r="AP708" s="18">
        <v>1</v>
      </c>
      <c r="AQ708" s="18">
        <v>0</v>
      </c>
      <c r="AR708" s="18">
        <v>0</v>
      </c>
      <c r="AS708" s="18">
        <v>0</v>
      </c>
      <c r="AT708" s="18">
        <v>0</v>
      </c>
      <c r="AU708" s="18">
        <v>0</v>
      </c>
      <c r="AV708" s="18">
        <v>0</v>
      </c>
      <c r="AW708" s="18">
        <v>0</v>
      </c>
      <c r="AX708" s="18">
        <v>0</v>
      </c>
      <c r="AY708" s="233"/>
      <c r="AZ708" s="4"/>
      <c r="BA708" s="35" t="str">
        <f>IF(OR(S708="North America",S708="Rocky Mountain"), "Widespread",BC708)</f>
        <v>Widespread</v>
      </c>
      <c r="BB708" s="4"/>
      <c r="BC708" s="35" t="str">
        <f ca="1">IF(BE708&gt;2046, "Abundant",BE708)</f>
        <v>Abundant</v>
      </c>
      <c r="BD708" s="4"/>
      <c r="BE708" s="81">
        <f ca="1">YEAR($C$13)+(BG708*80)</f>
        <v>2102.8078944741533</v>
      </c>
      <c r="BF708" s="4"/>
      <c r="BG708" s="137">
        <f ca="1">BH708*$BH$14</f>
        <v>1.0475986809269162</v>
      </c>
      <c r="BH708" s="137">
        <f ca="1">(((BJ708+BK708+BM708+BN708)/4)*$BM$11)+(((BP708+BQ708)/2)*$BQ$11)+(((BU708+BV708+BW708)/3)*$BU$11)+(((BY708+BZ708+CA708+CB708+CC708)/5)*$CA$11)</f>
        <v>1.0475986809269162</v>
      </c>
      <c r="BI708" s="4"/>
      <c r="BJ708" s="33">
        <f>AP708/(AM708+AO708)</f>
        <v>0.16666666666666666</v>
      </c>
      <c r="BK708" s="33">
        <f>(AN708+AO708)/(AM708+AO708)</f>
        <v>1</v>
      </c>
      <c r="BL708" s="4"/>
      <c r="BM708" s="127">
        <f>CF708/102</f>
        <v>0.14215686274509803</v>
      </c>
      <c r="BN708" s="127">
        <f>C708/2</f>
        <v>4</v>
      </c>
      <c r="BO708" s="4"/>
      <c r="BP708" s="127">
        <f>(AK708)/($AW$6)</f>
        <v>1.0101010101010102E-2</v>
      </c>
      <c r="BQ708" s="127">
        <f ca="1">(CH708-$AW$4)/((YEAR($C$13))-$AW$4)</f>
        <v>1</v>
      </c>
      <c r="BR708" s="127">
        <f>(AL708)/($AW$6)</f>
        <v>0.55555555555555558</v>
      </c>
      <c r="BS708" s="4"/>
      <c r="BT708" s="127"/>
      <c r="BU708" s="127">
        <f ca="1">(CG708-$AW$4)/((YEAR($C$13))-$AW$4)</f>
        <v>1</v>
      </c>
      <c r="BV708" s="127">
        <f>AE708/5</f>
        <v>1</v>
      </c>
      <c r="BW708" s="127">
        <f>AF708/5</f>
        <v>1</v>
      </c>
      <c r="BX708" s="4"/>
      <c r="BY708" s="148" t="str">
        <f>IF(E708="A",".98",IF(E708="B",".99",IF(E708="C","1.00",IF(E708="D","1.00" ))))</f>
        <v>1.00</v>
      </c>
      <c r="BZ708" s="127">
        <f>(CE708+7)/10</f>
        <v>1</v>
      </c>
      <c r="CA708" s="76" t="str">
        <f>IF(D708="Fern",".97",IF(D708="Grass",".99",IF(D708="Herb",".97",IF(D708="Shrub",".99",IF(D708="Tree","1.00",IF(D708="Vine",".98"))))))</f>
        <v>.99</v>
      </c>
      <c r="CB708" s="149" t="str">
        <f>IF(R708="Bogs Ponds Streams",".96", IF(R708="Coastal Areas",".97",IF(R708="Meadows Dry Open",".96",IF(R708="Forest &amp; Understory",".97",IF(R708="Moist Open",".98",IF(R708="Moist Shady",".96",IF(R708="Sub-Alpine","1.0")))))))</f>
        <v>.96</v>
      </c>
      <c r="CC708" s="76" t="str">
        <f>IF(S708="Local Endemic",".50",IF(S708="Regional Endemic",".70",IF(S708="Cascadia",".90",IF(S708="Rocky Mountain",".95",IF(S708="North America",".99")))))</f>
        <v>.99</v>
      </c>
      <c r="CD708" s="4"/>
      <c r="CE708" s="21">
        <f>IF(W708&gt;3,3,W708)</f>
        <v>3</v>
      </c>
      <c r="CF708" s="21">
        <f>IF(AC708&gt;102,102,AC708)</f>
        <v>14.5</v>
      </c>
      <c r="CG708" s="34">
        <f ca="1">IF(AI708&lt;$AW$4,$AW$4,AI708)</f>
        <v>2019</v>
      </c>
      <c r="CH708" s="34">
        <f ca="1">IF(AJ708&lt;$AW$4,$AW$4,AJ708)</f>
        <v>2019</v>
      </c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</row>
    <row r="709" spans="1:115" ht="15" customHeight="1" x14ac:dyDescent="0.3">
      <c r="A709" s="235"/>
      <c r="B709" s="218"/>
      <c r="C709" s="225">
        <v>8</v>
      </c>
      <c r="D709" s="59" t="s">
        <v>2506</v>
      </c>
      <c r="E709" s="60" t="s">
        <v>2501</v>
      </c>
      <c r="F709" s="397" t="str">
        <f ca="1">IF(BC709&lt;2025, "Extinct&lt; 6Yrs?",BA709)</f>
        <v>Abundant</v>
      </c>
      <c r="G709" s="363" t="s">
        <v>525</v>
      </c>
      <c r="H709" s="363" t="s">
        <v>689</v>
      </c>
      <c r="I709" s="366" t="s">
        <v>613</v>
      </c>
      <c r="J709" s="365" t="s">
        <v>3978</v>
      </c>
      <c r="K709" s="365" t="s">
        <v>1122</v>
      </c>
      <c r="L709" s="10" t="s">
        <v>1694</v>
      </c>
      <c r="M709" s="8" t="s">
        <v>4781</v>
      </c>
      <c r="N709" s="8" t="s">
        <v>5679</v>
      </c>
      <c r="O709" s="8" t="s">
        <v>6577</v>
      </c>
      <c r="P709" s="9" t="s">
        <v>611</v>
      </c>
      <c r="Q709" s="59" t="s">
        <v>2552</v>
      </c>
      <c r="R709" s="9" t="s">
        <v>2498</v>
      </c>
      <c r="S709" s="9" t="s">
        <v>2459</v>
      </c>
      <c r="T709" s="123" t="str">
        <f>IF(R709="Bogs Ponds Streams","20",IF(R709="Coastal Areas","26",IF(R709="Meadows Dry Open","10",IF(R709="Forest &amp; Understory","14",IF(R709="Moist Open","12",IF(R709="Moist Shady","10",IF(R709="Sub-Alpine Slopes","0")))))))</f>
        <v>10</v>
      </c>
      <c r="U709" s="123" t="str">
        <f>IF(R709="Bogs Ponds Streams","52",IF(R709="Coastal Areas","51",IF(R709="Meadows Dry Open","53",IF(R709="Forest &amp; Understory","52",IF(R709="Moist Open","50",IF(R709="Moist Shady","46",IF(R709="Sub-Alpine Slopes","40")))))))</f>
        <v>46</v>
      </c>
      <c r="V709" s="123" t="str">
        <f>IF(R709="Bogs Ponds Streams","84",IF(R709="Coastal Areas","76",IF(R709="Meadows Dry Open","96", IF(R709="Forest &amp; Understory","90", IF(R709="Moist Open","88", IF(R709="Moist Shady","82", IF(R709="Sub-Alpine Slopes","80")))))))</f>
        <v>82</v>
      </c>
      <c r="W709" s="59">
        <v>20</v>
      </c>
      <c r="X709" s="59">
        <v>0</v>
      </c>
      <c r="Y709" s="59">
        <v>3500</v>
      </c>
      <c r="Z709" s="59" t="s">
        <v>2519</v>
      </c>
      <c r="AA709" s="59" t="s">
        <v>2518</v>
      </c>
      <c r="AB709" s="59">
        <v>6.8</v>
      </c>
      <c r="AC709" s="45">
        <f>C709+AK709+(0.1)*AL709</f>
        <v>86.1</v>
      </c>
      <c r="AD709" s="77">
        <v>85</v>
      </c>
      <c r="AE709" s="59">
        <v>5</v>
      </c>
      <c r="AF709" s="59">
        <v>5</v>
      </c>
      <c r="AG709" s="59">
        <v>1900</v>
      </c>
      <c r="AH709" s="77">
        <v>0</v>
      </c>
      <c r="AI709" s="59">
        <f ca="1">AJ709</f>
        <v>2019</v>
      </c>
      <c r="AJ709" s="18">
        <f ca="1">YEAR(TODAY())</f>
        <v>2019</v>
      </c>
      <c r="AK709" s="18">
        <v>77</v>
      </c>
      <c r="AL709" s="18">
        <v>11</v>
      </c>
      <c r="AM709" s="18">
        <v>1</v>
      </c>
      <c r="AN709" s="18">
        <v>1</v>
      </c>
      <c r="AO709" s="18">
        <v>5</v>
      </c>
      <c r="AP709" s="18">
        <v>1</v>
      </c>
      <c r="AQ709" s="18">
        <v>0</v>
      </c>
      <c r="AR709" s="18">
        <v>0</v>
      </c>
      <c r="AS709" s="18">
        <v>0</v>
      </c>
      <c r="AT709" s="18">
        <v>0</v>
      </c>
      <c r="AU709" s="18">
        <v>0</v>
      </c>
      <c r="AV709" s="18">
        <v>0</v>
      </c>
      <c r="AW709" s="18">
        <v>0</v>
      </c>
      <c r="AX709" s="18">
        <v>0</v>
      </c>
      <c r="AY709" s="233"/>
      <c r="AZ709" s="4"/>
      <c r="BA709" s="35" t="str">
        <f ca="1">IF(OR(S709="North America",S709="Rocky Mountain"), "Widespread",BC709)</f>
        <v>Abundant</v>
      </c>
      <c r="BB709" s="4"/>
      <c r="BC709" s="35" t="str">
        <f ca="1">IF(BE709&gt;2046, "Abundant",BE709)</f>
        <v>Abundant</v>
      </c>
      <c r="BD709" s="4"/>
      <c r="BE709" s="81">
        <f ca="1">YEAR($C$13)+(BG709*80)</f>
        <v>2120.414745098039</v>
      </c>
      <c r="BF709" s="4"/>
      <c r="BG709" s="137">
        <f ca="1">BH709*$BH$14</f>
        <v>1.2676843137254903</v>
      </c>
      <c r="BH709" s="137">
        <f ca="1">(((BJ709+BK709+BM709+BN709)/4)*$BM$11)+(((BP709+BQ709)/2)*$BQ$11)+(((BU709+BV709+BW709)/3)*$BU$11)+(((BY709+BZ709+CA709+CB709+CC709)/5)*$CA$11)</f>
        <v>1.2676843137254903</v>
      </c>
      <c r="BI709" s="4"/>
      <c r="BJ709" s="33">
        <f>AP709/(AM709+AO709)</f>
        <v>0.16666666666666666</v>
      </c>
      <c r="BK709" s="33">
        <f>(AN709+AO709)/(AM709+AO709)</f>
        <v>1</v>
      </c>
      <c r="BL709" s="4"/>
      <c r="BM709" s="127">
        <f>CF709/102</f>
        <v>0.84411764705882353</v>
      </c>
      <c r="BN709" s="127">
        <f>C709/2</f>
        <v>4</v>
      </c>
      <c r="BO709" s="4"/>
      <c r="BP709" s="127">
        <f>(AK709)/($AW$6)</f>
        <v>0.77777777777777779</v>
      </c>
      <c r="BQ709" s="127">
        <f ca="1">(CH709-$AW$4)/((YEAR($C$13))-$AW$4)</f>
        <v>1</v>
      </c>
      <c r="BR709" s="127">
        <f>(AL709)/($AW$6)</f>
        <v>0.1111111111111111</v>
      </c>
      <c r="BS709" s="4"/>
      <c r="BT709" s="127"/>
      <c r="BU709" s="127">
        <f ca="1">(CG709-$AW$4)/((YEAR($C$13))-$AW$4)</f>
        <v>1</v>
      </c>
      <c r="BV709" s="127">
        <f>AE709/5</f>
        <v>1</v>
      </c>
      <c r="BW709" s="127">
        <f>AF709/5</f>
        <v>1</v>
      </c>
      <c r="BX709" s="4"/>
      <c r="BY709" s="148" t="str">
        <f>IF(E709="A",".98",IF(E709="B",".99",IF(E709="C","1.00",IF(E709="D","1.00" ))))</f>
        <v>1.00</v>
      </c>
      <c r="BZ709" s="127">
        <f>(CE709+7)/10</f>
        <v>1</v>
      </c>
      <c r="CA709" s="76" t="str">
        <f>IF(D709="Fern",".97",IF(D709="Grass",".99",IF(D709="Herb",".97",IF(D709="Shrub",".99",IF(D709="Tree","1.00",IF(D709="Vine",".98"))))))</f>
        <v>.99</v>
      </c>
      <c r="CB709" s="149" t="str">
        <f>IF(R709="Bogs Ponds Streams",".96", IF(R709="Coastal Areas",".97",IF(R709="Meadows Dry Open",".96",IF(R709="Forest &amp; Understory",".97",IF(R709="Moist Open",".98",IF(R709="Moist Shady",".96",IF(R709="Sub-Alpine","1.0")))))))</f>
        <v>.96</v>
      </c>
      <c r="CC709" s="76" t="str">
        <f>IF(S709="Local Endemic",".50",IF(S709="Regional Endemic",".70",IF(S709="Cascadia",".90",IF(S709="Rocky Mountain",".95",IF(S709="North America",".99")))))</f>
        <v>.90</v>
      </c>
      <c r="CD709" s="4"/>
      <c r="CE709" s="21">
        <f>IF(W709&gt;3,3,W709)</f>
        <v>3</v>
      </c>
      <c r="CF709" s="21">
        <f>IF(AC709&gt;102,102,AC709)</f>
        <v>86.1</v>
      </c>
      <c r="CG709" s="34">
        <f ca="1">IF(AI709&lt;$AW$4,$AW$4,AI709)</f>
        <v>2019</v>
      </c>
      <c r="CH709" s="34">
        <f ca="1">IF(AJ709&lt;$AW$4,$AW$4,AJ709)</f>
        <v>2019</v>
      </c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</row>
    <row r="710" spans="1:115" ht="15" customHeight="1" x14ac:dyDescent="0.3">
      <c r="A710" s="235"/>
      <c r="B710" s="218"/>
      <c r="C710" s="225">
        <v>8</v>
      </c>
      <c r="D710" s="59" t="s">
        <v>2506</v>
      </c>
      <c r="E710" s="60" t="s">
        <v>2501</v>
      </c>
      <c r="F710" s="397" t="str">
        <f ca="1">IF(BC710&lt;2025, "Extinct&lt; 6Yrs?",BA710)</f>
        <v>Widespread</v>
      </c>
      <c r="G710" s="363" t="s">
        <v>525</v>
      </c>
      <c r="H710" s="363" t="s">
        <v>688</v>
      </c>
      <c r="I710" s="366" t="s">
        <v>727</v>
      </c>
      <c r="J710" s="365" t="s">
        <v>3977</v>
      </c>
      <c r="K710" s="365" t="s">
        <v>720</v>
      </c>
      <c r="L710" s="17" t="s">
        <v>1695</v>
      </c>
      <c r="M710" s="8" t="s">
        <v>4782</v>
      </c>
      <c r="N710" s="8" t="s">
        <v>5680</v>
      </c>
      <c r="O710" s="8" t="s">
        <v>6578</v>
      </c>
      <c r="P710" s="398" t="s">
        <v>611</v>
      </c>
      <c r="Q710" s="59" t="s">
        <v>2552</v>
      </c>
      <c r="R710" s="9" t="s">
        <v>2500</v>
      </c>
      <c r="S710" s="17" t="s">
        <v>2479</v>
      </c>
      <c r="T710" s="123" t="str">
        <f>IF(R710="Bogs Ponds Streams","20",IF(R710="Coastal Areas","26",IF(R710="Meadows Dry Open","10",IF(R710="Forest &amp; Understory","14",IF(R710="Moist Open","12",IF(R710="Moist Shady","10",IF(R710="Sub-Alpine Slopes","0")))))))</f>
        <v>10</v>
      </c>
      <c r="U710" s="123" t="str">
        <f>IF(R710="Bogs Ponds Streams","52",IF(R710="Coastal Areas","51",IF(R710="Meadows Dry Open","53",IF(R710="Forest &amp; Understory","52",IF(R710="Moist Open","50",IF(R710="Moist Shady","46",IF(R710="Sub-Alpine Slopes","40")))))))</f>
        <v>53</v>
      </c>
      <c r="V710" s="123" t="str">
        <f>IF(R710="Bogs Ponds Streams","84",IF(R710="Coastal Areas","76",IF(R710="Meadows Dry Open","96", IF(R710="Forest &amp; Understory","90", IF(R710="Moist Open","88", IF(R710="Moist Shady","82", IF(R710="Sub-Alpine Slopes","80")))))))</f>
        <v>96</v>
      </c>
      <c r="W710" s="59">
        <v>20</v>
      </c>
      <c r="X710" s="59">
        <v>0</v>
      </c>
      <c r="Y710" s="59">
        <v>3500</v>
      </c>
      <c r="Z710" s="59" t="s">
        <v>2519</v>
      </c>
      <c r="AA710" s="59" t="s">
        <v>2518</v>
      </c>
      <c r="AB710" s="59">
        <v>6.8</v>
      </c>
      <c r="AC710" s="45">
        <f>C710+AK710+(0.1)*AL710</f>
        <v>18.899999999999999</v>
      </c>
      <c r="AD710" s="77">
        <v>260</v>
      </c>
      <c r="AE710" s="59">
        <v>5</v>
      </c>
      <c r="AF710" s="59">
        <v>5</v>
      </c>
      <c r="AG710" s="59">
        <v>1900</v>
      </c>
      <c r="AH710" s="77">
        <v>0</v>
      </c>
      <c r="AI710" s="59">
        <f ca="1">AJ710</f>
        <v>2019</v>
      </c>
      <c r="AJ710" s="18">
        <f ca="1">YEAR(TODAY())</f>
        <v>2019</v>
      </c>
      <c r="AK710" s="18">
        <v>1</v>
      </c>
      <c r="AL710" s="18">
        <v>99</v>
      </c>
      <c r="AM710" s="18">
        <v>1</v>
      </c>
      <c r="AN710" s="18">
        <v>1</v>
      </c>
      <c r="AO710" s="18">
        <v>5</v>
      </c>
      <c r="AP710" s="18">
        <v>1</v>
      </c>
      <c r="AQ710" s="18">
        <v>0</v>
      </c>
      <c r="AR710" s="18">
        <v>0</v>
      </c>
      <c r="AS710" s="18">
        <v>0</v>
      </c>
      <c r="AT710" s="18">
        <v>0</v>
      </c>
      <c r="AU710" s="18">
        <v>0</v>
      </c>
      <c r="AV710" s="18">
        <v>0</v>
      </c>
      <c r="AW710" s="18">
        <v>0</v>
      </c>
      <c r="AX710" s="18">
        <v>0</v>
      </c>
      <c r="AY710" s="233"/>
      <c r="AZ710" s="4"/>
      <c r="BA710" s="35" t="str">
        <f>IF(OR(S710="North America",S710="Rocky Mountain"), "Widespread",BC710)</f>
        <v>Widespread</v>
      </c>
      <c r="BB710" s="4"/>
      <c r="BC710" s="35" t="str">
        <f ca="1">IF(BE710&gt;2046, "Abundant",BE710)</f>
        <v>Abundant</v>
      </c>
      <c r="BD710" s="4"/>
      <c r="BE710" s="81">
        <f ca="1">YEAR($C$13)+(BG710*80)</f>
        <v>2103.3127415329768</v>
      </c>
      <c r="BF710" s="4"/>
      <c r="BG710" s="137">
        <f ca="1">BH710*$BH$14</f>
        <v>1.0539092691622103</v>
      </c>
      <c r="BH710" s="137">
        <f ca="1">(((BJ710+BK710+BM710+BN710)/4)*$BM$11)+(((BP710+BQ710)/2)*$BQ$11)+(((BU710+BV710+BW710)/3)*$BU$11)+(((BY710+BZ710+CA710+CB710+CC710)/5)*$CA$11)</f>
        <v>1.0539092691622103</v>
      </c>
      <c r="BI710" s="4"/>
      <c r="BJ710" s="33">
        <f>AP710/(AM710+AO710)</f>
        <v>0.16666666666666666</v>
      </c>
      <c r="BK710" s="33">
        <f>(AN710+AO710)/(AM710+AO710)</f>
        <v>1</v>
      </c>
      <c r="BL710" s="4"/>
      <c r="BM710" s="127">
        <f>CF710/102</f>
        <v>0.1852941176470588</v>
      </c>
      <c r="BN710" s="127">
        <f>C710/2</f>
        <v>4</v>
      </c>
      <c r="BO710" s="4"/>
      <c r="BP710" s="127">
        <f>(AK710)/($AW$6)</f>
        <v>1.0101010101010102E-2</v>
      </c>
      <c r="BQ710" s="127">
        <f ca="1">(CH710-$AW$4)/((YEAR($C$13))-$AW$4)</f>
        <v>1</v>
      </c>
      <c r="BR710" s="127">
        <f>(AL710)/($AW$6)</f>
        <v>1</v>
      </c>
      <c r="BS710" s="4"/>
      <c r="BT710" s="127"/>
      <c r="BU710" s="127">
        <f ca="1">(CG710-$AW$4)/((YEAR($C$13))-$AW$4)</f>
        <v>1</v>
      </c>
      <c r="BV710" s="127">
        <f>AE710/5</f>
        <v>1</v>
      </c>
      <c r="BW710" s="127">
        <f>AF710/5</f>
        <v>1</v>
      </c>
      <c r="BX710" s="4"/>
      <c r="BY710" s="148" t="str">
        <f>IF(E710="A",".98",IF(E710="B",".99",IF(E710="C","1.00",IF(E710="D","1.00" ))))</f>
        <v>1.00</v>
      </c>
      <c r="BZ710" s="127">
        <f>(CE710+7)/10</f>
        <v>1</v>
      </c>
      <c r="CA710" s="76" t="str">
        <f>IF(D710="Fern",".97",IF(D710="Grass",".99",IF(D710="Herb",".97",IF(D710="Shrub",".99",IF(D710="Tree","1.00",IF(D710="Vine",".98"))))))</f>
        <v>.99</v>
      </c>
      <c r="CB710" s="149" t="str">
        <f>IF(R710="Bogs Ponds Streams",".96", IF(R710="Coastal Areas",".97",IF(R710="Meadows Dry Open",".96",IF(R710="Forest &amp; Understory",".97",IF(R710="Moist Open",".98",IF(R710="Moist Shady",".96",IF(R710="Sub-Alpine","1.0")))))))</f>
        <v>.96</v>
      </c>
      <c r="CC710" s="76" t="str">
        <f>IF(S710="Local Endemic",".50",IF(S710="Regional Endemic",".70",IF(S710="Cascadia",".90",IF(S710="Rocky Mountain",".95",IF(S710="North America",".99")))))</f>
        <v>.95</v>
      </c>
      <c r="CD710" s="4"/>
      <c r="CE710" s="21">
        <f>IF(W710&gt;3,3,W710)</f>
        <v>3</v>
      </c>
      <c r="CF710" s="21">
        <f>IF(AC710&gt;102,102,AC710)</f>
        <v>18.899999999999999</v>
      </c>
      <c r="CG710" s="34">
        <f ca="1">IF(AI710&lt;$AW$4,$AW$4,AI710)</f>
        <v>2019</v>
      </c>
      <c r="CH710" s="34">
        <f ca="1">IF(AJ710&lt;$AW$4,$AW$4,AJ710)</f>
        <v>2019</v>
      </c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</row>
    <row r="711" spans="1:115" ht="15" customHeight="1" x14ac:dyDescent="0.3">
      <c r="A711" s="235"/>
      <c r="B711" s="218"/>
      <c r="C711" s="225">
        <v>8</v>
      </c>
      <c r="D711" s="59" t="s">
        <v>2506</v>
      </c>
      <c r="E711" s="60" t="s">
        <v>2501</v>
      </c>
      <c r="F711" s="397" t="str">
        <f ca="1">IF(BC711&lt;2025, "Extinct&lt; 6Yrs?",BA711)</f>
        <v>Abundant</v>
      </c>
      <c r="G711" s="363" t="s">
        <v>525</v>
      </c>
      <c r="H711" s="363" t="s">
        <v>681</v>
      </c>
      <c r="I711" s="366" t="s">
        <v>612</v>
      </c>
      <c r="J711" s="365" t="s">
        <v>3976</v>
      </c>
      <c r="K711" s="365" t="s">
        <v>1123</v>
      </c>
      <c r="L711" s="10" t="s">
        <v>1696</v>
      </c>
      <c r="M711" s="8" t="s">
        <v>4783</v>
      </c>
      <c r="N711" s="8" t="s">
        <v>5681</v>
      </c>
      <c r="O711" s="8" t="s">
        <v>6579</v>
      </c>
      <c r="P711" s="9" t="s">
        <v>611</v>
      </c>
      <c r="Q711" s="59" t="s">
        <v>2552</v>
      </c>
      <c r="R711" s="9" t="s">
        <v>2498</v>
      </c>
      <c r="S711" s="9" t="s">
        <v>2459</v>
      </c>
      <c r="T711" s="123" t="str">
        <f>IF(R711="Bogs Ponds Streams","20",IF(R711="Coastal Areas","26",IF(R711="Meadows Dry Open","10",IF(R711="Forest &amp; Understory","14",IF(R711="Moist Open","12",IF(R711="Moist Shady","10",IF(R711="Sub-Alpine Slopes","0")))))))</f>
        <v>10</v>
      </c>
      <c r="U711" s="123" t="str">
        <f>IF(R711="Bogs Ponds Streams","52",IF(R711="Coastal Areas","51",IF(R711="Meadows Dry Open","53",IF(R711="Forest &amp; Understory","52",IF(R711="Moist Open","50",IF(R711="Moist Shady","46",IF(R711="Sub-Alpine Slopes","40")))))))</f>
        <v>46</v>
      </c>
      <c r="V711" s="123" t="str">
        <f>IF(R711="Bogs Ponds Streams","84",IF(R711="Coastal Areas","76",IF(R711="Meadows Dry Open","96", IF(R711="Forest &amp; Understory","90", IF(R711="Moist Open","88", IF(R711="Moist Shady","82", IF(R711="Sub-Alpine Slopes","80")))))))</f>
        <v>82</v>
      </c>
      <c r="W711" s="59">
        <v>20</v>
      </c>
      <c r="X711" s="59">
        <v>0</v>
      </c>
      <c r="Y711" s="59">
        <v>3500</v>
      </c>
      <c r="Z711" s="59" t="s">
        <v>2519</v>
      </c>
      <c r="AA711" s="59" t="s">
        <v>2518</v>
      </c>
      <c r="AB711" s="59">
        <v>6.8</v>
      </c>
      <c r="AC711" s="45">
        <f>C711+AK711+(0.1)*AL711</f>
        <v>22.1</v>
      </c>
      <c r="AD711" s="77">
        <v>92</v>
      </c>
      <c r="AE711" s="59">
        <v>5</v>
      </c>
      <c r="AF711" s="59">
        <v>5</v>
      </c>
      <c r="AG711" s="59">
        <v>1900</v>
      </c>
      <c r="AH711" s="77">
        <v>0</v>
      </c>
      <c r="AI711" s="59">
        <f ca="1">AJ711</f>
        <v>2019</v>
      </c>
      <c r="AJ711" s="18">
        <f ca="1">YEAR(TODAY())</f>
        <v>2019</v>
      </c>
      <c r="AK711" s="18">
        <v>14</v>
      </c>
      <c r="AL711" s="18">
        <v>1</v>
      </c>
      <c r="AM711" s="18">
        <v>1</v>
      </c>
      <c r="AN711" s="18">
        <v>1</v>
      </c>
      <c r="AO711" s="18">
        <v>5</v>
      </c>
      <c r="AP711" s="18">
        <v>1</v>
      </c>
      <c r="AQ711" s="18">
        <v>0</v>
      </c>
      <c r="AR711" s="18">
        <v>0</v>
      </c>
      <c r="AS711" s="18">
        <v>0</v>
      </c>
      <c r="AT711" s="18">
        <v>0</v>
      </c>
      <c r="AU711" s="18">
        <v>0</v>
      </c>
      <c r="AV711" s="18">
        <v>0</v>
      </c>
      <c r="AW711" s="18">
        <v>0</v>
      </c>
      <c r="AX711" s="18">
        <v>0</v>
      </c>
      <c r="AY711" s="233"/>
      <c r="AZ711" s="4"/>
      <c r="BA711" s="35" t="str">
        <f ca="1">IF(OR(S711="North America",S711="Rocky Mountain"), "Widespread",BC711)</f>
        <v>Abundant</v>
      </c>
      <c r="BB711" s="4"/>
      <c r="BC711" s="35" t="str">
        <f ca="1">IF(BE711&gt;2046, "Abundant",BE711)</f>
        <v>Abundant</v>
      </c>
      <c r="BD711" s="4"/>
      <c r="BE711" s="81">
        <f ca="1">YEAR($C$13)+(BG711*80)</f>
        <v>2105.2489696969697</v>
      </c>
      <c r="BF711" s="4"/>
      <c r="BG711" s="137">
        <f ca="1">BH711*$BH$14</f>
        <v>1.0781121212121212</v>
      </c>
      <c r="BH711" s="137">
        <f ca="1">(((BJ711+BK711+BM711+BN711)/4)*$BM$11)+(((BP711+BQ711)/2)*$BQ$11)+(((BU711+BV711+BW711)/3)*$BU$11)+(((BY711+BZ711+CA711+CB711+CC711)/5)*$CA$11)</f>
        <v>1.0781121212121212</v>
      </c>
      <c r="BI711" s="4"/>
      <c r="BJ711" s="33">
        <f>AP711/(AM711+AO711)</f>
        <v>0.16666666666666666</v>
      </c>
      <c r="BK711" s="33">
        <f>(AN711+AO711)/(AM711+AO711)</f>
        <v>1</v>
      </c>
      <c r="BL711" s="4"/>
      <c r="BM711" s="127">
        <f>CF711/102</f>
        <v>0.21666666666666667</v>
      </c>
      <c r="BN711" s="127">
        <f>C711/2</f>
        <v>4</v>
      </c>
      <c r="BO711" s="4"/>
      <c r="BP711" s="127">
        <f>(AK711)/($AW$6)</f>
        <v>0.14141414141414141</v>
      </c>
      <c r="BQ711" s="127">
        <f ca="1">(CH711-$AW$4)/((YEAR($C$13))-$AW$4)</f>
        <v>1</v>
      </c>
      <c r="BR711" s="127">
        <f>(AL711)/($AW$6)</f>
        <v>1.0101010101010102E-2</v>
      </c>
      <c r="BS711" s="4"/>
      <c r="BT711" s="127"/>
      <c r="BU711" s="127">
        <f ca="1">(CG711-$AW$4)/((YEAR($C$13))-$AW$4)</f>
        <v>1</v>
      </c>
      <c r="BV711" s="127">
        <f>AE711/5</f>
        <v>1</v>
      </c>
      <c r="BW711" s="127">
        <f>AF711/5</f>
        <v>1</v>
      </c>
      <c r="BX711" s="4"/>
      <c r="BY711" s="148" t="str">
        <f>IF(E711="A",".98",IF(E711="B",".99",IF(E711="C","1.00",IF(E711="D","1.00" ))))</f>
        <v>1.00</v>
      </c>
      <c r="BZ711" s="127">
        <f>(CE711+7)/10</f>
        <v>1</v>
      </c>
      <c r="CA711" s="76" t="str">
        <f>IF(D711="Fern",".97",IF(D711="Grass",".99",IF(D711="Herb",".97",IF(D711="Shrub",".99",IF(D711="Tree","1.00",IF(D711="Vine",".98"))))))</f>
        <v>.99</v>
      </c>
      <c r="CB711" s="149" t="str">
        <f>IF(R711="Bogs Ponds Streams",".96", IF(R711="Coastal Areas",".97",IF(R711="Meadows Dry Open",".96",IF(R711="Forest &amp; Understory",".97",IF(R711="Moist Open",".98",IF(R711="Moist Shady",".96",IF(R711="Sub-Alpine","1.0")))))))</f>
        <v>.96</v>
      </c>
      <c r="CC711" s="76" t="str">
        <f>IF(S711="Local Endemic",".50",IF(S711="Regional Endemic",".70",IF(S711="Cascadia",".90",IF(S711="Rocky Mountain",".95",IF(S711="North America",".99")))))</f>
        <v>.90</v>
      </c>
      <c r="CD711" s="4"/>
      <c r="CE711" s="21">
        <f>IF(W711&gt;3,3,W711)</f>
        <v>3</v>
      </c>
      <c r="CF711" s="21">
        <f>IF(AC711&gt;102,102,AC711)</f>
        <v>22.1</v>
      </c>
      <c r="CG711" s="34">
        <f ca="1">IF(AI711&lt;$AW$4,$AW$4,AI711)</f>
        <v>2019</v>
      </c>
      <c r="CH711" s="34">
        <f ca="1">IF(AJ711&lt;$AW$4,$AW$4,AJ711)</f>
        <v>2019</v>
      </c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</row>
    <row r="712" spans="1:115" ht="15" customHeight="1" x14ac:dyDescent="0.3">
      <c r="A712" s="235"/>
      <c r="B712" s="218"/>
      <c r="C712" s="225">
        <v>8</v>
      </c>
      <c r="D712" s="59" t="s">
        <v>2506</v>
      </c>
      <c r="E712" s="60" t="s">
        <v>2501</v>
      </c>
      <c r="F712" s="397" t="str">
        <f ca="1">IF(BC712&lt;2025, "Extinct&lt; 6Yrs?",BA712)</f>
        <v>Widespread</v>
      </c>
      <c r="G712" s="363" t="s">
        <v>525</v>
      </c>
      <c r="H712" s="363" t="s">
        <v>681</v>
      </c>
      <c r="I712" s="366" t="s">
        <v>621</v>
      </c>
      <c r="J712" s="365" t="s">
        <v>3975</v>
      </c>
      <c r="K712" s="365" t="s">
        <v>1124</v>
      </c>
      <c r="L712" s="10" t="s">
        <v>1697</v>
      </c>
      <c r="M712" s="8" t="s">
        <v>4784</v>
      </c>
      <c r="N712" s="8" t="s">
        <v>5682</v>
      </c>
      <c r="O712" s="8" t="s">
        <v>6580</v>
      </c>
      <c r="P712" s="9" t="s">
        <v>611</v>
      </c>
      <c r="Q712" s="59" t="s">
        <v>2552</v>
      </c>
      <c r="R712" s="9" t="s">
        <v>2498</v>
      </c>
      <c r="S712" s="9" t="s">
        <v>2495</v>
      </c>
      <c r="T712" s="123" t="str">
        <f>IF(R712="Bogs Ponds Streams","20",IF(R712="Coastal Areas","26",IF(R712="Meadows Dry Open","10",IF(R712="Forest &amp; Understory","14",IF(R712="Moist Open","12",IF(R712="Moist Shady","10",IF(R712="Sub-Alpine Slopes","0")))))))</f>
        <v>10</v>
      </c>
      <c r="U712" s="123" t="str">
        <f>IF(R712="Bogs Ponds Streams","52",IF(R712="Coastal Areas","51",IF(R712="Meadows Dry Open","53",IF(R712="Forest &amp; Understory","52",IF(R712="Moist Open","50",IF(R712="Moist Shady","46",IF(R712="Sub-Alpine Slopes","40")))))))</f>
        <v>46</v>
      </c>
      <c r="V712" s="123" t="str">
        <f>IF(R712="Bogs Ponds Streams","84",IF(R712="Coastal Areas","76",IF(R712="Meadows Dry Open","96", IF(R712="Forest &amp; Understory","90", IF(R712="Moist Open","88", IF(R712="Moist Shady","82", IF(R712="Sub-Alpine Slopes","80")))))))</f>
        <v>82</v>
      </c>
      <c r="W712" s="59">
        <v>20</v>
      </c>
      <c r="X712" s="59">
        <v>0</v>
      </c>
      <c r="Y712" s="59">
        <v>3500</v>
      </c>
      <c r="Z712" s="59" t="s">
        <v>2519</v>
      </c>
      <c r="AA712" s="59" t="s">
        <v>2518</v>
      </c>
      <c r="AB712" s="59">
        <v>6.8</v>
      </c>
      <c r="AC712" s="45">
        <f>C712+AK712+(0.1)*AL712</f>
        <v>43.2</v>
      </c>
      <c r="AD712" s="77">
        <v>216</v>
      </c>
      <c r="AE712" s="59">
        <v>5</v>
      </c>
      <c r="AF712" s="59">
        <v>5</v>
      </c>
      <c r="AG712" s="59">
        <v>1900</v>
      </c>
      <c r="AH712" s="77">
        <v>0</v>
      </c>
      <c r="AI712" s="59">
        <f ca="1">AJ712</f>
        <v>2019</v>
      </c>
      <c r="AJ712" s="18">
        <f ca="1">YEAR(TODAY())</f>
        <v>2019</v>
      </c>
      <c r="AK712" s="18">
        <v>33</v>
      </c>
      <c r="AL712" s="18">
        <v>22</v>
      </c>
      <c r="AM712" s="18">
        <v>1</v>
      </c>
      <c r="AN712" s="18">
        <v>1</v>
      </c>
      <c r="AO712" s="24">
        <v>1</v>
      </c>
      <c r="AP712" s="24">
        <v>0</v>
      </c>
      <c r="AQ712" s="18">
        <v>0</v>
      </c>
      <c r="AR712" s="18">
        <v>0</v>
      </c>
      <c r="AS712" s="18">
        <v>0</v>
      </c>
      <c r="AT712" s="18">
        <v>0</v>
      </c>
      <c r="AU712" s="18">
        <v>0</v>
      </c>
      <c r="AV712" s="18">
        <v>0</v>
      </c>
      <c r="AW712" s="18">
        <v>0</v>
      </c>
      <c r="AX712" s="18">
        <v>0</v>
      </c>
      <c r="AY712" s="233"/>
      <c r="AZ712" s="4"/>
      <c r="BA712" s="35" t="str">
        <f>IF(OR(S712="North America",S712="Rocky Mountain"), "Widespread",BC712)</f>
        <v>Widespread</v>
      </c>
      <c r="BB712" s="4"/>
      <c r="BC712" s="35" t="str">
        <f ca="1">IF(BE712&gt;2046, "Abundant",BE712)</f>
        <v>Abundant</v>
      </c>
      <c r="BD712" s="4"/>
      <c r="BE712" s="81">
        <f ca="1">YEAR($C$13)+(BG712*80)</f>
        <v>2108.0631529411767</v>
      </c>
      <c r="BF712" s="4"/>
      <c r="BG712" s="137">
        <f ca="1">BH712*$BH$14</f>
        <v>1.1132894117647061</v>
      </c>
      <c r="BH712" s="137">
        <f ca="1">(((BJ712+BK712+BM712+BN712)/4)*$BM$11)+(((BP712+BQ712)/2)*$BQ$11)+(((BU712+BV712+BW712)/3)*$BU$11)+(((BY712+BZ712+CA712+CB712+CC712)/5)*$CA$11)</f>
        <v>1.1132894117647061</v>
      </c>
      <c r="BI712" s="4"/>
      <c r="BJ712" s="33">
        <f>AP712/(AM712+AO712)</f>
        <v>0</v>
      </c>
      <c r="BK712" s="33">
        <f>(AN712+AO712)/(AM712+AO712)</f>
        <v>1</v>
      </c>
      <c r="BL712" s="4"/>
      <c r="BM712" s="127">
        <f>CF712/102</f>
        <v>0.42352941176470593</v>
      </c>
      <c r="BN712" s="127">
        <f>C712/2</f>
        <v>4</v>
      </c>
      <c r="BO712" s="4"/>
      <c r="BP712" s="127">
        <f>(AK712)/($AW$6)</f>
        <v>0.33333333333333331</v>
      </c>
      <c r="BQ712" s="127">
        <f ca="1">(CH712-$AW$4)/((YEAR($C$13))-$AW$4)</f>
        <v>1</v>
      </c>
      <c r="BR712" s="127">
        <f>(AL712)/($AW$6)</f>
        <v>0.22222222222222221</v>
      </c>
      <c r="BS712" s="4"/>
      <c r="BT712" s="127"/>
      <c r="BU712" s="127">
        <f ca="1">(CG712-$AW$4)/((YEAR($C$13))-$AW$4)</f>
        <v>1</v>
      </c>
      <c r="BV712" s="127">
        <f>AE712/5</f>
        <v>1</v>
      </c>
      <c r="BW712" s="127">
        <f>AF712/5</f>
        <v>1</v>
      </c>
      <c r="BX712" s="4"/>
      <c r="BY712" s="148" t="str">
        <f>IF(E712="A",".98",IF(E712="B",".99",IF(E712="C","1.00",IF(E712="D","1.00" ))))</f>
        <v>1.00</v>
      </c>
      <c r="BZ712" s="127">
        <f>(CE712+7)/10</f>
        <v>1</v>
      </c>
      <c r="CA712" s="76" t="str">
        <f>IF(D712="Fern",".97",IF(D712="Grass",".99",IF(D712="Herb",".97",IF(D712="Shrub",".99",IF(D712="Tree","1.00",IF(D712="Vine",".98"))))))</f>
        <v>.99</v>
      </c>
      <c r="CB712" s="149" t="str">
        <f>IF(R712="Bogs Ponds Streams",".96", IF(R712="Coastal Areas",".97",IF(R712="Meadows Dry Open",".96",IF(R712="Forest &amp; Understory",".97",IF(R712="Moist Open",".98",IF(R712="Moist Shady",".96",IF(R712="Sub-Alpine","1.0")))))))</f>
        <v>.96</v>
      </c>
      <c r="CC712" s="76" t="str">
        <f>IF(S712="Local Endemic",".50",IF(S712="Regional Endemic",".70",IF(S712="Cascadia",".90",IF(S712="Rocky Mountain",".95",IF(S712="North America",".99")))))</f>
        <v>.99</v>
      </c>
      <c r="CD712" s="4"/>
      <c r="CE712" s="21">
        <f>IF(W712&gt;3,3,W712)</f>
        <v>3</v>
      </c>
      <c r="CF712" s="21">
        <f>IF(AC712&gt;102,102,AC712)</f>
        <v>43.2</v>
      </c>
      <c r="CG712" s="34">
        <f ca="1">IF(AI712&lt;$AW$4,$AW$4,AI712)</f>
        <v>2019</v>
      </c>
      <c r="CH712" s="34">
        <f ca="1">IF(AJ712&lt;$AW$4,$AW$4,AJ712)</f>
        <v>2019</v>
      </c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</row>
    <row r="713" spans="1:115" ht="15" customHeight="1" x14ac:dyDescent="0.3">
      <c r="A713" s="235"/>
      <c r="B713" s="218"/>
      <c r="C713" s="375">
        <v>1</v>
      </c>
      <c r="D713" s="67" t="s">
        <v>2505</v>
      </c>
      <c r="E713" s="67" t="s">
        <v>2501</v>
      </c>
      <c r="F713" s="403" t="str">
        <f ca="1">IF(BC713&lt;2025, "Extinct&lt; 6Yrs?",BA713)</f>
        <v>Widespread</v>
      </c>
      <c r="G713" s="376" t="s">
        <v>525</v>
      </c>
      <c r="H713" s="376" t="s">
        <v>4028</v>
      </c>
      <c r="I713" s="380" t="s">
        <v>617</v>
      </c>
      <c r="J713" s="378" t="s">
        <v>3521</v>
      </c>
      <c r="K713" s="378" t="s">
        <v>616</v>
      </c>
      <c r="L713" s="63" t="s">
        <v>1698</v>
      </c>
      <c r="M713" s="64" t="s">
        <v>4785</v>
      </c>
      <c r="N713" s="64" t="s">
        <v>5683</v>
      </c>
      <c r="O713" s="64" t="s">
        <v>6581</v>
      </c>
      <c r="P713" s="61" t="s">
        <v>611</v>
      </c>
      <c r="Q713" s="67" t="s">
        <v>2552</v>
      </c>
      <c r="R713" s="61" t="s">
        <v>2498</v>
      </c>
      <c r="S713" s="61" t="s">
        <v>2479</v>
      </c>
      <c r="T713" s="134" t="str">
        <f>IF(R713="Bogs Ponds Streams","20",IF(R713="Coastal Areas","26",IF(R713="Meadows Dry Open","10",IF(R713="Forest &amp; Understory","14",IF(R713="Moist Open","12",IF(R713="Moist Shady","10",IF(R713="Sub-Alpine Slopes","0")))))))</f>
        <v>10</v>
      </c>
      <c r="U713" s="134" t="str">
        <f>IF(R713="Bogs Ponds Streams","52",IF(R713="Coastal Areas","51",IF(R713="Meadows Dry Open","53",IF(R713="Forest &amp; Understory","52",IF(R713="Moist Open","50",IF(R713="Moist Shady","46",IF(R713="Sub-Alpine Slopes","40")))))))</f>
        <v>46</v>
      </c>
      <c r="V713" s="134" t="str">
        <f>IF(R713="Bogs Ponds Streams","84",IF(R713="Coastal Areas","76",IF(R713="Meadows Dry Open","96", IF(R713="Forest &amp; Understory","90", IF(R713="Moist Open","88", IF(R713="Moist Shady","82", IF(R713="Sub-Alpine Slopes","80")))))))</f>
        <v>82</v>
      </c>
      <c r="W713" s="67">
        <v>20</v>
      </c>
      <c r="X713" s="67">
        <v>0</v>
      </c>
      <c r="Y713" s="67">
        <v>3500</v>
      </c>
      <c r="Z713" s="67" t="s">
        <v>2519</v>
      </c>
      <c r="AA713" s="67" t="s">
        <v>2518</v>
      </c>
      <c r="AB713" s="67">
        <v>6.8</v>
      </c>
      <c r="AC713" s="85">
        <f>C713+AK713+(0.1)*AL713</f>
        <v>12.4</v>
      </c>
      <c r="AD713" s="78">
        <v>42</v>
      </c>
      <c r="AE713" s="67">
        <v>5</v>
      </c>
      <c r="AF713" s="67">
        <v>5</v>
      </c>
      <c r="AG713" s="67">
        <v>1900</v>
      </c>
      <c r="AH713" s="78">
        <v>0</v>
      </c>
      <c r="AI713" s="67">
        <f>AJ713</f>
        <v>2004</v>
      </c>
      <c r="AJ713" s="69">
        <v>2004</v>
      </c>
      <c r="AK713" s="69">
        <v>11</v>
      </c>
      <c r="AL713" s="69">
        <v>4</v>
      </c>
      <c r="AM713" s="70">
        <v>5</v>
      </c>
      <c r="AN713" s="70">
        <v>0</v>
      </c>
      <c r="AO713" s="86">
        <v>0</v>
      </c>
      <c r="AP713" s="70">
        <v>0</v>
      </c>
      <c r="AQ713" s="70">
        <v>0</v>
      </c>
      <c r="AR713" s="70">
        <v>0</v>
      </c>
      <c r="AS713" s="86">
        <v>0</v>
      </c>
      <c r="AT713" s="70">
        <v>0</v>
      </c>
      <c r="AU713" s="70">
        <v>0</v>
      </c>
      <c r="AV713" s="70">
        <v>0</v>
      </c>
      <c r="AW713" s="86">
        <v>0</v>
      </c>
      <c r="AX713" s="70">
        <v>0</v>
      </c>
      <c r="AY713" s="233"/>
      <c r="AZ713" s="4"/>
      <c r="BA713" s="35" t="str">
        <f>IF(OR(S713="North America",S713="Rocky Mountain"), "Widespread",BC713)</f>
        <v>Widespread</v>
      </c>
      <c r="BB713" s="4"/>
      <c r="BC713" s="35">
        <f ca="1">IF(BE713&gt;2046, "Abundant",BE713)</f>
        <v>2033.6204235294117</v>
      </c>
      <c r="BD713" s="4"/>
      <c r="BE713" s="81">
        <f ca="1">YEAR($C$13)+(BG713*80)</f>
        <v>2033.6204235294117</v>
      </c>
      <c r="BF713" s="4"/>
      <c r="BG713" s="137">
        <f ca="1">BH713*$BH$14</f>
        <v>0.18275529411764704</v>
      </c>
      <c r="BH713" s="137">
        <f ca="1">(((BJ713+BK713+BM713+BN713)/4)*$BM$11)+(((BP713+BQ713)/2)*$BQ$11)+(((BU713+BV713+BW713)/3)*$BU$11)+(((BY713+BZ713+CA713+CB713+CC713)/5)*$CA$11)</f>
        <v>0.18275529411764704</v>
      </c>
      <c r="BI713" s="4"/>
      <c r="BJ713" s="33">
        <f>AP713/(AM713+AO713)</f>
        <v>0</v>
      </c>
      <c r="BK713" s="33">
        <f>(AN713+AO713)/(AM713+AO713)</f>
        <v>0</v>
      </c>
      <c r="BL713" s="4"/>
      <c r="BM713" s="127">
        <f>CF713/102</f>
        <v>0.12156862745098039</v>
      </c>
      <c r="BN713" s="127">
        <f>C713/2</f>
        <v>0.5</v>
      </c>
      <c r="BO713" s="4"/>
      <c r="BP713" s="127">
        <f>(AK713)/($AW$6)</f>
        <v>0.1111111111111111</v>
      </c>
      <c r="BQ713" s="127">
        <f ca="1">(CH713-$AW$4)/((YEAR($C$13))-$AW$4)</f>
        <v>0</v>
      </c>
      <c r="BR713" s="127">
        <f>(AL713)/($AW$6)</f>
        <v>4.0404040404040407E-2</v>
      </c>
      <c r="BS713" s="4"/>
      <c r="BT713" s="127"/>
      <c r="BU713" s="127">
        <f ca="1">(CG713-$AW$4)/((YEAR($C$13))-$AW$4)</f>
        <v>0</v>
      </c>
      <c r="BV713" s="127">
        <f>AE713/5</f>
        <v>1</v>
      </c>
      <c r="BW713" s="127">
        <f>AF713/5</f>
        <v>1</v>
      </c>
      <c r="BX713" s="4"/>
      <c r="BY713" s="148" t="str">
        <f>IF(E713="A",".98",IF(E713="B",".99",IF(E713="C","1.00",IF(E713="D","1.00" ))))</f>
        <v>1.00</v>
      </c>
      <c r="BZ713" s="127">
        <f>(CE713+7)/10</f>
        <v>1</v>
      </c>
      <c r="CA713" s="76" t="str">
        <f>IF(D713="Fern",".97",IF(D713="Grass",".99",IF(D713="Herb",".97",IF(D713="Shrub",".99",IF(D713="Tree","1.00",IF(D713="Vine",".98"))))))</f>
        <v>.97</v>
      </c>
      <c r="CB713" s="149" t="str">
        <f>IF(R713="Bogs Ponds Streams",".96", IF(R713="Coastal Areas",".97",IF(R713="Meadows Dry Open",".96",IF(R713="Forest &amp; Understory",".97",IF(R713="Moist Open",".98",IF(R713="Moist Shady",".96",IF(R713="Sub-Alpine","1.0")))))))</f>
        <v>.96</v>
      </c>
      <c r="CC713" s="76" t="str">
        <f>IF(S713="Local Endemic",".50",IF(S713="Regional Endemic",".70",IF(S713="Cascadia",".90",IF(S713="Rocky Mountain",".95",IF(S713="North America",".99")))))</f>
        <v>.95</v>
      </c>
      <c r="CD713" s="4"/>
      <c r="CE713" s="21">
        <f>IF(W713&gt;3,3,W713)</f>
        <v>3</v>
      </c>
      <c r="CF713" s="21">
        <f>IF(AC713&gt;102,102,AC713)</f>
        <v>12.4</v>
      </c>
      <c r="CG713" s="34">
        <f>IF(AI713&lt;$AW$4,$AW$4,AI713)</f>
        <v>2004</v>
      </c>
      <c r="CH713" s="34">
        <f>IF(AJ713&lt;$AW$4,$AW$4,AJ713)</f>
        <v>2004</v>
      </c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</row>
    <row r="714" spans="1:115" ht="15" customHeight="1" x14ac:dyDescent="0.3">
      <c r="A714" s="235"/>
      <c r="B714" s="218"/>
      <c r="C714" s="225">
        <v>8</v>
      </c>
      <c r="D714" s="59" t="s">
        <v>2506</v>
      </c>
      <c r="E714" s="60" t="s">
        <v>2501</v>
      </c>
      <c r="F714" s="397" t="str">
        <f ca="1">IF(BC714&lt;2025, "Extinct&lt; 6Yrs?",BA714)</f>
        <v>Abundant</v>
      </c>
      <c r="G714" s="363" t="s">
        <v>525</v>
      </c>
      <c r="H714" s="363" t="s">
        <v>681</v>
      </c>
      <c r="I714" s="366" t="s">
        <v>3161</v>
      </c>
      <c r="J714" s="365" t="s">
        <v>3974</v>
      </c>
      <c r="K714" s="365" t="s">
        <v>1136</v>
      </c>
      <c r="L714" s="10" t="s">
        <v>1699</v>
      </c>
      <c r="M714" s="8" t="s">
        <v>4786</v>
      </c>
      <c r="N714" s="8" t="s">
        <v>5684</v>
      </c>
      <c r="O714" s="8" t="s">
        <v>6582</v>
      </c>
      <c r="P714" s="9" t="s">
        <v>611</v>
      </c>
      <c r="Q714" s="59" t="s">
        <v>2552</v>
      </c>
      <c r="R714" s="9" t="s">
        <v>2500</v>
      </c>
      <c r="S714" s="17" t="s">
        <v>2459</v>
      </c>
      <c r="T714" s="123" t="str">
        <f>IF(R714="Bogs Ponds Streams","20",IF(R714="Coastal Areas","26",IF(R714="Meadows Dry Open","10",IF(R714="Forest &amp; Understory","14",IF(R714="Moist Open","12",IF(R714="Moist Shady","10",IF(R714="Sub-Alpine Slopes","0")))))))</f>
        <v>10</v>
      </c>
      <c r="U714" s="123" t="str">
        <f>IF(R714="Bogs Ponds Streams","52",IF(R714="Coastal Areas","51",IF(R714="Meadows Dry Open","53",IF(R714="Forest &amp; Understory","52",IF(R714="Moist Open","50",IF(R714="Moist Shady","46",IF(R714="Sub-Alpine Slopes","40")))))))</f>
        <v>53</v>
      </c>
      <c r="V714" s="123" t="str">
        <f>IF(R714="Bogs Ponds Streams","84",IF(R714="Coastal Areas","76",IF(R714="Meadows Dry Open","96", IF(R714="Forest &amp; Understory","90", IF(R714="Moist Open","88", IF(R714="Moist Shady","82", IF(R714="Sub-Alpine Slopes","80")))))))</f>
        <v>96</v>
      </c>
      <c r="W714" s="59">
        <v>20</v>
      </c>
      <c r="X714" s="59">
        <v>0</v>
      </c>
      <c r="Y714" s="59">
        <v>3500</v>
      </c>
      <c r="Z714" s="59" t="s">
        <v>2519</v>
      </c>
      <c r="AA714" s="59" t="s">
        <v>2518</v>
      </c>
      <c r="AB714" s="59">
        <v>6.8</v>
      </c>
      <c r="AC714" s="45">
        <f>C714+AK714+(0.1)*AL714</f>
        <v>10.7</v>
      </c>
      <c r="AD714" s="77">
        <v>42</v>
      </c>
      <c r="AE714" s="59">
        <v>5</v>
      </c>
      <c r="AF714" s="59">
        <v>5</v>
      </c>
      <c r="AG714" s="59">
        <v>1900</v>
      </c>
      <c r="AH714" s="77">
        <v>0</v>
      </c>
      <c r="AI714" s="59">
        <f ca="1">AJ714</f>
        <v>2019</v>
      </c>
      <c r="AJ714" s="18">
        <f ca="1">YEAR(TODAY())</f>
        <v>2019</v>
      </c>
      <c r="AK714" s="18">
        <v>2</v>
      </c>
      <c r="AL714" s="18">
        <v>7</v>
      </c>
      <c r="AM714" s="18">
        <v>1</v>
      </c>
      <c r="AN714" s="18">
        <v>1</v>
      </c>
      <c r="AO714" s="18">
        <v>5</v>
      </c>
      <c r="AP714" s="18">
        <v>1</v>
      </c>
      <c r="AQ714" s="18">
        <v>0</v>
      </c>
      <c r="AR714" s="18">
        <v>0</v>
      </c>
      <c r="AS714" s="18">
        <v>0</v>
      </c>
      <c r="AT714" s="18">
        <v>0</v>
      </c>
      <c r="AU714" s="18">
        <v>0</v>
      </c>
      <c r="AV714" s="18">
        <v>0</v>
      </c>
      <c r="AW714" s="18">
        <v>0</v>
      </c>
      <c r="AX714" s="18">
        <v>0</v>
      </c>
      <c r="AY714" s="233"/>
      <c r="AZ714" s="4"/>
      <c r="BA714" s="35" t="str">
        <f ca="1">IF(OR(S714="North America",S714="Rocky Mountain"), "Widespread",BC714)</f>
        <v>Abundant</v>
      </c>
      <c r="BB714" s="4"/>
      <c r="BC714" s="35" t="str">
        <f ca="1">IF(BE714&gt;2046, "Abundant",BE714)</f>
        <v>Abundant</v>
      </c>
      <c r="BD714" s="4"/>
      <c r="BE714" s="81">
        <f ca="1">YEAR($C$13)+(BG714*80)</f>
        <v>2102.4532477718358</v>
      </c>
      <c r="BF714" s="4"/>
      <c r="BG714" s="137">
        <f ca="1">BH714*$BH$14</f>
        <v>1.0431655971479501</v>
      </c>
      <c r="BH714" s="137">
        <f ca="1">(((BJ714+BK714+BM714+BN714)/4)*$BM$11)+(((BP714+BQ714)/2)*$BQ$11)+(((BU714+BV714+BW714)/3)*$BU$11)+(((BY714+BZ714+CA714+CB714+CC714)/5)*$CA$11)</f>
        <v>1.0431655971479501</v>
      </c>
      <c r="BI714" s="4"/>
      <c r="BJ714" s="33">
        <f>AP714/(AM714+AO714)</f>
        <v>0.16666666666666666</v>
      </c>
      <c r="BK714" s="33">
        <f>(AN714+AO714)/(AM714+AO714)</f>
        <v>1</v>
      </c>
      <c r="BL714" s="4"/>
      <c r="BM714" s="127">
        <f>CF714/102</f>
        <v>0.10490196078431371</v>
      </c>
      <c r="BN714" s="127">
        <f>C714/2</f>
        <v>4</v>
      </c>
      <c r="BO714" s="4"/>
      <c r="BP714" s="127">
        <f>(AK714)/($AW$6)</f>
        <v>2.0202020202020204E-2</v>
      </c>
      <c r="BQ714" s="127">
        <f ca="1">(CH714-$AW$4)/((YEAR($C$13))-$AW$4)</f>
        <v>1</v>
      </c>
      <c r="BR714" s="127">
        <f>(AL714)/($AW$6)</f>
        <v>7.0707070707070704E-2</v>
      </c>
      <c r="BS714" s="4"/>
      <c r="BT714" s="127"/>
      <c r="BU714" s="127">
        <f ca="1">(CG714-$AW$4)/((YEAR($C$13))-$AW$4)</f>
        <v>1</v>
      </c>
      <c r="BV714" s="127">
        <f>AE714/5</f>
        <v>1</v>
      </c>
      <c r="BW714" s="127">
        <f>AF714/5</f>
        <v>1</v>
      </c>
      <c r="BX714" s="4"/>
      <c r="BY714" s="148" t="str">
        <f>IF(E714="A",".98",IF(E714="B",".99",IF(E714="C","1.00",IF(E714="D","1.00" ))))</f>
        <v>1.00</v>
      </c>
      <c r="BZ714" s="127">
        <f>(CE714+7)/10</f>
        <v>1</v>
      </c>
      <c r="CA714" s="76" t="str">
        <f>IF(D714="Fern",".97",IF(D714="Grass",".99",IF(D714="Herb",".97",IF(D714="Shrub",".99",IF(D714="Tree","1.00",IF(D714="Vine",".98"))))))</f>
        <v>.99</v>
      </c>
      <c r="CB714" s="149" t="str">
        <f>IF(R714="Bogs Ponds Streams",".96", IF(R714="Coastal Areas",".97",IF(R714="Meadows Dry Open",".96",IF(R714="Forest &amp; Understory",".97",IF(R714="Moist Open",".98",IF(R714="Moist Shady",".96",IF(R714="Sub-Alpine","1.0")))))))</f>
        <v>.96</v>
      </c>
      <c r="CC714" s="76" t="str">
        <f>IF(S714="Local Endemic",".50",IF(S714="Regional Endemic",".70",IF(S714="Cascadia",".90",IF(S714="Rocky Mountain",".95",IF(S714="North America",".99")))))</f>
        <v>.90</v>
      </c>
      <c r="CD714" s="4"/>
      <c r="CE714" s="21">
        <f>IF(W714&gt;3,3,W714)</f>
        <v>3</v>
      </c>
      <c r="CF714" s="21">
        <f>IF(AC714&gt;102,102,AC714)</f>
        <v>10.7</v>
      </c>
      <c r="CG714" s="34">
        <f ca="1">IF(AI714&lt;$AW$4,$AW$4,AI714)</f>
        <v>2019</v>
      </c>
      <c r="CH714" s="34">
        <f ca="1">IF(AJ714&lt;$AW$4,$AW$4,AJ714)</f>
        <v>2019</v>
      </c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</row>
    <row r="715" spans="1:115" ht="15" customHeight="1" x14ac:dyDescent="0.3">
      <c r="A715" s="235"/>
      <c r="B715" s="218"/>
      <c r="C715" s="375">
        <v>1</v>
      </c>
      <c r="D715" s="67" t="s">
        <v>2506</v>
      </c>
      <c r="E715" s="68" t="s">
        <v>2501</v>
      </c>
      <c r="F715" s="403" t="str">
        <f ca="1">IF(BC715&lt;2025, "Extinct&lt; 6Yrs?",BA715)</f>
        <v>Widespread</v>
      </c>
      <c r="G715" s="376" t="s">
        <v>525</v>
      </c>
      <c r="H715" s="376" t="s">
        <v>4028</v>
      </c>
      <c r="I715" s="377" t="s">
        <v>2439</v>
      </c>
      <c r="J715" s="378" t="s">
        <v>3520</v>
      </c>
      <c r="K715" s="378" t="s">
        <v>2367</v>
      </c>
      <c r="L715" s="63" t="s">
        <v>2440</v>
      </c>
      <c r="M715" s="64" t="s">
        <v>4787</v>
      </c>
      <c r="N715" s="64" t="s">
        <v>5685</v>
      </c>
      <c r="O715" s="64" t="s">
        <v>6583</v>
      </c>
      <c r="P715" s="61" t="s">
        <v>611</v>
      </c>
      <c r="Q715" s="67" t="s">
        <v>2552</v>
      </c>
      <c r="R715" s="61" t="s">
        <v>2500</v>
      </c>
      <c r="S715" s="164" t="s">
        <v>2495</v>
      </c>
      <c r="T715" s="134" t="str">
        <f>IF(R715="Bogs Ponds Streams","20",IF(R715="Coastal Areas","26",IF(R715="Meadows Dry Open","10",IF(R715="Forest &amp; Understory","14",IF(R715="Moist Open","12",IF(R715="Moist Shady","10",IF(R715="Sub-Alpine Slopes","0")))))))</f>
        <v>10</v>
      </c>
      <c r="U715" s="134" t="str">
        <f>IF(R715="Bogs Ponds Streams","52",IF(R715="Coastal Areas","51",IF(R715="Meadows Dry Open","53",IF(R715="Forest &amp; Understory","52",IF(R715="Moist Open","50",IF(R715="Moist Shady","46",IF(R715="Sub-Alpine Slopes","40")))))))</f>
        <v>53</v>
      </c>
      <c r="V715" s="134" t="str">
        <f>IF(R715="Bogs Ponds Streams","84",IF(R715="Coastal Areas","76",IF(R715="Meadows Dry Open","96", IF(R715="Forest &amp; Understory","90", IF(R715="Moist Open","88", IF(R715="Moist Shady","82", IF(R715="Sub-Alpine Slopes","80")))))))</f>
        <v>96</v>
      </c>
      <c r="W715" s="67">
        <v>20</v>
      </c>
      <c r="X715" s="67">
        <v>0</v>
      </c>
      <c r="Y715" s="67">
        <v>3500</v>
      </c>
      <c r="Z715" s="67" t="s">
        <v>2519</v>
      </c>
      <c r="AA715" s="67" t="s">
        <v>2518</v>
      </c>
      <c r="AB715" s="67">
        <v>6.8</v>
      </c>
      <c r="AC715" s="85">
        <f>C715+AK715+(0.1)*AL715</f>
        <v>4.2</v>
      </c>
      <c r="AD715" s="78">
        <v>99</v>
      </c>
      <c r="AE715" s="68">
        <v>2</v>
      </c>
      <c r="AF715" s="68">
        <v>5</v>
      </c>
      <c r="AG715" s="78">
        <v>1925</v>
      </c>
      <c r="AH715" s="78">
        <v>0</v>
      </c>
      <c r="AI715" s="78">
        <v>2000</v>
      </c>
      <c r="AJ715" s="67">
        <v>2014</v>
      </c>
      <c r="AK715" s="67">
        <v>1</v>
      </c>
      <c r="AL715" s="67">
        <v>22</v>
      </c>
      <c r="AM715" s="70">
        <v>5</v>
      </c>
      <c r="AN715" s="70">
        <v>0</v>
      </c>
      <c r="AO715" s="86">
        <v>0</v>
      </c>
      <c r="AP715" s="70">
        <v>0</v>
      </c>
      <c r="AQ715" s="70">
        <v>0</v>
      </c>
      <c r="AR715" s="70">
        <v>0</v>
      </c>
      <c r="AS715" s="86">
        <v>0</v>
      </c>
      <c r="AT715" s="70">
        <v>0</v>
      </c>
      <c r="AU715" s="70">
        <v>0</v>
      </c>
      <c r="AV715" s="70">
        <v>0</v>
      </c>
      <c r="AW715" s="86">
        <v>0</v>
      </c>
      <c r="AX715" s="70">
        <v>0</v>
      </c>
      <c r="AY715" s="233"/>
      <c r="AZ715" s="11"/>
      <c r="BA715" s="35" t="str">
        <f>IF(OR(S715="North America",S715="Rocky Mountain"), "Widespread",BC715)</f>
        <v>Widespread</v>
      </c>
      <c r="BB715" s="11"/>
      <c r="BC715" s="35">
        <f ca="1">IF(BE715&gt;2046, "Abundant",BE715)</f>
        <v>2038.1827964349377</v>
      </c>
      <c r="BD715" s="11"/>
      <c r="BE715" s="81">
        <f ca="1">YEAR($C$13)+(BG715*80)</f>
        <v>2038.1827964349377</v>
      </c>
      <c r="BF715" s="11"/>
      <c r="BG715" s="137">
        <f ca="1">BH715*$BH$14</f>
        <v>0.23978495543672013</v>
      </c>
      <c r="BH715" s="137">
        <f ca="1">(((BJ715+BK715+BM715+BN715)/4)*$BM$11)+(((BP715+BQ715)/2)*$BQ$11)+(((BU715+BV715+BW715)/3)*$BU$11)+(((BY715+BZ715+CA715+CB715+CC715)/5)*$CA$11)</f>
        <v>0.23978495543672013</v>
      </c>
      <c r="BI715" s="11"/>
      <c r="BJ715" s="33">
        <f>AP715/(AM715+AO715)</f>
        <v>0</v>
      </c>
      <c r="BK715" s="33">
        <f>(AN715+AO715)/(AM715+AO715)</f>
        <v>0</v>
      </c>
      <c r="BL715" s="11"/>
      <c r="BM715" s="127">
        <f>CF715/102</f>
        <v>4.1176470588235294E-2</v>
      </c>
      <c r="BN715" s="127">
        <f>C715/2</f>
        <v>0.5</v>
      </c>
      <c r="BO715" s="11"/>
      <c r="BP715" s="127">
        <f>(AK715)/($AW$6)</f>
        <v>1.0101010101010102E-2</v>
      </c>
      <c r="BQ715" s="127">
        <f ca="1">(CH715-$AW$4)/((YEAR($C$13))-$AW$4)</f>
        <v>0.66666666666666663</v>
      </c>
      <c r="BR715" s="127">
        <f>(AL715)/($AW$6)</f>
        <v>0.22222222222222221</v>
      </c>
      <c r="BS715" s="11"/>
      <c r="BT715" s="127"/>
      <c r="BU715" s="127">
        <f ca="1">(CG715-$AW$4)/((YEAR($C$13))-$AW$4)</f>
        <v>0</v>
      </c>
      <c r="BV715" s="127">
        <f>AE715/5</f>
        <v>0.4</v>
      </c>
      <c r="BW715" s="127">
        <f>AF715/5</f>
        <v>1</v>
      </c>
      <c r="BX715" s="11"/>
      <c r="BY715" s="148" t="str">
        <f>IF(E715="A",".98",IF(E715="B",".99",IF(E715="C","1.00",IF(E715="D","1.00" ))))</f>
        <v>1.00</v>
      </c>
      <c r="BZ715" s="127">
        <f>(CE715+7)/10</f>
        <v>1</v>
      </c>
      <c r="CA715" s="76" t="str">
        <f>IF(D715="Fern",".97",IF(D715="Grass",".99",IF(D715="Herb",".97",IF(D715="Shrub",".99",IF(D715="Tree","1.00",IF(D715="Vine",".98"))))))</f>
        <v>.99</v>
      </c>
      <c r="CB715" s="149" t="str">
        <f>IF(R715="Bogs Ponds Streams",".96", IF(R715="Coastal Areas",".97",IF(R715="Meadows Dry Open",".96",IF(R715="Forest &amp; Understory",".97",IF(R715="Moist Open",".98",IF(R715="Moist Shady",".96",IF(R715="Sub-Alpine","1.0")))))))</f>
        <v>.96</v>
      </c>
      <c r="CC715" s="76" t="str">
        <f>IF(S715="Local Endemic",".50",IF(S715="Regional Endemic",".70",IF(S715="Cascadia",".90",IF(S715="Rocky Mountain",".95",IF(S715="North America",".99")))))</f>
        <v>.99</v>
      </c>
      <c r="CD715" s="11"/>
      <c r="CE715" s="21">
        <f>IF(W715&gt;3,3,W715)</f>
        <v>3</v>
      </c>
      <c r="CF715" s="21">
        <f>IF(AC715&gt;102,102,AC715)</f>
        <v>4.2</v>
      </c>
      <c r="CG715" s="34">
        <f>IF(AI715&lt;$AW$4,$AW$4,AI715)</f>
        <v>2004</v>
      </c>
      <c r="CH715" s="34">
        <f>IF(AJ715&lt;$AW$4,$AW$4,AJ715)</f>
        <v>2014</v>
      </c>
      <c r="CI715" s="11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11"/>
      <c r="DC715" s="11"/>
      <c r="DD715" s="11"/>
      <c r="DE715" s="11"/>
      <c r="DF715" s="11"/>
      <c r="DG715" s="11"/>
      <c r="DH715" s="11"/>
      <c r="DI715" s="11"/>
      <c r="DJ715" s="11"/>
    </row>
    <row r="716" spans="1:115" ht="15" customHeight="1" x14ac:dyDescent="0.3">
      <c r="A716" s="235"/>
      <c r="B716" s="218"/>
      <c r="C716" s="225">
        <v>8</v>
      </c>
      <c r="D716" s="59" t="s">
        <v>2506</v>
      </c>
      <c r="E716" s="60" t="s">
        <v>2501</v>
      </c>
      <c r="F716" s="397" t="str">
        <f ca="1">IF(BC716&lt;2025, "Extinct&lt; 6Yrs?",BA716)</f>
        <v>Abundant</v>
      </c>
      <c r="G716" s="363" t="s">
        <v>525</v>
      </c>
      <c r="H716" s="363" t="s">
        <v>688</v>
      </c>
      <c r="I716" s="366" t="s">
        <v>615</v>
      </c>
      <c r="J716" s="365" t="s">
        <v>3973</v>
      </c>
      <c r="K716" s="365" t="s">
        <v>614</v>
      </c>
      <c r="L716" s="10" t="s">
        <v>1700</v>
      </c>
      <c r="M716" s="8" t="s">
        <v>4788</v>
      </c>
      <c r="N716" s="8" t="s">
        <v>5686</v>
      </c>
      <c r="O716" s="8" t="s">
        <v>6584</v>
      </c>
      <c r="P716" s="9" t="s">
        <v>611</v>
      </c>
      <c r="Q716" s="59" t="s">
        <v>2552</v>
      </c>
      <c r="R716" s="9" t="s">
        <v>2500</v>
      </c>
      <c r="S716" s="9" t="s">
        <v>2459</v>
      </c>
      <c r="T716" s="123" t="str">
        <f>IF(R716="Bogs Ponds Streams","20",IF(R716="Coastal Areas","26",IF(R716="Meadows Dry Open","10",IF(R716="Forest &amp; Understory","14",IF(R716="Moist Open","12",IF(R716="Moist Shady","10",IF(R716="Sub-Alpine Slopes","0")))))))</f>
        <v>10</v>
      </c>
      <c r="U716" s="123" t="str">
        <f>IF(R716="Bogs Ponds Streams","52",IF(R716="Coastal Areas","51",IF(R716="Meadows Dry Open","53",IF(R716="Forest &amp; Understory","52",IF(R716="Moist Open","50",IF(R716="Moist Shady","46",IF(R716="Sub-Alpine Slopes","40")))))))</f>
        <v>53</v>
      </c>
      <c r="V716" s="123" t="str">
        <f>IF(R716="Bogs Ponds Streams","84",IF(R716="Coastal Areas","76",IF(R716="Meadows Dry Open","96", IF(R716="Forest &amp; Understory","90", IF(R716="Moist Open","88", IF(R716="Moist Shady","82", IF(R716="Sub-Alpine Slopes","80")))))))</f>
        <v>96</v>
      </c>
      <c r="W716" s="59">
        <v>20</v>
      </c>
      <c r="X716" s="59">
        <v>0</v>
      </c>
      <c r="Y716" s="59">
        <v>3500</v>
      </c>
      <c r="Z716" s="59" t="s">
        <v>2519</v>
      </c>
      <c r="AA716" s="59" t="s">
        <v>2518</v>
      </c>
      <c r="AB716" s="59">
        <v>6.8</v>
      </c>
      <c r="AC716" s="45">
        <f>C716+AK716+(0.1)*AL716</f>
        <v>96.5</v>
      </c>
      <c r="AD716" s="77">
        <v>125</v>
      </c>
      <c r="AE716" s="59">
        <v>5</v>
      </c>
      <c r="AF716" s="59">
        <v>5</v>
      </c>
      <c r="AG716" s="59">
        <v>1900</v>
      </c>
      <c r="AH716" s="77">
        <v>0</v>
      </c>
      <c r="AI716" s="59">
        <f ca="1">AJ716</f>
        <v>2019</v>
      </c>
      <c r="AJ716" s="18">
        <f ca="1">YEAR(TODAY())</f>
        <v>2019</v>
      </c>
      <c r="AK716" s="18">
        <v>88</v>
      </c>
      <c r="AL716" s="18">
        <v>5</v>
      </c>
      <c r="AM716" s="18">
        <v>1</v>
      </c>
      <c r="AN716" s="18">
        <v>1</v>
      </c>
      <c r="AO716" s="18">
        <v>5</v>
      </c>
      <c r="AP716" s="18">
        <v>1</v>
      </c>
      <c r="AQ716" s="18">
        <v>0</v>
      </c>
      <c r="AR716" s="18">
        <v>0</v>
      </c>
      <c r="AS716" s="18">
        <v>0</v>
      </c>
      <c r="AT716" s="18">
        <v>0</v>
      </c>
      <c r="AU716" s="18">
        <v>0</v>
      </c>
      <c r="AV716" s="18">
        <v>0</v>
      </c>
      <c r="AW716" s="18">
        <v>0</v>
      </c>
      <c r="AX716" s="18">
        <v>0</v>
      </c>
      <c r="AY716" s="233"/>
      <c r="AZ716" s="4"/>
      <c r="BA716" s="35" t="str">
        <f ca="1">IF(OR(S716="North America",S716="Rocky Mountain"), "Widespread",BC716)</f>
        <v>Abundant</v>
      </c>
      <c r="BB716" s="4"/>
      <c r="BC716" s="35" t="str">
        <f ca="1">IF(BE716&gt;2046, "Abundant",BE716)</f>
        <v>Abundant</v>
      </c>
      <c r="BD716" s="4"/>
      <c r="BE716" s="81">
        <f ca="1">YEAR($C$13)+(BG716*80)</f>
        <v>2122.9716078431375</v>
      </c>
      <c r="BF716" s="4"/>
      <c r="BG716" s="137">
        <f ca="1">BH716*$BH$14</f>
        <v>1.2996450980392158</v>
      </c>
      <c r="BH716" s="137">
        <f ca="1">(((BJ716+BK716+BM716+BN716)/4)*$BM$11)+(((BP716+BQ716)/2)*$BQ$11)+(((BU716+BV716+BW716)/3)*$BU$11)+(((BY716+BZ716+CA716+CB716+CC716)/5)*$CA$11)</f>
        <v>1.2996450980392158</v>
      </c>
      <c r="BI716" s="4"/>
      <c r="BJ716" s="33">
        <f>AP716/(AM716+AO716)</f>
        <v>0.16666666666666666</v>
      </c>
      <c r="BK716" s="33">
        <f>(AN716+AO716)/(AM716+AO716)</f>
        <v>1</v>
      </c>
      <c r="BL716" s="4"/>
      <c r="BM716" s="127">
        <f>CF716/102</f>
        <v>0.94607843137254899</v>
      </c>
      <c r="BN716" s="127">
        <f>C716/2</f>
        <v>4</v>
      </c>
      <c r="BO716" s="4"/>
      <c r="BP716" s="127">
        <f>(AK716)/($AW$6)</f>
        <v>0.88888888888888884</v>
      </c>
      <c r="BQ716" s="127">
        <f ca="1">(CH716-$AW$4)/((YEAR($C$13))-$AW$4)</f>
        <v>1</v>
      </c>
      <c r="BR716" s="127">
        <f>(AL716)/($AW$6)</f>
        <v>5.0505050505050504E-2</v>
      </c>
      <c r="BS716" s="4"/>
      <c r="BT716" s="127"/>
      <c r="BU716" s="127">
        <f ca="1">(CG716-$AW$4)/((YEAR($C$13))-$AW$4)</f>
        <v>1</v>
      </c>
      <c r="BV716" s="127">
        <f>AE716/5</f>
        <v>1</v>
      </c>
      <c r="BW716" s="127">
        <f>AF716/5</f>
        <v>1</v>
      </c>
      <c r="BX716" s="4"/>
      <c r="BY716" s="148" t="str">
        <f>IF(E716="A",".98",IF(E716="B",".99",IF(E716="C","1.00",IF(E716="D","1.00" ))))</f>
        <v>1.00</v>
      </c>
      <c r="BZ716" s="127">
        <f>(CE716+7)/10</f>
        <v>1</v>
      </c>
      <c r="CA716" s="76" t="str">
        <f>IF(D716="Fern",".97",IF(D716="Grass",".99",IF(D716="Herb",".97",IF(D716="Shrub",".99",IF(D716="Tree","1.00",IF(D716="Vine",".98"))))))</f>
        <v>.99</v>
      </c>
      <c r="CB716" s="149" t="str">
        <f>IF(R716="Bogs Ponds Streams",".96", IF(R716="Coastal Areas",".97",IF(R716="Meadows Dry Open",".96",IF(R716="Forest &amp; Understory",".97",IF(R716="Moist Open",".98",IF(R716="Moist Shady",".96",IF(R716="Sub-Alpine","1.0")))))))</f>
        <v>.96</v>
      </c>
      <c r="CC716" s="76" t="str">
        <f>IF(S716="Local Endemic",".50",IF(S716="Regional Endemic",".70",IF(S716="Cascadia",".90",IF(S716="Rocky Mountain",".95",IF(S716="North America",".99")))))</f>
        <v>.90</v>
      </c>
      <c r="CD716" s="4"/>
      <c r="CE716" s="21">
        <f>IF(W716&gt;3,3,W716)</f>
        <v>3</v>
      </c>
      <c r="CF716" s="21">
        <f>IF(AC716&gt;102,102,AC716)</f>
        <v>96.5</v>
      </c>
      <c r="CG716" s="34">
        <f ca="1">IF(AI716&lt;$AW$4,$AW$4,AI716)</f>
        <v>2019</v>
      </c>
      <c r="CH716" s="34">
        <f ca="1">IF(AJ716&lt;$AW$4,$AW$4,AJ716)</f>
        <v>2019</v>
      </c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</row>
    <row r="717" spans="1:115" ht="15" customHeight="1" x14ac:dyDescent="0.3">
      <c r="A717" s="235"/>
      <c r="B717" s="218"/>
      <c r="C717" s="225">
        <v>8</v>
      </c>
      <c r="D717" s="59" t="s">
        <v>2506</v>
      </c>
      <c r="E717" s="60" t="s">
        <v>2501</v>
      </c>
      <c r="F717" s="397" t="str">
        <f ca="1">IF(BC717&lt;2025, "Extinct&lt; 6Yrs?",BA717)</f>
        <v>Widespread</v>
      </c>
      <c r="G717" s="363" t="s">
        <v>525</v>
      </c>
      <c r="H717" s="363" t="s">
        <v>688</v>
      </c>
      <c r="I717" s="366" t="s">
        <v>620</v>
      </c>
      <c r="J717" s="365" t="s">
        <v>3972</v>
      </c>
      <c r="K717" s="365" t="s">
        <v>1125</v>
      </c>
      <c r="L717" s="10" t="s">
        <v>1701</v>
      </c>
      <c r="M717" s="8" t="s">
        <v>4789</v>
      </c>
      <c r="N717" s="8" t="s">
        <v>5687</v>
      </c>
      <c r="O717" s="8" t="s">
        <v>6585</v>
      </c>
      <c r="P717" s="9" t="s">
        <v>611</v>
      </c>
      <c r="Q717" s="59" t="s">
        <v>2552</v>
      </c>
      <c r="R717" s="9" t="s">
        <v>2498</v>
      </c>
      <c r="S717" s="9" t="s">
        <v>2495</v>
      </c>
      <c r="T717" s="123" t="str">
        <f>IF(R717="Bogs Ponds Streams","20",IF(R717="Coastal Areas","26",IF(R717="Meadows Dry Open","10",IF(R717="Forest &amp; Understory","14",IF(R717="Moist Open","12",IF(R717="Moist Shady","10",IF(R717="Sub-Alpine Slopes","0")))))))</f>
        <v>10</v>
      </c>
      <c r="U717" s="123" t="str">
        <f>IF(R717="Bogs Ponds Streams","52",IF(R717="Coastal Areas","51",IF(R717="Meadows Dry Open","53",IF(R717="Forest &amp; Understory","52",IF(R717="Moist Open","50",IF(R717="Moist Shady","46",IF(R717="Sub-Alpine Slopes","40")))))))</f>
        <v>46</v>
      </c>
      <c r="V717" s="123" t="str">
        <f>IF(R717="Bogs Ponds Streams","84",IF(R717="Coastal Areas","76",IF(R717="Meadows Dry Open","96", IF(R717="Forest &amp; Understory","90", IF(R717="Moist Open","88", IF(R717="Moist Shady","82", IF(R717="Sub-Alpine Slopes","80")))))))</f>
        <v>82</v>
      </c>
      <c r="W717" s="59">
        <v>20</v>
      </c>
      <c r="X717" s="59">
        <v>0</v>
      </c>
      <c r="Y717" s="59">
        <v>3500</v>
      </c>
      <c r="Z717" s="59" t="s">
        <v>2519</v>
      </c>
      <c r="AA717" s="59" t="s">
        <v>2518</v>
      </c>
      <c r="AB717" s="59">
        <v>6.8</v>
      </c>
      <c r="AC717" s="45">
        <f>C717+AK717+(0.1)*AL717</f>
        <v>12.1</v>
      </c>
      <c r="AD717" s="77">
        <v>27</v>
      </c>
      <c r="AE717" s="59">
        <v>5</v>
      </c>
      <c r="AF717" s="59">
        <v>5</v>
      </c>
      <c r="AG717" s="59">
        <v>1900</v>
      </c>
      <c r="AH717" s="77">
        <v>0</v>
      </c>
      <c r="AI717" s="59">
        <f ca="1">AJ717</f>
        <v>2019</v>
      </c>
      <c r="AJ717" s="18">
        <f ca="1">YEAR(TODAY())</f>
        <v>2019</v>
      </c>
      <c r="AK717" s="18">
        <v>4</v>
      </c>
      <c r="AL717" s="18">
        <v>1</v>
      </c>
      <c r="AM717" s="18">
        <v>1</v>
      </c>
      <c r="AN717" s="18">
        <v>1</v>
      </c>
      <c r="AO717" s="18">
        <v>5</v>
      </c>
      <c r="AP717" s="18">
        <v>1</v>
      </c>
      <c r="AQ717" s="18">
        <v>0</v>
      </c>
      <c r="AR717" s="18">
        <v>0</v>
      </c>
      <c r="AS717" s="18">
        <v>0</v>
      </c>
      <c r="AT717" s="18">
        <v>0</v>
      </c>
      <c r="AU717" s="18">
        <v>0</v>
      </c>
      <c r="AV717" s="18">
        <v>0</v>
      </c>
      <c r="AW717" s="18">
        <v>0</v>
      </c>
      <c r="AX717" s="18">
        <v>0</v>
      </c>
      <c r="AY717" s="233"/>
      <c r="AZ717" s="4"/>
      <c r="BA717" s="35" t="str">
        <f>IF(OR(S717="North America",S717="Rocky Mountain"), "Widespread",BC717)</f>
        <v>Widespread</v>
      </c>
      <c r="BB717" s="4"/>
      <c r="BC717" s="35" t="str">
        <f ca="1">IF(BE717&gt;2046, "Abundant",BE717)</f>
        <v>Abundant</v>
      </c>
      <c r="BD717" s="4"/>
      <c r="BE717" s="81">
        <f ca="1">YEAR($C$13)+(BG717*80)</f>
        <v>2102.8891778966131</v>
      </c>
      <c r="BF717" s="4"/>
      <c r="BG717" s="137">
        <f ca="1">BH717*$BH$14</f>
        <v>1.0486147237076648</v>
      </c>
      <c r="BH717" s="137">
        <f ca="1">(((BJ717+BK717+BM717+BN717)/4)*$BM$11)+(((BP717+BQ717)/2)*$BQ$11)+(((BU717+BV717+BW717)/3)*$BU$11)+(((BY717+BZ717+CA717+CB717+CC717)/5)*$CA$11)</f>
        <v>1.0486147237076648</v>
      </c>
      <c r="BI717" s="4"/>
      <c r="BJ717" s="33">
        <f>AP717/(AM717+AO717)</f>
        <v>0.16666666666666666</v>
      </c>
      <c r="BK717" s="33">
        <f>(AN717+AO717)/(AM717+AO717)</f>
        <v>1</v>
      </c>
      <c r="BL717" s="4"/>
      <c r="BM717" s="127">
        <f>CF717/102</f>
        <v>0.11862745098039215</v>
      </c>
      <c r="BN717" s="127">
        <f>C717/2</f>
        <v>4</v>
      </c>
      <c r="BO717" s="4"/>
      <c r="BP717" s="127">
        <f>(AK717)/($AW$6)</f>
        <v>4.0404040404040407E-2</v>
      </c>
      <c r="BQ717" s="127">
        <f ca="1">(CH717-$AW$4)/((YEAR($C$13))-$AW$4)</f>
        <v>1</v>
      </c>
      <c r="BR717" s="127">
        <f>(AL717)/($AW$6)</f>
        <v>1.0101010101010102E-2</v>
      </c>
      <c r="BS717" s="4"/>
      <c r="BT717" s="127"/>
      <c r="BU717" s="127">
        <f ca="1">(CG717-$AW$4)/((YEAR($C$13))-$AW$4)</f>
        <v>1</v>
      </c>
      <c r="BV717" s="127">
        <f>AE717/5</f>
        <v>1</v>
      </c>
      <c r="BW717" s="127">
        <f>AF717/5</f>
        <v>1</v>
      </c>
      <c r="BX717" s="4"/>
      <c r="BY717" s="148" t="str">
        <f>IF(E717="A",".98",IF(E717="B",".99",IF(E717="C","1.00",IF(E717="D","1.00" ))))</f>
        <v>1.00</v>
      </c>
      <c r="BZ717" s="127">
        <f>(CE717+7)/10</f>
        <v>1</v>
      </c>
      <c r="CA717" s="76" t="str">
        <f>IF(D717="Fern",".97",IF(D717="Grass",".99",IF(D717="Herb",".97",IF(D717="Shrub",".99",IF(D717="Tree","1.00",IF(D717="Vine",".98"))))))</f>
        <v>.99</v>
      </c>
      <c r="CB717" s="149" t="str">
        <f>IF(R717="Bogs Ponds Streams",".96", IF(R717="Coastal Areas",".97",IF(R717="Meadows Dry Open",".96",IF(R717="Forest &amp; Understory",".97",IF(R717="Moist Open",".98",IF(R717="Moist Shady",".96",IF(R717="Sub-Alpine","1.0")))))))</f>
        <v>.96</v>
      </c>
      <c r="CC717" s="76" t="str">
        <f>IF(S717="Local Endemic",".50",IF(S717="Regional Endemic",".70",IF(S717="Cascadia",".90",IF(S717="Rocky Mountain",".95",IF(S717="North America",".99")))))</f>
        <v>.99</v>
      </c>
      <c r="CD717" s="4"/>
      <c r="CE717" s="21">
        <f>IF(W717&gt;3,3,W717)</f>
        <v>3</v>
      </c>
      <c r="CF717" s="21">
        <f>IF(AC717&gt;102,102,AC717)</f>
        <v>12.1</v>
      </c>
      <c r="CG717" s="34">
        <f ca="1">IF(AI717&lt;$AW$4,$AW$4,AI717)</f>
        <v>2019</v>
      </c>
      <c r="CH717" s="34">
        <f ca="1">IF(AJ717&lt;$AW$4,$AW$4,AJ717)</f>
        <v>2019</v>
      </c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</row>
    <row r="718" spans="1:115" ht="15" customHeight="1" x14ac:dyDescent="0.3">
      <c r="A718" s="235"/>
      <c r="B718" s="218"/>
      <c r="C718" s="375">
        <v>1</v>
      </c>
      <c r="D718" s="67" t="s">
        <v>2505</v>
      </c>
      <c r="E718" s="67" t="s">
        <v>2502</v>
      </c>
      <c r="F718" s="403" t="str">
        <f ca="1">IF(BC718&lt;2025, "Extinct&lt; 6Yrs?",BA718)</f>
        <v>Widespread</v>
      </c>
      <c r="G718" s="376" t="s">
        <v>525</v>
      </c>
      <c r="H718" s="376" t="s">
        <v>4028</v>
      </c>
      <c r="I718" s="380" t="s">
        <v>3125</v>
      </c>
      <c r="J718" s="378" t="s">
        <v>18</v>
      </c>
      <c r="K718" s="378" t="s">
        <v>18</v>
      </c>
      <c r="L718" s="63" t="s">
        <v>1702</v>
      </c>
      <c r="M718" s="64" t="s">
        <v>4790</v>
      </c>
      <c r="N718" s="64" t="s">
        <v>5688</v>
      </c>
      <c r="O718" s="64" t="s">
        <v>6586</v>
      </c>
      <c r="P718" s="61" t="s">
        <v>144</v>
      </c>
      <c r="Q718" s="67" t="s">
        <v>2552</v>
      </c>
      <c r="R718" s="61" t="s">
        <v>2497</v>
      </c>
      <c r="S718" s="61" t="s">
        <v>2479</v>
      </c>
      <c r="T718" s="134" t="str">
        <f>IF(R718="Bogs Ponds Streams","20",IF(R718="Coastal Areas","26",IF(R718="Meadows Dry Open","10",IF(R718="Forest &amp; Understory","14",IF(R718="Moist Open","12",IF(R718="Moist Shady","10",IF(R718="Sub-Alpine Slopes","0")))))))</f>
        <v>12</v>
      </c>
      <c r="U718" s="134" t="str">
        <f>IF(R718="Bogs Ponds Streams","52",IF(R718="Coastal Areas","51",IF(R718="Meadows Dry Open","53",IF(R718="Forest &amp; Understory","52",IF(R718="Moist Open","50",IF(R718="Moist Shady","46",IF(R718="Sub-Alpine Slopes","40")))))))</f>
        <v>50</v>
      </c>
      <c r="V718" s="134" t="str">
        <f>IF(R718="Bogs Ponds Streams","84",IF(R718="Coastal Areas","76",IF(R718="Meadows Dry Open","96", IF(R718="Forest &amp; Understory","90", IF(R718="Moist Open","88", IF(R718="Moist Shady","82", IF(R718="Sub-Alpine Slopes","80")))))))</f>
        <v>88</v>
      </c>
      <c r="W718" s="67">
        <v>1</v>
      </c>
      <c r="X718" s="67">
        <v>0</v>
      </c>
      <c r="Y718" s="67">
        <v>3500</v>
      </c>
      <c r="Z718" s="67" t="s">
        <v>2519</v>
      </c>
      <c r="AA718" s="67" t="s">
        <v>2518</v>
      </c>
      <c r="AB718" s="67">
        <v>6.8</v>
      </c>
      <c r="AC718" s="85">
        <f>C718+AK718+(0.1)*AL718</f>
        <v>16.3</v>
      </c>
      <c r="AD718" s="78">
        <v>113</v>
      </c>
      <c r="AE718" s="67">
        <v>5</v>
      </c>
      <c r="AF718" s="67">
        <v>5</v>
      </c>
      <c r="AG718" s="67">
        <v>1900</v>
      </c>
      <c r="AH718" s="78">
        <v>0</v>
      </c>
      <c r="AI718" s="67">
        <f>AJ718</f>
        <v>2004</v>
      </c>
      <c r="AJ718" s="69">
        <v>2004</v>
      </c>
      <c r="AK718" s="69">
        <v>12</v>
      </c>
      <c r="AL718" s="69">
        <v>33</v>
      </c>
      <c r="AM718" s="70">
        <v>5</v>
      </c>
      <c r="AN718" s="70">
        <v>0</v>
      </c>
      <c r="AO718" s="86">
        <v>0</v>
      </c>
      <c r="AP718" s="70">
        <v>0</v>
      </c>
      <c r="AQ718" s="70">
        <v>0</v>
      </c>
      <c r="AR718" s="70">
        <v>0</v>
      </c>
      <c r="AS718" s="86">
        <v>0</v>
      </c>
      <c r="AT718" s="70">
        <v>0</v>
      </c>
      <c r="AU718" s="70">
        <v>0</v>
      </c>
      <c r="AV718" s="70">
        <v>0</v>
      </c>
      <c r="AW718" s="86">
        <v>0</v>
      </c>
      <c r="AX718" s="70">
        <v>0</v>
      </c>
      <c r="AY718" s="233"/>
      <c r="AZ718" s="4"/>
      <c r="BA718" s="35" t="str">
        <f>IF(OR(S718="North America",S718="Rocky Mountain"), "Widespread",BC718)</f>
        <v>Widespread</v>
      </c>
      <c r="BB718" s="4"/>
      <c r="BC718" s="35">
        <f ca="1">IF(BE718&gt;2046, "Abundant",BE718)</f>
        <v>2034.1364591800357</v>
      </c>
      <c r="BD718" s="4"/>
      <c r="BE718" s="81">
        <f ca="1">YEAR($C$13)+(BG718*80)</f>
        <v>2034.1364591800357</v>
      </c>
      <c r="BF718" s="4"/>
      <c r="BG718" s="137">
        <f ca="1">BH718*$BH$14</f>
        <v>0.18920573975044563</v>
      </c>
      <c r="BH718" s="137">
        <f ca="1">(((BJ718+BK718+BM718+BN718)/4)*$BM$11)+(((BP718+BQ718)/2)*$BQ$11)+(((BU718+BV718+BW718)/3)*$BU$11)+(((BY718+BZ718+CA718+CB718+CC718)/5)*$CA$11)</f>
        <v>0.18920573975044563</v>
      </c>
      <c r="BI718" s="4"/>
      <c r="BJ718" s="33">
        <f>AP718/(AM718+AO718)</f>
        <v>0</v>
      </c>
      <c r="BK718" s="33">
        <f>(AN718+AO718)/(AM718+AO718)</f>
        <v>0</v>
      </c>
      <c r="BL718" s="4"/>
      <c r="BM718" s="127">
        <f>CF718/102</f>
        <v>0.15980392156862747</v>
      </c>
      <c r="BN718" s="127">
        <f>C718/2</f>
        <v>0.5</v>
      </c>
      <c r="BO718" s="4"/>
      <c r="BP718" s="127">
        <f>(AK718)/($AW$6)</f>
        <v>0.12121212121212122</v>
      </c>
      <c r="BQ718" s="127">
        <f ca="1">(CH718-$AW$4)/((YEAR($C$13))-$AW$4)</f>
        <v>0</v>
      </c>
      <c r="BR718" s="127">
        <f>(AL718)/($AW$6)</f>
        <v>0.33333333333333331</v>
      </c>
      <c r="BS718" s="4"/>
      <c r="BT718" s="127"/>
      <c r="BU718" s="127">
        <f ca="1">(CG718-$AW$4)/((YEAR($C$13))-$AW$4)</f>
        <v>0</v>
      </c>
      <c r="BV718" s="127">
        <f>AE718/5</f>
        <v>1</v>
      </c>
      <c r="BW718" s="127">
        <f>AF718/5</f>
        <v>1</v>
      </c>
      <c r="BX718" s="4"/>
      <c r="BY718" s="148" t="str">
        <f>IF(E718="A",".98",IF(E718="B",".99",IF(E718="C","1.00",IF(E718="D","1.00" ))))</f>
        <v>.98</v>
      </c>
      <c r="BZ718" s="127">
        <f>(CE718+7)/10</f>
        <v>0.8</v>
      </c>
      <c r="CA718" s="76" t="str">
        <f>IF(D718="Fern",".97",IF(D718="Grass",".99",IF(D718="Herb",".97",IF(D718="Shrub",".99",IF(D718="Tree","1.00",IF(D718="Vine",".98"))))))</f>
        <v>.97</v>
      </c>
      <c r="CB718" s="149" t="str">
        <f>IF(R718="Bogs Ponds Streams",".96", IF(R718="Coastal Areas",".97",IF(R718="Meadows Dry Open",".96",IF(R718="Forest &amp; Understory",".97",IF(R718="Moist Open",".98",IF(R718="Moist Shady",".96",IF(R718="Sub-Alpine","1.0")))))))</f>
        <v>.98</v>
      </c>
      <c r="CC718" s="76" t="str">
        <f>IF(S718="Local Endemic",".50",IF(S718="Regional Endemic",".70",IF(S718="Cascadia",".90",IF(S718="Rocky Mountain",".95",IF(S718="North America",".99")))))</f>
        <v>.95</v>
      </c>
      <c r="CD718" s="4"/>
      <c r="CE718" s="21">
        <f>IF(W718&gt;3,3,W718)</f>
        <v>1</v>
      </c>
      <c r="CF718" s="21">
        <f>IF(AC718&gt;102,102,AC718)</f>
        <v>16.3</v>
      </c>
      <c r="CG718" s="34">
        <f>IF(AI718&lt;$AW$4,$AW$4,AI718)</f>
        <v>2004</v>
      </c>
      <c r="CH718" s="34">
        <f>IF(AJ718&lt;$AW$4,$AW$4,AJ718)</f>
        <v>2004</v>
      </c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</row>
    <row r="719" spans="1:115" ht="15" customHeight="1" x14ac:dyDescent="0.3">
      <c r="A719" s="235"/>
      <c r="B719" s="218"/>
      <c r="C719" s="226">
        <v>2</v>
      </c>
      <c r="D719" s="104" t="s">
        <v>2505</v>
      </c>
      <c r="E719" s="104" t="s">
        <v>2501</v>
      </c>
      <c r="F719" s="400" t="str">
        <f ca="1">IF(BC719&lt;2025, "Extinct&lt; 6Yrs?",BA719)</f>
        <v>Widespread</v>
      </c>
      <c r="G719" s="369" t="s">
        <v>525</v>
      </c>
      <c r="H719" s="369" t="s">
        <v>4028</v>
      </c>
      <c r="I719" s="370" t="s">
        <v>150</v>
      </c>
      <c r="J719" s="371" t="s">
        <v>3704</v>
      </c>
      <c r="K719" s="371" t="s">
        <v>1126</v>
      </c>
      <c r="L719" s="106" t="s">
        <v>1703</v>
      </c>
      <c r="M719" s="111" t="s">
        <v>4791</v>
      </c>
      <c r="N719" s="111" t="s">
        <v>5689</v>
      </c>
      <c r="O719" s="111" t="s">
        <v>6587</v>
      </c>
      <c r="P719" s="105" t="s">
        <v>144</v>
      </c>
      <c r="Q719" s="104" t="s">
        <v>2552</v>
      </c>
      <c r="R719" s="105" t="s">
        <v>2497</v>
      </c>
      <c r="S719" s="114" t="s">
        <v>2495</v>
      </c>
      <c r="T719" s="133" t="str">
        <f>IF(R719="Bogs Ponds Streams","20",IF(R719="Coastal Areas","26",IF(R719="Meadows Dry Open","10",IF(R719="Forest &amp; Understory","14",IF(R719="Moist Open","12",IF(R719="Moist Shady","10",IF(R719="Sub-Alpine Slopes","0")))))))</f>
        <v>12</v>
      </c>
      <c r="U719" s="133" t="str">
        <f>IF(R719="Bogs Ponds Streams","52",IF(R719="Coastal Areas","51",IF(R719="Meadows Dry Open","53",IF(R719="Forest &amp; Understory","52",IF(R719="Moist Open","50",IF(R719="Moist Shady","46",IF(R719="Sub-Alpine Slopes","40")))))))</f>
        <v>50</v>
      </c>
      <c r="V719" s="133" t="str">
        <f>IF(R719="Bogs Ponds Streams","84",IF(R719="Coastal Areas","76",IF(R719="Meadows Dry Open","96", IF(R719="Forest &amp; Understory","90", IF(R719="Moist Open","88", IF(R719="Moist Shady","82", IF(R719="Sub-Alpine Slopes","80")))))))</f>
        <v>88</v>
      </c>
      <c r="W719" s="104">
        <v>20</v>
      </c>
      <c r="X719" s="104">
        <v>0</v>
      </c>
      <c r="Y719" s="104">
        <v>3500</v>
      </c>
      <c r="Z719" s="104" t="s">
        <v>2519</v>
      </c>
      <c r="AA719" s="104" t="s">
        <v>2518</v>
      </c>
      <c r="AB719" s="104">
        <v>6.8</v>
      </c>
      <c r="AC719" s="107">
        <f>C719+AK719+(0.1)*AL719</f>
        <v>10.1</v>
      </c>
      <c r="AD719" s="113">
        <v>86</v>
      </c>
      <c r="AE719" s="104">
        <v>5</v>
      </c>
      <c r="AF719" s="104">
        <v>5</v>
      </c>
      <c r="AG719" s="104">
        <v>1900</v>
      </c>
      <c r="AH719" s="113">
        <v>0</v>
      </c>
      <c r="AI719" s="104">
        <f>AJ719</f>
        <v>2004</v>
      </c>
      <c r="AJ719" s="108">
        <v>2004</v>
      </c>
      <c r="AK719" s="108">
        <v>7</v>
      </c>
      <c r="AL719" s="108">
        <v>11</v>
      </c>
      <c r="AM719" s="109">
        <v>5</v>
      </c>
      <c r="AN719" s="109">
        <v>1</v>
      </c>
      <c r="AO719" s="110">
        <v>0</v>
      </c>
      <c r="AP719" s="109">
        <v>0</v>
      </c>
      <c r="AQ719" s="109">
        <v>0</v>
      </c>
      <c r="AR719" s="109">
        <v>0</v>
      </c>
      <c r="AS719" s="110">
        <v>0</v>
      </c>
      <c r="AT719" s="109">
        <v>0</v>
      </c>
      <c r="AU719" s="109">
        <v>0</v>
      </c>
      <c r="AV719" s="109">
        <v>0</v>
      </c>
      <c r="AW719" s="110">
        <v>0</v>
      </c>
      <c r="AX719" s="109">
        <v>0</v>
      </c>
      <c r="AY719" s="233"/>
      <c r="AZ719" s="4"/>
      <c r="BA719" s="35" t="str">
        <f>IF(OR(S719="North America",S719="Rocky Mountain"), "Widespread",BC719)</f>
        <v>Widespread</v>
      </c>
      <c r="BB719" s="4"/>
      <c r="BC719" s="35">
        <f ca="1">IF(BE719&gt;2046, "Abundant",BE719)</f>
        <v>2041.2841868092692</v>
      </c>
      <c r="BD719" s="4"/>
      <c r="BE719" s="81">
        <f ca="1">YEAR($C$13)+(BG719*80)</f>
        <v>2041.2841868092692</v>
      </c>
      <c r="BF719" s="4"/>
      <c r="BG719" s="137">
        <f ca="1">BH719*$BH$14</f>
        <v>0.27855233511586452</v>
      </c>
      <c r="BH719" s="137">
        <f ca="1">(((BJ719+BK719+BM719+BN719)/4)*$BM$11)+(((BP719+BQ719)/2)*$BQ$11)+(((BU719+BV719+BW719)/3)*$BU$11)+(((BY719+BZ719+CA719+CB719+CC719)/5)*$CA$11)</f>
        <v>0.27855233511586452</v>
      </c>
      <c r="BI719" s="4"/>
      <c r="BJ719" s="33">
        <f>AP719/(AM719+AO719)</f>
        <v>0</v>
      </c>
      <c r="BK719" s="33">
        <f>(AN719+AO719)/(AM719+AO719)</f>
        <v>0.2</v>
      </c>
      <c r="BL719" s="4"/>
      <c r="BM719" s="127">
        <f>CF719/102</f>
        <v>9.901960784313725E-2</v>
      </c>
      <c r="BN719" s="127">
        <f>C719/2</f>
        <v>1</v>
      </c>
      <c r="BO719" s="4"/>
      <c r="BP719" s="127">
        <f>(AK719)/($AW$6)</f>
        <v>7.0707070707070704E-2</v>
      </c>
      <c r="BQ719" s="127">
        <f ca="1">(CH719-$AW$4)/((YEAR($C$13))-$AW$4)</f>
        <v>0</v>
      </c>
      <c r="BR719" s="127">
        <f>(AL719)/($AW$6)</f>
        <v>0.1111111111111111</v>
      </c>
      <c r="BS719" s="4"/>
      <c r="BT719" s="127"/>
      <c r="BU719" s="127">
        <f ca="1">(CG719-$AW$4)/((YEAR($C$13))-$AW$4)</f>
        <v>0</v>
      </c>
      <c r="BV719" s="127">
        <f>AE719/5</f>
        <v>1</v>
      </c>
      <c r="BW719" s="127">
        <f>AF719/5</f>
        <v>1</v>
      </c>
      <c r="BX719" s="4"/>
      <c r="BY719" s="148" t="str">
        <f>IF(E719="A",".98",IF(E719="B",".99",IF(E719="C","1.00",IF(E719="D","1.00" ))))</f>
        <v>1.00</v>
      </c>
      <c r="BZ719" s="127">
        <f>(CE719+7)/10</f>
        <v>1</v>
      </c>
      <c r="CA719" s="76" t="str">
        <f>IF(D719="Fern",".97",IF(D719="Grass",".99",IF(D719="Herb",".97",IF(D719="Shrub",".99",IF(D719="Tree","1.00",IF(D719="Vine",".98"))))))</f>
        <v>.97</v>
      </c>
      <c r="CB719" s="149" t="str">
        <f>IF(R719="Bogs Ponds Streams",".96", IF(R719="Coastal Areas",".97",IF(R719="Meadows Dry Open",".96",IF(R719="Forest &amp; Understory",".97",IF(R719="Moist Open",".98",IF(R719="Moist Shady",".96",IF(R719="Sub-Alpine","1.0")))))))</f>
        <v>.98</v>
      </c>
      <c r="CC719" s="76" t="str">
        <f>IF(S719="Local Endemic",".50",IF(S719="Regional Endemic",".70",IF(S719="Cascadia",".90",IF(S719="Rocky Mountain",".95",IF(S719="North America",".99")))))</f>
        <v>.99</v>
      </c>
      <c r="CD719" s="4"/>
      <c r="CE719" s="21">
        <f>IF(W719&gt;3,3,W719)</f>
        <v>3</v>
      </c>
      <c r="CF719" s="21">
        <f>IF(AC719&gt;102,102,AC719)</f>
        <v>10.1</v>
      </c>
      <c r="CG719" s="34">
        <f>IF(AI719&lt;$AW$4,$AW$4,AI719)</f>
        <v>2004</v>
      </c>
      <c r="CH719" s="34">
        <f>IF(AJ719&lt;$AW$4,$AW$4,AJ719)</f>
        <v>2004</v>
      </c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</row>
    <row r="720" spans="1:115" ht="15" customHeight="1" x14ac:dyDescent="0.3">
      <c r="A720" s="235"/>
      <c r="B720" s="218"/>
      <c r="C720" s="225">
        <v>8</v>
      </c>
      <c r="D720" s="59" t="s">
        <v>2506</v>
      </c>
      <c r="E720" s="59" t="s">
        <v>2504</v>
      </c>
      <c r="F720" s="397" t="str">
        <f ca="1">IF(BC720&lt;2025, "Extinct&lt; 6Yrs?",BA720)</f>
        <v>Abundant</v>
      </c>
      <c r="G720" s="363" t="s">
        <v>525</v>
      </c>
      <c r="H720" s="363" t="s">
        <v>689</v>
      </c>
      <c r="I720" s="366" t="s">
        <v>317</v>
      </c>
      <c r="J720" s="365" t="s">
        <v>3971</v>
      </c>
      <c r="K720" s="365" t="s">
        <v>1127</v>
      </c>
      <c r="L720" s="10" t="s">
        <v>2806</v>
      </c>
      <c r="M720" s="8" t="s">
        <v>4792</v>
      </c>
      <c r="N720" s="8" t="s">
        <v>5690</v>
      </c>
      <c r="O720" s="8" t="s">
        <v>6588</v>
      </c>
      <c r="P720" s="9" t="s">
        <v>303</v>
      </c>
      <c r="Q720" s="59" t="s">
        <v>2552</v>
      </c>
      <c r="R720" s="9" t="s">
        <v>2498</v>
      </c>
      <c r="S720" s="17" t="s">
        <v>2459</v>
      </c>
      <c r="T720" s="123" t="str">
        <f>IF(R720="Bogs Ponds Streams","20",IF(R720="Coastal Areas","26",IF(R720="Meadows Dry Open","10",IF(R720="Forest &amp; Understory","14",IF(R720="Moist Open","12",IF(R720="Moist Shady","10",IF(R720="Sub-Alpine Slopes","0")))))))</f>
        <v>10</v>
      </c>
      <c r="U720" s="123" t="str">
        <f>IF(R720="Bogs Ponds Streams","52",IF(R720="Coastal Areas","51",IF(R720="Meadows Dry Open","53",IF(R720="Forest &amp; Understory","52",IF(R720="Moist Open","50",IF(R720="Moist Shady","46",IF(R720="Sub-Alpine Slopes","40")))))))</f>
        <v>46</v>
      </c>
      <c r="V720" s="123" t="str">
        <f>IF(R720="Bogs Ponds Streams","84",IF(R720="Coastal Areas","76",IF(R720="Meadows Dry Open","96", IF(R720="Forest &amp; Understory","90", IF(R720="Moist Open","88", IF(R720="Moist Shady","82", IF(R720="Sub-Alpine Slopes","80")))))))</f>
        <v>82</v>
      </c>
      <c r="W720" s="59">
        <v>20</v>
      </c>
      <c r="X720" s="59">
        <v>0</v>
      </c>
      <c r="Y720" s="59">
        <v>3500</v>
      </c>
      <c r="Z720" s="59" t="s">
        <v>2519</v>
      </c>
      <c r="AA720" s="59" t="s">
        <v>2518</v>
      </c>
      <c r="AB720" s="59">
        <v>6.8</v>
      </c>
      <c r="AC720" s="45">
        <f>C720+AK720+(0.1)*AL720</f>
        <v>43.2</v>
      </c>
      <c r="AD720" s="77">
        <v>170</v>
      </c>
      <c r="AE720" s="59">
        <v>5</v>
      </c>
      <c r="AF720" s="59">
        <v>5</v>
      </c>
      <c r="AG720" s="59">
        <v>1900</v>
      </c>
      <c r="AH720" s="77">
        <v>0</v>
      </c>
      <c r="AI720" s="59">
        <f ca="1">AJ720</f>
        <v>2019</v>
      </c>
      <c r="AJ720" s="18">
        <f ca="1">YEAR(TODAY())</f>
        <v>2019</v>
      </c>
      <c r="AK720" s="18">
        <v>33</v>
      </c>
      <c r="AL720" s="18">
        <v>22</v>
      </c>
      <c r="AM720" s="18">
        <v>1</v>
      </c>
      <c r="AN720" s="18">
        <v>1</v>
      </c>
      <c r="AO720" s="18">
        <v>5</v>
      </c>
      <c r="AP720" s="18">
        <v>1</v>
      </c>
      <c r="AQ720" s="18">
        <v>0</v>
      </c>
      <c r="AR720" s="18">
        <v>0</v>
      </c>
      <c r="AS720" s="18">
        <v>0</v>
      </c>
      <c r="AT720" s="18">
        <v>0</v>
      </c>
      <c r="AU720" s="18">
        <v>0</v>
      </c>
      <c r="AV720" s="18">
        <v>0</v>
      </c>
      <c r="AW720" s="18">
        <v>0</v>
      </c>
      <c r="AX720" s="18">
        <v>0</v>
      </c>
      <c r="AY720" s="233"/>
      <c r="AZ720" s="4"/>
      <c r="BA720" s="35" t="str">
        <f ca="1">IF(OR(S720="North America",S720="Rocky Mountain"), "Widespread",BC720)</f>
        <v>Abundant</v>
      </c>
      <c r="BB720" s="4"/>
      <c r="BC720" s="35" t="str">
        <f ca="1">IF(BE720&gt;2046, "Abundant",BE720)</f>
        <v>Abundant</v>
      </c>
      <c r="BD720" s="4"/>
      <c r="BE720" s="81">
        <f ca="1">YEAR($C$13)+(BG720*80)</f>
        <v>2110.0343529411766</v>
      </c>
      <c r="BF720" s="4"/>
      <c r="BG720" s="137">
        <f ca="1">BH720*$BH$14</f>
        <v>1.1379294117647061</v>
      </c>
      <c r="BH720" s="137">
        <f ca="1">(((BJ720+BK720+BM720+BN720)/4)*$BM$11)+(((BP720+BQ720)/2)*$BQ$11)+(((BU720+BV720+BW720)/3)*$BU$11)+(((BY720+BZ720+CA720+CB720+CC720)/5)*$CA$11)</f>
        <v>1.1379294117647061</v>
      </c>
      <c r="BI720" s="4"/>
      <c r="BJ720" s="33">
        <f>AP720/(AM720+AO720)</f>
        <v>0.16666666666666666</v>
      </c>
      <c r="BK720" s="33">
        <f>(AN720+AO720)/(AM720+AO720)</f>
        <v>1</v>
      </c>
      <c r="BL720" s="4"/>
      <c r="BM720" s="127">
        <f>CF720/102</f>
        <v>0.42352941176470593</v>
      </c>
      <c r="BN720" s="127">
        <f>C720/2</f>
        <v>4</v>
      </c>
      <c r="BO720" s="4"/>
      <c r="BP720" s="127">
        <f>(AK720)/($AW$6)</f>
        <v>0.33333333333333331</v>
      </c>
      <c r="BQ720" s="127">
        <f ca="1">(CH720-$AW$4)/((YEAR($C$13))-$AW$4)</f>
        <v>1</v>
      </c>
      <c r="BR720" s="127">
        <f>(AL720)/($AW$6)</f>
        <v>0.22222222222222221</v>
      </c>
      <c r="BS720" s="4"/>
      <c r="BT720" s="127"/>
      <c r="BU720" s="127">
        <f ca="1">(CG720-$AW$4)/((YEAR($C$13))-$AW$4)</f>
        <v>1</v>
      </c>
      <c r="BV720" s="127">
        <f>AE720/5</f>
        <v>1</v>
      </c>
      <c r="BW720" s="127">
        <f>AF720/5</f>
        <v>1</v>
      </c>
      <c r="BX720" s="4"/>
      <c r="BY720" s="148" t="str">
        <f>IF(E720="A",".98",IF(E720="B",".99",IF(E720="C","1.00",IF(E720="D","1.00" ))))</f>
        <v>1.00</v>
      </c>
      <c r="BZ720" s="127">
        <f>(CE720+7)/10</f>
        <v>1</v>
      </c>
      <c r="CA720" s="76" t="str">
        <f>IF(D720="Fern",".97",IF(D720="Grass",".99",IF(D720="Herb",".97",IF(D720="Shrub",".99",IF(D720="Tree","1.00",IF(D720="Vine",".98"))))))</f>
        <v>.99</v>
      </c>
      <c r="CB720" s="149" t="str">
        <f>IF(R720="Bogs Ponds Streams",".96", IF(R720="Coastal Areas",".97",IF(R720="Meadows Dry Open",".96",IF(R720="Forest &amp; Understory",".97",IF(R720="Moist Open",".98",IF(R720="Moist Shady",".96",IF(R720="Sub-Alpine","1.0")))))))</f>
        <v>.96</v>
      </c>
      <c r="CC720" s="76" t="str">
        <f>IF(S720="Local Endemic",".50",IF(S720="Regional Endemic",".70",IF(S720="Cascadia",".90",IF(S720="Rocky Mountain",".95",IF(S720="North America",".99")))))</f>
        <v>.90</v>
      </c>
      <c r="CD720" s="4"/>
      <c r="CE720" s="21">
        <f>IF(W720&gt;3,3,W720)</f>
        <v>3</v>
      </c>
      <c r="CF720" s="21">
        <f>IF(AC720&gt;102,102,AC720)</f>
        <v>43.2</v>
      </c>
      <c r="CG720" s="34">
        <f ca="1">IF(AI720&lt;$AW$4,$AW$4,AI720)</f>
        <v>2019</v>
      </c>
      <c r="CH720" s="34">
        <f ca="1">IF(AJ720&lt;$AW$4,$AW$4,AJ720)</f>
        <v>2019</v>
      </c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</row>
    <row r="721" spans="1:115" ht="15" customHeight="1" x14ac:dyDescent="0.3">
      <c r="A721" s="235"/>
      <c r="B721" s="218"/>
      <c r="C721" s="225">
        <v>8</v>
      </c>
      <c r="D721" s="59" t="s">
        <v>2506</v>
      </c>
      <c r="E721" s="59" t="s">
        <v>2504</v>
      </c>
      <c r="F721" s="397" t="str">
        <f ca="1">IF(BC721&lt;2025, "Extinct&lt; 6Yrs?",BA721)</f>
        <v>Widespread</v>
      </c>
      <c r="G721" s="363" t="s">
        <v>525</v>
      </c>
      <c r="H721" s="363" t="s">
        <v>689</v>
      </c>
      <c r="I721" s="366" t="s">
        <v>319</v>
      </c>
      <c r="J721" s="365" t="s">
        <v>3970</v>
      </c>
      <c r="K721" s="365" t="s">
        <v>318</v>
      </c>
      <c r="L721" s="10" t="s">
        <v>1704</v>
      </c>
      <c r="M721" s="8" t="s">
        <v>4793</v>
      </c>
      <c r="N721" s="8" t="s">
        <v>5691</v>
      </c>
      <c r="O721" s="8" t="s">
        <v>6589</v>
      </c>
      <c r="P721" s="9" t="s">
        <v>303</v>
      </c>
      <c r="Q721" s="59" t="s">
        <v>2552</v>
      </c>
      <c r="R721" s="9" t="s">
        <v>2498</v>
      </c>
      <c r="S721" s="17" t="s">
        <v>2479</v>
      </c>
      <c r="T721" s="123" t="str">
        <f>IF(R721="Bogs Ponds Streams","20",IF(R721="Coastal Areas","26",IF(R721="Meadows Dry Open","10",IF(R721="Forest &amp; Understory","14",IF(R721="Moist Open","12",IF(R721="Moist Shady","10",IF(R721="Sub-Alpine Slopes","0")))))))</f>
        <v>10</v>
      </c>
      <c r="U721" s="123" t="str">
        <f>IF(R721="Bogs Ponds Streams","52",IF(R721="Coastal Areas","51",IF(R721="Meadows Dry Open","53",IF(R721="Forest &amp; Understory","52",IF(R721="Moist Open","50",IF(R721="Moist Shady","46",IF(R721="Sub-Alpine Slopes","40")))))))</f>
        <v>46</v>
      </c>
      <c r="V721" s="123" t="str">
        <f>IF(R721="Bogs Ponds Streams","84",IF(R721="Coastal Areas","76",IF(R721="Meadows Dry Open","96", IF(R721="Forest &amp; Understory","90", IF(R721="Moist Open","88", IF(R721="Moist Shady","82", IF(R721="Sub-Alpine Slopes","80")))))))</f>
        <v>82</v>
      </c>
      <c r="W721" s="59">
        <v>20</v>
      </c>
      <c r="X721" s="59">
        <v>0</v>
      </c>
      <c r="Y721" s="59">
        <v>3500</v>
      </c>
      <c r="Z721" s="59" t="s">
        <v>2519</v>
      </c>
      <c r="AA721" s="59" t="s">
        <v>2518</v>
      </c>
      <c r="AB721" s="59">
        <v>6.8</v>
      </c>
      <c r="AC721" s="45">
        <f>C721+AK721+(0.1)*AL721</f>
        <v>67.400000000000006</v>
      </c>
      <c r="AD721" s="77">
        <v>376</v>
      </c>
      <c r="AE721" s="59">
        <v>5</v>
      </c>
      <c r="AF721" s="59">
        <v>5</v>
      </c>
      <c r="AG721" s="59">
        <v>1900</v>
      </c>
      <c r="AH721" s="77">
        <v>0</v>
      </c>
      <c r="AI721" s="59">
        <f ca="1">AJ721</f>
        <v>2019</v>
      </c>
      <c r="AJ721" s="18">
        <f ca="1">YEAR(TODAY())</f>
        <v>2019</v>
      </c>
      <c r="AK721" s="18">
        <v>55</v>
      </c>
      <c r="AL721" s="18">
        <v>44</v>
      </c>
      <c r="AM721" s="18">
        <v>1</v>
      </c>
      <c r="AN721" s="18">
        <v>1</v>
      </c>
      <c r="AO721" s="18">
        <v>5</v>
      </c>
      <c r="AP721" s="18">
        <v>1</v>
      </c>
      <c r="AQ721" s="18">
        <v>0</v>
      </c>
      <c r="AR721" s="18">
        <v>0</v>
      </c>
      <c r="AS721" s="18">
        <v>0</v>
      </c>
      <c r="AT721" s="18">
        <v>0</v>
      </c>
      <c r="AU721" s="18">
        <v>0</v>
      </c>
      <c r="AV721" s="18">
        <v>0</v>
      </c>
      <c r="AW721" s="18">
        <v>0</v>
      </c>
      <c r="AX721" s="18">
        <v>0</v>
      </c>
      <c r="AY721" s="233"/>
      <c r="AZ721" s="4"/>
      <c r="BA721" s="35" t="str">
        <f>IF(OR(S721="North America",S721="Rocky Mountain"), "Widespread",BC721)</f>
        <v>Widespread</v>
      </c>
      <c r="BB721" s="4"/>
      <c r="BC721" s="35" t="str">
        <f ca="1">IF(BE721&gt;2046, "Abundant",BE721)</f>
        <v>Abundant</v>
      </c>
      <c r="BD721" s="4"/>
      <c r="BE721" s="81">
        <f ca="1">YEAR($C$13)+(BG721*80)</f>
        <v>2115.5640784313728</v>
      </c>
      <c r="BF721" s="4"/>
      <c r="BG721" s="137">
        <f ca="1">BH721*$BH$14</f>
        <v>1.207050980392157</v>
      </c>
      <c r="BH721" s="137">
        <f ca="1">(((BJ721+BK721+BM721+BN721)/4)*$BM$11)+(((BP721+BQ721)/2)*$BQ$11)+(((BU721+BV721+BW721)/3)*$BU$11)+(((BY721+BZ721+CA721+CB721+CC721)/5)*$CA$11)</f>
        <v>1.207050980392157</v>
      </c>
      <c r="BI721" s="4"/>
      <c r="BJ721" s="33">
        <f>AP721/(AM721+AO721)</f>
        <v>0.16666666666666666</v>
      </c>
      <c r="BK721" s="33">
        <f>(AN721+AO721)/(AM721+AO721)</f>
        <v>1</v>
      </c>
      <c r="BL721" s="4"/>
      <c r="BM721" s="127">
        <f>CF721/102</f>
        <v>0.66078431372549029</v>
      </c>
      <c r="BN721" s="127">
        <f>C721/2</f>
        <v>4</v>
      </c>
      <c r="BO721" s="4"/>
      <c r="BP721" s="127">
        <f>(AK721)/($AW$6)</f>
        <v>0.55555555555555558</v>
      </c>
      <c r="BQ721" s="127">
        <f ca="1">(CH721-$AW$4)/((YEAR($C$13))-$AW$4)</f>
        <v>1</v>
      </c>
      <c r="BR721" s="127">
        <f>(AL721)/($AW$6)</f>
        <v>0.44444444444444442</v>
      </c>
      <c r="BS721" s="4"/>
      <c r="BT721" s="127"/>
      <c r="BU721" s="127">
        <f ca="1">(CG721-$AW$4)/((YEAR($C$13))-$AW$4)</f>
        <v>1</v>
      </c>
      <c r="BV721" s="127">
        <f>AE721/5</f>
        <v>1</v>
      </c>
      <c r="BW721" s="127">
        <f>AF721/5</f>
        <v>1</v>
      </c>
      <c r="BX721" s="4"/>
      <c r="BY721" s="148" t="str">
        <f>IF(E721="A",".98",IF(E721="B",".99",IF(E721="C","1.00",IF(E721="D","1.00" ))))</f>
        <v>1.00</v>
      </c>
      <c r="BZ721" s="127">
        <f>(CE721+7)/10</f>
        <v>1</v>
      </c>
      <c r="CA721" s="76" t="str">
        <f>IF(D721="Fern",".97",IF(D721="Grass",".99",IF(D721="Herb",".97",IF(D721="Shrub",".99",IF(D721="Tree","1.00",IF(D721="Vine",".98"))))))</f>
        <v>.99</v>
      </c>
      <c r="CB721" s="149" t="str">
        <f>IF(R721="Bogs Ponds Streams",".96", IF(R721="Coastal Areas",".97",IF(R721="Meadows Dry Open",".96",IF(R721="Forest &amp; Understory",".97",IF(R721="Moist Open",".98",IF(R721="Moist Shady",".96",IF(R721="Sub-Alpine","1.0")))))))</f>
        <v>.96</v>
      </c>
      <c r="CC721" s="76" t="str">
        <f>IF(S721="Local Endemic",".50",IF(S721="Regional Endemic",".70",IF(S721="Cascadia",".90",IF(S721="Rocky Mountain",".95",IF(S721="North America",".99")))))</f>
        <v>.95</v>
      </c>
      <c r="CD721" s="4"/>
      <c r="CE721" s="21">
        <f>IF(W721&gt;3,3,W721)</f>
        <v>3</v>
      </c>
      <c r="CF721" s="21">
        <f>IF(AC721&gt;102,102,AC721)</f>
        <v>67.400000000000006</v>
      </c>
      <c r="CG721" s="34">
        <f ca="1">IF(AI721&lt;$AW$4,$AW$4,AI721)</f>
        <v>2019</v>
      </c>
      <c r="CH721" s="34">
        <f ca="1">IF(AJ721&lt;$AW$4,$AW$4,AJ721)</f>
        <v>2019</v>
      </c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</row>
    <row r="722" spans="1:115" ht="15" customHeight="1" x14ac:dyDescent="0.3">
      <c r="A722" s="235"/>
      <c r="B722" s="218"/>
      <c r="C722" s="225">
        <v>8</v>
      </c>
      <c r="D722" s="59" t="s">
        <v>2506</v>
      </c>
      <c r="E722" s="59" t="s">
        <v>2504</v>
      </c>
      <c r="F722" s="397" t="str">
        <f ca="1">IF(BC722&lt;2025, "Extinct&lt; 6Yrs?",BA722)</f>
        <v>Abundant</v>
      </c>
      <c r="G722" s="363" t="s">
        <v>525</v>
      </c>
      <c r="H722" s="363" t="s">
        <v>689</v>
      </c>
      <c r="I722" s="366" t="s">
        <v>320</v>
      </c>
      <c r="J722" s="365" t="s">
        <v>3968</v>
      </c>
      <c r="K722" s="365" t="s">
        <v>1128</v>
      </c>
      <c r="L722" s="10" t="s">
        <v>4059</v>
      </c>
      <c r="M722" s="8" t="s">
        <v>4794</v>
      </c>
      <c r="N722" s="8" t="s">
        <v>5692</v>
      </c>
      <c r="O722" s="8" t="s">
        <v>6590</v>
      </c>
      <c r="P722" s="9" t="s">
        <v>303</v>
      </c>
      <c r="Q722" s="59" t="s">
        <v>2552</v>
      </c>
      <c r="R722" s="9" t="s">
        <v>2498</v>
      </c>
      <c r="S722" s="17" t="s">
        <v>2459</v>
      </c>
      <c r="T722" s="123" t="str">
        <f>IF(R722="Bogs Ponds Streams","20",IF(R722="Coastal Areas","26",IF(R722="Meadows Dry Open","10",IF(R722="Forest &amp; Understory","14",IF(R722="Moist Open","12",IF(R722="Moist Shady","10",IF(R722="Sub-Alpine Slopes","0")))))))</f>
        <v>10</v>
      </c>
      <c r="U722" s="123" t="str">
        <f>IF(R722="Bogs Ponds Streams","52",IF(R722="Coastal Areas","51",IF(R722="Meadows Dry Open","53",IF(R722="Forest &amp; Understory","52",IF(R722="Moist Open","50",IF(R722="Moist Shady","46",IF(R722="Sub-Alpine Slopes","40")))))))</f>
        <v>46</v>
      </c>
      <c r="V722" s="123" t="str">
        <f>IF(R722="Bogs Ponds Streams","84",IF(R722="Coastal Areas","76",IF(R722="Meadows Dry Open","96", IF(R722="Forest &amp; Understory","90", IF(R722="Moist Open","88", IF(R722="Moist Shady","82", IF(R722="Sub-Alpine Slopes","80")))))))</f>
        <v>82</v>
      </c>
      <c r="W722" s="59">
        <v>20</v>
      </c>
      <c r="X722" s="59">
        <v>0</v>
      </c>
      <c r="Y722" s="59">
        <v>3500</v>
      </c>
      <c r="Z722" s="59" t="s">
        <v>2519</v>
      </c>
      <c r="AA722" s="59" t="s">
        <v>2518</v>
      </c>
      <c r="AB722" s="59">
        <v>6.8</v>
      </c>
      <c r="AC722" s="45">
        <f>C722+AK722+(0.1)*AL722</f>
        <v>41.3</v>
      </c>
      <c r="AD722" s="77">
        <v>11</v>
      </c>
      <c r="AE722" s="59">
        <v>5</v>
      </c>
      <c r="AF722" s="59">
        <v>5</v>
      </c>
      <c r="AG722" s="59">
        <v>1900</v>
      </c>
      <c r="AH722" s="77">
        <v>0</v>
      </c>
      <c r="AI722" s="59">
        <f ca="1">AJ722</f>
        <v>2019</v>
      </c>
      <c r="AJ722" s="18">
        <f ca="1">YEAR(TODAY())</f>
        <v>2019</v>
      </c>
      <c r="AK722" s="18">
        <v>33</v>
      </c>
      <c r="AL722" s="18">
        <v>3</v>
      </c>
      <c r="AM722" s="18">
        <v>1</v>
      </c>
      <c r="AN722" s="18">
        <v>1</v>
      </c>
      <c r="AO722" s="18">
        <v>5</v>
      </c>
      <c r="AP722" s="18">
        <v>1</v>
      </c>
      <c r="AQ722" s="18">
        <v>0</v>
      </c>
      <c r="AR722" s="18">
        <v>0</v>
      </c>
      <c r="AS722" s="18">
        <v>0</v>
      </c>
      <c r="AT722" s="18">
        <v>0</v>
      </c>
      <c r="AU722" s="18">
        <v>0</v>
      </c>
      <c r="AV722" s="18">
        <v>0</v>
      </c>
      <c r="AW722" s="18">
        <v>0</v>
      </c>
      <c r="AX722" s="18">
        <v>0</v>
      </c>
      <c r="AY722" s="233"/>
      <c r="AZ722" s="4"/>
      <c r="BA722" s="35" t="str">
        <f ca="1">IF(OR(S722="North America",S722="Rocky Mountain"), "Widespread",BC722)</f>
        <v>Abundant</v>
      </c>
      <c r="BB722" s="4"/>
      <c r="BC722" s="35" t="str">
        <f ca="1">IF(BE722&gt;2046, "Abundant",BE722)</f>
        <v>Abundant</v>
      </c>
      <c r="BD722" s="4"/>
      <c r="BE722" s="81">
        <f ca="1">YEAR($C$13)+(BG722*80)</f>
        <v>2109.8108235294117</v>
      </c>
      <c r="BF722" s="4"/>
      <c r="BG722" s="137">
        <f ca="1">BH722*$BH$14</f>
        <v>1.1351352941176471</v>
      </c>
      <c r="BH722" s="137">
        <f ca="1">(((BJ722+BK722+BM722+BN722)/4)*$BM$11)+(((BP722+BQ722)/2)*$BQ$11)+(((BU722+BV722+BW722)/3)*$BU$11)+(((BY722+BZ722+CA722+CB722+CC722)/5)*$CA$11)</f>
        <v>1.1351352941176471</v>
      </c>
      <c r="BI722" s="4"/>
      <c r="BJ722" s="33">
        <f>AP722/(AM722+AO722)</f>
        <v>0.16666666666666666</v>
      </c>
      <c r="BK722" s="33">
        <f>(AN722+AO722)/(AM722+AO722)</f>
        <v>1</v>
      </c>
      <c r="BL722" s="4"/>
      <c r="BM722" s="127">
        <f>CF722/102</f>
        <v>0.40490196078431367</v>
      </c>
      <c r="BN722" s="127">
        <f>C722/2</f>
        <v>4</v>
      </c>
      <c r="BO722" s="4"/>
      <c r="BP722" s="127">
        <f>(AK722)/($AW$6)</f>
        <v>0.33333333333333331</v>
      </c>
      <c r="BQ722" s="127">
        <f ca="1">(CH722-$AW$4)/((YEAR($C$13))-$AW$4)</f>
        <v>1</v>
      </c>
      <c r="BR722" s="127">
        <f>(AL722)/($AW$6)</f>
        <v>3.0303030303030304E-2</v>
      </c>
      <c r="BS722" s="4"/>
      <c r="BT722" s="127"/>
      <c r="BU722" s="127">
        <f ca="1">(CG722-$AW$4)/((YEAR($C$13))-$AW$4)</f>
        <v>1</v>
      </c>
      <c r="BV722" s="127">
        <f>AE722/5</f>
        <v>1</v>
      </c>
      <c r="BW722" s="127">
        <f>AF722/5</f>
        <v>1</v>
      </c>
      <c r="BX722" s="4"/>
      <c r="BY722" s="148" t="str">
        <f>IF(E722="A",".98",IF(E722="B",".99",IF(E722="C","1.00",IF(E722="D","1.00" ))))</f>
        <v>1.00</v>
      </c>
      <c r="BZ722" s="127">
        <f>(CE722+7)/10</f>
        <v>1</v>
      </c>
      <c r="CA722" s="76" t="str">
        <f>IF(D722="Fern",".97",IF(D722="Grass",".99",IF(D722="Herb",".97",IF(D722="Shrub",".99",IF(D722="Tree","1.00",IF(D722="Vine",".98"))))))</f>
        <v>.99</v>
      </c>
      <c r="CB722" s="149" t="str">
        <f>IF(R722="Bogs Ponds Streams",".96", IF(R722="Coastal Areas",".97",IF(R722="Meadows Dry Open",".96",IF(R722="Forest &amp; Understory",".97",IF(R722="Moist Open",".98",IF(R722="Moist Shady",".96",IF(R722="Sub-Alpine","1.0")))))))</f>
        <v>.96</v>
      </c>
      <c r="CC722" s="76" t="str">
        <f>IF(S722="Local Endemic",".50",IF(S722="Regional Endemic",".70",IF(S722="Cascadia",".90",IF(S722="Rocky Mountain",".95",IF(S722="North America",".99")))))</f>
        <v>.90</v>
      </c>
      <c r="CD722" s="4"/>
      <c r="CE722" s="21">
        <f>IF(W722&gt;3,3,W722)</f>
        <v>3</v>
      </c>
      <c r="CF722" s="21">
        <f>IF(AC722&gt;102,102,AC722)</f>
        <v>41.3</v>
      </c>
      <c r="CG722" s="34">
        <f ca="1">IF(AI722&lt;$AW$4,$AW$4,AI722)</f>
        <v>2019</v>
      </c>
      <c r="CH722" s="34">
        <f ca="1">IF(AJ722&lt;$AW$4,$AW$4,AJ722)</f>
        <v>2019</v>
      </c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</row>
    <row r="723" spans="1:115" ht="15" customHeight="1" x14ac:dyDescent="0.3">
      <c r="A723" s="235"/>
      <c r="B723" s="218"/>
      <c r="C723" s="375">
        <v>1</v>
      </c>
      <c r="D723" s="67" t="s">
        <v>2505</v>
      </c>
      <c r="E723" s="67" t="s">
        <v>2501</v>
      </c>
      <c r="F723" s="403" t="str">
        <f ca="1">IF(BC723&lt;2025, "Extinct&lt; 6Yrs?",BA723)</f>
        <v>Widespread</v>
      </c>
      <c r="G723" s="376" t="s">
        <v>525</v>
      </c>
      <c r="H723" s="376" t="s">
        <v>4028</v>
      </c>
      <c r="I723" s="377" t="s">
        <v>2374</v>
      </c>
      <c r="J723" s="378" t="s">
        <v>3519</v>
      </c>
      <c r="K723" s="378" t="s">
        <v>2373</v>
      </c>
      <c r="L723" s="64" t="s">
        <v>2441</v>
      </c>
      <c r="M723" s="64" t="s">
        <v>4795</v>
      </c>
      <c r="N723" s="64" t="s">
        <v>5693</v>
      </c>
      <c r="O723" s="64" t="s">
        <v>6591</v>
      </c>
      <c r="P723" s="61" t="s">
        <v>2442</v>
      </c>
      <c r="Q723" s="67" t="s">
        <v>2552</v>
      </c>
      <c r="R723" s="163" t="s">
        <v>2497</v>
      </c>
      <c r="S723" s="164" t="s">
        <v>2495</v>
      </c>
      <c r="T723" s="134" t="str">
        <f>IF(R723="Bogs Ponds Streams","20",IF(R723="Coastal Areas","26",IF(R723="Meadows Dry Open","10",IF(R723="Forest &amp; Understory","14",IF(R723="Moist Open","12",IF(R723="Moist Shady","10",IF(R723="Sub-Alpine Slopes","0")))))))</f>
        <v>12</v>
      </c>
      <c r="U723" s="134" t="str">
        <f>IF(R723="Bogs Ponds Streams","52",IF(R723="Coastal Areas","51",IF(R723="Meadows Dry Open","53",IF(R723="Forest &amp; Understory","52",IF(R723="Moist Open","50",IF(R723="Moist Shady","46",IF(R723="Sub-Alpine Slopes","40")))))))</f>
        <v>50</v>
      </c>
      <c r="V723" s="134" t="str">
        <f>IF(R723="Bogs Ponds Streams","84",IF(R723="Coastal Areas","76",IF(R723="Meadows Dry Open","96", IF(R723="Forest &amp; Understory","90", IF(R723="Moist Open","88", IF(R723="Moist Shady","82", IF(R723="Sub-Alpine Slopes","80")))))))</f>
        <v>88</v>
      </c>
      <c r="W723" s="67">
        <v>20</v>
      </c>
      <c r="X723" s="67">
        <v>0</v>
      </c>
      <c r="Y723" s="67">
        <v>3500</v>
      </c>
      <c r="Z723" s="67" t="s">
        <v>2519</v>
      </c>
      <c r="AA723" s="67" t="s">
        <v>2518</v>
      </c>
      <c r="AB723" s="67">
        <v>6.8</v>
      </c>
      <c r="AC723" s="85">
        <f>C723+AK723+(0.1)*AL723</f>
        <v>1.4</v>
      </c>
      <c r="AD723" s="78">
        <v>83</v>
      </c>
      <c r="AE723" s="68">
        <v>3</v>
      </c>
      <c r="AF723" s="68">
        <v>5</v>
      </c>
      <c r="AG723" s="78">
        <v>1925</v>
      </c>
      <c r="AH723" s="78">
        <v>0</v>
      </c>
      <c r="AI723" s="78">
        <v>2000</v>
      </c>
      <c r="AJ723" s="67">
        <v>2005</v>
      </c>
      <c r="AK723" s="67">
        <v>0</v>
      </c>
      <c r="AL723" s="67">
        <v>4</v>
      </c>
      <c r="AM723" s="70">
        <v>5</v>
      </c>
      <c r="AN723" s="70">
        <v>0</v>
      </c>
      <c r="AO723" s="86">
        <v>0</v>
      </c>
      <c r="AP723" s="70">
        <v>0</v>
      </c>
      <c r="AQ723" s="70">
        <v>0</v>
      </c>
      <c r="AR723" s="70">
        <v>0</v>
      </c>
      <c r="AS723" s="86">
        <v>0</v>
      </c>
      <c r="AT723" s="70">
        <v>0</v>
      </c>
      <c r="AU723" s="70">
        <v>0</v>
      </c>
      <c r="AV723" s="70">
        <v>0</v>
      </c>
      <c r="AW723" s="86">
        <v>0</v>
      </c>
      <c r="AX723" s="70">
        <v>0</v>
      </c>
      <c r="AY723" s="233"/>
      <c r="AZ723" s="11"/>
      <c r="BA723" s="35" t="str">
        <f>IF(OR(S723="North America",S723="Rocky Mountain"), "Widespread",BC723)</f>
        <v>Widespread</v>
      </c>
      <c r="BB723" s="11"/>
      <c r="BC723" s="35">
        <f ca="1">IF(BE723&gt;2046, "Abundant",BE723)</f>
        <v>2030.9588392156863</v>
      </c>
      <c r="BD723" s="11"/>
      <c r="BE723" s="81">
        <f ca="1">YEAR($C$13)+(BG723*80)</f>
        <v>2030.9588392156863</v>
      </c>
      <c r="BF723" s="11"/>
      <c r="BG723" s="137">
        <f ca="1">BH723*$BH$14</f>
        <v>0.1494854901960784</v>
      </c>
      <c r="BH723" s="137">
        <f ca="1">(((BJ723+BK723+BM723+BN723)/4)*$BM$11)+(((BP723+BQ723)/2)*$BQ$11)+(((BU723+BV723+BW723)/3)*$BU$11)+(((BY723+BZ723+CA723+CB723+CC723)/5)*$CA$11)</f>
        <v>0.1494854901960784</v>
      </c>
      <c r="BI723" s="11"/>
      <c r="BJ723" s="33">
        <f>AP723/(AM723+AO723)</f>
        <v>0</v>
      </c>
      <c r="BK723" s="33">
        <f>(AN723+AO723)/(AM723+AO723)</f>
        <v>0</v>
      </c>
      <c r="BL723" s="11"/>
      <c r="BM723" s="127">
        <f>CF723/102</f>
        <v>1.3725490196078431E-2</v>
      </c>
      <c r="BN723" s="127">
        <f>C723/2</f>
        <v>0.5</v>
      </c>
      <c r="BO723" s="11"/>
      <c r="BP723" s="127">
        <f>(AK723)/($AW$6)</f>
        <v>0</v>
      </c>
      <c r="BQ723" s="127">
        <f ca="1">(CH723-$AW$4)/((YEAR($C$13))-$AW$4)</f>
        <v>6.6666666666666666E-2</v>
      </c>
      <c r="BR723" s="127">
        <f>(AL723)/($AW$6)</f>
        <v>4.0404040404040407E-2</v>
      </c>
      <c r="BS723" s="11"/>
      <c r="BT723" s="127"/>
      <c r="BU723" s="127">
        <f ca="1">(CG723-$AW$4)/((YEAR($C$13))-$AW$4)</f>
        <v>0</v>
      </c>
      <c r="BV723" s="127">
        <f>AE723/5</f>
        <v>0.6</v>
      </c>
      <c r="BW723" s="127">
        <f>AF723/5</f>
        <v>1</v>
      </c>
      <c r="BX723" s="11"/>
      <c r="BY723" s="148" t="str">
        <f>IF(E723="A",".98",IF(E723="B",".99",IF(E723="C","1.00",IF(E723="D","1.00" ))))</f>
        <v>1.00</v>
      </c>
      <c r="BZ723" s="127">
        <f>(CE723+7)/10</f>
        <v>1</v>
      </c>
      <c r="CA723" s="76" t="str">
        <f>IF(D723="Fern",".97",IF(D723="Grass",".99",IF(D723="Herb",".97",IF(D723="Shrub",".99",IF(D723="Tree","1.00",IF(D723="Vine",".98"))))))</f>
        <v>.97</v>
      </c>
      <c r="CB723" s="149" t="str">
        <f>IF(R723="Bogs Ponds Streams",".96", IF(R723="Coastal Areas",".97",IF(R723="Meadows Dry Open",".96",IF(R723="Forest &amp; Understory",".97",IF(R723="Moist Open",".98",IF(R723="Moist Shady",".96",IF(R723="Sub-Alpine","1.0")))))))</f>
        <v>.98</v>
      </c>
      <c r="CC723" s="76" t="str">
        <f>IF(S723="Local Endemic",".50",IF(S723="Regional Endemic",".70",IF(S723="Cascadia",".90",IF(S723="Rocky Mountain",".95",IF(S723="North America",".99")))))</f>
        <v>.99</v>
      </c>
      <c r="CD723" s="11"/>
      <c r="CE723" s="21">
        <f>IF(W723&gt;3,3,W723)</f>
        <v>3</v>
      </c>
      <c r="CF723" s="21">
        <f>IF(AC723&gt;102,102,AC723)</f>
        <v>1.4</v>
      </c>
      <c r="CG723" s="34">
        <f>IF(AI723&lt;$AW$4,$AW$4,AI723)</f>
        <v>2004</v>
      </c>
      <c r="CH723" s="34">
        <f>IF(AJ723&lt;$AW$4,$AW$4,AJ723)</f>
        <v>2005</v>
      </c>
      <c r="CI723" s="11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11"/>
      <c r="DC723" s="11"/>
      <c r="DD723" s="11"/>
      <c r="DE723" s="11"/>
      <c r="DF723" s="11"/>
      <c r="DG723" s="11"/>
      <c r="DH723" s="11"/>
      <c r="DI723" s="11"/>
      <c r="DJ723" s="11"/>
    </row>
    <row r="724" spans="1:115" ht="15" customHeight="1" x14ac:dyDescent="0.3">
      <c r="A724" s="235"/>
      <c r="B724" s="218"/>
      <c r="C724" s="375">
        <v>1</v>
      </c>
      <c r="D724" s="67" t="s">
        <v>2506</v>
      </c>
      <c r="E724" s="67" t="s">
        <v>2504</v>
      </c>
      <c r="F724" s="403" t="str">
        <f ca="1">IF(BC724&lt;2025, "Extinct&lt; 6Yrs?",BA724)</f>
        <v>Widespread</v>
      </c>
      <c r="G724" s="376" t="s">
        <v>525</v>
      </c>
      <c r="H724" s="376" t="s">
        <v>4028</v>
      </c>
      <c r="I724" s="379" t="s">
        <v>2699</v>
      </c>
      <c r="J724" s="378" t="s">
        <v>3518</v>
      </c>
      <c r="K724" s="378" t="s">
        <v>2807</v>
      </c>
      <c r="L724" s="65" t="s">
        <v>2246</v>
      </c>
      <c r="M724" s="64" t="s">
        <v>4796</v>
      </c>
      <c r="N724" s="64" t="s">
        <v>5694</v>
      </c>
      <c r="O724" s="64" t="s">
        <v>6592</v>
      </c>
      <c r="P724" s="404" t="s">
        <v>303</v>
      </c>
      <c r="Q724" s="67" t="s">
        <v>2552</v>
      </c>
      <c r="R724" s="61" t="s">
        <v>2498</v>
      </c>
      <c r="S724" s="61" t="s">
        <v>2495</v>
      </c>
      <c r="T724" s="134" t="str">
        <f>IF(R724="Bogs Ponds Streams","20",IF(R724="Coastal Areas","26",IF(R724="Meadows Dry Open","10",IF(R724="Forest &amp; Understory","14",IF(R724="Moist Open","12",IF(R724="Moist Shady","10",IF(R724="Sub-Alpine Slopes","0")))))))</f>
        <v>10</v>
      </c>
      <c r="U724" s="134" t="str">
        <f>IF(R724="Bogs Ponds Streams","52",IF(R724="Coastal Areas","51",IF(R724="Meadows Dry Open","53",IF(R724="Forest &amp; Understory","52",IF(R724="Moist Open","50",IF(R724="Moist Shady","46",IF(R724="Sub-Alpine Slopes","40")))))))</f>
        <v>46</v>
      </c>
      <c r="V724" s="134" t="str">
        <f>IF(R724="Bogs Ponds Streams","84",IF(R724="Coastal Areas","76",IF(R724="Meadows Dry Open","96", IF(R724="Forest &amp; Understory","90", IF(R724="Moist Open","88", IF(R724="Moist Shady","82", IF(R724="Sub-Alpine Slopes","80")))))))</f>
        <v>82</v>
      </c>
      <c r="W724" s="67">
        <v>20</v>
      </c>
      <c r="X724" s="67">
        <v>0</v>
      </c>
      <c r="Y724" s="67">
        <v>3500</v>
      </c>
      <c r="Z724" s="67" t="s">
        <v>2519</v>
      </c>
      <c r="AA724" s="67" t="s">
        <v>2518</v>
      </c>
      <c r="AB724" s="67">
        <v>6.8</v>
      </c>
      <c r="AC724" s="85">
        <f>C724+AK724+(0.1)*AL724</f>
        <v>4.5999999999999996</v>
      </c>
      <c r="AD724" s="78">
        <v>70</v>
      </c>
      <c r="AE724" s="67">
        <v>5</v>
      </c>
      <c r="AF724" s="67">
        <v>5</v>
      </c>
      <c r="AG724" s="67">
        <v>1900</v>
      </c>
      <c r="AH724" s="78">
        <v>0</v>
      </c>
      <c r="AI724" s="67">
        <f>AJ724</f>
        <v>2004</v>
      </c>
      <c r="AJ724" s="69">
        <v>2004</v>
      </c>
      <c r="AK724" s="69">
        <v>3</v>
      </c>
      <c r="AL724" s="69">
        <v>6</v>
      </c>
      <c r="AM724" s="70">
        <v>5</v>
      </c>
      <c r="AN724" s="70">
        <v>0</v>
      </c>
      <c r="AO724" s="86">
        <v>0</v>
      </c>
      <c r="AP724" s="70">
        <v>0</v>
      </c>
      <c r="AQ724" s="70">
        <v>0</v>
      </c>
      <c r="AR724" s="70">
        <v>0</v>
      </c>
      <c r="AS724" s="86">
        <v>0</v>
      </c>
      <c r="AT724" s="70">
        <v>0</v>
      </c>
      <c r="AU724" s="70">
        <v>0</v>
      </c>
      <c r="AV724" s="70">
        <v>0</v>
      </c>
      <c r="AW724" s="86">
        <v>0</v>
      </c>
      <c r="AX724" s="70">
        <v>0</v>
      </c>
      <c r="AY724" s="233"/>
      <c r="AZ724" s="4"/>
      <c r="BA724" s="35" t="str">
        <f>IF(OR(S724="North America",S724="Rocky Mountain"), "Widespread",BC724)</f>
        <v>Widespread</v>
      </c>
      <c r="BB724" s="4"/>
      <c r="BC724" s="35">
        <f ca="1">IF(BE724&gt;2046, "Abundant",BE724)</f>
        <v>2031.7522795008913</v>
      </c>
      <c r="BD724" s="4"/>
      <c r="BE724" s="81">
        <f ca="1">YEAR($C$13)+(BG724*80)</f>
        <v>2031.7522795008913</v>
      </c>
      <c r="BF724" s="4"/>
      <c r="BG724" s="137">
        <f ca="1">BH724*$BH$14</f>
        <v>0.15940349376114082</v>
      </c>
      <c r="BH724" s="137">
        <f ca="1">(((BJ724+BK724+BM724+BN724)/4)*$BM$11)+(((BP724+BQ724)/2)*$BQ$11)+(((BU724+BV724+BW724)/3)*$BU$11)+(((BY724+BZ724+CA724+CB724+CC724)/5)*$CA$11)</f>
        <v>0.15940349376114082</v>
      </c>
      <c r="BI724" s="4"/>
      <c r="BJ724" s="33">
        <f>AP724/(AM724+AO724)</f>
        <v>0</v>
      </c>
      <c r="BK724" s="33">
        <f>(AN724+AO724)/(AM724+AO724)</f>
        <v>0</v>
      </c>
      <c r="BL724" s="4"/>
      <c r="BM724" s="127">
        <f>CF724/102</f>
        <v>4.5098039215686274E-2</v>
      </c>
      <c r="BN724" s="127">
        <f>C724/2</f>
        <v>0.5</v>
      </c>
      <c r="BO724" s="4"/>
      <c r="BP724" s="127">
        <f>(AK724)/($AW$6)</f>
        <v>3.0303030303030304E-2</v>
      </c>
      <c r="BQ724" s="127">
        <f ca="1">(CH724-$AW$4)/((YEAR($C$13))-$AW$4)</f>
        <v>0</v>
      </c>
      <c r="BR724" s="127">
        <f>(AL724)/($AW$6)</f>
        <v>6.0606060606060608E-2</v>
      </c>
      <c r="BS724" s="4"/>
      <c r="BT724" s="127"/>
      <c r="BU724" s="127">
        <f ca="1">(CG724-$AW$4)/((YEAR($C$13))-$AW$4)</f>
        <v>0</v>
      </c>
      <c r="BV724" s="127">
        <f>AE724/5</f>
        <v>1</v>
      </c>
      <c r="BW724" s="127">
        <f>AF724/5</f>
        <v>1</v>
      </c>
      <c r="BX724" s="4"/>
      <c r="BY724" s="148" t="str">
        <f>IF(E724="A",".98",IF(E724="B",".99",IF(E724="C","1.00",IF(E724="D","1.00" ))))</f>
        <v>1.00</v>
      </c>
      <c r="BZ724" s="127">
        <f>(CE724+7)/10</f>
        <v>1</v>
      </c>
      <c r="CA724" s="76" t="str">
        <f>IF(D724="Fern",".97",IF(D724="Grass",".99",IF(D724="Herb",".97",IF(D724="Shrub",".99",IF(D724="Tree","1.00",IF(D724="Vine",".98"))))))</f>
        <v>.99</v>
      </c>
      <c r="CB724" s="149" t="str">
        <f>IF(R724="Bogs Ponds Streams",".96", IF(R724="Coastal Areas",".97",IF(R724="Meadows Dry Open",".96",IF(R724="Forest &amp; Understory",".97",IF(R724="Moist Open",".98",IF(R724="Moist Shady",".96",IF(R724="Sub-Alpine","1.0")))))))</f>
        <v>.96</v>
      </c>
      <c r="CC724" s="76" t="str">
        <f>IF(S724="Local Endemic",".50",IF(S724="Regional Endemic",".70",IF(S724="Cascadia",".90",IF(S724="Rocky Mountain",".95",IF(S724="North America",".99")))))</f>
        <v>.99</v>
      </c>
      <c r="CD724" s="4"/>
      <c r="CE724" s="21">
        <f>IF(W724&gt;3,3,W724)</f>
        <v>3</v>
      </c>
      <c r="CF724" s="21">
        <f>IF(AC724&gt;102,102,AC724)</f>
        <v>4.5999999999999996</v>
      </c>
      <c r="CG724" s="34">
        <f>IF(AI724&lt;$AW$4,$AW$4,AI724)</f>
        <v>2004</v>
      </c>
      <c r="CH724" s="34">
        <f>IF(AJ724&lt;$AW$4,$AW$4,AJ724)</f>
        <v>2004</v>
      </c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</row>
    <row r="725" spans="1:115" ht="15" customHeight="1" x14ac:dyDescent="0.3">
      <c r="A725" s="235"/>
      <c r="B725" s="218"/>
      <c r="C725" s="225">
        <v>8</v>
      </c>
      <c r="D725" s="59" t="s">
        <v>2506</v>
      </c>
      <c r="E725" s="59" t="s">
        <v>2504</v>
      </c>
      <c r="F725" s="397" t="str">
        <f ca="1">IF(BC725&lt;2025, "Extinct&lt; 6Yrs?",BA725)</f>
        <v>Abundant</v>
      </c>
      <c r="G725" s="363" t="s">
        <v>525</v>
      </c>
      <c r="H725" s="363" t="s">
        <v>687</v>
      </c>
      <c r="I725" s="366" t="s">
        <v>321</v>
      </c>
      <c r="J725" s="365" t="s">
        <v>3969</v>
      </c>
      <c r="K725" s="365" t="s">
        <v>1129</v>
      </c>
      <c r="L725" s="10" t="s">
        <v>1705</v>
      </c>
      <c r="M725" s="8" t="s">
        <v>4797</v>
      </c>
      <c r="N725" s="8" t="s">
        <v>5695</v>
      </c>
      <c r="O725" s="8" t="s">
        <v>6593</v>
      </c>
      <c r="P725" s="9" t="s">
        <v>303</v>
      </c>
      <c r="Q725" s="59" t="s">
        <v>2552</v>
      </c>
      <c r="R725" s="9" t="s">
        <v>2500</v>
      </c>
      <c r="S725" s="9" t="s">
        <v>2459</v>
      </c>
      <c r="T725" s="123" t="str">
        <f>IF(R725="Bogs Ponds Streams","20",IF(R725="Coastal Areas","26",IF(R725="Meadows Dry Open","10",IF(R725="Forest &amp; Understory","14",IF(R725="Moist Open","12",IF(R725="Moist Shady","10",IF(R725="Sub-Alpine Slopes","0")))))))</f>
        <v>10</v>
      </c>
      <c r="U725" s="123" t="str">
        <f>IF(R725="Bogs Ponds Streams","52",IF(R725="Coastal Areas","51",IF(R725="Meadows Dry Open","53",IF(R725="Forest &amp; Understory","52",IF(R725="Moist Open","50",IF(R725="Moist Shady","46",IF(R725="Sub-Alpine Slopes","40")))))))</f>
        <v>53</v>
      </c>
      <c r="V725" s="123" t="str">
        <f>IF(R725="Bogs Ponds Streams","84",IF(R725="Coastal Areas","76",IF(R725="Meadows Dry Open","96", IF(R725="Forest &amp; Understory","90", IF(R725="Moist Open","88", IF(R725="Moist Shady","82", IF(R725="Sub-Alpine Slopes","80")))))))</f>
        <v>96</v>
      </c>
      <c r="W725" s="59">
        <v>20</v>
      </c>
      <c r="X725" s="59">
        <v>0</v>
      </c>
      <c r="Y725" s="59">
        <v>3500</v>
      </c>
      <c r="Z725" s="59" t="s">
        <v>2519</v>
      </c>
      <c r="AA725" s="59" t="s">
        <v>2518</v>
      </c>
      <c r="AB725" s="59">
        <v>6.8</v>
      </c>
      <c r="AC725" s="45">
        <f>C725+AK725+(0.1)*AL725</f>
        <v>31.1</v>
      </c>
      <c r="AD725" s="77">
        <v>68</v>
      </c>
      <c r="AE725" s="59">
        <v>5</v>
      </c>
      <c r="AF725" s="59">
        <v>5</v>
      </c>
      <c r="AG725" s="59">
        <v>1900</v>
      </c>
      <c r="AH725" s="77">
        <v>0</v>
      </c>
      <c r="AI725" s="59">
        <f ca="1">AJ725</f>
        <v>2019</v>
      </c>
      <c r="AJ725" s="18">
        <f ca="1">YEAR(TODAY())</f>
        <v>2019</v>
      </c>
      <c r="AK725" s="18">
        <v>22</v>
      </c>
      <c r="AL725" s="18">
        <v>11</v>
      </c>
      <c r="AM725" s="18">
        <v>1</v>
      </c>
      <c r="AN725" s="18">
        <v>1</v>
      </c>
      <c r="AO725" s="18">
        <v>5</v>
      </c>
      <c r="AP725" s="18">
        <v>1</v>
      </c>
      <c r="AQ725" s="18">
        <v>0</v>
      </c>
      <c r="AR725" s="18">
        <v>0</v>
      </c>
      <c r="AS725" s="18">
        <v>0</v>
      </c>
      <c r="AT725" s="18">
        <v>0</v>
      </c>
      <c r="AU725" s="18">
        <v>0</v>
      </c>
      <c r="AV725" s="18">
        <v>0</v>
      </c>
      <c r="AW725" s="18">
        <v>0</v>
      </c>
      <c r="AX725" s="18">
        <v>0</v>
      </c>
      <c r="AY725" s="233"/>
      <c r="AZ725" s="4"/>
      <c r="BA725" s="35" t="str">
        <f ca="1">IF(OR(S725="North America",S725="Rocky Mountain"), "Widespread",BC725)</f>
        <v>Abundant</v>
      </c>
      <c r="BB725" s="4"/>
      <c r="BC725" s="35" t="str">
        <f ca="1">IF(BE725&gt;2046, "Abundant",BE725)</f>
        <v>Abundant</v>
      </c>
      <c r="BD725" s="4"/>
      <c r="BE725" s="81">
        <f ca="1">YEAR($C$13)+(BG725*80)</f>
        <v>2107.2774901960784</v>
      </c>
      <c r="BF725" s="4"/>
      <c r="BG725" s="137">
        <f ca="1">BH725*$BH$14</f>
        <v>1.1034686274509804</v>
      </c>
      <c r="BH725" s="137">
        <f ca="1">(((BJ725+BK725+BM725+BN725)/4)*$BM$11)+(((BP725+BQ725)/2)*$BQ$11)+(((BU725+BV725+BW725)/3)*$BU$11)+(((BY725+BZ725+CA725+CB725+CC725)/5)*$CA$11)</f>
        <v>1.1034686274509804</v>
      </c>
      <c r="BI725" s="4"/>
      <c r="BJ725" s="33">
        <f>AP725/(AM725+AO725)</f>
        <v>0.16666666666666666</v>
      </c>
      <c r="BK725" s="33">
        <f>(AN725+AO725)/(AM725+AO725)</f>
        <v>1</v>
      </c>
      <c r="BL725" s="4"/>
      <c r="BM725" s="127">
        <f>CF725/102</f>
        <v>0.30490196078431375</v>
      </c>
      <c r="BN725" s="127">
        <f>C725/2</f>
        <v>4</v>
      </c>
      <c r="BO725" s="4"/>
      <c r="BP725" s="127">
        <f>(AK725)/($AW$6)</f>
        <v>0.22222222222222221</v>
      </c>
      <c r="BQ725" s="127">
        <f ca="1">(CH725-$AW$4)/((YEAR($C$13))-$AW$4)</f>
        <v>1</v>
      </c>
      <c r="BR725" s="127">
        <f>(AL725)/($AW$6)</f>
        <v>0.1111111111111111</v>
      </c>
      <c r="BS725" s="4"/>
      <c r="BT725" s="127"/>
      <c r="BU725" s="127">
        <f ca="1">(CG725-$AW$4)/((YEAR($C$13))-$AW$4)</f>
        <v>1</v>
      </c>
      <c r="BV725" s="127">
        <f>AE725/5</f>
        <v>1</v>
      </c>
      <c r="BW725" s="127">
        <f>AF725/5</f>
        <v>1</v>
      </c>
      <c r="BX725" s="4"/>
      <c r="BY725" s="148" t="str">
        <f>IF(E725="A",".98",IF(E725="B",".99",IF(E725="C","1.00",IF(E725="D","1.00" ))))</f>
        <v>1.00</v>
      </c>
      <c r="BZ725" s="127">
        <f>(CE725+7)/10</f>
        <v>1</v>
      </c>
      <c r="CA725" s="76" t="str">
        <f>IF(D725="Fern",".97",IF(D725="Grass",".99",IF(D725="Herb",".97",IF(D725="Shrub",".99",IF(D725="Tree","1.00",IF(D725="Vine",".98"))))))</f>
        <v>.99</v>
      </c>
      <c r="CB725" s="149" t="str">
        <f>IF(R725="Bogs Ponds Streams",".96", IF(R725="Coastal Areas",".97",IF(R725="Meadows Dry Open",".96",IF(R725="Forest &amp; Understory",".97",IF(R725="Moist Open",".98",IF(R725="Moist Shady",".96",IF(R725="Sub-Alpine","1.0")))))))</f>
        <v>.96</v>
      </c>
      <c r="CC725" s="76" t="str">
        <f>IF(S725="Local Endemic",".50",IF(S725="Regional Endemic",".70",IF(S725="Cascadia",".90",IF(S725="Rocky Mountain",".95",IF(S725="North America",".99")))))</f>
        <v>.90</v>
      </c>
      <c r="CD725" s="4"/>
      <c r="CE725" s="21">
        <f>IF(W725&gt;3,3,W725)</f>
        <v>3</v>
      </c>
      <c r="CF725" s="21">
        <f>IF(AC725&gt;102,102,AC725)</f>
        <v>31.1</v>
      </c>
      <c r="CG725" s="34">
        <f ca="1">IF(AI725&lt;$AW$4,$AW$4,AI725)</f>
        <v>2019</v>
      </c>
      <c r="CH725" s="34">
        <f ca="1">IF(AJ725&lt;$AW$4,$AW$4,AJ725)</f>
        <v>2019</v>
      </c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</row>
    <row r="726" spans="1:115" ht="15" customHeight="1" x14ac:dyDescent="0.3">
      <c r="A726" s="235"/>
      <c r="B726" s="218"/>
      <c r="C726" s="225">
        <v>8</v>
      </c>
      <c r="D726" s="59" t="s">
        <v>2506</v>
      </c>
      <c r="E726" s="59" t="s">
        <v>2504</v>
      </c>
      <c r="F726" s="397" t="str">
        <f ca="1">IF(BC726&lt;2025, "Extinct&lt; 6Yrs?",BA726)</f>
        <v>Widespread</v>
      </c>
      <c r="G726" s="363" t="s">
        <v>525</v>
      </c>
      <c r="H726" s="363" t="s">
        <v>687</v>
      </c>
      <c r="I726" s="366" t="s">
        <v>322</v>
      </c>
      <c r="J726" s="365" t="s">
        <v>3967</v>
      </c>
      <c r="K726" s="365" t="s">
        <v>1132</v>
      </c>
      <c r="L726" s="10" t="s">
        <v>1706</v>
      </c>
      <c r="M726" s="8" t="s">
        <v>4798</v>
      </c>
      <c r="N726" s="8" t="s">
        <v>5696</v>
      </c>
      <c r="O726" s="8" t="s">
        <v>6594</v>
      </c>
      <c r="P726" s="9" t="s">
        <v>303</v>
      </c>
      <c r="Q726" s="59" t="s">
        <v>2552</v>
      </c>
      <c r="R726" s="9" t="s">
        <v>2500</v>
      </c>
      <c r="S726" s="17" t="s">
        <v>2479</v>
      </c>
      <c r="T726" s="123" t="str">
        <f>IF(R726="Bogs Ponds Streams","20",IF(R726="Coastal Areas","26",IF(R726="Meadows Dry Open","10",IF(R726="Forest &amp; Understory","14",IF(R726="Moist Open","12",IF(R726="Moist Shady","10",IF(R726="Sub-Alpine Slopes","0")))))))</f>
        <v>10</v>
      </c>
      <c r="U726" s="123" t="str">
        <f>IF(R726="Bogs Ponds Streams","52",IF(R726="Coastal Areas","51",IF(R726="Meadows Dry Open","53",IF(R726="Forest &amp; Understory","52",IF(R726="Moist Open","50",IF(R726="Moist Shady","46",IF(R726="Sub-Alpine Slopes","40")))))))</f>
        <v>53</v>
      </c>
      <c r="V726" s="123" t="str">
        <f>IF(R726="Bogs Ponds Streams","84",IF(R726="Coastal Areas","76",IF(R726="Meadows Dry Open","96", IF(R726="Forest &amp; Understory","90", IF(R726="Moist Open","88", IF(R726="Moist Shady","82", IF(R726="Sub-Alpine Slopes","80")))))))</f>
        <v>96</v>
      </c>
      <c r="W726" s="59">
        <v>20</v>
      </c>
      <c r="X726" s="59">
        <v>0</v>
      </c>
      <c r="Y726" s="59">
        <v>3500</v>
      </c>
      <c r="Z726" s="59" t="s">
        <v>2519</v>
      </c>
      <c r="AA726" s="59" t="s">
        <v>2518</v>
      </c>
      <c r="AB726" s="59">
        <v>6.8</v>
      </c>
      <c r="AC726" s="45">
        <f>C726+AK726+(0.1)*AL726</f>
        <v>30.7</v>
      </c>
      <c r="AD726" s="77">
        <v>224</v>
      </c>
      <c r="AE726" s="59">
        <v>5</v>
      </c>
      <c r="AF726" s="59">
        <v>5</v>
      </c>
      <c r="AG726" s="59">
        <v>1900</v>
      </c>
      <c r="AH726" s="77">
        <v>0</v>
      </c>
      <c r="AI726" s="59">
        <f ca="1">AJ726</f>
        <v>2019</v>
      </c>
      <c r="AJ726" s="18">
        <f ca="1">YEAR(TODAY())</f>
        <v>2019</v>
      </c>
      <c r="AK726" s="18">
        <v>22</v>
      </c>
      <c r="AL726" s="18">
        <v>7</v>
      </c>
      <c r="AM726" s="18">
        <v>1</v>
      </c>
      <c r="AN726" s="18">
        <v>1</v>
      </c>
      <c r="AO726" s="18">
        <v>5</v>
      </c>
      <c r="AP726" s="18">
        <v>1</v>
      </c>
      <c r="AQ726" s="18">
        <v>0</v>
      </c>
      <c r="AR726" s="18">
        <v>0</v>
      </c>
      <c r="AS726" s="18">
        <v>0</v>
      </c>
      <c r="AT726" s="18">
        <v>0</v>
      </c>
      <c r="AU726" s="18">
        <v>0</v>
      </c>
      <c r="AV726" s="18">
        <v>0</v>
      </c>
      <c r="AW726" s="18">
        <v>0</v>
      </c>
      <c r="AX726" s="18">
        <v>0</v>
      </c>
      <c r="AY726" s="233"/>
      <c r="AZ726" s="4"/>
      <c r="BA726" s="35" t="str">
        <f>IF(OR(S726="North America",S726="Rocky Mountain"), "Widespread",BC726)</f>
        <v>Widespread</v>
      </c>
      <c r="BB726" s="4"/>
      <c r="BC726" s="35" t="str">
        <f ca="1">IF(BE726&gt;2046, "Abundant",BE726)</f>
        <v>Abundant</v>
      </c>
      <c r="BD726" s="4"/>
      <c r="BE726" s="81">
        <f ca="1">YEAR($C$13)+(BG726*80)</f>
        <v>2107.2464313725491</v>
      </c>
      <c r="BF726" s="4"/>
      <c r="BG726" s="137">
        <f ca="1">BH726*$BH$14</f>
        <v>1.1030803921568628</v>
      </c>
      <c r="BH726" s="137">
        <f ca="1">(((BJ726+BK726+BM726+BN726)/4)*$BM$11)+(((BP726+BQ726)/2)*$BQ$11)+(((BU726+BV726+BW726)/3)*$BU$11)+(((BY726+BZ726+CA726+CB726+CC726)/5)*$CA$11)</f>
        <v>1.1030803921568628</v>
      </c>
      <c r="BI726" s="4"/>
      <c r="BJ726" s="33">
        <f>AP726/(AM726+AO726)</f>
        <v>0.16666666666666666</v>
      </c>
      <c r="BK726" s="33">
        <f>(AN726+AO726)/(AM726+AO726)</f>
        <v>1</v>
      </c>
      <c r="BL726" s="4"/>
      <c r="BM726" s="127">
        <f>CF726/102</f>
        <v>0.30098039215686273</v>
      </c>
      <c r="BN726" s="127">
        <f>C726/2</f>
        <v>4</v>
      </c>
      <c r="BO726" s="4"/>
      <c r="BP726" s="127">
        <f>(AK726)/($AW$6)</f>
        <v>0.22222222222222221</v>
      </c>
      <c r="BQ726" s="127">
        <f ca="1">(CH726-$AW$4)/((YEAR($C$13))-$AW$4)</f>
        <v>1</v>
      </c>
      <c r="BR726" s="127">
        <f>(AL726)/($AW$6)</f>
        <v>7.0707070707070704E-2</v>
      </c>
      <c r="BS726" s="4"/>
      <c r="BT726" s="127"/>
      <c r="BU726" s="127">
        <f ca="1">(CG726-$AW$4)/((YEAR($C$13))-$AW$4)</f>
        <v>1</v>
      </c>
      <c r="BV726" s="127">
        <f>AE726/5</f>
        <v>1</v>
      </c>
      <c r="BW726" s="127">
        <f>AF726/5</f>
        <v>1</v>
      </c>
      <c r="BX726" s="4"/>
      <c r="BY726" s="148" t="str">
        <f>IF(E726="A",".98",IF(E726="B",".99",IF(E726="C","1.00",IF(E726="D","1.00" ))))</f>
        <v>1.00</v>
      </c>
      <c r="BZ726" s="127">
        <f>(CE726+7)/10</f>
        <v>1</v>
      </c>
      <c r="CA726" s="76" t="str">
        <f>IF(D726="Fern",".97",IF(D726="Grass",".99",IF(D726="Herb",".97",IF(D726="Shrub",".99",IF(D726="Tree","1.00",IF(D726="Vine",".98"))))))</f>
        <v>.99</v>
      </c>
      <c r="CB726" s="149" t="str">
        <f>IF(R726="Bogs Ponds Streams",".96", IF(R726="Coastal Areas",".97",IF(R726="Meadows Dry Open",".96",IF(R726="Forest &amp; Understory",".97",IF(R726="Moist Open",".98",IF(R726="Moist Shady",".96",IF(R726="Sub-Alpine","1.0")))))))</f>
        <v>.96</v>
      </c>
      <c r="CC726" s="76" t="str">
        <f>IF(S726="Local Endemic",".50",IF(S726="Regional Endemic",".70",IF(S726="Cascadia",".90",IF(S726="Rocky Mountain",".95",IF(S726="North America",".99")))))</f>
        <v>.95</v>
      </c>
      <c r="CD726" s="4"/>
      <c r="CE726" s="21">
        <f>IF(W726&gt;3,3,W726)</f>
        <v>3</v>
      </c>
      <c r="CF726" s="21">
        <f>IF(AC726&gt;102,102,AC726)</f>
        <v>30.7</v>
      </c>
      <c r="CG726" s="34">
        <f ca="1">IF(AI726&lt;$AW$4,$AW$4,AI726)</f>
        <v>2019</v>
      </c>
      <c r="CH726" s="34">
        <f ca="1">IF(AJ726&lt;$AW$4,$AW$4,AJ726)</f>
        <v>2019</v>
      </c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</row>
    <row r="727" spans="1:115" ht="15" customHeight="1" x14ac:dyDescent="0.3">
      <c r="A727" s="235"/>
      <c r="B727" s="218"/>
      <c r="C727" s="225">
        <v>8</v>
      </c>
      <c r="D727" s="59" t="s">
        <v>2506</v>
      </c>
      <c r="E727" s="59" t="s">
        <v>2504</v>
      </c>
      <c r="F727" s="397" t="str">
        <f ca="1">IF(BC727&lt;2025, "Extinct&lt; 6Yrs?",BA727)</f>
        <v>Widespread</v>
      </c>
      <c r="G727" s="363" t="s">
        <v>525</v>
      </c>
      <c r="H727" s="363" t="s">
        <v>685</v>
      </c>
      <c r="I727" s="366" t="s">
        <v>2248</v>
      </c>
      <c r="J727" s="365" t="s">
        <v>3966</v>
      </c>
      <c r="K727" s="365" t="s">
        <v>346</v>
      </c>
      <c r="L727" s="10" t="s">
        <v>2247</v>
      </c>
      <c r="M727" s="8" t="s">
        <v>4799</v>
      </c>
      <c r="N727" s="8" t="s">
        <v>5697</v>
      </c>
      <c r="O727" s="8" t="s">
        <v>6595</v>
      </c>
      <c r="P727" s="9" t="s">
        <v>303</v>
      </c>
      <c r="Q727" s="59" t="s">
        <v>2552</v>
      </c>
      <c r="R727" s="9" t="s">
        <v>2500</v>
      </c>
      <c r="S727" s="17" t="s">
        <v>2495</v>
      </c>
      <c r="T727" s="123" t="str">
        <f>IF(R727="Bogs Ponds Streams","20",IF(R727="Coastal Areas","26",IF(R727="Meadows Dry Open","10",IF(R727="Forest &amp; Understory","14",IF(R727="Moist Open","12",IF(R727="Moist Shady","10",IF(R727="Sub-Alpine Slopes","0")))))))</f>
        <v>10</v>
      </c>
      <c r="U727" s="123" t="str">
        <f>IF(R727="Bogs Ponds Streams","52",IF(R727="Coastal Areas","51",IF(R727="Meadows Dry Open","53",IF(R727="Forest &amp; Understory","52",IF(R727="Moist Open","50",IF(R727="Moist Shady","46",IF(R727="Sub-Alpine Slopes","40")))))))</f>
        <v>53</v>
      </c>
      <c r="V727" s="123" t="str">
        <f>IF(R727="Bogs Ponds Streams","84",IF(R727="Coastal Areas","76",IF(R727="Meadows Dry Open","96", IF(R727="Forest &amp; Understory","90", IF(R727="Moist Open","88", IF(R727="Moist Shady","82", IF(R727="Sub-Alpine Slopes","80")))))))</f>
        <v>96</v>
      </c>
      <c r="W727" s="59">
        <v>20</v>
      </c>
      <c r="X727" s="59">
        <v>0</v>
      </c>
      <c r="Y727" s="59">
        <v>3500</v>
      </c>
      <c r="Z727" s="59" t="s">
        <v>2519</v>
      </c>
      <c r="AA727" s="59" t="s">
        <v>2518</v>
      </c>
      <c r="AB727" s="59">
        <v>6.8</v>
      </c>
      <c r="AC727" s="45">
        <f>C727+AK727+(0.1)*AL727</f>
        <v>107.9</v>
      </c>
      <c r="AD727" s="77">
        <v>104</v>
      </c>
      <c r="AE727" s="59">
        <v>5</v>
      </c>
      <c r="AF727" s="59">
        <v>5</v>
      </c>
      <c r="AG727" s="59">
        <v>1900</v>
      </c>
      <c r="AH727" s="77">
        <v>0</v>
      </c>
      <c r="AI727" s="59">
        <f ca="1">AJ727</f>
        <v>2019</v>
      </c>
      <c r="AJ727" s="18">
        <f ca="1">YEAR(TODAY())</f>
        <v>2019</v>
      </c>
      <c r="AK727" s="18">
        <v>99</v>
      </c>
      <c r="AL727" s="18">
        <v>9</v>
      </c>
      <c r="AM727" s="18">
        <v>1</v>
      </c>
      <c r="AN727" s="18">
        <v>1</v>
      </c>
      <c r="AO727" s="18">
        <v>5</v>
      </c>
      <c r="AP727" s="18">
        <v>1</v>
      </c>
      <c r="AQ727" s="18">
        <v>0</v>
      </c>
      <c r="AR727" s="18">
        <v>0</v>
      </c>
      <c r="AS727" s="18">
        <v>0</v>
      </c>
      <c r="AT727" s="18">
        <v>0</v>
      </c>
      <c r="AU727" s="18">
        <v>0</v>
      </c>
      <c r="AV727" s="18">
        <v>0</v>
      </c>
      <c r="AW727" s="18">
        <v>0</v>
      </c>
      <c r="AX727" s="18">
        <v>0</v>
      </c>
      <c r="AY727" s="233"/>
      <c r="AZ727" s="4"/>
      <c r="BA727" s="35" t="str">
        <f>IF(OR(S727="North America",S727="Rocky Mountain"), "Widespread",BC727)</f>
        <v>Widespread</v>
      </c>
      <c r="BB727" s="4"/>
      <c r="BC727" s="35" t="str">
        <f ca="1">IF(BE727&gt;2046, "Abundant",BE727)</f>
        <v>Abundant</v>
      </c>
      <c r="BD727" s="4"/>
      <c r="BE727" s="81">
        <f ca="1">YEAR($C$13)+(BG727*80)</f>
        <v>2124.9807999999998</v>
      </c>
      <c r="BF727" s="4"/>
      <c r="BG727" s="137">
        <f ca="1">BH727*$BH$14</f>
        <v>1.3247600000000002</v>
      </c>
      <c r="BH727" s="137">
        <f ca="1">(((BJ727+BK727+BM727+BN727)/4)*$BM$11)+(((BP727+BQ727)/2)*$BQ$11)+(((BU727+BV727+BW727)/3)*$BU$11)+(((BY727+BZ727+CA727+CB727+CC727)/5)*$CA$11)</f>
        <v>1.3247600000000002</v>
      </c>
      <c r="BI727" s="4"/>
      <c r="BJ727" s="33">
        <f>AP727/(AM727+AO727)</f>
        <v>0.16666666666666666</v>
      </c>
      <c r="BK727" s="33">
        <f>(AN727+AO727)/(AM727+AO727)</f>
        <v>1</v>
      </c>
      <c r="BL727" s="4"/>
      <c r="BM727" s="127">
        <f>CF727/102</f>
        <v>1</v>
      </c>
      <c r="BN727" s="127">
        <f>C727/2</f>
        <v>4</v>
      </c>
      <c r="BO727" s="4"/>
      <c r="BP727" s="127">
        <f>(AK727)/($AW$6)</f>
        <v>1</v>
      </c>
      <c r="BQ727" s="127">
        <f ca="1">(CH727-$AW$4)/((YEAR($C$13))-$AW$4)</f>
        <v>1</v>
      </c>
      <c r="BR727" s="127">
        <f>(AL727)/($AW$6)</f>
        <v>9.0909090909090912E-2</v>
      </c>
      <c r="BS727" s="4"/>
      <c r="BT727" s="127"/>
      <c r="BU727" s="127">
        <f ca="1">(CG727-$AW$4)/((YEAR($C$13))-$AW$4)</f>
        <v>1</v>
      </c>
      <c r="BV727" s="127">
        <f>AE727/5</f>
        <v>1</v>
      </c>
      <c r="BW727" s="127">
        <f>AF727/5</f>
        <v>1</v>
      </c>
      <c r="BX727" s="4"/>
      <c r="BY727" s="148" t="str">
        <f>IF(E727="A",".98",IF(E727="B",".99",IF(E727="C","1.00",IF(E727="D","1.00" ))))</f>
        <v>1.00</v>
      </c>
      <c r="BZ727" s="127">
        <f>(CE727+7)/10</f>
        <v>1</v>
      </c>
      <c r="CA727" s="76" t="str">
        <f>IF(D727="Fern",".97",IF(D727="Grass",".99",IF(D727="Herb",".97",IF(D727="Shrub",".99",IF(D727="Tree","1.00",IF(D727="Vine",".98"))))))</f>
        <v>.99</v>
      </c>
      <c r="CB727" s="149" t="str">
        <f>IF(R727="Bogs Ponds Streams",".96", IF(R727="Coastal Areas",".97",IF(R727="Meadows Dry Open",".96",IF(R727="Forest &amp; Understory",".97",IF(R727="Moist Open",".98",IF(R727="Moist Shady",".96",IF(R727="Sub-Alpine","1.0")))))))</f>
        <v>.96</v>
      </c>
      <c r="CC727" s="76" t="str">
        <f>IF(S727="Local Endemic",".50",IF(S727="Regional Endemic",".70",IF(S727="Cascadia",".90",IF(S727="Rocky Mountain",".95",IF(S727="North America",".99")))))</f>
        <v>.99</v>
      </c>
      <c r="CD727" s="4"/>
      <c r="CE727" s="21">
        <f>IF(W727&gt;3,3,W727)</f>
        <v>3</v>
      </c>
      <c r="CF727" s="21">
        <f>IF(AC727&gt;102,102,AC727)</f>
        <v>102</v>
      </c>
      <c r="CG727" s="34">
        <f ca="1">IF(AI727&lt;$AW$4,$AW$4,AI727)</f>
        <v>2019</v>
      </c>
      <c r="CH727" s="34">
        <f ca="1">IF(AJ727&lt;$AW$4,$AW$4,AJ727)</f>
        <v>2019</v>
      </c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</row>
    <row r="728" spans="1:115" ht="15" customHeight="1" x14ac:dyDescent="0.3">
      <c r="A728" s="235"/>
      <c r="B728" s="218"/>
      <c r="C728" s="225">
        <v>8</v>
      </c>
      <c r="D728" s="59" t="s">
        <v>2505</v>
      </c>
      <c r="E728" s="59" t="s">
        <v>2501</v>
      </c>
      <c r="F728" s="397" t="str">
        <f ca="1">IF(BC728&lt;2025, "Extinct&lt; 6Yrs?",BA728)</f>
        <v>Abundant</v>
      </c>
      <c r="G728" s="363" t="s">
        <v>525</v>
      </c>
      <c r="H728" s="363" t="s">
        <v>682</v>
      </c>
      <c r="I728" s="366" t="s">
        <v>323</v>
      </c>
      <c r="J728" s="9" t="s">
        <v>3965</v>
      </c>
      <c r="K728" s="365" t="s">
        <v>4</v>
      </c>
      <c r="L728" s="10" t="s">
        <v>1707</v>
      </c>
      <c r="M728" s="8" t="s">
        <v>4800</v>
      </c>
      <c r="N728" s="8" t="s">
        <v>5698</v>
      </c>
      <c r="O728" s="8" t="s">
        <v>6596</v>
      </c>
      <c r="P728" s="9" t="s">
        <v>303</v>
      </c>
      <c r="Q728" s="59" t="s">
        <v>2552</v>
      </c>
      <c r="R728" s="9" t="s">
        <v>2498</v>
      </c>
      <c r="S728" s="9" t="s">
        <v>2309</v>
      </c>
      <c r="T728" s="123" t="str">
        <f>IF(R728="Bogs Ponds Streams","20",IF(R728="Coastal Areas","26",IF(R728="Meadows Dry Open","10",IF(R728="Forest &amp; Understory","14",IF(R728="Moist Open","12",IF(R728="Moist Shady","10",IF(R728="Sub-Alpine Slopes","0")))))))</f>
        <v>10</v>
      </c>
      <c r="U728" s="123" t="str">
        <f>IF(R728="Bogs Ponds Streams","52",IF(R728="Coastal Areas","51",IF(R728="Meadows Dry Open","53",IF(R728="Forest &amp; Understory","52",IF(R728="Moist Open","50",IF(R728="Moist Shady","46",IF(R728="Sub-Alpine Slopes","40")))))))</f>
        <v>46</v>
      </c>
      <c r="V728" s="123" t="str">
        <f>IF(R728="Bogs Ponds Streams","84",IF(R728="Coastal Areas","76",IF(R728="Meadows Dry Open","96", IF(R728="Forest &amp; Understory","90", IF(R728="Moist Open","88", IF(R728="Moist Shady","82", IF(R728="Sub-Alpine Slopes","80")))))))</f>
        <v>82</v>
      </c>
      <c r="W728" s="59">
        <v>20</v>
      </c>
      <c r="X728" s="59">
        <v>0</v>
      </c>
      <c r="Y728" s="59">
        <v>3500</v>
      </c>
      <c r="Z728" s="59" t="s">
        <v>2519</v>
      </c>
      <c r="AA728" s="59" t="s">
        <v>2518</v>
      </c>
      <c r="AB728" s="59">
        <v>6.8</v>
      </c>
      <c r="AC728" s="45">
        <f>C728+AK728+(0.1)*AL728</f>
        <v>42.1</v>
      </c>
      <c r="AD728" s="77">
        <v>160</v>
      </c>
      <c r="AE728" s="59">
        <v>5</v>
      </c>
      <c r="AF728" s="59">
        <v>5</v>
      </c>
      <c r="AG728" s="59">
        <v>1900</v>
      </c>
      <c r="AH728" s="77">
        <v>0</v>
      </c>
      <c r="AI728" s="59">
        <f ca="1">AJ728</f>
        <v>2019</v>
      </c>
      <c r="AJ728" s="18">
        <f ca="1">YEAR(TODAY())</f>
        <v>2019</v>
      </c>
      <c r="AK728" s="18">
        <v>33</v>
      </c>
      <c r="AL728" s="18">
        <v>11</v>
      </c>
      <c r="AM728" s="18">
        <v>1</v>
      </c>
      <c r="AN728" s="18">
        <v>1</v>
      </c>
      <c r="AO728" s="18">
        <v>5</v>
      </c>
      <c r="AP728" s="18">
        <v>1</v>
      </c>
      <c r="AQ728" s="18">
        <v>0</v>
      </c>
      <c r="AR728" s="18">
        <v>0</v>
      </c>
      <c r="AS728" s="18">
        <v>0</v>
      </c>
      <c r="AT728" s="18">
        <v>0</v>
      </c>
      <c r="AU728" s="18">
        <v>0</v>
      </c>
      <c r="AV728" s="18">
        <v>0</v>
      </c>
      <c r="AW728" s="18">
        <v>0</v>
      </c>
      <c r="AX728" s="18">
        <v>0</v>
      </c>
      <c r="AY728" s="233"/>
      <c r="AZ728" s="4"/>
      <c r="BA728" s="35" t="str">
        <f ca="1">IF(OR(S728="North America",S728="Rocky Mountain"), "Widespread",BC728)</f>
        <v>Abundant</v>
      </c>
      <c r="BB728" s="4"/>
      <c r="BC728" s="35" t="str">
        <f ca="1">IF(BE728&gt;2046, "Abundant",BE728)</f>
        <v>Abundant</v>
      </c>
      <c r="BD728" s="4"/>
      <c r="BE728" s="81">
        <f ca="1">YEAR($C$13)+(BG728*80)</f>
        <v>2109.8345411764708</v>
      </c>
      <c r="BF728" s="4"/>
      <c r="BG728" s="137">
        <f ca="1">BH728*$BH$14</f>
        <v>1.1354317647058827</v>
      </c>
      <c r="BH728" s="137">
        <f ca="1">(((BJ728+BK728+BM728+BN728)/4)*$BM$11)+(((BP728+BQ728)/2)*$BQ$11)+(((BU728+BV728+BW728)/3)*$BU$11)+(((BY728+BZ728+CA728+CB728+CC728)/5)*$CA$11)</f>
        <v>1.1354317647058827</v>
      </c>
      <c r="BI728" s="4"/>
      <c r="BJ728" s="33">
        <f>AP728/(AM728+AO728)</f>
        <v>0.16666666666666666</v>
      </c>
      <c r="BK728" s="33">
        <f>(AN728+AO728)/(AM728+AO728)</f>
        <v>1</v>
      </c>
      <c r="BL728" s="4"/>
      <c r="BM728" s="127">
        <f>CF728/102</f>
        <v>0.41274509803921572</v>
      </c>
      <c r="BN728" s="127">
        <f>C728/2</f>
        <v>4</v>
      </c>
      <c r="BO728" s="4"/>
      <c r="BP728" s="127">
        <f>(AK728)/($AW$6)</f>
        <v>0.33333333333333331</v>
      </c>
      <c r="BQ728" s="127">
        <f ca="1">(CH728-$AW$4)/((YEAR($C$13))-$AW$4)</f>
        <v>1</v>
      </c>
      <c r="BR728" s="127">
        <f>(AL728)/($AW$6)</f>
        <v>0.1111111111111111</v>
      </c>
      <c r="BS728" s="4"/>
      <c r="BT728" s="127"/>
      <c r="BU728" s="127">
        <f ca="1">(CG728-$AW$4)/((YEAR($C$13))-$AW$4)</f>
        <v>1</v>
      </c>
      <c r="BV728" s="127">
        <f>AE728/5</f>
        <v>1</v>
      </c>
      <c r="BW728" s="127">
        <f>AF728/5</f>
        <v>1</v>
      </c>
      <c r="BX728" s="4"/>
      <c r="BY728" s="148" t="str">
        <f>IF(E728="A",".98",IF(E728="B",".99",IF(E728="C","1.00",IF(E728="D","1.00" ))))</f>
        <v>1.00</v>
      </c>
      <c r="BZ728" s="127">
        <f>(CE728+7)/10</f>
        <v>1</v>
      </c>
      <c r="CA728" s="76" t="str">
        <f>IF(D728="Fern",".97",IF(D728="Grass",".99",IF(D728="Herb",".97",IF(D728="Shrub",".99",IF(D728="Tree","1.00",IF(D728="Vine",".98"))))))</f>
        <v>.97</v>
      </c>
      <c r="CB728" s="149" t="str">
        <f>IF(R728="Bogs Ponds Streams",".96", IF(R728="Coastal Areas",".97",IF(R728="Meadows Dry Open",".96",IF(R728="Forest &amp; Understory",".97",IF(R728="Moist Open",".98",IF(R728="Moist Shady",".96",IF(R728="Sub-Alpine","1.0")))))))</f>
        <v>.96</v>
      </c>
      <c r="CC728" s="76" t="str">
        <f>IF(S728="Local Endemic",".50",IF(S728="Regional Endemic",".70",IF(S728="Cascadia",".90",IF(S728="Rocky Mountain",".95",IF(S728="North America",".99")))))</f>
        <v>.70</v>
      </c>
      <c r="CD728" s="4"/>
      <c r="CE728" s="21">
        <f>IF(W728&gt;3,3,W728)</f>
        <v>3</v>
      </c>
      <c r="CF728" s="21">
        <f>IF(AC728&gt;102,102,AC728)</f>
        <v>42.1</v>
      </c>
      <c r="CG728" s="34">
        <f ca="1">IF(AI728&lt;$AW$4,$AW$4,AI728)</f>
        <v>2019</v>
      </c>
      <c r="CH728" s="34">
        <f ca="1">IF(AJ728&lt;$AW$4,$AW$4,AJ728)</f>
        <v>2019</v>
      </c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13"/>
    </row>
    <row r="729" spans="1:115" ht="15" customHeight="1" x14ac:dyDescent="0.3">
      <c r="A729" s="235"/>
      <c r="B729" s="218"/>
      <c r="C729" s="225">
        <v>8</v>
      </c>
      <c r="D729" s="59" t="s">
        <v>2505</v>
      </c>
      <c r="E729" s="59" t="s">
        <v>2501</v>
      </c>
      <c r="F729" s="397" t="str">
        <f ca="1">IF(BC729&lt;2025, "Extinct&lt; 6Yrs?",BA729)</f>
        <v>Abundant</v>
      </c>
      <c r="G729" s="363" t="s">
        <v>525</v>
      </c>
      <c r="H729" s="363" t="s">
        <v>685</v>
      </c>
      <c r="I729" s="366" t="s">
        <v>77</v>
      </c>
      <c r="J729" s="365" t="s">
        <v>3964</v>
      </c>
      <c r="K729" s="365" t="s">
        <v>76</v>
      </c>
      <c r="L729" s="10" t="s">
        <v>2480</v>
      </c>
      <c r="M729" s="8" t="s">
        <v>4801</v>
      </c>
      <c r="N729" s="8" t="s">
        <v>5699</v>
      </c>
      <c r="O729" s="8" t="s">
        <v>6597</v>
      </c>
      <c r="P729" s="9" t="s">
        <v>303</v>
      </c>
      <c r="Q729" s="59" t="s">
        <v>2552</v>
      </c>
      <c r="R729" s="9" t="s">
        <v>2498</v>
      </c>
      <c r="S729" s="9" t="s">
        <v>2459</v>
      </c>
      <c r="T729" s="123" t="str">
        <f>IF(R729="Bogs Ponds Streams","20",IF(R729="Coastal Areas","26",IF(R729="Meadows Dry Open","10",IF(R729="Forest &amp; Understory","14",IF(R729="Moist Open","12",IF(R729="Moist Shady","10",IF(R729="Sub-Alpine Slopes","0")))))))</f>
        <v>10</v>
      </c>
      <c r="U729" s="123" t="str">
        <f>IF(R729="Bogs Ponds Streams","52",IF(R729="Coastal Areas","51",IF(R729="Meadows Dry Open","53",IF(R729="Forest &amp; Understory","52",IF(R729="Moist Open","50",IF(R729="Moist Shady","46",IF(R729="Sub-Alpine Slopes","40")))))))</f>
        <v>46</v>
      </c>
      <c r="V729" s="123" t="str">
        <f>IF(R729="Bogs Ponds Streams","84",IF(R729="Coastal Areas","76",IF(R729="Meadows Dry Open","96", IF(R729="Forest &amp; Understory","90", IF(R729="Moist Open","88", IF(R729="Moist Shady","82", IF(R729="Sub-Alpine Slopes","80")))))))</f>
        <v>82</v>
      </c>
      <c r="W729" s="59">
        <v>20</v>
      </c>
      <c r="X729" s="59">
        <v>0</v>
      </c>
      <c r="Y729" s="59">
        <v>3500</v>
      </c>
      <c r="Z729" s="59" t="s">
        <v>2519</v>
      </c>
      <c r="AA729" s="59" t="s">
        <v>2518</v>
      </c>
      <c r="AB729" s="59">
        <v>6.8</v>
      </c>
      <c r="AC729" s="45">
        <f>C729+AK729+(0.1)*AL729</f>
        <v>98.2</v>
      </c>
      <c r="AD729" s="77">
        <v>160</v>
      </c>
      <c r="AE729" s="59">
        <v>5</v>
      </c>
      <c r="AF729" s="59">
        <v>5</v>
      </c>
      <c r="AG729" s="59">
        <v>1900</v>
      </c>
      <c r="AH729" s="77">
        <v>0</v>
      </c>
      <c r="AI729" s="59">
        <f ca="1">AJ729</f>
        <v>2019</v>
      </c>
      <c r="AJ729" s="18">
        <f ca="1">YEAR(TODAY())</f>
        <v>2019</v>
      </c>
      <c r="AK729" s="18">
        <v>88</v>
      </c>
      <c r="AL729" s="18">
        <v>22</v>
      </c>
      <c r="AM729" s="18">
        <v>1</v>
      </c>
      <c r="AN729" s="18">
        <v>1</v>
      </c>
      <c r="AO729" s="24">
        <v>1</v>
      </c>
      <c r="AP729" s="24">
        <v>0</v>
      </c>
      <c r="AQ729" s="18">
        <v>0</v>
      </c>
      <c r="AR729" s="18">
        <v>0</v>
      </c>
      <c r="AS729" s="18">
        <v>0</v>
      </c>
      <c r="AT729" s="18">
        <v>0</v>
      </c>
      <c r="AU729" s="18">
        <v>0</v>
      </c>
      <c r="AV729" s="18">
        <v>0</v>
      </c>
      <c r="AW729" s="18">
        <v>0</v>
      </c>
      <c r="AX729" s="18">
        <v>0</v>
      </c>
      <c r="AY729" s="233"/>
      <c r="AZ729" s="4"/>
      <c r="BA729" s="35" t="str">
        <f ca="1">IF(OR(S729="North America",S729="Rocky Mountain"), "Widespread",BC729)</f>
        <v>Abundant</v>
      </c>
      <c r="BB729" s="4"/>
      <c r="BC729" s="35" t="str">
        <f ca="1">IF(BE729&gt;2046, "Abundant",BE729)</f>
        <v>Abundant</v>
      </c>
      <c r="BD729" s="4"/>
      <c r="BE729" s="81">
        <f ca="1">YEAR($C$13)+(BG729*80)</f>
        <v>2121.1652078431371</v>
      </c>
      <c r="BF729" s="4"/>
      <c r="BG729" s="137">
        <f ca="1">BH729*$BH$14</f>
        <v>1.2770650980392158</v>
      </c>
      <c r="BH729" s="137">
        <f ca="1">(((BJ729+BK729+BM729+BN729)/4)*$BM$11)+(((BP729+BQ729)/2)*$BQ$11)+(((BU729+BV729+BW729)/3)*$BU$11)+(((BY729+BZ729+CA729+CB729+CC729)/5)*$CA$11)</f>
        <v>1.2770650980392158</v>
      </c>
      <c r="BI729" s="4"/>
      <c r="BJ729" s="33">
        <f>AP729/(AM729+AO729)</f>
        <v>0</v>
      </c>
      <c r="BK729" s="33">
        <f>(AN729+AO729)/(AM729+AO729)</f>
        <v>1</v>
      </c>
      <c r="BL729" s="4"/>
      <c r="BM729" s="127">
        <f>CF729/102</f>
        <v>0.96274509803921571</v>
      </c>
      <c r="BN729" s="127">
        <f>C729/2</f>
        <v>4</v>
      </c>
      <c r="BO729" s="4"/>
      <c r="BP729" s="127">
        <f>(AK729)/($AW$6)</f>
        <v>0.88888888888888884</v>
      </c>
      <c r="BQ729" s="127">
        <f ca="1">(CH729-$AW$4)/((YEAR($C$13))-$AW$4)</f>
        <v>1</v>
      </c>
      <c r="BR729" s="127">
        <f>(AL729)/($AW$6)</f>
        <v>0.22222222222222221</v>
      </c>
      <c r="BS729" s="4"/>
      <c r="BT729" s="127"/>
      <c r="BU729" s="127">
        <f ca="1">(CG729-$AW$4)/((YEAR($C$13))-$AW$4)</f>
        <v>1</v>
      </c>
      <c r="BV729" s="127">
        <f>AE729/5</f>
        <v>1</v>
      </c>
      <c r="BW729" s="127">
        <f>AF729/5</f>
        <v>1</v>
      </c>
      <c r="BX729" s="4"/>
      <c r="BY729" s="148" t="str">
        <f>IF(E729="A",".98",IF(E729="B",".99",IF(E729="C","1.00",IF(E729="D","1.00" ))))</f>
        <v>1.00</v>
      </c>
      <c r="BZ729" s="127">
        <f>(CE729+7)/10</f>
        <v>1</v>
      </c>
      <c r="CA729" s="76" t="str">
        <f>IF(D729="Fern",".97",IF(D729="Grass",".99",IF(D729="Herb",".97",IF(D729="Shrub",".99",IF(D729="Tree","1.00",IF(D729="Vine",".98"))))))</f>
        <v>.97</v>
      </c>
      <c r="CB729" s="149" t="str">
        <f>IF(R729="Bogs Ponds Streams",".96", IF(R729="Coastal Areas",".97",IF(R729="Meadows Dry Open",".96",IF(R729="Forest &amp; Understory",".97",IF(R729="Moist Open",".98",IF(R729="Moist Shady",".96",IF(R729="Sub-Alpine","1.0")))))))</f>
        <v>.96</v>
      </c>
      <c r="CC729" s="76" t="str">
        <f>IF(S729="Local Endemic",".50",IF(S729="Regional Endemic",".70",IF(S729="Cascadia",".90",IF(S729="Rocky Mountain",".95",IF(S729="North America",".99")))))</f>
        <v>.90</v>
      </c>
      <c r="CD729" s="4"/>
      <c r="CE729" s="21">
        <f>IF(W729&gt;3,3,W729)</f>
        <v>3</v>
      </c>
      <c r="CF729" s="21">
        <f>IF(AC729&gt;102,102,AC729)</f>
        <v>98.2</v>
      </c>
      <c r="CG729" s="34">
        <f ca="1">IF(AI729&lt;$AW$4,$AW$4,AI729)</f>
        <v>2019</v>
      </c>
      <c r="CH729" s="34">
        <f ca="1">IF(AJ729&lt;$AW$4,$AW$4,AJ729)</f>
        <v>2019</v>
      </c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13"/>
    </row>
    <row r="730" spans="1:115" ht="15" customHeight="1" x14ac:dyDescent="0.3">
      <c r="A730" s="235"/>
      <c r="B730" s="218"/>
      <c r="C730" s="225">
        <v>8</v>
      </c>
      <c r="D730" s="59" t="s">
        <v>2505</v>
      </c>
      <c r="E730" s="59" t="s">
        <v>2501</v>
      </c>
      <c r="F730" s="397" t="str">
        <f ca="1">IF(BC730&lt;2025, "Extinct&lt; 6Yrs?",BA730)</f>
        <v>Abundant</v>
      </c>
      <c r="G730" s="363" t="s">
        <v>525</v>
      </c>
      <c r="H730" s="363" t="s">
        <v>689</v>
      </c>
      <c r="I730" s="366" t="s">
        <v>3126</v>
      </c>
      <c r="J730" s="365" t="s">
        <v>3963</v>
      </c>
      <c r="K730" s="365" t="s">
        <v>1130</v>
      </c>
      <c r="L730" s="10" t="s">
        <v>1708</v>
      </c>
      <c r="M730" s="8" t="s">
        <v>4802</v>
      </c>
      <c r="N730" s="8" t="s">
        <v>5700</v>
      </c>
      <c r="O730" s="8" t="s">
        <v>6598</v>
      </c>
      <c r="P730" s="9" t="s">
        <v>303</v>
      </c>
      <c r="Q730" s="59" t="s">
        <v>2552</v>
      </c>
      <c r="R730" s="9" t="s">
        <v>2500</v>
      </c>
      <c r="S730" s="9" t="s">
        <v>2459</v>
      </c>
      <c r="T730" s="123" t="str">
        <f>IF(R730="Bogs Ponds Streams","20",IF(R730="Coastal Areas","26",IF(R730="Meadows Dry Open","10",IF(R730="Forest &amp; Understory","14",IF(R730="Moist Open","12",IF(R730="Moist Shady","10",IF(R730="Sub-Alpine Slopes","0")))))))</f>
        <v>10</v>
      </c>
      <c r="U730" s="123" t="str">
        <f>IF(R730="Bogs Ponds Streams","52",IF(R730="Coastal Areas","51",IF(R730="Meadows Dry Open","53",IF(R730="Forest &amp; Understory","52",IF(R730="Moist Open","50",IF(R730="Moist Shady","46",IF(R730="Sub-Alpine Slopes","40")))))))</f>
        <v>53</v>
      </c>
      <c r="V730" s="123" t="str">
        <f>IF(R730="Bogs Ponds Streams","84",IF(R730="Coastal Areas","76",IF(R730="Meadows Dry Open","96", IF(R730="Forest &amp; Understory","90", IF(R730="Moist Open","88", IF(R730="Moist Shady","82", IF(R730="Sub-Alpine Slopes","80")))))))</f>
        <v>96</v>
      </c>
      <c r="W730" s="59">
        <v>20</v>
      </c>
      <c r="X730" s="59">
        <v>0</v>
      </c>
      <c r="Y730" s="59">
        <v>3500</v>
      </c>
      <c r="Z730" s="59" t="s">
        <v>2519</v>
      </c>
      <c r="AA730" s="59" t="s">
        <v>2518</v>
      </c>
      <c r="AB730" s="59">
        <v>6.8</v>
      </c>
      <c r="AC730" s="45">
        <f>C730+AK730+(0.1)*AL730</f>
        <v>76.2</v>
      </c>
      <c r="AD730" s="77">
        <v>149</v>
      </c>
      <c r="AE730" s="59">
        <v>5</v>
      </c>
      <c r="AF730" s="59">
        <v>5</v>
      </c>
      <c r="AG730" s="59">
        <v>1900</v>
      </c>
      <c r="AH730" s="77">
        <v>0</v>
      </c>
      <c r="AI730" s="59">
        <f ca="1">AJ730</f>
        <v>2019</v>
      </c>
      <c r="AJ730" s="18">
        <f ca="1">YEAR(TODAY())</f>
        <v>2019</v>
      </c>
      <c r="AK730" s="18">
        <v>66</v>
      </c>
      <c r="AL730" s="18">
        <v>22</v>
      </c>
      <c r="AM730" s="18">
        <v>1</v>
      </c>
      <c r="AN730" s="18">
        <v>1</v>
      </c>
      <c r="AO730" s="18">
        <v>5</v>
      </c>
      <c r="AP730" s="18">
        <v>1</v>
      </c>
      <c r="AQ730" s="18">
        <v>0</v>
      </c>
      <c r="AR730" s="18">
        <v>0</v>
      </c>
      <c r="AS730" s="18">
        <v>0</v>
      </c>
      <c r="AT730" s="18">
        <v>0</v>
      </c>
      <c r="AU730" s="18">
        <v>0</v>
      </c>
      <c r="AV730" s="18">
        <v>0</v>
      </c>
      <c r="AW730" s="18">
        <v>0</v>
      </c>
      <c r="AX730" s="18">
        <v>0</v>
      </c>
      <c r="AY730" s="233"/>
      <c r="AZ730" s="4"/>
      <c r="BA730" s="35" t="str">
        <f ca="1">IF(OR(S730="North America",S730="Rocky Mountain"), "Widespread",BC730)</f>
        <v>Abundant</v>
      </c>
      <c r="BB730" s="4"/>
      <c r="BC730" s="35" t="str">
        <f ca="1">IF(BE730&gt;2046, "Abundant",BE730)</f>
        <v>Abundant</v>
      </c>
      <c r="BD730" s="4"/>
      <c r="BE730" s="81">
        <f ca="1">YEAR($C$13)+(BG730*80)</f>
        <v>2117.910305882353</v>
      </c>
      <c r="BF730" s="4"/>
      <c r="BG730" s="137">
        <f ca="1">BH730*$BH$14</f>
        <v>1.2363788235294118</v>
      </c>
      <c r="BH730" s="137">
        <f ca="1">(((BJ730+BK730+BM730+BN730)/4)*$BM$11)+(((BP730+BQ730)/2)*$BQ$11)+(((BU730+BV730+BW730)/3)*$BU$11)+(((BY730+BZ730+CA730+CB730+CC730)/5)*$CA$11)</f>
        <v>1.2363788235294118</v>
      </c>
      <c r="BI730" s="4"/>
      <c r="BJ730" s="33">
        <f>AP730/(AM730+AO730)</f>
        <v>0.16666666666666666</v>
      </c>
      <c r="BK730" s="33">
        <f>(AN730+AO730)/(AM730+AO730)</f>
        <v>1</v>
      </c>
      <c r="BL730" s="4"/>
      <c r="BM730" s="127">
        <f>CF730/102</f>
        <v>0.74705882352941178</v>
      </c>
      <c r="BN730" s="127">
        <f>C730/2</f>
        <v>4</v>
      </c>
      <c r="BO730" s="4"/>
      <c r="BP730" s="127">
        <f>(AK730)/($AW$6)</f>
        <v>0.66666666666666663</v>
      </c>
      <c r="BQ730" s="127">
        <f ca="1">(CH730-$AW$4)/((YEAR($C$13))-$AW$4)</f>
        <v>1</v>
      </c>
      <c r="BR730" s="127">
        <f>(AL730)/($AW$6)</f>
        <v>0.22222222222222221</v>
      </c>
      <c r="BS730" s="4"/>
      <c r="BT730" s="127"/>
      <c r="BU730" s="127">
        <f ca="1">(CG730-$AW$4)/((YEAR($C$13))-$AW$4)</f>
        <v>1</v>
      </c>
      <c r="BV730" s="127">
        <f>AE730/5</f>
        <v>1</v>
      </c>
      <c r="BW730" s="127">
        <f>AF730/5</f>
        <v>1</v>
      </c>
      <c r="BX730" s="4"/>
      <c r="BY730" s="148" t="str">
        <f>IF(E730="A",".98",IF(E730="B",".99",IF(E730="C","1.00",IF(E730="D","1.00" ))))</f>
        <v>1.00</v>
      </c>
      <c r="BZ730" s="127">
        <f>(CE730+7)/10</f>
        <v>1</v>
      </c>
      <c r="CA730" s="76" t="str">
        <f>IF(D730="Fern",".97",IF(D730="Grass",".99",IF(D730="Herb",".97",IF(D730="Shrub",".99",IF(D730="Tree","1.00",IF(D730="Vine",".98"))))))</f>
        <v>.97</v>
      </c>
      <c r="CB730" s="149" t="str">
        <f>IF(R730="Bogs Ponds Streams",".96", IF(R730="Coastal Areas",".97",IF(R730="Meadows Dry Open",".96",IF(R730="Forest &amp; Understory",".97",IF(R730="Moist Open",".98",IF(R730="Moist Shady",".96",IF(R730="Sub-Alpine","1.0")))))))</f>
        <v>.96</v>
      </c>
      <c r="CC730" s="76" t="str">
        <f>IF(S730="Local Endemic",".50",IF(S730="Regional Endemic",".70",IF(S730="Cascadia",".90",IF(S730="Rocky Mountain",".95",IF(S730="North America",".99")))))</f>
        <v>.90</v>
      </c>
      <c r="CD730" s="4"/>
      <c r="CE730" s="21">
        <f>IF(W730&gt;3,3,W730)</f>
        <v>3</v>
      </c>
      <c r="CF730" s="21">
        <f>IF(AC730&gt;102,102,AC730)</f>
        <v>76.2</v>
      </c>
      <c r="CG730" s="34">
        <f ca="1">IF(AI730&lt;$AW$4,$AW$4,AI730)</f>
        <v>2019</v>
      </c>
      <c r="CH730" s="34">
        <f ca="1">IF(AJ730&lt;$AW$4,$AW$4,AJ730)</f>
        <v>2019</v>
      </c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13"/>
    </row>
    <row r="731" spans="1:115" ht="15" customHeight="1" x14ac:dyDescent="0.3">
      <c r="A731" s="235"/>
      <c r="B731" s="218"/>
      <c r="C731" s="225">
        <v>8</v>
      </c>
      <c r="D731" s="59" t="s">
        <v>2505</v>
      </c>
      <c r="E731" s="59" t="s">
        <v>2501</v>
      </c>
      <c r="F731" s="397" t="str">
        <f ca="1">IF(BC731&lt;2025, "Extinct&lt; 6Yrs?",BA731)</f>
        <v>Widespread</v>
      </c>
      <c r="G731" s="363" t="s">
        <v>525</v>
      </c>
      <c r="H731" s="363" t="s">
        <v>691</v>
      </c>
      <c r="I731" s="364" t="s">
        <v>1197</v>
      </c>
      <c r="J731" s="365" t="s">
        <v>3962</v>
      </c>
      <c r="K731" s="365" t="s">
        <v>1198</v>
      </c>
      <c r="L731" s="10" t="s">
        <v>1709</v>
      </c>
      <c r="M731" s="8" t="s">
        <v>4803</v>
      </c>
      <c r="N731" s="8" t="s">
        <v>5701</v>
      </c>
      <c r="O731" s="8" t="s">
        <v>6599</v>
      </c>
      <c r="P731" s="9" t="s">
        <v>51</v>
      </c>
      <c r="Q731" s="59" t="s">
        <v>2552</v>
      </c>
      <c r="R731" s="9" t="s">
        <v>2500</v>
      </c>
      <c r="S731" s="17" t="s">
        <v>2495</v>
      </c>
      <c r="T731" s="123" t="str">
        <f>IF(R731="Bogs Ponds Streams","20",IF(R731="Coastal Areas","26",IF(R731="Meadows Dry Open","10",IF(R731="Forest &amp; Understory","14",IF(R731="Moist Open","12",IF(R731="Moist Shady","10",IF(R731="Sub-Alpine Slopes","0")))))))</f>
        <v>10</v>
      </c>
      <c r="U731" s="123" t="str">
        <f>IF(R731="Bogs Ponds Streams","52",IF(R731="Coastal Areas","51",IF(R731="Meadows Dry Open","53",IF(R731="Forest &amp; Understory","52",IF(R731="Moist Open","50",IF(R731="Moist Shady","46",IF(R731="Sub-Alpine Slopes","40")))))))</f>
        <v>53</v>
      </c>
      <c r="V731" s="123" t="str">
        <f>IF(R731="Bogs Ponds Streams","84",IF(R731="Coastal Areas","76",IF(R731="Meadows Dry Open","96", IF(R731="Forest &amp; Understory","90", IF(R731="Moist Open","88", IF(R731="Moist Shady","82", IF(R731="Sub-Alpine Slopes","80")))))))</f>
        <v>96</v>
      </c>
      <c r="W731" s="59">
        <v>20</v>
      </c>
      <c r="X731" s="59">
        <v>0</v>
      </c>
      <c r="Y731" s="59">
        <v>3500</v>
      </c>
      <c r="Z731" s="59" t="s">
        <v>2519</v>
      </c>
      <c r="AA731" s="59" t="s">
        <v>2518</v>
      </c>
      <c r="AB731" s="59">
        <v>6.8</v>
      </c>
      <c r="AC731" s="45">
        <f>C731+AK731+(0.1)*AL731</f>
        <v>97.1</v>
      </c>
      <c r="AD731" s="77">
        <v>6</v>
      </c>
      <c r="AE731" s="59">
        <v>5</v>
      </c>
      <c r="AF731" s="59">
        <v>5</v>
      </c>
      <c r="AG731" s="59">
        <v>1900</v>
      </c>
      <c r="AH731" s="77">
        <v>0</v>
      </c>
      <c r="AI731" s="59">
        <f ca="1">AJ731</f>
        <v>2019</v>
      </c>
      <c r="AJ731" s="18">
        <f ca="1">YEAR(TODAY())</f>
        <v>2019</v>
      </c>
      <c r="AK731" s="18">
        <v>88</v>
      </c>
      <c r="AL731" s="18">
        <v>11</v>
      </c>
      <c r="AM731" s="18">
        <v>1</v>
      </c>
      <c r="AN731" s="18">
        <v>1</v>
      </c>
      <c r="AO731" s="18">
        <v>5</v>
      </c>
      <c r="AP731" s="18">
        <v>1</v>
      </c>
      <c r="AQ731" s="18">
        <v>0</v>
      </c>
      <c r="AR731" s="18">
        <v>0</v>
      </c>
      <c r="AS731" s="18">
        <v>0</v>
      </c>
      <c r="AT731" s="18">
        <v>0</v>
      </c>
      <c r="AU731" s="18">
        <v>0</v>
      </c>
      <c r="AV731" s="18">
        <v>0</v>
      </c>
      <c r="AW731" s="18">
        <v>0</v>
      </c>
      <c r="AX731" s="18">
        <v>0</v>
      </c>
      <c r="AY731" s="233"/>
      <c r="AZ731" s="4"/>
      <c r="BA731" s="35" t="str">
        <f>IF(OR(S731="North America",S731="Rocky Mountain"), "Widespread",BC731)</f>
        <v>Widespread</v>
      </c>
      <c r="BB731" s="4"/>
      <c r="BC731" s="35" t="str">
        <f ca="1">IF(BE731&gt;2046, "Abundant",BE731)</f>
        <v>Abundant</v>
      </c>
      <c r="BD731" s="4"/>
      <c r="BE731" s="81">
        <f ca="1">YEAR($C$13)+(BG731*80)</f>
        <v>2123.0645960784314</v>
      </c>
      <c r="BF731" s="4"/>
      <c r="BG731" s="137">
        <f ca="1">BH731*$BH$14</f>
        <v>1.3008074509803922</v>
      </c>
      <c r="BH731" s="137">
        <f ca="1">(((BJ731+BK731+BM731+BN731)/4)*$BM$11)+(((BP731+BQ731)/2)*$BQ$11)+(((BU731+BV731+BW731)/3)*$BU$11)+(((BY731+BZ731+CA731+CB731+CC731)/5)*$CA$11)</f>
        <v>1.3008074509803922</v>
      </c>
      <c r="BI731" s="4"/>
      <c r="BJ731" s="33">
        <f>AP731/(AM731+AO731)</f>
        <v>0.16666666666666666</v>
      </c>
      <c r="BK731" s="33">
        <f>(AN731+AO731)/(AM731+AO731)</f>
        <v>1</v>
      </c>
      <c r="BL731" s="4"/>
      <c r="BM731" s="127">
        <f>CF731/102</f>
        <v>0.95196078431372544</v>
      </c>
      <c r="BN731" s="127">
        <f>C731/2</f>
        <v>4</v>
      </c>
      <c r="BO731" s="4"/>
      <c r="BP731" s="127">
        <f>(AK731)/($AW$6)</f>
        <v>0.88888888888888884</v>
      </c>
      <c r="BQ731" s="127">
        <f ca="1">(CH731-$AW$4)/((YEAR($C$13))-$AW$4)</f>
        <v>1</v>
      </c>
      <c r="BR731" s="127">
        <f>(AL731)/($AW$6)</f>
        <v>0.1111111111111111</v>
      </c>
      <c r="BS731" s="4"/>
      <c r="BT731" s="127"/>
      <c r="BU731" s="127">
        <f ca="1">(CG731-$AW$4)/((YEAR($C$13))-$AW$4)</f>
        <v>1</v>
      </c>
      <c r="BV731" s="127">
        <f>AE731/5</f>
        <v>1</v>
      </c>
      <c r="BW731" s="127">
        <f>AF731/5</f>
        <v>1</v>
      </c>
      <c r="BX731" s="4"/>
      <c r="BY731" s="148" t="str">
        <f>IF(E731="A",".98",IF(E731="B",".99",IF(E731="C","1.00",IF(E731="D","1.00" ))))</f>
        <v>1.00</v>
      </c>
      <c r="BZ731" s="127">
        <f>(CE731+7)/10</f>
        <v>1</v>
      </c>
      <c r="CA731" s="76" t="str">
        <f>IF(D731="Fern",".97",IF(D731="Grass",".99",IF(D731="Herb",".97",IF(D731="Shrub",".99",IF(D731="Tree","1.00",IF(D731="Vine",".98"))))))</f>
        <v>.97</v>
      </c>
      <c r="CB731" s="149" t="str">
        <f>IF(R731="Bogs Ponds Streams",".96", IF(R731="Coastal Areas",".97",IF(R731="Meadows Dry Open",".96",IF(R731="Forest &amp; Understory",".97",IF(R731="Moist Open",".98",IF(R731="Moist Shady",".96",IF(R731="Sub-Alpine","1.0")))))))</f>
        <v>.96</v>
      </c>
      <c r="CC731" s="76" t="str">
        <f>IF(S731="Local Endemic",".50",IF(S731="Regional Endemic",".70",IF(S731="Cascadia",".90",IF(S731="Rocky Mountain",".95",IF(S731="North America",".99")))))</f>
        <v>.99</v>
      </c>
      <c r="CD731" s="4"/>
      <c r="CE731" s="21">
        <f>IF(W731&gt;3,3,W731)</f>
        <v>3</v>
      </c>
      <c r="CF731" s="21">
        <f>IF(AC731&gt;102,102,AC731)</f>
        <v>97.1</v>
      </c>
      <c r="CG731" s="34">
        <f ca="1">IF(AI731&lt;$AW$4,$AW$4,AI731)</f>
        <v>2019</v>
      </c>
      <c r="CH731" s="34">
        <f ca="1">IF(AJ731&lt;$AW$4,$AW$4,AJ731)</f>
        <v>2019</v>
      </c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13"/>
    </row>
    <row r="732" spans="1:115" ht="15" customHeight="1" x14ac:dyDescent="0.3">
      <c r="A732" s="235"/>
      <c r="B732" s="218"/>
      <c r="C732" s="225">
        <v>8</v>
      </c>
      <c r="D732" s="59" t="s">
        <v>2505</v>
      </c>
      <c r="E732" s="59" t="s">
        <v>2501</v>
      </c>
      <c r="F732" s="397" t="str">
        <f ca="1">IF(BC732&lt;2025, "Extinct&lt; 6Yrs?",BA732)</f>
        <v>Widespread</v>
      </c>
      <c r="G732" s="363" t="s">
        <v>525</v>
      </c>
      <c r="H732" s="363" t="s">
        <v>679</v>
      </c>
      <c r="I732" s="366" t="s">
        <v>54</v>
      </c>
      <c r="J732" s="365" t="s">
        <v>3961</v>
      </c>
      <c r="K732" s="365" t="s">
        <v>53</v>
      </c>
      <c r="L732" s="10" t="s">
        <v>1399</v>
      </c>
      <c r="M732" s="8" t="s">
        <v>4804</v>
      </c>
      <c r="N732" s="8" t="s">
        <v>5702</v>
      </c>
      <c r="O732" s="8" t="s">
        <v>6600</v>
      </c>
      <c r="P732" s="9" t="s">
        <v>51</v>
      </c>
      <c r="Q732" s="59" t="s">
        <v>2552</v>
      </c>
      <c r="R732" s="9" t="s">
        <v>2500</v>
      </c>
      <c r="S732" s="17" t="s">
        <v>2479</v>
      </c>
      <c r="T732" s="123" t="str">
        <f>IF(R732="Bogs Ponds Streams","20",IF(R732="Coastal Areas","26",IF(R732="Meadows Dry Open","10",IF(R732="Forest &amp; Understory","14",IF(R732="Moist Open","12",IF(R732="Moist Shady","10",IF(R732="Sub-Alpine Slopes","0")))))))</f>
        <v>10</v>
      </c>
      <c r="U732" s="123" t="str">
        <f>IF(R732="Bogs Ponds Streams","52",IF(R732="Coastal Areas","51",IF(R732="Meadows Dry Open","53",IF(R732="Forest &amp; Understory","52",IF(R732="Moist Open","50",IF(R732="Moist Shady","46",IF(R732="Sub-Alpine Slopes","40")))))))</f>
        <v>53</v>
      </c>
      <c r="V732" s="123" t="str">
        <f>IF(R732="Bogs Ponds Streams","84",IF(R732="Coastal Areas","76",IF(R732="Meadows Dry Open","96", IF(R732="Forest &amp; Understory","90", IF(R732="Moist Open","88", IF(R732="Moist Shady","82", IF(R732="Sub-Alpine Slopes","80")))))))</f>
        <v>96</v>
      </c>
      <c r="W732" s="59">
        <v>20</v>
      </c>
      <c r="X732" s="59">
        <v>0</v>
      </c>
      <c r="Y732" s="59">
        <v>3500</v>
      </c>
      <c r="Z732" s="59" t="s">
        <v>2519</v>
      </c>
      <c r="AA732" s="59" t="s">
        <v>2518</v>
      </c>
      <c r="AB732" s="59">
        <v>6.8</v>
      </c>
      <c r="AC732" s="45">
        <f>C732+AK732+(0.1)*AL732</f>
        <v>9.5</v>
      </c>
      <c r="AD732" s="77">
        <v>46</v>
      </c>
      <c r="AE732" s="59">
        <v>5</v>
      </c>
      <c r="AF732" s="59">
        <v>5</v>
      </c>
      <c r="AG732" s="59">
        <v>1900</v>
      </c>
      <c r="AH732" s="77">
        <v>0</v>
      </c>
      <c r="AI732" s="59">
        <f ca="1">AJ732</f>
        <v>2019</v>
      </c>
      <c r="AJ732" s="18">
        <f ca="1">YEAR(TODAY())</f>
        <v>2019</v>
      </c>
      <c r="AK732" s="18">
        <v>1</v>
      </c>
      <c r="AL732" s="18">
        <v>5</v>
      </c>
      <c r="AM732" s="18">
        <v>1</v>
      </c>
      <c r="AN732" s="18">
        <v>1</v>
      </c>
      <c r="AO732" s="18">
        <v>5</v>
      </c>
      <c r="AP732" s="18">
        <v>1</v>
      </c>
      <c r="AQ732" s="18">
        <v>0</v>
      </c>
      <c r="AR732" s="18">
        <v>0</v>
      </c>
      <c r="AS732" s="18">
        <v>0</v>
      </c>
      <c r="AT732" s="18">
        <v>0</v>
      </c>
      <c r="AU732" s="18">
        <v>0</v>
      </c>
      <c r="AV732" s="18">
        <v>0</v>
      </c>
      <c r="AW732" s="18">
        <v>0</v>
      </c>
      <c r="AX732" s="18">
        <v>0</v>
      </c>
      <c r="AY732" s="233"/>
      <c r="AZ732" s="4"/>
      <c r="BA732" s="35" t="str">
        <f>IF(OR(S732="North America",S732="Rocky Mountain"), "Widespread",BC732)</f>
        <v>Widespread</v>
      </c>
      <c r="BB732" s="4"/>
      <c r="BC732" s="35" t="str">
        <f ca="1">IF(BE732&gt;2046, "Abundant",BE732)</f>
        <v>Abundant</v>
      </c>
      <c r="BD732" s="4"/>
      <c r="BE732" s="81">
        <f ca="1">YEAR($C$13)+(BG732*80)</f>
        <v>2102.2004591800355</v>
      </c>
      <c r="BF732" s="4"/>
      <c r="BG732" s="137">
        <f ca="1">BH732*$BH$14</f>
        <v>1.0400057397504456</v>
      </c>
      <c r="BH732" s="137">
        <f ca="1">(((BJ732+BK732+BM732+BN732)/4)*$BM$11)+(((BP732+BQ732)/2)*$BQ$11)+(((BU732+BV732+BW732)/3)*$BU$11)+(((BY732+BZ732+CA732+CB732+CC732)/5)*$CA$11)</f>
        <v>1.0400057397504456</v>
      </c>
      <c r="BI732" s="4"/>
      <c r="BJ732" s="33">
        <f>AP732/(AM732+AO732)</f>
        <v>0.16666666666666666</v>
      </c>
      <c r="BK732" s="33">
        <f>(AN732+AO732)/(AM732+AO732)</f>
        <v>1</v>
      </c>
      <c r="BL732" s="4"/>
      <c r="BM732" s="127">
        <f>CF732/102</f>
        <v>9.3137254901960786E-2</v>
      </c>
      <c r="BN732" s="127">
        <f>C732/2</f>
        <v>4</v>
      </c>
      <c r="BO732" s="4"/>
      <c r="BP732" s="127">
        <f>(AK732)/($AW$6)</f>
        <v>1.0101010101010102E-2</v>
      </c>
      <c r="BQ732" s="127">
        <f ca="1">(CH732-$AW$4)/((YEAR($C$13))-$AW$4)</f>
        <v>1</v>
      </c>
      <c r="BR732" s="127">
        <f>(AL732)/($AW$6)</f>
        <v>5.0505050505050504E-2</v>
      </c>
      <c r="BS732" s="4"/>
      <c r="BT732" s="127"/>
      <c r="BU732" s="127">
        <f ca="1">(CG732-$AW$4)/((YEAR($C$13))-$AW$4)</f>
        <v>1</v>
      </c>
      <c r="BV732" s="127">
        <f>AE732/5</f>
        <v>1</v>
      </c>
      <c r="BW732" s="127">
        <f>AF732/5</f>
        <v>1</v>
      </c>
      <c r="BX732" s="4"/>
      <c r="BY732" s="148" t="str">
        <f>IF(E732="A",".98",IF(E732="B",".99",IF(E732="C","1.00",IF(E732="D","1.00" ))))</f>
        <v>1.00</v>
      </c>
      <c r="BZ732" s="127">
        <f>(CE732+7)/10</f>
        <v>1</v>
      </c>
      <c r="CA732" s="76" t="str">
        <f>IF(D732="Fern",".97",IF(D732="Grass",".99",IF(D732="Herb",".97",IF(D732="Shrub",".99",IF(D732="Tree","1.00",IF(D732="Vine",".98"))))))</f>
        <v>.97</v>
      </c>
      <c r="CB732" s="149" t="str">
        <f>IF(R732="Bogs Ponds Streams",".96", IF(R732="Coastal Areas",".97",IF(R732="Meadows Dry Open",".96",IF(R732="Forest &amp; Understory",".97",IF(R732="Moist Open",".98",IF(R732="Moist Shady",".96",IF(R732="Sub-Alpine","1.0")))))))</f>
        <v>.96</v>
      </c>
      <c r="CC732" s="76" t="str">
        <f>IF(S732="Local Endemic",".50",IF(S732="Regional Endemic",".70",IF(S732="Cascadia",".90",IF(S732="Rocky Mountain",".95",IF(S732="North America",".99")))))</f>
        <v>.95</v>
      </c>
      <c r="CD732" s="4"/>
      <c r="CE732" s="21">
        <f>IF(W732&gt;3,3,W732)</f>
        <v>3</v>
      </c>
      <c r="CF732" s="21">
        <f>IF(AC732&gt;102,102,AC732)</f>
        <v>9.5</v>
      </c>
      <c r="CG732" s="34">
        <f ca="1">IF(AI732&lt;$AW$4,$AW$4,AI732)</f>
        <v>2019</v>
      </c>
      <c r="CH732" s="34">
        <f ca="1">IF(AJ732&lt;$AW$4,$AW$4,AJ732)</f>
        <v>2019</v>
      </c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13"/>
    </row>
    <row r="733" spans="1:115" ht="15" customHeight="1" x14ac:dyDescent="0.3">
      <c r="A733" s="235"/>
      <c r="B733" s="218"/>
      <c r="C733" s="225">
        <v>8</v>
      </c>
      <c r="D733" s="59" t="s">
        <v>2505</v>
      </c>
      <c r="E733" s="59" t="s">
        <v>2501</v>
      </c>
      <c r="F733" s="397" t="str">
        <f ca="1">IF(BC733&lt;2025, "Extinct&lt; 6Yrs?",BA733)</f>
        <v>Widespread</v>
      </c>
      <c r="G733" s="363" t="s">
        <v>525</v>
      </c>
      <c r="H733" s="363" t="s">
        <v>686</v>
      </c>
      <c r="I733" s="364" t="s">
        <v>2700</v>
      </c>
      <c r="J733" s="365" t="s">
        <v>3960</v>
      </c>
      <c r="K733" s="365" t="s">
        <v>2808</v>
      </c>
      <c r="L733" s="17" t="s">
        <v>3164</v>
      </c>
      <c r="M733" s="8" t="s">
        <v>4805</v>
      </c>
      <c r="N733" s="8" t="s">
        <v>5703</v>
      </c>
      <c r="O733" s="8" t="s">
        <v>6601</v>
      </c>
      <c r="P733" s="398" t="s">
        <v>268</v>
      </c>
      <c r="Q733" s="59" t="s">
        <v>2552</v>
      </c>
      <c r="R733" s="9" t="s">
        <v>2498</v>
      </c>
      <c r="S733" s="9" t="s">
        <v>2495</v>
      </c>
      <c r="T733" s="123" t="str">
        <f>IF(R733="Bogs Ponds Streams","20",IF(R733="Coastal Areas","26",IF(R733="Meadows Dry Open","10",IF(R733="Forest &amp; Understory","14",IF(R733="Moist Open","12",IF(R733="Moist Shady","10",IF(R733="Sub-Alpine Slopes","0")))))))</f>
        <v>10</v>
      </c>
      <c r="U733" s="123" t="str">
        <f>IF(R733="Bogs Ponds Streams","52",IF(R733="Coastal Areas","51",IF(R733="Meadows Dry Open","53",IF(R733="Forest &amp; Understory","52",IF(R733="Moist Open","50",IF(R733="Moist Shady","46",IF(R733="Sub-Alpine Slopes","40")))))))</f>
        <v>46</v>
      </c>
      <c r="V733" s="123" t="str">
        <f>IF(R733="Bogs Ponds Streams","84",IF(R733="Coastal Areas","76",IF(R733="Meadows Dry Open","96", IF(R733="Forest &amp; Understory","90", IF(R733="Moist Open","88", IF(R733="Moist Shady","82", IF(R733="Sub-Alpine Slopes","80")))))))</f>
        <v>82</v>
      </c>
      <c r="W733" s="59">
        <v>20</v>
      </c>
      <c r="X733" s="59">
        <v>0</v>
      </c>
      <c r="Y733" s="59">
        <v>3500</v>
      </c>
      <c r="Z733" s="59" t="s">
        <v>2519</v>
      </c>
      <c r="AA733" s="59" t="s">
        <v>2518</v>
      </c>
      <c r="AB733" s="59">
        <v>6.8</v>
      </c>
      <c r="AC733" s="45">
        <f>C733+AK733+(0.1)*AL733</f>
        <v>31.1</v>
      </c>
      <c r="AD733" s="77">
        <v>46</v>
      </c>
      <c r="AE733" s="59">
        <v>5</v>
      </c>
      <c r="AF733" s="59">
        <v>5</v>
      </c>
      <c r="AG733" s="59">
        <v>1900</v>
      </c>
      <c r="AH733" s="77">
        <v>0</v>
      </c>
      <c r="AI733" s="59">
        <f>AJ733</f>
        <v>2004</v>
      </c>
      <c r="AJ733" s="18">
        <v>2004</v>
      </c>
      <c r="AK733" s="18">
        <v>22</v>
      </c>
      <c r="AL733" s="18">
        <v>11</v>
      </c>
      <c r="AM733" s="24">
        <v>5</v>
      </c>
      <c r="AN733" s="24">
        <v>0</v>
      </c>
      <c r="AO733" s="25">
        <v>0</v>
      </c>
      <c r="AP733" s="24">
        <v>0</v>
      </c>
      <c r="AQ733" s="24">
        <v>0</v>
      </c>
      <c r="AR733" s="24">
        <v>0</v>
      </c>
      <c r="AS733" s="25">
        <v>0</v>
      </c>
      <c r="AT733" s="24">
        <v>0</v>
      </c>
      <c r="AU733" s="24">
        <v>0</v>
      </c>
      <c r="AV733" s="24">
        <v>0</v>
      </c>
      <c r="AW733" s="25">
        <v>0</v>
      </c>
      <c r="AX733" s="24">
        <v>0</v>
      </c>
      <c r="AY733" s="233"/>
      <c r="AZ733" s="4"/>
      <c r="BA733" s="35" t="str">
        <f>IF(OR(S733="North America",S733="Rocky Mountain"), "Widespread",BC733)</f>
        <v>Widespread</v>
      </c>
      <c r="BB733" s="4"/>
      <c r="BC733" s="35" t="str">
        <f ca="1">IF(BE733&gt;2046, "Abundant",BE733)</f>
        <v>Abundant</v>
      </c>
      <c r="BD733" s="4"/>
      <c r="BE733" s="81">
        <f ca="1">YEAR($C$13)+(BG733*80)</f>
        <v>2079.166556862745</v>
      </c>
      <c r="BF733" s="4"/>
      <c r="BG733" s="137">
        <f ca="1">BH733*$BH$14</f>
        <v>0.75208196078431366</v>
      </c>
      <c r="BH733" s="137">
        <f ca="1">(((BJ733+BK733+BM733+BN733)/4)*$BM$11)+(((BP733+BQ733)/2)*$BQ$11)+(((BU733+BV733+BW733)/3)*$BU$11)+(((BY733+BZ733+CA733+CB733+CC733)/5)*$CA$11)</f>
        <v>0.75208196078431366</v>
      </c>
      <c r="BI733" s="4"/>
      <c r="BJ733" s="33">
        <f>AP733/(AM733+AO733)</f>
        <v>0</v>
      </c>
      <c r="BK733" s="33">
        <f>(AN733+AO733)/(AM733+AO733)</f>
        <v>0</v>
      </c>
      <c r="BL733" s="4"/>
      <c r="BM733" s="127">
        <f>CF733/102</f>
        <v>0.30490196078431375</v>
      </c>
      <c r="BN733" s="127">
        <f>C733/2</f>
        <v>4</v>
      </c>
      <c r="BO733" s="4"/>
      <c r="BP733" s="127">
        <f>(AK733)/($AW$6)</f>
        <v>0.22222222222222221</v>
      </c>
      <c r="BQ733" s="127">
        <f ca="1">(CH733-$AW$4)/((YEAR($C$13))-$AW$4)</f>
        <v>0</v>
      </c>
      <c r="BR733" s="127">
        <f>(AL733)/($AW$6)</f>
        <v>0.1111111111111111</v>
      </c>
      <c r="BS733" s="4"/>
      <c r="BT733" s="127"/>
      <c r="BU733" s="127">
        <f ca="1">(CG733-$AW$4)/((YEAR($C$13))-$AW$4)</f>
        <v>0</v>
      </c>
      <c r="BV733" s="127">
        <f>AE733/5</f>
        <v>1</v>
      </c>
      <c r="BW733" s="127">
        <f>AF733/5</f>
        <v>1</v>
      </c>
      <c r="BX733" s="4"/>
      <c r="BY733" s="148" t="str">
        <f>IF(E733="A",".98",IF(E733="B",".99",IF(E733="C","1.00",IF(E733="D","1.00" ))))</f>
        <v>1.00</v>
      </c>
      <c r="BZ733" s="127">
        <f>(CE733+7)/10</f>
        <v>1</v>
      </c>
      <c r="CA733" s="76" t="str">
        <f>IF(D733="Fern",".97",IF(D733="Grass",".99",IF(D733="Herb",".97",IF(D733="Shrub",".99",IF(D733="Tree","1.00",IF(D733="Vine",".98"))))))</f>
        <v>.97</v>
      </c>
      <c r="CB733" s="149" t="str">
        <f>IF(R733="Bogs Ponds Streams",".96", IF(R733="Coastal Areas",".97",IF(R733="Meadows Dry Open",".96",IF(R733="Forest &amp; Understory",".97",IF(R733="Moist Open",".98",IF(R733="Moist Shady",".96",IF(R733="Sub-Alpine","1.0")))))))</f>
        <v>.96</v>
      </c>
      <c r="CC733" s="76" t="str">
        <f>IF(S733="Local Endemic",".50",IF(S733="Regional Endemic",".70",IF(S733="Cascadia",".90",IF(S733="Rocky Mountain",".95",IF(S733="North America",".99")))))</f>
        <v>.99</v>
      </c>
      <c r="CD733" s="4"/>
      <c r="CE733" s="21">
        <f>IF(W733&gt;3,3,W733)</f>
        <v>3</v>
      </c>
      <c r="CF733" s="21">
        <f>IF(AC733&gt;102,102,AC733)</f>
        <v>31.1</v>
      </c>
      <c r="CG733" s="34">
        <f>IF(AI733&lt;$AW$4,$AW$4,AI733)</f>
        <v>2004</v>
      </c>
      <c r="CH733" s="34">
        <f>IF(AJ733&lt;$AW$4,$AW$4,AJ733)</f>
        <v>2004</v>
      </c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13"/>
    </row>
    <row r="734" spans="1:115" ht="15" customHeight="1" x14ac:dyDescent="0.3">
      <c r="A734" s="235"/>
      <c r="B734" s="218"/>
      <c r="C734" s="375">
        <v>1</v>
      </c>
      <c r="D734" s="67" t="s">
        <v>2505</v>
      </c>
      <c r="E734" s="67" t="s">
        <v>2501</v>
      </c>
      <c r="F734" s="403" t="str">
        <f ca="1">IF(BC734&lt;2025, "Extinct&lt; 6Yrs?",BA734)</f>
        <v>Widespread</v>
      </c>
      <c r="G734" s="376" t="s">
        <v>525</v>
      </c>
      <c r="H734" s="376" t="s">
        <v>4028</v>
      </c>
      <c r="I734" s="379" t="s">
        <v>2701</v>
      </c>
      <c r="J734" s="378" t="s">
        <v>3517</v>
      </c>
      <c r="K734" s="378" t="s">
        <v>1131</v>
      </c>
      <c r="L734" s="65" t="s">
        <v>1710</v>
      </c>
      <c r="M734" s="64" t="s">
        <v>4806</v>
      </c>
      <c r="N734" s="64" t="s">
        <v>5704</v>
      </c>
      <c r="O734" s="64" t="s">
        <v>6602</v>
      </c>
      <c r="P734" s="404" t="s">
        <v>268</v>
      </c>
      <c r="Q734" s="67" t="s">
        <v>2552</v>
      </c>
      <c r="R734" s="163" t="s">
        <v>2497</v>
      </c>
      <c r="S734" s="65" t="s">
        <v>2495</v>
      </c>
      <c r="T734" s="134" t="str">
        <f>IF(R734="Bogs Ponds Streams","20",IF(R734="Coastal Areas","26",IF(R734="Meadows Dry Open","10",IF(R734="Forest &amp; Understory","14",IF(R734="Moist Open","12",IF(R734="Moist Shady","10",IF(R734="Sub-Alpine Slopes","0")))))))</f>
        <v>12</v>
      </c>
      <c r="U734" s="134" t="str">
        <f>IF(R734="Bogs Ponds Streams","52",IF(R734="Coastal Areas","51",IF(R734="Meadows Dry Open","53",IF(R734="Forest &amp; Understory","52",IF(R734="Moist Open","50",IF(R734="Moist Shady","46",IF(R734="Sub-Alpine Slopes","40")))))))</f>
        <v>50</v>
      </c>
      <c r="V734" s="134" t="str">
        <f>IF(R734="Bogs Ponds Streams","84",IF(R734="Coastal Areas","76",IF(R734="Meadows Dry Open","96", IF(R734="Forest &amp; Understory","90", IF(R734="Moist Open","88", IF(R734="Moist Shady","82", IF(R734="Sub-Alpine Slopes","80")))))))</f>
        <v>88</v>
      </c>
      <c r="W734" s="67">
        <v>20</v>
      </c>
      <c r="X734" s="67">
        <v>0</v>
      </c>
      <c r="Y734" s="67">
        <v>10</v>
      </c>
      <c r="Z734" s="67" t="s">
        <v>2519</v>
      </c>
      <c r="AA734" s="67" t="s">
        <v>2518</v>
      </c>
      <c r="AB734" s="67">
        <v>6.8</v>
      </c>
      <c r="AC734" s="85">
        <f>C734+AK734+(0.1)*AL734</f>
        <v>2</v>
      </c>
      <c r="AD734" s="78">
        <v>4</v>
      </c>
      <c r="AE734" s="67">
        <v>5</v>
      </c>
      <c r="AF734" s="67">
        <v>5</v>
      </c>
      <c r="AG734" s="67">
        <v>1910</v>
      </c>
      <c r="AH734" s="78">
        <v>0</v>
      </c>
      <c r="AI734" s="67">
        <v>1936</v>
      </c>
      <c r="AJ734" s="69">
        <v>2004</v>
      </c>
      <c r="AK734" s="69">
        <v>1</v>
      </c>
      <c r="AL734" s="69">
        <v>0</v>
      </c>
      <c r="AM734" s="70">
        <v>5</v>
      </c>
      <c r="AN734" s="70">
        <v>0</v>
      </c>
      <c r="AO734" s="86">
        <v>0</v>
      </c>
      <c r="AP734" s="70">
        <v>0</v>
      </c>
      <c r="AQ734" s="70">
        <v>0</v>
      </c>
      <c r="AR734" s="70">
        <v>0</v>
      </c>
      <c r="AS734" s="86">
        <v>0</v>
      </c>
      <c r="AT734" s="70">
        <v>0</v>
      </c>
      <c r="AU734" s="70">
        <v>0</v>
      </c>
      <c r="AV734" s="70">
        <v>0</v>
      </c>
      <c r="AW734" s="86">
        <v>0</v>
      </c>
      <c r="AX734" s="70">
        <v>0</v>
      </c>
      <c r="AY734" s="233"/>
      <c r="AZ734" s="4"/>
      <c r="BA734" s="35" t="str">
        <f>IF(OR(S734="North America",S734="Rocky Mountain"), "Widespread",BC734)</f>
        <v>Widespread</v>
      </c>
      <c r="BB734" s="4"/>
      <c r="BC734" s="35">
        <f ca="1">IF(BE734&gt;2046, "Abundant",BE734)</f>
        <v>2031.2039729055259</v>
      </c>
      <c r="BD734" s="4"/>
      <c r="BE734" s="81">
        <f ca="1">YEAR($C$13)+(BG734*80)</f>
        <v>2031.2039729055259</v>
      </c>
      <c r="BF734" s="4"/>
      <c r="BG734" s="137">
        <f ca="1">BH734*$BH$14</f>
        <v>0.15254966131907308</v>
      </c>
      <c r="BH734" s="137">
        <f ca="1">(((BJ734+BK734+BM734+BN734)/4)*$BM$11)+(((BP734+BQ734)/2)*$BQ$11)+(((BU734+BV734+BW734)/3)*$BU$11)+(((BY734+BZ734+CA734+CB734+CC734)/5)*$CA$11)</f>
        <v>0.15254966131907308</v>
      </c>
      <c r="BI734" s="4"/>
      <c r="BJ734" s="33">
        <f>AP734/(AM734+AO734)</f>
        <v>0</v>
      </c>
      <c r="BK734" s="33">
        <f>(AN734+AO734)/(AM734+AO734)</f>
        <v>0</v>
      </c>
      <c r="BL734" s="4"/>
      <c r="BM734" s="127">
        <f>CF734/102</f>
        <v>1.9607843137254902E-2</v>
      </c>
      <c r="BN734" s="127">
        <f>C734/2</f>
        <v>0.5</v>
      </c>
      <c r="BO734" s="4"/>
      <c r="BP734" s="127">
        <f>(AK734)/($AW$6)</f>
        <v>1.0101010101010102E-2</v>
      </c>
      <c r="BQ734" s="127">
        <f ca="1">(CH734-$AW$4)/((YEAR($C$13))-$AW$4)</f>
        <v>0</v>
      </c>
      <c r="BR734" s="127">
        <f>(AL734)/($AW$6)</f>
        <v>0</v>
      </c>
      <c r="BS734" s="4"/>
      <c r="BT734" s="127"/>
      <c r="BU734" s="127">
        <f ca="1">(CG734-$AW$4)/((YEAR($C$13))-$AW$4)</f>
        <v>0</v>
      </c>
      <c r="BV734" s="127">
        <f>AE734/5</f>
        <v>1</v>
      </c>
      <c r="BW734" s="127">
        <f>AF734/5</f>
        <v>1</v>
      </c>
      <c r="BX734" s="4"/>
      <c r="BY734" s="148" t="str">
        <f>IF(E734="A",".98",IF(E734="B",".99",IF(E734="C","1.00",IF(E734="D","1.00" ))))</f>
        <v>1.00</v>
      </c>
      <c r="BZ734" s="127">
        <f>(CE734+7)/10</f>
        <v>1</v>
      </c>
      <c r="CA734" s="76" t="str">
        <f>IF(D734="Fern",".97",IF(D734="Grass",".99",IF(D734="Herb",".97",IF(D734="Shrub",".99",IF(D734="Tree","1.00",IF(D734="Vine",".98"))))))</f>
        <v>.97</v>
      </c>
      <c r="CB734" s="149" t="str">
        <f>IF(R734="Bogs Ponds Streams",".96", IF(R734="Coastal Areas",".97",IF(R734="Meadows Dry Open",".96",IF(R734="Forest &amp; Understory",".97",IF(R734="Moist Open",".98",IF(R734="Moist Shady",".96",IF(R734="Sub-Alpine","1.0")))))))</f>
        <v>.98</v>
      </c>
      <c r="CC734" s="76" t="str">
        <f>IF(S734="Local Endemic",".50",IF(S734="Regional Endemic",".70",IF(S734="Cascadia",".90",IF(S734="Rocky Mountain",".95",IF(S734="North America",".99")))))</f>
        <v>.99</v>
      </c>
      <c r="CD734" s="4"/>
      <c r="CE734" s="21">
        <f>IF(W734&gt;3,3,W734)</f>
        <v>3</v>
      </c>
      <c r="CF734" s="21">
        <f>IF(AC734&gt;102,102,AC734)</f>
        <v>2</v>
      </c>
      <c r="CG734" s="34">
        <f>IF(AI734&lt;$AW$4,$AW$4,AI734)</f>
        <v>2004</v>
      </c>
      <c r="CH734" s="34">
        <f>IF(AJ734&lt;$AW$4,$AW$4,AJ734)</f>
        <v>2004</v>
      </c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</row>
    <row r="735" spans="1:115" ht="15" customHeight="1" x14ac:dyDescent="0.3">
      <c r="A735" s="235"/>
      <c r="B735" s="218"/>
      <c r="C735" s="226">
        <v>2</v>
      </c>
      <c r="D735" s="104" t="s">
        <v>2505</v>
      </c>
      <c r="E735" s="104" t="s">
        <v>2501</v>
      </c>
      <c r="F735" s="400">
        <f ca="1">IF(BC735&lt;2025, "Extinct&lt; 6Yrs?",BA735)</f>
        <v>2042.1938823529413</v>
      </c>
      <c r="G735" s="369" t="s">
        <v>525</v>
      </c>
      <c r="H735" s="369" t="s">
        <v>4028</v>
      </c>
      <c r="I735" s="370" t="s">
        <v>3127</v>
      </c>
      <c r="J735" s="371" t="s">
        <v>3703</v>
      </c>
      <c r="K735" s="371" t="s">
        <v>2809</v>
      </c>
      <c r="L735" s="106" t="s">
        <v>1711</v>
      </c>
      <c r="M735" s="111" t="s">
        <v>4807</v>
      </c>
      <c r="N735" s="111" t="s">
        <v>5705</v>
      </c>
      <c r="O735" s="111" t="s">
        <v>6603</v>
      </c>
      <c r="P735" s="105" t="s">
        <v>345</v>
      </c>
      <c r="Q735" s="104" t="s">
        <v>2552</v>
      </c>
      <c r="R735" s="105" t="s">
        <v>2497</v>
      </c>
      <c r="S735" s="105" t="s">
        <v>2309</v>
      </c>
      <c r="T735" s="133" t="str">
        <f>IF(R735="Bogs Ponds Streams","20",IF(R735="Coastal Areas","26",IF(R735="Meadows Dry Open","10",IF(R735="Forest &amp; Understory","14",IF(R735="Moist Open","12",IF(R735="Moist Shady","10",IF(R735="Sub-Alpine Slopes","0")))))))</f>
        <v>12</v>
      </c>
      <c r="U735" s="133" t="str">
        <f>IF(R735="Bogs Ponds Streams","52",IF(R735="Coastal Areas","51",IF(R735="Meadows Dry Open","53",IF(R735="Forest &amp; Understory","52",IF(R735="Moist Open","50",IF(R735="Moist Shady","46",IF(R735="Sub-Alpine Slopes","40")))))))</f>
        <v>50</v>
      </c>
      <c r="V735" s="133" t="str">
        <f>IF(R735="Bogs Ponds Streams","84",IF(R735="Coastal Areas","76",IF(R735="Meadows Dry Open","96", IF(R735="Forest &amp; Understory","90", IF(R735="Moist Open","88", IF(R735="Moist Shady","82", IF(R735="Sub-Alpine Slopes","80")))))))</f>
        <v>88</v>
      </c>
      <c r="W735" s="104">
        <v>20</v>
      </c>
      <c r="X735" s="104">
        <v>0</v>
      </c>
      <c r="Y735" s="104">
        <v>3500</v>
      </c>
      <c r="Z735" s="104" t="s">
        <v>2519</v>
      </c>
      <c r="AA735" s="104" t="s">
        <v>2518</v>
      </c>
      <c r="AB735" s="104">
        <v>6.8</v>
      </c>
      <c r="AC735" s="107">
        <f>C735+AK735+(0.1)*AL735</f>
        <v>14.5</v>
      </c>
      <c r="AD735" s="113">
        <v>43</v>
      </c>
      <c r="AE735" s="104">
        <v>5</v>
      </c>
      <c r="AF735" s="104">
        <v>5</v>
      </c>
      <c r="AG735" s="104">
        <v>1900</v>
      </c>
      <c r="AH735" s="113">
        <v>0</v>
      </c>
      <c r="AI735" s="104">
        <f>AJ735</f>
        <v>2004</v>
      </c>
      <c r="AJ735" s="108">
        <v>2004</v>
      </c>
      <c r="AK735" s="108">
        <v>11</v>
      </c>
      <c r="AL735" s="108">
        <v>15</v>
      </c>
      <c r="AM735" s="109">
        <v>5</v>
      </c>
      <c r="AN735" s="109">
        <v>1</v>
      </c>
      <c r="AO735" s="110">
        <v>0</v>
      </c>
      <c r="AP735" s="109">
        <v>0</v>
      </c>
      <c r="AQ735" s="109">
        <v>0</v>
      </c>
      <c r="AR735" s="109">
        <v>0</v>
      </c>
      <c r="AS735" s="110">
        <v>0</v>
      </c>
      <c r="AT735" s="109">
        <v>0</v>
      </c>
      <c r="AU735" s="109">
        <v>0</v>
      </c>
      <c r="AV735" s="109">
        <v>0</v>
      </c>
      <c r="AW735" s="110">
        <v>0</v>
      </c>
      <c r="AX735" s="109">
        <v>0</v>
      </c>
      <c r="AY735" s="233"/>
      <c r="AZ735" s="4"/>
      <c r="BA735" s="35">
        <f ca="1">IF(OR(S735="North America",S735="Rocky Mountain"), "Widespread",BC735)</f>
        <v>2042.1938823529413</v>
      </c>
      <c r="BB735" s="4"/>
      <c r="BC735" s="35">
        <f ca="1">IF(BE735&gt;2046, "Abundant",BE735)</f>
        <v>2042.1938823529413</v>
      </c>
      <c r="BD735" s="4"/>
      <c r="BE735" s="81">
        <f ca="1">YEAR($C$13)+(BG735*80)</f>
        <v>2042.1938823529413</v>
      </c>
      <c r="BF735" s="4"/>
      <c r="BG735" s="137">
        <f ca="1">BH735*$BH$14</f>
        <v>0.28992352941176469</v>
      </c>
      <c r="BH735" s="137">
        <f ca="1">(((BJ735+BK735+BM735+BN735)/4)*$BM$11)+(((BP735+BQ735)/2)*$BQ$11)+(((BU735+BV735+BW735)/3)*$BU$11)+(((BY735+BZ735+CA735+CB735+CC735)/5)*$CA$11)</f>
        <v>0.28992352941176469</v>
      </c>
      <c r="BI735" s="4"/>
      <c r="BJ735" s="33">
        <f>AP735/(AM735+AO735)</f>
        <v>0</v>
      </c>
      <c r="BK735" s="33">
        <f>(AN735+AO735)/(AM735+AO735)</f>
        <v>0.2</v>
      </c>
      <c r="BL735" s="4"/>
      <c r="BM735" s="127">
        <f>CF735/102</f>
        <v>0.14215686274509803</v>
      </c>
      <c r="BN735" s="127">
        <f>C735/2</f>
        <v>1</v>
      </c>
      <c r="BO735" s="4"/>
      <c r="BP735" s="127">
        <f>(AK735)/($AW$6)</f>
        <v>0.1111111111111111</v>
      </c>
      <c r="BQ735" s="127">
        <f ca="1">(CH735-$AW$4)/((YEAR($C$13))-$AW$4)</f>
        <v>0</v>
      </c>
      <c r="BR735" s="127">
        <f>(AL735)/($AW$6)</f>
        <v>0.15151515151515152</v>
      </c>
      <c r="BS735" s="4"/>
      <c r="BT735" s="127"/>
      <c r="BU735" s="127">
        <f ca="1">(CG735-$AW$4)/((YEAR($C$13))-$AW$4)</f>
        <v>0</v>
      </c>
      <c r="BV735" s="127">
        <f>AE735/5</f>
        <v>1</v>
      </c>
      <c r="BW735" s="127">
        <f>AF735/5</f>
        <v>1</v>
      </c>
      <c r="BX735" s="4"/>
      <c r="BY735" s="148" t="str">
        <f>IF(E735="A",".98",IF(E735="B",".99",IF(E735="C","1.00",IF(E735="D","1.00" ))))</f>
        <v>1.00</v>
      </c>
      <c r="BZ735" s="127">
        <f>(CE735+7)/10</f>
        <v>1</v>
      </c>
      <c r="CA735" s="76" t="str">
        <f>IF(D735="Fern",".97",IF(D735="Grass",".99",IF(D735="Herb",".97",IF(D735="Shrub",".99",IF(D735="Tree","1.00",IF(D735="Vine",".98"))))))</f>
        <v>.97</v>
      </c>
      <c r="CB735" s="149" t="str">
        <f>IF(R735="Bogs Ponds Streams",".96", IF(R735="Coastal Areas",".97",IF(R735="Meadows Dry Open",".96",IF(R735="Forest &amp; Understory",".97",IF(R735="Moist Open",".98",IF(R735="Moist Shady",".96",IF(R735="Sub-Alpine","1.0")))))))</f>
        <v>.98</v>
      </c>
      <c r="CC735" s="76" t="str">
        <f>IF(S735="Local Endemic",".50",IF(S735="Regional Endemic",".70",IF(S735="Cascadia",".90",IF(S735="Rocky Mountain",".95",IF(S735="North America",".99")))))</f>
        <v>.70</v>
      </c>
      <c r="CD735" s="4"/>
      <c r="CE735" s="21">
        <f>IF(W735&gt;3,3,W735)</f>
        <v>3</v>
      </c>
      <c r="CF735" s="21">
        <f>IF(AC735&gt;102,102,AC735)</f>
        <v>14.5</v>
      </c>
      <c r="CG735" s="34">
        <f>IF(AI735&lt;$AW$4,$AW$4,AI735)</f>
        <v>2004</v>
      </c>
      <c r="CH735" s="34">
        <f>IF(AJ735&lt;$AW$4,$AW$4,AJ735)</f>
        <v>2004</v>
      </c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</row>
    <row r="736" spans="1:115" ht="15" customHeight="1" x14ac:dyDescent="0.3">
      <c r="A736" s="235"/>
      <c r="B736" s="218"/>
      <c r="C736" s="375">
        <v>1</v>
      </c>
      <c r="D736" s="67" t="s">
        <v>2505</v>
      </c>
      <c r="E736" s="67" t="s">
        <v>2501</v>
      </c>
      <c r="F736" s="403">
        <f ca="1">IF(BC736&lt;2025, "Extinct&lt; 6Yrs?",BA736)</f>
        <v>2033.8432827094475</v>
      </c>
      <c r="G736" s="376" t="s">
        <v>525</v>
      </c>
      <c r="H736" s="376" t="s">
        <v>4028</v>
      </c>
      <c r="I736" s="379" t="s">
        <v>2198</v>
      </c>
      <c r="J736" s="378" t="s">
        <v>3516</v>
      </c>
      <c r="K736" s="378" t="s">
        <v>2810</v>
      </c>
      <c r="L736" s="65" t="s">
        <v>2197</v>
      </c>
      <c r="M736" s="64" t="s">
        <v>4808</v>
      </c>
      <c r="N736" s="64" t="s">
        <v>5706</v>
      </c>
      <c r="O736" s="64" t="s">
        <v>6604</v>
      </c>
      <c r="P736" s="404" t="s">
        <v>168</v>
      </c>
      <c r="Q736" s="67" t="s">
        <v>2552</v>
      </c>
      <c r="R736" s="61" t="s">
        <v>2500</v>
      </c>
      <c r="S736" s="65" t="s">
        <v>2459</v>
      </c>
      <c r="T736" s="134" t="str">
        <f>IF(R736="Bogs Ponds Streams","20",IF(R736="Coastal Areas","26",IF(R736="Meadows Dry Open","10",IF(R736="Forest &amp; Understory","14",IF(R736="Moist Open","12",IF(R736="Moist Shady","10",IF(R736="Sub-Alpine Slopes","0")))))))</f>
        <v>10</v>
      </c>
      <c r="U736" s="134" t="str">
        <f>IF(R736="Bogs Ponds Streams","52",IF(R736="Coastal Areas","51",IF(R736="Meadows Dry Open","53",IF(R736="Forest &amp; Understory","52",IF(R736="Moist Open","50",IF(R736="Moist Shady","46",IF(R736="Sub-Alpine Slopes","40")))))))</f>
        <v>53</v>
      </c>
      <c r="V736" s="134" t="str">
        <f>IF(R736="Bogs Ponds Streams","84",IF(R736="Coastal Areas","76",IF(R736="Meadows Dry Open","96", IF(R736="Forest &amp; Understory","90", IF(R736="Moist Open","88", IF(R736="Moist Shady","82", IF(R736="Sub-Alpine Slopes","80")))))))</f>
        <v>96</v>
      </c>
      <c r="W736" s="67">
        <v>20</v>
      </c>
      <c r="X736" s="67">
        <v>0</v>
      </c>
      <c r="Y736" s="67">
        <v>3500</v>
      </c>
      <c r="Z736" s="67" t="s">
        <v>2519</v>
      </c>
      <c r="AA736" s="67" t="s">
        <v>2518</v>
      </c>
      <c r="AB736" s="67">
        <v>6.8</v>
      </c>
      <c r="AC736" s="85">
        <f>C736+AK736+(0.1)*AL736</f>
        <v>13.4</v>
      </c>
      <c r="AD736" s="78">
        <v>52</v>
      </c>
      <c r="AE736" s="67">
        <v>5</v>
      </c>
      <c r="AF736" s="67">
        <v>5</v>
      </c>
      <c r="AG736" s="67">
        <v>1900</v>
      </c>
      <c r="AH736" s="78">
        <v>0</v>
      </c>
      <c r="AI736" s="67">
        <f>AJ736</f>
        <v>2004</v>
      </c>
      <c r="AJ736" s="69">
        <v>2004</v>
      </c>
      <c r="AK736" s="69">
        <v>12</v>
      </c>
      <c r="AL736" s="69">
        <v>4</v>
      </c>
      <c r="AM736" s="70">
        <v>5</v>
      </c>
      <c r="AN736" s="70">
        <v>0</v>
      </c>
      <c r="AO736" s="86">
        <v>0</v>
      </c>
      <c r="AP736" s="70">
        <v>0</v>
      </c>
      <c r="AQ736" s="70">
        <v>0</v>
      </c>
      <c r="AR736" s="70">
        <v>0</v>
      </c>
      <c r="AS736" s="86">
        <v>0</v>
      </c>
      <c r="AT736" s="70">
        <v>0</v>
      </c>
      <c r="AU736" s="70">
        <v>0</v>
      </c>
      <c r="AV736" s="70">
        <v>0</v>
      </c>
      <c r="AW736" s="86">
        <v>0</v>
      </c>
      <c r="AX736" s="70">
        <v>0</v>
      </c>
      <c r="AY736" s="233"/>
      <c r="AZ736" s="4"/>
      <c r="BA736" s="35">
        <f ca="1">IF(OR(S736="North America",S736="Rocky Mountain"), "Widespread",BC736)</f>
        <v>2033.8432827094475</v>
      </c>
      <c r="BB736" s="4"/>
      <c r="BC736" s="35">
        <f ca="1">IF(BE736&gt;2046, "Abundant",BE736)</f>
        <v>2033.8432827094475</v>
      </c>
      <c r="BD736" s="4"/>
      <c r="BE736" s="81">
        <f ca="1">YEAR($C$13)+(BG736*80)</f>
        <v>2033.8432827094475</v>
      </c>
      <c r="BF736" s="4"/>
      <c r="BG736" s="137">
        <f ca="1">BH736*$BH$14</f>
        <v>0.18554103386809268</v>
      </c>
      <c r="BH736" s="137">
        <f ca="1">(((BJ736+BK736+BM736+BN736)/4)*$BM$11)+(((BP736+BQ736)/2)*$BQ$11)+(((BU736+BV736+BW736)/3)*$BU$11)+(((BY736+BZ736+CA736+CB736+CC736)/5)*$CA$11)</f>
        <v>0.18554103386809268</v>
      </c>
      <c r="BI736" s="4"/>
      <c r="BJ736" s="33">
        <f>AP736/(AM736+AO736)</f>
        <v>0</v>
      </c>
      <c r="BK736" s="33">
        <f>(AN736+AO736)/(AM736+AO736)</f>
        <v>0</v>
      </c>
      <c r="BL736" s="4"/>
      <c r="BM736" s="127">
        <f>CF736/102</f>
        <v>0.13137254901960785</v>
      </c>
      <c r="BN736" s="127">
        <f>C736/2</f>
        <v>0.5</v>
      </c>
      <c r="BO736" s="4"/>
      <c r="BP736" s="127">
        <f>(AK736)/($AW$6)</f>
        <v>0.12121212121212122</v>
      </c>
      <c r="BQ736" s="127">
        <f ca="1">(CH736-$AW$4)/((YEAR($C$13))-$AW$4)</f>
        <v>0</v>
      </c>
      <c r="BR736" s="127">
        <f>(AL736)/($AW$6)</f>
        <v>4.0404040404040407E-2</v>
      </c>
      <c r="BS736" s="4"/>
      <c r="BT736" s="127"/>
      <c r="BU736" s="127">
        <f ca="1">(CG736-$AW$4)/((YEAR($C$13))-$AW$4)</f>
        <v>0</v>
      </c>
      <c r="BV736" s="127">
        <f>AE736/5</f>
        <v>1</v>
      </c>
      <c r="BW736" s="127">
        <f>AF736/5</f>
        <v>1</v>
      </c>
      <c r="BX736" s="4"/>
      <c r="BY736" s="148" t="str">
        <f>IF(E736="A",".98",IF(E736="B",".99",IF(E736="C","1.00",IF(E736="D","1.00" ))))</f>
        <v>1.00</v>
      </c>
      <c r="BZ736" s="127">
        <f>(CE736+7)/10</f>
        <v>1</v>
      </c>
      <c r="CA736" s="76" t="str">
        <f>IF(D736="Fern",".97",IF(D736="Grass",".99",IF(D736="Herb",".97",IF(D736="Shrub",".99",IF(D736="Tree","1.00",IF(D736="Vine",".98"))))))</f>
        <v>.97</v>
      </c>
      <c r="CB736" s="149" t="str">
        <f>IF(R736="Bogs Ponds Streams",".96", IF(R736="Coastal Areas",".97",IF(R736="Meadows Dry Open",".96",IF(R736="Forest &amp; Understory",".97",IF(R736="Moist Open",".98",IF(R736="Moist Shady",".96",IF(R736="Sub-Alpine","1.0")))))))</f>
        <v>.96</v>
      </c>
      <c r="CC736" s="76" t="str">
        <f>IF(S736="Local Endemic",".50",IF(S736="Regional Endemic",".70",IF(S736="Cascadia",".90",IF(S736="Rocky Mountain",".95",IF(S736="North America",".99")))))</f>
        <v>.90</v>
      </c>
      <c r="CD736" s="4"/>
      <c r="CE736" s="21">
        <f>IF(W736&gt;3,3,W736)</f>
        <v>3</v>
      </c>
      <c r="CF736" s="21">
        <f>IF(AC736&gt;102,102,AC736)</f>
        <v>13.4</v>
      </c>
      <c r="CG736" s="34">
        <f>IF(AI736&lt;$AW$4,$AW$4,AI736)</f>
        <v>2004</v>
      </c>
      <c r="CH736" s="34">
        <f>IF(AJ736&lt;$AW$4,$AW$4,AJ736)</f>
        <v>2004</v>
      </c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</row>
    <row r="737" spans="1:115" ht="15" customHeight="1" x14ac:dyDescent="0.3">
      <c r="A737" s="235"/>
      <c r="B737" s="218"/>
      <c r="C737" s="375">
        <v>1</v>
      </c>
      <c r="D737" s="67" t="s">
        <v>2505</v>
      </c>
      <c r="E737" s="67" t="s">
        <v>2502</v>
      </c>
      <c r="F737" s="403" t="str">
        <f ca="1">IF(BC737&lt;2025, "Extinct&lt; 6Yrs?",BA737)</f>
        <v>Widespread</v>
      </c>
      <c r="G737" s="376" t="s">
        <v>525</v>
      </c>
      <c r="H737" s="376" t="s">
        <v>4028</v>
      </c>
      <c r="I737" s="380" t="s">
        <v>170</v>
      </c>
      <c r="J737" s="378" t="s">
        <v>3515</v>
      </c>
      <c r="K737" s="378" t="s">
        <v>811</v>
      </c>
      <c r="L737" s="63" t="s">
        <v>1712</v>
      </c>
      <c r="M737" s="64" t="s">
        <v>4809</v>
      </c>
      <c r="N737" s="64" t="s">
        <v>5707</v>
      </c>
      <c r="O737" s="64" t="s">
        <v>6605</v>
      </c>
      <c r="P737" s="61" t="s">
        <v>168</v>
      </c>
      <c r="Q737" s="67" t="s">
        <v>2552</v>
      </c>
      <c r="R737" s="61" t="s">
        <v>2498</v>
      </c>
      <c r="S737" s="61" t="s">
        <v>2495</v>
      </c>
      <c r="T737" s="134" t="str">
        <f>IF(R737="Bogs Ponds Streams","20",IF(R737="Coastal Areas","26",IF(R737="Meadows Dry Open","10",IF(R737="Forest &amp; Understory","14",IF(R737="Moist Open","12",IF(R737="Moist Shady","10",IF(R737="Sub-Alpine Slopes","0")))))))</f>
        <v>10</v>
      </c>
      <c r="U737" s="134" t="str">
        <f>IF(R737="Bogs Ponds Streams","52",IF(R737="Coastal Areas","51",IF(R737="Meadows Dry Open","53",IF(R737="Forest &amp; Understory","52",IF(R737="Moist Open","50",IF(R737="Moist Shady","46",IF(R737="Sub-Alpine Slopes","40")))))))</f>
        <v>46</v>
      </c>
      <c r="V737" s="134" t="str">
        <f>IF(R737="Bogs Ponds Streams","84",IF(R737="Coastal Areas","76",IF(R737="Meadows Dry Open","96", IF(R737="Forest &amp; Understory","90", IF(R737="Moist Open","88", IF(R737="Moist Shady","82", IF(R737="Sub-Alpine Slopes","80")))))))</f>
        <v>82</v>
      </c>
      <c r="W737" s="67">
        <v>1</v>
      </c>
      <c r="X737" s="67">
        <v>0</v>
      </c>
      <c r="Y737" s="67">
        <v>3500</v>
      </c>
      <c r="Z737" s="67" t="s">
        <v>2519</v>
      </c>
      <c r="AA737" s="67" t="s">
        <v>2518</v>
      </c>
      <c r="AB737" s="67">
        <v>6.8</v>
      </c>
      <c r="AC737" s="85">
        <f>C737+AK737+(0.1)*AL737</f>
        <v>13</v>
      </c>
      <c r="AD737" s="78">
        <v>66</v>
      </c>
      <c r="AE737" s="67">
        <v>5</v>
      </c>
      <c r="AF737" s="67">
        <v>5</v>
      </c>
      <c r="AG737" s="67">
        <v>1900</v>
      </c>
      <c r="AH737" s="78">
        <v>0</v>
      </c>
      <c r="AI737" s="67">
        <f>AJ737</f>
        <v>2004</v>
      </c>
      <c r="AJ737" s="69">
        <v>2004</v>
      </c>
      <c r="AK737" s="69">
        <v>12</v>
      </c>
      <c r="AL737" s="69">
        <v>0</v>
      </c>
      <c r="AM737" s="70">
        <v>5</v>
      </c>
      <c r="AN737" s="70">
        <v>0</v>
      </c>
      <c r="AO737" s="86">
        <v>0</v>
      </c>
      <c r="AP737" s="70">
        <v>0</v>
      </c>
      <c r="AQ737" s="70">
        <v>0</v>
      </c>
      <c r="AR737" s="70">
        <v>0</v>
      </c>
      <c r="AS737" s="86">
        <v>0</v>
      </c>
      <c r="AT737" s="70">
        <v>0</v>
      </c>
      <c r="AU737" s="70">
        <v>0</v>
      </c>
      <c r="AV737" s="70">
        <v>0</v>
      </c>
      <c r="AW737" s="86">
        <v>0</v>
      </c>
      <c r="AX737" s="70">
        <v>0</v>
      </c>
      <c r="AY737" s="233"/>
      <c r="AZ737" s="4"/>
      <c r="BA737" s="35" t="str">
        <f>IF(OR(S737="North America",S737="Rocky Mountain"), "Widespread",BC737)</f>
        <v>Widespread</v>
      </c>
      <c r="BB737" s="4"/>
      <c r="BC737" s="35">
        <f ca="1">IF(BE737&gt;2046, "Abundant",BE737)</f>
        <v>2033.7546238859179</v>
      </c>
      <c r="BD737" s="4"/>
      <c r="BE737" s="81">
        <f ca="1">YEAR($C$13)+(BG737*80)</f>
        <v>2033.7546238859179</v>
      </c>
      <c r="BF737" s="4"/>
      <c r="BG737" s="137">
        <f ca="1">BH737*$BH$14</f>
        <v>0.18443279857397507</v>
      </c>
      <c r="BH737" s="137">
        <f ca="1">(((BJ737+BK737+BM737+BN737)/4)*$BM$11)+(((BP737+BQ737)/2)*$BQ$11)+(((BU737+BV737+BW737)/3)*$BU$11)+(((BY737+BZ737+CA737+CB737+CC737)/5)*$CA$11)</f>
        <v>0.18443279857397507</v>
      </c>
      <c r="BI737" s="4"/>
      <c r="BJ737" s="33">
        <f>AP737/(AM737+AO737)</f>
        <v>0</v>
      </c>
      <c r="BK737" s="33">
        <f>(AN737+AO737)/(AM737+AO737)</f>
        <v>0</v>
      </c>
      <c r="BL737" s="4"/>
      <c r="BM737" s="127">
        <f>CF737/102</f>
        <v>0.12745098039215685</v>
      </c>
      <c r="BN737" s="127">
        <f>C737/2</f>
        <v>0.5</v>
      </c>
      <c r="BO737" s="4"/>
      <c r="BP737" s="127">
        <f>(AK737)/($AW$6)</f>
        <v>0.12121212121212122</v>
      </c>
      <c r="BQ737" s="127">
        <f ca="1">(CH737-$AW$4)/((YEAR($C$13))-$AW$4)</f>
        <v>0</v>
      </c>
      <c r="BR737" s="127">
        <f>(AL737)/($AW$6)</f>
        <v>0</v>
      </c>
      <c r="BS737" s="4"/>
      <c r="BT737" s="127"/>
      <c r="BU737" s="127">
        <f ca="1">(CG737-$AW$4)/((YEAR($C$13))-$AW$4)</f>
        <v>0</v>
      </c>
      <c r="BV737" s="127">
        <f>AE737/5</f>
        <v>1</v>
      </c>
      <c r="BW737" s="127">
        <f>AF737/5</f>
        <v>1</v>
      </c>
      <c r="BX737" s="4"/>
      <c r="BY737" s="148" t="str">
        <f>IF(E737="A",".98",IF(E737="B",".99",IF(E737="C","1.00",IF(E737="D","1.00" ))))</f>
        <v>.98</v>
      </c>
      <c r="BZ737" s="127">
        <f>(CE737+7)/10</f>
        <v>0.8</v>
      </c>
      <c r="CA737" s="76" t="str">
        <f>IF(D737="Fern",".97",IF(D737="Grass",".99",IF(D737="Herb",".97",IF(D737="Shrub",".99",IF(D737="Tree","1.00",IF(D737="Vine",".98"))))))</f>
        <v>.97</v>
      </c>
      <c r="CB737" s="149" t="str">
        <f>IF(R737="Bogs Ponds Streams",".96", IF(R737="Coastal Areas",".97",IF(R737="Meadows Dry Open",".96",IF(R737="Forest &amp; Understory",".97",IF(R737="Moist Open",".98",IF(R737="Moist Shady",".96",IF(R737="Sub-Alpine","1.0")))))))</f>
        <v>.96</v>
      </c>
      <c r="CC737" s="76" t="str">
        <f>IF(S737="Local Endemic",".50",IF(S737="Regional Endemic",".70",IF(S737="Cascadia",".90",IF(S737="Rocky Mountain",".95",IF(S737="North America",".99")))))</f>
        <v>.99</v>
      </c>
      <c r="CD737" s="4"/>
      <c r="CE737" s="21">
        <f>IF(W737&gt;3,3,W737)</f>
        <v>1</v>
      </c>
      <c r="CF737" s="21">
        <f>IF(AC737&gt;102,102,AC737)</f>
        <v>13</v>
      </c>
      <c r="CG737" s="34">
        <f>IF(AI737&lt;$AW$4,$AW$4,AI737)</f>
        <v>2004</v>
      </c>
      <c r="CH737" s="34">
        <f>IF(AJ737&lt;$AW$4,$AW$4,AJ737)</f>
        <v>2004</v>
      </c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</row>
    <row r="738" spans="1:115" ht="15" customHeight="1" x14ac:dyDescent="0.3">
      <c r="A738" s="235"/>
      <c r="B738" s="218"/>
      <c r="C738" s="226">
        <v>2</v>
      </c>
      <c r="D738" s="104" t="s">
        <v>2505</v>
      </c>
      <c r="E738" s="104" t="s">
        <v>2503</v>
      </c>
      <c r="F738" s="400" t="str">
        <f ca="1">IF(BC738&lt;2025, "Extinct&lt; 6Yrs?",BA738)</f>
        <v>Abundant</v>
      </c>
      <c r="G738" s="369" t="s">
        <v>525</v>
      </c>
      <c r="H738" s="369" t="s">
        <v>4028</v>
      </c>
      <c r="I738" s="370" t="s">
        <v>171</v>
      </c>
      <c r="J738" s="371" t="s">
        <v>3702</v>
      </c>
      <c r="K738" s="371" t="s">
        <v>812</v>
      </c>
      <c r="L738" s="106" t="s">
        <v>1713</v>
      </c>
      <c r="M738" s="111" t="s">
        <v>4810</v>
      </c>
      <c r="N738" s="111" t="s">
        <v>5708</v>
      </c>
      <c r="O738" s="111" t="s">
        <v>6606</v>
      </c>
      <c r="P738" s="105" t="s">
        <v>168</v>
      </c>
      <c r="Q738" s="104" t="s">
        <v>2552</v>
      </c>
      <c r="R738" s="105" t="s">
        <v>2498</v>
      </c>
      <c r="S738" s="105" t="s">
        <v>2459</v>
      </c>
      <c r="T738" s="133" t="str">
        <f>IF(R738="Bogs Ponds Streams","20",IF(R738="Coastal Areas","26",IF(R738="Meadows Dry Open","10",IF(R738="Forest &amp; Understory","14",IF(R738="Moist Open","12",IF(R738="Moist Shady","10",IF(R738="Sub-Alpine Slopes","0")))))))</f>
        <v>10</v>
      </c>
      <c r="U738" s="133" t="str">
        <f>IF(R738="Bogs Ponds Streams","52",IF(R738="Coastal Areas","51",IF(R738="Meadows Dry Open","53",IF(R738="Forest &amp; Understory","52",IF(R738="Moist Open","50",IF(R738="Moist Shady","46",IF(R738="Sub-Alpine Slopes","40")))))))</f>
        <v>46</v>
      </c>
      <c r="V738" s="133" t="str">
        <f>IF(R738="Bogs Ponds Streams","84",IF(R738="Coastal Areas","76",IF(R738="Meadows Dry Open","96", IF(R738="Forest &amp; Understory","90", IF(R738="Moist Open","88", IF(R738="Moist Shady","82", IF(R738="Sub-Alpine Slopes","80")))))))</f>
        <v>82</v>
      </c>
      <c r="W738" s="104">
        <v>2</v>
      </c>
      <c r="X738" s="104">
        <v>0</v>
      </c>
      <c r="Y738" s="104">
        <v>3500</v>
      </c>
      <c r="Z738" s="104" t="s">
        <v>2519</v>
      </c>
      <c r="AA738" s="104" t="s">
        <v>2518</v>
      </c>
      <c r="AB738" s="104">
        <v>6.8</v>
      </c>
      <c r="AC738" s="107">
        <f>C737+AK738+(0.1)*AL738</f>
        <v>15</v>
      </c>
      <c r="AD738" s="113">
        <v>56</v>
      </c>
      <c r="AE738" s="104">
        <v>5</v>
      </c>
      <c r="AF738" s="104">
        <v>5</v>
      </c>
      <c r="AG738" s="104">
        <v>1900</v>
      </c>
      <c r="AH738" s="113">
        <v>0</v>
      </c>
      <c r="AI738" s="104">
        <f>AJ738</f>
        <v>2018</v>
      </c>
      <c r="AJ738" s="108">
        <v>2018</v>
      </c>
      <c r="AK738" s="108">
        <v>14</v>
      </c>
      <c r="AL738" s="108">
        <v>0</v>
      </c>
      <c r="AM738" s="109">
        <v>5</v>
      </c>
      <c r="AN738" s="109">
        <v>5</v>
      </c>
      <c r="AO738" s="109">
        <v>26</v>
      </c>
      <c r="AP738" s="109">
        <v>31</v>
      </c>
      <c r="AQ738" s="109">
        <v>0</v>
      </c>
      <c r="AR738" s="109">
        <v>0</v>
      </c>
      <c r="AS738" s="110">
        <v>0</v>
      </c>
      <c r="AT738" s="109">
        <v>0</v>
      </c>
      <c r="AU738" s="109">
        <v>0</v>
      </c>
      <c r="AV738" s="109">
        <v>0</v>
      </c>
      <c r="AW738" s="110">
        <v>0</v>
      </c>
      <c r="AX738" s="109">
        <v>0</v>
      </c>
      <c r="AY738" s="233"/>
      <c r="AZ738" s="4"/>
      <c r="BA738" s="35" t="str">
        <f ca="1">IF(OR(S738="North America",S738="Rocky Mountain"), "Widespread",BC738)</f>
        <v>Abundant</v>
      </c>
      <c r="BB738" s="4"/>
      <c r="BC738" s="35" t="str">
        <f ca="1">IF(BE738&gt;2046, "Abundant",BE738)</f>
        <v>Abundant</v>
      </c>
      <c r="BD738" s="4"/>
      <c r="BE738" s="81">
        <f ca="1">YEAR($C$13)+(BG738*80)</f>
        <v>2071.4298533571005</v>
      </c>
      <c r="BF738" s="4"/>
      <c r="BG738" s="137">
        <f ca="1">BH738*$BH$14</f>
        <v>0.65537316696375514</v>
      </c>
      <c r="BH738" s="137">
        <f ca="1">(((BJ738+BK738+BM738+BN738)/4)*$BM$11)+(((BP738+BQ738)/2)*$BQ$11)+(((BU738+BV738+BW738)/3)*$BU$11)+(((BY738+BZ738+CA738+CB738+CC738)/5)*$CA$11)</f>
        <v>0.65537316696375514</v>
      </c>
      <c r="BI738" s="4"/>
      <c r="BJ738" s="33">
        <f>AP738/(AM738+AO738)</f>
        <v>1</v>
      </c>
      <c r="BK738" s="33">
        <f>(AN738+AO738)/(AM738+AO738)</f>
        <v>1</v>
      </c>
      <c r="BL738" s="4"/>
      <c r="BM738" s="127">
        <f>CF738/102</f>
        <v>0.14705882352941177</v>
      </c>
      <c r="BN738" s="127">
        <f>C737/2</f>
        <v>0.5</v>
      </c>
      <c r="BO738" s="4"/>
      <c r="BP738" s="127">
        <f>(AK738)/($AW$6)</f>
        <v>0.14141414141414141</v>
      </c>
      <c r="BQ738" s="127">
        <f ca="1">(CH738-$AW$4)/((YEAR($C$13))-$AW$4)</f>
        <v>0.93333333333333335</v>
      </c>
      <c r="BR738" s="127">
        <f>(AL738)/($AW$6)</f>
        <v>0</v>
      </c>
      <c r="BS738" s="4"/>
      <c r="BT738" s="127"/>
      <c r="BU738" s="127">
        <f ca="1">(CG738-$AW$4)/((YEAR($C$13))-$AW$4)</f>
        <v>0.93333333333333335</v>
      </c>
      <c r="BV738" s="127">
        <f>AE738/5</f>
        <v>1</v>
      </c>
      <c r="BW738" s="127">
        <f>AF738/5</f>
        <v>1</v>
      </c>
      <c r="BX738" s="4"/>
      <c r="BY738" s="148" t="str">
        <f>IF(E738="A",".98",IF(E738="B",".99",IF(E738="C","1.00",IF(E738="D","1.00" ))))</f>
        <v>.99</v>
      </c>
      <c r="BZ738" s="127">
        <f>(CE738+7)/10</f>
        <v>0.9</v>
      </c>
      <c r="CA738" s="76" t="str">
        <f>IF(D738="Fern",".97",IF(D738="Grass",".99",IF(D738="Herb",".97",IF(D738="Shrub",".99",IF(D738="Tree","1.00",IF(D738="Vine",".98"))))))</f>
        <v>.97</v>
      </c>
      <c r="CB738" s="149" t="str">
        <f>IF(R738="Bogs Ponds Streams",".96", IF(R738="Coastal Areas",".97",IF(R738="Meadows Dry Open",".96",IF(R738="Forest &amp; Understory",".97",IF(R738="Moist Open",".98",IF(R738="Moist Shady",".96",IF(R738="Sub-Alpine","1.0")))))))</f>
        <v>.96</v>
      </c>
      <c r="CC738" s="76" t="str">
        <f>IF(S738="Local Endemic",".50",IF(S738="Regional Endemic",".70",IF(S738="Cascadia",".90",IF(S738="Rocky Mountain",".95",IF(S738="North America",".99")))))</f>
        <v>.90</v>
      </c>
      <c r="CD738" s="4"/>
      <c r="CE738" s="21">
        <f>IF(W738&gt;3,3,W738)</f>
        <v>2</v>
      </c>
      <c r="CF738" s="21">
        <f>IF(AC738&gt;102,102,AC738)</f>
        <v>15</v>
      </c>
      <c r="CG738" s="34">
        <f>IF(AI738&lt;$AW$4,$AW$4,AI738)</f>
        <v>2018</v>
      </c>
      <c r="CH738" s="34">
        <f>IF(AJ738&lt;$AW$4,$AW$4,AJ738)</f>
        <v>2018</v>
      </c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</row>
    <row r="739" spans="1:115" ht="15" customHeight="1" x14ac:dyDescent="0.3">
      <c r="A739" s="235"/>
      <c r="B739" s="218"/>
      <c r="C739" s="225">
        <v>8</v>
      </c>
      <c r="D739" s="59" t="s">
        <v>2505</v>
      </c>
      <c r="E739" s="59" t="s">
        <v>2501</v>
      </c>
      <c r="F739" s="397" t="str">
        <f ca="1">IF(BC739&lt;2025, "Extinct&lt; 6Yrs?",BA739)</f>
        <v>Widespread</v>
      </c>
      <c r="G739" s="363" t="s">
        <v>525</v>
      </c>
      <c r="H739" s="363" t="s">
        <v>680</v>
      </c>
      <c r="I739" s="366" t="s">
        <v>399</v>
      </c>
      <c r="J739" s="365" t="s">
        <v>3959</v>
      </c>
      <c r="K739" s="365" t="s">
        <v>813</v>
      </c>
      <c r="L739" s="10" t="s">
        <v>1714</v>
      </c>
      <c r="M739" s="8" t="s">
        <v>4811</v>
      </c>
      <c r="N739" s="8" t="s">
        <v>5709</v>
      </c>
      <c r="O739" s="8" t="s">
        <v>6607</v>
      </c>
      <c r="P739" s="9" t="s">
        <v>398</v>
      </c>
      <c r="Q739" s="59" t="s">
        <v>2552</v>
      </c>
      <c r="R739" s="9" t="s">
        <v>2497</v>
      </c>
      <c r="S739" s="9" t="s">
        <v>2495</v>
      </c>
      <c r="T739" s="123" t="str">
        <f>IF(R739="Bogs Ponds Streams","20",IF(R739="Coastal Areas","26",IF(R739="Meadows Dry Open","10",IF(R739="Forest &amp; Understory","14",IF(R739="Moist Open","12",IF(R739="Moist Shady","10",IF(R739="Sub-Alpine Slopes","0")))))))</f>
        <v>12</v>
      </c>
      <c r="U739" s="123" t="str">
        <f>IF(R739="Bogs Ponds Streams","52",IF(R739="Coastal Areas","51",IF(R739="Meadows Dry Open","53",IF(R739="Forest &amp; Understory","52",IF(R739="Moist Open","50",IF(R739="Moist Shady","46",IF(R739="Sub-Alpine Slopes","40")))))))</f>
        <v>50</v>
      </c>
      <c r="V739" s="123" t="str">
        <f>IF(R739="Bogs Ponds Streams","84",IF(R739="Coastal Areas","76",IF(R739="Meadows Dry Open","96", IF(R739="Forest &amp; Understory","90", IF(R739="Moist Open","88", IF(R739="Moist Shady","82", IF(R739="Sub-Alpine Slopes","80")))))))</f>
        <v>88</v>
      </c>
      <c r="W739" s="59">
        <v>20</v>
      </c>
      <c r="X739" s="59">
        <v>0</v>
      </c>
      <c r="Y739" s="59">
        <v>3500</v>
      </c>
      <c r="Z739" s="59" t="s">
        <v>2519</v>
      </c>
      <c r="AA739" s="59" t="s">
        <v>2518</v>
      </c>
      <c r="AB739" s="59">
        <v>6.8</v>
      </c>
      <c r="AC739" s="45">
        <f>C739+AK739+(0.1)*AL739</f>
        <v>16.8</v>
      </c>
      <c r="AD739" s="77">
        <v>41</v>
      </c>
      <c r="AE739" s="59">
        <v>5</v>
      </c>
      <c r="AF739" s="59">
        <v>5</v>
      </c>
      <c r="AG739" s="59">
        <v>1900</v>
      </c>
      <c r="AH739" s="77">
        <v>0</v>
      </c>
      <c r="AI739" s="59">
        <f ca="1">AJ739</f>
        <v>2019</v>
      </c>
      <c r="AJ739" s="18">
        <f ca="1">YEAR(TODAY())</f>
        <v>2019</v>
      </c>
      <c r="AK739" s="18">
        <v>8</v>
      </c>
      <c r="AL739" s="18">
        <v>8</v>
      </c>
      <c r="AM739" s="18">
        <v>1</v>
      </c>
      <c r="AN739" s="18">
        <v>1</v>
      </c>
      <c r="AO739" s="24">
        <v>3</v>
      </c>
      <c r="AP739" s="24">
        <v>3</v>
      </c>
      <c r="AQ739" s="18">
        <v>0</v>
      </c>
      <c r="AR739" s="18">
        <v>0</v>
      </c>
      <c r="AS739" s="18">
        <v>0</v>
      </c>
      <c r="AT739" s="18">
        <v>0</v>
      </c>
      <c r="AU739" s="18">
        <v>0</v>
      </c>
      <c r="AV739" s="18">
        <v>0</v>
      </c>
      <c r="AW739" s="18">
        <v>0</v>
      </c>
      <c r="AX739" s="18">
        <v>0</v>
      </c>
      <c r="AY739" s="233"/>
      <c r="AZ739" s="4"/>
      <c r="BA739" s="35" t="str">
        <f>IF(OR(S739="North America",S739="Rocky Mountain"), "Widespread",BC739)</f>
        <v>Widespread</v>
      </c>
      <c r="BB739" s="4"/>
      <c r="BC739" s="35" t="str">
        <f ca="1">IF(BE739&gt;2046, "Abundant",BE739)</f>
        <v>Abundant</v>
      </c>
      <c r="BD739" s="4"/>
      <c r="BE739" s="81">
        <f ca="1">YEAR($C$13)+(BG739*80)</f>
        <v>2110.9269675579321</v>
      </c>
      <c r="BF739" s="4"/>
      <c r="BG739" s="137">
        <f ca="1">BH739*$BH$14</f>
        <v>1.1490870944741534</v>
      </c>
      <c r="BH739" s="137">
        <f ca="1">(((BJ739+BK739+BM739+BN739)/4)*$BM$11)+(((BP739+BQ739)/2)*$BQ$11)+(((BU739+BV739+BW739)/3)*$BU$11)+(((BY739+BZ739+CA739+CB739+CC739)/5)*$CA$11)</f>
        <v>1.1490870944741534</v>
      </c>
      <c r="BI739" s="4"/>
      <c r="BJ739" s="33">
        <f>AP739/(AM739+AO739)</f>
        <v>0.75</v>
      </c>
      <c r="BK739" s="33">
        <f>(AN739+AO739)/(AM739+AO739)</f>
        <v>1</v>
      </c>
      <c r="BL739" s="4"/>
      <c r="BM739" s="127">
        <f>CF739/102</f>
        <v>0.16470588235294117</v>
      </c>
      <c r="BN739" s="127">
        <f>C739/2</f>
        <v>4</v>
      </c>
      <c r="BO739" s="4"/>
      <c r="BP739" s="127">
        <f>(AK739)/($AW$6)</f>
        <v>8.0808080808080815E-2</v>
      </c>
      <c r="BQ739" s="127">
        <f ca="1">(CH739-$AW$4)/((YEAR($C$13))-$AW$4)</f>
        <v>1</v>
      </c>
      <c r="BR739" s="127">
        <f>(AL739)/($AW$6)</f>
        <v>8.0808080808080815E-2</v>
      </c>
      <c r="BS739" s="4"/>
      <c r="BT739" s="127"/>
      <c r="BU739" s="127">
        <f ca="1">(CG739-$AW$4)/((YEAR($C$13))-$AW$4)</f>
        <v>1</v>
      </c>
      <c r="BV739" s="127">
        <f>AE739/5</f>
        <v>1</v>
      </c>
      <c r="BW739" s="127">
        <f>AF739/5</f>
        <v>1</v>
      </c>
      <c r="BX739" s="4"/>
      <c r="BY739" s="148" t="str">
        <f>IF(E739="A",".98",IF(E739="B",".99",IF(E739="C","1.00",IF(E739="D","1.00" ))))</f>
        <v>1.00</v>
      </c>
      <c r="BZ739" s="127">
        <f>(CE739+7)/10</f>
        <v>1</v>
      </c>
      <c r="CA739" s="76" t="str">
        <f>IF(D739="Fern",".97",IF(D739="Grass",".99",IF(D739="Herb",".97",IF(D739="Shrub",".99",IF(D739="Tree","1.00",IF(D739="Vine",".98"))))))</f>
        <v>.97</v>
      </c>
      <c r="CB739" s="149" t="str">
        <f>IF(R739="Bogs Ponds Streams",".96", IF(R739="Coastal Areas",".97",IF(R739="Meadows Dry Open",".96",IF(R739="Forest &amp; Understory",".97",IF(R739="Moist Open",".98",IF(R739="Moist Shady",".96",IF(R739="Sub-Alpine","1.0")))))))</f>
        <v>.98</v>
      </c>
      <c r="CC739" s="76" t="str">
        <f>IF(S739="Local Endemic",".50",IF(S739="Regional Endemic",".70",IF(S739="Cascadia",".90",IF(S739="Rocky Mountain",".95",IF(S739="North America",".99")))))</f>
        <v>.99</v>
      </c>
      <c r="CD739" s="4"/>
      <c r="CE739" s="21">
        <f>IF(W739&gt;3,3,W739)</f>
        <v>3</v>
      </c>
      <c r="CF739" s="21">
        <f>IF(AC739&gt;102,102,AC739)</f>
        <v>16.8</v>
      </c>
      <c r="CG739" s="34">
        <f ca="1">IF(AI739&lt;$AW$4,$AW$4,AI739)</f>
        <v>2019</v>
      </c>
      <c r="CH739" s="34">
        <f ca="1">IF(AJ739&lt;$AW$4,$AW$4,AJ739)</f>
        <v>2019</v>
      </c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13"/>
    </row>
    <row r="740" spans="1:115" ht="15" customHeight="1" x14ac:dyDescent="0.3">
      <c r="A740" s="235"/>
      <c r="B740" s="218"/>
      <c r="C740" s="375">
        <v>1</v>
      </c>
      <c r="D740" s="67" t="s">
        <v>2505</v>
      </c>
      <c r="E740" s="67" t="s">
        <v>2501</v>
      </c>
      <c r="F740" s="403">
        <f ca="1">IF(BC740&lt;2025, "Extinct&lt; 6Yrs?",BA740)</f>
        <v>2034.2163422459894</v>
      </c>
      <c r="G740" s="376" t="s">
        <v>525</v>
      </c>
      <c r="H740" s="376" t="s">
        <v>4028</v>
      </c>
      <c r="I740" s="380" t="s">
        <v>1372</v>
      </c>
      <c r="J740" s="378" t="s">
        <v>3514</v>
      </c>
      <c r="K740" s="378" t="s">
        <v>1153</v>
      </c>
      <c r="L740" s="65" t="s">
        <v>1715</v>
      </c>
      <c r="M740" s="64" t="s">
        <v>4812</v>
      </c>
      <c r="N740" s="64" t="s">
        <v>5710</v>
      </c>
      <c r="O740" s="64" t="s">
        <v>6608</v>
      </c>
      <c r="P740" s="61" t="s">
        <v>1168</v>
      </c>
      <c r="Q740" s="67" t="s">
        <v>2552</v>
      </c>
      <c r="R740" s="65" t="s">
        <v>2497</v>
      </c>
      <c r="S740" s="65" t="s">
        <v>2309</v>
      </c>
      <c r="T740" s="134" t="str">
        <f>IF(R740="Bogs Ponds Streams","20",IF(R740="Coastal Areas","26",IF(R740="Meadows Dry Open","10",IF(R740="Forest &amp; Understory","14",IF(R740="Moist Open","12",IF(R740="Moist Shady","10",IF(R740="Sub-Alpine Slopes","0")))))))</f>
        <v>12</v>
      </c>
      <c r="U740" s="134" t="str">
        <f>IF(R740="Bogs Ponds Streams","52",IF(R740="Coastal Areas","51",IF(R740="Meadows Dry Open","53",IF(R740="Forest &amp; Understory","52",IF(R740="Moist Open","50",IF(R740="Moist Shady","46",IF(R740="Sub-Alpine Slopes","40")))))))</f>
        <v>50</v>
      </c>
      <c r="V740" s="134" t="str">
        <f>IF(R740="Bogs Ponds Streams","84",IF(R740="Coastal Areas","76",IF(R740="Meadows Dry Open","96", IF(R740="Forest &amp; Understory","90", IF(R740="Moist Open","88", IF(R740="Moist Shady","82", IF(R740="Sub-Alpine Slopes","80")))))))</f>
        <v>88</v>
      </c>
      <c r="W740" s="67">
        <v>20</v>
      </c>
      <c r="X740" s="67">
        <v>0</v>
      </c>
      <c r="Y740" s="67">
        <v>3500</v>
      </c>
      <c r="Z740" s="67" t="s">
        <v>2519</v>
      </c>
      <c r="AA740" s="67" t="s">
        <v>2518</v>
      </c>
      <c r="AB740" s="67">
        <v>6.8</v>
      </c>
      <c r="AC740" s="85">
        <f>C740+AK740+(0.1)*AL740</f>
        <v>15</v>
      </c>
      <c r="AD740" s="78">
        <v>38</v>
      </c>
      <c r="AE740" s="67">
        <v>5</v>
      </c>
      <c r="AF740" s="67">
        <v>5</v>
      </c>
      <c r="AG740" s="67">
        <v>1900</v>
      </c>
      <c r="AH740" s="78">
        <v>0</v>
      </c>
      <c r="AI740" s="67">
        <f>AJ740</f>
        <v>2004</v>
      </c>
      <c r="AJ740" s="69">
        <v>2004</v>
      </c>
      <c r="AK740" s="69">
        <v>14</v>
      </c>
      <c r="AL740" s="69">
        <v>0</v>
      </c>
      <c r="AM740" s="70">
        <v>5</v>
      </c>
      <c r="AN740" s="70">
        <v>0</v>
      </c>
      <c r="AO740" s="86">
        <v>0</v>
      </c>
      <c r="AP740" s="70">
        <v>0</v>
      </c>
      <c r="AQ740" s="70">
        <v>0</v>
      </c>
      <c r="AR740" s="70">
        <v>0</v>
      </c>
      <c r="AS740" s="86">
        <v>0</v>
      </c>
      <c r="AT740" s="70">
        <v>0</v>
      </c>
      <c r="AU740" s="70">
        <v>0</v>
      </c>
      <c r="AV740" s="70">
        <v>0</v>
      </c>
      <c r="AW740" s="86">
        <v>0</v>
      </c>
      <c r="AX740" s="70">
        <v>0</v>
      </c>
      <c r="AY740" s="233"/>
      <c r="AZ740" s="4"/>
      <c r="BA740" s="35">
        <f ca="1">IF(OR(S740="North America",S740="Rocky Mountain"), "Widespread",BC740)</f>
        <v>2034.2163422459894</v>
      </c>
      <c r="BB740" s="4"/>
      <c r="BC740" s="35">
        <f ca="1">IF(BE740&gt;2046, "Abundant",BE740)</f>
        <v>2034.2163422459894</v>
      </c>
      <c r="BD740" s="4"/>
      <c r="BE740" s="81">
        <f ca="1">YEAR($C$13)+(BG740*80)</f>
        <v>2034.2163422459894</v>
      </c>
      <c r="BF740" s="4"/>
      <c r="BG740" s="137">
        <f ca="1">BH740*$BH$14</f>
        <v>0.19020427807486631</v>
      </c>
      <c r="BH740" s="137">
        <f ca="1">(((BJ740+BK740+BM740+BN740)/4)*$BM$11)+(((BP740+BQ740)/2)*$BQ$11)+(((BU740+BV740+BW740)/3)*$BU$11)+(((BY740+BZ740+CA740+CB740+CC740)/5)*$CA$11)</f>
        <v>0.19020427807486631</v>
      </c>
      <c r="BI740" s="4"/>
      <c r="BJ740" s="33">
        <f>AP740/(AM740+AO740)</f>
        <v>0</v>
      </c>
      <c r="BK740" s="33">
        <f>(AN740+AO740)/(AM740+AO740)</f>
        <v>0</v>
      </c>
      <c r="BL740" s="4"/>
      <c r="BM740" s="127">
        <f>CF740/102</f>
        <v>0.14705882352941177</v>
      </c>
      <c r="BN740" s="127">
        <f>C740/2</f>
        <v>0.5</v>
      </c>
      <c r="BO740" s="4"/>
      <c r="BP740" s="127">
        <f>(AK740)/($AW$6)</f>
        <v>0.14141414141414141</v>
      </c>
      <c r="BQ740" s="127">
        <f ca="1">(CH740-$AW$4)/((YEAR($C$13))-$AW$4)</f>
        <v>0</v>
      </c>
      <c r="BR740" s="127">
        <f>(AL740)/($AW$6)</f>
        <v>0</v>
      </c>
      <c r="BS740" s="4"/>
      <c r="BT740" s="127"/>
      <c r="BU740" s="127">
        <f ca="1">(CG740-$AW$4)/((YEAR($C$13))-$AW$4)</f>
        <v>0</v>
      </c>
      <c r="BV740" s="127">
        <f>AE740/5</f>
        <v>1</v>
      </c>
      <c r="BW740" s="127">
        <f>AF740/5</f>
        <v>1</v>
      </c>
      <c r="BX740" s="4"/>
      <c r="BY740" s="148" t="str">
        <f>IF(E740="A",".98",IF(E740="B",".99",IF(E740="C","1.00",IF(E740="D","1.00" ))))</f>
        <v>1.00</v>
      </c>
      <c r="BZ740" s="127">
        <f>(CE740+7)/10</f>
        <v>1</v>
      </c>
      <c r="CA740" s="76" t="str">
        <f>IF(D740="Fern",".97",IF(D740="Grass",".99",IF(D740="Herb",".97",IF(D740="Shrub",".99",IF(D740="Tree","1.00",IF(D740="Vine",".98"))))))</f>
        <v>.97</v>
      </c>
      <c r="CB740" s="149" t="str">
        <f>IF(R740="Bogs Ponds Streams",".96", IF(R740="Coastal Areas",".97",IF(R740="Meadows Dry Open",".96",IF(R740="Forest &amp; Understory",".97",IF(R740="Moist Open",".98",IF(R740="Moist Shady",".96",IF(R740="Sub-Alpine","1.0")))))))</f>
        <v>.98</v>
      </c>
      <c r="CC740" s="76" t="str">
        <f>IF(S740="Local Endemic",".50",IF(S740="Regional Endemic",".70",IF(S740="Cascadia",".90",IF(S740="Rocky Mountain",".95",IF(S740="North America",".99")))))</f>
        <v>.70</v>
      </c>
      <c r="CD740" s="4"/>
      <c r="CE740" s="21">
        <f>IF(W740&gt;3,3,W740)</f>
        <v>3</v>
      </c>
      <c r="CF740" s="21">
        <f>IF(AC740&gt;102,102,AC740)</f>
        <v>15</v>
      </c>
      <c r="CG740" s="34">
        <f>IF(AI740&lt;$AW$4,$AW$4,AI740)</f>
        <v>2004</v>
      </c>
      <c r="CH740" s="34">
        <f>IF(AJ740&lt;$AW$4,$AW$4,AJ740)</f>
        <v>2004</v>
      </c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</row>
    <row r="741" spans="1:115" ht="15" customHeight="1" x14ac:dyDescent="0.3">
      <c r="A741" s="235"/>
      <c r="B741" s="218"/>
      <c r="C741" s="225">
        <v>8</v>
      </c>
      <c r="D741" s="59" t="s">
        <v>2506</v>
      </c>
      <c r="E741" s="60" t="s">
        <v>2501</v>
      </c>
      <c r="F741" s="397" t="str">
        <f ca="1">IF(BC741&lt;2025, "Extinct&lt; 6Yrs?",BA741)</f>
        <v>Widespread</v>
      </c>
      <c r="G741" s="363" t="s">
        <v>525</v>
      </c>
      <c r="H741" s="363" t="s">
        <v>679</v>
      </c>
      <c r="I741" s="366" t="s">
        <v>715</v>
      </c>
      <c r="J741" s="365" t="s">
        <v>3958</v>
      </c>
      <c r="K741" s="365" t="s">
        <v>714</v>
      </c>
      <c r="L741" s="10" t="s">
        <v>2477</v>
      </c>
      <c r="M741" s="8" t="s">
        <v>4813</v>
      </c>
      <c r="N741" s="8" t="s">
        <v>5711</v>
      </c>
      <c r="O741" s="8" t="s">
        <v>6609</v>
      </c>
      <c r="P741" s="9" t="s">
        <v>547</v>
      </c>
      <c r="Q741" s="59" t="s">
        <v>2552</v>
      </c>
      <c r="R741" s="9" t="s">
        <v>2497</v>
      </c>
      <c r="S741" s="17" t="s">
        <v>2495</v>
      </c>
      <c r="T741" s="123" t="str">
        <f>IF(R741="Bogs Ponds Streams","20",IF(R741="Coastal Areas","26",IF(R741="Meadows Dry Open","10",IF(R741="Forest &amp; Understory","14",IF(R741="Moist Open","12",IF(R741="Moist Shady","10",IF(R741="Sub-Alpine Slopes","0")))))))</f>
        <v>12</v>
      </c>
      <c r="U741" s="123" t="str">
        <f>IF(R741="Bogs Ponds Streams","52",IF(R741="Coastal Areas","51",IF(R741="Meadows Dry Open","53",IF(R741="Forest &amp; Understory","52",IF(R741="Moist Open","50",IF(R741="Moist Shady","46",IF(R741="Sub-Alpine Slopes","40")))))))</f>
        <v>50</v>
      </c>
      <c r="V741" s="123" t="str">
        <f>IF(R741="Bogs Ponds Streams","84",IF(R741="Coastal Areas","76",IF(R741="Meadows Dry Open","96", IF(R741="Forest &amp; Understory","90", IF(R741="Moist Open","88", IF(R741="Moist Shady","82", IF(R741="Sub-Alpine Slopes","80")))))))</f>
        <v>88</v>
      </c>
      <c r="W741" s="59">
        <v>20</v>
      </c>
      <c r="X741" s="59">
        <v>0</v>
      </c>
      <c r="Y741" s="59">
        <v>3500</v>
      </c>
      <c r="Z741" s="59" t="s">
        <v>2519</v>
      </c>
      <c r="AA741" s="59" t="s">
        <v>2518</v>
      </c>
      <c r="AB741" s="59">
        <v>6.8</v>
      </c>
      <c r="AC741" s="45">
        <f>C741+AK741+(0.1)*AL741</f>
        <v>10.199999999999999</v>
      </c>
      <c r="AD741" s="77">
        <v>62</v>
      </c>
      <c r="AE741" s="59">
        <v>5</v>
      </c>
      <c r="AF741" s="59">
        <v>5</v>
      </c>
      <c r="AG741" s="59">
        <v>1900</v>
      </c>
      <c r="AH741" s="77">
        <v>0</v>
      </c>
      <c r="AI741" s="59">
        <f ca="1">AJ741</f>
        <v>2019</v>
      </c>
      <c r="AJ741" s="18">
        <f ca="1">YEAR(TODAY())</f>
        <v>2019</v>
      </c>
      <c r="AK741" s="18">
        <v>1</v>
      </c>
      <c r="AL741" s="18">
        <v>12</v>
      </c>
      <c r="AM741" s="18">
        <v>1</v>
      </c>
      <c r="AN741" s="18">
        <v>1</v>
      </c>
      <c r="AO741" s="18">
        <v>5</v>
      </c>
      <c r="AP741" s="18">
        <v>1</v>
      </c>
      <c r="AQ741" s="18">
        <v>0</v>
      </c>
      <c r="AR741" s="18">
        <v>0</v>
      </c>
      <c r="AS741" s="18">
        <v>0</v>
      </c>
      <c r="AT741" s="18">
        <v>0</v>
      </c>
      <c r="AU741" s="18">
        <v>0</v>
      </c>
      <c r="AV741" s="18">
        <v>0</v>
      </c>
      <c r="AW741" s="18">
        <v>0</v>
      </c>
      <c r="AX741" s="18">
        <v>0</v>
      </c>
      <c r="AY741" s="233"/>
      <c r="AZ741" s="4"/>
      <c r="BA741" s="35" t="str">
        <f>IF(OR(S741="North America",S741="Rocky Mountain"), "Widespread",BC741)</f>
        <v>Widespread</v>
      </c>
      <c r="BB741" s="4"/>
      <c r="BC741" s="35" t="str">
        <f ca="1">IF(BE741&gt;2046, "Abundant",BE741)</f>
        <v>Abundant</v>
      </c>
      <c r="BD741" s="4"/>
      <c r="BE741" s="81">
        <f ca="1">YEAR($C$13)+(BG741*80)</f>
        <v>2102.3084121212123</v>
      </c>
      <c r="BF741" s="4"/>
      <c r="BG741" s="137">
        <f ca="1">BH741*$BH$14</f>
        <v>1.0413551515151516</v>
      </c>
      <c r="BH741" s="137">
        <f ca="1">(((BJ741+BK741+BM741+BN741)/4)*$BM$11)+(((BP741+BQ741)/2)*$BQ$11)+(((BU741+BV741+BW741)/3)*$BU$11)+(((BY741+BZ741+CA741+CB741+CC741)/5)*$CA$11)</f>
        <v>1.0413551515151516</v>
      </c>
      <c r="BI741" s="4"/>
      <c r="BJ741" s="33">
        <f>AP741/(AM741+AO741)</f>
        <v>0.16666666666666666</v>
      </c>
      <c r="BK741" s="33">
        <f>(AN741+AO741)/(AM741+AO741)</f>
        <v>1</v>
      </c>
      <c r="BL741" s="4"/>
      <c r="BM741" s="127">
        <f>CF741/102</f>
        <v>9.9999999999999992E-2</v>
      </c>
      <c r="BN741" s="127">
        <f>C741/2</f>
        <v>4</v>
      </c>
      <c r="BO741" s="4"/>
      <c r="BP741" s="127">
        <f>(AK741)/($AW$6)</f>
        <v>1.0101010101010102E-2</v>
      </c>
      <c r="BQ741" s="127">
        <f ca="1">(CH741-$AW$4)/((YEAR($C$13))-$AW$4)</f>
        <v>1</v>
      </c>
      <c r="BR741" s="127">
        <f>(AL741)/($AW$6)</f>
        <v>0.12121212121212122</v>
      </c>
      <c r="BS741" s="4"/>
      <c r="BT741" s="127"/>
      <c r="BU741" s="127">
        <f ca="1">(CG741-$AW$4)/((YEAR($C$13))-$AW$4)</f>
        <v>1</v>
      </c>
      <c r="BV741" s="127">
        <f>AE741/5</f>
        <v>1</v>
      </c>
      <c r="BW741" s="127">
        <f>AF741/5</f>
        <v>1</v>
      </c>
      <c r="BX741" s="4"/>
      <c r="BY741" s="148" t="str">
        <f>IF(E741="A",".98",IF(E741="B",".99",IF(E741="C","1.00",IF(E741="D","1.00" ))))</f>
        <v>1.00</v>
      </c>
      <c r="BZ741" s="127">
        <f>(CE741+7)/10</f>
        <v>1</v>
      </c>
      <c r="CA741" s="76" t="str">
        <f>IF(D741="Fern",".97",IF(D741="Grass",".99",IF(D741="Herb",".97",IF(D741="Shrub",".99",IF(D741="Tree","1.00",IF(D741="Vine",".98"))))))</f>
        <v>.99</v>
      </c>
      <c r="CB741" s="149" t="str">
        <f>IF(R741="Bogs Ponds Streams",".96", IF(R741="Coastal Areas",".97",IF(R741="Meadows Dry Open",".96",IF(R741="Forest &amp; Understory",".97",IF(R741="Moist Open",".98",IF(R741="Moist Shady",".96",IF(R741="Sub-Alpine","1.0")))))))</f>
        <v>.98</v>
      </c>
      <c r="CC741" s="76" t="str">
        <f>IF(S741="Local Endemic",".50",IF(S741="Regional Endemic",".70",IF(S741="Cascadia",".90",IF(S741="Rocky Mountain",".95",IF(S741="North America",".99")))))</f>
        <v>.99</v>
      </c>
      <c r="CD741" s="4"/>
      <c r="CE741" s="21">
        <f>IF(W741&gt;3,3,W741)</f>
        <v>3</v>
      </c>
      <c r="CF741" s="21">
        <f>IF(AC741&gt;102,102,AC741)</f>
        <v>10.199999999999999</v>
      </c>
      <c r="CG741" s="34">
        <f ca="1">IF(AI741&lt;$AW$4,$AW$4,AI741)</f>
        <v>2019</v>
      </c>
      <c r="CH741" s="34">
        <f ca="1">IF(AJ741&lt;$AW$4,$AW$4,AJ741)</f>
        <v>2019</v>
      </c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</row>
    <row r="742" spans="1:115" ht="15" customHeight="1" x14ac:dyDescent="0.3">
      <c r="A742" s="235"/>
      <c r="B742" s="218"/>
      <c r="C742" s="225">
        <v>8</v>
      </c>
      <c r="D742" s="59" t="s">
        <v>2506</v>
      </c>
      <c r="E742" s="60" t="s">
        <v>2501</v>
      </c>
      <c r="F742" s="397" t="str">
        <f ca="1">IF(BC742&lt;2025, "Extinct&lt; 6Yrs?",BA742)</f>
        <v>Abundant</v>
      </c>
      <c r="G742" s="363" t="s">
        <v>525</v>
      </c>
      <c r="H742" s="363" t="s">
        <v>679</v>
      </c>
      <c r="I742" s="364" t="s">
        <v>2702</v>
      </c>
      <c r="J742" s="365" t="s">
        <v>3957</v>
      </c>
      <c r="K742" s="365" t="s">
        <v>2811</v>
      </c>
      <c r="L742" s="17" t="s">
        <v>1716</v>
      </c>
      <c r="M742" s="8" t="s">
        <v>4814</v>
      </c>
      <c r="N742" s="8" t="s">
        <v>5712</v>
      </c>
      <c r="O742" s="8" t="s">
        <v>6610</v>
      </c>
      <c r="P742" s="9" t="s">
        <v>547</v>
      </c>
      <c r="Q742" s="59" t="s">
        <v>2552</v>
      </c>
      <c r="R742" s="9" t="s">
        <v>2497</v>
      </c>
      <c r="S742" s="9" t="s">
        <v>2309</v>
      </c>
      <c r="T742" s="123" t="str">
        <f>IF(R742="Bogs Ponds Streams","20",IF(R742="Coastal Areas","26",IF(R742="Meadows Dry Open","10",IF(R742="Forest &amp; Understory","14",IF(R742="Moist Open","12",IF(R742="Moist Shady","10",IF(R742="Sub-Alpine Slopes","0")))))))</f>
        <v>12</v>
      </c>
      <c r="U742" s="123" t="str">
        <f>IF(R742="Bogs Ponds Streams","52",IF(R742="Coastal Areas","51",IF(R742="Meadows Dry Open","53",IF(R742="Forest &amp; Understory","52",IF(R742="Moist Open","50",IF(R742="Moist Shady","46",IF(R742="Sub-Alpine Slopes","40")))))))</f>
        <v>50</v>
      </c>
      <c r="V742" s="123" t="str">
        <f>IF(R742="Bogs Ponds Streams","84",IF(R742="Coastal Areas","76",IF(R742="Meadows Dry Open","96", IF(R742="Forest &amp; Understory","90", IF(R742="Moist Open","88", IF(R742="Moist Shady","82", IF(R742="Sub-Alpine Slopes","80")))))))</f>
        <v>88</v>
      </c>
      <c r="W742" s="59">
        <v>20</v>
      </c>
      <c r="X742" s="59">
        <v>0</v>
      </c>
      <c r="Y742" s="59">
        <v>3500</v>
      </c>
      <c r="Z742" s="59" t="s">
        <v>2519</v>
      </c>
      <c r="AA742" s="59" t="s">
        <v>2518</v>
      </c>
      <c r="AB742" s="59">
        <v>6.8</v>
      </c>
      <c r="AC742" s="45">
        <f>C742+AK742+(0.1)*AL742</f>
        <v>20.100000000000001</v>
      </c>
      <c r="AD742" s="77">
        <v>131</v>
      </c>
      <c r="AE742" s="59">
        <v>5</v>
      </c>
      <c r="AF742" s="59">
        <v>5</v>
      </c>
      <c r="AG742" s="59">
        <v>1900</v>
      </c>
      <c r="AH742" s="77">
        <v>0</v>
      </c>
      <c r="AI742" s="59">
        <f ca="1">AJ742</f>
        <v>2019</v>
      </c>
      <c r="AJ742" s="18">
        <f ca="1">YEAR(TODAY())</f>
        <v>2019</v>
      </c>
      <c r="AK742" s="18">
        <v>11</v>
      </c>
      <c r="AL742" s="18">
        <v>11</v>
      </c>
      <c r="AM742" s="18">
        <v>1</v>
      </c>
      <c r="AN742" s="18">
        <v>1</v>
      </c>
      <c r="AO742" s="18">
        <v>5</v>
      </c>
      <c r="AP742" s="18">
        <v>1</v>
      </c>
      <c r="AQ742" s="18">
        <v>0</v>
      </c>
      <c r="AR742" s="18">
        <v>0</v>
      </c>
      <c r="AS742" s="18">
        <v>0</v>
      </c>
      <c r="AT742" s="18">
        <v>0</v>
      </c>
      <c r="AU742" s="18">
        <v>0</v>
      </c>
      <c r="AV742" s="18">
        <v>0</v>
      </c>
      <c r="AW742" s="18">
        <v>0</v>
      </c>
      <c r="AX742" s="18">
        <v>0</v>
      </c>
      <c r="AY742" s="233"/>
      <c r="AZ742" s="4"/>
      <c r="BA742" s="35" t="str">
        <f ca="1">IF(OR(S742="North America",S742="Rocky Mountain"), "Widespread",BC742)</f>
        <v>Abundant</v>
      </c>
      <c r="BB742" s="4"/>
      <c r="BC742" s="35" t="str">
        <f ca="1">IF(BE742&gt;2046, "Abundant",BE742)</f>
        <v>Abundant</v>
      </c>
      <c r="BD742" s="4"/>
      <c r="BE742" s="81">
        <f ca="1">YEAR($C$13)+(BG742*80)</f>
        <v>2104.5924392156862</v>
      </c>
      <c r="BF742" s="4"/>
      <c r="BG742" s="137">
        <f ca="1">BH742*$BH$14</f>
        <v>1.0699054901960783</v>
      </c>
      <c r="BH742" s="137">
        <f ca="1">(((BJ742+BK742+BM742+BN742)/4)*$BM$11)+(((BP742+BQ742)/2)*$BQ$11)+(((BU742+BV742+BW742)/3)*$BU$11)+(((BY742+BZ742+CA742+CB742+CC742)/5)*$CA$11)</f>
        <v>1.0699054901960783</v>
      </c>
      <c r="BI742" s="4"/>
      <c r="BJ742" s="33">
        <f>AP742/(AM742+AO742)</f>
        <v>0.16666666666666666</v>
      </c>
      <c r="BK742" s="33">
        <f>(AN742+AO742)/(AM742+AO742)</f>
        <v>1</v>
      </c>
      <c r="BL742" s="4"/>
      <c r="BM742" s="127">
        <f>CF742/102</f>
        <v>0.19705882352941179</v>
      </c>
      <c r="BN742" s="127">
        <f>C742/2</f>
        <v>4</v>
      </c>
      <c r="BO742" s="4"/>
      <c r="BP742" s="127">
        <f>(AK742)/($AW$6)</f>
        <v>0.1111111111111111</v>
      </c>
      <c r="BQ742" s="127">
        <f ca="1">(CH742-$AW$4)/((YEAR($C$13))-$AW$4)</f>
        <v>1</v>
      </c>
      <c r="BR742" s="127">
        <f>(AL742)/($AW$6)</f>
        <v>0.1111111111111111</v>
      </c>
      <c r="BS742" s="4"/>
      <c r="BT742" s="127"/>
      <c r="BU742" s="127">
        <f ca="1">(CG742-$AW$4)/((YEAR($C$13))-$AW$4)</f>
        <v>1</v>
      </c>
      <c r="BV742" s="127">
        <f>AE742/5</f>
        <v>1</v>
      </c>
      <c r="BW742" s="127">
        <f>AF742/5</f>
        <v>1</v>
      </c>
      <c r="BX742" s="4"/>
      <c r="BY742" s="148" t="str">
        <f>IF(E742="A",".98",IF(E742="B",".99",IF(E742="C","1.00",IF(E742="D","1.00" ))))</f>
        <v>1.00</v>
      </c>
      <c r="BZ742" s="127">
        <f>(CE742+7)/10</f>
        <v>1</v>
      </c>
      <c r="CA742" s="76" t="str">
        <f>IF(D742="Fern",".97",IF(D742="Grass",".99",IF(D742="Herb",".97",IF(D742="Shrub",".99",IF(D742="Tree","1.00",IF(D742="Vine",".98"))))))</f>
        <v>.99</v>
      </c>
      <c r="CB742" s="149" t="str">
        <f>IF(R742="Bogs Ponds Streams",".96", IF(R742="Coastal Areas",".97",IF(R742="Meadows Dry Open",".96",IF(R742="Forest &amp; Understory",".97",IF(R742="Moist Open",".98",IF(R742="Moist Shady",".96",IF(R742="Sub-Alpine","1.0")))))))</f>
        <v>.98</v>
      </c>
      <c r="CC742" s="76" t="str">
        <f>IF(S742="Local Endemic",".50",IF(S742="Regional Endemic",".70",IF(S742="Cascadia",".90",IF(S742="Rocky Mountain",".95",IF(S742="North America",".99")))))</f>
        <v>.70</v>
      </c>
      <c r="CD742" s="4"/>
      <c r="CE742" s="21">
        <f>IF(W742&gt;3,3,W742)</f>
        <v>3</v>
      </c>
      <c r="CF742" s="21">
        <f>IF(AC742&gt;102,102,AC742)</f>
        <v>20.100000000000001</v>
      </c>
      <c r="CG742" s="34">
        <f ca="1">IF(AI742&lt;$AW$4,$AW$4,AI742)</f>
        <v>2019</v>
      </c>
      <c r="CH742" s="34">
        <f ca="1">IF(AJ742&lt;$AW$4,$AW$4,AJ742)</f>
        <v>2019</v>
      </c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</row>
    <row r="743" spans="1:115" ht="15" customHeight="1" x14ac:dyDescent="0.3">
      <c r="A743" s="235"/>
      <c r="B743" s="218"/>
      <c r="C743" s="225">
        <v>8</v>
      </c>
      <c r="D743" s="59" t="s">
        <v>2506</v>
      </c>
      <c r="E743" s="60" t="s">
        <v>2501</v>
      </c>
      <c r="F743" s="397" t="str">
        <f ca="1">IF(BC743&lt;2025, "Extinct&lt; 6Yrs?",BA743)</f>
        <v>Widespread</v>
      </c>
      <c r="G743" s="363" t="s">
        <v>525</v>
      </c>
      <c r="H743" s="363" t="s">
        <v>678</v>
      </c>
      <c r="I743" s="366" t="s">
        <v>262</v>
      </c>
      <c r="J743" s="365" t="s">
        <v>3956</v>
      </c>
      <c r="K743" s="365" t="s">
        <v>261</v>
      </c>
      <c r="L743" s="10" t="s">
        <v>1717</v>
      </c>
      <c r="M743" s="8" t="s">
        <v>4815</v>
      </c>
      <c r="N743" s="8" t="s">
        <v>5713</v>
      </c>
      <c r="O743" s="8" t="s">
        <v>6611</v>
      </c>
      <c r="P743" s="9" t="s">
        <v>547</v>
      </c>
      <c r="Q743" s="59" t="s">
        <v>2552</v>
      </c>
      <c r="R743" s="9" t="s">
        <v>2497</v>
      </c>
      <c r="S743" s="9" t="s">
        <v>2495</v>
      </c>
      <c r="T743" s="123" t="str">
        <f>IF(R743="Bogs Ponds Streams","20",IF(R743="Coastal Areas","26",IF(R743="Meadows Dry Open","10",IF(R743="Forest &amp; Understory","14",IF(R743="Moist Open","12",IF(R743="Moist Shady","10",IF(R743="Sub-Alpine Slopes","0")))))))</f>
        <v>12</v>
      </c>
      <c r="U743" s="123" t="str">
        <f>IF(R743="Bogs Ponds Streams","52",IF(R743="Coastal Areas","51",IF(R743="Meadows Dry Open","53",IF(R743="Forest &amp; Understory","52",IF(R743="Moist Open","50",IF(R743="Moist Shady","46",IF(R743="Sub-Alpine Slopes","40")))))))</f>
        <v>50</v>
      </c>
      <c r="V743" s="123" t="str">
        <f>IF(R743="Bogs Ponds Streams","84",IF(R743="Coastal Areas","76",IF(R743="Meadows Dry Open","96", IF(R743="Forest &amp; Understory","90", IF(R743="Moist Open","88", IF(R743="Moist Shady","82", IF(R743="Sub-Alpine Slopes","80")))))))</f>
        <v>88</v>
      </c>
      <c r="W743" s="59">
        <v>20</v>
      </c>
      <c r="X743" s="59">
        <v>0</v>
      </c>
      <c r="Y743" s="59">
        <v>3500</v>
      </c>
      <c r="Z743" s="59" t="s">
        <v>2519</v>
      </c>
      <c r="AA743" s="59" t="s">
        <v>2518</v>
      </c>
      <c r="AB743" s="59">
        <v>6.8</v>
      </c>
      <c r="AC743" s="45">
        <f>C743+AK743+(0.1)*AL743</f>
        <v>11.2</v>
      </c>
      <c r="AD743" s="77">
        <v>95</v>
      </c>
      <c r="AE743" s="59">
        <v>5</v>
      </c>
      <c r="AF743" s="59">
        <v>5</v>
      </c>
      <c r="AG743" s="59">
        <v>1900</v>
      </c>
      <c r="AH743" s="77">
        <v>0</v>
      </c>
      <c r="AI743" s="59">
        <f ca="1">AJ743</f>
        <v>2019</v>
      </c>
      <c r="AJ743" s="18">
        <f ca="1">YEAR(TODAY())</f>
        <v>2019</v>
      </c>
      <c r="AK743" s="18">
        <v>1</v>
      </c>
      <c r="AL743" s="18">
        <v>22</v>
      </c>
      <c r="AM743" s="18">
        <v>1</v>
      </c>
      <c r="AN743" s="18">
        <v>1</v>
      </c>
      <c r="AO743" s="18">
        <v>5</v>
      </c>
      <c r="AP743" s="18">
        <v>1</v>
      </c>
      <c r="AQ743" s="18">
        <v>0</v>
      </c>
      <c r="AR743" s="18">
        <v>0</v>
      </c>
      <c r="AS743" s="18">
        <v>0</v>
      </c>
      <c r="AT743" s="18">
        <v>0</v>
      </c>
      <c r="AU743" s="18">
        <v>0</v>
      </c>
      <c r="AV743" s="18">
        <v>0</v>
      </c>
      <c r="AW743" s="18">
        <v>0</v>
      </c>
      <c r="AX743" s="18">
        <v>0</v>
      </c>
      <c r="AY743" s="233"/>
      <c r="AZ743" s="4"/>
      <c r="BA743" s="35" t="str">
        <f>IF(OR(S743="North America",S743="Rocky Mountain"), "Widespread",BC743)</f>
        <v>Widespread</v>
      </c>
      <c r="BB743" s="4"/>
      <c r="BC743" s="35" t="str">
        <f ca="1">IF(BE743&gt;2046, "Abundant",BE743)</f>
        <v>Abundant</v>
      </c>
      <c r="BD743" s="4"/>
      <c r="BE743" s="81">
        <f ca="1">YEAR($C$13)+(BG743*80)</f>
        <v>2102.4260591800357</v>
      </c>
      <c r="BF743" s="4"/>
      <c r="BG743" s="137">
        <f ca="1">BH743*$BH$14</f>
        <v>1.0428257397504457</v>
      </c>
      <c r="BH743" s="137">
        <f ca="1">(((BJ743+BK743+BM743+BN743)/4)*$BM$11)+(((BP743+BQ743)/2)*$BQ$11)+(((BU743+BV743+BW743)/3)*$BU$11)+(((BY743+BZ743+CA743+CB743+CC743)/5)*$CA$11)</f>
        <v>1.0428257397504457</v>
      </c>
      <c r="BI743" s="4"/>
      <c r="BJ743" s="33">
        <f>AP743/(AM743+AO743)</f>
        <v>0.16666666666666666</v>
      </c>
      <c r="BK743" s="33">
        <f>(AN743+AO743)/(AM743+AO743)</f>
        <v>1</v>
      </c>
      <c r="BL743" s="4"/>
      <c r="BM743" s="127">
        <f>CF743/102</f>
        <v>0.10980392156862745</v>
      </c>
      <c r="BN743" s="127">
        <f>C743/2</f>
        <v>4</v>
      </c>
      <c r="BO743" s="4"/>
      <c r="BP743" s="127">
        <f>(AK743)/($AW$6)</f>
        <v>1.0101010101010102E-2</v>
      </c>
      <c r="BQ743" s="127">
        <f ca="1">(CH743-$AW$4)/((YEAR($C$13))-$AW$4)</f>
        <v>1</v>
      </c>
      <c r="BR743" s="127">
        <f>(AL743)/($AW$6)</f>
        <v>0.22222222222222221</v>
      </c>
      <c r="BS743" s="4"/>
      <c r="BT743" s="127"/>
      <c r="BU743" s="127">
        <f ca="1">(CG743-$AW$4)/((YEAR($C$13))-$AW$4)</f>
        <v>1</v>
      </c>
      <c r="BV743" s="127">
        <f>AE743/5</f>
        <v>1</v>
      </c>
      <c r="BW743" s="127">
        <f>AF743/5</f>
        <v>1</v>
      </c>
      <c r="BX743" s="4"/>
      <c r="BY743" s="148" t="str">
        <f>IF(E743="A",".98",IF(E743="B",".99",IF(E743="C","1.00",IF(E743="D","1.00" ))))</f>
        <v>1.00</v>
      </c>
      <c r="BZ743" s="127">
        <f>(CE743+7)/10</f>
        <v>1</v>
      </c>
      <c r="CA743" s="76" t="str">
        <f>IF(D743="Fern",".97",IF(D743="Grass",".99",IF(D743="Herb",".97",IF(D743="Shrub",".99",IF(D743="Tree","1.00",IF(D743="Vine",".98"))))))</f>
        <v>.99</v>
      </c>
      <c r="CB743" s="149" t="str">
        <f>IF(R743="Bogs Ponds Streams",".96", IF(R743="Coastal Areas",".97",IF(R743="Meadows Dry Open",".96",IF(R743="Forest &amp; Understory",".97",IF(R743="Moist Open",".98",IF(R743="Moist Shady",".96",IF(R743="Sub-Alpine","1.0")))))))</f>
        <v>.98</v>
      </c>
      <c r="CC743" s="76" t="str">
        <f>IF(S743="Local Endemic",".50",IF(S743="Regional Endemic",".70",IF(S743="Cascadia",".90",IF(S743="Rocky Mountain",".95",IF(S743="North America",".99")))))</f>
        <v>.99</v>
      </c>
      <c r="CD743" s="4"/>
      <c r="CE743" s="21">
        <f>IF(W743&gt;3,3,W743)</f>
        <v>3</v>
      </c>
      <c r="CF743" s="21">
        <f>IF(AC743&gt;102,102,AC743)</f>
        <v>11.2</v>
      </c>
      <c r="CG743" s="34">
        <f ca="1">IF(AI743&lt;$AW$4,$AW$4,AI743)</f>
        <v>2019</v>
      </c>
      <c r="CH743" s="34">
        <f ca="1">IF(AJ743&lt;$AW$4,$AW$4,AJ743)</f>
        <v>2019</v>
      </c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</row>
    <row r="744" spans="1:115" ht="15" customHeight="1" x14ac:dyDescent="0.3">
      <c r="A744" s="235"/>
      <c r="B744" s="218"/>
      <c r="C744" s="225">
        <v>7</v>
      </c>
      <c r="D744" s="59" t="s">
        <v>2506</v>
      </c>
      <c r="E744" s="60" t="s">
        <v>2501</v>
      </c>
      <c r="F744" s="397" t="str">
        <f ca="1">IF(BC744&lt;2025, "Extinct&lt; 6Yrs?",BA744)</f>
        <v>Abundant</v>
      </c>
      <c r="G744" s="363" t="s">
        <v>525</v>
      </c>
      <c r="H744" s="363" t="s">
        <v>679</v>
      </c>
      <c r="I744" s="364" t="s">
        <v>767</v>
      </c>
      <c r="J744" s="365" t="s">
        <v>766</v>
      </c>
      <c r="K744" s="365" t="s">
        <v>766</v>
      </c>
      <c r="L744" s="10" t="s">
        <v>2250</v>
      </c>
      <c r="M744" s="8" t="s">
        <v>4816</v>
      </c>
      <c r="N744" s="8" t="s">
        <v>5714</v>
      </c>
      <c r="O744" s="8" t="s">
        <v>6612</v>
      </c>
      <c r="P744" s="9" t="s">
        <v>547</v>
      </c>
      <c r="Q744" s="59" t="s">
        <v>2552</v>
      </c>
      <c r="R744" s="9" t="s">
        <v>2497</v>
      </c>
      <c r="S744" s="9" t="s">
        <v>2309</v>
      </c>
      <c r="T744" s="123" t="str">
        <f>IF(R744="Bogs Ponds Streams","20",IF(R744="Coastal Areas","26",IF(R744="Meadows Dry Open","10",IF(R744="Forest &amp; Understory","14",IF(R744="Moist Open","12",IF(R744="Moist Shady","10",IF(R744="Sub-Alpine Slopes","0")))))))</f>
        <v>12</v>
      </c>
      <c r="U744" s="123" t="str">
        <f>IF(R744="Bogs Ponds Streams","52",IF(R744="Coastal Areas","51",IF(R744="Meadows Dry Open","53",IF(R744="Forest &amp; Understory","52",IF(R744="Moist Open","50",IF(R744="Moist Shady","46",IF(R744="Sub-Alpine Slopes","40")))))))</f>
        <v>50</v>
      </c>
      <c r="V744" s="123" t="str">
        <f>IF(R744="Bogs Ponds Streams","84",IF(R744="Coastal Areas","76",IF(R744="Meadows Dry Open","96", IF(R744="Forest &amp; Understory","90", IF(R744="Moist Open","88", IF(R744="Moist Shady","82", IF(R744="Sub-Alpine Slopes","80")))))))</f>
        <v>88</v>
      </c>
      <c r="W744" s="59">
        <v>20</v>
      </c>
      <c r="X744" s="59">
        <v>0</v>
      </c>
      <c r="Y744" s="59">
        <v>3500</v>
      </c>
      <c r="Z744" s="59" t="s">
        <v>2519</v>
      </c>
      <c r="AA744" s="59" t="s">
        <v>2518</v>
      </c>
      <c r="AB744" s="59">
        <v>6.8</v>
      </c>
      <c r="AC744" s="45">
        <f>C744+AK744+(0.1)*AL744</f>
        <v>10.5</v>
      </c>
      <c r="AD744" s="77">
        <v>51</v>
      </c>
      <c r="AE744" s="59">
        <v>5</v>
      </c>
      <c r="AF744" s="59">
        <v>5</v>
      </c>
      <c r="AG744" s="59">
        <v>1900</v>
      </c>
      <c r="AH744" s="77">
        <v>0</v>
      </c>
      <c r="AI744" s="59">
        <f ca="1">AJ744</f>
        <v>2019</v>
      </c>
      <c r="AJ744" s="18">
        <f ca="1">YEAR(TODAY())</f>
        <v>2019</v>
      </c>
      <c r="AK744" s="18">
        <v>3</v>
      </c>
      <c r="AL744" s="18">
        <v>5</v>
      </c>
      <c r="AM744" s="18">
        <v>1</v>
      </c>
      <c r="AN744" s="18">
        <v>1</v>
      </c>
      <c r="AO744" s="18">
        <v>5</v>
      </c>
      <c r="AP744" s="18">
        <v>1</v>
      </c>
      <c r="AQ744" s="18">
        <v>0</v>
      </c>
      <c r="AR744" s="18">
        <v>0</v>
      </c>
      <c r="AS744" s="18">
        <v>0</v>
      </c>
      <c r="AT744" s="18">
        <v>0</v>
      </c>
      <c r="AU744" s="18">
        <v>0</v>
      </c>
      <c r="AV744" s="18">
        <v>0</v>
      </c>
      <c r="AW744" s="18">
        <v>0</v>
      </c>
      <c r="AX744" s="18">
        <v>0</v>
      </c>
      <c r="AY744" s="233"/>
      <c r="AZ744" s="4"/>
      <c r="BA744" s="35" t="str">
        <f ca="1">IF(OR(S744="North America",S744="Rocky Mountain"), "Widespread",BC744)</f>
        <v>Abundant</v>
      </c>
      <c r="BB744" s="4"/>
      <c r="BC744" s="35" t="str">
        <f ca="1">IF(BE744&gt;2046, "Abundant",BE744)</f>
        <v>Abundant</v>
      </c>
      <c r="BD744" s="4"/>
      <c r="BE744" s="81">
        <f ca="1">YEAR($C$13)+(BG744*80)</f>
        <v>2096.4933304812835</v>
      </c>
      <c r="BF744" s="4"/>
      <c r="BG744" s="137">
        <f ca="1">BH744*$BH$14</f>
        <v>0.96866663101604278</v>
      </c>
      <c r="BH744" s="137">
        <f ca="1">(((BJ744+BK744+BM744+BN744)/4)*$BM$11)+(((BP744+BQ744)/2)*$BQ$11)+(((BU744+BV744+BW744)/3)*$BU$11)+(((BY744+BZ744+CA744+CB744+CC744)/5)*$CA$11)</f>
        <v>0.96866663101604278</v>
      </c>
      <c r="BI744" s="4"/>
      <c r="BJ744" s="33">
        <f>AP744/(AM744+AO744)</f>
        <v>0.16666666666666666</v>
      </c>
      <c r="BK744" s="33">
        <f>(AN744+AO744)/(AM744+AO744)</f>
        <v>1</v>
      </c>
      <c r="BL744" s="4"/>
      <c r="BM744" s="127">
        <f>CF744/102</f>
        <v>0.10294117647058823</v>
      </c>
      <c r="BN744" s="127">
        <f>C744/2</f>
        <v>3.5</v>
      </c>
      <c r="BO744" s="4"/>
      <c r="BP744" s="127">
        <f>(AK744)/($AW$6)</f>
        <v>3.0303030303030304E-2</v>
      </c>
      <c r="BQ744" s="127">
        <f ca="1">(CH744-$AW$4)/((YEAR($C$13))-$AW$4)</f>
        <v>1</v>
      </c>
      <c r="BR744" s="127">
        <f>(AL744)/($AW$6)</f>
        <v>5.0505050505050504E-2</v>
      </c>
      <c r="BS744" s="4"/>
      <c r="BT744" s="127"/>
      <c r="BU744" s="127">
        <f ca="1">(CG744-$AW$4)/((YEAR($C$13))-$AW$4)</f>
        <v>1</v>
      </c>
      <c r="BV744" s="127">
        <f>AE744/5</f>
        <v>1</v>
      </c>
      <c r="BW744" s="127">
        <f>AF744/5</f>
        <v>1</v>
      </c>
      <c r="BX744" s="4"/>
      <c r="BY744" s="148" t="str">
        <f>IF(E744="A",".98",IF(E744="B",".99",IF(E744="C","1.00",IF(E744="D","1.00" ))))</f>
        <v>1.00</v>
      </c>
      <c r="BZ744" s="127">
        <f>(CE744+7)/10</f>
        <v>1</v>
      </c>
      <c r="CA744" s="76" t="str">
        <f>IF(D744="Fern",".97",IF(D744="Grass",".99",IF(D744="Herb",".97",IF(D744="Shrub",".99",IF(D744="Tree","1.00",IF(D744="Vine",".98"))))))</f>
        <v>.99</v>
      </c>
      <c r="CB744" s="149" t="str">
        <f>IF(R744="Bogs Ponds Streams",".96", IF(R744="Coastal Areas",".97",IF(R744="Meadows Dry Open",".96",IF(R744="Forest &amp; Understory",".97",IF(R744="Moist Open",".98",IF(R744="Moist Shady",".96",IF(R744="Sub-Alpine","1.0")))))))</f>
        <v>.98</v>
      </c>
      <c r="CC744" s="76" t="str">
        <f>IF(S744="Local Endemic",".50",IF(S744="Regional Endemic",".70",IF(S744="Cascadia",".90",IF(S744="Rocky Mountain",".95",IF(S744="North America",".99")))))</f>
        <v>.70</v>
      </c>
      <c r="CD744" s="4"/>
      <c r="CE744" s="21">
        <f>IF(W744&gt;3,3,W744)</f>
        <v>3</v>
      </c>
      <c r="CF744" s="21">
        <f>IF(AC744&gt;102,102,AC744)</f>
        <v>10.5</v>
      </c>
      <c r="CG744" s="34">
        <f ca="1">IF(AI744&lt;$AW$4,$AW$4,AI744)</f>
        <v>2019</v>
      </c>
      <c r="CH744" s="34">
        <f ca="1">IF(AJ744&lt;$AW$4,$AW$4,AJ744)</f>
        <v>2019</v>
      </c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</row>
    <row r="745" spans="1:115" ht="15" customHeight="1" x14ac:dyDescent="0.3">
      <c r="A745" s="235"/>
      <c r="B745" s="218"/>
      <c r="C745" s="225">
        <v>8</v>
      </c>
      <c r="D745" s="59" t="s">
        <v>2506</v>
      </c>
      <c r="E745" s="60" t="s">
        <v>2501</v>
      </c>
      <c r="F745" s="397" t="str">
        <f ca="1">IF(BC745&lt;2025, "Extinct&lt; 6Yrs?",BA745)</f>
        <v>Abundant</v>
      </c>
      <c r="G745" s="363" t="s">
        <v>525</v>
      </c>
      <c r="H745" s="363" t="s">
        <v>679</v>
      </c>
      <c r="I745" s="364" t="s">
        <v>769</v>
      </c>
      <c r="J745" s="365" t="s">
        <v>3955</v>
      </c>
      <c r="K745" s="365" t="s">
        <v>768</v>
      </c>
      <c r="L745" s="10" t="s">
        <v>2249</v>
      </c>
      <c r="M745" s="8" t="s">
        <v>4817</v>
      </c>
      <c r="N745" s="8" t="s">
        <v>5715</v>
      </c>
      <c r="O745" s="8" t="s">
        <v>6613</v>
      </c>
      <c r="P745" s="9" t="s">
        <v>547</v>
      </c>
      <c r="Q745" s="59" t="s">
        <v>2552</v>
      </c>
      <c r="R745" s="9" t="s">
        <v>2497</v>
      </c>
      <c r="S745" s="9" t="s">
        <v>2309</v>
      </c>
      <c r="T745" s="123" t="str">
        <f>IF(R745="Bogs Ponds Streams","20",IF(R745="Coastal Areas","26",IF(R745="Meadows Dry Open","10",IF(R745="Forest &amp; Understory","14",IF(R745="Moist Open","12",IF(R745="Moist Shady","10",IF(R745="Sub-Alpine Slopes","0")))))))</f>
        <v>12</v>
      </c>
      <c r="U745" s="123" t="str">
        <f>IF(R745="Bogs Ponds Streams","52",IF(R745="Coastal Areas","51",IF(R745="Meadows Dry Open","53",IF(R745="Forest &amp; Understory","52",IF(R745="Moist Open","50",IF(R745="Moist Shady","46",IF(R745="Sub-Alpine Slopes","40")))))))</f>
        <v>50</v>
      </c>
      <c r="V745" s="123" t="str">
        <f>IF(R745="Bogs Ponds Streams","84",IF(R745="Coastal Areas","76",IF(R745="Meadows Dry Open","96", IF(R745="Forest &amp; Understory","90", IF(R745="Moist Open","88", IF(R745="Moist Shady","82", IF(R745="Sub-Alpine Slopes","80")))))))</f>
        <v>88</v>
      </c>
      <c r="W745" s="59">
        <v>20</v>
      </c>
      <c r="X745" s="59">
        <v>0</v>
      </c>
      <c r="Y745" s="59">
        <v>3500</v>
      </c>
      <c r="Z745" s="59" t="s">
        <v>2519</v>
      </c>
      <c r="AA745" s="59" t="s">
        <v>2518</v>
      </c>
      <c r="AB745" s="59">
        <v>6.8</v>
      </c>
      <c r="AC745" s="45">
        <f>C745+AK745+(0.1)*AL745</f>
        <v>15.4</v>
      </c>
      <c r="AD745" s="77">
        <v>67</v>
      </c>
      <c r="AE745" s="59">
        <v>5</v>
      </c>
      <c r="AF745" s="59">
        <v>5</v>
      </c>
      <c r="AG745" s="59">
        <v>1900</v>
      </c>
      <c r="AH745" s="77">
        <v>0</v>
      </c>
      <c r="AI745" s="59">
        <f ca="1">AJ745</f>
        <v>2019</v>
      </c>
      <c r="AJ745" s="18">
        <f ca="1">YEAR(TODAY())</f>
        <v>2019</v>
      </c>
      <c r="AK745" s="18">
        <v>7</v>
      </c>
      <c r="AL745" s="18">
        <v>4</v>
      </c>
      <c r="AM745" s="18">
        <v>1</v>
      </c>
      <c r="AN745" s="18">
        <v>1</v>
      </c>
      <c r="AO745" s="18">
        <v>5</v>
      </c>
      <c r="AP745" s="18">
        <v>1</v>
      </c>
      <c r="AQ745" s="18">
        <v>0</v>
      </c>
      <c r="AR745" s="18">
        <v>0</v>
      </c>
      <c r="AS745" s="18">
        <v>0</v>
      </c>
      <c r="AT745" s="18">
        <v>0</v>
      </c>
      <c r="AU745" s="18">
        <v>0</v>
      </c>
      <c r="AV745" s="18">
        <v>0</v>
      </c>
      <c r="AW745" s="18">
        <v>0</v>
      </c>
      <c r="AX745" s="18">
        <v>0</v>
      </c>
      <c r="AY745" s="233"/>
      <c r="AZ745" s="4"/>
      <c r="BA745" s="35" t="str">
        <f ca="1">IF(OR(S745="North America",S745="Rocky Mountain"), "Widespread",BC745)</f>
        <v>Abundant</v>
      </c>
      <c r="BB745" s="4"/>
      <c r="BC745" s="35" t="str">
        <f ca="1">IF(BE745&gt;2046, "Abundant",BE745)</f>
        <v>Abundant</v>
      </c>
      <c r="BD745" s="4"/>
      <c r="BE745" s="81">
        <f ca="1">YEAR($C$13)+(BG745*80)</f>
        <v>2103.5546495543672</v>
      </c>
      <c r="BF745" s="4"/>
      <c r="BG745" s="137">
        <f ca="1">BH745*$BH$14</f>
        <v>1.0569331194295901</v>
      </c>
      <c r="BH745" s="137">
        <f ca="1">(((BJ745+BK745+BM745+BN745)/4)*$BM$11)+(((BP745+BQ745)/2)*$BQ$11)+(((BU745+BV745+BW745)/3)*$BU$11)+(((BY745+BZ745+CA745+CB745+CC745)/5)*$CA$11)</f>
        <v>1.0569331194295901</v>
      </c>
      <c r="BI745" s="4"/>
      <c r="BJ745" s="33">
        <f>AP745/(AM745+AO745)</f>
        <v>0.16666666666666666</v>
      </c>
      <c r="BK745" s="33">
        <f>(AN745+AO745)/(AM745+AO745)</f>
        <v>1</v>
      </c>
      <c r="BL745" s="4"/>
      <c r="BM745" s="127">
        <f>CF745/102</f>
        <v>0.15098039215686274</v>
      </c>
      <c r="BN745" s="127">
        <f>C745/2</f>
        <v>4</v>
      </c>
      <c r="BO745" s="4"/>
      <c r="BP745" s="127">
        <f>(AK745)/($AW$6)</f>
        <v>7.0707070707070704E-2</v>
      </c>
      <c r="BQ745" s="127">
        <f ca="1">(CH745-$AW$4)/((YEAR($C$13))-$AW$4)</f>
        <v>1</v>
      </c>
      <c r="BR745" s="127">
        <f>(AL745)/($AW$6)</f>
        <v>4.0404040404040407E-2</v>
      </c>
      <c r="BS745" s="4"/>
      <c r="BT745" s="127"/>
      <c r="BU745" s="127">
        <f ca="1">(CG745-$AW$4)/((YEAR($C$13))-$AW$4)</f>
        <v>1</v>
      </c>
      <c r="BV745" s="127">
        <f>AE745/5</f>
        <v>1</v>
      </c>
      <c r="BW745" s="127">
        <f>AF745/5</f>
        <v>1</v>
      </c>
      <c r="BX745" s="4"/>
      <c r="BY745" s="148" t="str">
        <f>IF(E745="A",".98",IF(E745="B",".99",IF(E745="C","1.00",IF(E745="D","1.00" ))))</f>
        <v>1.00</v>
      </c>
      <c r="BZ745" s="127">
        <f>(CE745+7)/10</f>
        <v>1</v>
      </c>
      <c r="CA745" s="76" t="str">
        <f>IF(D745="Fern",".97",IF(D745="Grass",".99",IF(D745="Herb",".97",IF(D745="Shrub",".99",IF(D745="Tree","1.00",IF(D745="Vine",".98"))))))</f>
        <v>.99</v>
      </c>
      <c r="CB745" s="149" t="str">
        <f>IF(R745="Bogs Ponds Streams",".96", IF(R745="Coastal Areas",".97",IF(R745="Meadows Dry Open",".96",IF(R745="Forest &amp; Understory",".97",IF(R745="Moist Open",".98",IF(R745="Moist Shady",".96",IF(R745="Sub-Alpine","1.0")))))))</f>
        <v>.98</v>
      </c>
      <c r="CC745" s="76" t="str">
        <f>IF(S745="Local Endemic",".50",IF(S745="Regional Endemic",".70",IF(S745="Cascadia",".90",IF(S745="Rocky Mountain",".95",IF(S745="North America",".99")))))</f>
        <v>.70</v>
      </c>
      <c r="CD745" s="4"/>
      <c r="CE745" s="21">
        <f>IF(W745&gt;3,3,W745)</f>
        <v>3</v>
      </c>
      <c r="CF745" s="21">
        <f>IF(AC745&gt;102,102,AC745)</f>
        <v>15.4</v>
      </c>
      <c r="CG745" s="34">
        <f ca="1">IF(AI745&lt;$AW$4,$AW$4,AI745)</f>
        <v>2019</v>
      </c>
      <c r="CH745" s="34">
        <f ca="1">IF(AJ745&lt;$AW$4,$AW$4,AJ745)</f>
        <v>2019</v>
      </c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</row>
    <row r="746" spans="1:115" ht="15" customHeight="1" x14ac:dyDescent="0.3">
      <c r="A746" s="235"/>
      <c r="B746" s="218"/>
      <c r="C746" s="225">
        <v>8</v>
      </c>
      <c r="D746" s="59" t="s">
        <v>2506</v>
      </c>
      <c r="E746" s="60" t="s">
        <v>2501</v>
      </c>
      <c r="F746" s="397" t="str">
        <f ca="1">IF(BC746&lt;2025, "Extinct&lt; 6Yrs?",BA746)</f>
        <v>Widespread</v>
      </c>
      <c r="G746" s="363" t="s">
        <v>525</v>
      </c>
      <c r="H746" s="363" t="s">
        <v>678</v>
      </c>
      <c r="I746" s="366" t="s">
        <v>512</v>
      </c>
      <c r="J746" s="365" t="s">
        <v>3954</v>
      </c>
      <c r="K746" s="365" t="s">
        <v>815</v>
      </c>
      <c r="L746" s="10" t="s">
        <v>2260</v>
      </c>
      <c r="M746" s="8" t="s">
        <v>4818</v>
      </c>
      <c r="N746" s="8" t="s">
        <v>5716</v>
      </c>
      <c r="O746" s="8" t="s">
        <v>6614</v>
      </c>
      <c r="P746" s="9" t="s">
        <v>547</v>
      </c>
      <c r="Q746" s="59" t="s">
        <v>2552</v>
      </c>
      <c r="R746" s="9" t="s">
        <v>2497</v>
      </c>
      <c r="S746" s="9" t="s">
        <v>2479</v>
      </c>
      <c r="T746" s="123" t="str">
        <f>IF(R746="Bogs Ponds Streams","20",IF(R746="Coastal Areas","26",IF(R746="Meadows Dry Open","10",IF(R746="Forest &amp; Understory","14",IF(R746="Moist Open","12",IF(R746="Moist Shady","10",IF(R746="Sub-Alpine Slopes","0")))))))</f>
        <v>12</v>
      </c>
      <c r="U746" s="123" t="str">
        <f>IF(R746="Bogs Ponds Streams","52",IF(R746="Coastal Areas","51",IF(R746="Meadows Dry Open","53",IF(R746="Forest &amp; Understory","52",IF(R746="Moist Open","50",IF(R746="Moist Shady","46",IF(R746="Sub-Alpine Slopes","40")))))))</f>
        <v>50</v>
      </c>
      <c r="V746" s="123" t="str">
        <f>IF(R746="Bogs Ponds Streams","84",IF(R746="Coastal Areas","76",IF(R746="Meadows Dry Open","96", IF(R746="Forest &amp; Understory","90", IF(R746="Moist Open","88", IF(R746="Moist Shady","82", IF(R746="Sub-Alpine Slopes","80")))))))</f>
        <v>88</v>
      </c>
      <c r="W746" s="59">
        <v>20</v>
      </c>
      <c r="X746" s="59">
        <v>0</v>
      </c>
      <c r="Y746" s="59">
        <v>3500</v>
      </c>
      <c r="Z746" s="59" t="s">
        <v>2519</v>
      </c>
      <c r="AA746" s="59" t="s">
        <v>2518</v>
      </c>
      <c r="AB746" s="59">
        <v>6.8</v>
      </c>
      <c r="AC746" s="45">
        <f>C746+AK746+(0.1)*AL746</f>
        <v>18.5</v>
      </c>
      <c r="AD746" s="77">
        <v>189</v>
      </c>
      <c r="AE746" s="59">
        <v>5</v>
      </c>
      <c r="AF746" s="59">
        <v>5</v>
      </c>
      <c r="AG746" s="59">
        <v>1900</v>
      </c>
      <c r="AH746" s="77">
        <v>0</v>
      </c>
      <c r="AI746" s="59">
        <f ca="1">AJ746</f>
        <v>2019</v>
      </c>
      <c r="AJ746" s="18">
        <f ca="1">YEAR(TODAY())</f>
        <v>2019</v>
      </c>
      <c r="AK746" s="18">
        <v>5</v>
      </c>
      <c r="AL746" s="18">
        <v>55</v>
      </c>
      <c r="AM746" s="18">
        <v>1</v>
      </c>
      <c r="AN746" s="18">
        <v>1</v>
      </c>
      <c r="AO746" s="24">
        <v>1</v>
      </c>
      <c r="AP746" s="24">
        <v>0</v>
      </c>
      <c r="AQ746" s="18">
        <v>0</v>
      </c>
      <c r="AR746" s="18">
        <v>0</v>
      </c>
      <c r="AS746" s="18">
        <v>0</v>
      </c>
      <c r="AT746" s="18">
        <v>0</v>
      </c>
      <c r="AU746" s="18">
        <v>0</v>
      </c>
      <c r="AV746" s="18">
        <v>0</v>
      </c>
      <c r="AW746" s="18">
        <v>0</v>
      </c>
      <c r="AX746" s="18">
        <v>0</v>
      </c>
      <c r="AY746" s="233"/>
      <c r="AZ746" s="4"/>
      <c r="BA746" s="35" t="str">
        <f>IF(OR(S746="North America",S746="Rocky Mountain"), "Widespread",BC746)</f>
        <v>Widespread</v>
      </c>
      <c r="BB746" s="4"/>
      <c r="BC746" s="35" t="str">
        <f ca="1">IF(BE746&gt;2046, "Abundant",BE746)</f>
        <v>Abundant</v>
      </c>
      <c r="BD746" s="4"/>
      <c r="BE746" s="81">
        <f ca="1">YEAR($C$13)+(BG746*80)</f>
        <v>2101.7569311942957</v>
      </c>
      <c r="BF746" s="4"/>
      <c r="BG746" s="137">
        <f ca="1">BH746*$BH$14</f>
        <v>1.0344616399286988</v>
      </c>
      <c r="BH746" s="137">
        <f ca="1">(((BJ746+BK746+BM746+BN746)/4)*$BM$11)+(((BP746+BQ746)/2)*$BQ$11)+(((BU746+BV746+BW746)/3)*$BU$11)+(((BY746+BZ746+CA746+CB746+CC746)/5)*$CA$11)</f>
        <v>1.0344616399286988</v>
      </c>
      <c r="BI746" s="4"/>
      <c r="BJ746" s="33">
        <f>AP746/(AM746+AO746)</f>
        <v>0</v>
      </c>
      <c r="BK746" s="33">
        <f>(AN746+AO746)/(AM746+AO746)</f>
        <v>1</v>
      </c>
      <c r="BL746" s="4"/>
      <c r="BM746" s="127">
        <f>CF746/102</f>
        <v>0.18137254901960784</v>
      </c>
      <c r="BN746" s="127">
        <f>C746/2</f>
        <v>4</v>
      </c>
      <c r="BO746" s="4"/>
      <c r="BP746" s="127">
        <f>(AK746)/($AW$6)</f>
        <v>5.0505050505050504E-2</v>
      </c>
      <c r="BQ746" s="127">
        <f ca="1">(CH746-$AW$4)/((YEAR($C$13))-$AW$4)</f>
        <v>1</v>
      </c>
      <c r="BR746" s="127">
        <f>(AL746)/($AW$6)</f>
        <v>0.55555555555555558</v>
      </c>
      <c r="BS746" s="4"/>
      <c r="BT746" s="127"/>
      <c r="BU746" s="127">
        <f ca="1">(CG746-$AW$4)/((YEAR($C$13))-$AW$4)</f>
        <v>1</v>
      </c>
      <c r="BV746" s="127">
        <f>AE746/5</f>
        <v>1</v>
      </c>
      <c r="BW746" s="127">
        <f>AF746/5</f>
        <v>1</v>
      </c>
      <c r="BX746" s="4"/>
      <c r="BY746" s="148" t="str">
        <f>IF(E746="A",".98",IF(E746="B",".99",IF(E746="C","1.00",IF(E746="D","1.00" ))))</f>
        <v>1.00</v>
      </c>
      <c r="BZ746" s="127">
        <f>(CE746+7)/10</f>
        <v>1</v>
      </c>
      <c r="CA746" s="76" t="str">
        <f>IF(D746="Fern",".97",IF(D746="Grass",".99",IF(D746="Herb",".97",IF(D746="Shrub",".99",IF(D746="Tree","1.00",IF(D746="Vine",".98"))))))</f>
        <v>.99</v>
      </c>
      <c r="CB746" s="149" t="str">
        <f>IF(R746="Bogs Ponds Streams",".96", IF(R746="Coastal Areas",".97",IF(R746="Meadows Dry Open",".96",IF(R746="Forest &amp; Understory",".97",IF(R746="Moist Open",".98",IF(R746="Moist Shady",".96",IF(R746="Sub-Alpine","1.0")))))))</f>
        <v>.98</v>
      </c>
      <c r="CC746" s="76" t="str">
        <f>IF(S746="Local Endemic",".50",IF(S746="Regional Endemic",".70",IF(S746="Cascadia",".90",IF(S746="Rocky Mountain",".95",IF(S746="North America",".99")))))</f>
        <v>.95</v>
      </c>
      <c r="CD746" s="4"/>
      <c r="CE746" s="21">
        <f>IF(W746&gt;3,3,W746)</f>
        <v>3</v>
      </c>
      <c r="CF746" s="21">
        <f>IF(AC746&gt;102,102,AC746)</f>
        <v>18.5</v>
      </c>
      <c r="CG746" s="34">
        <f ca="1">IF(AI746&lt;$AW$4,$AW$4,AI746)</f>
        <v>2019</v>
      </c>
      <c r="CH746" s="34">
        <f ca="1">IF(AJ746&lt;$AW$4,$AW$4,AJ746)</f>
        <v>2019</v>
      </c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</row>
    <row r="747" spans="1:115" ht="15" customHeight="1" x14ac:dyDescent="0.3">
      <c r="A747" s="235"/>
      <c r="B747" s="218"/>
      <c r="C747" s="225">
        <v>8</v>
      </c>
      <c r="D747" s="59" t="s">
        <v>2506</v>
      </c>
      <c r="E747" s="60" t="s">
        <v>2501</v>
      </c>
      <c r="F747" s="397" t="str">
        <f ca="1">IF(BC747&lt;2025, "Extinct&lt; 6Yrs?",BA747)</f>
        <v>Widespread</v>
      </c>
      <c r="G747" s="363" t="s">
        <v>525</v>
      </c>
      <c r="H747" s="363" t="s">
        <v>679</v>
      </c>
      <c r="I747" s="366" t="s">
        <v>3128</v>
      </c>
      <c r="J747" s="365" t="s">
        <v>3953</v>
      </c>
      <c r="K747" s="365" t="s">
        <v>355</v>
      </c>
      <c r="L747" s="10" t="s">
        <v>2259</v>
      </c>
      <c r="M747" s="8" t="s">
        <v>4819</v>
      </c>
      <c r="N747" s="8" t="s">
        <v>5717</v>
      </c>
      <c r="O747" s="8" t="s">
        <v>6615</v>
      </c>
      <c r="P747" s="9" t="s">
        <v>547</v>
      </c>
      <c r="Q747" s="59" t="s">
        <v>2552</v>
      </c>
      <c r="R747" s="9" t="s">
        <v>2497</v>
      </c>
      <c r="S747" s="17" t="s">
        <v>2479</v>
      </c>
      <c r="T747" s="123" t="str">
        <f>IF(R747="Bogs Ponds Streams","20",IF(R747="Coastal Areas","26",IF(R747="Meadows Dry Open","10",IF(R747="Forest &amp; Understory","14",IF(R747="Moist Open","12",IF(R747="Moist Shady","10",IF(R747="Sub-Alpine Slopes","0")))))))</f>
        <v>12</v>
      </c>
      <c r="U747" s="123" t="str">
        <f>IF(R747="Bogs Ponds Streams","52",IF(R747="Coastal Areas","51",IF(R747="Meadows Dry Open","53",IF(R747="Forest &amp; Understory","52",IF(R747="Moist Open","50",IF(R747="Moist Shady","46",IF(R747="Sub-Alpine Slopes","40")))))))</f>
        <v>50</v>
      </c>
      <c r="V747" s="123" t="str">
        <f>IF(R747="Bogs Ponds Streams","84",IF(R747="Coastal Areas","76",IF(R747="Meadows Dry Open","96", IF(R747="Forest &amp; Understory","90", IF(R747="Moist Open","88", IF(R747="Moist Shady","82", IF(R747="Sub-Alpine Slopes","80")))))))</f>
        <v>88</v>
      </c>
      <c r="W747" s="59">
        <v>20</v>
      </c>
      <c r="X747" s="59">
        <v>0</v>
      </c>
      <c r="Y747" s="59">
        <v>3500</v>
      </c>
      <c r="Z747" s="59" t="s">
        <v>2519</v>
      </c>
      <c r="AA747" s="59" t="s">
        <v>2518</v>
      </c>
      <c r="AB747" s="59">
        <v>6.8</v>
      </c>
      <c r="AC747" s="45">
        <f>C747+AK747+(0.1)*AL747</f>
        <v>16.100000000000001</v>
      </c>
      <c r="AD747" s="77">
        <v>72</v>
      </c>
      <c r="AE747" s="59">
        <v>5</v>
      </c>
      <c r="AF747" s="59">
        <v>5</v>
      </c>
      <c r="AG747" s="59">
        <v>1900</v>
      </c>
      <c r="AH747" s="77">
        <v>0</v>
      </c>
      <c r="AI747" s="59">
        <f ca="1">AJ747</f>
        <v>2019</v>
      </c>
      <c r="AJ747" s="18">
        <f ca="1">YEAR(TODAY())</f>
        <v>2019</v>
      </c>
      <c r="AK747" s="18">
        <v>7</v>
      </c>
      <c r="AL747" s="18">
        <v>11</v>
      </c>
      <c r="AM747" s="18">
        <v>1</v>
      </c>
      <c r="AN747" s="18">
        <v>1</v>
      </c>
      <c r="AO747" s="18">
        <v>5</v>
      </c>
      <c r="AP747" s="18">
        <v>1</v>
      </c>
      <c r="AQ747" s="18">
        <v>0</v>
      </c>
      <c r="AR747" s="18">
        <v>0</v>
      </c>
      <c r="AS747" s="18">
        <v>0</v>
      </c>
      <c r="AT747" s="18">
        <v>0</v>
      </c>
      <c r="AU747" s="18">
        <v>0</v>
      </c>
      <c r="AV747" s="18">
        <v>0</v>
      </c>
      <c r="AW747" s="18">
        <v>0</v>
      </c>
      <c r="AX747" s="18">
        <v>0</v>
      </c>
      <c r="AY747" s="233"/>
      <c r="AZ747" s="4"/>
      <c r="BA747" s="35" t="str">
        <f>IF(OR(S747="North America",S747="Rocky Mountain"), "Widespread",BC747)</f>
        <v>Widespread</v>
      </c>
      <c r="BB747" s="4"/>
      <c r="BC747" s="35" t="str">
        <f ca="1">IF(BE747&gt;2046, "Abundant",BE747)</f>
        <v>Abundant</v>
      </c>
      <c r="BD747" s="4"/>
      <c r="BE747" s="81">
        <f ca="1">YEAR($C$13)+(BG747*80)</f>
        <v>2103.7170024955435</v>
      </c>
      <c r="BF747" s="4"/>
      <c r="BG747" s="137">
        <f ca="1">BH747*$BH$14</f>
        <v>1.0589625311942958</v>
      </c>
      <c r="BH747" s="137">
        <f ca="1">(((BJ747+BK747+BM747+BN747)/4)*$BM$11)+(((BP747+BQ747)/2)*$BQ$11)+(((BU747+BV747+BW747)/3)*$BU$11)+(((BY747+BZ747+CA747+CB747+CC747)/5)*$CA$11)</f>
        <v>1.0589625311942958</v>
      </c>
      <c r="BI747" s="4"/>
      <c r="BJ747" s="33">
        <f>AP747/(AM747+AO747)</f>
        <v>0.16666666666666666</v>
      </c>
      <c r="BK747" s="33">
        <f>(AN747+AO747)/(AM747+AO747)</f>
        <v>1</v>
      </c>
      <c r="BL747" s="4"/>
      <c r="BM747" s="127">
        <f>CF747/102</f>
        <v>0.15784313725490198</v>
      </c>
      <c r="BN747" s="127">
        <f>C747/2</f>
        <v>4</v>
      </c>
      <c r="BO747" s="4"/>
      <c r="BP747" s="127">
        <f>(AK747)/($AW$6)</f>
        <v>7.0707070707070704E-2</v>
      </c>
      <c r="BQ747" s="127">
        <f ca="1">(CH747-$AW$4)/((YEAR($C$13))-$AW$4)</f>
        <v>1</v>
      </c>
      <c r="BR747" s="127">
        <f>(AL747)/($AW$6)</f>
        <v>0.1111111111111111</v>
      </c>
      <c r="BS747" s="4"/>
      <c r="BT747" s="127"/>
      <c r="BU747" s="127">
        <f ca="1">(CG747-$AW$4)/((YEAR($C$13))-$AW$4)</f>
        <v>1</v>
      </c>
      <c r="BV747" s="127">
        <f>AE747/5</f>
        <v>1</v>
      </c>
      <c r="BW747" s="127">
        <f>AF747/5</f>
        <v>1</v>
      </c>
      <c r="BX747" s="4"/>
      <c r="BY747" s="148" t="str">
        <f>IF(E747="A",".98",IF(E747="B",".99",IF(E747="C","1.00",IF(E747="D","1.00" ))))</f>
        <v>1.00</v>
      </c>
      <c r="BZ747" s="127">
        <f>(CE747+7)/10</f>
        <v>1</v>
      </c>
      <c r="CA747" s="76" t="str">
        <f>IF(D747="Fern",".97",IF(D747="Grass",".99",IF(D747="Herb",".97",IF(D747="Shrub",".99",IF(D747="Tree","1.00",IF(D747="Vine",".98"))))))</f>
        <v>.99</v>
      </c>
      <c r="CB747" s="149" t="str">
        <f>IF(R747="Bogs Ponds Streams",".96", IF(R747="Coastal Areas",".97",IF(R747="Meadows Dry Open",".96",IF(R747="Forest &amp; Understory",".97",IF(R747="Moist Open",".98",IF(R747="Moist Shady",".96",IF(R747="Sub-Alpine","1.0")))))))</f>
        <v>.98</v>
      </c>
      <c r="CC747" s="76" t="str">
        <f>IF(S747="Local Endemic",".50",IF(S747="Regional Endemic",".70",IF(S747="Cascadia",".90",IF(S747="Rocky Mountain",".95",IF(S747="North America",".99")))))</f>
        <v>.95</v>
      </c>
      <c r="CD747" s="4"/>
      <c r="CE747" s="21">
        <f>IF(W747&gt;3,3,W747)</f>
        <v>3</v>
      </c>
      <c r="CF747" s="21">
        <f>IF(AC747&gt;102,102,AC747)</f>
        <v>16.100000000000001</v>
      </c>
      <c r="CG747" s="34">
        <f ca="1">IF(AI747&lt;$AW$4,$AW$4,AI747)</f>
        <v>2019</v>
      </c>
      <c r="CH747" s="34">
        <f ca="1">IF(AJ747&lt;$AW$4,$AW$4,AJ747)</f>
        <v>2019</v>
      </c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</row>
    <row r="748" spans="1:115" ht="15" customHeight="1" x14ac:dyDescent="0.3">
      <c r="A748" s="235"/>
      <c r="B748" s="218"/>
      <c r="C748" s="225">
        <v>9</v>
      </c>
      <c r="D748" s="59" t="s">
        <v>2507</v>
      </c>
      <c r="E748" s="59" t="s">
        <v>2501</v>
      </c>
      <c r="F748" s="397" t="str">
        <f ca="1">IF(BC748&lt;2025, "Extinct&lt; 6Yrs?",BA748)</f>
        <v>Abundant</v>
      </c>
      <c r="G748" s="363" t="s">
        <v>525</v>
      </c>
      <c r="H748" s="363" t="s">
        <v>679</v>
      </c>
      <c r="I748" s="366" t="s">
        <v>1253</v>
      </c>
      <c r="J748" s="365" t="s">
        <v>3952</v>
      </c>
      <c r="K748" s="365" t="s">
        <v>2251</v>
      </c>
      <c r="L748" s="10" t="s">
        <v>1254</v>
      </c>
      <c r="M748" s="8" t="s">
        <v>4820</v>
      </c>
      <c r="N748" s="8" t="s">
        <v>1254</v>
      </c>
      <c r="O748" s="8" t="s">
        <v>6616</v>
      </c>
      <c r="P748" s="9" t="s">
        <v>547</v>
      </c>
      <c r="Q748" s="59" t="s">
        <v>2552</v>
      </c>
      <c r="R748" s="9" t="s">
        <v>2497</v>
      </c>
      <c r="S748" s="17" t="s">
        <v>2309</v>
      </c>
      <c r="T748" s="123" t="str">
        <f>IF(R748="Bogs Ponds Streams","20",IF(R748="Coastal Areas","26",IF(R748="Meadows Dry Open","10",IF(R748="Forest &amp; Understory","14",IF(R748="Moist Open","12",IF(R748="Moist Shady","10",IF(R748="Sub-Alpine Slopes","0")))))))</f>
        <v>12</v>
      </c>
      <c r="U748" s="123" t="str">
        <f>IF(R748="Bogs Ponds Streams","52",IF(R748="Coastal Areas","51",IF(R748="Meadows Dry Open","53",IF(R748="Forest &amp; Understory","52",IF(R748="Moist Open","50",IF(R748="Moist Shady","46",IF(R748="Sub-Alpine Slopes","40")))))))</f>
        <v>50</v>
      </c>
      <c r="V748" s="123" t="str">
        <f>IF(R748="Bogs Ponds Streams","84",IF(R748="Coastal Areas","76",IF(R748="Meadows Dry Open","96", IF(R748="Forest &amp; Understory","90", IF(R748="Moist Open","88", IF(R748="Moist Shady","82", IF(R748="Sub-Alpine Slopes","80")))))))</f>
        <v>88</v>
      </c>
      <c r="W748" s="59">
        <v>20</v>
      </c>
      <c r="X748" s="59">
        <v>0</v>
      </c>
      <c r="Y748" s="59">
        <v>3500</v>
      </c>
      <c r="Z748" s="59" t="s">
        <v>2519</v>
      </c>
      <c r="AA748" s="59" t="s">
        <v>2518</v>
      </c>
      <c r="AB748" s="59">
        <v>6.8</v>
      </c>
      <c r="AC748" s="45">
        <f>C748+AK748+(0.1)*AL748</f>
        <v>42.3</v>
      </c>
      <c r="AD748" s="77">
        <v>2</v>
      </c>
      <c r="AE748" s="59">
        <v>5</v>
      </c>
      <c r="AF748" s="59">
        <v>5</v>
      </c>
      <c r="AG748" s="59">
        <v>1900</v>
      </c>
      <c r="AH748" s="77">
        <v>0</v>
      </c>
      <c r="AI748" s="59">
        <f ca="1">AJ748</f>
        <v>2019</v>
      </c>
      <c r="AJ748" s="18">
        <f ca="1">YEAR(TODAY())</f>
        <v>2019</v>
      </c>
      <c r="AK748" s="18">
        <v>33</v>
      </c>
      <c r="AL748" s="18">
        <v>3</v>
      </c>
      <c r="AM748" s="18">
        <v>1</v>
      </c>
      <c r="AN748" s="18">
        <v>1</v>
      </c>
      <c r="AO748" s="18">
        <v>5</v>
      </c>
      <c r="AP748" s="18">
        <v>1</v>
      </c>
      <c r="AQ748" s="18">
        <v>0</v>
      </c>
      <c r="AR748" s="18">
        <v>0</v>
      </c>
      <c r="AS748" s="18">
        <v>0</v>
      </c>
      <c r="AT748" s="18">
        <v>0</v>
      </c>
      <c r="AU748" s="18">
        <v>0</v>
      </c>
      <c r="AV748" s="18">
        <v>0</v>
      </c>
      <c r="AW748" s="18">
        <v>0</v>
      </c>
      <c r="AX748" s="18">
        <v>0</v>
      </c>
      <c r="AY748" s="233"/>
      <c r="AZ748" s="4"/>
      <c r="BA748" s="35" t="str">
        <f ca="1">IF(OR(S748="North America",S748="Rocky Mountain"), "Widespread",BC748)</f>
        <v>Abundant</v>
      </c>
      <c r="BB748" s="4"/>
      <c r="BC748" s="35" t="str">
        <f ca="1">IF(BE748&gt;2046, "Abundant",BE748)</f>
        <v>Abundant</v>
      </c>
      <c r="BD748" s="4"/>
      <c r="BE748" s="81">
        <f ca="1">YEAR($C$13)+(BG748*80)</f>
        <v>2115.8740705882351</v>
      </c>
      <c r="BF748" s="4"/>
      <c r="BG748" s="137">
        <f ca="1">BH748*$BH$14</f>
        <v>1.2109258823529414</v>
      </c>
      <c r="BH748" s="137">
        <f ca="1">(((BJ748+BK748+BM748+BN748)/4)*$BM$11)+(((BP748+BQ748)/2)*$BQ$11)+(((BU748+BV748+BW748)/3)*$BU$11)+(((BY748+BZ748+CA748+CB748+CC748)/5)*$CA$11)</f>
        <v>1.2109258823529414</v>
      </c>
      <c r="BI748" s="4"/>
      <c r="BJ748" s="33">
        <f>AP748/(AM748+AO748)</f>
        <v>0.16666666666666666</v>
      </c>
      <c r="BK748" s="33">
        <f>(AN748+AO748)/(AM748+AO748)</f>
        <v>1</v>
      </c>
      <c r="BL748" s="4"/>
      <c r="BM748" s="127">
        <f>CF748/102</f>
        <v>0.41470588235294115</v>
      </c>
      <c r="BN748" s="127">
        <f>C748/2</f>
        <v>4.5</v>
      </c>
      <c r="BO748" s="4"/>
      <c r="BP748" s="127">
        <f>(AK748)/($AW$6)</f>
        <v>0.33333333333333331</v>
      </c>
      <c r="BQ748" s="127">
        <f ca="1">(CH748-$AW$4)/((YEAR($C$13))-$AW$4)</f>
        <v>1</v>
      </c>
      <c r="BR748" s="127">
        <f>(AL748)/($AW$6)</f>
        <v>3.0303030303030304E-2</v>
      </c>
      <c r="BS748" s="4"/>
      <c r="BT748" s="127"/>
      <c r="BU748" s="127">
        <f ca="1">(CG748-$AW$4)/((YEAR($C$13))-$AW$4)</f>
        <v>1</v>
      </c>
      <c r="BV748" s="127">
        <f>AE748/5</f>
        <v>1</v>
      </c>
      <c r="BW748" s="127">
        <f>AF748/5</f>
        <v>1</v>
      </c>
      <c r="BX748" s="4"/>
      <c r="BY748" s="148" t="str">
        <f>IF(E748="A",".98",IF(E748="B",".99",IF(E748="C","1.00",IF(E748="D","1.00" ))))</f>
        <v>1.00</v>
      </c>
      <c r="BZ748" s="127">
        <f>(CE748+7)/10</f>
        <v>1</v>
      </c>
      <c r="CA748" s="76" t="str">
        <f>IF(D748="Fern",".97",IF(D748="Grass",".99",IF(D748="Herb",".97",IF(D748="Shrub",".99",IF(D748="Tree","1.00",IF(D748="Vine",".98"))))))</f>
        <v>1.00</v>
      </c>
      <c r="CB748" s="149" t="str">
        <f>IF(R748="Bogs Ponds Streams",".96", IF(R748="Coastal Areas",".97",IF(R748="Meadows Dry Open",".96",IF(R748="Forest &amp; Understory",".97",IF(R748="Moist Open",".98",IF(R748="Moist Shady",".96",IF(R748="Sub-Alpine","1.0")))))))</f>
        <v>.98</v>
      </c>
      <c r="CC748" s="76" t="str">
        <f>IF(S748="Local Endemic",".50",IF(S748="Regional Endemic",".70",IF(S748="Cascadia",".90",IF(S748="Rocky Mountain",".95",IF(S748="North America",".99")))))</f>
        <v>.70</v>
      </c>
      <c r="CD748" s="4"/>
      <c r="CE748" s="21">
        <f>IF(W748&gt;3,3,W748)</f>
        <v>3</v>
      </c>
      <c r="CF748" s="21">
        <f>IF(AC748&gt;102,102,AC748)</f>
        <v>42.3</v>
      </c>
      <c r="CG748" s="34">
        <f ca="1">IF(AI748&lt;$AW$4,$AW$4,AI748)</f>
        <v>2019</v>
      </c>
      <c r="CH748" s="34">
        <f ca="1">IF(AJ748&lt;$AW$4,$AW$4,AJ748)</f>
        <v>2019</v>
      </c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</row>
    <row r="749" spans="1:115" ht="15" customHeight="1" x14ac:dyDescent="0.3">
      <c r="A749" s="235"/>
      <c r="B749" s="218"/>
      <c r="C749" s="225">
        <v>8</v>
      </c>
      <c r="D749" s="59" t="s">
        <v>2507</v>
      </c>
      <c r="E749" s="59" t="s">
        <v>2501</v>
      </c>
      <c r="F749" s="397" t="str">
        <f ca="1">IF(BC749&lt;2025, "Extinct&lt; 6Yrs?",BA749)</f>
        <v>Abundant</v>
      </c>
      <c r="G749" s="363" t="s">
        <v>525</v>
      </c>
      <c r="H749" s="363" t="s">
        <v>678</v>
      </c>
      <c r="I749" s="366" t="s">
        <v>3129</v>
      </c>
      <c r="J749" s="365" t="s">
        <v>3951</v>
      </c>
      <c r="K749" s="365" t="s">
        <v>814</v>
      </c>
      <c r="L749" s="10" t="s">
        <v>2258</v>
      </c>
      <c r="M749" s="8" t="s">
        <v>4821</v>
      </c>
      <c r="N749" s="8" t="s">
        <v>5718</v>
      </c>
      <c r="O749" s="8" t="s">
        <v>6617</v>
      </c>
      <c r="P749" s="9" t="s">
        <v>547</v>
      </c>
      <c r="Q749" s="59" t="s">
        <v>2552</v>
      </c>
      <c r="R749" s="9" t="s">
        <v>2497</v>
      </c>
      <c r="S749" s="9" t="s">
        <v>2459</v>
      </c>
      <c r="T749" s="123" t="str">
        <f>IF(R749="Bogs Ponds Streams","20",IF(R749="Coastal Areas","26",IF(R749="Meadows Dry Open","10",IF(R749="Forest &amp; Understory","14",IF(R749="Moist Open","12",IF(R749="Moist Shady","10",IF(R749="Sub-Alpine Slopes","0")))))))</f>
        <v>12</v>
      </c>
      <c r="U749" s="123" t="str">
        <f>IF(R749="Bogs Ponds Streams","52",IF(R749="Coastal Areas","51",IF(R749="Meadows Dry Open","53",IF(R749="Forest &amp; Understory","52",IF(R749="Moist Open","50",IF(R749="Moist Shady","46",IF(R749="Sub-Alpine Slopes","40")))))))</f>
        <v>50</v>
      </c>
      <c r="V749" s="123" t="str">
        <f>IF(R749="Bogs Ponds Streams","84",IF(R749="Coastal Areas","76",IF(R749="Meadows Dry Open","96", IF(R749="Forest &amp; Understory","90", IF(R749="Moist Open","88", IF(R749="Moist Shady","82", IF(R749="Sub-Alpine Slopes","80")))))))</f>
        <v>88</v>
      </c>
      <c r="W749" s="59">
        <v>20</v>
      </c>
      <c r="X749" s="59">
        <v>0</v>
      </c>
      <c r="Y749" s="59">
        <v>3500</v>
      </c>
      <c r="Z749" s="59" t="s">
        <v>2519</v>
      </c>
      <c r="AA749" s="59" t="s">
        <v>2518</v>
      </c>
      <c r="AB749" s="59">
        <v>6.8</v>
      </c>
      <c r="AC749" s="45">
        <f>C749+AK749+(0.1)*AL749</f>
        <v>107.9</v>
      </c>
      <c r="AD749" s="77">
        <v>104</v>
      </c>
      <c r="AE749" s="59">
        <v>5</v>
      </c>
      <c r="AF749" s="59">
        <v>5</v>
      </c>
      <c r="AG749" s="59">
        <v>1900</v>
      </c>
      <c r="AH749" s="77">
        <v>0</v>
      </c>
      <c r="AI749" s="59">
        <f ca="1">AJ749</f>
        <v>2019</v>
      </c>
      <c r="AJ749" s="18">
        <f ca="1">YEAR(TODAY())</f>
        <v>2019</v>
      </c>
      <c r="AK749" s="18">
        <v>99</v>
      </c>
      <c r="AL749" s="18">
        <v>9</v>
      </c>
      <c r="AM749" s="18">
        <v>1</v>
      </c>
      <c r="AN749" s="18">
        <v>1</v>
      </c>
      <c r="AO749" s="18">
        <v>5</v>
      </c>
      <c r="AP749" s="18">
        <v>1</v>
      </c>
      <c r="AQ749" s="18">
        <v>0</v>
      </c>
      <c r="AR749" s="18">
        <v>0</v>
      </c>
      <c r="AS749" s="18">
        <v>0</v>
      </c>
      <c r="AT749" s="18">
        <v>0</v>
      </c>
      <c r="AU749" s="18">
        <v>0</v>
      </c>
      <c r="AV749" s="18">
        <v>0</v>
      </c>
      <c r="AW749" s="18">
        <v>0</v>
      </c>
      <c r="AX749" s="18">
        <v>0</v>
      </c>
      <c r="AY749" s="233"/>
      <c r="AZ749" s="4"/>
      <c r="BA749" s="35" t="str">
        <f ca="1">IF(OR(S749="North America",S749="Rocky Mountain"), "Widespread",BC749)</f>
        <v>Abundant</v>
      </c>
      <c r="BB749" s="4"/>
      <c r="BC749" s="35" t="str">
        <f ca="1">IF(BE749&gt;2046, "Abundant",BE749)</f>
        <v>Abundant</v>
      </c>
      <c r="BD749" s="4"/>
      <c r="BE749" s="81">
        <f ca="1">YEAR($C$13)+(BG749*80)</f>
        <v>2124.9616000000001</v>
      </c>
      <c r="BF749" s="4"/>
      <c r="BG749" s="137">
        <f ca="1">BH749*$BH$14</f>
        <v>1.3245200000000001</v>
      </c>
      <c r="BH749" s="137">
        <f ca="1">(((BJ749+BK749+BM749+BN749)/4)*$BM$11)+(((BP749+BQ749)/2)*$BQ$11)+(((BU749+BV749+BW749)/3)*$BU$11)+(((BY749+BZ749+CA749+CB749+CC749)/5)*$CA$11)</f>
        <v>1.3245200000000001</v>
      </c>
      <c r="BI749" s="4"/>
      <c r="BJ749" s="33">
        <f>AP749/(AM749+AO749)</f>
        <v>0.16666666666666666</v>
      </c>
      <c r="BK749" s="33">
        <f>(AN749+AO749)/(AM749+AO749)</f>
        <v>1</v>
      </c>
      <c r="BL749" s="4"/>
      <c r="BM749" s="127">
        <f>CF749/102</f>
        <v>1</v>
      </c>
      <c r="BN749" s="127">
        <f>C749/2</f>
        <v>4</v>
      </c>
      <c r="BO749" s="4"/>
      <c r="BP749" s="127">
        <f>(AK749)/($AW$6)</f>
        <v>1</v>
      </c>
      <c r="BQ749" s="127">
        <f ca="1">(CH749-$AW$4)/((YEAR($C$13))-$AW$4)</f>
        <v>1</v>
      </c>
      <c r="BR749" s="127">
        <f>(AL749)/($AW$6)</f>
        <v>9.0909090909090912E-2</v>
      </c>
      <c r="BS749" s="4"/>
      <c r="BT749" s="127"/>
      <c r="BU749" s="127">
        <f ca="1">(CG749-$AW$4)/((YEAR($C$13))-$AW$4)</f>
        <v>1</v>
      </c>
      <c r="BV749" s="127">
        <f>AE749/5</f>
        <v>1</v>
      </c>
      <c r="BW749" s="127">
        <f>AF749/5</f>
        <v>1</v>
      </c>
      <c r="BX749" s="4"/>
      <c r="BY749" s="148" t="str">
        <f>IF(E749="A",".98",IF(E749="B",".99",IF(E749="C","1.00",IF(E749="D","1.00" ))))</f>
        <v>1.00</v>
      </c>
      <c r="BZ749" s="127">
        <f>(CE749+7)/10</f>
        <v>1</v>
      </c>
      <c r="CA749" s="76" t="str">
        <f>IF(D749="Fern",".97",IF(D749="Grass",".99",IF(D749="Herb",".97",IF(D749="Shrub",".99",IF(D749="Tree","1.00",IF(D749="Vine",".98"))))))</f>
        <v>1.00</v>
      </c>
      <c r="CB749" s="149" t="str">
        <f>IF(R749="Bogs Ponds Streams",".96", IF(R749="Coastal Areas",".97",IF(R749="Meadows Dry Open",".96",IF(R749="Forest &amp; Understory",".97",IF(R749="Moist Open",".98",IF(R749="Moist Shady",".96",IF(R749="Sub-Alpine","1.0")))))))</f>
        <v>.98</v>
      </c>
      <c r="CC749" s="76" t="str">
        <f>IF(S749="Local Endemic",".50",IF(S749="Regional Endemic",".70",IF(S749="Cascadia",".90",IF(S749="Rocky Mountain",".95",IF(S749="North America",".99")))))</f>
        <v>.90</v>
      </c>
      <c r="CD749" s="4"/>
      <c r="CE749" s="21">
        <f>IF(W749&gt;3,3,W749)</f>
        <v>3</v>
      </c>
      <c r="CF749" s="21">
        <f>IF(AC749&gt;102,102,AC749)</f>
        <v>102</v>
      </c>
      <c r="CG749" s="34">
        <f ca="1">IF(AI749&lt;$AW$4,$AW$4,AI749)</f>
        <v>2019</v>
      </c>
      <c r="CH749" s="34">
        <f ca="1">IF(AJ749&lt;$AW$4,$AW$4,AJ749)</f>
        <v>2019</v>
      </c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</row>
    <row r="750" spans="1:115" ht="15" customHeight="1" x14ac:dyDescent="0.3">
      <c r="A750" s="235"/>
      <c r="B750" s="218"/>
      <c r="C750" s="225">
        <v>8</v>
      </c>
      <c r="D750" s="59" t="s">
        <v>2507</v>
      </c>
      <c r="E750" s="59" t="s">
        <v>2501</v>
      </c>
      <c r="F750" s="397" t="str">
        <f ca="1">IF(BC750&lt;2025, "Extinct&lt; 6Yrs?",BA750)</f>
        <v>Widespread</v>
      </c>
      <c r="G750" s="363" t="s">
        <v>525</v>
      </c>
      <c r="H750" s="363" t="s">
        <v>679</v>
      </c>
      <c r="I750" s="364" t="s">
        <v>352</v>
      </c>
      <c r="J750" s="365" t="s">
        <v>3950</v>
      </c>
      <c r="K750" s="365" t="s">
        <v>1133</v>
      </c>
      <c r="L750" s="10" t="s">
        <v>2257</v>
      </c>
      <c r="M750" s="8" t="s">
        <v>4822</v>
      </c>
      <c r="N750" s="8" t="s">
        <v>5719</v>
      </c>
      <c r="O750" s="8" t="s">
        <v>6618</v>
      </c>
      <c r="P750" s="9" t="s">
        <v>547</v>
      </c>
      <c r="Q750" s="59" t="s">
        <v>2552</v>
      </c>
      <c r="R750" s="9" t="s">
        <v>2497</v>
      </c>
      <c r="S750" s="9" t="s">
        <v>2479</v>
      </c>
      <c r="T750" s="123" t="str">
        <f>IF(R750="Bogs Ponds Streams","20",IF(R750="Coastal Areas","26",IF(R750="Meadows Dry Open","10",IF(R750="Forest &amp; Understory","14",IF(R750="Moist Open","12",IF(R750="Moist Shady","10",IF(R750="Sub-Alpine Slopes","0")))))))</f>
        <v>12</v>
      </c>
      <c r="U750" s="123" t="str">
        <f>IF(R750="Bogs Ponds Streams","52",IF(R750="Coastal Areas","51",IF(R750="Meadows Dry Open","53",IF(R750="Forest &amp; Understory","52",IF(R750="Moist Open","50",IF(R750="Moist Shady","46",IF(R750="Sub-Alpine Slopes","40")))))))</f>
        <v>50</v>
      </c>
      <c r="V750" s="123" t="str">
        <f>IF(R750="Bogs Ponds Streams","84",IF(R750="Coastal Areas","76",IF(R750="Meadows Dry Open","96", IF(R750="Forest &amp; Understory","90", IF(R750="Moist Open","88", IF(R750="Moist Shady","82", IF(R750="Sub-Alpine Slopes","80")))))))</f>
        <v>88</v>
      </c>
      <c r="W750" s="59">
        <v>20</v>
      </c>
      <c r="X750" s="59">
        <v>0</v>
      </c>
      <c r="Y750" s="59">
        <v>3500</v>
      </c>
      <c r="Z750" s="59" t="s">
        <v>2519</v>
      </c>
      <c r="AA750" s="59" t="s">
        <v>2518</v>
      </c>
      <c r="AB750" s="59">
        <v>6.8</v>
      </c>
      <c r="AC750" s="45">
        <f>C750+AK750+(0.1)*AL750</f>
        <v>44.3</v>
      </c>
      <c r="AD750" s="77">
        <v>210</v>
      </c>
      <c r="AE750" s="59">
        <v>5</v>
      </c>
      <c r="AF750" s="59">
        <v>5</v>
      </c>
      <c r="AG750" s="59">
        <v>1900</v>
      </c>
      <c r="AH750" s="77">
        <v>0</v>
      </c>
      <c r="AI750" s="59">
        <f ca="1">AJ750</f>
        <v>2019</v>
      </c>
      <c r="AJ750" s="18">
        <f ca="1">YEAR(TODAY())</f>
        <v>2019</v>
      </c>
      <c r="AK750" s="18">
        <v>33</v>
      </c>
      <c r="AL750" s="18">
        <v>33</v>
      </c>
      <c r="AM750" s="18">
        <v>1</v>
      </c>
      <c r="AN750" s="18">
        <v>1</v>
      </c>
      <c r="AO750" s="18">
        <v>5</v>
      </c>
      <c r="AP750" s="18">
        <v>1</v>
      </c>
      <c r="AQ750" s="18">
        <v>0</v>
      </c>
      <c r="AR750" s="18">
        <v>0</v>
      </c>
      <c r="AS750" s="18">
        <v>0</v>
      </c>
      <c r="AT750" s="18">
        <v>0</v>
      </c>
      <c r="AU750" s="18">
        <v>0</v>
      </c>
      <c r="AV750" s="18">
        <v>0</v>
      </c>
      <c r="AW750" s="18">
        <v>0</v>
      </c>
      <c r="AX750" s="18">
        <v>0</v>
      </c>
      <c r="AY750" s="233"/>
      <c r="AZ750" s="4"/>
      <c r="BA750" s="35" t="str">
        <f>IF(OR(S750="North America",S750="Rocky Mountain"), "Widespread",BC750)</f>
        <v>Widespread</v>
      </c>
      <c r="BB750" s="4"/>
      <c r="BC750" s="35" t="str">
        <f ca="1">IF(BE750&gt;2046, "Abundant",BE750)</f>
        <v>Abundant</v>
      </c>
      <c r="BD750" s="4"/>
      <c r="BE750" s="81">
        <f ca="1">YEAR($C$13)+(BG750*80)</f>
        <v>2110.1893647058823</v>
      </c>
      <c r="BF750" s="4"/>
      <c r="BG750" s="137">
        <f ca="1">BH750*$BH$14</f>
        <v>1.1398670588235296</v>
      </c>
      <c r="BH750" s="137">
        <f ca="1">(((BJ750+BK750+BM750+BN750)/4)*$BM$11)+(((BP750+BQ750)/2)*$BQ$11)+(((BU750+BV750+BW750)/3)*$BU$11)+(((BY750+BZ750+CA750+CB750+CC750)/5)*$CA$11)</f>
        <v>1.1398670588235296</v>
      </c>
      <c r="BI750" s="4"/>
      <c r="BJ750" s="33">
        <f>AP750/(AM750+AO750)</f>
        <v>0.16666666666666666</v>
      </c>
      <c r="BK750" s="33">
        <f>(AN750+AO750)/(AM750+AO750)</f>
        <v>1</v>
      </c>
      <c r="BL750" s="4"/>
      <c r="BM750" s="127">
        <f>CF750/102</f>
        <v>0.43431372549019603</v>
      </c>
      <c r="BN750" s="127">
        <f>C750/2</f>
        <v>4</v>
      </c>
      <c r="BO750" s="4"/>
      <c r="BP750" s="127">
        <f>(AK750)/($AW$6)</f>
        <v>0.33333333333333331</v>
      </c>
      <c r="BQ750" s="127">
        <f ca="1">(CH750-$AW$4)/((YEAR($C$13))-$AW$4)</f>
        <v>1</v>
      </c>
      <c r="BR750" s="127">
        <f>(AL750)/($AW$6)</f>
        <v>0.33333333333333331</v>
      </c>
      <c r="BS750" s="4"/>
      <c r="BT750" s="127"/>
      <c r="BU750" s="127">
        <f ca="1">(CG750-$AW$4)/((YEAR($C$13))-$AW$4)</f>
        <v>1</v>
      </c>
      <c r="BV750" s="127">
        <f>AE750/5</f>
        <v>1</v>
      </c>
      <c r="BW750" s="127">
        <f>AF750/5</f>
        <v>1</v>
      </c>
      <c r="BX750" s="4"/>
      <c r="BY750" s="148" t="str">
        <f>IF(E750="A",".98",IF(E750="B",".99",IF(E750="C","1.00",IF(E750="D","1.00" ))))</f>
        <v>1.00</v>
      </c>
      <c r="BZ750" s="127">
        <f>(CE750+7)/10</f>
        <v>1</v>
      </c>
      <c r="CA750" s="76" t="str">
        <f>IF(D750="Fern",".97",IF(D750="Grass",".99",IF(D750="Herb",".97",IF(D750="Shrub",".99",IF(D750="Tree","1.00",IF(D750="Vine",".98"))))))</f>
        <v>1.00</v>
      </c>
      <c r="CB750" s="149" t="str">
        <f>IF(R750="Bogs Ponds Streams",".96", IF(R750="Coastal Areas",".97",IF(R750="Meadows Dry Open",".96",IF(R750="Forest &amp; Understory",".97",IF(R750="Moist Open",".98",IF(R750="Moist Shady",".96",IF(R750="Sub-Alpine","1.0")))))))</f>
        <v>.98</v>
      </c>
      <c r="CC750" s="76" t="str">
        <f>IF(S750="Local Endemic",".50",IF(S750="Regional Endemic",".70",IF(S750="Cascadia",".90",IF(S750="Rocky Mountain",".95",IF(S750="North America",".99")))))</f>
        <v>.95</v>
      </c>
      <c r="CD750" s="4"/>
      <c r="CE750" s="21">
        <f>IF(W750&gt;3,3,W750)</f>
        <v>3</v>
      </c>
      <c r="CF750" s="21">
        <f>IF(AC750&gt;102,102,AC750)</f>
        <v>44.3</v>
      </c>
      <c r="CG750" s="34">
        <f ca="1">IF(AI750&lt;$AW$4,$AW$4,AI750)</f>
        <v>2019</v>
      </c>
      <c r="CH750" s="34">
        <f ca="1">IF(AJ750&lt;$AW$4,$AW$4,AJ750)</f>
        <v>2019</v>
      </c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</row>
    <row r="751" spans="1:115" ht="15" customHeight="1" x14ac:dyDescent="0.3">
      <c r="A751" s="235"/>
      <c r="B751" s="218"/>
      <c r="C751" s="225">
        <v>8</v>
      </c>
      <c r="D751" s="59" t="s">
        <v>2507</v>
      </c>
      <c r="E751" s="59" t="s">
        <v>2501</v>
      </c>
      <c r="F751" s="397" t="str">
        <f ca="1">IF(BC751&lt;2025, "Extinct&lt; 6Yrs?",BA751)</f>
        <v>Abundant</v>
      </c>
      <c r="G751" s="363" t="s">
        <v>525</v>
      </c>
      <c r="H751" s="363" t="s">
        <v>679</v>
      </c>
      <c r="I751" s="366" t="s">
        <v>763</v>
      </c>
      <c r="J751" s="365" t="s">
        <v>762</v>
      </c>
      <c r="K751" s="365" t="s">
        <v>762</v>
      </c>
      <c r="L751" s="10" t="s">
        <v>2256</v>
      </c>
      <c r="M751" s="8" t="s">
        <v>4823</v>
      </c>
      <c r="N751" s="8" t="s">
        <v>5720</v>
      </c>
      <c r="O751" s="8" t="s">
        <v>6619</v>
      </c>
      <c r="P751" s="9" t="s">
        <v>547</v>
      </c>
      <c r="Q751" s="59" t="s">
        <v>2552</v>
      </c>
      <c r="R751" s="9" t="s">
        <v>2497</v>
      </c>
      <c r="S751" s="17" t="s">
        <v>2459</v>
      </c>
      <c r="T751" s="123" t="str">
        <f>IF(R751="Bogs Ponds Streams","20",IF(R751="Coastal Areas","26",IF(R751="Meadows Dry Open","10",IF(R751="Forest &amp; Understory","14",IF(R751="Moist Open","12",IF(R751="Moist Shady","10",IF(R751="Sub-Alpine Slopes","0")))))))</f>
        <v>12</v>
      </c>
      <c r="U751" s="123" t="str">
        <f>IF(R751="Bogs Ponds Streams","52",IF(R751="Coastal Areas","51",IF(R751="Meadows Dry Open","53",IF(R751="Forest &amp; Understory","52",IF(R751="Moist Open","50",IF(R751="Moist Shady","46",IF(R751="Sub-Alpine Slopes","40")))))))</f>
        <v>50</v>
      </c>
      <c r="V751" s="123" t="str">
        <f>IF(R751="Bogs Ponds Streams","84",IF(R751="Coastal Areas","76",IF(R751="Meadows Dry Open","96", IF(R751="Forest &amp; Understory","90", IF(R751="Moist Open","88", IF(R751="Moist Shady","82", IF(R751="Sub-Alpine Slopes","80")))))))</f>
        <v>88</v>
      </c>
      <c r="W751" s="59">
        <v>20</v>
      </c>
      <c r="X751" s="59">
        <v>0</v>
      </c>
      <c r="Y751" s="59">
        <v>3500</v>
      </c>
      <c r="Z751" s="59" t="s">
        <v>2519</v>
      </c>
      <c r="AA751" s="59" t="s">
        <v>2518</v>
      </c>
      <c r="AB751" s="59">
        <v>6.8</v>
      </c>
      <c r="AC751" s="45">
        <f>C751+AK751+(0.1)*AL751</f>
        <v>11.1</v>
      </c>
      <c r="AD751" s="77">
        <v>38</v>
      </c>
      <c r="AE751" s="59">
        <v>5</v>
      </c>
      <c r="AF751" s="59">
        <v>5</v>
      </c>
      <c r="AG751" s="59">
        <v>1900</v>
      </c>
      <c r="AH751" s="77">
        <v>0</v>
      </c>
      <c r="AI751" s="59">
        <f ca="1">AJ751</f>
        <v>2019</v>
      </c>
      <c r="AJ751" s="18">
        <f ca="1">YEAR(TODAY())</f>
        <v>2019</v>
      </c>
      <c r="AK751" s="18">
        <v>2</v>
      </c>
      <c r="AL751" s="18">
        <v>11</v>
      </c>
      <c r="AM751" s="18">
        <v>1</v>
      </c>
      <c r="AN751" s="18">
        <v>1</v>
      </c>
      <c r="AO751" s="18">
        <v>5</v>
      </c>
      <c r="AP751" s="18">
        <v>1</v>
      </c>
      <c r="AQ751" s="18">
        <v>0</v>
      </c>
      <c r="AR751" s="18">
        <v>0</v>
      </c>
      <c r="AS751" s="18">
        <v>0</v>
      </c>
      <c r="AT751" s="18">
        <v>0</v>
      </c>
      <c r="AU751" s="18">
        <v>0</v>
      </c>
      <c r="AV751" s="18">
        <v>0</v>
      </c>
      <c r="AW751" s="18">
        <v>0</v>
      </c>
      <c r="AX751" s="18">
        <v>0</v>
      </c>
      <c r="AY751" s="233"/>
      <c r="AZ751" s="4"/>
      <c r="BA751" s="35" t="str">
        <f ca="1">IF(OR(S751="North America",S751="Rocky Mountain"), "Widespread",BC751)</f>
        <v>Abundant</v>
      </c>
      <c r="BB751" s="4"/>
      <c r="BC751" s="35" t="str">
        <f ca="1">IF(BE751&gt;2046, "Abundant",BE751)</f>
        <v>Abundant</v>
      </c>
      <c r="BD751" s="4"/>
      <c r="BE751" s="81">
        <f ca="1">YEAR($C$13)+(BG751*80)</f>
        <v>2102.5099065953655</v>
      </c>
      <c r="BF751" s="4"/>
      <c r="BG751" s="137">
        <f ca="1">BH751*$BH$14</f>
        <v>1.0438738324420678</v>
      </c>
      <c r="BH751" s="137">
        <f ca="1">(((BJ751+BK751+BM751+BN751)/4)*$BM$11)+(((BP751+BQ751)/2)*$BQ$11)+(((BU751+BV751+BW751)/3)*$BU$11)+(((BY751+BZ751+CA751+CB751+CC751)/5)*$CA$11)</f>
        <v>1.0438738324420678</v>
      </c>
      <c r="BI751" s="4"/>
      <c r="BJ751" s="33">
        <f>AP751/(AM751+AO751)</f>
        <v>0.16666666666666666</v>
      </c>
      <c r="BK751" s="33">
        <f>(AN751+AO751)/(AM751+AO751)</f>
        <v>1</v>
      </c>
      <c r="BL751" s="4"/>
      <c r="BM751" s="127">
        <f>CF751/102</f>
        <v>0.10882352941176471</v>
      </c>
      <c r="BN751" s="127">
        <f>C751/2</f>
        <v>4</v>
      </c>
      <c r="BO751" s="4"/>
      <c r="BP751" s="127">
        <f>(AK751)/($AW$6)</f>
        <v>2.0202020202020204E-2</v>
      </c>
      <c r="BQ751" s="127">
        <f ca="1">(CH751-$AW$4)/((YEAR($C$13))-$AW$4)</f>
        <v>1</v>
      </c>
      <c r="BR751" s="127">
        <f>(AL751)/($AW$6)</f>
        <v>0.1111111111111111</v>
      </c>
      <c r="BS751" s="4"/>
      <c r="BT751" s="127"/>
      <c r="BU751" s="127">
        <f ca="1">(CG751-$AW$4)/((YEAR($C$13))-$AW$4)</f>
        <v>1</v>
      </c>
      <c r="BV751" s="127">
        <f>AE751/5</f>
        <v>1</v>
      </c>
      <c r="BW751" s="127">
        <f>AF751/5</f>
        <v>1</v>
      </c>
      <c r="BX751" s="4"/>
      <c r="BY751" s="148" t="str">
        <f>IF(E751="A",".98",IF(E751="B",".99",IF(E751="C","1.00",IF(E751="D","1.00" ))))</f>
        <v>1.00</v>
      </c>
      <c r="BZ751" s="127">
        <f>(CE751+7)/10</f>
        <v>1</v>
      </c>
      <c r="CA751" s="76" t="str">
        <f>IF(D751="Fern",".97",IF(D751="Grass",".99",IF(D751="Herb",".97",IF(D751="Shrub",".99",IF(D751="Tree","1.00",IF(D751="Vine",".98"))))))</f>
        <v>1.00</v>
      </c>
      <c r="CB751" s="149" t="str">
        <f>IF(R751="Bogs Ponds Streams",".96", IF(R751="Coastal Areas",".97",IF(R751="Meadows Dry Open",".96",IF(R751="Forest &amp; Understory",".97",IF(R751="Moist Open",".98",IF(R751="Moist Shady",".96",IF(R751="Sub-Alpine","1.0")))))))</f>
        <v>.98</v>
      </c>
      <c r="CC751" s="76" t="str">
        <f>IF(S751="Local Endemic",".50",IF(S751="Regional Endemic",".70",IF(S751="Cascadia",".90",IF(S751="Rocky Mountain",".95",IF(S751="North America",".99")))))</f>
        <v>.90</v>
      </c>
      <c r="CD751" s="4"/>
      <c r="CE751" s="21">
        <f>IF(W751&gt;3,3,W751)</f>
        <v>3</v>
      </c>
      <c r="CF751" s="21">
        <f>IF(AC751&gt;102,102,AC751)</f>
        <v>11.1</v>
      </c>
      <c r="CG751" s="34">
        <f ca="1">IF(AI751&lt;$AW$4,$AW$4,AI751)</f>
        <v>2019</v>
      </c>
      <c r="CH751" s="34">
        <f ca="1">IF(AJ751&lt;$AW$4,$AW$4,AJ751)</f>
        <v>2019</v>
      </c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</row>
    <row r="752" spans="1:115" ht="15" customHeight="1" x14ac:dyDescent="0.3">
      <c r="A752" s="235"/>
      <c r="B752" s="218"/>
      <c r="C752" s="225">
        <v>8</v>
      </c>
      <c r="D752" s="59" t="s">
        <v>2507</v>
      </c>
      <c r="E752" s="59" t="s">
        <v>2501</v>
      </c>
      <c r="F752" s="397" t="str">
        <f ca="1">IF(BC752&lt;2025, "Extinct&lt; 6Yrs?",BA752)</f>
        <v>Widespread</v>
      </c>
      <c r="G752" s="363" t="s">
        <v>525</v>
      </c>
      <c r="H752" s="363" t="s">
        <v>679</v>
      </c>
      <c r="I752" s="366" t="s">
        <v>765</v>
      </c>
      <c r="J752" s="365" t="s">
        <v>3949</v>
      </c>
      <c r="K752" s="365" t="s">
        <v>764</v>
      </c>
      <c r="L752" s="17" t="s">
        <v>2255</v>
      </c>
      <c r="M752" s="8" t="s">
        <v>2255</v>
      </c>
      <c r="N752" s="8" t="s">
        <v>5721</v>
      </c>
      <c r="O752" s="8" t="s">
        <v>6620</v>
      </c>
      <c r="P752" s="9" t="s">
        <v>547</v>
      </c>
      <c r="Q752" s="59" t="s">
        <v>2552</v>
      </c>
      <c r="R752" s="9" t="s">
        <v>2497</v>
      </c>
      <c r="S752" s="17" t="s">
        <v>2479</v>
      </c>
      <c r="T752" s="123" t="str">
        <f>IF(R752="Bogs Ponds Streams","20",IF(R752="Coastal Areas","26",IF(R752="Meadows Dry Open","10",IF(R752="Forest &amp; Understory","14",IF(R752="Moist Open","12",IF(R752="Moist Shady","10",IF(R752="Sub-Alpine Slopes","0")))))))</f>
        <v>12</v>
      </c>
      <c r="U752" s="123" t="str">
        <f>IF(R752="Bogs Ponds Streams","52",IF(R752="Coastal Areas","51",IF(R752="Meadows Dry Open","53",IF(R752="Forest &amp; Understory","52",IF(R752="Moist Open","50",IF(R752="Moist Shady","46",IF(R752="Sub-Alpine Slopes","40")))))))</f>
        <v>50</v>
      </c>
      <c r="V752" s="123" t="str">
        <f>IF(R752="Bogs Ponds Streams","84",IF(R752="Coastal Areas","76",IF(R752="Meadows Dry Open","96", IF(R752="Forest &amp; Understory","90", IF(R752="Moist Open","88", IF(R752="Moist Shady","82", IF(R752="Sub-Alpine Slopes","80")))))))</f>
        <v>88</v>
      </c>
      <c r="W752" s="59">
        <v>20</v>
      </c>
      <c r="X752" s="59">
        <v>0</v>
      </c>
      <c r="Y752" s="59">
        <v>3500</v>
      </c>
      <c r="Z752" s="59" t="s">
        <v>2519</v>
      </c>
      <c r="AA752" s="59" t="s">
        <v>2518</v>
      </c>
      <c r="AB752" s="59">
        <v>6.8</v>
      </c>
      <c r="AC752" s="45">
        <f>C752+AK752+(0.1)*AL752</f>
        <v>11.9</v>
      </c>
      <c r="AD752" s="77">
        <v>15</v>
      </c>
      <c r="AE752" s="59">
        <v>5</v>
      </c>
      <c r="AF752" s="59">
        <v>5</v>
      </c>
      <c r="AG752" s="59">
        <v>1900</v>
      </c>
      <c r="AH752" s="77">
        <v>0</v>
      </c>
      <c r="AI752" s="59">
        <f ca="1">AJ752</f>
        <v>2019</v>
      </c>
      <c r="AJ752" s="18">
        <f ca="1">YEAR(TODAY())</f>
        <v>2019</v>
      </c>
      <c r="AK752" s="18">
        <v>3</v>
      </c>
      <c r="AL752" s="18">
        <v>9</v>
      </c>
      <c r="AM752" s="18">
        <v>1</v>
      </c>
      <c r="AN752" s="18">
        <v>1</v>
      </c>
      <c r="AO752" s="18">
        <v>5</v>
      </c>
      <c r="AP752" s="18">
        <v>1</v>
      </c>
      <c r="AQ752" s="18">
        <v>0</v>
      </c>
      <c r="AR752" s="18">
        <v>0</v>
      </c>
      <c r="AS752" s="18">
        <v>0</v>
      </c>
      <c r="AT752" s="18">
        <v>0</v>
      </c>
      <c r="AU752" s="18">
        <v>0</v>
      </c>
      <c r="AV752" s="18">
        <v>0</v>
      </c>
      <c r="AW752" s="18">
        <v>0</v>
      </c>
      <c r="AX752" s="18">
        <v>0</v>
      </c>
      <c r="AY752" s="233"/>
      <c r="AZ752" s="4"/>
      <c r="BA752" s="35" t="str">
        <f>IF(OR(S752="North America",S752="Rocky Mountain"), "Widespread",BC752)</f>
        <v>Widespread</v>
      </c>
      <c r="BB752" s="4"/>
      <c r="BC752" s="35" t="str">
        <f ca="1">IF(BE752&gt;2046, "Abundant",BE752)</f>
        <v>Abundant</v>
      </c>
      <c r="BD752" s="4"/>
      <c r="BE752" s="81">
        <f ca="1">YEAR($C$13)+(BG752*80)</f>
        <v>2102.7412363636363</v>
      </c>
      <c r="BF752" s="4"/>
      <c r="BG752" s="137">
        <f ca="1">BH752*$BH$14</f>
        <v>1.0467654545454546</v>
      </c>
      <c r="BH752" s="137">
        <f ca="1">(((BJ752+BK752+BM752+BN752)/4)*$BM$11)+(((BP752+BQ752)/2)*$BQ$11)+(((BU752+BV752+BW752)/3)*$BU$11)+(((BY752+BZ752+CA752+CB752+CC752)/5)*$CA$11)</f>
        <v>1.0467654545454546</v>
      </c>
      <c r="BI752" s="4"/>
      <c r="BJ752" s="33">
        <f>AP752/(AM752+AO752)</f>
        <v>0.16666666666666666</v>
      </c>
      <c r="BK752" s="33">
        <f>(AN752+AO752)/(AM752+AO752)</f>
        <v>1</v>
      </c>
      <c r="BL752" s="4"/>
      <c r="BM752" s="127">
        <f>CF752/102</f>
        <v>0.11666666666666667</v>
      </c>
      <c r="BN752" s="127">
        <f>C752/2</f>
        <v>4</v>
      </c>
      <c r="BO752" s="4"/>
      <c r="BP752" s="127">
        <f>(AK752)/($AW$6)</f>
        <v>3.0303030303030304E-2</v>
      </c>
      <c r="BQ752" s="127">
        <f ca="1">(CH752-$AW$4)/((YEAR($C$13))-$AW$4)</f>
        <v>1</v>
      </c>
      <c r="BR752" s="127">
        <f>(AL752)/($AW$6)</f>
        <v>9.0909090909090912E-2</v>
      </c>
      <c r="BS752" s="4"/>
      <c r="BT752" s="127"/>
      <c r="BU752" s="127">
        <f ca="1">(CG752-$AW$4)/((YEAR($C$13))-$AW$4)</f>
        <v>1</v>
      </c>
      <c r="BV752" s="127">
        <f>AE752/5</f>
        <v>1</v>
      </c>
      <c r="BW752" s="127">
        <f>AF752/5</f>
        <v>1</v>
      </c>
      <c r="BX752" s="4"/>
      <c r="BY752" s="148" t="str">
        <f>IF(E752="A",".98",IF(E752="B",".99",IF(E752="C","1.00",IF(E752="D","1.00" ))))</f>
        <v>1.00</v>
      </c>
      <c r="BZ752" s="127">
        <f>(CE752+7)/10</f>
        <v>1</v>
      </c>
      <c r="CA752" s="76" t="str">
        <f>IF(D752="Fern",".97",IF(D752="Grass",".99",IF(D752="Herb",".97",IF(D752="Shrub",".99",IF(D752="Tree","1.00",IF(D752="Vine",".98"))))))</f>
        <v>1.00</v>
      </c>
      <c r="CB752" s="149" t="str">
        <f>IF(R752="Bogs Ponds Streams",".96", IF(R752="Coastal Areas",".97",IF(R752="Meadows Dry Open",".96",IF(R752="Forest &amp; Understory",".97",IF(R752="Moist Open",".98",IF(R752="Moist Shady",".96",IF(R752="Sub-Alpine","1.0")))))))</f>
        <v>.98</v>
      </c>
      <c r="CC752" s="76" t="str">
        <f>IF(S752="Local Endemic",".50",IF(S752="Regional Endemic",".70",IF(S752="Cascadia",".90",IF(S752="Rocky Mountain",".95",IF(S752="North America",".99")))))</f>
        <v>.95</v>
      </c>
      <c r="CD752" s="4"/>
      <c r="CE752" s="21">
        <f>IF(W752&gt;3,3,W752)</f>
        <v>3</v>
      </c>
      <c r="CF752" s="21">
        <f>IF(AC752&gt;102,102,AC752)</f>
        <v>11.9</v>
      </c>
      <c r="CG752" s="34">
        <f ca="1">IF(AI752&lt;$AW$4,$AW$4,AI752)</f>
        <v>2019</v>
      </c>
      <c r="CH752" s="34">
        <f ca="1">IF(AJ752&lt;$AW$4,$AW$4,AJ752)</f>
        <v>2019</v>
      </c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</row>
    <row r="753" spans="1:115" ht="15" customHeight="1" x14ac:dyDescent="0.3">
      <c r="A753" s="235"/>
      <c r="B753" s="218"/>
      <c r="C753" s="225">
        <v>7</v>
      </c>
      <c r="D753" s="59" t="s">
        <v>2507</v>
      </c>
      <c r="E753" s="59" t="s">
        <v>2501</v>
      </c>
      <c r="F753" s="397" t="str">
        <f ca="1">IF(BC753&lt;2025, "Extinct&lt; 6Yrs?",BA753)</f>
        <v>Widespread</v>
      </c>
      <c r="G753" s="363" t="s">
        <v>525</v>
      </c>
      <c r="H753" s="363" t="s">
        <v>678</v>
      </c>
      <c r="I753" s="366" t="s">
        <v>3130</v>
      </c>
      <c r="J753" s="365" t="s">
        <v>3948</v>
      </c>
      <c r="K753" s="365" t="s">
        <v>1137</v>
      </c>
      <c r="L753" s="10" t="s">
        <v>2475</v>
      </c>
      <c r="M753" s="8" t="s">
        <v>4824</v>
      </c>
      <c r="N753" s="8" t="s">
        <v>5722</v>
      </c>
      <c r="O753" s="8" t="s">
        <v>6621</v>
      </c>
      <c r="P753" s="9" t="s">
        <v>547</v>
      </c>
      <c r="Q753" s="59" t="s">
        <v>2552</v>
      </c>
      <c r="R753" s="9" t="s">
        <v>2497</v>
      </c>
      <c r="S753" s="17" t="s">
        <v>2479</v>
      </c>
      <c r="T753" s="123" t="str">
        <f>IF(R753="Bogs Ponds Streams","20",IF(R753="Coastal Areas","26",IF(R753="Meadows Dry Open","10",IF(R753="Forest &amp; Understory","14",IF(R753="Moist Open","12",IF(R753="Moist Shady","10",IF(R753="Sub-Alpine Slopes","0")))))))</f>
        <v>12</v>
      </c>
      <c r="U753" s="123" t="str">
        <f>IF(R753="Bogs Ponds Streams","52",IF(R753="Coastal Areas","51",IF(R753="Meadows Dry Open","53",IF(R753="Forest &amp; Understory","52",IF(R753="Moist Open","50",IF(R753="Moist Shady","46",IF(R753="Sub-Alpine Slopes","40")))))))</f>
        <v>50</v>
      </c>
      <c r="V753" s="123" t="str">
        <f>IF(R753="Bogs Ponds Streams","84",IF(R753="Coastal Areas","76",IF(R753="Meadows Dry Open","96", IF(R753="Forest &amp; Understory","90", IF(R753="Moist Open","88", IF(R753="Moist Shady","82", IF(R753="Sub-Alpine Slopes","80")))))))</f>
        <v>88</v>
      </c>
      <c r="W753" s="59">
        <v>20</v>
      </c>
      <c r="X753" s="59">
        <v>0</v>
      </c>
      <c r="Y753" s="59">
        <v>3500</v>
      </c>
      <c r="Z753" s="59" t="s">
        <v>2519</v>
      </c>
      <c r="AA753" s="59" t="s">
        <v>2518</v>
      </c>
      <c r="AB753" s="59">
        <v>6.8</v>
      </c>
      <c r="AC753" s="45">
        <f>C753+AK753+(0.1)*AL753</f>
        <v>17</v>
      </c>
      <c r="AD753" s="77">
        <v>26</v>
      </c>
      <c r="AE753" s="59">
        <v>5</v>
      </c>
      <c r="AF753" s="59">
        <v>5</v>
      </c>
      <c r="AG753" s="59">
        <v>1900</v>
      </c>
      <c r="AH753" s="77">
        <v>0</v>
      </c>
      <c r="AI753" s="59">
        <f ca="1">AJ753</f>
        <v>2019</v>
      </c>
      <c r="AJ753" s="18">
        <f ca="1">YEAR(TODAY())</f>
        <v>2019</v>
      </c>
      <c r="AK753" s="18">
        <v>10</v>
      </c>
      <c r="AL753" s="18">
        <v>0</v>
      </c>
      <c r="AM753" s="18">
        <v>1</v>
      </c>
      <c r="AN753" s="18">
        <v>1</v>
      </c>
      <c r="AO753" s="18">
        <v>5</v>
      </c>
      <c r="AP753" s="18">
        <v>1</v>
      </c>
      <c r="AQ753" s="18">
        <v>0</v>
      </c>
      <c r="AR753" s="18">
        <v>0</v>
      </c>
      <c r="AS753" s="18">
        <v>0</v>
      </c>
      <c r="AT753" s="18">
        <v>0</v>
      </c>
      <c r="AU753" s="18">
        <v>0</v>
      </c>
      <c r="AV753" s="18">
        <v>0</v>
      </c>
      <c r="AW753" s="18">
        <v>0</v>
      </c>
      <c r="AX753" s="18">
        <v>0</v>
      </c>
      <c r="AY753" s="233"/>
      <c r="AZ753" s="4"/>
      <c r="BA753" s="35" t="str">
        <f>IF(OR(S753="North America",S753="Rocky Mountain"), "Widespread",BC753)</f>
        <v>Widespread</v>
      </c>
      <c r="BB753" s="4"/>
      <c r="BC753" s="35" t="str">
        <f ca="1">IF(BE753&gt;2046, "Abundant",BE753)</f>
        <v>Abundant</v>
      </c>
      <c r="BD753" s="4"/>
      <c r="BE753" s="81">
        <f ca="1">YEAR($C$13)+(BG753*80)</f>
        <v>2098.1897212121212</v>
      </c>
      <c r="BF753" s="4"/>
      <c r="BG753" s="137">
        <f ca="1">BH753*$BH$14</f>
        <v>0.98987151515151517</v>
      </c>
      <c r="BH753" s="137">
        <f ca="1">(((BJ753+BK753+BM753+BN753)/4)*$BM$11)+(((BP753+BQ753)/2)*$BQ$11)+(((BU753+BV753+BW753)/3)*$BU$11)+(((BY753+BZ753+CA753+CB753+CC753)/5)*$CA$11)</f>
        <v>0.98987151515151517</v>
      </c>
      <c r="BI753" s="4"/>
      <c r="BJ753" s="33">
        <f>AP753/(AM753+AO753)</f>
        <v>0.16666666666666666</v>
      </c>
      <c r="BK753" s="33">
        <f>(AN753+AO753)/(AM753+AO753)</f>
        <v>1</v>
      </c>
      <c r="BL753" s="4"/>
      <c r="BM753" s="127">
        <f>CF753/102</f>
        <v>0.16666666666666666</v>
      </c>
      <c r="BN753" s="127">
        <f>C753/2</f>
        <v>3.5</v>
      </c>
      <c r="BO753" s="4"/>
      <c r="BP753" s="127">
        <f>(AK753)/($AW$6)</f>
        <v>0.10101010101010101</v>
      </c>
      <c r="BQ753" s="127">
        <f ca="1">(CH753-$AW$4)/((YEAR($C$13))-$AW$4)</f>
        <v>1</v>
      </c>
      <c r="BR753" s="127">
        <f>(AL753)/($AW$6)</f>
        <v>0</v>
      </c>
      <c r="BS753" s="4"/>
      <c r="BT753" s="127"/>
      <c r="BU753" s="127">
        <f ca="1">(CG753-$AW$4)/((YEAR($C$13))-$AW$4)</f>
        <v>1</v>
      </c>
      <c r="BV753" s="127">
        <f>AE753/5</f>
        <v>1</v>
      </c>
      <c r="BW753" s="127">
        <f>AF753/5</f>
        <v>1</v>
      </c>
      <c r="BX753" s="4"/>
      <c r="BY753" s="148" t="str">
        <f>IF(E753="A",".98",IF(E753="B",".99",IF(E753="C","1.00",IF(E753="D","1.00" ))))</f>
        <v>1.00</v>
      </c>
      <c r="BZ753" s="127">
        <f>(CE753+7)/10</f>
        <v>1</v>
      </c>
      <c r="CA753" s="76" t="str">
        <f>IF(D753="Fern",".97",IF(D753="Grass",".99",IF(D753="Herb",".97",IF(D753="Shrub",".99",IF(D753="Tree","1.00",IF(D753="Vine",".98"))))))</f>
        <v>1.00</v>
      </c>
      <c r="CB753" s="149" t="str">
        <f>IF(R753="Bogs Ponds Streams",".96", IF(R753="Coastal Areas",".97",IF(R753="Meadows Dry Open",".96",IF(R753="Forest &amp; Understory",".97",IF(R753="Moist Open",".98",IF(R753="Moist Shady",".96",IF(R753="Sub-Alpine","1.0")))))))</f>
        <v>.98</v>
      </c>
      <c r="CC753" s="76" t="str">
        <f>IF(S753="Local Endemic",".50",IF(S753="Regional Endemic",".70",IF(S753="Cascadia",".90",IF(S753="Rocky Mountain",".95",IF(S753="North America",".99")))))</f>
        <v>.95</v>
      </c>
      <c r="CD753" s="4"/>
      <c r="CE753" s="21">
        <f>IF(W753&gt;3,3,W753)</f>
        <v>3</v>
      </c>
      <c r="CF753" s="21">
        <f>IF(AC753&gt;102,102,AC753)</f>
        <v>17</v>
      </c>
      <c r="CG753" s="34">
        <f ca="1">IF(AI753&lt;$AW$4,$AW$4,AI753)</f>
        <v>2019</v>
      </c>
      <c r="CH753" s="34">
        <f ca="1">IF(AJ753&lt;$AW$4,$AW$4,AJ753)</f>
        <v>2019</v>
      </c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</row>
    <row r="754" spans="1:115" ht="15" customHeight="1" x14ac:dyDescent="0.3">
      <c r="A754" s="235"/>
      <c r="B754" s="218"/>
      <c r="C754" s="225">
        <v>8</v>
      </c>
      <c r="D754" s="59" t="s">
        <v>2507</v>
      </c>
      <c r="E754" s="59" t="s">
        <v>2501</v>
      </c>
      <c r="F754" s="397" t="str">
        <f ca="1">IF(BC754&lt;2025, "Extinct&lt; 6Yrs?",BA754)</f>
        <v>Widespread</v>
      </c>
      <c r="G754" s="363" t="s">
        <v>525</v>
      </c>
      <c r="H754" s="363" t="s">
        <v>679</v>
      </c>
      <c r="I754" s="366" t="s">
        <v>359</v>
      </c>
      <c r="J754" s="365" t="s">
        <v>3947</v>
      </c>
      <c r="K754" s="365" t="s">
        <v>358</v>
      </c>
      <c r="L754" s="10" t="s">
        <v>2254</v>
      </c>
      <c r="M754" s="8" t="s">
        <v>4825</v>
      </c>
      <c r="N754" s="8" t="s">
        <v>5723</v>
      </c>
      <c r="O754" s="8" t="s">
        <v>6622</v>
      </c>
      <c r="P754" s="9" t="s">
        <v>547</v>
      </c>
      <c r="Q754" s="59" t="s">
        <v>2552</v>
      </c>
      <c r="R754" s="9" t="s">
        <v>2497</v>
      </c>
      <c r="S754" s="9" t="s">
        <v>2495</v>
      </c>
      <c r="T754" s="123" t="str">
        <f>IF(R754="Bogs Ponds Streams","20",IF(R754="Coastal Areas","26",IF(R754="Meadows Dry Open","10",IF(R754="Forest &amp; Understory","14",IF(R754="Moist Open","12",IF(R754="Moist Shady","10",IF(R754="Sub-Alpine Slopes","0")))))))</f>
        <v>12</v>
      </c>
      <c r="U754" s="123" t="str">
        <f>IF(R754="Bogs Ponds Streams","52",IF(R754="Coastal Areas","51",IF(R754="Meadows Dry Open","53",IF(R754="Forest &amp; Understory","52",IF(R754="Moist Open","50",IF(R754="Moist Shady","46",IF(R754="Sub-Alpine Slopes","40")))))))</f>
        <v>50</v>
      </c>
      <c r="V754" s="123" t="str">
        <f>IF(R754="Bogs Ponds Streams","84",IF(R754="Coastal Areas","76",IF(R754="Meadows Dry Open","96", IF(R754="Forest &amp; Understory","90", IF(R754="Moist Open","88", IF(R754="Moist Shady","82", IF(R754="Sub-Alpine Slopes","80")))))))</f>
        <v>88</v>
      </c>
      <c r="W754" s="59">
        <v>20</v>
      </c>
      <c r="X754" s="59">
        <v>0</v>
      </c>
      <c r="Y754" s="59">
        <v>3500</v>
      </c>
      <c r="Z754" s="59" t="s">
        <v>2519</v>
      </c>
      <c r="AA754" s="59" t="s">
        <v>2518</v>
      </c>
      <c r="AB754" s="59">
        <v>6.8</v>
      </c>
      <c r="AC754" s="45">
        <f>C754+AK754+(0.1)*AL754</f>
        <v>11.7</v>
      </c>
      <c r="AD754" s="77">
        <v>20</v>
      </c>
      <c r="AE754" s="59">
        <v>5</v>
      </c>
      <c r="AF754" s="59">
        <v>5</v>
      </c>
      <c r="AG754" s="59">
        <v>1900</v>
      </c>
      <c r="AH754" s="77">
        <v>0</v>
      </c>
      <c r="AI754" s="59">
        <f ca="1">AJ754</f>
        <v>2019</v>
      </c>
      <c r="AJ754" s="18">
        <f ca="1">YEAR(TODAY())</f>
        <v>2019</v>
      </c>
      <c r="AK754" s="18">
        <v>3</v>
      </c>
      <c r="AL754" s="18">
        <v>7</v>
      </c>
      <c r="AM754" s="18">
        <v>1</v>
      </c>
      <c r="AN754" s="18">
        <v>1</v>
      </c>
      <c r="AO754" s="18">
        <v>5</v>
      </c>
      <c r="AP754" s="18">
        <v>1</v>
      </c>
      <c r="AQ754" s="18">
        <v>0</v>
      </c>
      <c r="AR754" s="18">
        <v>0</v>
      </c>
      <c r="AS754" s="18">
        <v>0</v>
      </c>
      <c r="AT754" s="18">
        <v>0</v>
      </c>
      <c r="AU754" s="18">
        <v>0</v>
      </c>
      <c r="AV754" s="18">
        <v>0</v>
      </c>
      <c r="AW754" s="18">
        <v>0</v>
      </c>
      <c r="AX754" s="18">
        <v>0</v>
      </c>
      <c r="AY754" s="233"/>
      <c r="AZ754" s="4"/>
      <c r="BA754" s="35" t="str">
        <f>IF(OR(S754="North America",S754="Rocky Mountain"), "Widespread",BC754)</f>
        <v>Widespread</v>
      </c>
      <c r="BB754" s="4"/>
      <c r="BC754" s="35" t="str">
        <f ca="1">IF(BE754&gt;2046, "Abundant",BE754)</f>
        <v>Abundant</v>
      </c>
      <c r="BD754" s="4"/>
      <c r="BE754" s="81">
        <f ca="1">YEAR($C$13)+(BG754*80)</f>
        <v>2102.7305069518716</v>
      </c>
      <c r="BF754" s="4"/>
      <c r="BG754" s="137">
        <f ca="1">BH754*$BH$14</f>
        <v>1.0466313368983955</v>
      </c>
      <c r="BH754" s="137">
        <f ca="1">(((BJ754+BK754+BM754+BN754)/4)*$BM$11)+(((BP754+BQ754)/2)*$BQ$11)+(((BU754+BV754+BW754)/3)*$BU$11)+(((BY754+BZ754+CA754+CB754+CC754)/5)*$CA$11)</f>
        <v>1.0466313368983955</v>
      </c>
      <c r="BI754" s="4"/>
      <c r="BJ754" s="33">
        <f>AP754/(AM754+AO754)</f>
        <v>0.16666666666666666</v>
      </c>
      <c r="BK754" s="33">
        <f>(AN754+AO754)/(AM754+AO754)</f>
        <v>1</v>
      </c>
      <c r="BL754" s="4"/>
      <c r="BM754" s="127">
        <f>CF754/102</f>
        <v>0.11470588235294117</v>
      </c>
      <c r="BN754" s="127">
        <f>C754/2</f>
        <v>4</v>
      </c>
      <c r="BO754" s="4"/>
      <c r="BP754" s="127">
        <f>(AK754)/($AW$6)</f>
        <v>3.0303030303030304E-2</v>
      </c>
      <c r="BQ754" s="127">
        <f ca="1">(CH754-$AW$4)/((YEAR($C$13))-$AW$4)</f>
        <v>1</v>
      </c>
      <c r="BR754" s="127">
        <f>(AL754)/($AW$6)</f>
        <v>7.0707070707070704E-2</v>
      </c>
      <c r="BS754" s="4"/>
      <c r="BT754" s="127"/>
      <c r="BU754" s="127">
        <f ca="1">(CG754-$AW$4)/((YEAR($C$13))-$AW$4)</f>
        <v>1</v>
      </c>
      <c r="BV754" s="127">
        <f>AE754/5</f>
        <v>1</v>
      </c>
      <c r="BW754" s="127">
        <f>AF754/5</f>
        <v>1</v>
      </c>
      <c r="BX754" s="4"/>
      <c r="BY754" s="148" t="str">
        <f>IF(E754="A",".98",IF(E754="B",".99",IF(E754="C","1.00",IF(E754="D","1.00" ))))</f>
        <v>1.00</v>
      </c>
      <c r="BZ754" s="127">
        <f>(CE754+7)/10</f>
        <v>1</v>
      </c>
      <c r="CA754" s="76" t="str">
        <f>IF(D754="Fern",".97",IF(D754="Grass",".99",IF(D754="Herb",".97",IF(D754="Shrub",".99",IF(D754="Tree","1.00",IF(D754="Vine",".98"))))))</f>
        <v>1.00</v>
      </c>
      <c r="CB754" s="149" t="str">
        <f>IF(R754="Bogs Ponds Streams",".96", IF(R754="Coastal Areas",".97",IF(R754="Meadows Dry Open",".96",IF(R754="Forest &amp; Understory",".97",IF(R754="Moist Open",".98",IF(R754="Moist Shady",".96",IF(R754="Sub-Alpine","1.0")))))))</f>
        <v>.98</v>
      </c>
      <c r="CC754" s="76" t="str">
        <f>IF(S754="Local Endemic",".50",IF(S754="Regional Endemic",".70",IF(S754="Cascadia",".90",IF(S754="Rocky Mountain",".95",IF(S754="North America",".99")))))</f>
        <v>.99</v>
      </c>
      <c r="CD754" s="4"/>
      <c r="CE754" s="21">
        <f>IF(W754&gt;3,3,W754)</f>
        <v>3</v>
      </c>
      <c r="CF754" s="21">
        <f>IF(AC754&gt;102,102,AC754)</f>
        <v>11.7</v>
      </c>
      <c r="CG754" s="34">
        <f ca="1">IF(AI754&lt;$AW$4,$AW$4,AI754)</f>
        <v>2019</v>
      </c>
      <c r="CH754" s="34">
        <f ca="1">IF(AJ754&lt;$AW$4,$AW$4,AJ754)</f>
        <v>2019</v>
      </c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</row>
    <row r="755" spans="1:115" ht="15" customHeight="1" x14ac:dyDescent="0.3">
      <c r="A755" s="235"/>
      <c r="B755" s="218"/>
      <c r="C755" s="225">
        <v>8</v>
      </c>
      <c r="D755" s="59" t="s">
        <v>2507</v>
      </c>
      <c r="E755" s="59" t="s">
        <v>2501</v>
      </c>
      <c r="F755" s="397" t="str">
        <f ca="1">IF(BC755&lt;2025, "Extinct&lt; 6Yrs?",BA755)</f>
        <v>Widespread</v>
      </c>
      <c r="G755" s="363" t="s">
        <v>525</v>
      </c>
      <c r="H755" s="363" t="s">
        <v>679</v>
      </c>
      <c r="I755" s="366" t="s">
        <v>717</v>
      </c>
      <c r="J755" s="365" t="s">
        <v>3946</v>
      </c>
      <c r="K755" s="365" t="s">
        <v>716</v>
      </c>
      <c r="L755" s="10" t="s">
        <v>2253</v>
      </c>
      <c r="M755" s="8" t="s">
        <v>4826</v>
      </c>
      <c r="N755" s="8" t="s">
        <v>5724</v>
      </c>
      <c r="O755" s="8" t="s">
        <v>6623</v>
      </c>
      <c r="P755" s="9" t="s">
        <v>547</v>
      </c>
      <c r="Q755" s="59" t="s">
        <v>2552</v>
      </c>
      <c r="R755" s="9" t="s">
        <v>2497</v>
      </c>
      <c r="S755" s="9" t="s">
        <v>2495</v>
      </c>
      <c r="T755" s="123" t="str">
        <f>IF(R755="Bogs Ponds Streams","20",IF(R755="Coastal Areas","26",IF(R755="Meadows Dry Open","10",IF(R755="Forest &amp; Understory","14",IF(R755="Moist Open","12",IF(R755="Moist Shady","10",IF(R755="Sub-Alpine Slopes","0")))))))</f>
        <v>12</v>
      </c>
      <c r="U755" s="123" t="str">
        <f>IF(R755="Bogs Ponds Streams","52",IF(R755="Coastal Areas","51",IF(R755="Meadows Dry Open","53",IF(R755="Forest &amp; Understory","52",IF(R755="Moist Open","50",IF(R755="Moist Shady","46",IF(R755="Sub-Alpine Slopes","40")))))))</f>
        <v>50</v>
      </c>
      <c r="V755" s="123" t="str">
        <f>IF(R755="Bogs Ponds Streams","84",IF(R755="Coastal Areas","76",IF(R755="Meadows Dry Open","96", IF(R755="Forest &amp; Understory","90", IF(R755="Moist Open","88", IF(R755="Moist Shady","82", IF(R755="Sub-Alpine Slopes","80")))))))</f>
        <v>88</v>
      </c>
      <c r="W755" s="59">
        <v>20</v>
      </c>
      <c r="X755" s="59">
        <v>0</v>
      </c>
      <c r="Y755" s="59">
        <v>3500</v>
      </c>
      <c r="Z755" s="59" t="s">
        <v>2519</v>
      </c>
      <c r="AA755" s="59" t="s">
        <v>2518</v>
      </c>
      <c r="AB755" s="59">
        <v>6.8</v>
      </c>
      <c r="AC755" s="45">
        <f>C755+AK755+(0.1)*AL755</f>
        <v>12.9</v>
      </c>
      <c r="AD755" s="77">
        <v>30</v>
      </c>
      <c r="AE755" s="59">
        <v>5</v>
      </c>
      <c r="AF755" s="59">
        <v>5</v>
      </c>
      <c r="AG755" s="59">
        <v>1900</v>
      </c>
      <c r="AH755" s="77">
        <v>0</v>
      </c>
      <c r="AI755" s="59">
        <f ca="1">AJ755</f>
        <v>2019</v>
      </c>
      <c r="AJ755" s="18">
        <f ca="1">YEAR(TODAY())</f>
        <v>2019</v>
      </c>
      <c r="AK755" s="18">
        <v>4</v>
      </c>
      <c r="AL755" s="18">
        <v>9</v>
      </c>
      <c r="AM755" s="18">
        <v>1</v>
      </c>
      <c r="AN755" s="18">
        <v>1</v>
      </c>
      <c r="AO755" s="18">
        <v>5</v>
      </c>
      <c r="AP755" s="18">
        <v>1</v>
      </c>
      <c r="AQ755" s="18">
        <v>0</v>
      </c>
      <c r="AR755" s="18">
        <v>0</v>
      </c>
      <c r="AS755" s="18">
        <v>0</v>
      </c>
      <c r="AT755" s="18">
        <v>0</v>
      </c>
      <c r="AU755" s="18">
        <v>0</v>
      </c>
      <c r="AV755" s="18">
        <v>0</v>
      </c>
      <c r="AW755" s="18">
        <v>0</v>
      </c>
      <c r="AX755" s="18">
        <v>0</v>
      </c>
      <c r="AY755" s="233"/>
      <c r="AZ755" s="4"/>
      <c r="BA755" s="35" t="str">
        <f>IF(OR(S755="North America",S755="Rocky Mountain"), "Widespread",BC755)</f>
        <v>Widespread</v>
      </c>
      <c r="BB755" s="4"/>
      <c r="BC755" s="35" t="str">
        <f ca="1">IF(BE755&gt;2046, "Abundant",BE755)</f>
        <v>Abundant</v>
      </c>
      <c r="BD755" s="4"/>
      <c r="BE755" s="81">
        <f ca="1">YEAR($C$13)+(BG755*80)</f>
        <v>2102.9928955436721</v>
      </c>
      <c r="BF755" s="4"/>
      <c r="BG755" s="137">
        <f ca="1">BH755*$BH$14</f>
        <v>1.0499111942959001</v>
      </c>
      <c r="BH755" s="137">
        <f ca="1">(((BJ755+BK755+BM755+BN755)/4)*$BM$11)+(((BP755+BQ755)/2)*$BQ$11)+(((BU755+BV755+BW755)/3)*$BU$11)+(((BY755+BZ755+CA755+CB755+CC755)/5)*$CA$11)</f>
        <v>1.0499111942959001</v>
      </c>
      <c r="BI755" s="4"/>
      <c r="BJ755" s="33">
        <f>AP755/(AM755+AO755)</f>
        <v>0.16666666666666666</v>
      </c>
      <c r="BK755" s="33">
        <f>(AN755+AO755)/(AM755+AO755)</f>
        <v>1</v>
      </c>
      <c r="BL755" s="4"/>
      <c r="BM755" s="127">
        <f>CF755/102</f>
        <v>0.12647058823529411</v>
      </c>
      <c r="BN755" s="127">
        <f>C755/2</f>
        <v>4</v>
      </c>
      <c r="BO755" s="4"/>
      <c r="BP755" s="127">
        <f>(AK755)/($AW$6)</f>
        <v>4.0404040404040407E-2</v>
      </c>
      <c r="BQ755" s="127">
        <f ca="1">(CH755-$AW$4)/((YEAR($C$13))-$AW$4)</f>
        <v>1</v>
      </c>
      <c r="BR755" s="127">
        <f>(AL755)/($AW$6)</f>
        <v>9.0909090909090912E-2</v>
      </c>
      <c r="BS755" s="4"/>
      <c r="BT755" s="127"/>
      <c r="BU755" s="127">
        <f ca="1">(CG755-$AW$4)/((YEAR($C$13))-$AW$4)</f>
        <v>1</v>
      </c>
      <c r="BV755" s="127">
        <f>AE755/5</f>
        <v>1</v>
      </c>
      <c r="BW755" s="127">
        <f>AF755/5</f>
        <v>1</v>
      </c>
      <c r="BX755" s="4"/>
      <c r="BY755" s="148" t="str">
        <f>IF(E755="A",".98",IF(E755="B",".99",IF(E755="C","1.00",IF(E755="D","1.00" ))))</f>
        <v>1.00</v>
      </c>
      <c r="BZ755" s="127">
        <f>(CE755+7)/10</f>
        <v>1</v>
      </c>
      <c r="CA755" s="76" t="str">
        <f>IF(D755="Fern",".97",IF(D755="Grass",".99",IF(D755="Herb",".97",IF(D755="Shrub",".99",IF(D755="Tree","1.00",IF(D755="Vine",".98"))))))</f>
        <v>1.00</v>
      </c>
      <c r="CB755" s="149" t="str">
        <f>IF(R755="Bogs Ponds Streams",".96", IF(R755="Coastal Areas",".97",IF(R755="Meadows Dry Open",".96",IF(R755="Forest &amp; Understory",".97",IF(R755="Moist Open",".98",IF(R755="Moist Shady",".96",IF(R755="Sub-Alpine","1.0")))))))</f>
        <v>.98</v>
      </c>
      <c r="CC755" s="76" t="str">
        <f>IF(S755="Local Endemic",".50",IF(S755="Regional Endemic",".70",IF(S755="Cascadia",".90",IF(S755="Rocky Mountain",".95",IF(S755="North America",".99")))))</f>
        <v>.99</v>
      </c>
      <c r="CD755" s="4"/>
      <c r="CE755" s="21">
        <f>IF(W755&gt;3,3,W755)</f>
        <v>3</v>
      </c>
      <c r="CF755" s="21">
        <f>IF(AC755&gt;102,102,AC755)</f>
        <v>12.9</v>
      </c>
      <c r="CG755" s="34">
        <f ca="1">IF(AI755&lt;$AW$4,$AW$4,AI755)</f>
        <v>2019</v>
      </c>
      <c r="CH755" s="34">
        <f ca="1">IF(AJ755&lt;$AW$4,$AW$4,AJ755)</f>
        <v>2019</v>
      </c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</row>
    <row r="756" spans="1:115" ht="15" customHeight="1" x14ac:dyDescent="0.3">
      <c r="A756" s="235"/>
      <c r="B756" s="218"/>
      <c r="C756" s="225">
        <v>8</v>
      </c>
      <c r="D756" s="59" t="s">
        <v>2507</v>
      </c>
      <c r="E756" s="59" t="s">
        <v>2501</v>
      </c>
      <c r="F756" s="397" t="str">
        <f ca="1">IF(BC756&lt;2025, "Extinct&lt; 6Yrs?",BA756)</f>
        <v>Widespread</v>
      </c>
      <c r="G756" s="363" t="s">
        <v>525</v>
      </c>
      <c r="H756" s="363" t="s">
        <v>679</v>
      </c>
      <c r="I756" s="366" t="s">
        <v>3158</v>
      </c>
      <c r="J756" s="365" t="s">
        <v>3945</v>
      </c>
      <c r="K756" s="365" t="s">
        <v>2812</v>
      </c>
      <c r="L756" s="10" t="s">
        <v>2252</v>
      </c>
      <c r="M756" s="8" t="s">
        <v>4827</v>
      </c>
      <c r="N756" s="8" t="s">
        <v>5725</v>
      </c>
      <c r="O756" s="8" t="s">
        <v>6624</v>
      </c>
      <c r="P756" s="9" t="s">
        <v>547</v>
      </c>
      <c r="Q756" s="59" t="s">
        <v>2552</v>
      </c>
      <c r="R756" s="9" t="s">
        <v>2497</v>
      </c>
      <c r="S756" s="17" t="s">
        <v>2479</v>
      </c>
      <c r="T756" s="123" t="str">
        <f>IF(R756="Bogs Ponds Streams","20",IF(R756="Coastal Areas","26",IF(R756="Meadows Dry Open","10",IF(R756="Forest &amp; Understory","14",IF(R756="Moist Open","12",IF(R756="Moist Shady","10",IF(R756="Sub-Alpine Slopes","0")))))))</f>
        <v>12</v>
      </c>
      <c r="U756" s="123" t="str">
        <f>IF(R756="Bogs Ponds Streams","52",IF(R756="Coastal Areas","51",IF(R756="Meadows Dry Open","53",IF(R756="Forest &amp; Understory","52",IF(R756="Moist Open","50",IF(R756="Moist Shady","46",IF(R756="Sub-Alpine Slopes","40")))))))</f>
        <v>50</v>
      </c>
      <c r="V756" s="123" t="str">
        <f>IF(R756="Bogs Ponds Streams","84",IF(R756="Coastal Areas","76",IF(R756="Meadows Dry Open","96", IF(R756="Forest &amp; Understory","90", IF(R756="Moist Open","88", IF(R756="Moist Shady","82", IF(R756="Sub-Alpine Slopes","80")))))))</f>
        <v>88</v>
      </c>
      <c r="W756" s="59">
        <v>20</v>
      </c>
      <c r="X756" s="59">
        <v>0</v>
      </c>
      <c r="Y756" s="59">
        <v>3500</v>
      </c>
      <c r="Z756" s="59" t="s">
        <v>2519</v>
      </c>
      <c r="AA756" s="59" t="s">
        <v>2518</v>
      </c>
      <c r="AB756" s="59">
        <v>6.8</v>
      </c>
      <c r="AC756" s="45">
        <f>C756+AK756+(0.1)*AL756</f>
        <v>19.3</v>
      </c>
      <c r="AD756" s="77">
        <v>138</v>
      </c>
      <c r="AE756" s="59">
        <v>5</v>
      </c>
      <c r="AF756" s="59">
        <v>5</v>
      </c>
      <c r="AG756" s="59">
        <v>1900</v>
      </c>
      <c r="AH756" s="77">
        <v>0</v>
      </c>
      <c r="AI756" s="59">
        <f ca="1">AJ756</f>
        <v>2019</v>
      </c>
      <c r="AJ756" s="18">
        <f ca="1">YEAR(TODAY())</f>
        <v>2019</v>
      </c>
      <c r="AK756" s="18">
        <v>8</v>
      </c>
      <c r="AL756" s="18">
        <v>33</v>
      </c>
      <c r="AM756" s="18">
        <v>1</v>
      </c>
      <c r="AN756" s="18">
        <v>1</v>
      </c>
      <c r="AO756" s="18">
        <v>5</v>
      </c>
      <c r="AP756" s="18">
        <v>1</v>
      </c>
      <c r="AQ756" s="18">
        <v>0</v>
      </c>
      <c r="AR756" s="18">
        <v>0</v>
      </c>
      <c r="AS756" s="18">
        <v>0</v>
      </c>
      <c r="AT756" s="18">
        <v>0</v>
      </c>
      <c r="AU756" s="18">
        <v>0</v>
      </c>
      <c r="AV756" s="18">
        <v>0</v>
      </c>
      <c r="AW756" s="18">
        <v>0</v>
      </c>
      <c r="AX756" s="18">
        <v>0</v>
      </c>
      <c r="AY756" s="233"/>
      <c r="AZ756" s="4"/>
      <c r="BA756" s="35" t="str">
        <f>IF(OR(S756="North America",S756="Rocky Mountain"), "Widespread",BC756)</f>
        <v>Widespread</v>
      </c>
      <c r="BB756" s="4"/>
      <c r="BC756" s="35" t="str">
        <f ca="1">IF(BE756&gt;2046, "Abundant",BE756)</f>
        <v>Abundant</v>
      </c>
      <c r="BD756" s="4"/>
      <c r="BE756" s="81">
        <f ca="1">YEAR($C$13)+(BG756*80)</f>
        <v>2104.217885204991</v>
      </c>
      <c r="BF756" s="4"/>
      <c r="BG756" s="137">
        <f ca="1">BH756*$BH$14</f>
        <v>1.0652235650623885</v>
      </c>
      <c r="BH756" s="137">
        <f ca="1">(((BJ756+BK756+BM756+BN756)/4)*$BM$11)+(((BP756+BQ756)/2)*$BQ$11)+(((BU756+BV756+BW756)/3)*$BU$11)+(((BY756+BZ756+CA756+CB756+CC756)/5)*$CA$11)</f>
        <v>1.0652235650623885</v>
      </c>
      <c r="BI756" s="4"/>
      <c r="BJ756" s="33">
        <f>AP756/(AM756+AO756)</f>
        <v>0.16666666666666666</v>
      </c>
      <c r="BK756" s="33">
        <f>(AN756+AO756)/(AM756+AO756)</f>
        <v>1</v>
      </c>
      <c r="BL756" s="4"/>
      <c r="BM756" s="127">
        <f>CF756/102</f>
        <v>0.1892156862745098</v>
      </c>
      <c r="BN756" s="127">
        <f>C756/2</f>
        <v>4</v>
      </c>
      <c r="BO756" s="4"/>
      <c r="BP756" s="127">
        <f>(AK756)/($AW$6)</f>
        <v>8.0808080808080815E-2</v>
      </c>
      <c r="BQ756" s="127">
        <f ca="1">(CH756-$AW$4)/((YEAR($C$13))-$AW$4)</f>
        <v>1</v>
      </c>
      <c r="BR756" s="127">
        <f>(AL756)/($AW$6)</f>
        <v>0.33333333333333331</v>
      </c>
      <c r="BS756" s="4"/>
      <c r="BT756" s="127"/>
      <c r="BU756" s="127">
        <f ca="1">(CG756-$AW$4)/((YEAR($C$13))-$AW$4)</f>
        <v>1</v>
      </c>
      <c r="BV756" s="127">
        <f>AE756/5</f>
        <v>1</v>
      </c>
      <c r="BW756" s="127">
        <f>AF756/5</f>
        <v>1</v>
      </c>
      <c r="BX756" s="4"/>
      <c r="BY756" s="148" t="str">
        <f>IF(E756="A",".98",IF(E756="B",".99",IF(E756="C","1.00",IF(E756="D","1.00" ))))</f>
        <v>1.00</v>
      </c>
      <c r="BZ756" s="127">
        <f>(CE756+7)/10</f>
        <v>1</v>
      </c>
      <c r="CA756" s="76" t="str">
        <f>IF(D756="Fern",".97",IF(D756="Grass",".99",IF(D756="Herb",".97",IF(D756="Shrub",".99",IF(D756="Tree","1.00",IF(D756="Vine",".98"))))))</f>
        <v>1.00</v>
      </c>
      <c r="CB756" s="149" t="str">
        <f>IF(R756="Bogs Ponds Streams",".96", IF(R756="Coastal Areas",".97",IF(R756="Meadows Dry Open",".96",IF(R756="Forest &amp; Understory",".97",IF(R756="Moist Open",".98",IF(R756="Moist Shady",".96",IF(R756="Sub-Alpine","1.0")))))))</f>
        <v>.98</v>
      </c>
      <c r="CC756" s="76" t="str">
        <f>IF(S756="Local Endemic",".50",IF(S756="Regional Endemic",".70",IF(S756="Cascadia",".90",IF(S756="Rocky Mountain",".95",IF(S756="North America",".99")))))</f>
        <v>.95</v>
      </c>
      <c r="CD756" s="4"/>
      <c r="CE756" s="21">
        <f>IF(W756&gt;3,3,W756)</f>
        <v>3</v>
      </c>
      <c r="CF756" s="21">
        <f>IF(AC756&gt;102,102,AC756)</f>
        <v>19.3</v>
      </c>
      <c r="CG756" s="34">
        <f ca="1">IF(AI756&lt;$AW$4,$AW$4,AI756)</f>
        <v>2019</v>
      </c>
      <c r="CH756" s="34">
        <f ca="1">IF(AJ756&lt;$AW$4,$AW$4,AJ756)</f>
        <v>2019</v>
      </c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</row>
    <row r="757" spans="1:115" ht="15" customHeight="1" x14ac:dyDescent="0.3">
      <c r="A757" s="235"/>
      <c r="B757" s="218"/>
      <c r="C757" s="225">
        <v>8</v>
      </c>
      <c r="D757" s="59" t="s">
        <v>2507</v>
      </c>
      <c r="E757" s="59" t="s">
        <v>2501</v>
      </c>
      <c r="F757" s="397" t="str">
        <f ca="1">IF(BC757&lt;2025, "Extinct&lt; 6Yrs?",BA757)</f>
        <v>Widespread</v>
      </c>
      <c r="G757" s="363" t="s">
        <v>525</v>
      </c>
      <c r="H757" s="363" t="s">
        <v>678</v>
      </c>
      <c r="I757" s="366" t="s">
        <v>357</v>
      </c>
      <c r="J757" s="365" t="s">
        <v>3944</v>
      </c>
      <c r="K757" s="365" t="s">
        <v>356</v>
      </c>
      <c r="L757" s="10" t="s">
        <v>2476</v>
      </c>
      <c r="M757" s="8" t="s">
        <v>4828</v>
      </c>
      <c r="N757" s="8" t="s">
        <v>5726</v>
      </c>
      <c r="O757" s="8" t="s">
        <v>6625</v>
      </c>
      <c r="P757" s="9" t="s">
        <v>547</v>
      </c>
      <c r="Q757" s="59" t="s">
        <v>2552</v>
      </c>
      <c r="R757" s="9" t="s">
        <v>2497</v>
      </c>
      <c r="S757" s="9" t="s">
        <v>2479</v>
      </c>
      <c r="T757" s="123" t="str">
        <f>IF(R757="Bogs Ponds Streams","20",IF(R757="Coastal Areas","26",IF(R757="Meadows Dry Open","10",IF(R757="Forest &amp; Understory","14",IF(R757="Moist Open","12",IF(R757="Moist Shady","10",IF(R757="Sub-Alpine Slopes","0")))))))</f>
        <v>12</v>
      </c>
      <c r="U757" s="123" t="str">
        <f>IF(R757="Bogs Ponds Streams","52",IF(R757="Coastal Areas","51",IF(R757="Meadows Dry Open","53",IF(R757="Forest &amp; Understory","52",IF(R757="Moist Open","50",IF(R757="Moist Shady","46",IF(R757="Sub-Alpine Slopes","40")))))))</f>
        <v>50</v>
      </c>
      <c r="V757" s="123" t="str">
        <f>IF(R757="Bogs Ponds Streams","84",IF(R757="Coastal Areas","76",IF(R757="Meadows Dry Open","96", IF(R757="Forest &amp; Understory","90", IF(R757="Moist Open","88", IF(R757="Moist Shady","82", IF(R757="Sub-Alpine Slopes","80")))))))</f>
        <v>88</v>
      </c>
      <c r="W757" s="59">
        <v>20</v>
      </c>
      <c r="X757" s="59">
        <v>0</v>
      </c>
      <c r="Y757" s="59">
        <v>3500</v>
      </c>
      <c r="Z757" s="59" t="s">
        <v>2519</v>
      </c>
      <c r="AA757" s="59" t="s">
        <v>2518</v>
      </c>
      <c r="AB757" s="59">
        <v>6.8</v>
      </c>
      <c r="AC757" s="45">
        <f>C757+AK757+(0.1)*AL757</f>
        <v>19.399999999999999</v>
      </c>
      <c r="AD757" s="77">
        <v>261</v>
      </c>
      <c r="AE757" s="59">
        <v>5</v>
      </c>
      <c r="AF757" s="59">
        <v>5</v>
      </c>
      <c r="AG757" s="59">
        <v>1900</v>
      </c>
      <c r="AH757" s="77">
        <v>0</v>
      </c>
      <c r="AI757" s="59">
        <f ca="1">AJ757</f>
        <v>2019</v>
      </c>
      <c r="AJ757" s="18">
        <f ca="1">YEAR(TODAY())</f>
        <v>2019</v>
      </c>
      <c r="AK757" s="18">
        <v>7</v>
      </c>
      <c r="AL757" s="18">
        <v>44</v>
      </c>
      <c r="AM757" s="18">
        <v>1</v>
      </c>
      <c r="AN757" s="18">
        <v>1</v>
      </c>
      <c r="AO757" s="18">
        <v>5</v>
      </c>
      <c r="AP757" s="18">
        <v>1</v>
      </c>
      <c r="AQ757" s="18">
        <v>0</v>
      </c>
      <c r="AR757" s="18">
        <v>0</v>
      </c>
      <c r="AS757" s="18">
        <v>0</v>
      </c>
      <c r="AT757" s="18">
        <v>0</v>
      </c>
      <c r="AU757" s="18">
        <v>0</v>
      </c>
      <c r="AV757" s="18">
        <v>0</v>
      </c>
      <c r="AW757" s="18">
        <v>0</v>
      </c>
      <c r="AX757" s="18">
        <v>0</v>
      </c>
      <c r="AY757" s="233"/>
      <c r="AZ757" s="4"/>
      <c r="BA757" s="35" t="str">
        <f>IF(OR(S757="North America",S757="Rocky Mountain"), "Widespread",BC757)</f>
        <v>Widespread</v>
      </c>
      <c r="BB757" s="4"/>
      <c r="BC757" s="35" t="str">
        <f ca="1">IF(BE757&gt;2046, "Abundant",BE757)</f>
        <v>Abundant</v>
      </c>
      <c r="BD757" s="4"/>
      <c r="BE757" s="81">
        <f ca="1">YEAR($C$13)+(BG757*80)</f>
        <v>2104.1084377896614</v>
      </c>
      <c r="BF757" s="4"/>
      <c r="BG757" s="137">
        <f ca="1">BH757*$BH$14</f>
        <v>1.0638554723707665</v>
      </c>
      <c r="BH757" s="137">
        <f ca="1">(((BJ757+BK757+BM757+BN757)/4)*$BM$11)+(((BP757+BQ757)/2)*$BQ$11)+(((BU757+BV757+BW757)/3)*$BU$11)+(((BY757+BZ757+CA757+CB757+CC757)/5)*$CA$11)</f>
        <v>1.0638554723707665</v>
      </c>
      <c r="BI757" s="4"/>
      <c r="BJ757" s="33">
        <f>AP757/(AM757+AO757)</f>
        <v>0.16666666666666666</v>
      </c>
      <c r="BK757" s="33">
        <f>(AN757+AO757)/(AM757+AO757)</f>
        <v>1</v>
      </c>
      <c r="BL757" s="4"/>
      <c r="BM757" s="127">
        <f>CF757/102</f>
        <v>0.19019607843137254</v>
      </c>
      <c r="BN757" s="127">
        <f>C757/2</f>
        <v>4</v>
      </c>
      <c r="BO757" s="4"/>
      <c r="BP757" s="127">
        <f>(AK757)/($AW$6)</f>
        <v>7.0707070707070704E-2</v>
      </c>
      <c r="BQ757" s="127">
        <f ca="1">(CH757-$AW$4)/((YEAR($C$13))-$AW$4)</f>
        <v>1</v>
      </c>
      <c r="BR757" s="127">
        <f>(AL757)/($AW$6)</f>
        <v>0.44444444444444442</v>
      </c>
      <c r="BS757" s="4"/>
      <c r="BT757" s="127"/>
      <c r="BU757" s="127">
        <f ca="1">(CG757-$AW$4)/((YEAR($C$13))-$AW$4)</f>
        <v>1</v>
      </c>
      <c r="BV757" s="127">
        <f>AE757/5</f>
        <v>1</v>
      </c>
      <c r="BW757" s="127">
        <f>AF757/5</f>
        <v>1</v>
      </c>
      <c r="BX757" s="4"/>
      <c r="BY757" s="148" t="str">
        <f>IF(E757="A",".98",IF(E757="B",".99",IF(E757="C","1.00",IF(E757="D","1.00" ))))</f>
        <v>1.00</v>
      </c>
      <c r="BZ757" s="127">
        <f>(CE757+7)/10</f>
        <v>1</v>
      </c>
      <c r="CA757" s="76" t="str">
        <f>IF(D757="Fern",".97",IF(D757="Grass",".99",IF(D757="Herb",".97",IF(D757="Shrub",".99",IF(D757="Tree","1.00",IF(D757="Vine",".98"))))))</f>
        <v>1.00</v>
      </c>
      <c r="CB757" s="149" t="str">
        <f>IF(R757="Bogs Ponds Streams",".96", IF(R757="Coastal Areas",".97",IF(R757="Meadows Dry Open",".96",IF(R757="Forest &amp; Understory",".97",IF(R757="Moist Open",".98",IF(R757="Moist Shady",".96",IF(R757="Sub-Alpine","1.0")))))))</f>
        <v>.98</v>
      </c>
      <c r="CC757" s="76" t="str">
        <f>IF(S757="Local Endemic",".50",IF(S757="Regional Endemic",".70",IF(S757="Cascadia",".90",IF(S757="Rocky Mountain",".95",IF(S757="North America",".99")))))</f>
        <v>.95</v>
      </c>
      <c r="CD757" s="4"/>
      <c r="CE757" s="21">
        <f>IF(W757&gt;3,3,W757)</f>
        <v>3</v>
      </c>
      <c r="CF757" s="21">
        <f>IF(AC757&gt;102,102,AC757)</f>
        <v>19.399999999999999</v>
      </c>
      <c r="CG757" s="34">
        <f ca="1">IF(AI757&lt;$AW$4,$AW$4,AI757)</f>
        <v>2019</v>
      </c>
      <c r="CH757" s="34">
        <f ca="1">IF(AJ757&lt;$AW$4,$AW$4,AJ757)</f>
        <v>2019</v>
      </c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</row>
    <row r="758" spans="1:115" ht="15" customHeight="1" x14ac:dyDescent="0.3">
      <c r="A758" s="235"/>
      <c r="B758" s="218"/>
      <c r="C758" s="225">
        <v>8</v>
      </c>
      <c r="D758" s="59" t="s">
        <v>2507</v>
      </c>
      <c r="E758" s="59" t="s">
        <v>2501</v>
      </c>
      <c r="F758" s="397" t="str">
        <f ca="1">IF(BC758&lt;2025, "Extinct&lt; 6Yrs?",BA758)</f>
        <v>Abundant</v>
      </c>
      <c r="G758" s="363" t="s">
        <v>525</v>
      </c>
      <c r="H758" s="363" t="s">
        <v>678</v>
      </c>
      <c r="I758" s="364" t="s">
        <v>360</v>
      </c>
      <c r="J758" s="365" t="s">
        <v>3943</v>
      </c>
      <c r="K758" s="365" t="s">
        <v>1207</v>
      </c>
      <c r="L758" s="10" t="s">
        <v>2261</v>
      </c>
      <c r="M758" s="8" t="s">
        <v>4829</v>
      </c>
      <c r="N758" s="8" t="s">
        <v>5727</v>
      </c>
      <c r="O758" s="8" t="s">
        <v>6626</v>
      </c>
      <c r="P758" s="9" t="s">
        <v>547</v>
      </c>
      <c r="Q758" s="59" t="s">
        <v>2552</v>
      </c>
      <c r="R758" s="9" t="s">
        <v>2497</v>
      </c>
      <c r="S758" s="9" t="s">
        <v>2459</v>
      </c>
      <c r="T758" s="123" t="str">
        <f>IF(R758="Bogs Ponds Streams","20",IF(R758="Coastal Areas","26",IF(R758="Meadows Dry Open","10",IF(R758="Forest &amp; Understory","14",IF(R758="Moist Open","12",IF(R758="Moist Shady","10",IF(R758="Sub-Alpine Slopes","0")))))))</f>
        <v>12</v>
      </c>
      <c r="U758" s="123" t="str">
        <f>IF(R758="Bogs Ponds Streams","52",IF(R758="Coastal Areas","51",IF(R758="Meadows Dry Open","53",IF(R758="Forest &amp; Understory","52",IF(R758="Moist Open","50",IF(R758="Moist Shady","46",IF(R758="Sub-Alpine Slopes","40")))))))</f>
        <v>50</v>
      </c>
      <c r="V758" s="123" t="str">
        <f>IF(R758="Bogs Ponds Streams","84",IF(R758="Coastal Areas","76",IF(R758="Meadows Dry Open","96", IF(R758="Forest &amp; Understory","90", IF(R758="Moist Open","88", IF(R758="Moist Shady","82", IF(R758="Sub-Alpine Slopes","80")))))))</f>
        <v>88</v>
      </c>
      <c r="W758" s="59">
        <v>20</v>
      </c>
      <c r="X758" s="59">
        <v>0</v>
      </c>
      <c r="Y758" s="59">
        <v>3500</v>
      </c>
      <c r="Z758" s="59" t="s">
        <v>2519</v>
      </c>
      <c r="AA758" s="59" t="s">
        <v>2518</v>
      </c>
      <c r="AB758" s="59">
        <v>6.8</v>
      </c>
      <c r="AC758" s="45">
        <f>C758+AK758+(0.1)*AL758</f>
        <v>11.1</v>
      </c>
      <c r="AD758" s="77">
        <v>23</v>
      </c>
      <c r="AE758" s="60">
        <v>3</v>
      </c>
      <c r="AF758" s="60">
        <v>4</v>
      </c>
      <c r="AG758" s="77">
        <v>1925</v>
      </c>
      <c r="AH758" s="77">
        <v>0</v>
      </c>
      <c r="AI758" s="77">
        <v>2000</v>
      </c>
      <c r="AJ758" s="18">
        <f ca="1">YEAR(TODAY())</f>
        <v>2019</v>
      </c>
      <c r="AK758" s="18">
        <v>3</v>
      </c>
      <c r="AL758" s="18">
        <v>1</v>
      </c>
      <c r="AM758" s="18">
        <v>1</v>
      </c>
      <c r="AN758" s="18">
        <v>1</v>
      </c>
      <c r="AO758" s="18">
        <v>5</v>
      </c>
      <c r="AP758" s="18">
        <v>1</v>
      </c>
      <c r="AQ758" s="18">
        <v>0</v>
      </c>
      <c r="AR758" s="18">
        <v>0</v>
      </c>
      <c r="AS758" s="18">
        <v>0</v>
      </c>
      <c r="AT758" s="18">
        <v>0</v>
      </c>
      <c r="AU758" s="18">
        <v>0</v>
      </c>
      <c r="AV758" s="18">
        <v>0</v>
      </c>
      <c r="AW758" s="18">
        <v>0</v>
      </c>
      <c r="AX758" s="18">
        <v>0</v>
      </c>
      <c r="AY758" s="233"/>
      <c r="AZ758" s="4"/>
      <c r="BA758" s="35" t="str">
        <f ca="1">IF(OR(S758="North America",S758="Rocky Mountain"), "Widespread",BC758)</f>
        <v>Abundant</v>
      </c>
      <c r="BB758" s="4"/>
      <c r="BC758" s="35" t="str">
        <f ca="1">IF(BE758&gt;2046, "Abundant",BE758)</f>
        <v>Abundant</v>
      </c>
      <c r="BD758" s="4"/>
      <c r="BE758" s="81">
        <f ca="1">YEAR($C$13)+(BG758*80)</f>
        <v>2099.2177853832441</v>
      </c>
      <c r="BF758" s="4"/>
      <c r="BG758" s="137">
        <f ca="1">BH758*$BH$14</f>
        <v>1.0027223172905526</v>
      </c>
      <c r="BH758" s="137">
        <f ca="1">(((BJ758+BK758+BM758+BN758)/4)*$BM$11)+(((BP758+BQ758)/2)*$BQ$11)+(((BU758+BV758+BW758)/3)*$BU$11)+(((BY758+BZ758+CA758+CB758+CC758)/5)*$CA$11)</f>
        <v>1.0027223172905526</v>
      </c>
      <c r="BI758" s="4"/>
      <c r="BJ758" s="33">
        <f>AP758/(AM758+AO758)</f>
        <v>0.16666666666666666</v>
      </c>
      <c r="BK758" s="33">
        <f>(AN758+AO758)/(AM758+AO758)</f>
        <v>1</v>
      </c>
      <c r="BL758" s="4"/>
      <c r="BM758" s="127">
        <f>CF758/102</f>
        <v>0.10882352941176471</v>
      </c>
      <c r="BN758" s="127">
        <f>C758/2</f>
        <v>4</v>
      </c>
      <c r="BO758" s="4"/>
      <c r="BP758" s="127">
        <f>(AK758)/($AW$6)</f>
        <v>3.0303030303030304E-2</v>
      </c>
      <c r="BQ758" s="127">
        <f ca="1">(CH758-$AW$4)/((YEAR($C$13))-$AW$4)</f>
        <v>1</v>
      </c>
      <c r="BR758" s="127">
        <f>(AL758)/($AW$6)</f>
        <v>1.0101010101010102E-2</v>
      </c>
      <c r="BS758" s="4"/>
      <c r="BT758" s="127"/>
      <c r="BU758" s="127">
        <f ca="1">(CG758-$AW$4)/((YEAR($C$13))-$AW$4)</f>
        <v>0</v>
      </c>
      <c r="BV758" s="127">
        <f>AE758/5</f>
        <v>0.6</v>
      </c>
      <c r="BW758" s="127">
        <f>AF758/5</f>
        <v>0.8</v>
      </c>
      <c r="BX758" s="4"/>
      <c r="BY758" s="148" t="str">
        <f>IF(E758="A",".98",IF(E758="B",".99",IF(E758="C","1.00",IF(E758="D","1.00" ))))</f>
        <v>1.00</v>
      </c>
      <c r="BZ758" s="127">
        <f>(CE758+7)/10</f>
        <v>1</v>
      </c>
      <c r="CA758" s="76" t="str">
        <f>IF(D758="Fern",".97",IF(D758="Grass",".99",IF(D758="Herb",".97",IF(D758="Shrub",".99",IF(D758="Tree","1.00",IF(D758="Vine",".98"))))))</f>
        <v>1.00</v>
      </c>
      <c r="CB758" s="149" t="str">
        <f>IF(R758="Bogs Ponds Streams",".96", IF(R758="Coastal Areas",".97",IF(R758="Meadows Dry Open",".96",IF(R758="Forest &amp; Understory",".97",IF(R758="Moist Open",".98",IF(R758="Moist Shady",".96",IF(R758="Sub-Alpine","1.0")))))))</f>
        <v>.98</v>
      </c>
      <c r="CC758" s="76" t="str">
        <f>IF(S758="Local Endemic",".50",IF(S758="Regional Endemic",".70",IF(S758="Cascadia",".90",IF(S758="Rocky Mountain",".95",IF(S758="North America",".99")))))</f>
        <v>.90</v>
      </c>
      <c r="CD758" s="4"/>
      <c r="CE758" s="21">
        <f>IF(W758&gt;3,3,W758)</f>
        <v>3</v>
      </c>
      <c r="CF758" s="21">
        <f>IF(AC758&gt;102,102,AC758)</f>
        <v>11.1</v>
      </c>
      <c r="CG758" s="34">
        <f>IF(AI758&lt;$AW$4,$AW$4,AI758)</f>
        <v>2004</v>
      </c>
      <c r="CH758" s="34">
        <f ca="1">IF(AJ758&lt;$AW$4,$AW$4,AJ758)</f>
        <v>2019</v>
      </c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</row>
    <row r="759" spans="1:115" ht="15" customHeight="1" x14ac:dyDescent="0.3">
      <c r="A759" s="235"/>
      <c r="B759" s="218"/>
      <c r="C759" s="225">
        <v>8</v>
      </c>
      <c r="D759" s="59" t="s">
        <v>2507</v>
      </c>
      <c r="E759" s="59" t="s">
        <v>2501</v>
      </c>
      <c r="F759" s="397" t="str">
        <f ca="1">IF(BC759&lt;2025, "Extinct&lt; 6Yrs?",BA759)</f>
        <v>Abundant</v>
      </c>
      <c r="G759" s="363" t="s">
        <v>525</v>
      </c>
      <c r="H759" s="363" t="s">
        <v>679</v>
      </c>
      <c r="I759" s="366" t="s">
        <v>354</v>
      </c>
      <c r="J759" s="365" t="s">
        <v>353</v>
      </c>
      <c r="K759" s="365" t="s">
        <v>353</v>
      </c>
      <c r="L759" s="10" t="s">
        <v>2262</v>
      </c>
      <c r="M759" s="8" t="s">
        <v>4830</v>
      </c>
      <c r="N759" s="8" t="s">
        <v>5728</v>
      </c>
      <c r="O759" s="8" t="s">
        <v>6627</v>
      </c>
      <c r="P759" s="9" t="s">
        <v>547</v>
      </c>
      <c r="Q759" s="59" t="s">
        <v>2552</v>
      </c>
      <c r="R759" s="9" t="s">
        <v>2497</v>
      </c>
      <c r="S759" s="9" t="s">
        <v>2459</v>
      </c>
      <c r="T759" s="123" t="str">
        <f>IF(R759="Bogs Ponds Streams","20",IF(R759="Coastal Areas","26",IF(R759="Meadows Dry Open","10",IF(R759="Forest &amp; Understory","14",IF(R759="Moist Open","12",IF(R759="Moist Shady","10",IF(R759="Sub-Alpine Slopes","0")))))))</f>
        <v>12</v>
      </c>
      <c r="U759" s="123" t="str">
        <f>IF(R759="Bogs Ponds Streams","52",IF(R759="Coastal Areas","51",IF(R759="Meadows Dry Open","53",IF(R759="Forest &amp; Understory","52",IF(R759="Moist Open","50",IF(R759="Moist Shady","46",IF(R759="Sub-Alpine Slopes","40")))))))</f>
        <v>50</v>
      </c>
      <c r="V759" s="123" t="str">
        <f>IF(R759="Bogs Ponds Streams","84",IF(R759="Coastal Areas","76",IF(R759="Meadows Dry Open","96", IF(R759="Forest &amp; Understory","90", IF(R759="Moist Open","88", IF(R759="Moist Shady","82", IF(R759="Sub-Alpine Slopes","80")))))))</f>
        <v>88</v>
      </c>
      <c r="W759" s="59">
        <v>20</v>
      </c>
      <c r="X759" s="59">
        <v>0</v>
      </c>
      <c r="Y759" s="59">
        <v>3500</v>
      </c>
      <c r="Z759" s="59" t="s">
        <v>2519</v>
      </c>
      <c r="AA759" s="59" t="s">
        <v>2518</v>
      </c>
      <c r="AB759" s="59">
        <v>6.8</v>
      </c>
      <c r="AC759" s="45">
        <f>C759+AK759+(0.1)*AL759</f>
        <v>107.9</v>
      </c>
      <c r="AD759" s="77">
        <v>201</v>
      </c>
      <c r="AE759" s="59">
        <v>5</v>
      </c>
      <c r="AF759" s="59">
        <v>5</v>
      </c>
      <c r="AG759" s="59">
        <v>1900</v>
      </c>
      <c r="AH759" s="77">
        <v>0</v>
      </c>
      <c r="AI759" s="59">
        <f ca="1">AJ759</f>
        <v>2019</v>
      </c>
      <c r="AJ759" s="18">
        <f ca="1">YEAR(TODAY())</f>
        <v>2019</v>
      </c>
      <c r="AK759" s="18">
        <v>99</v>
      </c>
      <c r="AL759" s="18">
        <v>9</v>
      </c>
      <c r="AM759" s="18">
        <v>1</v>
      </c>
      <c r="AN759" s="18">
        <v>1</v>
      </c>
      <c r="AO759" s="18">
        <v>5</v>
      </c>
      <c r="AP759" s="18">
        <v>1</v>
      </c>
      <c r="AQ759" s="18">
        <v>0</v>
      </c>
      <c r="AR759" s="18">
        <v>0</v>
      </c>
      <c r="AS759" s="18">
        <v>0</v>
      </c>
      <c r="AT759" s="18">
        <v>0</v>
      </c>
      <c r="AU759" s="18">
        <v>0</v>
      </c>
      <c r="AV759" s="18">
        <v>0</v>
      </c>
      <c r="AW759" s="18">
        <v>0</v>
      </c>
      <c r="AX759" s="18">
        <v>0</v>
      </c>
      <c r="AY759" s="233"/>
      <c r="AZ759" s="4"/>
      <c r="BA759" s="35" t="str">
        <f ca="1">IF(OR(S759="North America",S759="Rocky Mountain"), "Widespread",BC759)</f>
        <v>Abundant</v>
      </c>
      <c r="BB759" s="4"/>
      <c r="BC759" s="35" t="str">
        <f ca="1">IF(BE759&gt;2046, "Abundant",BE759)</f>
        <v>Abundant</v>
      </c>
      <c r="BD759" s="4"/>
      <c r="BE759" s="81">
        <f ca="1">YEAR($C$13)+(BG759*80)</f>
        <v>2124.9616000000001</v>
      </c>
      <c r="BF759" s="4"/>
      <c r="BG759" s="137">
        <f ca="1">BH759*$BH$14</f>
        <v>1.3245200000000001</v>
      </c>
      <c r="BH759" s="137">
        <f ca="1">(((BJ759+BK759+BM759+BN759)/4)*$BM$11)+(((BP759+BQ759)/2)*$BQ$11)+(((BU759+BV759+BW759)/3)*$BU$11)+(((BY759+BZ759+CA759+CB759+CC759)/5)*$CA$11)</f>
        <v>1.3245200000000001</v>
      </c>
      <c r="BI759" s="4"/>
      <c r="BJ759" s="33">
        <f>AP759/(AM759+AO759)</f>
        <v>0.16666666666666666</v>
      </c>
      <c r="BK759" s="33">
        <f>(AN759+AO759)/(AM759+AO759)</f>
        <v>1</v>
      </c>
      <c r="BL759" s="4"/>
      <c r="BM759" s="127">
        <f>CF759/102</f>
        <v>1</v>
      </c>
      <c r="BN759" s="127">
        <f>C759/2</f>
        <v>4</v>
      </c>
      <c r="BO759" s="4"/>
      <c r="BP759" s="127">
        <f>(AK759)/($AW$6)</f>
        <v>1</v>
      </c>
      <c r="BQ759" s="127">
        <f ca="1">(CH759-$AW$4)/((YEAR($C$13))-$AW$4)</f>
        <v>1</v>
      </c>
      <c r="BR759" s="127">
        <f>(AL759)/($AW$6)</f>
        <v>9.0909090909090912E-2</v>
      </c>
      <c r="BS759" s="4"/>
      <c r="BT759" s="127"/>
      <c r="BU759" s="127">
        <f ca="1">(CG759-$AW$4)/((YEAR($C$13))-$AW$4)</f>
        <v>1</v>
      </c>
      <c r="BV759" s="127">
        <f>AE759/5</f>
        <v>1</v>
      </c>
      <c r="BW759" s="127">
        <f>AF759/5</f>
        <v>1</v>
      </c>
      <c r="BX759" s="4"/>
      <c r="BY759" s="148" t="str">
        <f>IF(E759="A",".98",IF(E759="B",".99",IF(E759="C","1.00",IF(E759="D","1.00" ))))</f>
        <v>1.00</v>
      </c>
      <c r="BZ759" s="127">
        <f>(CE759+7)/10</f>
        <v>1</v>
      </c>
      <c r="CA759" s="76" t="str">
        <f>IF(D759="Fern",".97",IF(D759="Grass",".99",IF(D759="Herb",".97",IF(D759="Shrub",".99",IF(D759="Tree","1.00",IF(D759="Vine",".98"))))))</f>
        <v>1.00</v>
      </c>
      <c r="CB759" s="149" t="str">
        <f>IF(R759="Bogs Ponds Streams",".96", IF(R759="Coastal Areas",".97",IF(R759="Meadows Dry Open",".96",IF(R759="Forest &amp; Understory",".97",IF(R759="Moist Open",".98",IF(R759="Moist Shady",".96",IF(R759="Sub-Alpine","1.0")))))))</f>
        <v>.98</v>
      </c>
      <c r="CC759" s="76" t="str">
        <f>IF(S759="Local Endemic",".50",IF(S759="Regional Endemic",".70",IF(S759="Cascadia",".90",IF(S759="Rocky Mountain",".95",IF(S759="North America",".99")))))</f>
        <v>.90</v>
      </c>
      <c r="CD759" s="4"/>
      <c r="CE759" s="21">
        <f>IF(W759&gt;3,3,W759)</f>
        <v>3</v>
      </c>
      <c r="CF759" s="21">
        <f>IF(AC759&gt;102,102,AC759)</f>
        <v>102</v>
      </c>
      <c r="CG759" s="34">
        <f ca="1">IF(AI759&lt;$AW$4,$AW$4,AI759)</f>
        <v>2019</v>
      </c>
      <c r="CH759" s="34">
        <f ca="1">IF(AJ759&lt;$AW$4,$AW$4,AJ759)</f>
        <v>2019</v>
      </c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</row>
    <row r="760" spans="1:115" ht="15" customHeight="1" x14ac:dyDescent="0.3">
      <c r="A760" s="235"/>
      <c r="B760" s="218"/>
      <c r="C760" s="225">
        <v>8</v>
      </c>
      <c r="D760" s="59" t="s">
        <v>2507</v>
      </c>
      <c r="E760" s="59" t="s">
        <v>2501</v>
      </c>
      <c r="F760" s="397" t="str">
        <f ca="1">IF(BC760&lt;2025, "Extinct&lt; 6Yrs?",BA760)</f>
        <v>Widespread</v>
      </c>
      <c r="G760" s="363" t="s">
        <v>525</v>
      </c>
      <c r="H760" s="363" t="s">
        <v>689</v>
      </c>
      <c r="I760" s="366" t="s">
        <v>2703</v>
      </c>
      <c r="J760" s="365" t="s">
        <v>3942</v>
      </c>
      <c r="K760" s="365" t="s">
        <v>162</v>
      </c>
      <c r="L760" s="10" t="s">
        <v>2263</v>
      </c>
      <c r="M760" s="8" t="s">
        <v>4831</v>
      </c>
      <c r="N760" s="8" t="s">
        <v>5729</v>
      </c>
      <c r="O760" s="8" t="s">
        <v>6628</v>
      </c>
      <c r="P760" s="9" t="s">
        <v>735</v>
      </c>
      <c r="Q760" s="59" t="s">
        <v>2552</v>
      </c>
      <c r="R760" s="9" t="s">
        <v>2498</v>
      </c>
      <c r="S760" s="9" t="s">
        <v>2479</v>
      </c>
      <c r="T760" s="123" t="str">
        <f>IF(R760="Bogs Ponds Streams","20",IF(R760="Coastal Areas","26",IF(R760="Meadows Dry Open","10",IF(R760="Forest &amp; Understory","14",IF(R760="Moist Open","12",IF(R760="Moist Shady","10",IF(R760="Sub-Alpine Slopes","0")))))))</f>
        <v>10</v>
      </c>
      <c r="U760" s="123" t="str">
        <f>IF(R760="Bogs Ponds Streams","52",IF(R760="Coastal Areas","51",IF(R760="Meadows Dry Open","53",IF(R760="Forest &amp; Understory","52",IF(R760="Moist Open","50",IF(R760="Moist Shady","46",IF(R760="Sub-Alpine Slopes","40")))))))</f>
        <v>46</v>
      </c>
      <c r="V760" s="123" t="str">
        <f>IF(R760="Bogs Ponds Streams","84",IF(R760="Coastal Areas","76",IF(R760="Meadows Dry Open","96", IF(R760="Forest &amp; Understory","90", IF(R760="Moist Open","88", IF(R760="Moist Shady","82", IF(R760="Sub-Alpine Slopes","80")))))))</f>
        <v>82</v>
      </c>
      <c r="W760" s="59">
        <v>20</v>
      </c>
      <c r="X760" s="59">
        <v>0</v>
      </c>
      <c r="Y760" s="59">
        <v>3500</v>
      </c>
      <c r="Z760" s="59" t="s">
        <v>2519</v>
      </c>
      <c r="AA760" s="59" t="s">
        <v>2518</v>
      </c>
      <c r="AB760" s="59">
        <v>6.8</v>
      </c>
      <c r="AC760" s="45">
        <f>C760+AK760+(0.1)*AL760</f>
        <v>24.8</v>
      </c>
      <c r="AD760" s="77">
        <v>9</v>
      </c>
      <c r="AE760" s="59">
        <v>5</v>
      </c>
      <c r="AF760" s="59">
        <v>5</v>
      </c>
      <c r="AG760" s="59">
        <v>1900</v>
      </c>
      <c r="AH760" s="77">
        <v>0</v>
      </c>
      <c r="AI760" s="59">
        <f ca="1">AJ760</f>
        <v>2019</v>
      </c>
      <c r="AJ760" s="18">
        <f ca="1">YEAR(TODAY())</f>
        <v>2019</v>
      </c>
      <c r="AK760" s="18">
        <v>8</v>
      </c>
      <c r="AL760" s="18">
        <v>88</v>
      </c>
      <c r="AM760" s="18">
        <v>1</v>
      </c>
      <c r="AN760" s="18">
        <v>1</v>
      </c>
      <c r="AO760" s="18">
        <v>5</v>
      </c>
      <c r="AP760" s="18">
        <v>1</v>
      </c>
      <c r="AQ760" s="18">
        <v>0</v>
      </c>
      <c r="AR760" s="18">
        <v>0</v>
      </c>
      <c r="AS760" s="18">
        <v>0</v>
      </c>
      <c r="AT760" s="18">
        <v>0</v>
      </c>
      <c r="AU760" s="18">
        <v>0</v>
      </c>
      <c r="AV760" s="18">
        <v>0</v>
      </c>
      <c r="AW760" s="18">
        <v>0</v>
      </c>
      <c r="AX760" s="18">
        <v>0</v>
      </c>
      <c r="AY760" s="233"/>
      <c r="AZ760" s="4"/>
      <c r="BA760" s="35" t="str">
        <f>IF(OR(S760="North America",S760="Rocky Mountain"), "Widespread",BC760)</f>
        <v>Widespread</v>
      </c>
      <c r="BB760" s="4"/>
      <c r="BC760" s="35" t="str">
        <f ca="1">IF(BE760&gt;2046, "Abundant",BE760)</f>
        <v>Abundant</v>
      </c>
      <c r="BD760" s="4"/>
      <c r="BE760" s="81">
        <f ca="1">YEAR($C$13)+(BG760*80)</f>
        <v>2104.8585440285206</v>
      </c>
      <c r="BF760" s="4"/>
      <c r="BG760" s="137">
        <f ca="1">BH760*$BH$14</f>
        <v>1.0732318003565064</v>
      </c>
      <c r="BH760" s="137">
        <f ca="1">(((BJ760+BK760+BM760+BN760)/4)*$BM$11)+(((BP760+BQ760)/2)*$BQ$11)+(((BU760+BV760+BW760)/3)*$BU$11)+(((BY760+BZ760+CA760+CB760+CC760)/5)*$CA$11)</f>
        <v>1.0732318003565064</v>
      </c>
      <c r="BI760" s="4"/>
      <c r="BJ760" s="33">
        <f>AP760/(AM760+AO760)</f>
        <v>0.16666666666666666</v>
      </c>
      <c r="BK760" s="33">
        <f>(AN760+AO760)/(AM760+AO760)</f>
        <v>1</v>
      </c>
      <c r="BL760" s="4"/>
      <c r="BM760" s="127">
        <f>CF760/102</f>
        <v>0.24313725490196078</v>
      </c>
      <c r="BN760" s="127">
        <f>C760/2</f>
        <v>4</v>
      </c>
      <c r="BO760" s="4"/>
      <c r="BP760" s="127">
        <f>(AK760)/($AW$6)</f>
        <v>8.0808080808080815E-2</v>
      </c>
      <c r="BQ760" s="127">
        <f ca="1">(CH760-$AW$4)/((YEAR($C$13))-$AW$4)</f>
        <v>1</v>
      </c>
      <c r="BR760" s="127">
        <f>(AL760)/($AW$6)</f>
        <v>0.88888888888888884</v>
      </c>
      <c r="BS760" s="4"/>
      <c r="BT760" s="127"/>
      <c r="BU760" s="127">
        <f ca="1">(CG760-$AW$4)/((YEAR($C$13))-$AW$4)</f>
        <v>1</v>
      </c>
      <c r="BV760" s="127">
        <f>AE760/5</f>
        <v>1</v>
      </c>
      <c r="BW760" s="127">
        <f>AF760/5</f>
        <v>1</v>
      </c>
      <c r="BX760" s="4"/>
      <c r="BY760" s="148" t="str">
        <f>IF(E760="A",".98",IF(E760="B",".99",IF(E760="C","1.00",IF(E760="D","1.00" ))))</f>
        <v>1.00</v>
      </c>
      <c r="BZ760" s="127">
        <f>(CE760+7)/10</f>
        <v>1</v>
      </c>
      <c r="CA760" s="76" t="str">
        <f>IF(D760="Fern",".97",IF(D760="Grass",".99",IF(D760="Herb",".97",IF(D760="Shrub",".99",IF(D760="Tree","1.00",IF(D760="Vine",".98"))))))</f>
        <v>1.00</v>
      </c>
      <c r="CB760" s="149" t="str">
        <f>IF(R760="Bogs Ponds Streams",".96", IF(R760="Coastal Areas",".97",IF(R760="Meadows Dry Open",".96",IF(R760="Forest &amp; Understory",".97",IF(R760="Moist Open",".98",IF(R760="Moist Shady",".96",IF(R760="Sub-Alpine","1.0")))))))</f>
        <v>.96</v>
      </c>
      <c r="CC760" s="76" t="str">
        <f>IF(S760="Local Endemic",".50",IF(S760="Regional Endemic",".70",IF(S760="Cascadia",".90",IF(S760="Rocky Mountain",".95",IF(S760="North America",".99")))))</f>
        <v>.95</v>
      </c>
      <c r="CD760" s="4"/>
      <c r="CE760" s="21">
        <f>IF(W760&gt;3,3,W760)</f>
        <v>3</v>
      </c>
      <c r="CF760" s="21">
        <f>IF(AC760&gt;102,102,AC760)</f>
        <v>24.8</v>
      </c>
      <c r="CG760" s="34">
        <f ca="1">IF(AI760&lt;$AW$4,$AW$4,AI760)</f>
        <v>2019</v>
      </c>
      <c r="CH760" s="34">
        <f ca="1">IF(AJ760&lt;$AW$4,$AW$4,AJ760)</f>
        <v>2019</v>
      </c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</row>
    <row r="761" spans="1:115" ht="15" customHeight="1" x14ac:dyDescent="0.3">
      <c r="A761" s="235"/>
      <c r="B761" s="218"/>
      <c r="C761" s="225">
        <v>8</v>
      </c>
      <c r="D761" s="59" t="s">
        <v>2507</v>
      </c>
      <c r="E761" s="59" t="s">
        <v>2501</v>
      </c>
      <c r="F761" s="397" t="str">
        <f ca="1">IF(BC761&lt;2025, "Extinct&lt; 6Yrs?",BA761)</f>
        <v>Widespread</v>
      </c>
      <c r="G761" s="363" t="s">
        <v>525</v>
      </c>
      <c r="H761" s="363" t="s">
        <v>689</v>
      </c>
      <c r="I761" s="366" t="s">
        <v>164</v>
      </c>
      <c r="J761" s="365" t="s">
        <v>3941</v>
      </c>
      <c r="K761" s="365" t="s">
        <v>163</v>
      </c>
      <c r="L761" s="10" t="s">
        <v>2484</v>
      </c>
      <c r="M761" s="8" t="s">
        <v>4832</v>
      </c>
      <c r="N761" s="8" t="s">
        <v>5730</v>
      </c>
      <c r="O761" s="8" t="s">
        <v>6629</v>
      </c>
      <c r="P761" s="9" t="s">
        <v>735</v>
      </c>
      <c r="Q761" s="59" t="s">
        <v>2552</v>
      </c>
      <c r="R761" s="9" t="s">
        <v>2500</v>
      </c>
      <c r="S761" s="9" t="s">
        <v>2495</v>
      </c>
      <c r="T761" s="123" t="str">
        <f>IF(R761="Bogs Ponds Streams","20",IF(R761="Coastal Areas","26",IF(R761="Meadows Dry Open","10",IF(R761="Forest &amp; Understory","14",IF(R761="Moist Open","12",IF(R761="Moist Shady","10",IF(R761="Sub-Alpine Slopes","0")))))))</f>
        <v>10</v>
      </c>
      <c r="U761" s="123" t="str">
        <f>IF(R761="Bogs Ponds Streams","52",IF(R761="Coastal Areas","51",IF(R761="Meadows Dry Open","53",IF(R761="Forest &amp; Understory","52",IF(R761="Moist Open","50",IF(R761="Moist Shady","46",IF(R761="Sub-Alpine Slopes","40")))))))</f>
        <v>53</v>
      </c>
      <c r="V761" s="123" t="str">
        <f>IF(R761="Bogs Ponds Streams","84",IF(R761="Coastal Areas","76",IF(R761="Meadows Dry Open","96", IF(R761="Forest &amp; Understory","90", IF(R761="Moist Open","88", IF(R761="Moist Shady","82", IF(R761="Sub-Alpine Slopes","80")))))))</f>
        <v>96</v>
      </c>
      <c r="W761" s="59">
        <v>20</v>
      </c>
      <c r="X761" s="59">
        <v>0</v>
      </c>
      <c r="Y761" s="59">
        <v>3500</v>
      </c>
      <c r="Z761" s="59" t="s">
        <v>2519</v>
      </c>
      <c r="AA761" s="59" t="s">
        <v>2518</v>
      </c>
      <c r="AB761" s="59">
        <v>6.8</v>
      </c>
      <c r="AC761" s="45">
        <f>C761+AK761+(0.1)*AL761</f>
        <v>107.9</v>
      </c>
      <c r="AD761" s="77">
        <v>272</v>
      </c>
      <c r="AE761" s="59">
        <v>5</v>
      </c>
      <c r="AF761" s="59">
        <v>5</v>
      </c>
      <c r="AG761" s="59">
        <v>1900</v>
      </c>
      <c r="AH761" s="77">
        <v>0</v>
      </c>
      <c r="AI761" s="59">
        <f ca="1">AJ761</f>
        <v>2019</v>
      </c>
      <c r="AJ761" s="18">
        <f ca="1">YEAR(TODAY())</f>
        <v>2019</v>
      </c>
      <c r="AK761" s="18">
        <v>99</v>
      </c>
      <c r="AL761" s="18">
        <v>9</v>
      </c>
      <c r="AM761" s="18">
        <v>1</v>
      </c>
      <c r="AN761" s="18">
        <v>1</v>
      </c>
      <c r="AO761" s="24">
        <v>1</v>
      </c>
      <c r="AP761" s="24">
        <v>0</v>
      </c>
      <c r="AQ761" s="18">
        <v>0</v>
      </c>
      <c r="AR761" s="18">
        <v>0</v>
      </c>
      <c r="AS761" s="18">
        <v>0</v>
      </c>
      <c r="AT761" s="18">
        <v>0</v>
      </c>
      <c r="AU761" s="18">
        <v>0</v>
      </c>
      <c r="AV761" s="18">
        <v>0</v>
      </c>
      <c r="AW761" s="18">
        <v>0</v>
      </c>
      <c r="AX761" s="18">
        <v>0</v>
      </c>
      <c r="AY761" s="233"/>
      <c r="AZ761" s="4"/>
      <c r="BA761" s="35" t="str">
        <f>IF(OR(S761="North America",S761="Rocky Mountain"), "Widespread",BC761)</f>
        <v>Widespread</v>
      </c>
      <c r="BB761" s="4"/>
      <c r="BC761" s="35" t="str">
        <f ca="1">IF(BE761&gt;2046, "Abundant",BE761)</f>
        <v>Abundant</v>
      </c>
      <c r="BD761" s="4"/>
      <c r="BE761" s="81">
        <f ca="1">YEAR($C$13)+(BG761*80)</f>
        <v>2122.9839999999999</v>
      </c>
      <c r="BF761" s="4"/>
      <c r="BG761" s="137">
        <f ca="1">BH761*$BH$14</f>
        <v>1.2998000000000001</v>
      </c>
      <c r="BH761" s="137">
        <f ca="1">(((BJ761+BK761+BM761+BN761)/4)*$BM$11)+(((BP761+BQ761)/2)*$BQ$11)+(((BU761+BV761+BW761)/3)*$BU$11)+(((BY761+BZ761+CA761+CB761+CC761)/5)*$CA$11)</f>
        <v>1.2998000000000001</v>
      </c>
      <c r="BI761" s="4"/>
      <c r="BJ761" s="33">
        <f>AP761/(AM761+AO761)</f>
        <v>0</v>
      </c>
      <c r="BK761" s="33">
        <f>(AN761+AO761)/(AM761+AO761)</f>
        <v>1</v>
      </c>
      <c r="BL761" s="4"/>
      <c r="BM761" s="127">
        <f>CF761/102</f>
        <v>1</v>
      </c>
      <c r="BN761" s="127">
        <f>C761/2</f>
        <v>4</v>
      </c>
      <c r="BO761" s="4"/>
      <c r="BP761" s="127">
        <f>(AK761)/($AW$6)</f>
        <v>1</v>
      </c>
      <c r="BQ761" s="127">
        <f ca="1">(CH761-$AW$4)/((YEAR($C$13))-$AW$4)</f>
        <v>1</v>
      </c>
      <c r="BR761" s="127">
        <f>(AL761)/($AW$6)</f>
        <v>9.0909090909090912E-2</v>
      </c>
      <c r="BS761" s="4"/>
      <c r="BT761" s="127"/>
      <c r="BU761" s="127">
        <f ca="1">(CG761-$AW$4)/((YEAR($C$13))-$AW$4)</f>
        <v>1</v>
      </c>
      <c r="BV761" s="127">
        <f>AE761/5</f>
        <v>1</v>
      </c>
      <c r="BW761" s="127">
        <f>AF761/5</f>
        <v>1</v>
      </c>
      <c r="BX761" s="4"/>
      <c r="BY761" s="148" t="str">
        <f>IF(E761="A",".98",IF(E761="B",".99",IF(E761="C","1.00",IF(E761="D","1.00" ))))</f>
        <v>1.00</v>
      </c>
      <c r="BZ761" s="127">
        <f>(CE761+7)/10</f>
        <v>1</v>
      </c>
      <c r="CA761" s="76" t="str">
        <f>IF(D761="Fern",".97",IF(D761="Grass",".99",IF(D761="Herb",".97",IF(D761="Shrub",".99",IF(D761="Tree","1.00",IF(D761="Vine",".98"))))))</f>
        <v>1.00</v>
      </c>
      <c r="CB761" s="149" t="str">
        <f>IF(R761="Bogs Ponds Streams",".96", IF(R761="Coastal Areas",".97",IF(R761="Meadows Dry Open",".96",IF(R761="Forest &amp; Understory",".97",IF(R761="Moist Open",".98",IF(R761="Moist Shady",".96",IF(R761="Sub-Alpine","1.0")))))))</f>
        <v>.96</v>
      </c>
      <c r="CC761" s="76" t="str">
        <f>IF(S761="Local Endemic",".50",IF(S761="Regional Endemic",".70",IF(S761="Cascadia",".90",IF(S761="Rocky Mountain",".95",IF(S761="North America",".99")))))</f>
        <v>.99</v>
      </c>
      <c r="CD761" s="4"/>
      <c r="CE761" s="21">
        <f>IF(W761&gt;3,3,W761)</f>
        <v>3</v>
      </c>
      <c r="CF761" s="21">
        <f>IF(AC761&gt;102,102,AC761)</f>
        <v>102</v>
      </c>
      <c r="CG761" s="34">
        <f ca="1">IF(AI761&lt;$AW$4,$AW$4,AI761)</f>
        <v>2019</v>
      </c>
      <c r="CH761" s="34">
        <f ca="1">IF(AJ761&lt;$AW$4,$AW$4,AJ761)</f>
        <v>2019</v>
      </c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</row>
    <row r="762" spans="1:115" ht="15" customHeight="1" x14ac:dyDescent="0.3">
      <c r="A762" s="235"/>
      <c r="B762" s="218"/>
      <c r="C762" s="375">
        <v>1</v>
      </c>
      <c r="D762" s="68" t="s">
        <v>2505</v>
      </c>
      <c r="E762" s="67" t="s">
        <v>2501</v>
      </c>
      <c r="F762" s="403" t="str">
        <f ca="1">IF(BC762&lt;2025, "Extinct&lt; 6Yrs?",BA762)</f>
        <v>Widespread</v>
      </c>
      <c r="G762" s="376" t="s">
        <v>525</v>
      </c>
      <c r="H762" s="376" t="s">
        <v>4028</v>
      </c>
      <c r="I762" s="377" t="s">
        <v>2319</v>
      </c>
      <c r="J762" s="378" t="s">
        <v>2443</v>
      </c>
      <c r="K762" s="378" t="s">
        <v>2318</v>
      </c>
      <c r="L762" s="63" t="s">
        <v>2444</v>
      </c>
      <c r="M762" s="64" t="s">
        <v>4833</v>
      </c>
      <c r="N762" s="64" t="s">
        <v>5731</v>
      </c>
      <c r="O762" s="64" t="s">
        <v>6630</v>
      </c>
      <c r="P762" s="61" t="s">
        <v>280</v>
      </c>
      <c r="Q762" s="67" t="s">
        <v>2552</v>
      </c>
      <c r="R762" s="163" t="s">
        <v>2497</v>
      </c>
      <c r="S762" s="164" t="s">
        <v>2495</v>
      </c>
      <c r="T762" s="134" t="str">
        <f>IF(R762="Bogs Ponds Streams","20",IF(R762="Coastal Areas","26",IF(R762="Meadows Dry Open","10",IF(R762="Forest &amp; Understory","14",IF(R762="Moist Open","12",IF(R762="Moist Shady","10",IF(R762="Sub-Alpine Slopes","0")))))))</f>
        <v>12</v>
      </c>
      <c r="U762" s="134" t="str">
        <f>IF(R762="Bogs Ponds Streams","52",IF(R762="Coastal Areas","51",IF(R762="Meadows Dry Open","53",IF(R762="Forest &amp; Understory","52",IF(R762="Moist Open","50",IF(R762="Moist Shady","46",IF(R762="Sub-Alpine Slopes","40")))))))</f>
        <v>50</v>
      </c>
      <c r="V762" s="134" t="str">
        <f>IF(R762="Bogs Ponds Streams","84",IF(R762="Coastal Areas","76",IF(R762="Meadows Dry Open","96", IF(R762="Forest &amp; Understory","90", IF(R762="Moist Open","88", IF(R762="Moist Shady","82", IF(R762="Sub-Alpine Slopes","80")))))))</f>
        <v>88</v>
      </c>
      <c r="W762" s="67">
        <v>20</v>
      </c>
      <c r="X762" s="67">
        <v>6</v>
      </c>
      <c r="Y762" s="67">
        <v>8</v>
      </c>
      <c r="Z762" s="67" t="s">
        <v>2519</v>
      </c>
      <c r="AA762" s="67" t="s">
        <v>2518</v>
      </c>
      <c r="AB762" s="67">
        <v>6.8</v>
      </c>
      <c r="AC762" s="85">
        <f>C762+AK762+(0.1)*AL762</f>
        <v>2</v>
      </c>
      <c r="AD762" s="78">
        <v>3</v>
      </c>
      <c r="AE762" s="68">
        <v>2</v>
      </c>
      <c r="AF762" s="68">
        <v>5</v>
      </c>
      <c r="AG762" s="78">
        <v>1983</v>
      </c>
      <c r="AH762" s="78">
        <v>0</v>
      </c>
      <c r="AI762" s="78">
        <v>1986</v>
      </c>
      <c r="AJ762" s="67">
        <v>2005</v>
      </c>
      <c r="AK762" s="67">
        <v>1</v>
      </c>
      <c r="AL762" s="67">
        <v>0</v>
      </c>
      <c r="AM762" s="70">
        <v>5</v>
      </c>
      <c r="AN762" s="70">
        <v>0</v>
      </c>
      <c r="AO762" s="86">
        <v>0</v>
      </c>
      <c r="AP762" s="70">
        <v>0</v>
      </c>
      <c r="AQ762" s="70">
        <v>0</v>
      </c>
      <c r="AR762" s="70">
        <v>0</v>
      </c>
      <c r="AS762" s="86">
        <v>0</v>
      </c>
      <c r="AT762" s="70">
        <v>0</v>
      </c>
      <c r="AU762" s="70">
        <v>0</v>
      </c>
      <c r="AV762" s="70">
        <v>0</v>
      </c>
      <c r="AW762" s="86">
        <v>0</v>
      </c>
      <c r="AX762" s="70">
        <v>0</v>
      </c>
      <c r="AY762" s="233"/>
      <c r="AZ762" s="11"/>
      <c r="BA762" s="35" t="str">
        <f>IF(OR(S762="North America",S762="Rocky Mountain"), "Widespread",BC762)</f>
        <v>Widespread</v>
      </c>
      <c r="BB762" s="11"/>
      <c r="BC762" s="35">
        <f ca="1">IF(BE762&gt;2046, "Abundant",BE762)</f>
        <v>2030.7239729055259</v>
      </c>
      <c r="BD762" s="11"/>
      <c r="BE762" s="81">
        <f ca="1">YEAR($C$13)+(BG762*80)</f>
        <v>2030.7239729055259</v>
      </c>
      <c r="BF762" s="11"/>
      <c r="BG762" s="137">
        <f ca="1">BH762*$BH$14</f>
        <v>0.1465496613190731</v>
      </c>
      <c r="BH762" s="137">
        <f ca="1">(((BJ762+BK762+BM762+BN762)/4)*$BM$11)+(((BP762+BQ762)/2)*$BQ$11)+(((BU762+BV762+BW762)/3)*$BU$11)+(((BY762+BZ762+CA762+CB762+CC762)/5)*$CA$11)</f>
        <v>0.1465496613190731</v>
      </c>
      <c r="BI762" s="11"/>
      <c r="BJ762" s="33">
        <f>AP762/(AM762+AO762)</f>
        <v>0</v>
      </c>
      <c r="BK762" s="33">
        <f>(AN762+AO762)/(AM762+AO762)</f>
        <v>0</v>
      </c>
      <c r="BL762" s="11"/>
      <c r="BM762" s="127">
        <f>CF762/102</f>
        <v>1.9607843137254902E-2</v>
      </c>
      <c r="BN762" s="127">
        <f>C762/2</f>
        <v>0.5</v>
      </c>
      <c r="BO762" s="11"/>
      <c r="BP762" s="127">
        <f>(AK762)/($AW$6)</f>
        <v>1.0101010101010102E-2</v>
      </c>
      <c r="BQ762" s="127">
        <f ca="1">(CH762-$AW$4)/((YEAR($C$13))-$AW$4)</f>
        <v>6.6666666666666666E-2</v>
      </c>
      <c r="BR762" s="127">
        <f>(AL762)/($AW$6)</f>
        <v>0</v>
      </c>
      <c r="BS762" s="11"/>
      <c r="BT762" s="127"/>
      <c r="BU762" s="127">
        <f ca="1">(CG762-$AW$4)/((YEAR($C$13))-$AW$4)</f>
        <v>0</v>
      </c>
      <c r="BV762" s="127">
        <f>AE762/5</f>
        <v>0.4</v>
      </c>
      <c r="BW762" s="127">
        <f>AF762/5</f>
        <v>1</v>
      </c>
      <c r="BX762" s="11"/>
      <c r="BY762" s="148" t="str">
        <f>IF(E762="A",".98",IF(E762="B",".99",IF(E762="C","1.00",IF(E762="D","1.00" ))))</f>
        <v>1.00</v>
      </c>
      <c r="BZ762" s="127">
        <f>(CE762+7)/10</f>
        <v>1</v>
      </c>
      <c r="CA762" s="76" t="str">
        <f>IF(D762="Fern",".97",IF(D762="Grass",".99",IF(D762="Herb",".97",IF(D762="Shrub",".99",IF(D762="Tree","1.00",IF(D762="Vine",".98"))))))</f>
        <v>.97</v>
      </c>
      <c r="CB762" s="149" t="str">
        <f>IF(R762="Bogs Ponds Streams",".96", IF(R762="Coastal Areas",".97",IF(R762="Meadows Dry Open",".96",IF(R762="Forest &amp; Understory",".97",IF(R762="Moist Open",".98",IF(R762="Moist Shady",".96",IF(R762="Sub-Alpine","1.0")))))))</f>
        <v>.98</v>
      </c>
      <c r="CC762" s="76" t="str">
        <f>IF(S762="Local Endemic",".50",IF(S762="Regional Endemic",".70",IF(S762="Cascadia",".90",IF(S762="Rocky Mountain",".95",IF(S762="North America",".99")))))</f>
        <v>.99</v>
      </c>
      <c r="CD762" s="11"/>
      <c r="CE762" s="21">
        <f>IF(W762&gt;3,3,W762)</f>
        <v>3</v>
      </c>
      <c r="CF762" s="21">
        <f>IF(AC762&gt;102,102,AC762)</f>
        <v>2</v>
      </c>
      <c r="CG762" s="34">
        <f>IF(AI762&lt;$AW$4,$AW$4,AI762)</f>
        <v>2004</v>
      </c>
      <c r="CH762" s="34">
        <f>IF(AJ762&lt;$AW$4,$AW$4,AJ762)</f>
        <v>2005</v>
      </c>
      <c r="CI762" s="11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11"/>
      <c r="DC762" s="11"/>
      <c r="DD762" s="11"/>
      <c r="DE762" s="11"/>
      <c r="DF762" s="11"/>
      <c r="DG762" s="11"/>
      <c r="DH762" s="11"/>
      <c r="DI762" s="11"/>
      <c r="DJ762" s="11"/>
    </row>
    <row r="763" spans="1:115" ht="15" customHeight="1" x14ac:dyDescent="0.3">
      <c r="A763" s="235"/>
      <c r="B763" s="218"/>
      <c r="C763" s="226">
        <v>2</v>
      </c>
      <c r="D763" s="104" t="s">
        <v>2505</v>
      </c>
      <c r="E763" s="104" t="s">
        <v>2501</v>
      </c>
      <c r="F763" s="400" t="str">
        <f ca="1">IF(BC763&lt;2025, "Extinct&lt; 6Yrs?",BA763)</f>
        <v>Abundant</v>
      </c>
      <c r="G763" s="369" t="s">
        <v>525</v>
      </c>
      <c r="H763" s="369" t="s">
        <v>4028</v>
      </c>
      <c r="I763" s="371" t="s">
        <v>3131</v>
      </c>
      <c r="J763" s="371" t="s">
        <v>3701</v>
      </c>
      <c r="K763" s="371" t="s">
        <v>1317</v>
      </c>
      <c r="L763" s="114" t="s">
        <v>2264</v>
      </c>
      <c r="M763" s="111" t="s">
        <v>4834</v>
      </c>
      <c r="N763" s="111" t="s">
        <v>5732</v>
      </c>
      <c r="O763" s="111" t="s">
        <v>6631</v>
      </c>
      <c r="P763" s="105" t="s">
        <v>303</v>
      </c>
      <c r="Q763" s="104" t="s">
        <v>2552</v>
      </c>
      <c r="R763" s="105" t="s">
        <v>2500</v>
      </c>
      <c r="S763" s="162" t="s">
        <v>2309</v>
      </c>
      <c r="T763" s="133" t="str">
        <f>IF(R763="Bogs Ponds Streams","20",IF(R763="Coastal Areas","26",IF(R763="Meadows Dry Open","10",IF(R763="Forest &amp; Understory","14",IF(R763="Moist Open","12",IF(R763="Moist Shady","10",IF(R763="Sub-Alpine Slopes","0")))))))</f>
        <v>10</v>
      </c>
      <c r="U763" s="133" t="str">
        <f>IF(R763="Bogs Ponds Streams","52",IF(R763="Coastal Areas","51",IF(R763="Meadows Dry Open","53",IF(R763="Forest &amp; Understory","52",IF(R763="Moist Open","50",IF(R763="Moist Shady","46",IF(R763="Sub-Alpine Slopes","40")))))))</f>
        <v>53</v>
      </c>
      <c r="V763" s="133" t="str">
        <f>IF(R763="Bogs Ponds Streams","84",IF(R763="Coastal Areas","76",IF(R763="Meadows Dry Open","96", IF(R763="Forest &amp; Understory","90", IF(R763="Moist Open","88", IF(R763="Moist Shady","82", IF(R763="Sub-Alpine Slopes","80")))))))</f>
        <v>96</v>
      </c>
      <c r="W763" s="104">
        <v>20</v>
      </c>
      <c r="X763" s="104">
        <v>0</v>
      </c>
      <c r="Y763" s="104">
        <v>3500</v>
      </c>
      <c r="Z763" s="104" t="s">
        <v>2519</v>
      </c>
      <c r="AA763" s="104" t="s">
        <v>2518</v>
      </c>
      <c r="AB763" s="104">
        <v>6.8</v>
      </c>
      <c r="AC763" s="107">
        <f>C763+AK763+(0.1)*AL763</f>
        <v>3</v>
      </c>
      <c r="AD763" s="113">
        <v>6</v>
      </c>
      <c r="AE763" s="112">
        <v>2</v>
      </c>
      <c r="AF763" s="112">
        <v>3</v>
      </c>
      <c r="AG763" s="113">
        <v>1925</v>
      </c>
      <c r="AH763" s="113">
        <v>0</v>
      </c>
      <c r="AI763" s="113">
        <v>2000</v>
      </c>
      <c r="AJ763" s="108">
        <v>2018</v>
      </c>
      <c r="AK763" s="108">
        <v>1</v>
      </c>
      <c r="AL763" s="108">
        <v>0</v>
      </c>
      <c r="AM763" s="109">
        <v>5</v>
      </c>
      <c r="AN763" s="109">
        <v>5</v>
      </c>
      <c r="AO763" s="109">
        <v>14</v>
      </c>
      <c r="AP763" s="109">
        <v>19</v>
      </c>
      <c r="AQ763" s="109">
        <v>0</v>
      </c>
      <c r="AR763" s="109">
        <v>0</v>
      </c>
      <c r="AS763" s="110">
        <v>0</v>
      </c>
      <c r="AT763" s="109">
        <v>0</v>
      </c>
      <c r="AU763" s="109">
        <v>0</v>
      </c>
      <c r="AV763" s="109">
        <v>0</v>
      </c>
      <c r="AW763" s="110">
        <v>0</v>
      </c>
      <c r="AX763" s="109">
        <v>0</v>
      </c>
      <c r="AY763" s="233"/>
      <c r="AZ763" s="4"/>
      <c r="BA763" s="35" t="str">
        <f ca="1">IF(OR(S763="North America",S763="Rocky Mountain"), "Widespread",BC763)</f>
        <v>Abundant</v>
      </c>
      <c r="BB763" s="4"/>
      <c r="BC763" s="35" t="str">
        <f ca="1">IF(BE763&gt;2046, "Abundant",BE763)</f>
        <v>Abundant</v>
      </c>
      <c r="BD763" s="4"/>
      <c r="BE763" s="81">
        <f ca="1">YEAR($C$13)+(BG763*80)</f>
        <v>2070.2890866310158</v>
      </c>
      <c r="BF763" s="4"/>
      <c r="BG763" s="137">
        <f ca="1">BH763*$BH$14</f>
        <v>0.64111358288770037</v>
      </c>
      <c r="BH763" s="137">
        <f ca="1">(((BJ763+BK763+BM763+BN763)/4)*$BM$11)+(((BP763+BQ763)/2)*$BQ$11)+(((BU763+BV763+BW763)/3)*$BU$11)+(((BY763+BZ763+CA763+CB763+CC763)/5)*$CA$11)</f>
        <v>0.64111358288770037</v>
      </c>
      <c r="BI763" s="4"/>
      <c r="BJ763" s="33">
        <f>AP763/(AM763+AO763)</f>
        <v>1</v>
      </c>
      <c r="BK763" s="33">
        <f>(AN763+AO763)/(AM763+AO763)</f>
        <v>1</v>
      </c>
      <c r="BL763" s="4"/>
      <c r="BM763" s="127">
        <f>CF763/102</f>
        <v>2.9411764705882353E-2</v>
      </c>
      <c r="BN763" s="127">
        <f>C763/2</f>
        <v>1</v>
      </c>
      <c r="BO763" s="4"/>
      <c r="BP763" s="127">
        <f>(AK763)/($AW$6)</f>
        <v>1.0101010101010102E-2</v>
      </c>
      <c r="BQ763" s="127">
        <f ca="1">(CH763-$AW$4)/((YEAR($C$13))-$AW$4)</f>
        <v>0.93333333333333335</v>
      </c>
      <c r="BR763" s="127">
        <f>(AL763)/($AW$6)</f>
        <v>0</v>
      </c>
      <c r="BS763" s="4"/>
      <c r="BT763" s="127"/>
      <c r="BU763" s="127">
        <f ca="1">(CG763-$AW$4)/((YEAR($C$13))-$AW$4)</f>
        <v>0</v>
      </c>
      <c r="BV763" s="127">
        <f>AE763/5</f>
        <v>0.4</v>
      </c>
      <c r="BW763" s="127">
        <f>AF763/5</f>
        <v>0.6</v>
      </c>
      <c r="BX763" s="4"/>
      <c r="BY763" s="148" t="str">
        <f>IF(E763="A",".98",IF(E763="B",".99",IF(E763="C","1.00",IF(E763="D","1.00" ))))</f>
        <v>1.00</v>
      </c>
      <c r="BZ763" s="127">
        <f>(CE763+7)/10</f>
        <v>1</v>
      </c>
      <c r="CA763" s="76" t="str">
        <f>IF(D763="Fern",".97",IF(D763="Grass",".99",IF(D763="Herb",".97",IF(D763="Shrub",".99",IF(D763="Tree","1.00",IF(D763="Vine",".98"))))))</f>
        <v>.97</v>
      </c>
      <c r="CB763" s="149" t="str">
        <f>IF(R763="Bogs Ponds Streams",".96", IF(R763="Coastal Areas",".97",IF(R763="Meadows Dry Open",".96",IF(R763="Forest &amp; Understory",".97",IF(R763="Moist Open",".98",IF(R763="Moist Shady",".96",IF(R763="Sub-Alpine","1.0")))))))</f>
        <v>.96</v>
      </c>
      <c r="CC763" s="76" t="str">
        <f>IF(S763="Local Endemic",".50",IF(S763="Regional Endemic",".70",IF(S763="Cascadia",".90",IF(S763="Rocky Mountain",".95",IF(S763="North America",".99")))))</f>
        <v>.70</v>
      </c>
      <c r="CD763" s="4"/>
      <c r="CE763" s="21">
        <f>IF(W763&gt;3,3,W763)</f>
        <v>3</v>
      </c>
      <c r="CF763" s="21">
        <f>IF(AC763&gt;102,102,AC763)</f>
        <v>3</v>
      </c>
      <c r="CG763" s="34">
        <f>IF(AI763&lt;$AW$4,$AW$4,AI763)</f>
        <v>2004</v>
      </c>
      <c r="CH763" s="34">
        <f>IF(AJ763&lt;$AW$4,$AW$4,AJ763)</f>
        <v>2018</v>
      </c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</row>
    <row r="764" spans="1:115" ht="15" customHeight="1" x14ac:dyDescent="0.3">
      <c r="A764" s="235"/>
      <c r="B764" s="218"/>
      <c r="C764" s="226">
        <v>2</v>
      </c>
      <c r="D764" s="104" t="s">
        <v>2505</v>
      </c>
      <c r="E764" s="104" t="s">
        <v>2501</v>
      </c>
      <c r="F764" s="400" t="str">
        <f ca="1">IF(BC764&lt;2025, "Extinct&lt; 6Yrs?",BA764)</f>
        <v>Abundant</v>
      </c>
      <c r="G764" s="369" t="s">
        <v>525</v>
      </c>
      <c r="H764" s="369" t="s">
        <v>4028</v>
      </c>
      <c r="I764" s="370" t="s">
        <v>325</v>
      </c>
      <c r="J764" s="371" t="s">
        <v>3700</v>
      </c>
      <c r="K764" s="371" t="s">
        <v>816</v>
      </c>
      <c r="L764" s="106" t="s">
        <v>2265</v>
      </c>
      <c r="M764" s="111" t="s">
        <v>4835</v>
      </c>
      <c r="N764" s="111" t="s">
        <v>5733</v>
      </c>
      <c r="O764" s="111" t="s">
        <v>6632</v>
      </c>
      <c r="P764" s="105" t="s">
        <v>303</v>
      </c>
      <c r="Q764" s="104" t="s">
        <v>2552</v>
      </c>
      <c r="R764" s="105" t="s">
        <v>2500</v>
      </c>
      <c r="S764" s="114" t="s">
        <v>2459</v>
      </c>
      <c r="T764" s="133" t="str">
        <f>IF(R764="Bogs Ponds Streams","20",IF(R764="Coastal Areas","26",IF(R764="Meadows Dry Open","10",IF(R764="Forest &amp; Understory","14",IF(R764="Moist Open","12",IF(R764="Moist Shady","10",IF(R764="Sub-Alpine Slopes","0")))))))</f>
        <v>10</v>
      </c>
      <c r="U764" s="133" t="str">
        <f>IF(R764="Bogs Ponds Streams","52",IF(R764="Coastal Areas","51",IF(R764="Meadows Dry Open","53",IF(R764="Forest &amp; Understory","52",IF(R764="Moist Open","50",IF(R764="Moist Shady","46",IF(R764="Sub-Alpine Slopes","40")))))))</f>
        <v>53</v>
      </c>
      <c r="V764" s="133" t="str">
        <f>IF(R764="Bogs Ponds Streams","84",IF(R764="Coastal Areas","76",IF(R764="Meadows Dry Open","96", IF(R764="Forest &amp; Understory","90", IF(R764="Moist Open","88", IF(R764="Moist Shady","82", IF(R764="Sub-Alpine Slopes","80")))))))</f>
        <v>96</v>
      </c>
      <c r="W764" s="104">
        <v>20</v>
      </c>
      <c r="X764" s="104">
        <v>0</v>
      </c>
      <c r="Y764" s="104">
        <v>3500</v>
      </c>
      <c r="Z764" s="104" t="s">
        <v>2519</v>
      </c>
      <c r="AA764" s="104" t="s">
        <v>2518</v>
      </c>
      <c r="AB764" s="104">
        <v>6.8</v>
      </c>
      <c r="AC764" s="107">
        <f>C763+AK764+(0.1)*AL764</f>
        <v>6</v>
      </c>
      <c r="AD764" s="113">
        <v>30</v>
      </c>
      <c r="AE764" s="104">
        <v>5</v>
      </c>
      <c r="AF764" s="104">
        <v>5</v>
      </c>
      <c r="AG764" s="104">
        <v>1900</v>
      </c>
      <c r="AH764" s="113">
        <v>0</v>
      </c>
      <c r="AI764" s="104">
        <f>AJ764</f>
        <v>2018</v>
      </c>
      <c r="AJ764" s="108">
        <v>2018</v>
      </c>
      <c r="AK764" s="108">
        <v>4</v>
      </c>
      <c r="AL764" s="108">
        <v>0</v>
      </c>
      <c r="AM764" s="109">
        <v>5</v>
      </c>
      <c r="AN764" s="109">
        <v>1</v>
      </c>
      <c r="AO764" s="110">
        <v>0</v>
      </c>
      <c r="AP764" s="109">
        <v>1</v>
      </c>
      <c r="AQ764" s="109">
        <v>0</v>
      </c>
      <c r="AR764" s="109">
        <v>0</v>
      </c>
      <c r="AS764" s="110">
        <v>0</v>
      </c>
      <c r="AT764" s="109">
        <v>0</v>
      </c>
      <c r="AU764" s="109">
        <v>0</v>
      </c>
      <c r="AV764" s="109">
        <v>0</v>
      </c>
      <c r="AW764" s="110">
        <v>0</v>
      </c>
      <c r="AX764" s="109">
        <v>0</v>
      </c>
      <c r="AY764" s="233"/>
      <c r="AZ764" s="4"/>
      <c r="BA764" s="35" t="str">
        <f ca="1">IF(OR(S764="North America",S764="Rocky Mountain"), "Widespread",BC764)</f>
        <v>Abundant</v>
      </c>
      <c r="BB764" s="4"/>
      <c r="BC764" s="35" t="str">
        <f ca="1">IF(BE764&gt;2046, "Abundant",BE764)</f>
        <v>Abundant</v>
      </c>
      <c r="BD764" s="4"/>
      <c r="BE764" s="81">
        <f ca="1">YEAR($C$13)+(BG764*80)</f>
        <v>2055.9941086155673</v>
      </c>
      <c r="BF764" s="4"/>
      <c r="BG764" s="137">
        <f ca="1">BH764*$BH$14</f>
        <v>0.462426357694593</v>
      </c>
      <c r="BH764" s="137">
        <f ca="1">(((BJ764+BK764+BM764+BN764)/4)*$BM$11)+(((BP764+BQ764)/2)*$BQ$11)+(((BU764+BV764+BW764)/3)*$BU$11)+(((BY764+BZ764+CA764+CB764+CC764)/5)*$CA$11)</f>
        <v>0.462426357694593</v>
      </c>
      <c r="BI764" s="4"/>
      <c r="BJ764" s="33">
        <f>AP764/(AM764+AO764)</f>
        <v>0.2</v>
      </c>
      <c r="BK764" s="33">
        <f>(AN764+AO764)/(AM764+AO764)</f>
        <v>0.2</v>
      </c>
      <c r="BL764" s="4"/>
      <c r="BM764" s="127">
        <f>CF764/102</f>
        <v>5.8823529411764705E-2</v>
      </c>
      <c r="BN764" s="127">
        <f>C763/2</f>
        <v>1</v>
      </c>
      <c r="BO764" s="4"/>
      <c r="BP764" s="127">
        <f>(AK764)/($AW$6)</f>
        <v>4.0404040404040407E-2</v>
      </c>
      <c r="BQ764" s="127">
        <f ca="1">(CH764-$AW$4)/((YEAR($C$13))-$AW$4)</f>
        <v>0.93333333333333335</v>
      </c>
      <c r="BR764" s="127">
        <f>(AL764)/($AW$6)</f>
        <v>0</v>
      </c>
      <c r="BS764" s="4"/>
      <c r="BT764" s="127"/>
      <c r="BU764" s="127">
        <f ca="1">(CG764-$AW$4)/((YEAR($C$13))-$AW$4)</f>
        <v>0.93333333333333335</v>
      </c>
      <c r="BV764" s="127">
        <f>AE764/5</f>
        <v>1</v>
      </c>
      <c r="BW764" s="127">
        <f>AF764/5</f>
        <v>1</v>
      </c>
      <c r="BX764" s="4"/>
      <c r="BY764" s="148" t="str">
        <f>IF(E764="A",".98",IF(E764="B",".99",IF(E764="C","1.00",IF(E764="D","1.00" ))))</f>
        <v>1.00</v>
      </c>
      <c r="BZ764" s="127">
        <f>(CE764+7)/10</f>
        <v>1</v>
      </c>
      <c r="CA764" s="76" t="str">
        <f>IF(D764="Fern",".97",IF(D764="Grass",".99",IF(D764="Herb",".97",IF(D764="Shrub",".99",IF(D764="Tree","1.00",IF(D764="Vine",".98"))))))</f>
        <v>.97</v>
      </c>
      <c r="CB764" s="149" t="str">
        <f>IF(R764="Bogs Ponds Streams",".96", IF(R764="Coastal Areas",".97",IF(R764="Meadows Dry Open",".96",IF(R764="Forest &amp; Understory",".97",IF(R764="Moist Open",".98",IF(R764="Moist Shady",".96",IF(R764="Sub-Alpine","1.0")))))))</f>
        <v>.96</v>
      </c>
      <c r="CC764" s="76" t="str">
        <f>IF(S764="Local Endemic",".50",IF(S764="Regional Endemic",".70",IF(S764="Cascadia",".90",IF(S764="Rocky Mountain",".95",IF(S764="North America",".99")))))</f>
        <v>.90</v>
      </c>
      <c r="CD764" s="4"/>
      <c r="CE764" s="21">
        <f>IF(W764&gt;3,3,W764)</f>
        <v>3</v>
      </c>
      <c r="CF764" s="21">
        <f>IF(AC764&gt;102,102,AC764)</f>
        <v>6</v>
      </c>
      <c r="CG764" s="34">
        <f>IF(AI764&lt;$AW$4,$AW$4,AI764)</f>
        <v>2018</v>
      </c>
      <c r="CH764" s="34">
        <f>IF(AJ764&lt;$AW$4,$AW$4,AJ764)</f>
        <v>2018</v>
      </c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</row>
    <row r="765" spans="1:115" ht="15" customHeight="1" x14ac:dyDescent="0.3">
      <c r="A765" s="235"/>
      <c r="B765" s="218"/>
      <c r="C765" s="375">
        <v>1</v>
      </c>
      <c r="D765" s="67" t="s">
        <v>2505</v>
      </c>
      <c r="E765" s="67" t="s">
        <v>2501</v>
      </c>
      <c r="F765" s="403">
        <f ca="1">IF(BC765&lt;2025, "Extinct&lt; 6Yrs?",BA765)</f>
        <v>2029.9398245989305</v>
      </c>
      <c r="G765" s="376" t="s">
        <v>525</v>
      </c>
      <c r="H765" s="376" t="s">
        <v>4028</v>
      </c>
      <c r="I765" s="380" t="s">
        <v>42</v>
      </c>
      <c r="J765" s="378" t="s">
        <v>3513</v>
      </c>
      <c r="K765" s="378" t="s">
        <v>11</v>
      </c>
      <c r="L765" s="63" t="s">
        <v>4032</v>
      </c>
      <c r="M765" s="64" t="s">
        <v>4836</v>
      </c>
      <c r="N765" s="64" t="s">
        <v>5734</v>
      </c>
      <c r="O765" s="64" t="s">
        <v>6633</v>
      </c>
      <c r="P765" s="61" t="s">
        <v>558</v>
      </c>
      <c r="Q765" s="67" t="s">
        <v>2552</v>
      </c>
      <c r="R765" s="66" t="s">
        <v>2500</v>
      </c>
      <c r="S765" s="61" t="s">
        <v>2459</v>
      </c>
      <c r="T765" s="134" t="str">
        <f>IF(R765="Bogs Ponds Streams","20",IF(R765="Coastal Areas","26",IF(R765="Meadows Dry Open","10",IF(R765="Forest &amp; Understory","14",IF(R765="Moist Open","12",IF(R765="Moist Shady","10",IF(R765="Sub-Alpine Slopes","0")))))))</f>
        <v>10</v>
      </c>
      <c r="U765" s="134" t="str">
        <f>IF(R765="Bogs Ponds Streams","52",IF(R765="Coastal Areas","51",IF(R765="Meadows Dry Open","53",IF(R765="Forest &amp; Understory","52",IF(R765="Moist Open","50",IF(R765="Moist Shady","46",IF(R765="Sub-Alpine Slopes","40")))))))</f>
        <v>53</v>
      </c>
      <c r="V765" s="134" t="str">
        <f>IF(R765="Bogs Ponds Streams","84",IF(R765="Coastal Areas","76",IF(R765="Meadows Dry Open","96", IF(R765="Forest &amp; Understory","90", IF(R765="Moist Open","88", IF(R765="Moist Shady","82", IF(R765="Sub-Alpine Slopes","80")))))))</f>
        <v>96</v>
      </c>
      <c r="W765" s="67">
        <v>20</v>
      </c>
      <c r="X765" s="67">
        <v>0</v>
      </c>
      <c r="Y765" s="67">
        <v>3500</v>
      </c>
      <c r="Z765" s="67" t="s">
        <v>2519</v>
      </c>
      <c r="AA765" s="67" t="s">
        <v>2518</v>
      </c>
      <c r="AB765" s="67">
        <v>6.8</v>
      </c>
      <c r="AC765" s="85">
        <f>C765+AK765+(0.1)*AL765</f>
        <v>4</v>
      </c>
      <c r="AD765" s="78">
        <v>16</v>
      </c>
      <c r="AE765" s="68">
        <v>1</v>
      </c>
      <c r="AF765" s="68">
        <v>5</v>
      </c>
      <c r="AG765" s="78">
        <v>1925</v>
      </c>
      <c r="AH765" s="78">
        <v>0</v>
      </c>
      <c r="AI765" s="78">
        <v>2000</v>
      </c>
      <c r="AJ765" s="69">
        <v>2004</v>
      </c>
      <c r="AK765" s="69">
        <v>3</v>
      </c>
      <c r="AL765" s="69">
        <v>0</v>
      </c>
      <c r="AM765" s="70">
        <v>5</v>
      </c>
      <c r="AN765" s="70">
        <v>0</v>
      </c>
      <c r="AO765" s="86">
        <v>0</v>
      </c>
      <c r="AP765" s="70">
        <v>0</v>
      </c>
      <c r="AQ765" s="70">
        <v>0</v>
      </c>
      <c r="AR765" s="70">
        <v>0</v>
      </c>
      <c r="AS765" s="86">
        <v>0</v>
      </c>
      <c r="AT765" s="70">
        <v>0</v>
      </c>
      <c r="AU765" s="70">
        <v>0</v>
      </c>
      <c r="AV765" s="70">
        <v>0</v>
      </c>
      <c r="AW765" s="86">
        <v>0</v>
      </c>
      <c r="AX765" s="70">
        <v>0</v>
      </c>
      <c r="AY765" s="233"/>
      <c r="AZ765" s="4"/>
      <c r="BA765" s="35">
        <f ca="1">IF(OR(S765="North America",S765="Rocky Mountain"), "Widespread",BC765)</f>
        <v>2029.9398245989305</v>
      </c>
      <c r="BB765" s="4"/>
      <c r="BC765" s="35">
        <f ca="1">IF(BE765&gt;2046, "Abundant",BE765)</f>
        <v>2029.9398245989305</v>
      </c>
      <c r="BD765" s="4"/>
      <c r="BE765" s="81">
        <f ca="1">YEAR($C$13)+(BG765*80)</f>
        <v>2029.9398245989305</v>
      </c>
      <c r="BF765" s="4"/>
      <c r="BG765" s="137">
        <f ca="1">BH765*$BH$14</f>
        <v>0.13674780748663101</v>
      </c>
      <c r="BH765" s="137">
        <f ca="1">(((BJ765+BK765+BM765+BN765)/4)*$BM$11)+(((BP765+BQ765)/2)*$BQ$11)+(((BU765+BV765+BW765)/3)*$BU$11)+(((BY765+BZ765+CA765+CB765+CC765)/5)*$CA$11)</f>
        <v>0.13674780748663101</v>
      </c>
      <c r="BI765" s="4"/>
      <c r="BJ765" s="33">
        <f>AP765/(AM765+AO765)</f>
        <v>0</v>
      </c>
      <c r="BK765" s="33">
        <f>(AN765+AO765)/(AM765+AO765)</f>
        <v>0</v>
      </c>
      <c r="BL765" s="4"/>
      <c r="BM765" s="127">
        <f>CF765/102</f>
        <v>3.9215686274509803E-2</v>
      </c>
      <c r="BN765" s="127">
        <f>C765/2</f>
        <v>0.5</v>
      </c>
      <c r="BO765" s="4"/>
      <c r="BP765" s="127">
        <f>(AK765)/($AW$6)</f>
        <v>3.0303030303030304E-2</v>
      </c>
      <c r="BQ765" s="127">
        <f ca="1">(CH765-$AW$4)/((YEAR($C$13))-$AW$4)</f>
        <v>0</v>
      </c>
      <c r="BR765" s="127">
        <f>(AL765)/($AW$6)</f>
        <v>0</v>
      </c>
      <c r="BS765" s="4"/>
      <c r="BT765" s="127"/>
      <c r="BU765" s="127">
        <f ca="1">(CG765-$AW$4)/((YEAR($C$13))-$AW$4)</f>
        <v>0</v>
      </c>
      <c r="BV765" s="127">
        <f>AE765/5</f>
        <v>0.2</v>
      </c>
      <c r="BW765" s="127">
        <f>AF765/5</f>
        <v>1</v>
      </c>
      <c r="BX765" s="4"/>
      <c r="BY765" s="148" t="str">
        <f>IF(E765="A",".98",IF(E765="B",".99",IF(E765="C","1.00",IF(E765="D","1.00" ))))</f>
        <v>1.00</v>
      </c>
      <c r="BZ765" s="127">
        <f>(CE765+7)/10</f>
        <v>1</v>
      </c>
      <c r="CA765" s="76" t="str">
        <f>IF(D765="Fern",".97",IF(D765="Grass",".99",IF(D765="Herb",".97",IF(D765="Shrub",".99",IF(D765="Tree","1.00",IF(D765="Vine",".98"))))))</f>
        <v>.97</v>
      </c>
      <c r="CB765" s="149" t="str">
        <f>IF(R765="Bogs Ponds Streams",".96", IF(R765="Coastal Areas",".97",IF(R765="Meadows Dry Open",".96",IF(R765="Forest &amp; Understory",".97",IF(R765="Moist Open",".98",IF(R765="Moist Shady",".96",IF(R765="Sub-Alpine","1.0")))))))</f>
        <v>.96</v>
      </c>
      <c r="CC765" s="76" t="str">
        <f>IF(S765="Local Endemic",".50",IF(S765="Regional Endemic",".70",IF(S765="Cascadia",".90",IF(S765="Rocky Mountain",".95",IF(S765="North America",".99")))))</f>
        <v>.90</v>
      </c>
      <c r="CD765" s="4"/>
      <c r="CE765" s="21">
        <f>IF(W765&gt;3,3,W765)</f>
        <v>3</v>
      </c>
      <c r="CF765" s="21">
        <f>IF(AC765&gt;102,102,AC765)</f>
        <v>4</v>
      </c>
      <c r="CG765" s="34">
        <f>IF(AI765&lt;$AW$4,$AW$4,AI765)</f>
        <v>2004</v>
      </c>
      <c r="CH765" s="34">
        <f>IF(AJ765&lt;$AW$4,$AW$4,AJ765)</f>
        <v>2004</v>
      </c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</row>
    <row r="766" spans="1:115" ht="15" customHeight="1" x14ac:dyDescent="0.3">
      <c r="A766" s="235"/>
      <c r="B766" s="218"/>
      <c r="C766" s="225">
        <v>8</v>
      </c>
      <c r="D766" s="59" t="s">
        <v>2505</v>
      </c>
      <c r="E766" s="59" t="s">
        <v>2501</v>
      </c>
      <c r="F766" s="397" t="str">
        <f ca="1">IF(BC766&lt;2025, "Extinct&lt; 6Yrs?",BA766)</f>
        <v>Abundant</v>
      </c>
      <c r="G766" s="363" t="s">
        <v>525</v>
      </c>
      <c r="H766" s="363" t="s">
        <v>680</v>
      </c>
      <c r="I766" s="366" t="s">
        <v>43</v>
      </c>
      <c r="J766" s="365" t="s">
        <v>3940</v>
      </c>
      <c r="K766" s="365" t="s">
        <v>817</v>
      </c>
      <c r="L766" s="10" t="s">
        <v>2266</v>
      </c>
      <c r="M766" s="8" t="s">
        <v>4837</v>
      </c>
      <c r="N766" s="8" t="s">
        <v>5735</v>
      </c>
      <c r="O766" s="8" t="s">
        <v>6634</v>
      </c>
      <c r="P766" s="9" t="s">
        <v>558</v>
      </c>
      <c r="Q766" s="59" t="s">
        <v>2552</v>
      </c>
      <c r="R766" s="9" t="s">
        <v>2500</v>
      </c>
      <c r="S766" s="9" t="s">
        <v>2459</v>
      </c>
      <c r="T766" s="123" t="str">
        <f>IF(R766="Bogs Ponds Streams","20",IF(R766="Coastal Areas","26",IF(R766="Meadows Dry Open","10",IF(R766="Forest &amp; Understory","14",IF(R766="Moist Open","12",IF(R766="Moist Shady","10",IF(R766="Sub-Alpine Slopes","0")))))))</f>
        <v>10</v>
      </c>
      <c r="U766" s="123" t="str">
        <f>IF(R766="Bogs Ponds Streams","52",IF(R766="Coastal Areas","51",IF(R766="Meadows Dry Open","53",IF(R766="Forest &amp; Understory","52",IF(R766="Moist Open","50",IF(R766="Moist Shady","46",IF(R766="Sub-Alpine Slopes","40")))))))</f>
        <v>53</v>
      </c>
      <c r="V766" s="123" t="str">
        <f>IF(R766="Bogs Ponds Streams","84",IF(R766="Coastal Areas","76",IF(R766="Meadows Dry Open","96", IF(R766="Forest &amp; Understory","90", IF(R766="Moist Open","88", IF(R766="Moist Shady","82", IF(R766="Sub-Alpine Slopes","80")))))))</f>
        <v>96</v>
      </c>
      <c r="W766" s="59">
        <v>20</v>
      </c>
      <c r="X766" s="59">
        <v>0</v>
      </c>
      <c r="Y766" s="59">
        <v>3500</v>
      </c>
      <c r="Z766" s="59" t="s">
        <v>2519</v>
      </c>
      <c r="AA766" s="59" t="s">
        <v>2518</v>
      </c>
      <c r="AB766" s="59">
        <v>6.8</v>
      </c>
      <c r="AC766" s="45">
        <f>C766+AK766+(0.1)*AL766</f>
        <v>14.2</v>
      </c>
      <c r="AD766" s="77">
        <v>34</v>
      </c>
      <c r="AE766" s="59">
        <v>5</v>
      </c>
      <c r="AF766" s="59">
        <v>5</v>
      </c>
      <c r="AG766" s="59">
        <v>1900</v>
      </c>
      <c r="AH766" s="77">
        <v>0</v>
      </c>
      <c r="AI766" s="59">
        <f ca="1">AJ766</f>
        <v>2019</v>
      </c>
      <c r="AJ766" s="18">
        <f ca="1">YEAR(TODAY())</f>
        <v>2019</v>
      </c>
      <c r="AK766" s="18">
        <v>6</v>
      </c>
      <c r="AL766" s="18">
        <v>2</v>
      </c>
      <c r="AM766" s="18">
        <v>1</v>
      </c>
      <c r="AN766" s="18">
        <v>1</v>
      </c>
      <c r="AO766" s="25">
        <v>0</v>
      </c>
      <c r="AP766" s="24">
        <v>0</v>
      </c>
      <c r="AQ766" s="18">
        <v>0</v>
      </c>
      <c r="AR766" s="18">
        <v>0</v>
      </c>
      <c r="AS766" s="18">
        <v>0</v>
      </c>
      <c r="AT766" s="18">
        <v>0</v>
      </c>
      <c r="AU766" s="18">
        <v>0</v>
      </c>
      <c r="AV766" s="18">
        <v>0</v>
      </c>
      <c r="AW766" s="18">
        <v>0</v>
      </c>
      <c r="AX766" s="18">
        <v>0</v>
      </c>
      <c r="AY766" s="233"/>
      <c r="AZ766" s="4"/>
      <c r="BA766" s="35" t="str">
        <f ca="1">IF(OR(S766="North America",S766="Rocky Mountain"), "Widespread",BC766)</f>
        <v>Abundant</v>
      </c>
      <c r="BB766" s="4"/>
      <c r="BC766" s="35" t="str">
        <f ca="1">IF(BE766&gt;2046, "Abundant",BE766)</f>
        <v>Abundant</v>
      </c>
      <c r="BD766" s="4"/>
      <c r="BE766" s="81">
        <f ca="1">YEAR($C$13)+(BG766*80)</f>
        <v>2101.343460962567</v>
      </c>
      <c r="BF766" s="4"/>
      <c r="BG766" s="137">
        <f ca="1">BH766*$BH$14</f>
        <v>1.0292932620320854</v>
      </c>
      <c r="BH766" s="137">
        <f ca="1">(((BJ766+BK766+BM766+BN766)/4)*$BM$11)+(((BP766+BQ766)/2)*$BQ$11)+(((BU766+BV766+BW766)/3)*$BU$11)+(((BY766+BZ766+CA766+CB766+CC766)/5)*$CA$11)</f>
        <v>1.0292932620320854</v>
      </c>
      <c r="BI766" s="4"/>
      <c r="BJ766" s="33">
        <f>AP766/(AM766+AO766)</f>
        <v>0</v>
      </c>
      <c r="BK766" s="33">
        <f>(AN766+AO766)/(AM766+AO766)</f>
        <v>1</v>
      </c>
      <c r="BL766" s="4"/>
      <c r="BM766" s="127">
        <f>CF766/102</f>
        <v>0.13921568627450981</v>
      </c>
      <c r="BN766" s="127">
        <f>C766/2</f>
        <v>4</v>
      </c>
      <c r="BO766" s="4"/>
      <c r="BP766" s="127">
        <f>(AK766)/($AW$6)</f>
        <v>6.0606060606060608E-2</v>
      </c>
      <c r="BQ766" s="127">
        <f ca="1">(CH766-$AW$4)/((YEAR($C$13))-$AW$4)</f>
        <v>1</v>
      </c>
      <c r="BR766" s="127">
        <f>(AL766)/($AW$6)</f>
        <v>2.0202020202020204E-2</v>
      </c>
      <c r="BS766" s="4"/>
      <c r="BT766" s="127"/>
      <c r="BU766" s="127">
        <f ca="1">(CG766-$AW$4)/((YEAR($C$13))-$AW$4)</f>
        <v>1</v>
      </c>
      <c r="BV766" s="127">
        <f>AE766/5</f>
        <v>1</v>
      </c>
      <c r="BW766" s="127">
        <f>AF766/5</f>
        <v>1</v>
      </c>
      <c r="BX766" s="4"/>
      <c r="BY766" s="148" t="str">
        <f>IF(E766="A",".98",IF(E766="B",".99",IF(E766="C","1.00",IF(E766="D","1.00" ))))</f>
        <v>1.00</v>
      </c>
      <c r="BZ766" s="127">
        <f>(CE766+7)/10</f>
        <v>1</v>
      </c>
      <c r="CA766" s="76" t="str">
        <f>IF(D766="Fern",".97",IF(D766="Grass",".99",IF(D766="Herb",".97",IF(D766="Shrub",".99",IF(D766="Tree","1.00",IF(D766="Vine",".98"))))))</f>
        <v>.97</v>
      </c>
      <c r="CB766" s="149" t="str">
        <f>IF(R766="Bogs Ponds Streams",".96", IF(R766="Coastal Areas",".97",IF(R766="Meadows Dry Open",".96",IF(R766="Forest &amp; Understory",".97",IF(R766="Moist Open",".98",IF(R766="Moist Shady",".96",IF(R766="Sub-Alpine","1.0")))))))</f>
        <v>.96</v>
      </c>
      <c r="CC766" s="76" t="str">
        <f>IF(S766="Local Endemic",".50",IF(S766="Regional Endemic",".70",IF(S766="Cascadia",".90",IF(S766="Rocky Mountain",".95",IF(S766="North America",".99")))))</f>
        <v>.90</v>
      </c>
      <c r="CD766" s="4"/>
      <c r="CE766" s="21">
        <f>IF(W766&gt;3,3,W766)</f>
        <v>3</v>
      </c>
      <c r="CF766" s="21">
        <f>IF(AC766&gt;102,102,AC766)</f>
        <v>14.2</v>
      </c>
      <c r="CG766" s="34">
        <f ca="1">IF(AI766&lt;$AW$4,$AW$4,AI766)</f>
        <v>2019</v>
      </c>
      <c r="CH766" s="34">
        <f ca="1">IF(AJ766&lt;$AW$4,$AW$4,AJ766)</f>
        <v>2019</v>
      </c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13"/>
    </row>
    <row r="767" spans="1:115" ht="15" customHeight="1" x14ac:dyDescent="0.3">
      <c r="A767" s="235"/>
      <c r="B767" s="218"/>
      <c r="C767" s="225">
        <v>7</v>
      </c>
      <c r="D767" s="59" t="s">
        <v>2505</v>
      </c>
      <c r="E767" s="59" t="s">
        <v>2501</v>
      </c>
      <c r="F767" s="397" t="str">
        <f ca="1">IF(BC767&lt;2025, "Extinct&lt; 6Yrs?",BA767)</f>
        <v>Abundant</v>
      </c>
      <c r="G767" s="363" t="s">
        <v>525</v>
      </c>
      <c r="H767" s="363" t="s">
        <v>688</v>
      </c>
      <c r="I767" s="366" t="s">
        <v>44</v>
      </c>
      <c r="J767" s="365" t="s">
        <v>3939</v>
      </c>
      <c r="K767" s="365" t="s">
        <v>2813</v>
      </c>
      <c r="L767" s="10" t="s">
        <v>2267</v>
      </c>
      <c r="M767" s="8" t="s">
        <v>4838</v>
      </c>
      <c r="N767" s="8" t="s">
        <v>5736</v>
      </c>
      <c r="O767" s="8" t="s">
        <v>6635</v>
      </c>
      <c r="P767" s="9" t="s">
        <v>558</v>
      </c>
      <c r="Q767" s="59" t="s">
        <v>2552</v>
      </c>
      <c r="R767" s="9" t="s">
        <v>2500</v>
      </c>
      <c r="S767" s="9" t="s">
        <v>2459</v>
      </c>
      <c r="T767" s="123" t="str">
        <f>IF(R767="Bogs Ponds Streams","20",IF(R767="Coastal Areas","26",IF(R767="Meadows Dry Open","10",IF(R767="Forest &amp; Understory","14",IF(R767="Moist Open","12",IF(R767="Moist Shady","10",IF(R767="Sub-Alpine Slopes","0")))))))</f>
        <v>10</v>
      </c>
      <c r="U767" s="123" t="str">
        <f>IF(R767="Bogs Ponds Streams","52",IF(R767="Coastal Areas","51",IF(R767="Meadows Dry Open","53",IF(R767="Forest &amp; Understory","52",IF(R767="Moist Open","50",IF(R767="Moist Shady","46",IF(R767="Sub-Alpine Slopes","40")))))))</f>
        <v>53</v>
      </c>
      <c r="V767" s="123" t="str">
        <f>IF(R767="Bogs Ponds Streams","84",IF(R767="Coastal Areas","76",IF(R767="Meadows Dry Open","96", IF(R767="Forest &amp; Understory","90", IF(R767="Moist Open","88", IF(R767="Moist Shady","82", IF(R767="Sub-Alpine Slopes","80")))))))</f>
        <v>96</v>
      </c>
      <c r="W767" s="59">
        <v>20</v>
      </c>
      <c r="X767" s="59">
        <v>0</v>
      </c>
      <c r="Y767" s="59">
        <v>3500</v>
      </c>
      <c r="Z767" s="59" t="s">
        <v>2519</v>
      </c>
      <c r="AA767" s="59" t="s">
        <v>2518</v>
      </c>
      <c r="AB767" s="59">
        <v>6.8</v>
      </c>
      <c r="AC767" s="45">
        <f>C767+AK767+(0.1)*AL767</f>
        <v>29.1</v>
      </c>
      <c r="AD767" s="77">
        <v>113</v>
      </c>
      <c r="AE767" s="59">
        <v>5</v>
      </c>
      <c r="AF767" s="59">
        <v>5</v>
      </c>
      <c r="AG767" s="59">
        <v>1900</v>
      </c>
      <c r="AH767" s="77">
        <v>0</v>
      </c>
      <c r="AI767" s="59">
        <f ca="1">AJ767</f>
        <v>2019</v>
      </c>
      <c r="AJ767" s="18">
        <f ca="1">YEAR(TODAY())</f>
        <v>2019</v>
      </c>
      <c r="AK767" s="18">
        <v>22</v>
      </c>
      <c r="AL767" s="18">
        <v>1</v>
      </c>
      <c r="AM767" s="18">
        <v>1</v>
      </c>
      <c r="AN767" s="18">
        <v>1</v>
      </c>
      <c r="AO767" s="25">
        <v>0</v>
      </c>
      <c r="AP767" s="24">
        <v>0</v>
      </c>
      <c r="AQ767" s="18">
        <v>0</v>
      </c>
      <c r="AR767" s="18">
        <v>0</v>
      </c>
      <c r="AS767" s="18">
        <v>0</v>
      </c>
      <c r="AT767" s="18">
        <v>0</v>
      </c>
      <c r="AU767" s="18">
        <v>0</v>
      </c>
      <c r="AV767" s="18">
        <v>0</v>
      </c>
      <c r="AW767" s="18">
        <v>0</v>
      </c>
      <c r="AX767" s="18">
        <v>0</v>
      </c>
      <c r="AY767" s="233"/>
      <c r="AZ767" s="4"/>
      <c r="BA767" s="35" t="str">
        <f ca="1">IF(OR(S767="North America",S767="Rocky Mountain"), "Widespread",BC767)</f>
        <v>Abundant</v>
      </c>
      <c r="BB767" s="4"/>
      <c r="BC767" s="35" t="str">
        <f ca="1">IF(BE767&gt;2046, "Abundant",BE767)</f>
        <v>Abundant</v>
      </c>
      <c r="BD767" s="4"/>
      <c r="BE767" s="81">
        <f ca="1">YEAR($C$13)+(BG767*80)</f>
        <v>2099.0357960784313</v>
      </c>
      <c r="BF767" s="4"/>
      <c r="BG767" s="137">
        <f ca="1">BH767*$BH$14</f>
        <v>1.000447450980392</v>
      </c>
      <c r="BH767" s="137">
        <f ca="1">(((BJ767+BK767+BM767+BN767)/4)*$BM$11)+(((BP767+BQ767)/2)*$BQ$11)+(((BU767+BV767+BW767)/3)*$BU$11)+(((BY767+BZ767+CA767+CB767+CC767)/5)*$CA$11)</f>
        <v>1.000447450980392</v>
      </c>
      <c r="BI767" s="4"/>
      <c r="BJ767" s="33">
        <f>AP767/(AM767+AO767)</f>
        <v>0</v>
      </c>
      <c r="BK767" s="33">
        <f>(AN767+AO767)/(AM767+AO767)</f>
        <v>1</v>
      </c>
      <c r="BL767" s="4"/>
      <c r="BM767" s="127">
        <f>CF767/102</f>
        <v>0.28529411764705886</v>
      </c>
      <c r="BN767" s="127">
        <f>C767/2</f>
        <v>3.5</v>
      </c>
      <c r="BO767" s="4"/>
      <c r="BP767" s="127">
        <f>(AK767)/($AW$6)</f>
        <v>0.22222222222222221</v>
      </c>
      <c r="BQ767" s="127">
        <f ca="1">(CH767-$AW$4)/((YEAR($C$13))-$AW$4)</f>
        <v>1</v>
      </c>
      <c r="BR767" s="127">
        <f>(AL767)/($AW$6)</f>
        <v>1.0101010101010102E-2</v>
      </c>
      <c r="BS767" s="4"/>
      <c r="BT767" s="127"/>
      <c r="BU767" s="127">
        <f ca="1">(CG767-$AW$4)/((YEAR($C$13))-$AW$4)</f>
        <v>1</v>
      </c>
      <c r="BV767" s="127">
        <f>AE767/5</f>
        <v>1</v>
      </c>
      <c r="BW767" s="127">
        <f>AF767/5</f>
        <v>1</v>
      </c>
      <c r="BX767" s="4"/>
      <c r="BY767" s="148" t="str">
        <f>IF(E767="A",".98",IF(E767="B",".99",IF(E767="C","1.00",IF(E767="D","1.00" ))))</f>
        <v>1.00</v>
      </c>
      <c r="BZ767" s="127">
        <f>(CE767+7)/10</f>
        <v>1</v>
      </c>
      <c r="CA767" s="76" t="str">
        <f>IF(D767="Fern",".97",IF(D767="Grass",".99",IF(D767="Herb",".97",IF(D767="Shrub",".99",IF(D767="Tree","1.00",IF(D767="Vine",".98"))))))</f>
        <v>.97</v>
      </c>
      <c r="CB767" s="149" t="str">
        <f>IF(R767="Bogs Ponds Streams",".96", IF(R767="Coastal Areas",".97",IF(R767="Meadows Dry Open",".96",IF(R767="Forest &amp; Understory",".97",IF(R767="Moist Open",".98",IF(R767="Moist Shady",".96",IF(R767="Sub-Alpine","1.0")))))))</f>
        <v>.96</v>
      </c>
      <c r="CC767" s="76" t="str">
        <f>IF(S767="Local Endemic",".50",IF(S767="Regional Endemic",".70",IF(S767="Cascadia",".90",IF(S767="Rocky Mountain",".95",IF(S767="North America",".99")))))</f>
        <v>.90</v>
      </c>
      <c r="CD767" s="4"/>
      <c r="CE767" s="21">
        <f>IF(W767&gt;3,3,W767)</f>
        <v>3</v>
      </c>
      <c r="CF767" s="21">
        <f>IF(AC767&gt;102,102,AC767)</f>
        <v>29.1</v>
      </c>
      <c r="CG767" s="34">
        <f ca="1">IF(AI767&lt;$AW$4,$AW$4,AI767)</f>
        <v>2019</v>
      </c>
      <c r="CH767" s="34">
        <f ca="1">IF(AJ767&lt;$AW$4,$AW$4,AJ767)</f>
        <v>2019</v>
      </c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13"/>
    </row>
    <row r="768" spans="1:115" ht="15" customHeight="1" x14ac:dyDescent="0.3">
      <c r="A768" s="235"/>
      <c r="B768" s="218"/>
      <c r="C768" s="226">
        <v>2</v>
      </c>
      <c r="D768" s="104" t="s">
        <v>2505</v>
      </c>
      <c r="E768" s="104" t="s">
        <v>2501</v>
      </c>
      <c r="F768" s="400" t="str">
        <f ca="1">IF(BC768&lt;2025, "Extinct&lt; 6Yrs?",BA768)</f>
        <v>Widespread</v>
      </c>
      <c r="G768" s="369" t="s">
        <v>525</v>
      </c>
      <c r="H768" s="369" t="s">
        <v>4028</v>
      </c>
      <c r="I768" s="370" t="s">
        <v>1295</v>
      </c>
      <c r="J768" s="371" t="s">
        <v>3699</v>
      </c>
      <c r="K768" s="371" t="s">
        <v>1294</v>
      </c>
      <c r="L768" s="106" t="s">
        <v>2268</v>
      </c>
      <c r="M768" s="111" t="s">
        <v>4839</v>
      </c>
      <c r="N768" s="111" t="s">
        <v>5737</v>
      </c>
      <c r="O768" s="111" t="s">
        <v>6636</v>
      </c>
      <c r="P768" s="105" t="s">
        <v>558</v>
      </c>
      <c r="Q768" s="104" t="s">
        <v>2552</v>
      </c>
      <c r="R768" s="105" t="s">
        <v>2530</v>
      </c>
      <c r="S768" s="105" t="s">
        <v>2479</v>
      </c>
      <c r="T768" s="133" t="str">
        <f>IF(R768="Bogs Ponds Streams","20",IF(R768="Coastal Areas","26",IF(R768="Meadows Dry Open","10",IF(R768="Forest &amp; Understory","14",IF(R768="Moist Open","12",IF(R768="Moist Shady","10",IF(R768="Sub-Alpine Slopes","0")))))))</f>
        <v>14</v>
      </c>
      <c r="U768" s="133" t="str">
        <f>IF(R768="Bogs Ponds Streams","52",IF(R768="Coastal Areas","51",IF(R768="Meadows Dry Open","53",IF(R768="Forest &amp; Understory","52",IF(R768="Moist Open","50",IF(R768="Moist Shady","46",IF(R768="Sub-Alpine Slopes","40")))))))</f>
        <v>52</v>
      </c>
      <c r="V768" s="133" t="str">
        <f>IF(R768="Bogs Ponds Streams","84",IF(R768="Coastal Areas","76",IF(R768="Meadows Dry Open","96", IF(R768="Forest &amp; Understory","90", IF(R768="Moist Open","88", IF(R768="Moist Shady","82", IF(R768="Sub-Alpine Slopes","80")))))))</f>
        <v>90</v>
      </c>
      <c r="W768" s="104">
        <v>20</v>
      </c>
      <c r="X768" s="104">
        <v>0</v>
      </c>
      <c r="Y768" s="104">
        <v>3500</v>
      </c>
      <c r="Z768" s="104" t="s">
        <v>2519</v>
      </c>
      <c r="AA768" s="104" t="s">
        <v>2518</v>
      </c>
      <c r="AB768" s="104">
        <v>6.8</v>
      </c>
      <c r="AC768" s="107">
        <f>C768+AK768+(0.1)*AL768</f>
        <v>8.1999999999999993</v>
      </c>
      <c r="AD768" s="113">
        <v>91</v>
      </c>
      <c r="AE768" s="104">
        <v>5</v>
      </c>
      <c r="AF768" s="104">
        <v>5</v>
      </c>
      <c r="AG768" s="104">
        <v>1900</v>
      </c>
      <c r="AH768" s="113">
        <v>0</v>
      </c>
      <c r="AI768" s="104">
        <f>AJ768</f>
        <v>2004</v>
      </c>
      <c r="AJ768" s="108">
        <v>2004</v>
      </c>
      <c r="AK768" s="108">
        <v>4</v>
      </c>
      <c r="AL768" s="108">
        <v>22</v>
      </c>
      <c r="AM768" s="109">
        <v>5</v>
      </c>
      <c r="AN768" s="109">
        <v>1</v>
      </c>
      <c r="AO768" s="110">
        <v>0</v>
      </c>
      <c r="AP768" s="109">
        <v>0</v>
      </c>
      <c r="AQ768" s="109">
        <v>0</v>
      </c>
      <c r="AR768" s="109">
        <v>0</v>
      </c>
      <c r="AS768" s="110">
        <v>0</v>
      </c>
      <c r="AT768" s="109">
        <v>0</v>
      </c>
      <c r="AU768" s="109">
        <v>0</v>
      </c>
      <c r="AV768" s="109">
        <v>0</v>
      </c>
      <c r="AW768" s="110">
        <v>0</v>
      </c>
      <c r="AX768" s="109">
        <v>0</v>
      </c>
      <c r="AY768" s="233"/>
      <c r="AZ768" s="4"/>
      <c r="BA768" s="35" t="str">
        <f>IF(OR(S768="North America",S768="Rocky Mountain"), "Widespread",BC768)</f>
        <v>Widespread</v>
      </c>
      <c r="BB768" s="4"/>
      <c r="BC768" s="35">
        <f ca="1">IF(BE768&gt;2046, "Abundant",BE768)</f>
        <v>2040.6810210338681</v>
      </c>
      <c r="BD768" s="4"/>
      <c r="BE768" s="81">
        <f ca="1">YEAR($C$13)+(BG768*80)</f>
        <v>2040.6810210338681</v>
      </c>
      <c r="BF768" s="4"/>
      <c r="BG768" s="137">
        <f ca="1">BH768*$BH$14</f>
        <v>0.27101276292335119</v>
      </c>
      <c r="BH768" s="137">
        <f ca="1">(((BJ768+BK768+BM768+BN768)/4)*$BM$11)+(((BP768+BQ768)/2)*$BQ$11)+(((BU768+BV768+BW768)/3)*$BU$11)+(((BY768+BZ768+CA768+CB768+CC768)/5)*$CA$11)</f>
        <v>0.27101276292335119</v>
      </c>
      <c r="BI768" s="4"/>
      <c r="BJ768" s="33">
        <f>AP768/(AM768+AO768)</f>
        <v>0</v>
      </c>
      <c r="BK768" s="33">
        <f>(AN768+AO768)/(AM768+AO768)</f>
        <v>0.2</v>
      </c>
      <c r="BL768" s="4"/>
      <c r="BM768" s="127">
        <f>CF768/102</f>
        <v>8.039215686274509E-2</v>
      </c>
      <c r="BN768" s="127">
        <f>C768/2</f>
        <v>1</v>
      </c>
      <c r="BO768" s="4"/>
      <c r="BP768" s="127">
        <f>(AK768)/($AW$6)</f>
        <v>4.0404040404040407E-2</v>
      </c>
      <c r="BQ768" s="127">
        <f ca="1">(CH768-$AW$4)/((YEAR($C$13))-$AW$4)</f>
        <v>0</v>
      </c>
      <c r="BR768" s="127">
        <f>(AL768)/($AW$6)</f>
        <v>0.22222222222222221</v>
      </c>
      <c r="BS768" s="4"/>
      <c r="BT768" s="127"/>
      <c r="BU768" s="127">
        <f ca="1">(CG768-$AW$4)/((YEAR($C$13))-$AW$4)</f>
        <v>0</v>
      </c>
      <c r="BV768" s="127">
        <f>AE768/5</f>
        <v>1</v>
      </c>
      <c r="BW768" s="127">
        <f>AF768/5</f>
        <v>1</v>
      </c>
      <c r="BX768" s="4"/>
      <c r="BY768" s="148" t="str">
        <f>IF(E768="A",".98",IF(E768="B",".99",IF(E768="C","1.00",IF(E768="D","1.00" ))))</f>
        <v>1.00</v>
      </c>
      <c r="BZ768" s="127">
        <f>(CE768+7)/10</f>
        <v>1</v>
      </c>
      <c r="CA768" s="76" t="str">
        <f>IF(D768="Fern",".97",IF(D768="Grass",".99",IF(D768="Herb",".97",IF(D768="Shrub",".99",IF(D768="Tree","1.00",IF(D768="Vine",".98"))))))</f>
        <v>.97</v>
      </c>
      <c r="CB768" s="149" t="str">
        <f>IF(R768="Bogs Ponds Streams",".96", IF(R768="Coastal Areas",".97",IF(R768="Meadows Dry Open",".96",IF(R768="Forest &amp; Understory",".97",IF(R768="Moist Open",".98",IF(R768="Moist Shady",".96",IF(R768="Sub-Alpine","1.0")))))))</f>
        <v>.97</v>
      </c>
      <c r="CC768" s="76" t="str">
        <f>IF(S768="Local Endemic",".50",IF(S768="Regional Endemic",".70",IF(S768="Cascadia",".90",IF(S768="Rocky Mountain",".95",IF(S768="North America",".99")))))</f>
        <v>.95</v>
      </c>
      <c r="CD768" s="4"/>
      <c r="CE768" s="21">
        <f>IF(W768&gt;3,3,W768)</f>
        <v>3</v>
      </c>
      <c r="CF768" s="21">
        <f>IF(AC768&gt;102,102,AC768)</f>
        <v>8.1999999999999993</v>
      </c>
      <c r="CG768" s="34">
        <f>IF(AI768&lt;$AW$4,$AW$4,AI768)</f>
        <v>2004</v>
      </c>
      <c r="CH768" s="34">
        <f>IF(AJ768&lt;$AW$4,$AW$4,AJ768)</f>
        <v>2004</v>
      </c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</row>
    <row r="769" spans="1:115" ht="15" customHeight="1" x14ac:dyDescent="0.3">
      <c r="A769" s="235"/>
      <c r="B769" s="218"/>
      <c r="C769" s="226">
        <v>2</v>
      </c>
      <c r="D769" s="104" t="s">
        <v>2505</v>
      </c>
      <c r="E769" s="104" t="s">
        <v>2501</v>
      </c>
      <c r="F769" s="400" t="str">
        <f ca="1">IF(BC769&lt;2025, "Extinct&lt; 6Yrs?",BA769)</f>
        <v>Abundant</v>
      </c>
      <c r="G769" s="369" t="s">
        <v>525</v>
      </c>
      <c r="H769" s="369" t="s">
        <v>4028</v>
      </c>
      <c r="I769" s="372" t="s">
        <v>2704</v>
      </c>
      <c r="J769" s="371" t="s">
        <v>3698</v>
      </c>
      <c r="K769" s="371" t="s">
        <v>1296</v>
      </c>
      <c r="L769" s="114" t="s">
        <v>2269</v>
      </c>
      <c r="M769" s="111" t="s">
        <v>4840</v>
      </c>
      <c r="N769" s="111" t="s">
        <v>5738</v>
      </c>
      <c r="O769" s="111" t="s">
        <v>6637</v>
      </c>
      <c r="P769" s="401" t="s">
        <v>1168</v>
      </c>
      <c r="Q769" s="104" t="s">
        <v>2552</v>
      </c>
      <c r="R769" s="105" t="s">
        <v>2453</v>
      </c>
      <c r="S769" s="105" t="s">
        <v>2309</v>
      </c>
      <c r="T769" s="133" t="str">
        <f>IF(R769="Bogs Ponds Streams","20",IF(R769="Coastal Areas","26",IF(R769="Meadows Dry Open","10",IF(R769="Forest &amp; Understory","14",IF(R769="Moist Open","12",IF(R769="Moist Shady","10",IF(R769="Sub-Alpine Slopes","0")))))))</f>
        <v>26</v>
      </c>
      <c r="U769" s="133" t="str">
        <f>IF(R769="Bogs Ponds Streams","52",IF(R769="Coastal Areas","51",IF(R769="Meadows Dry Open","53",IF(R769="Forest &amp; Understory","52",IF(R769="Moist Open","50",IF(R769="Moist Shady","46",IF(R769="Sub-Alpine Slopes","40")))))))</f>
        <v>51</v>
      </c>
      <c r="V769" s="133" t="str">
        <f>IF(R769="Bogs Ponds Streams","84",IF(R769="Coastal Areas","76",IF(R769="Meadows Dry Open","96", IF(R769="Forest &amp; Understory","90", IF(R769="Moist Open","88", IF(R769="Moist Shady","82", IF(R769="Sub-Alpine Slopes","80")))))))</f>
        <v>76</v>
      </c>
      <c r="W769" s="104">
        <v>20</v>
      </c>
      <c r="X769" s="104">
        <v>0</v>
      </c>
      <c r="Y769" s="104">
        <v>3500</v>
      </c>
      <c r="Z769" s="104" t="s">
        <v>2519</v>
      </c>
      <c r="AA769" s="104" t="s">
        <v>2518</v>
      </c>
      <c r="AB769" s="104">
        <v>6.8</v>
      </c>
      <c r="AC769" s="107">
        <f>C769+AK769+(0.1)*AL769</f>
        <v>13</v>
      </c>
      <c r="AD769" s="113">
        <v>48</v>
      </c>
      <c r="AE769" s="104">
        <v>5</v>
      </c>
      <c r="AF769" s="104">
        <v>5</v>
      </c>
      <c r="AG769" s="104">
        <v>1900</v>
      </c>
      <c r="AH769" s="113">
        <v>0</v>
      </c>
      <c r="AI769" s="104">
        <f>AJ769</f>
        <v>2018</v>
      </c>
      <c r="AJ769" s="108">
        <v>2018</v>
      </c>
      <c r="AK769" s="108">
        <v>11</v>
      </c>
      <c r="AL769" s="108">
        <v>0</v>
      </c>
      <c r="AM769" s="109">
        <v>5</v>
      </c>
      <c r="AN769" s="109">
        <v>1</v>
      </c>
      <c r="AO769" s="109">
        <v>1</v>
      </c>
      <c r="AP769" s="109">
        <v>0</v>
      </c>
      <c r="AQ769" s="109">
        <v>0</v>
      </c>
      <c r="AR769" s="109">
        <v>0</v>
      </c>
      <c r="AS769" s="110">
        <v>0</v>
      </c>
      <c r="AT769" s="109">
        <v>0</v>
      </c>
      <c r="AU769" s="109">
        <v>0</v>
      </c>
      <c r="AV769" s="109">
        <v>0</v>
      </c>
      <c r="AW769" s="110">
        <v>0</v>
      </c>
      <c r="AX769" s="109">
        <v>0</v>
      </c>
      <c r="AY769" s="233"/>
      <c r="AZ769" s="4"/>
      <c r="BA769" s="35" t="str">
        <f ca="1">IF(OR(S769="North America",S769="Rocky Mountain"), "Widespread",BC769)</f>
        <v>Abundant</v>
      </c>
      <c r="BB769" s="4"/>
      <c r="BC769" s="35" t="str">
        <f ca="1">IF(BE769&gt;2046, "Abundant",BE769)</f>
        <v>Abundant</v>
      </c>
      <c r="BD769" s="4"/>
      <c r="BE769" s="81">
        <f ca="1">YEAR($C$13)+(BG769*80)</f>
        <v>2056.8053228758172</v>
      </c>
      <c r="BF769" s="4"/>
      <c r="BG769" s="137">
        <f ca="1">BH769*$BH$14</f>
        <v>0.47256653594771242</v>
      </c>
      <c r="BH769" s="137">
        <f ca="1">(((BJ769+BK769+BM769+BN769)/4)*$BM$11)+(((BP769+BQ769)/2)*$BQ$11)+(((BU769+BV769+BW769)/3)*$BU$11)+(((BY769+BZ769+CA769+CB769+CC769)/5)*$CA$11)</f>
        <v>0.47256653594771242</v>
      </c>
      <c r="BI769" s="4"/>
      <c r="BJ769" s="33">
        <f>AP769/(AM769+AO769)</f>
        <v>0</v>
      </c>
      <c r="BK769" s="33">
        <f>(AN769+AO769)/(AM769+AO769)</f>
        <v>0.33333333333333331</v>
      </c>
      <c r="BL769" s="4"/>
      <c r="BM769" s="127">
        <f>CF769/102</f>
        <v>0.12745098039215685</v>
      </c>
      <c r="BN769" s="127">
        <f>C769/2</f>
        <v>1</v>
      </c>
      <c r="BO769" s="4"/>
      <c r="BP769" s="127">
        <f>(AK769)/($AW$6)</f>
        <v>0.1111111111111111</v>
      </c>
      <c r="BQ769" s="127">
        <f ca="1">(CH769-$AW$4)/((YEAR($C$13))-$AW$4)</f>
        <v>0.93333333333333335</v>
      </c>
      <c r="BR769" s="127">
        <f>(AL769)/($AW$6)</f>
        <v>0</v>
      </c>
      <c r="BS769" s="4"/>
      <c r="BT769" s="127"/>
      <c r="BU769" s="127">
        <f ca="1">(CG769-$AW$4)/((YEAR($C$13))-$AW$4)</f>
        <v>0.93333333333333335</v>
      </c>
      <c r="BV769" s="127">
        <f>AE769/5</f>
        <v>1</v>
      </c>
      <c r="BW769" s="127">
        <f>AF769/5</f>
        <v>1</v>
      </c>
      <c r="BX769" s="4"/>
      <c r="BY769" s="148" t="str">
        <f>IF(E769="A",".98",IF(E769="B",".99",IF(E769="C","1.00",IF(E769="D","1.00" ))))</f>
        <v>1.00</v>
      </c>
      <c r="BZ769" s="127">
        <f>(CE769+7)/10</f>
        <v>1</v>
      </c>
      <c r="CA769" s="76" t="str">
        <f>IF(D769="Fern",".97",IF(D769="Grass",".99",IF(D769="Herb",".97",IF(D769="Shrub",".99",IF(D769="Tree","1.00",IF(D769="Vine",".98"))))))</f>
        <v>.97</v>
      </c>
      <c r="CB769" s="149" t="str">
        <f>IF(R769="Bogs Ponds Streams",".96", IF(R769="Coastal Areas",".97",IF(R769="Meadows Dry Open",".96",IF(R769="Forest &amp; Understory",".97",IF(R769="Moist Open",".98",IF(R769="Moist Shady",".96",IF(R769="Sub-Alpine","1.0")))))))</f>
        <v>.97</v>
      </c>
      <c r="CC769" s="76" t="str">
        <f>IF(S769="Local Endemic",".50",IF(S769="Regional Endemic",".70",IF(S769="Cascadia",".90",IF(S769="Rocky Mountain",".95",IF(S769="North America",".99")))))</f>
        <v>.70</v>
      </c>
      <c r="CD769" s="4"/>
      <c r="CE769" s="21">
        <f>IF(W769&gt;3,3,W769)</f>
        <v>3</v>
      </c>
      <c r="CF769" s="21">
        <f>IF(AC769&gt;102,102,AC769)</f>
        <v>13</v>
      </c>
      <c r="CG769" s="34">
        <f>IF(AI769&lt;$AW$4,$AW$4,AI769)</f>
        <v>2018</v>
      </c>
      <c r="CH769" s="34">
        <f>IF(AJ769&lt;$AW$4,$AW$4,AJ769)</f>
        <v>2018</v>
      </c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</row>
    <row r="770" spans="1:115" ht="15" customHeight="1" x14ac:dyDescent="0.3">
      <c r="A770" s="235"/>
      <c r="B770" s="218"/>
      <c r="C770" s="375">
        <v>1</v>
      </c>
      <c r="D770" s="67" t="s">
        <v>2505</v>
      </c>
      <c r="E770" s="67" t="s">
        <v>2501</v>
      </c>
      <c r="F770" s="403" t="str">
        <f ca="1">IF(BC770&lt;2025, "Extinct&lt; 6Yrs?",BA770)</f>
        <v>Widespread</v>
      </c>
      <c r="G770" s="376" t="s">
        <v>525</v>
      </c>
      <c r="H770" s="376" t="s">
        <v>4028</v>
      </c>
      <c r="I770" s="379" t="s">
        <v>1176</v>
      </c>
      <c r="J770" s="378" t="s">
        <v>1217</v>
      </c>
      <c r="K770" s="378" t="s">
        <v>1177</v>
      </c>
      <c r="L770" s="63" t="s">
        <v>2271</v>
      </c>
      <c r="M770" s="64" t="s">
        <v>4841</v>
      </c>
      <c r="N770" s="64" t="s">
        <v>5739</v>
      </c>
      <c r="O770" s="64" t="s">
        <v>6638</v>
      </c>
      <c r="P770" s="61" t="s">
        <v>361</v>
      </c>
      <c r="Q770" s="67" t="s">
        <v>2552</v>
      </c>
      <c r="R770" s="61" t="s">
        <v>2500</v>
      </c>
      <c r="S770" s="65" t="s">
        <v>2479</v>
      </c>
      <c r="T770" s="134" t="str">
        <f>IF(R770="Bogs Ponds Streams","20",IF(R770="Coastal Areas","26",IF(R770="Meadows Dry Open","10",IF(R770="Forest &amp; Understory","14",IF(R770="Moist Open","12",IF(R770="Moist Shady","10",IF(R770="Sub-Alpine Slopes","0")))))))</f>
        <v>10</v>
      </c>
      <c r="U770" s="134" t="str">
        <f>IF(R770="Bogs Ponds Streams","52",IF(R770="Coastal Areas","51",IF(R770="Meadows Dry Open","53",IF(R770="Forest &amp; Understory","52",IF(R770="Moist Open","50",IF(R770="Moist Shady","46",IF(R770="Sub-Alpine Slopes","40")))))))</f>
        <v>53</v>
      </c>
      <c r="V770" s="134" t="str">
        <f>IF(R770="Bogs Ponds Streams","84",IF(R770="Coastal Areas","76",IF(R770="Meadows Dry Open","96", IF(R770="Forest &amp; Understory","90", IF(R770="Moist Open","88", IF(R770="Moist Shady","82", IF(R770="Sub-Alpine Slopes","80")))))))</f>
        <v>96</v>
      </c>
      <c r="W770" s="67">
        <v>20</v>
      </c>
      <c r="X770" s="67">
        <v>0</v>
      </c>
      <c r="Y770" s="67">
        <v>3500</v>
      </c>
      <c r="Z770" s="67" t="s">
        <v>2519</v>
      </c>
      <c r="AA770" s="67" t="s">
        <v>2518</v>
      </c>
      <c r="AB770" s="67">
        <v>6.8</v>
      </c>
      <c r="AC770" s="85">
        <f>C770+AK770+(0.1)*AL770</f>
        <v>19.399999999999999</v>
      </c>
      <c r="AD770" s="78">
        <v>72</v>
      </c>
      <c r="AE770" s="67">
        <v>5</v>
      </c>
      <c r="AF770" s="67">
        <v>5</v>
      </c>
      <c r="AG770" s="67">
        <v>1900</v>
      </c>
      <c r="AH770" s="78">
        <v>0</v>
      </c>
      <c r="AI770" s="67">
        <f>AJ770</f>
        <v>2004</v>
      </c>
      <c r="AJ770" s="69">
        <v>2004</v>
      </c>
      <c r="AK770" s="69">
        <v>14</v>
      </c>
      <c r="AL770" s="69">
        <v>44</v>
      </c>
      <c r="AM770" s="70">
        <v>5</v>
      </c>
      <c r="AN770" s="70">
        <v>0</v>
      </c>
      <c r="AO770" s="86">
        <v>0</v>
      </c>
      <c r="AP770" s="70">
        <v>0</v>
      </c>
      <c r="AQ770" s="70">
        <v>0</v>
      </c>
      <c r="AR770" s="70">
        <v>0</v>
      </c>
      <c r="AS770" s="86">
        <v>0</v>
      </c>
      <c r="AT770" s="70">
        <v>0</v>
      </c>
      <c r="AU770" s="70">
        <v>0</v>
      </c>
      <c r="AV770" s="70">
        <v>0</v>
      </c>
      <c r="AW770" s="86">
        <v>0</v>
      </c>
      <c r="AX770" s="70">
        <v>0</v>
      </c>
      <c r="AY770" s="233"/>
      <c r="AZ770" s="4"/>
      <c r="BA770" s="35" t="str">
        <f>IF(OR(S770="North America",S770="Rocky Mountain"), "Widespread",BC770)</f>
        <v>Widespread</v>
      </c>
      <c r="BB770" s="4"/>
      <c r="BC770" s="35">
        <f ca="1">IF(BE770&gt;2046, "Abundant",BE770)</f>
        <v>2034.8075893048128</v>
      </c>
      <c r="BD770" s="4"/>
      <c r="BE770" s="81">
        <f ca="1">YEAR($C$13)+(BG770*80)</f>
        <v>2034.8075893048128</v>
      </c>
      <c r="BF770" s="4"/>
      <c r="BG770" s="137">
        <f ca="1">BH770*$BH$14</f>
        <v>0.19759486631016043</v>
      </c>
      <c r="BH770" s="137">
        <f ca="1">(((BJ770+BK770+BM770+BN770)/4)*$BM$11)+(((BP770+BQ770)/2)*$BQ$11)+(((BU770+BV770+BW770)/3)*$BU$11)+(((BY770+BZ770+CA770+CB770+CC770)/5)*$CA$11)</f>
        <v>0.19759486631016043</v>
      </c>
      <c r="BI770" s="4"/>
      <c r="BJ770" s="33">
        <f>AP770/(AM770+AO770)</f>
        <v>0</v>
      </c>
      <c r="BK770" s="33">
        <f>(AN770+AO770)/(AM770+AO770)</f>
        <v>0</v>
      </c>
      <c r="BL770" s="4"/>
      <c r="BM770" s="127">
        <f>CF770/102</f>
        <v>0.19019607843137254</v>
      </c>
      <c r="BN770" s="127">
        <f>C770/2</f>
        <v>0.5</v>
      </c>
      <c r="BO770" s="4"/>
      <c r="BP770" s="127">
        <f>(AK770)/($AW$6)</f>
        <v>0.14141414141414141</v>
      </c>
      <c r="BQ770" s="127">
        <f ca="1">(CH770-$AW$4)/((YEAR($C$13))-$AW$4)</f>
        <v>0</v>
      </c>
      <c r="BR770" s="127">
        <f>(AL770)/($AW$6)</f>
        <v>0.44444444444444442</v>
      </c>
      <c r="BS770" s="4"/>
      <c r="BT770" s="127"/>
      <c r="BU770" s="127">
        <f ca="1">(CG770-$AW$4)/((YEAR($C$13))-$AW$4)</f>
        <v>0</v>
      </c>
      <c r="BV770" s="127">
        <f>AE770/5</f>
        <v>1</v>
      </c>
      <c r="BW770" s="127">
        <f>AF770/5</f>
        <v>1</v>
      </c>
      <c r="BX770" s="4"/>
      <c r="BY770" s="148" t="str">
        <f>IF(E770="A",".98",IF(E770="B",".99",IF(E770="C","1.00",IF(E770="D","1.00" ))))</f>
        <v>1.00</v>
      </c>
      <c r="BZ770" s="127">
        <f>(CE770+7)/10</f>
        <v>1</v>
      </c>
      <c r="CA770" s="76" t="str">
        <f>IF(D770="Fern",".97",IF(D770="Grass",".99",IF(D770="Herb",".97",IF(D770="Shrub",".99",IF(D770="Tree","1.00",IF(D770="Vine",".98"))))))</f>
        <v>.97</v>
      </c>
      <c r="CB770" s="149" t="str">
        <f>IF(R770="Bogs Ponds Streams",".96", IF(R770="Coastal Areas",".97",IF(R770="Meadows Dry Open",".96",IF(R770="Forest &amp; Understory",".97",IF(R770="Moist Open",".98",IF(R770="Moist Shady",".96",IF(R770="Sub-Alpine","1.0")))))))</f>
        <v>.96</v>
      </c>
      <c r="CC770" s="76" t="str">
        <f>IF(S770="Local Endemic",".50",IF(S770="Regional Endemic",".70",IF(S770="Cascadia",".90",IF(S770="Rocky Mountain",".95",IF(S770="North America",".99")))))</f>
        <v>.95</v>
      </c>
      <c r="CD770" s="4"/>
      <c r="CE770" s="21">
        <f>IF(W770&gt;3,3,W770)</f>
        <v>3</v>
      </c>
      <c r="CF770" s="21">
        <f>IF(AC770&gt;102,102,AC770)</f>
        <v>19.399999999999999</v>
      </c>
      <c r="CG770" s="34">
        <f>IF(AI770&lt;$AW$4,$AW$4,AI770)</f>
        <v>2004</v>
      </c>
      <c r="CH770" s="34">
        <f>IF(AJ770&lt;$AW$4,$AW$4,AJ770)</f>
        <v>2004</v>
      </c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</row>
    <row r="771" spans="1:115" ht="15" customHeight="1" x14ac:dyDescent="0.3">
      <c r="A771" s="235"/>
      <c r="B771" s="218"/>
      <c r="C771" s="226">
        <v>2</v>
      </c>
      <c r="D771" s="104" t="s">
        <v>2505</v>
      </c>
      <c r="E771" s="104" t="s">
        <v>2501</v>
      </c>
      <c r="F771" s="400" t="str">
        <f ca="1">IF(BC771&lt;2025, "Extinct&lt; 6Yrs?",BA771)</f>
        <v>Widespread</v>
      </c>
      <c r="G771" s="369" t="s">
        <v>525</v>
      </c>
      <c r="H771" s="369" t="s">
        <v>4028</v>
      </c>
      <c r="I771" s="371" t="s">
        <v>1373</v>
      </c>
      <c r="J771" s="371" t="s">
        <v>3697</v>
      </c>
      <c r="K771" s="371" t="s">
        <v>1389</v>
      </c>
      <c r="L771" s="106" t="s">
        <v>2270</v>
      </c>
      <c r="M771" s="111" t="s">
        <v>4842</v>
      </c>
      <c r="N771" s="111" t="s">
        <v>5740</v>
      </c>
      <c r="O771" s="111" t="s">
        <v>6639</v>
      </c>
      <c r="P771" s="401" t="s">
        <v>361</v>
      </c>
      <c r="Q771" s="104" t="s">
        <v>2552</v>
      </c>
      <c r="R771" s="105" t="s">
        <v>2500</v>
      </c>
      <c r="S771" s="114" t="s">
        <v>2479</v>
      </c>
      <c r="T771" s="133" t="str">
        <f>IF(R771="Bogs Ponds Streams","20",IF(R771="Coastal Areas","26",IF(R771="Meadows Dry Open","10",IF(R771="Forest &amp; Understory","14",IF(R771="Moist Open","12",IF(R771="Moist Shady","10",IF(R771="Sub-Alpine Slopes","0")))))))</f>
        <v>10</v>
      </c>
      <c r="U771" s="133" t="str">
        <f>IF(R771="Bogs Ponds Streams","52",IF(R771="Coastal Areas","51",IF(R771="Meadows Dry Open","53",IF(R771="Forest &amp; Understory","52",IF(R771="Moist Open","50",IF(R771="Moist Shady","46",IF(R771="Sub-Alpine Slopes","40")))))))</f>
        <v>53</v>
      </c>
      <c r="V771" s="133" t="str">
        <f>IF(R771="Bogs Ponds Streams","84",IF(R771="Coastal Areas","76",IF(R771="Meadows Dry Open","96", IF(R771="Forest &amp; Understory","90", IF(R771="Moist Open","88", IF(R771="Moist Shady","82", IF(R771="Sub-Alpine Slopes","80")))))))</f>
        <v>96</v>
      </c>
      <c r="W771" s="104">
        <v>20</v>
      </c>
      <c r="X771" s="104">
        <v>0</v>
      </c>
      <c r="Y771" s="104">
        <v>3500</v>
      </c>
      <c r="Z771" s="104" t="s">
        <v>2519</v>
      </c>
      <c r="AA771" s="104" t="s">
        <v>2518</v>
      </c>
      <c r="AB771" s="104">
        <v>6.8</v>
      </c>
      <c r="AC771" s="107">
        <f>C771+AK771+(0.1)*AL771</f>
        <v>24.3</v>
      </c>
      <c r="AD771" s="113">
        <v>139</v>
      </c>
      <c r="AE771" s="104">
        <v>5</v>
      </c>
      <c r="AF771" s="104">
        <v>5</v>
      </c>
      <c r="AG771" s="104">
        <v>1900</v>
      </c>
      <c r="AH771" s="113">
        <v>0</v>
      </c>
      <c r="AI771" s="104">
        <f>AJ771</f>
        <v>2004</v>
      </c>
      <c r="AJ771" s="108">
        <v>2004</v>
      </c>
      <c r="AK771" s="108">
        <v>22</v>
      </c>
      <c r="AL771" s="108">
        <v>3</v>
      </c>
      <c r="AM771" s="109">
        <v>5</v>
      </c>
      <c r="AN771" s="109">
        <v>1</v>
      </c>
      <c r="AO771" s="109">
        <v>1</v>
      </c>
      <c r="AP771" s="109">
        <v>0</v>
      </c>
      <c r="AQ771" s="109">
        <v>0</v>
      </c>
      <c r="AR771" s="109">
        <v>0</v>
      </c>
      <c r="AS771" s="110">
        <v>0</v>
      </c>
      <c r="AT771" s="109">
        <v>0</v>
      </c>
      <c r="AU771" s="109">
        <v>0</v>
      </c>
      <c r="AV771" s="109">
        <v>0</v>
      </c>
      <c r="AW771" s="110">
        <v>0</v>
      </c>
      <c r="AX771" s="109">
        <v>0</v>
      </c>
      <c r="AY771" s="233"/>
      <c r="AZ771" s="4"/>
      <c r="BA771" s="35" t="str">
        <f>IF(OR(S771="North America",S771="Rocky Mountain"), "Widespread",BC771)</f>
        <v>Widespread</v>
      </c>
      <c r="BB771" s="4"/>
      <c r="BC771" s="35" t="str">
        <f ca="1">IF(BE771&gt;2046, "Abundant",BE771)</f>
        <v>Abundant</v>
      </c>
      <c r="BD771" s="4"/>
      <c r="BE771" s="81">
        <f ca="1">YEAR($C$13)+(BG771*80)</f>
        <v>2046.3537568627451</v>
      </c>
      <c r="BF771" s="4"/>
      <c r="BG771" s="137">
        <f ca="1">BH771*$BH$14</f>
        <v>0.34192196078431369</v>
      </c>
      <c r="BH771" s="137">
        <f ca="1">(((BJ771+BK771+BM771+BN771)/4)*$BM$11)+(((BP771+BQ771)/2)*$BQ$11)+(((BU771+BV771+BW771)/3)*$BU$11)+(((BY771+BZ771+CA771+CB771+CC771)/5)*$CA$11)</f>
        <v>0.34192196078431369</v>
      </c>
      <c r="BI771" s="4"/>
      <c r="BJ771" s="33">
        <f>AP771/(AM771+AO771)</f>
        <v>0</v>
      </c>
      <c r="BK771" s="33">
        <f>(AN771+AO771)/(AM771+AO771)</f>
        <v>0.33333333333333331</v>
      </c>
      <c r="BL771" s="4"/>
      <c r="BM771" s="127">
        <f>CF771/102</f>
        <v>0.23823529411764707</v>
      </c>
      <c r="BN771" s="127">
        <f>C771/2</f>
        <v>1</v>
      </c>
      <c r="BO771" s="4"/>
      <c r="BP771" s="127">
        <f>(AK771)/($AW$6)</f>
        <v>0.22222222222222221</v>
      </c>
      <c r="BQ771" s="127">
        <f ca="1">(CH771-$AW$4)/((YEAR($C$13))-$AW$4)</f>
        <v>0</v>
      </c>
      <c r="BR771" s="127">
        <f>(AL771)/($AW$6)</f>
        <v>3.0303030303030304E-2</v>
      </c>
      <c r="BS771" s="4"/>
      <c r="BT771" s="127"/>
      <c r="BU771" s="127">
        <f ca="1">(CG771-$AW$4)/((YEAR($C$13))-$AW$4)</f>
        <v>0</v>
      </c>
      <c r="BV771" s="127">
        <f>AE771/5</f>
        <v>1</v>
      </c>
      <c r="BW771" s="127">
        <f>AF771/5</f>
        <v>1</v>
      </c>
      <c r="BX771" s="4"/>
      <c r="BY771" s="148" t="str">
        <f>IF(E771="A",".98",IF(E771="B",".99",IF(E771="C","1.00",IF(E771="D","1.00" ))))</f>
        <v>1.00</v>
      </c>
      <c r="BZ771" s="127">
        <f>(CE771+7)/10</f>
        <v>1</v>
      </c>
      <c r="CA771" s="76" t="str">
        <f>IF(D771="Fern",".97",IF(D771="Grass",".99",IF(D771="Herb",".97",IF(D771="Shrub",".99",IF(D771="Tree","1.00",IF(D771="Vine",".98"))))))</f>
        <v>.97</v>
      </c>
      <c r="CB771" s="149" t="str">
        <f>IF(R771="Bogs Ponds Streams",".96", IF(R771="Coastal Areas",".97",IF(R771="Meadows Dry Open",".96",IF(R771="Forest &amp; Understory",".97",IF(R771="Moist Open",".98",IF(R771="Moist Shady",".96",IF(R771="Sub-Alpine","1.0")))))))</f>
        <v>.96</v>
      </c>
      <c r="CC771" s="76" t="str">
        <f>IF(S771="Local Endemic",".50",IF(S771="Regional Endemic",".70",IF(S771="Cascadia",".90",IF(S771="Rocky Mountain",".95",IF(S771="North America",".99")))))</f>
        <v>.95</v>
      </c>
      <c r="CD771" s="4"/>
      <c r="CE771" s="21">
        <f>IF(W771&gt;3,3,W771)</f>
        <v>3</v>
      </c>
      <c r="CF771" s="21">
        <f>IF(AC771&gt;102,102,AC771)</f>
        <v>24.3</v>
      </c>
      <c r="CG771" s="34">
        <f>IF(AI771&lt;$AW$4,$AW$4,AI771)</f>
        <v>2004</v>
      </c>
      <c r="CH771" s="34">
        <f>IF(AJ771&lt;$AW$4,$AW$4,AJ771)</f>
        <v>2004</v>
      </c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</row>
    <row r="772" spans="1:115" ht="15" customHeight="1" x14ac:dyDescent="0.3">
      <c r="A772" s="235"/>
      <c r="B772" s="218"/>
      <c r="C772" s="225">
        <v>8</v>
      </c>
      <c r="D772" s="59" t="s">
        <v>2505</v>
      </c>
      <c r="E772" s="59" t="s">
        <v>2501</v>
      </c>
      <c r="F772" s="397" t="str">
        <f ca="1">IF(BC772&lt;2025, "Extinct&lt; 6Yrs?",BA772)</f>
        <v>Abundant</v>
      </c>
      <c r="G772" s="363" t="s">
        <v>525</v>
      </c>
      <c r="H772" s="363" t="s">
        <v>688</v>
      </c>
      <c r="I772" s="366" t="s">
        <v>3132</v>
      </c>
      <c r="J772" s="365" t="s">
        <v>3938</v>
      </c>
      <c r="K772" s="365" t="s">
        <v>818</v>
      </c>
      <c r="L772" s="10" t="s">
        <v>4058</v>
      </c>
      <c r="M772" s="8" t="s">
        <v>4843</v>
      </c>
      <c r="N772" s="8" t="s">
        <v>5741</v>
      </c>
      <c r="O772" s="8" t="s">
        <v>6640</v>
      </c>
      <c r="P772" s="9" t="s">
        <v>361</v>
      </c>
      <c r="Q772" s="59" t="s">
        <v>2552</v>
      </c>
      <c r="R772" s="9" t="s">
        <v>2498</v>
      </c>
      <c r="S772" s="9" t="s">
        <v>2459</v>
      </c>
      <c r="T772" s="123" t="str">
        <f>IF(R772="Bogs Ponds Streams","20",IF(R772="Coastal Areas","26",IF(R772="Meadows Dry Open","10",IF(R772="Forest &amp; Understory","14",IF(R772="Moist Open","12",IF(R772="Moist Shady","10",IF(R772="Sub-Alpine Slopes","0")))))))</f>
        <v>10</v>
      </c>
      <c r="U772" s="123" t="str">
        <f>IF(R772="Bogs Ponds Streams","52",IF(R772="Coastal Areas","51",IF(R772="Meadows Dry Open","53",IF(R772="Forest &amp; Understory","52",IF(R772="Moist Open","50",IF(R772="Moist Shady","46",IF(R772="Sub-Alpine Slopes","40")))))))</f>
        <v>46</v>
      </c>
      <c r="V772" s="123" t="str">
        <f>IF(R772="Bogs Ponds Streams","84",IF(R772="Coastal Areas","76",IF(R772="Meadows Dry Open","96", IF(R772="Forest &amp; Understory","90", IF(R772="Moist Open","88", IF(R772="Moist Shady","82", IF(R772="Sub-Alpine Slopes","80")))))))</f>
        <v>82</v>
      </c>
      <c r="W772" s="59">
        <v>20</v>
      </c>
      <c r="X772" s="59">
        <v>0</v>
      </c>
      <c r="Y772" s="59">
        <v>3500</v>
      </c>
      <c r="Z772" s="59" t="s">
        <v>2519</v>
      </c>
      <c r="AA772" s="59" t="s">
        <v>2518</v>
      </c>
      <c r="AB772" s="59">
        <v>6.8</v>
      </c>
      <c r="AC772" s="45">
        <f>C772+AK772+(0.1)*AL772</f>
        <v>20.399999999999999</v>
      </c>
      <c r="AD772" s="77">
        <v>90</v>
      </c>
      <c r="AE772" s="59">
        <v>5</v>
      </c>
      <c r="AF772" s="59">
        <v>5</v>
      </c>
      <c r="AG772" s="59">
        <v>1900</v>
      </c>
      <c r="AH772" s="77">
        <v>0</v>
      </c>
      <c r="AI772" s="59">
        <f ca="1">AJ772</f>
        <v>2019</v>
      </c>
      <c r="AJ772" s="18">
        <f ca="1">YEAR(TODAY())</f>
        <v>2019</v>
      </c>
      <c r="AK772" s="18">
        <v>12</v>
      </c>
      <c r="AL772" s="18">
        <v>4</v>
      </c>
      <c r="AM772" s="18">
        <v>1</v>
      </c>
      <c r="AN772" s="18">
        <v>1</v>
      </c>
      <c r="AO772" s="24">
        <v>1</v>
      </c>
      <c r="AP772" s="24">
        <v>0</v>
      </c>
      <c r="AQ772" s="18">
        <v>0</v>
      </c>
      <c r="AR772" s="18">
        <v>0</v>
      </c>
      <c r="AS772" s="18">
        <v>0</v>
      </c>
      <c r="AT772" s="18">
        <v>0</v>
      </c>
      <c r="AU772" s="18">
        <v>0</v>
      </c>
      <c r="AV772" s="18">
        <v>0</v>
      </c>
      <c r="AW772" s="18">
        <v>0</v>
      </c>
      <c r="AX772" s="18">
        <v>0</v>
      </c>
      <c r="AY772" s="233"/>
      <c r="AZ772" s="4"/>
      <c r="BA772" s="35" t="str">
        <f ca="1">IF(OR(S772="North America",S772="Rocky Mountain"), "Widespread",BC772)</f>
        <v>Abundant</v>
      </c>
      <c r="BB772" s="4"/>
      <c r="BC772" s="35" t="str">
        <f ca="1">IF(BE772&gt;2046, "Abundant",BE772)</f>
        <v>Abundant</v>
      </c>
      <c r="BD772" s="4"/>
      <c r="BE772" s="81">
        <f ca="1">YEAR($C$13)+(BG772*80)</f>
        <v>2102.8001454545456</v>
      </c>
      <c r="BF772" s="4"/>
      <c r="BG772" s="137">
        <f ca="1">BH772*$BH$14</f>
        <v>1.0475018181818183</v>
      </c>
      <c r="BH772" s="137">
        <f ca="1">(((BJ772+BK772+BM772+BN772)/4)*$BM$11)+(((BP772+BQ772)/2)*$BQ$11)+(((BU772+BV772+BW772)/3)*$BU$11)+(((BY772+BZ772+CA772+CB772+CC772)/5)*$CA$11)</f>
        <v>1.0475018181818183</v>
      </c>
      <c r="BI772" s="4"/>
      <c r="BJ772" s="33">
        <f>AP772/(AM772+AO772)</f>
        <v>0</v>
      </c>
      <c r="BK772" s="33">
        <f>(AN772+AO772)/(AM772+AO772)</f>
        <v>1</v>
      </c>
      <c r="BL772" s="4"/>
      <c r="BM772" s="127">
        <f>CF772/102</f>
        <v>0.19999999999999998</v>
      </c>
      <c r="BN772" s="127">
        <f>C772/2</f>
        <v>4</v>
      </c>
      <c r="BO772" s="4"/>
      <c r="BP772" s="127">
        <f>(AK772)/($AW$6)</f>
        <v>0.12121212121212122</v>
      </c>
      <c r="BQ772" s="127">
        <f ca="1">(CH772-$AW$4)/((YEAR($C$13))-$AW$4)</f>
        <v>1</v>
      </c>
      <c r="BR772" s="127">
        <f>(AL772)/($AW$6)</f>
        <v>4.0404040404040407E-2</v>
      </c>
      <c r="BS772" s="4"/>
      <c r="BT772" s="127"/>
      <c r="BU772" s="127">
        <f ca="1">(CG772-$AW$4)/((YEAR($C$13))-$AW$4)</f>
        <v>1</v>
      </c>
      <c r="BV772" s="127">
        <f>AE772/5</f>
        <v>1</v>
      </c>
      <c r="BW772" s="127">
        <f>AF772/5</f>
        <v>1</v>
      </c>
      <c r="BX772" s="4"/>
      <c r="BY772" s="148" t="str">
        <f>IF(E772="A",".98",IF(E772="B",".99",IF(E772="C","1.00",IF(E772="D","1.00" ))))</f>
        <v>1.00</v>
      </c>
      <c r="BZ772" s="127">
        <f>(CE772+7)/10</f>
        <v>1</v>
      </c>
      <c r="CA772" s="76" t="str">
        <f>IF(D772="Fern",".97",IF(D772="Grass",".99",IF(D772="Herb",".97",IF(D772="Shrub",".99",IF(D772="Tree","1.00",IF(D772="Vine",".98"))))))</f>
        <v>.97</v>
      </c>
      <c r="CB772" s="149" t="str">
        <f>IF(R772="Bogs Ponds Streams",".96", IF(R772="Coastal Areas",".97",IF(R772="Meadows Dry Open",".96",IF(R772="Forest &amp; Understory",".97",IF(R772="Moist Open",".98",IF(R772="Moist Shady",".96",IF(R772="Sub-Alpine","1.0")))))))</f>
        <v>.96</v>
      </c>
      <c r="CC772" s="76" t="str">
        <f>IF(S772="Local Endemic",".50",IF(S772="Regional Endemic",".70",IF(S772="Cascadia",".90",IF(S772="Rocky Mountain",".95",IF(S772="North America",".99")))))</f>
        <v>.90</v>
      </c>
      <c r="CD772" s="4"/>
      <c r="CE772" s="21">
        <f>IF(W772&gt;3,3,W772)</f>
        <v>3</v>
      </c>
      <c r="CF772" s="21">
        <f>IF(AC772&gt;102,102,AC772)</f>
        <v>20.399999999999999</v>
      </c>
      <c r="CG772" s="34">
        <f ca="1">IF(AI772&lt;$AW$4,$AW$4,AI772)</f>
        <v>2019</v>
      </c>
      <c r="CH772" s="34">
        <f ca="1">IF(AJ772&lt;$AW$4,$AW$4,AJ772)</f>
        <v>2019</v>
      </c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13"/>
    </row>
    <row r="773" spans="1:115" ht="15" customHeight="1" x14ac:dyDescent="0.3">
      <c r="A773" s="235"/>
      <c r="B773" s="218"/>
      <c r="C773" s="375">
        <v>1</v>
      </c>
      <c r="D773" s="67" t="s">
        <v>2505</v>
      </c>
      <c r="E773" s="67" t="s">
        <v>2501</v>
      </c>
      <c r="F773" s="403" t="str">
        <f ca="1">IF(BC773&lt;2025, "Extinct&lt; 6Yrs?",BA773)</f>
        <v>Widespread</v>
      </c>
      <c r="G773" s="376" t="s">
        <v>525</v>
      </c>
      <c r="H773" s="376" t="s">
        <v>4028</v>
      </c>
      <c r="I773" s="379" t="s">
        <v>2705</v>
      </c>
      <c r="J773" s="378" t="s">
        <v>3512</v>
      </c>
      <c r="K773" s="378" t="s">
        <v>2831</v>
      </c>
      <c r="L773" s="65" t="s">
        <v>2272</v>
      </c>
      <c r="M773" s="64" t="s">
        <v>4844</v>
      </c>
      <c r="N773" s="64" t="s">
        <v>5742</v>
      </c>
      <c r="O773" s="64" t="s">
        <v>6641</v>
      </c>
      <c r="P773" s="404" t="s">
        <v>1169</v>
      </c>
      <c r="Q773" s="67" t="s">
        <v>2552</v>
      </c>
      <c r="R773" s="61" t="s">
        <v>2499</v>
      </c>
      <c r="S773" s="61" t="s">
        <v>2495</v>
      </c>
      <c r="T773" s="134" t="str">
        <f>IF(R773="Bogs Ponds Streams","20",IF(R773="Coastal Areas","26",IF(R773="Meadows Dry Open","10",IF(R773="Forest &amp; Understory","14",IF(R773="Moist Open","12",IF(R773="Moist Shady","10",IF(R773="Sub-Alpine Slopes","0")))))))</f>
        <v>20</v>
      </c>
      <c r="U773" s="134" t="str">
        <f>IF(R773="Bogs Ponds Streams","52",IF(R773="Coastal Areas","51",IF(R773="Meadows Dry Open","53",IF(R773="Forest &amp; Understory","52",IF(R773="Moist Open","50",IF(R773="Moist Shady","46",IF(R773="Sub-Alpine Slopes","40")))))))</f>
        <v>52</v>
      </c>
      <c r="V773" s="134" t="str">
        <f>IF(R773="Bogs Ponds Streams","84",IF(R773="Coastal Areas","76",IF(R773="Meadows Dry Open","96", IF(R773="Forest &amp; Understory","90", IF(R773="Moist Open","88", IF(R773="Moist Shady","82", IF(R773="Sub-Alpine Slopes","80")))))))</f>
        <v>84</v>
      </c>
      <c r="W773" s="67">
        <v>20</v>
      </c>
      <c r="X773" s="67">
        <v>0</v>
      </c>
      <c r="Y773" s="67">
        <v>3500</v>
      </c>
      <c r="Z773" s="67" t="s">
        <v>2519</v>
      </c>
      <c r="AA773" s="67" t="s">
        <v>2518</v>
      </c>
      <c r="AB773" s="67">
        <v>6.8</v>
      </c>
      <c r="AC773" s="85">
        <f>C773+AK773+(0.1)*AL773</f>
        <v>4.4000000000000004</v>
      </c>
      <c r="AD773" s="78">
        <v>30</v>
      </c>
      <c r="AE773" s="67">
        <v>5</v>
      </c>
      <c r="AF773" s="67">
        <v>5</v>
      </c>
      <c r="AG773" s="67">
        <v>1900</v>
      </c>
      <c r="AH773" s="78">
        <v>0</v>
      </c>
      <c r="AI773" s="67">
        <f>AJ773</f>
        <v>2004</v>
      </c>
      <c r="AJ773" s="69">
        <v>2004</v>
      </c>
      <c r="AK773" s="69">
        <v>3</v>
      </c>
      <c r="AL773" s="69">
        <v>4</v>
      </c>
      <c r="AM773" s="70">
        <v>5</v>
      </c>
      <c r="AN773" s="70">
        <v>0</v>
      </c>
      <c r="AO773" s="86">
        <v>0</v>
      </c>
      <c r="AP773" s="70">
        <v>0</v>
      </c>
      <c r="AQ773" s="70">
        <v>0</v>
      </c>
      <c r="AR773" s="70">
        <v>0</v>
      </c>
      <c r="AS773" s="86">
        <v>0</v>
      </c>
      <c r="AT773" s="70">
        <v>0</v>
      </c>
      <c r="AU773" s="70">
        <v>0</v>
      </c>
      <c r="AV773" s="70">
        <v>0</v>
      </c>
      <c r="AW773" s="86">
        <v>0</v>
      </c>
      <c r="AX773" s="70">
        <v>0</v>
      </c>
      <c r="AY773" s="233"/>
      <c r="AZ773" s="4"/>
      <c r="BA773" s="35" t="str">
        <f>IF(OR(S773="North America",S773="Rocky Mountain"), "Widespread",BC773)</f>
        <v>Widespread</v>
      </c>
      <c r="BB773" s="4"/>
      <c r="BC773" s="35">
        <f ca="1">IF(BE773&gt;2046, "Abundant",BE773)</f>
        <v>2031.7223500891266</v>
      </c>
      <c r="BD773" s="4"/>
      <c r="BE773" s="81">
        <f ca="1">YEAR($C$13)+(BG773*80)</f>
        <v>2031.7223500891266</v>
      </c>
      <c r="BF773" s="4"/>
      <c r="BG773" s="137">
        <f ca="1">BH773*$BH$14</f>
        <v>0.15902937611408199</v>
      </c>
      <c r="BH773" s="137">
        <f ca="1">(((BJ773+BK773+BM773+BN773)/4)*$BM$11)+(((BP773+BQ773)/2)*$BQ$11)+(((BU773+BV773+BW773)/3)*$BU$11)+(((BY773+BZ773+CA773+CB773+CC773)/5)*$CA$11)</f>
        <v>0.15902937611408199</v>
      </c>
      <c r="BI773" s="4"/>
      <c r="BJ773" s="33">
        <f>AP773/(AM773+AO773)</f>
        <v>0</v>
      </c>
      <c r="BK773" s="33">
        <f>(AN773+AO773)/(AM773+AO773)</f>
        <v>0</v>
      </c>
      <c r="BL773" s="4"/>
      <c r="BM773" s="127">
        <f>CF773/102</f>
        <v>4.3137254901960791E-2</v>
      </c>
      <c r="BN773" s="127">
        <f>C773/2</f>
        <v>0.5</v>
      </c>
      <c r="BO773" s="4"/>
      <c r="BP773" s="127">
        <f>(AK773)/($AW$6)</f>
        <v>3.0303030303030304E-2</v>
      </c>
      <c r="BQ773" s="127">
        <f ca="1">(CH773-$AW$4)/((YEAR($C$13))-$AW$4)</f>
        <v>0</v>
      </c>
      <c r="BR773" s="127">
        <f>(AL773)/($AW$6)</f>
        <v>4.0404040404040407E-2</v>
      </c>
      <c r="BS773" s="4"/>
      <c r="BT773" s="127"/>
      <c r="BU773" s="127">
        <f ca="1">(CG773-$AW$4)/((YEAR($C$13))-$AW$4)</f>
        <v>0</v>
      </c>
      <c r="BV773" s="127">
        <f>AE773/5</f>
        <v>1</v>
      </c>
      <c r="BW773" s="127">
        <f>AF773/5</f>
        <v>1</v>
      </c>
      <c r="BX773" s="4"/>
      <c r="BY773" s="148" t="str">
        <f>IF(E773="A",".98",IF(E773="B",".99",IF(E773="C","1.00",IF(E773="D","1.00" ))))</f>
        <v>1.00</v>
      </c>
      <c r="BZ773" s="127">
        <f>(CE773+7)/10</f>
        <v>1</v>
      </c>
      <c r="CA773" s="76" t="str">
        <f>IF(D773="Fern",".97",IF(D773="Grass",".99",IF(D773="Herb",".97",IF(D773="Shrub",".99",IF(D773="Tree","1.00",IF(D773="Vine",".98"))))))</f>
        <v>.97</v>
      </c>
      <c r="CB773" s="149" t="str">
        <f>IF(R773="Bogs Ponds Streams",".96", IF(R773="Coastal Areas",".97",IF(R773="Meadows Dry Open",".96",IF(R773="Forest &amp; Understory",".97",IF(R773="Moist Open",".98",IF(R773="Moist Shady",".96",IF(R773="Sub-Alpine","1.0")))))))</f>
        <v>.96</v>
      </c>
      <c r="CC773" s="76" t="str">
        <f>IF(S773="Local Endemic",".50",IF(S773="Regional Endemic",".70",IF(S773="Cascadia",".90",IF(S773="Rocky Mountain",".95",IF(S773="North America",".99")))))</f>
        <v>.99</v>
      </c>
      <c r="CD773" s="4"/>
      <c r="CE773" s="21">
        <f>IF(W773&gt;3,3,W773)</f>
        <v>3</v>
      </c>
      <c r="CF773" s="21">
        <f>IF(AC773&gt;102,102,AC773)</f>
        <v>4.4000000000000004</v>
      </c>
      <c r="CG773" s="34">
        <f>IF(AI773&lt;$AW$4,$AW$4,AI773)</f>
        <v>2004</v>
      </c>
      <c r="CH773" s="34">
        <f>IF(AJ773&lt;$AW$4,$AW$4,AJ773)</f>
        <v>2004</v>
      </c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</row>
    <row r="774" spans="1:115" ht="15" customHeight="1" x14ac:dyDescent="0.3">
      <c r="A774" s="235"/>
      <c r="B774" s="218"/>
      <c r="C774" s="225">
        <v>8</v>
      </c>
      <c r="D774" s="59" t="s">
        <v>2505</v>
      </c>
      <c r="E774" s="59" t="s">
        <v>2502</v>
      </c>
      <c r="F774" s="397" t="str">
        <f ca="1">IF(BC774&lt;2025, "Extinct&lt; 6Yrs?",BA774)</f>
        <v>Widespread</v>
      </c>
      <c r="G774" s="363" t="s">
        <v>525</v>
      </c>
      <c r="H774" s="363" t="s">
        <v>687</v>
      </c>
      <c r="I774" s="366" t="s">
        <v>757</v>
      </c>
      <c r="J774" s="365" t="s">
        <v>3937</v>
      </c>
      <c r="K774" s="365" t="s">
        <v>2814</v>
      </c>
      <c r="L774" s="10" t="s">
        <v>4057</v>
      </c>
      <c r="M774" s="8" t="s">
        <v>4845</v>
      </c>
      <c r="N774" s="8" t="s">
        <v>5743</v>
      </c>
      <c r="O774" s="8" t="s">
        <v>6642</v>
      </c>
      <c r="P774" s="9" t="s">
        <v>403</v>
      </c>
      <c r="Q774" s="59" t="s">
        <v>2552</v>
      </c>
      <c r="R774" s="9" t="s">
        <v>2499</v>
      </c>
      <c r="S774" s="9" t="s">
        <v>2479</v>
      </c>
      <c r="T774" s="123" t="str">
        <f>IF(R774="Bogs Ponds Streams","20",IF(R774="Coastal Areas","26",IF(R774="Meadows Dry Open","10",IF(R774="Forest &amp; Understory","14",IF(R774="Moist Open","12",IF(R774="Moist Shady","10",IF(R774="Sub-Alpine Slopes","0")))))))</f>
        <v>20</v>
      </c>
      <c r="U774" s="123" t="str">
        <f>IF(R774="Bogs Ponds Streams","52",IF(R774="Coastal Areas","51",IF(R774="Meadows Dry Open","53",IF(R774="Forest &amp; Understory","52",IF(R774="Moist Open","50",IF(R774="Moist Shady","46",IF(R774="Sub-Alpine Slopes","40")))))))</f>
        <v>52</v>
      </c>
      <c r="V774" s="123" t="str">
        <f>IF(R774="Bogs Ponds Streams","84",IF(R774="Coastal Areas","76",IF(R774="Meadows Dry Open","96", IF(R774="Forest &amp; Understory","90", IF(R774="Moist Open","88", IF(R774="Moist Shady","82", IF(R774="Sub-Alpine Slopes","80")))))))</f>
        <v>84</v>
      </c>
      <c r="W774" s="59">
        <v>1</v>
      </c>
      <c r="X774" s="59">
        <v>0</v>
      </c>
      <c r="Y774" s="59">
        <v>3500</v>
      </c>
      <c r="Z774" s="59" t="s">
        <v>2519</v>
      </c>
      <c r="AA774" s="59" t="s">
        <v>2518</v>
      </c>
      <c r="AB774" s="59">
        <v>6.8</v>
      </c>
      <c r="AC774" s="45">
        <f>C774+AK774+(0.1)*AL774</f>
        <v>40.9</v>
      </c>
      <c r="AD774" s="77">
        <v>87</v>
      </c>
      <c r="AE774" s="59">
        <v>5</v>
      </c>
      <c r="AF774" s="59">
        <v>5</v>
      </c>
      <c r="AG774" s="59">
        <v>1900</v>
      </c>
      <c r="AH774" s="77">
        <v>0</v>
      </c>
      <c r="AI774" s="59">
        <f ca="1">AJ774</f>
        <v>2019</v>
      </c>
      <c r="AJ774" s="18">
        <f ca="1">YEAR(TODAY())</f>
        <v>2019</v>
      </c>
      <c r="AK774" s="18">
        <v>29</v>
      </c>
      <c r="AL774" s="18">
        <v>39</v>
      </c>
      <c r="AM774" s="18">
        <v>1</v>
      </c>
      <c r="AN774" s="18">
        <v>1</v>
      </c>
      <c r="AO774" s="18">
        <v>5</v>
      </c>
      <c r="AP774" s="18">
        <v>1</v>
      </c>
      <c r="AQ774" s="18">
        <v>0</v>
      </c>
      <c r="AR774" s="18">
        <v>0</v>
      </c>
      <c r="AS774" s="18">
        <v>0</v>
      </c>
      <c r="AT774" s="18">
        <v>0</v>
      </c>
      <c r="AU774" s="18">
        <v>0</v>
      </c>
      <c r="AV774" s="18">
        <v>0</v>
      </c>
      <c r="AW774" s="18">
        <v>0</v>
      </c>
      <c r="AX774" s="18">
        <v>0</v>
      </c>
      <c r="AY774" s="233"/>
      <c r="AZ774" s="4"/>
      <c r="BA774" s="35" t="str">
        <f>IF(OR(S774="North America",S774="Rocky Mountain"), "Widespread",BC774)</f>
        <v>Widespread</v>
      </c>
      <c r="BB774" s="4"/>
      <c r="BC774" s="35" t="str">
        <f ca="1">IF(BE774&gt;2046, "Abundant",BE774)</f>
        <v>Abundant</v>
      </c>
      <c r="BD774" s="4"/>
      <c r="BE774" s="81">
        <f ca="1">YEAR($C$13)+(BG774*80)</f>
        <v>2109.2181162210341</v>
      </c>
      <c r="BF774" s="4"/>
      <c r="BG774" s="137">
        <f ca="1">BH774*$BH$14</f>
        <v>1.1277264527629234</v>
      </c>
      <c r="BH774" s="137">
        <f ca="1">(((BJ774+BK774+BM774+BN774)/4)*$BM$11)+(((BP774+BQ774)/2)*$BQ$11)+(((BU774+BV774+BW774)/3)*$BU$11)+(((BY774+BZ774+CA774+CB774+CC774)/5)*$CA$11)</f>
        <v>1.1277264527629234</v>
      </c>
      <c r="BI774" s="4"/>
      <c r="BJ774" s="33">
        <f>AP774/(AM774+AO774)</f>
        <v>0.16666666666666666</v>
      </c>
      <c r="BK774" s="33">
        <f>(AN774+AO774)/(AM774+AO774)</f>
        <v>1</v>
      </c>
      <c r="BL774" s="4"/>
      <c r="BM774" s="127">
        <f>CF774/102</f>
        <v>0.40098039215686271</v>
      </c>
      <c r="BN774" s="127">
        <f>C774/2</f>
        <v>4</v>
      </c>
      <c r="BO774" s="4"/>
      <c r="BP774" s="127">
        <f>(AK774)/($AW$6)</f>
        <v>0.29292929292929293</v>
      </c>
      <c r="BQ774" s="127">
        <f ca="1">(CH774-$AW$4)/((YEAR($C$13))-$AW$4)</f>
        <v>1</v>
      </c>
      <c r="BR774" s="127">
        <f>(AL774)/($AW$6)</f>
        <v>0.39393939393939392</v>
      </c>
      <c r="BS774" s="4"/>
      <c r="BT774" s="127"/>
      <c r="BU774" s="127">
        <f ca="1">(CG774-$AW$4)/((YEAR($C$13))-$AW$4)</f>
        <v>1</v>
      </c>
      <c r="BV774" s="127">
        <f>AE774/5</f>
        <v>1</v>
      </c>
      <c r="BW774" s="127">
        <f>AF774/5</f>
        <v>1</v>
      </c>
      <c r="BX774" s="4"/>
      <c r="BY774" s="148" t="str">
        <f>IF(E774="A",".98",IF(E774="B",".99",IF(E774="C","1.00",IF(E774="D","1.00" ))))</f>
        <v>.98</v>
      </c>
      <c r="BZ774" s="127">
        <f>(CE774+7)/10</f>
        <v>0.8</v>
      </c>
      <c r="CA774" s="76" t="str">
        <f>IF(D774="Fern",".97",IF(D774="Grass",".99",IF(D774="Herb",".97",IF(D774="Shrub",".99",IF(D774="Tree","1.00",IF(D774="Vine",".98"))))))</f>
        <v>.97</v>
      </c>
      <c r="CB774" s="149" t="str">
        <f>IF(R774="Bogs Ponds Streams",".96", IF(R774="Coastal Areas",".97",IF(R774="Meadows Dry Open",".96",IF(R774="Forest &amp; Understory",".97",IF(R774="Moist Open",".98",IF(R774="Moist Shady",".96",IF(R774="Sub-Alpine","1.0")))))))</f>
        <v>.96</v>
      </c>
      <c r="CC774" s="76" t="str">
        <f>IF(S774="Local Endemic",".50",IF(S774="Regional Endemic",".70",IF(S774="Cascadia",".90",IF(S774="Rocky Mountain",".95",IF(S774="North America",".99")))))</f>
        <v>.95</v>
      </c>
      <c r="CD774" s="4"/>
      <c r="CE774" s="21">
        <f>IF(W774&gt;3,3,W774)</f>
        <v>1</v>
      </c>
      <c r="CF774" s="21">
        <f>IF(AC774&gt;102,102,AC774)</f>
        <v>40.9</v>
      </c>
      <c r="CG774" s="34">
        <f ca="1">IF(AI774&lt;$AW$4,$AW$4,AI774)</f>
        <v>2019</v>
      </c>
      <c r="CH774" s="34">
        <f ca="1">IF(AJ774&lt;$AW$4,$AW$4,AJ774)</f>
        <v>2019</v>
      </c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13"/>
    </row>
    <row r="775" spans="1:115" ht="15" customHeight="1" x14ac:dyDescent="0.3">
      <c r="A775" s="235"/>
      <c r="B775" s="218"/>
      <c r="C775" s="375">
        <v>1</v>
      </c>
      <c r="D775" s="95" t="s">
        <v>1155</v>
      </c>
      <c r="E775" s="67" t="s">
        <v>2501</v>
      </c>
      <c r="F775" s="403" t="str">
        <f ca="1">IF(BC775&lt;2025, "Extinct&lt; 6Yrs?",BA775)</f>
        <v>Widespread</v>
      </c>
      <c r="G775" s="376" t="s">
        <v>525</v>
      </c>
      <c r="H775" s="376" t="s">
        <v>4028</v>
      </c>
      <c r="I775" s="379" t="s">
        <v>2706</v>
      </c>
      <c r="J775" s="378" t="s">
        <v>3511</v>
      </c>
      <c r="K775" s="378" t="s">
        <v>821</v>
      </c>
      <c r="L775" s="65" t="s">
        <v>2273</v>
      </c>
      <c r="M775" s="64" t="s">
        <v>4846</v>
      </c>
      <c r="N775" s="64" t="s">
        <v>5744</v>
      </c>
      <c r="O775" s="64" t="s">
        <v>6643</v>
      </c>
      <c r="P775" s="404" t="s">
        <v>403</v>
      </c>
      <c r="Q775" s="67" t="s">
        <v>2552</v>
      </c>
      <c r="R775" s="61" t="s">
        <v>2499</v>
      </c>
      <c r="S775" s="61" t="s">
        <v>2495</v>
      </c>
      <c r="T775" s="134" t="str">
        <f>IF(R775="Bogs Ponds Streams","20",IF(R775="Coastal Areas","26",IF(R775="Meadows Dry Open","10",IF(R775="Forest &amp; Understory","14",IF(R775="Moist Open","12",IF(R775="Moist Shady","10",IF(R775="Sub-Alpine Slopes","0")))))))</f>
        <v>20</v>
      </c>
      <c r="U775" s="134" t="str">
        <f>IF(R775="Bogs Ponds Streams","52",IF(R775="Coastal Areas","51",IF(R775="Meadows Dry Open","53",IF(R775="Forest &amp; Understory","52",IF(R775="Moist Open","50",IF(R775="Moist Shady","46",IF(R775="Sub-Alpine Slopes","40")))))))</f>
        <v>52</v>
      </c>
      <c r="V775" s="134" t="str">
        <f>IF(R775="Bogs Ponds Streams","84",IF(R775="Coastal Areas","76",IF(R775="Meadows Dry Open","96", IF(R775="Forest &amp; Understory","90", IF(R775="Moist Open","88", IF(R775="Moist Shady","82", IF(R775="Sub-Alpine Slopes","80")))))))</f>
        <v>84</v>
      </c>
      <c r="W775" s="67">
        <v>20</v>
      </c>
      <c r="X775" s="67">
        <v>0</v>
      </c>
      <c r="Y775" s="67">
        <v>3500</v>
      </c>
      <c r="Z775" s="67" t="s">
        <v>2519</v>
      </c>
      <c r="AA775" s="67" t="s">
        <v>2518</v>
      </c>
      <c r="AB775" s="67">
        <v>6.8</v>
      </c>
      <c r="AC775" s="85">
        <f>C775+AK775+(0.1)*AL775</f>
        <v>14.2</v>
      </c>
      <c r="AD775" s="78">
        <v>55</v>
      </c>
      <c r="AE775" s="67">
        <v>5</v>
      </c>
      <c r="AF775" s="67">
        <v>5</v>
      </c>
      <c r="AG775" s="67">
        <v>1900</v>
      </c>
      <c r="AH775" s="78">
        <v>0</v>
      </c>
      <c r="AI775" s="67">
        <f>AJ775</f>
        <v>2004</v>
      </c>
      <c r="AJ775" s="69">
        <v>2004</v>
      </c>
      <c r="AK775" s="69">
        <v>11</v>
      </c>
      <c r="AL775" s="69">
        <v>22</v>
      </c>
      <c r="AM775" s="70">
        <v>5</v>
      </c>
      <c r="AN775" s="70">
        <v>0</v>
      </c>
      <c r="AO775" s="86">
        <v>0</v>
      </c>
      <c r="AP775" s="70">
        <v>0</v>
      </c>
      <c r="AQ775" s="70">
        <v>0</v>
      </c>
      <c r="AR775" s="70">
        <v>0</v>
      </c>
      <c r="AS775" s="86">
        <v>0</v>
      </c>
      <c r="AT775" s="70">
        <v>0</v>
      </c>
      <c r="AU775" s="70">
        <v>0</v>
      </c>
      <c r="AV775" s="70">
        <v>0</v>
      </c>
      <c r="AW775" s="86">
        <v>0</v>
      </c>
      <c r="AX775" s="70">
        <v>0</v>
      </c>
      <c r="AY775" s="233"/>
      <c r="AZ775" s="4"/>
      <c r="BA775" s="35" t="str">
        <f>IF(OR(S775="North America",S775="Rocky Mountain"), "Widespread",BC775)</f>
        <v>Widespread</v>
      </c>
      <c r="BB775" s="4"/>
      <c r="BC775" s="35">
        <f ca="1">IF(BE775&gt;2046, "Abundant",BE775)</f>
        <v>2033.8513882352941</v>
      </c>
      <c r="BD775" s="4"/>
      <c r="BE775" s="81">
        <f ca="1">YEAR($C$13)+(BG775*80)</f>
        <v>2033.8513882352941</v>
      </c>
      <c r="BF775" s="4"/>
      <c r="BG775" s="137">
        <f ca="1">BH775*$BH$14</f>
        <v>0.18564235294117645</v>
      </c>
      <c r="BH775" s="137">
        <f ca="1">(((BJ775+BK775+BM775+BN775)/4)*$BM$11)+(((BP775+BQ775)/2)*$BQ$11)+(((BU775+BV775+BW775)/3)*$BU$11)+(((BY775+BZ775+CA775+CB775+CC775)/5)*$CA$11)</f>
        <v>0.18564235294117645</v>
      </c>
      <c r="BI775" s="4"/>
      <c r="BJ775" s="33">
        <f>AP775/(AM775+AO775)</f>
        <v>0</v>
      </c>
      <c r="BK775" s="33">
        <f>(AN775+AO775)/(AM775+AO775)</f>
        <v>0</v>
      </c>
      <c r="BL775" s="4"/>
      <c r="BM775" s="127">
        <f>CF775/102</f>
        <v>0.13921568627450981</v>
      </c>
      <c r="BN775" s="127">
        <f>C775/2</f>
        <v>0.5</v>
      </c>
      <c r="BO775" s="4"/>
      <c r="BP775" s="127">
        <f>(AK775)/($AW$6)</f>
        <v>0.1111111111111111</v>
      </c>
      <c r="BQ775" s="127">
        <f ca="1">(CH775-$AW$4)/((YEAR($C$13))-$AW$4)</f>
        <v>0</v>
      </c>
      <c r="BR775" s="127">
        <f>(AL775)/($AW$6)</f>
        <v>0.22222222222222221</v>
      </c>
      <c r="BS775" s="4"/>
      <c r="BT775" s="127"/>
      <c r="BU775" s="127">
        <f ca="1">(CG775-$AW$4)/((YEAR($C$13))-$AW$4)</f>
        <v>0</v>
      </c>
      <c r="BV775" s="127">
        <f>AE775/5</f>
        <v>1</v>
      </c>
      <c r="BW775" s="127">
        <f>AF775/5</f>
        <v>1</v>
      </c>
      <c r="BX775" s="4"/>
      <c r="BY775" s="148" t="str">
        <f>IF(E775="A",".98",IF(E775="B",".99",IF(E775="C","1.00",IF(E775="D","1.00" ))))</f>
        <v>1.00</v>
      </c>
      <c r="BZ775" s="127">
        <f>(CE775+7)/10</f>
        <v>1</v>
      </c>
      <c r="CA775" s="76" t="str">
        <f>IF(D775="Fern",".97",IF(D775="Grass",".99",IF(D775="Herb",".97",IF(D775="Shrub",".99",IF(D775="Tree","1.00",IF(D775="Vine",".98"))))))</f>
        <v>.99</v>
      </c>
      <c r="CB775" s="149" t="str">
        <f>IF(R775="Bogs Ponds Streams",".96", IF(R775="Coastal Areas",".97",IF(R775="Meadows Dry Open",".96",IF(R775="Forest &amp; Understory",".97",IF(R775="Moist Open",".98",IF(R775="Moist Shady",".96",IF(R775="Sub-Alpine","1.0")))))))</f>
        <v>.96</v>
      </c>
      <c r="CC775" s="76" t="str">
        <f>IF(S775="Local Endemic",".50",IF(S775="Regional Endemic",".70",IF(S775="Cascadia",".90",IF(S775="Rocky Mountain",".95",IF(S775="North America",".99")))))</f>
        <v>.99</v>
      </c>
      <c r="CD775" s="4"/>
      <c r="CE775" s="21">
        <f>IF(W775&gt;3,3,W775)</f>
        <v>3</v>
      </c>
      <c r="CF775" s="21">
        <f>IF(AC775&gt;102,102,AC775)</f>
        <v>14.2</v>
      </c>
      <c r="CG775" s="34">
        <f>IF(AI775&lt;$AW$4,$AW$4,AI775)</f>
        <v>2004</v>
      </c>
      <c r="CH775" s="34">
        <f>IF(AJ775&lt;$AW$4,$AW$4,AJ775)</f>
        <v>2004</v>
      </c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13"/>
    </row>
    <row r="776" spans="1:115" ht="15" customHeight="1" x14ac:dyDescent="0.3">
      <c r="A776" s="235"/>
      <c r="B776" s="218"/>
      <c r="C776" s="375">
        <v>1</v>
      </c>
      <c r="D776" s="95" t="s">
        <v>1155</v>
      </c>
      <c r="E776" s="67" t="s">
        <v>2501</v>
      </c>
      <c r="F776" s="403" t="str">
        <f ca="1">IF(BC776&lt;2025, "Extinct&lt; 6Yrs?",BA776)</f>
        <v>Widespread</v>
      </c>
      <c r="G776" s="376" t="s">
        <v>525</v>
      </c>
      <c r="H776" s="376" t="s">
        <v>4028</v>
      </c>
      <c r="I776" s="380" t="s">
        <v>130</v>
      </c>
      <c r="J776" s="378" t="s">
        <v>3510</v>
      </c>
      <c r="K776" s="378" t="s">
        <v>819</v>
      </c>
      <c r="L776" s="63" t="s">
        <v>2274</v>
      </c>
      <c r="M776" s="64" t="s">
        <v>4847</v>
      </c>
      <c r="N776" s="64" t="s">
        <v>5745</v>
      </c>
      <c r="O776" s="64" t="s">
        <v>6644</v>
      </c>
      <c r="P776" s="61" t="s">
        <v>403</v>
      </c>
      <c r="Q776" s="67" t="s">
        <v>2552</v>
      </c>
      <c r="R776" s="61" t="s">
        <v>2498</v>
      </c>
      <c r="S776" s="61" t="s">
        <v>2495</v>
      </c>
      <c r="T776" s="134" t="str">
        <f>IF(R776="Bogs Ponds Streams","20",IF(R776="Coastal Areas","26",IF(R776="Meadows Dry Open","10",IF(R776="Forest &amp; Understory","14",IF(R776="Moist Open","12",IF(R776="Moist Shady","10",IF(R776="Sub-Alpine Slopes","0")))))))</f>
        <v>10</v>
      </c>
      <c r="U776" s="134" t="str">
        <f>IF(R776="Bogs Ponds Streams","52",IF(R776="Coastal Areas","51",IF(R776="Meadows Dry Open","53",IF(R776="Forest &amp; Understory","52",IF(R776="Moist Open","50",IF(R776="Moist Shady","46",IF(R776="Sub-Alpine Slopes","40")))))))</f>
        <v>46</v>
      </c>
      <c r="V776" s="134" t="str">
        <f>IF(R776="Bogs Ponds Streams","84",IF(R776="Coastal Areas","76",IF(R776="Meadows Dry Open","96", IF(R776="Forest &amp; Understory","90", IF(R776="Moist Open","88", IF(R776="Moist Shady","82", IF(R776="Sub-Alpine Slopes","80")))))))</f>
        <v>82</v>
      </c>
      <c r="W776" s="67">
        <v>20</v>
      </c>
      <c r="X776" s="67">
        <v>0</v>
      </c>
      <c r="Y776" s="67">
        <v>3500</v>
      </c>
      <c r="Z776" s="67" t="s">
        <v>2519</v>
      </c>
      <c r="AA776" s="67" t="s">
        <v>2518</v>
      </c>
      <c r="AB776" s="67">
        <v>6.8</v>
      </c>
      <c r="AC776" s="85">
        <f>C776+AK776+(0.1)*AL776</f>
        <v>6.1</v>
      </c>
      <c r="AD776" s="78">
        <v>14</v>
      </c>
      <c r="AE776" s="67">
        <v>5</v>
      </c>
      <c r="AF776" s="67">
        <v>5</v>
      </c>
      <c r="AG776" s="67">
        <v>1900</v>
      </c>
      <c r="AH776" s="78">
        <v>0</v>
      </c>
      <c r="AI776" s="67">
        <f>AJ776</f>
        <v>2004</v>
      </c>
      <c r="AJ776" s="69">
        <v>2004</v>
      </c>
      <c r="AK776" s="69">
        <v>5</v>
      </c>
      <c r="AL776" s="69">
        <v>1</v>
      </c>
      <c r="AM776" s="70">
        <v>5</v>
      </c>
      <c r="AN776" s="70">
        <v>0</v>
      </c>
      <c r="AO776" s="86">
        <v>0</v>
      </c>
      <c r="AP776" s="70">
        <v>0</v>
      </c>
      <c r="AQ776" s="70">
        <v>0</v>
      </c>
      <c r="AR776" s="70">
        <v>0</v>
      </c>
      <c r="AS776" s="86">
        <v>0</v>
      </c>
      <c r="AT776" s="70">
        <v>0</v>
      </c>
      <c r="AU776" s="70">
        <v>0</v>
      </c>
      <c r="AV776" s="70">
        <v>0</v>
      </c>
      <c r="AW776" s="86">
        <v>0</v>
      </c>
      <c r="AX776" s="70">
        <v>0</v>
      </c>
      <c r="AY776" s="233"/>
      <c r="AZ776" s="4"/>
      <c r="BA776" s="35" t="str">
        <f>IF(OR(S776="North America",S776="Rocky Mountain"), "Widespread",BC776)</f>
        <v>Widespread</v>
      </c>
      <c r="BB776" s="4"/>
      <c r="BC776" s="35">
        <f ca="1">IF(BE776&gt;2046, "Abundant",BE776)</f>
        <v>2032.1711743315509</v>
      </c>
      <c r="BD776" s="4"/>
      <c r="BE776" s="81">
        <f ca="1">YEAR($C$13)+(BG776*80)</f>
        <v>2032.1711743315509</v>
      </c>
      <c r="BF776" s="4"/>
      <c r="BG776" s="137">
        <f ca="1">BH776*$BH$14</f>
        <v>0.16463967914438501</v>
      </c>
      <c r="BH776" s="137">
        <f ca="1">(((BJ776+BK776+BM776+BN776)/4)*$BM$11)+(((BP776+BQ776)/2)*$BQ$11)+(((BU776+BV776+BW776)/3)*$BU$11)+(((BY776+BZ776+CA776+CB776+CC776)/5)*$CA$11)</f>
        <v>0.16463967914438501</v>
      </c>
      <c r="BI776" s="4"/>
      <c r="BJ776" s="33">
        <f>AP776/(AM776+AO776)</f>
        <v>0</v>
      </c>
      <c r="BK776" s="33">
        <f>(AN776+AO776)/(AM776+AO776)</f>
        <v>0</v>
      </c>
      <c r="BL776" s="4"/>
      <c r="BM776" s="127">
        <f>CF776/102</f>
        <v>5.9803921568627447E-2</v>
      </c>
      <c r="BN776" s="127">
        <f>C776/2</f>
        <v>0.5</v>
      </c>
      <c r="BO776" s="4"/>
      <c r="BP776" s="127">
        <f>(AK776)/($AW$6)</f>
        <v>5.0505050505050504E-2</v>
      </c>
      <c r="BQ776" s="127">
        <f ca="1">(CH776-$AW$4)/((YEAR($C$13))-$AW$4)</f>
        <v>0</v>
      </c>
      <c r="BR776" s="127">
        <f>(AL776)/($AW$6)</f>
        <v>1.0101010101010102E-2</v>
      </c>
      <c r="BS776" s="4"/>
      <c r="BT776" s="127"/>
      <c r="BU776" s="127">
        <f ca="1">(CG776-$AW$4)/((YEAR($C$13))-$AW$4)</f>
        <v>0</v>
      </c>
      <c r="BV776" s="127">
        <f>AE776/5</f>
        <v>1</v>
      </c>
      <c r="BW776" s="127">
        <f>AF776/5</f>
        <v>1</v>
      </c>
      <c r="BX776" s="4"/>
      <c r="BY776" s="148" t="str">
        <f>IF(E776="A",".98",IF(E776="B",".99",IF(E776="C","1.00",IF(E776="D","1.00" ))))</f>
        <v>1.00</v>
      </c>
      <c r="BZ776" s="127">
        <f>(CE776+7)/10</f>
        <v>1</v>
      </c>
      <c r="CA776" s="76" t="str">
        <f>IF(D776="Fern",".97",IF(D776="Grass",".99",IF(D776="Herb",".97",IF(D776="Shrub",".99",IF(D776="Tree","1.00",IF(D776="Vine",".98"))))))</f>
        <v>.99</v>
      </c>
      <c r="CB776" s="149" t="str">
        <f>IF(R776="Bogs Ponds Streams",".96", IF(R776="Coastal Areas",".97",IF(R776="Meadows Dry Open",".96",IF(R776="Forest &amp; Understory",".97",IF(R776="Moist Open",".98",IF(R776="Moist Shady",".96",IF(R776="Sub-Alpine","1.0")))))))</f>
        <v>.96</v>
      </c>
      <c r="CC776" s="76" t="str">
        <f>IF(S776="Local Endemic",".50",IF(S776="Regional Endemic",".70",IF(S776="Cascadia",".90",IF(S776="Rocky Mountain",".95",IF(S776="North America",".99")))))</f>
        <v>.99</v>
      </c>
      <c r="CD776" s="4"/>
      <c r="CE776" s="21">
        <f>IF(W776&gt;3,3,W776)</f>
        <v>3</v>
      </c>
      <c r="CF776" s="21">
        <f>IF(AC776&gt;102,102,AC776)</f>
        <v>6.1</v>
      </c>
      <c r="CG776" s="34">
        <f>IF(AI776&lt;$AW$4,$AW$4,AI776)</f>
        <v>2004</v>
      </c>
      <c r="CH776" s="34">
        <f>IF(AJ776&lt;$AW$4,$AW$4,AJ776)</f>
        <v>2004</v>
      </c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13"/>
    </row>
    <row r="777" spans="1:115" ht="15" customHeight="1" x14ac:dyDescent="0.3">
      <c r="A777" s="235"/>
      <c r="B777" s="218"/>
      <c r="C777" s="225">
        <v>8</v>
      </c>
      <c r="D777" s="59" t="s">
        <v>2505</v>
      </c>
      <c r="E777" s="59" t="s">
        <v>2502</v>
      </c>
      <c r="F777" s="397" t="str">
        <f ca="1">IF(BC777&lt;2025, "Extinct&lt; 6Yrs?",BA777)</f>
        <v>Widespread</v>
      </c>
      <c r="G777" s="363" t="s">
        <v>525</v>
      </c>
      <c r="H777" s="363" t="s">
        <v>678</v>
      </c>
      <c r="I777" s="364" t="s">
        <v>2707</v>
      </c>
      <c r="J777" s="365" t="s">
        <v>3936</v>
      </c>
      <c r="K777" s="365" t="s">
        <v>1138</v>
      </c>
      <c r="L777" s="17" t="s">
        <v>4056</v>
      </c>
      <c r="M777" s="8" t="s">
        <v>4848</v>
      </c>
      <c r="N777" s="8" t="s">
        <v>5746</v>
      </c>
      <c r="O777" s="8" t="s">
        <v>6645</v>
      </c>
      <c r="P777" s="398" t="s">
        <v>403</v>
      </c>
      <c r="Q777" s="59" t="s">
        <v>2552</v>
      </c>
      <c r="R777" s="9" t="s">
        <v>2499</v>
      </c>
      <c r="S777" s="9" t="s">
        <v>2495</v>
      </c>
      <c r="T777" s="123" t="str">
        <f>IF(R777="Bogs Ponds Streams","20",IF(R777="Coastal Areas","26",IF(R777="Meadows Dry Open","10",IF(R777="Forest &amp; Understory","14",IF(R777="Moist Open","12",IF(R777="Moist Shady","10",IF(R777="Sub-Alpine Slopes","0")))))))</f>
        <v>20</v>
      </c>
      <c r="U777" s="123" t="str">
        <f>IF(R777="Bogs Ponds Streams","52",IF(R777="Coastal Areas","51",IF(R777="Meadows Dry Open","53",IF(R777="Forest &amp; Understory","52",IF(R777="Moist Open","50",IF(R777="Moist Shady","46",IF(R777="Sub-Alpine Slopes","40")))))))</f>
        <v>52</v>
      </c>
      <c r="V777" s="123" t="str">
        <f>IF(R777="Bogs Ponds Streams","84",IF(R777="Coastal Areas","76",IF(R777="Meadows Dry Open","96", IF(R777="Forest &amp; Understory","90", IF(R777="Moist Open","88", IF(R777="Moist Shady","82", IF(R777="Sub-Alpine Slopes","80")))))))</f>
        <v>84</v>
      </c>
      <c r="W777" s="59">
        <v>1</v>
      </c>
      <c r="X777" s="59">
        <v>0</v>
      </c>
      <c r="Y777" s="59">
        <v>3500</v>
      </c>
      <c r="Z777" s="59" t="s">
        <v>2519</v>
      </c>
      <c r="AA777" s="59" t="s">
        <v>2518</v>
      </c>
      <c r="AB777" s="59">
        <v>6.8</v>
      </c>
      <c r="AC777" s="45">
        <f>C777+AK777+(0.1)*AL777</f>
        <v>14.1</v>
      </c>
      <c r="AD777" s="77">
        <v>52</v>
      </c>
      <c r="AE777" s="59">
        <v>5</v>
      </c>
      <c r="AF777" s="59">
        <v>5</v>
      </c>
      <c r="AG777" s="59">
        <v>1900</v>
      </c>
      <c r="AH777" s="77">
        <v>0</v>
      </c>
      <c r="AI777" s="59">
        <f>AJ777</f>
        <v>2004</v>
      </c>
      <c r="AJ777" s="18">
        <v>2004</v>
      </c>
      <c r="AK777" s="18">
        <v>5</v>
      </c>
      <c r="AL777" s="18">
        <v>11</v>
      </c>
      <c r="AM777" s="18">
        <v>1</v>
      </c>
      <c r="AN777" s="18">
        <v>1</v>
      </c>
      <c r="AO777" s="25">
        <v>0</v>
      </c>
      <c r="AP777" s="24">
        <v>0</v>
      </c>
      <c r="AQ777" s="18">
        <v>0</v>
      </c>
      <c r="AR777" s="18">
        <v>0</v>
      </c>
      <c r="AS777" s="18">
        <v>0</v>
      </c>
      <c r="AT777" s="18">
        <v>0</v>
      </c>
      <c r="AU777" s="18">
        <v>0</v>
      </c>
      <c r="AV777" s="18">
        <v>0</v>
      </c>
      <c r="AW777" s="18">
        <v>0</v>
      </c>
      <c r="AX777" s="18">
        <v>0</v>
      </c>
      <c r="AY777" s="233"/>
      <c r="AZ777" s="4"/>
      <c r="BA777" s="35" t="str">
        <f>IF(OR(S777="North America",S777="Rocky Mountain"), "Widespread",BC777)</f>
        <v>Widespread</v>
      </c>
      <c r="BB777" s="4"/>
      <c r="BC777" s="35" t="str">
        <f ca="1">IF(BE777&gt;2046, "Abundant",BE777)</f>
        <v>Abundant</v>
      </c>
      <c r="BD777" s="4"/>
      <c r="BE777" s="81">
        <f ca="1">YEAR($C$13)+(BG777*80)</f>
        <v>2087.0355508021389</v>
      </c>
      <c r="BF777" s="4"/>
      <c r="BG777" s="137">
        <f ca="1">BH777*$BH$14</f>
        <v>0.85044438502673803</v>
      </c>
      <c r="BH777" s="137">
        <f ca="1">(((BJ777+BK777+BM777+BN777)/4)*$BM$11)+(((BP777+BQ777)/2)*$BQ$11)+(((BU777+BV777+BW777)/3)*$BU$11)+(((BY777+BZ777+CA777+CB777+CC777)/5)*$CA$11)</f>
        <v>0.85044438502673803</v>
      </c>
      <c r="BI777" s="4"/>
      <c r="BJ777" s="33">
        <f>AP777/(AM777+AO777)</f>
        <v>0</v>
      </c>
      <c r="BK777" s="33">
        <f>(AN777+AO777)/(AM777+AO777)</f>
        <v>1</v>
      </c>
      <c r="BL777" s="4"/>
      <c r="BM777" s="127">
        <f>CF777/102</f>
        <v>0.13823529411764707</v>
      </c>
      <c r="BN777" s="127">
        <f>C777/2</f>
        <v>4</v>
      </c>
      <c r="BO777" s="4"/>
      <c r="BP777" s="127">
        <f>(AK777)/($AW$6)</f>
        <v>5.0505050505050504E-2</v>
      </c>
      <c r="BQ777" s="127">
        <f ca="1">(CH777-$AW$4)/((YEAR($C$13))-$AW$4)</f>
        <v>0</v>
      </c>
      <c r="BR777" s="127">
        <f>(AL777)/($AW$6)</f>
        <v>0.1111111111111111</v>
      </c>
      <c r="BS777" s="4"/>
      <c r="BT777" s="127"/>
      <c r="BU777" s="127">
        <f ca="1">(CG777-$AW$4)/((YEAR($C$13))-$AW$4)</f>
        <v>0</v>
      </c>
      <c r="BV777" s="127">
        <f>AE777/5</f>
        <v>1</v>
      </c>
      <c r="BW777" s="127">
        <f>AF777/5</f>
        <v>1</v>
      </c>
      <c r="BX777" s="4"/>
      <c r="BY777" s="148" t="str">
        <f>IF(E777="A",".98",IF(E777="B",".99",IF(E777="C","1.00",IF(E777="D","1.00" ))))</f>
        <v>.98</v>
      </c>
      <c r="BZ777" s="127">
        <f>(CE777+7)/10</f>
        <v>0.8</v>
      </c>
      <c r="CA777" s="76" t="str">
        <f>IF(D777="Fern",".97",IF(D777="Grass",".99",IF(D777="Herb",".97",IF(D777="Shrub",".99",IF(D777="Tree","1.00",IF(D777="Vine",".98"))))))</f>
        <v>.97</v>
      </c>
      <c r="CB777" s="149" t="str">
        <f>IF(R777="Bogs Ponds Streams",".96", IF(R777="Coastal Areas",".97",IF(R777="Meadows Dry Open",".96",IF(R777="Forest &amp; Understory",".97",IF(R777="Moist Open",".98",IF(R777="Moist Shady",".96",IF(R777="Sub-Alpine","1.0")))))))</f>
        <v>.96</v>
      </c>
      <c r="CC777" s="76" t="str">
        <f>IF(S777="Local Endemic",".50",IF(S777="Regional Endemic",".70",IF(S777="Cascadia",".90",IF(S777="Rocky Mountain",".95",IF(S777="North America",".99")))))</f>
        <v>.99</v>
      </c>
      <c r="CD777" s="4"/>
      <c r="CE777" s="21">
        <f>IF(W777&gt;3,3,W777)</f>
        <v>1</v>
      </c>
      <c r="CF777" s="21">
        <f>IF(AC777&gt;102,102,AC777)</f>
        <v>14.1</v>
      </c>
      <c r="CG777" s="34">
        <f>IF(AI777&lt;$AW$4,$AW$4,AI777)</f>
        <v>2004</v>
      </c>
      <c r="CH777" s="34">
        <f>IF(AJ777&lt;$AW$4,$AW$4,AJ777)</f>
        <v>2004</v>
      </c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13"/>
    </row>
    <row r="778" spans="1:115" ht="15" customHeight="1" x14ac:dyDescent="0.3">
      <c r="A778" s="235"/>
      <c r="B778" s="218"/>
      <c r="C778" s="226">
        <v>2</v>
      </c>
      <c r="D778" s="119" t="s">
        <v>1155</v>
      </c>
      <c r="E778" s="104" t="s">
        <v>2501</v>
      </c>
      <c r="F778" s="400" t="str">
        <f ca="1">IF(BC778&lt;2025, "Extinct&lt; 6Yrs?",BA778)</f>
        <v>Widespread</v>
      </c>
      <c r="G778" s="369" t="s">
        <v>525</v>
      </c>
      <c r="H778" s="369" t="s">
        <v>4028</v>
      </c>
      <c r="I778" s="372" t="s">
        <v>2708</v>
      </c>
      <c r="J778" s="371" t="s">
        <v>3696</v>
      </c>
      <c r="K778" s="371" t="s">
        <v>2815</v>
      </c>
      <c r="L778" s="114" t="s">
        <v>2275</v>
      </c>
      <c r="M778" s="111" t="s">
        <v>4849</v>
      </c>
      <c r="N778" s="111" t="s">
        <v>5747</v>
      </c>
      <c r="O778" s="111" t="s">
        <v>6646</v>
      </c>
      <c r="P778" s="105" t="s">
        <v>403</v>
      </c>
      <c r="Q778" s="104" t="s">
        <v>2552</v>
      </c>
      <c r="R778" s="105" t="s">
        <v>2498</v>
      </c>
      <c r="S778" s="103" t="s">
        <v>2495</v>
      </c>
      <c r="T778" s="133" t="str">
        <f>IF(R778="Bogs Ponds Streams","20",IF(R778="Coastal Areas","26",IF(R778="Meadows Dry Open","10",IF(R778="Forest &amp; Understory","14",IF(R778="Moist Open","12",IF(R778="Moist Shady","10",IF(R778="Sub-Alpine Slopes","0")))))))</f>
        <v>10</v>
      </c>
      <c r="U778" s="133" t="str">
        <f>IF(R778="Bogs Ponds Streams","52",IF(R778="Coastal Areas","51",IF(R778="Meadows Dry Open","53",IF(R778="Forest &amp; Understory","52",IF(R778="Moist Open","50",IF(R778="Moist Shady","46",IF(R778="Sub-Alpine Slopes","40")))))))</f>
        <v>46</v>
      </c>
      <c r="V778" s="133" t="str">
        <f>IF(R778="Bogs Ponds Streams","84",IF(R778="Coastal Areas","76",IF(R778="Meadows Dry Open","96", IF(R778="Forest &amp; Understory","90", IF(R778="Moist Open","88", IF(R778="Moist Shady","82", IF(R778="Sub-Alpine Slopes","80")))))))</f>
        <v>82</v>
      </c>
      <c r="W778" s="104">
        <v>20</v>
      </c>
      <c r="X778" s="104">
        <v>0</v>
      </c>
      <c r="Y778" s="104">
        <v>3500</v>
      </c>
      <c r="Z778" s="104" t="s">
        <v>2519</v>
      </c>
      <c r="AA778" s="104" t="s">
        <v>2518</v>
      </c>
      <c r="AB778" s="104">
        <v>6.8</v>
      </c>
      <c r="AC778" s="107">
        <f>C778+AK778+(0.1)*AL778</f>
        <v>4</v>
      </c>
      <c r="AD778" s="113">
        <v>5</v>
      </c>
      <c r="AE778" s="104">
        <v>5</v>
      </c>
      <c r="AF778" s="104">
        <v>5</v>
      </c>
      <c r="AG778" s="104">
        <v>1900</v>
      </c>
      <c r="AH778" s="113">
        <v>0</v>
      </c>
      <c r="AI778" s="104">
        <f>AJ778</f>
        <v>2004</v>
      </c>
      <c r="AJ778" s="108">
        <v>2004</v>
      </c>
      <c r="AK778" s="108">
        <v>2</v>
      </c>
      <c r="AL778" s="108">
        <v>0</v>
      </c>
      <c r="AM778" s="109">
        <v>5</v>
      </c>
      <c r="AN778" s="109">
        <v>1</v>
      </c>
      <c r="AO778" s="110">
        <v>0</v>
      </c>
      <c r="AP778" s="109">
        <v>0</v>
      </c>
      <c r="AQ778" s="109">
        <v>0</v>
      </c>
      <c r="AR778" s="109">
        <v>0</v>
      </c>
      <c r="AS778" s="110">
        <v>0</v>
      </c>
      <c r="AT778" s="109">
        <v>0</v>
      </c>
      <c r="AU778" s="109">
        <v>0</v>
      </c>
      <c r="AV778" s="109">
        <v>0</v>
      </c>
      <c r="AW778" s="110">
        <v>0</v>
      </c>
      <c r="AX778" s="109">
        <v>0</v>
      </c>
      <c r="AY778" s="233"/>
      <c r="AZ778" s="4"/>
      <c r="BA778" s="35" t="str">
        <f>IF(OR(S778="North America",S778="Rocky Mountain"), "Widespread",BC778)</f>
        <v>Widespread</v>
      </c>
      <c r="BB778" s="4"/>
      <c r="BC778" s="35">
        <f ca="1">IF(BE778&gt;2046, "Abundant",BE778)</f>
        <v>2039.9604791443851</v>
      </c>
      <c r="BD778" s="4"/>
      <c r="BE778" s="81">
        <f ca="1">YEAR($C$13)+(BG778*80)</f>
        <v>2039.9604791443851</v>
      </c>
      <c r="BF778" s="4"/>
      <c r="BG778" s="137">
        <f ca="1">BH778*$BH$14</f>
        <v>0.26200598930481284</v>
      </c>
      <c r="BH778" s="137">
        <f ca="1">(((BJ778+BK778+BM778+BN778)/4)*$BM$11)+(((BP778+BQ778)/2)*$BQ$11)+(((BU778+BV778+BW778)/3)*$BU$11)+(((BY778+BZ778+CA778+CB778+CC778)/5)*$CA$11)</f>
        <v>0.26200598930481284</v>
      </c>
      <c r="BI778" s="4"/>
      <c r="BJ778" s="33">
        <f>AP778/(AM778+AO778)</f>
        <v>0</v>
      </c>
      <c r="BK778" s="33">
        <f>(AN778+AO778)/(AM778+AO778)</f>
        <v>0.2</v>
      </c>
      <c r="BL778" s="4"/>
      <c r="BM778" s="127">
        <f>CF778/102</f>
        <v>3.9215686274509803E-2</v>
      </c>
      <c r="BN778" s="127">
        <f>C778/2</f>
        <v>1</v>
      </c>
      <c r="BO778" s="4"/>
      <c r="BP778" s="127">
        <f>(AK778)/($AW$6)</f>
        <v>2.0202020202020204E-2</v>
      </c>
      <c r="BQ778" s="127">
        <f ca="1">(CH778-$AW$4)/((YEAR($C$13))-$AW$4)</f>
        <v>0</v>
      </c>
      <c r="BR778" s="127">
        <f>(AL778)/($AW$6)</f>
        <v>0</v>
      </c>
      <c r="BS778" s="4"/>
      <c r="BT778" s="127"/>
      <c r="BU778" s="127">
        <f ca="1">(CG778-$AW$4)/((YEAR($C$13))-$AW$4)</f>
        <v>0</v>
      </c>
      <c r="BV778" s="127">
        <f>AE778/5</f>
        <v>1</v>
      </c>
      <c r="BW778" s="127">
        <f>AF778/5</f>
        <v>1</v>
      </c>
      <c r="BX778" s="4"/>
      <c r="BY778" s="148" t="str">
        <f>IF(E778="A",".98",IF(E778="B",".99",IF(E778="C","1.00",IF(E778="D","1.00" ))))</f>
        <v>1.00</v>
      </c>
      <c r="BZ778" s="127">
        <f>(CE778+7)/10</f>
        <v>1</v>
      </c>
      <c r="CA778" s="76" t="str">
        <f>IF(D778="Fern",".97",IF(D778="Grass",".99",IF(D778="Herb",".97",IF(D778="Shrub",".99",IF(D778="Tree","1.00",IF(D778="Vine",".98"))))))</f>
        <v>.99</v>
      </c>
      <c r="CB778" s="149" t="str">
        <f>IF(R778="Bogs Ponds Streams",".96", IF(R778="Coastal Areas",".97",IF(R778="Meadows Dry Open",".96",IF(R778="Forest &amp; Understory",".97",IF(R778="Moist Open",".98",IF(R778="Moist Shady",".96",IF(R778="Sub-Alpine","1.0")))))))</f>
        <v>.96</v>
      </c>
      <c r="CC778" s="76" t="str">
        <f>IF(S778="Local Endemic",".50",IF(S778="Regional Endemic",".70",IF(S778="Cascadia",".90",IF(S778="Rocky Mountain",".95",IF(S778="North America",".99")))))</f>
        <v>.99</v>
      </c>
      <c r="CD778" s="4"/>
      <c r="CE778" s="21">
        <f>IF(W778&gt;3,3,W778)</f>
        <v>3</v>
      </c>
      <c r="CF778" s="21">
        <f>IF(AC778&gt;102,102,AC778)</f>
        <v>4</v>
      </c>
      <c r="CG778" s="34">
        <f>IF(AI778&lt;$AW$4,$AW$4,AI778)</f>
        <v>2004</v>
      </c>
      <c r="CH778" s="34">
        <f>IF(AJ778&lt;$AW$4,$AW$4,AJ778)</f>
        <v>2004</v>
      </c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13"/>
    </row>
    <row r="779" spans="1:115" ht="15" customHeight="1" x14ac:dyDescent="0.3">
      <c r="A779" s="235"/>
      <c r="B779" s="218"/>
      <c r="C779" s="225">
        <v>8</v>
      </c>
      <c r="D779" s="94" t="s">
        <v>1155</v>
      </c>
      <c r="E779" s="59" t="s">
        <v>2501</v>
      </c>
      <c r="F779" s="397" t="str">
        <f ca="1">IF(BC779&lt;2025, "Extinct&lt; 6Yrs?",BA779)</f>
        <v>Widespread</v>
      </c>
      <c r="G779" s="363" t="s">
        <v>525</v>
      </c>
      <c r="H779" s="363" t="s">
        <v>677</v>
      </c>
      <c r="I779" s="366" t="s">
        <v>3133</v>
      </c>
      <c r="J779" s="365" t="s">
        <v>3696</v>
      </c>
      <c r="K779" s="365" t="s">
        <v>820</v>
      </c>
      <c r="L779" s="10" t="s">
        <v>2276</v>
      </c>
      <c r="M779" s="8" t="s">
        <v>4850</v>
      </c>
      <c r="N779" s="8" t="s">
        <v>5748</v>
      </c>
      <c r="O779" s="8" t="s">
        <v>6647</v>
      </c>
      <c r="P779" s="9" t="s">
        <v>403</v>
      </c>
      <c r="Q779" s="59" t="s">
        <v>2552</v>
      </c>
      <c r="R779" s="9" t="s">
        <v>2498</v>
      </c>
      <c r="S779" s="9" t="s">
        <v>2495</v>
      </c>
      <c r="T779" s="123" t="str">
        <f>IF(R779="Bogs Ponds Streams","20",IF(R779="Coastal Areas","26",IF(R779="Meadows Dry Open","10",IF(R779="Forest &amp; Understory","14",IF(R779="Moist Open","12",IF(R779="Moist Shady","10",IF(R779="Sub-Alpine Slopes","0")))))))</f>
        <v>10</v>
      </c>
      <c r="U779" s="123" t="str">
        <f>IF(R779="Bogs Ponds Streams","52",IF(R779="Coastal Areas","51",IF(R779="Meadows Dry Open","53",IF(R779="Forest &amp; Understory","52",IF(R779="Moist Open","50",IF(R779="Moist Shady","46",IF(R779="Sub-Alpine Slopes","40")))))))</f>
        <v>46</v>
      </c>
      <c r="V779" s="123" t="str">
        <f>IF(R779="Bogs Ponds Streams","84",IF(R779="Coastal Areas","76",IF(R779="Meadows Dry Open","96", IF(R779="Forest &amp; Understory","90", IF(R779="Moist Open","88", IF(R779="Moist Shady","82", IF(R779="Sub-Alpine Slopes","80")))))))</f>
        <v>82</v>
      </c>
      <c r="W779" s="59">
        <v>20</v>
      </c>
      <c r="X779" s="59">
        <v>0</v>
      </c>
      <c r="Y779" s="59">
        <v>3500</v>
      </c>
      <c r="Z779" s="59" t="s">
        <v>2519</v>
      </c>
      <c r="AA779" s="59" t="s">
        <v>2518</v>
      </c>
      <c r="AB779" s="59">
        <v>6.8</v>
      </c>
      <c r="AC779" s="45">
        <f>C779+AK779+(0.1)*AL779</f>
        <v>43.2</v>
      </c>
      <c r="AD779" s="77">
        <v>158</v>
      </c>
      <c r="AE779" s="59">
        <v>5</v>
      </c>
      <c r="AF779" s="59">
        <v>5</v>
      </c>
      <c r="AG779" s="59">
        <v>1900</v>
      </c>
      <c r="AH779" s="77">
        <v>0</v>
      </c>
      <c r="AI779" s="59">
        <f ca="1">AJ779</f>
        <v>2019</v>
      </c>
      <c r="AJ779" s="18">
        <f ca="1">YEAR(TODAY())</f>
        <v>2019</v>
      </c>
      <c r="AK779" s="18">
        <v>33</v>
      </c>
      <c r="AL779" s="18">
        <v>22</v>
      </c>
      <c r="AM779" s="18">
        <v>1</v>
      </c>
      <c r="AN779" s="18">
        <v>1</v>
      </c>
      <c r="AO779" s="18">
        <v>5</v>
      </c>
      <c r="AP779" s="18">
        <v>1</v>
      </c>
      <c r="AQ779" s="18">
        <v>0</v>
      </c>
      <c r="AR779" s="18">
        <v>0</v>
      </c>
      <c r="AS779" s="18">
        <v>0</v>
      </c>
      <c r="AT779" s="18">
        <v>0</v>
      </c>
      <c r="AU779" s="18">
        <v>0</v>
      </c>
      <c r="AV779" s="18">
        <v>0</v>
      </c>
      <c r="AW779" s="18">
        <v>0</v>
      </c>
      <c r="AX779" s="18">
        <v>0</v>
      </c>
      <c r="AY779" s="233"/>
      <c r="AZ779" s="4"/>
      <c r="BA779" s="35" t="str">
        <f>IF(OR(S779="North America",S779="Rocky Mountain"), "Widespread",BC779)</f>
        <v>Widespread</v>
      </c>
      <c r="BB779" s="4"/>
      <c r="BC779" s="35" t="str">
        <f ca="1">IF(BE779&gt;2046, "Abundant",BE779)</f>
        <v>Abundant</v>
      </c>
      <c r="BD779" s="4"/>
      <c r="BE779" s="81">
        <f ca="1">YEAR($C$13)+(BG779*80)</f>
        <v>2110.0631529411767</v>
      </c>
      <c r="BF779" s="4"/>
      <c r="BG779" s="137">
        <f ca="1">BH779*$BH$14</f>
        <v>1.138289411764706</v>
      </c>
      <c r="BH779" s="137">
        <f ca="1">(((BJ779+BK779+BM779+BN779)/4)*$BM$11)+(((BP779+BQ779)/2)*$BQ$11)+(((BU779+BV779+BW779)/3)*$BU$11)+(((BY779+BZ779+CA779+CB779+CC779)/5)*$CA$11)</f>
        <v>1.138289411764706</v>
      </c>
      <c r="BI779" s="4"/>
      <c r="BJ779" s="33">
        <f>AP779/(AM779+AO779)</f>
        <v>0.16666666666666666</v>
      </c>
      <c r="BK779" s="33">
        <f>(AN779+AO779)/(AM779+AO779)</f>
        <v>1</v>
      </c>
      <c r="BL779" s="4"/>
      <c r="BM779" s="127">
        <f>CF779/102</f>
        <v>0.42352941176470593</v>
      </c>
      <c r="BN779" s="127">
        <f>C779/2</f>
        <v>4</v>
      </c>
      <c r="BO779" s="4"/>
      <c r="BP779" s="127">
        <f>(AK779)/($AW$6)</f>
        <v>0.33333333333333331</v>
      </c>
      <c r="BQ779" s="127">
        <f ca="1">(CH779-$AW$4)/((YEAR($C$13))-$AW$4)</f>
        <v>1</v>
      </c>
      <c r="BR779" s="127">
        <f>(AL779)/($AW$6)</f>
        <v>0.22222222222222221</v>
      </c>
      <c r="BS779" s="4"/>
      <c r="BT779" s="127"/>
      <c r="BU779" s="127">
        <f ca="1">(CG779-$AW$4)/((YEAR($C$13))-$AW$4)</f>
        <v>1</v>
      </c>
      <c r="BV779" s="127">
        <f>AE779/5</f>
        <v>1</v>
      </c>
      <c r="BW779" s="127">
        <f>AF779/5</f>
        <v>1</v>
      </c>
      <c r="BX779" s="4"/>
      <c r="BY779" s="148" t="str">
        <f>IF(E779="A",".98",IF(E779="B",".99",IF(E779="C","1.00",IF(E779="D","1.00" ))))</f>
        <v>1.00</v>
      </c>
      <c r="BZ779" s="127">
        <f>(CE779+7)/10</f>
        <v>1</v>
      </c>
      <c r="CA779" s="76" t="str">
        <f>IF(D779="Fern",".97",IF(D779="Grass",".99",IF(D779="Herb",".97",IF(D779="Shrub",".99",IF(D779="Tree","1.00",IF(D779="Vine",".98"))))))</f>
        <v>.99</v>
      </c>
      <c r="CB779" s="149" t="str">
        <f>IF(R779="Bogs Ponds Streams",".96", IF(R779="Coastal Areas",".97",IF(R779="Meadows Dry Open",".96",IF(R779="Forest &amp; Understory",".97",IF(R779="Moist Open",".98",IF(R779="Moist Shady",".96",IF(R779="Sub-Alpine","1.0")))))))</f>
        <v>.96</v>
      </c>
      <c r="CC779" s="76" t="str">
        <f>IF(S779="Local Endemic",".50",IF(S779="Regional Endemic",".70",IF(S779="Cascadia",".90",IF(S779="Rocky Mountain",".95",IF(S779="North America",".99")))))</f>
        <v>.99</v>
      </c>
      <c r="CD779" s="4"/>
      <c r="CE779" s="21">
        <f>IF(W779&gt;3,3,W779)</f>
        <v>3</v>
      </c>
      <c r="CF779" s="21">
        <f>IF(AC779&gt;102,102,AC779)</f>
        <v>43.2</v>
      </c>
      <c r="CG779" s="34">
        <f ca="1">IF(AI779&lt;$AW$4,$AW$4,AI779)</f>
        <v>2019</v>
      </c>
      <c r="CH779" s="34">
        <f ca="1">IF(AJ779&lt;$AW$4,$AW$4,AJ779)</f>
        <v>2019</v>
      </c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13"/>
    </row>
    <row r="780" spans="1:115" ht="15" customHeight="1" x14ac:dyDescent="0.3">
      <c r="A780" s="235"/>
      <c r="B780" s="218"/>
      <c r="C780" s="225">
        <v>8</v>
      </c>
      <c r="D780" s="59" t="s">
        <v>2505</v>
      </c>
      <c r="E780" s="59" t="s">
        <v>2501</v>
      </c>
      <c r="F780" s="397" t="str">
        <f ca="1">IF(BC780&lt;2025, "Extinct&lt; 6Yrs?",BA780)</f>
        <v>Widespread</v>
      </c>
      <c r="G780" s="363" t="s">
        <v>525</v>
      </c>
      <c r="H780" s="363" t="s">
        <v>683</v>
      </c>
      <c r="I780" s="366" t="s">
        <v>3134</v>
      </c>
      <c r="J780" s="365" t="s">
        <v>3935</v>
      </c>
      <c r="K780" s="365" t="s">
        <v>379</v>
      </c>
      <c r="L780" s="10" t="s">
        <v>2277</v>
      </c>
      <c r="M780" s="8" t="s">
        <v>4851</v>
      </c>
      <c r="N780" s="8" t="s">
        <v>5749</v>
      </c>
      <c r="O780" s="8" t="s">
        <v>6648</v>
      </c>
      <c r="P780" s="9" t="s">
        <v>366</v>
      </c>
      <c r="Q780" s="59" t="s">
        <v>2552</v>
      </c>
      <c r="R780" s="9" t="s">
        <v>2498</v>
      </c>
      <c r="S780" s="9" t="s">
        <v>2495</v>
      </c>
      <c r="T780" s="123" t="str">
        <f>IF(R780="Bogs Ponds Streams","20",IF(R780="Coastal Areas","26",IF(R780="Meadows Dry Open","10",IF(R780="Forest &amp; Understory","14",IF(R780="Moist Open","12",IF(R780="Moist Shady","10",IF(R780="Sub-Alpine Slopes","0")))))))</f>
        <v>10</v>
      </c>
      <c r="U780" s="123" t="str">
        <f>IF(R780="Bogs Ponds Streams","52",IF(R780="Coastal Areas","51",IF(R780="Meadows Dry Open","53",IF(R780="Forest &amp; Understory","52",IF(R780="Moist Open","50",IF(R780="Moist Shady","46",IF(R780="Sub-Alpine Slopes","40")))))))</f>
        <v>46</v>
      </c>
      <c r="V780" s="123" t="str">
        <f>IF(R780="Bogs Ponds Streams","84",IF(R780="Coastal Areas","76",IF(R780="Meadows Dry Open","96", IF(R780="Forest &amp; Understory","90", IF(R780="Moist Open","88", IF(R780="Moist Shady","82", IF(R780="Sub-Alpine Slopes","80")))))))</f>
        <v>82</v>
      </c>
      <c r="W780" s="59">
        <v>20</v>
      </c>
      <c r="X780" s="59">
        <v>0</v>
      </c>
      <c r="Y780" s="59">
        <v>3500</v>
      </c>
      <c r="Z780" s="59" t="s">
        <v>2519</v>
      </c>
      <c r="AA780" s="59" t="s">
        <v>2518</v>
      </c>
      <c r="AB780" s="59">
        <v>6.8</v>
      </c>
      <c r="AC780" s="45">
        <f>C780+AK780+(0.1)*AL780</f>
        <v>14.2</v>
      </c>
      <c r="AD780" s="77">
        <v>78</v>
      </c>
      <c r="AE780" s="59">
        <v>5</v>
      </c>
      <c r="AF780" s="59">
        <v>5</v>
      </c>
      <c r="AG780" s="59">
        <v>1900</v>
      </c>
      <c r="AH780" s="77">
        <v>0</v>
      </c>
      <c r="AI780" s="59">
        <f ca="1">AJ780</f>
        <v>2019</v>
      </c>
      <c r="AJ780" s="18">
        <f ca="1">YEAR(TODAY())</f>
        <v>2019</v>
      </c>
      <c r="AK780" s="18">
        <v>4</v>
      </c>
      <c r="AL780" s="18">
        <v>22</v>
      </c>
      <c r="AM780" s="18">
        <v>1</v>
      </c>
      <c r="AN780" s="18">
        <v>1</v>
      </c>
      <c r="AO780" s="18">
        <v>5</v>
      </c>
      <c r="AP780" s="18">
        <v>1</v>
      </c>
      <c r="AQ780" s="18">
        <v>0</v>
      </c>
      <c r="AR780" s="18">
        <v>0</v>
      </c>
      <c r="AS780" s="18">
        <v>0</v>
      </c>
      <c r="AT780" s="18">
        <v>0</v>
      </c>
      <c r="AU780" s="18">
        <v>0</v>
      </c>
      <c r="AV780" s="18">
        <v>0</v>
      </c>
      <c r="AW780" s="18">
        <v>0</v>
      </c>
      <c r="AX780" s="18">
        <v>0</v>
      </c>
      <c r="AY780" s="233"/>
      <c r="AZ780" s="4"/>
      <c r="BA780" s="35" t="str">
        <f>IF(OR(S780="North America",S780="Rocky Mountain"), "Widespread",BC780)</f>
        <v>Widespread</v>
      </c>
      <c r="BB780" s="4"/>
      <c r="BC780" s="35" t="str">
        <f ca="1">IF(BE780&gt;2046, "Abundant",BE780)</f>
        <v>Abundant</v>
      </c>
      <c r="BD780" s="4"/>
      <c r="BE780" s="81">
        <f ca="1">YEAR($C$13)+(BG780*80)</f>
        <v>2103.1298367201425</v>
      </c>
      <c r="BF780" s="4"/>
      <c r="BG780" s="137">
        <f ca="1">BH780*$BH$14</f>
        <v>1.0516229590017825</v>
      </c>
      <c r="BH780" s="137">
        <f ca="1">(((BJ780+BK780+BM780+BN780)/4)*$BM$11)+(((BP780+BQ780)/2)*$BQ$11)+(((BU780+BV780+BW780)/3)*$BU$11)+(((BY780+BZ780+CA780+CB780+CC780)/5)*$CA$11)</f>
        <v>1.0516229590017825</v>
      </c>
      <c r="BI780" s="4"/>
      <c r="BJ780" s="33">
        <f>AP780/(AM780+AO780)</f>
        <v>0.16666666666666666</v>
      </c>
      <c r="BK780" s="33">
        <f>(AN780+AO780)/(AM780+AO780)</f>
        <v>1</v>
      </c>
      <c r="BL780" s="4"/>
      <c r="BM780" s="127">
        <f>CF780/102</f>
        <v>0.13921568627450981</v>
      </c>
      <c r="BN780" s="127">
        <f>C780/2</f>
        <v>4</v>
      </c>
      <c r="BO780" s="4"/>
      <c r="BP780" s="127">
        <f>(AK780)/($AW$6)</f>
        <v>4.0404040404040407E-2</v>
      </c>
      <c r="BQ780" s="127">
        <f ca="1">(CH780-$AW$4)/((YEAR($C$13))-$AW$4)</f>
        <v>1</v>
      </c>
      <c r="BR780" s="127">
        <f>(AL780)/($AW$6)</f>
        <v>0.22222222222222221</v>
      </c>
      <c r="BS780" s="4"/>
      <c r="BT780" s="127"/>
      <c r="BU780" s="127">
        <f ca="1">(CG780-$AW$4)/((YEAR($C$13))-$AW$4)</f>
        <v>1</v>
      </c>
      <c r="BV780" s="127">
        <f>AE780/5</f>
        <v>1</v>
      </c>
      <c r="BW780" s="127">
        <f>AF780/5</f>
        <v>1</v>
      </c>
      <c r="BX780" s="4"/>
      <c r="BY780" s="148" t="str">
        <f>IF(E780="A",".98",IF(E780="B",".99",IF(E780="C","1.00",IF(E780="D","1.00" ))))</f>
        <v>1.00</v>
      </c>
      <c r="BZ780" s="127">
        <f>(CE780+7)/10</f>
        <v>1</v>
      </c>
      <c r="CA780" s="76" t="str">
        <f>IF(D780="Fern",".97",IF(D780="Grass",".99",IF(D780="Herb",".97",IF(D780="Shrub",".99",IF(D780="Tree","1.00",IF(D780="Vine",".98"))))))</f>
        <v>.97</v>
      </c>
      <c r="CB780" s="149" t="str">
        <f>IF(R780="Bogs Ponds Streams",".96", IF(R780="Coastal Areas",".97",IF(R780="Meadows Dry Open",".96",IF(R780="Forest &amp; Understory",".97",IF(R780="Moist Open",".98",IF(R780="Moist Shady",".96",IF(R780="Sub-Alpine","1.0")))))))</f>
        <v>.96</v>
      </c>
      <c r="CC780" s="76" t="str">
        <f>IF(S780="Local Endemic",".50",IF(S780="Regional Endemic",".70",IF(S780="Cascadia",".90",IF(S780="Rocky Mountain",".95",IF(S780="North America",".99")))))</f>
        <v>.99</v>
      </c>
      <c r="CD780" s="4"/>
      <c r="CE780" s="21">
        <f>IF(W780&gt;3,3,W780)</f>
        <v>3</v>
      </c>
      <c r="CF780" s="21">
        <f>IF(AC780&gt;102,102,AC780)</f>
        <v>14.2</v>
      </c>
      <c r="CG780" s="34">
        <f ca="1">IF(AI780&lt;$AW$4,$AW$4,AI780)</f>
        <v>2019</v>
      </c>
      <c r="CH780" s="34">
        <f ca="1">IF(AJ780&lt;$AW$4,$AW$4,AJ780)</f>
        <v>2019</v>
      </c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13"/>
    </row>
    <row r="781" spans="1:115" ht="15" customHeight="1" x14ac:dyDescent="0.3">
      <c r="A781" s="235"/>
      <c r="B781" s="218"/>
      <c r="C781" s="226">
        <v>2</v>
      </c>
      <c r="D781" s="104" t="s">
        <v>2505</v>
      </c>
      <c r="E781" s="104" t="s">
        <v>2501</v>
      </c>
      <c r="F781" s="400" t="str">
        <f ca="1">IF(BC781&lt;2025, "Extinct&lt; 6Yrs?",BA781)</f>
        <v>Widespread</v>
      </c>
      <c r="G781" s="369" t="s">
        <v>525</v>
      </c>
      <c r="H781" s="369" t="s">
        <v>4028</v>
      </c>
      <c r="I781" s="370" t="s">
        <v>642</v>
      </c>
      <c r="J781" s="371" t="s">
        <v>3695</v>
      </c>
      <c r="K781" s="371" t="s">
        <v>641</v>
      </c>
      <c r="L781" s="106" t="s">
        <v>2278</v>
      </c>
      <c r="M781" s="111" t="s">
        <v>4852</v>
      </c>
      <c r="N781" s="111" t="s">
        <v>5750</v>
      </c>
      <c r="O781" s="111" t="s">
        <v>6649</v>
      </c>
      <c r="P781" s="105" t="s">
        <v>637</v>
      </c>
      <c r="Q781" s="104" t="s">
        <v>2552</v>
      </c>
      <c r="R781" s="105" t="s">
        <v>2498</v>
      </c>
      <c r="S781" s="105" t="s">
        <v>2495</v>
      </c>
      <c r="T781" s="133" t="str">
        <f>IF(R781="Bogs Ponds Streams","20",IF(R781="Coastal Areas","26",IF(R781="Meadows Dry Open","10",IF(R781="Forest &amp; Understory","14",IF(R781="Moist Open","12",IF(R781="Moist Shady","10",IF(R781="Sub-Alpine Slopes","0")))))))</f>
        <v>10</v>
      </c>
      <c r="U781" s="133" t="str">
        <f>IF(R781="Bogs Ponds Streams","52",IF(R781="Coastal Areas","51",IF(R781="Meadows Dry Open","53",IF(R781="Forest &amp; Understory","52",IF(R781="Moist Open","50",IF(R781="Moist Shady","46",IF(R781="Sub-Alpine Slopes","40")))))))</f>
        <v>46</v>
      </c>
      <c r="V781" s="133" t="str">
        <f>IF(R781="Bogs Ponds Streams","84",IF(R781="Coastal Areas","76",IF(R781="Meadows Dry Open","96", IF(R781="Forest &amp; Understory","90", IF(R781="Moist Open","88", IF(R781="Moist Shady","82", IF(R781="Sub-Alpine Slopes","80")))))))</f>
        <v>82</v>
      </c>
      <c r="W781" s="104">
        <v>20</v>
      </c>
      <c r="X781" s="104">
        <v>0</v>
      </c>
      <c r="Y781" s="104">
        <v>3500</v>
      </c>
      <c r="Z781" s="104" t="s">
        <v>2519</v>
      </c>
      <c r="AA781" s="104" t="s">
        <v>2518</v>
      </c>
      <c r="AB781" s="104">
        <v>6.8</v>
      </c>
      <c r="AC781" s="107">
        <f>C781+AK781+(0.1)*AL781</f>
        <v>9.1999999999999993</v>
      </c>
      <c r="AD781" s="113">
        <v>79</v>
      </c>
      <c r="AE781" s="104">
        <v>5</v>
      </c>
      <c r="AF781" s="104">
        <v>5</v>
      </c>
      <c r="AG781" s="104">
        <v>1900</v>
      </c>
      <c r="AH781" s="113">
        <v>0</v>
      </c>
      <c r="AI781" s="104">
        <f>AJ781</f>
        <v>2018</v>
      </c>
      <c r="AJ781" s="108">
        <v>2018</v>
      </c>
      <c r="AK781" s="108">
        <v>5</v>
      </c>
      <c r="AL781" s="108">
        <v>22</v>
      </c>
      <c r="AM781" s="109">
        <v>5</v>
      </c>
      <c r="AN781" s="109">
        <v>1</v>
      </c>
      <c r="AO781" s="110">
        <v>0</v>
      </c>
      <c r="AP781" s="109">
        <v>1</v>
      </c>
      <c r="AQ781" s="109">
        <v>0</v>
      </c>
      <c r="AR781" s="109">
        <v>0</v>
      </c>
      <c r="AS781" s="110">
        <v>0</v>
      </c>
      <c r="AT781" s="109">
        <v>0</v>
      </c>
      <c r="AU781" s="109">
        <v>0</v>
      </c>
      <c r="AV781" s="109">
        <v>0</v>
      </c>
      <c r="AW781" s="110">
        <v>0</v>
      </c>
      <c r="AX781" s="109">
        <v>0</v>
      </c>
      <c r="AY781" s="233"/>
      <c r="AZ781" s="4"/>
      <c r="BA781" s="35" t="str">
        <f>IF(OR(S781="North America",S781="Rocky Mountain"), "Widespread",BC781)</f>
        <v>Widespread</v>
      </c>
      <c r="BB781" s="4"/>
      <c r="BC781" s="35" t="str">
        <f ca="1">IF(BE781&gt;2046, "Abundant",BE781)</f>
        <v>Abundant</v>
      </c>
      <c r="BD781" s="4"/>
      <c r="BE781" s="81">
        <f ca="1">YEAR($C$13)+(BG781*80)</f>
        <v>2056.5205913250147</v>
      </c>
      <c r="BF781" s="4"/>
      <c r="BG781" s="137">
        <f ca="1">BH781*$BH$14</f>
        <v>0.46900739156268567</v>
      </c>
      <c r="BH781" s="137">
        <f ca="1">(((BJ781+BK781+BM781+BN781)/4)*$BM$11)+(((BP781+BQ781)/2)*$BQ$11)+(((BU781+BV781+BW781)/3)*$BU$11)+(((BY781+BZ781+CA781+CB781+CC781)/5)*$CA$11)</f>
        <v>0.46900739156268567</v>
      </c>
      <c r="BI781" s="4"/>
      <c r="BJ781" s="33">
        <f>AP781/(AM781+AO781)</f>
        <v>0.2</v>
      </c>
      <c r="BK781" s="33">
        <f>(AN781+AO781)/(AM781+AO781)</f>
        <v>0.2</v>
      </c>
      <c r="BL781" s="4"/>
      <c r="BM781" s="127">
        <f>CF781/102</f>
        <v>9.0196078431372548E-2</v>
      </c>
      <c r="BN781" s="127">
        <f>C781/2</f>
        <v>1</v>
      </c>
      <c r="BO781" s="4"/>
      <c r="BP781" s="127">
        <f>(AK781)/($AW$6)</f>
        <v>5.0505050505050504E-2</v>
      </c>
      <c r="BQ781" s="127">
        <f ca="1">(CH781-$AW$4)/((YEAR($C$13))-$AW$4)</f>
        <v>0.93333333333333335</v>
      </c>
      <c r="BR781" s="127">
        <f>(AL781)/($AW$6)</f>
        <v>0.22222222222222221</v>
      </c>
      <c r="BS781" s="4"/>
      <c r="BT781" s="127"/>
      <c r="BU781" s="127">
        <f ca="1">(CG781-$AW$4)/((YEAR($C$13))-$AW$4)</f>
        <v>0.93333333333333335</v>
      </c>
      <c r="BV781" s="127">
        <f>AE781/5</f>
        <v>1</v>
      </c>
      <c r="BW781" s="127">
        <f>AF781/5</f>
        <v>1</v>
      </c>
      <c r="BX781" s="4"/>
      <c r="BY781" s="148" t="str">
        <f>IF(E781="A",".98",IF(E781="B",".99",IF(E781="C","1.00",IF(E781="D","1.00" ))))</f>
        <v>1.00</v>
      </c>
      <c r="BZ781" s="127">
        <f>(CE781+7)/10</f>
        <v>1</v>
      </c>
      <c r="CA781" s="76" t="str">
        <f>IF(D781="Fern",".97",IF(D781="Grass",".99",IF(D781="Herb",".97",IF(D781="Shrub",".99",IF(D781="Tree","1.00",IF(D781="Vine",".98"))))))</f>
        <v>.97</v>
      </c>
      <c r="CB781" s="149" t="str">
        <f>IF(R781="Bogs Ponds Streams",".96", IF(R781="Coastal Areas",".97",IF(R781="Meadows Dry Open",".96",IF(R781="Forest &amp; Understory",".97",IF(R781="Moist Open",".98",IF(R781="Moist Shady",".96",IF(R781="Sub-Alpine","1.0")))))))</f>
        <v>.96</v>
      </c>
      <c r="CC781" s="76" t="str">
        <f>IF(S781="Local Endemic",".50",IF(S781="Regional Endemic",".70",IF(S781="Cascadia",".90",IF(S781="Rocky Mountain",".95",IF(S781="North America",".99")))))</f>
        <v>.99</v>
      </c>
      <c r="CD781" s="4"/>
      <c r="CE781" s="21">
        <f>IF(W781&gt;3,3,W781)</f>
        <v>3</v>
      </c>
      <c r="CF781" s="21">
        <f>IF(AC781&gt;102,102,AC781)</f>
        <v>9.1999999999999993</v>
      </c>
      <c r="CG781" s="34">
        <f>IF(AI781&lt;$AW$4,$AW$4,AI781)</f>
        <v>2018</v>
      </c>
      <c r="CH781" s="34">
        <f>IF(AJ781&lt;$AW$4,$AW$4,AJ781)</f>
        <v>2018</v>
      </c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</row>
    <row r="782" spans="1:115" ht="15" customHeight="1" x14ac:dyDescent="0.3">
      <c r="A782" s="235"/>
      <c r="B782" s="218"/>
      <c r="C782" s="225">
        <v>8</v>
      </c>
      <c r="D782" s="59" t="s">
        <v>2505</v>
      </c>
      <c r="E782" s="59" t="s">
        <v>2501</v>
      </c>
      <c r="F782" s="397" t="str">
        <f ca="1">IF(BC782&lt;2025, "Extinct&lt; 6Yrs?",BA782)</f>
        <v>Widespread</v>
      </c>
      <c r="G782" s="363" t="s">
        <v>525</v>
      </c>
      <c r="H782" s="363" t="s">
        <v>680</v>
      </c>
      <c r="I782" s="366" t="s">
        <v>643</v>
      </c>
      <c r="J782" s="365" t="s">
        <v>3934</v>
      </c>
      <c r="K782" s="365" t="s">
        <v>822</v>
      </c>
      <c r="L782" s="10" t="s">
        <v>2279</v>
      </c>
      <c r="M782" s="8" t="s">
        <v>4853</v>
      </c>
      <c r="N782" s="8" t="s">
        <v>5751</v>
      </c>
      <c r="O782" s="8" t="s">
        <v>6650</v>
      </c>
      <c r="P782" s="9" t="s">
        <v>637</v>
      </c>
      <c r="Q782" s="59" t="s">
        <v>2552</v>
      </c>
      <c r="R782" s="9" t="s">
        <v>2498</v>
      </c>
      <c r="S782" s="9" t="s">
        <v>2495</v>
      </c>
      <c r="T782" s="123" t="str">
        <f>IF(R782="Bogs Ponds Streams","20",IF(R782="Coastal Areas","26",IF(R782="Meadows Dry Open","10",IF(R782="Forest &amp; Understory","14",IF(R782="Moist Open","12",IF(R782="Moist Shady","10",IF(R782="Sub-Alpine Slopes","0")))))))</f>
        <v>10</v>
      </c>
      <c r="U782" s="123" t="str">
        <f>IF(R782="Bogs Ponds Streams","52",IF(R782="Coastal Areas","51",IF(R782="Meadows Dry Open","53",IF(R782="Forest &amp; Understory","52",IF(R782="Moist Open","50",IF(R782="Moist Shady","46",IF(R782="Sub-Alpine Slopes","40")))))))</f>
        <v>46</v>
      </c>
      <c r="V782" s="123" t="str">
        <f>IF(R782="Bogs Ponds Streams","84",IF(R782="Coastal Areas","76",IF(R782="Meadows Dry Open","96", IF(R782="Forest &amp; Understory","90", IF(R782="Moist Open","88", IF(R782="Moist Shady","82", IF(R782="Sub-Alpine Slopes","80")))))))</f>
        <v>82</v>
      </c>
      <c r="W782" s="59">
        <v>20</v>
      </c>
      <c r="X782" s="59">
        <v>0</v>
      </c>
      <c r="Y782" s="59">
        <v>3500</v>
      </c>
      <c r="Z782" s="59" t="s">
        <v>2519</v>
      </c>
      <c r="AA782" s="59" t="s">
        <v>2518</v>
      </c>
      <c r="AB782" s="59">
        <v>6.8</v>
      </c>
      <c r="AC782" s="45">
        <f>C782+AK782+(0.1)*AL782</f>
        <v>30.6</v>
      </c>
      <c r="AD782" s="77">
        <v>33</v>
      </c>
      <c r="AE782" s="59">
        <v>5</v>
      </c>
      <c r="AF782" s="59">
        <v>5</v>
      </c>
      <c r="AG782" s="59">
        <v>1900</v>
      </c>
      <c r="AH782" s="77">
        <v>0</v>
      </c>
      <c r="AI782" s="59">
        <f ca="1">AJ782</f>
        <v>2019</v>
      </c>
      <c r="AJ782" s="18">
        <f ca="1">YEAR(TODAY())</f>
        <v>2019</v>
      </c>
      <c r="AK782" s="18">
        <v>22</v>
      </c>
      <c r="AL782" s="18">
        <v>6</v>
      </c>
      <c r="AM782" s="18">
        <v>1</v>
      </c>
      <c r="AN782" s="18">
        <v>1</v>
      </c>
      <c r="AO782" s="18">
        <v>5</v>
      </c>
      <c r="AP782" s="18">
        <v>1</v>
      </c>
      <c r="AQ782" s="18">
        <v>0</v>
      </c>
      <c r="AR782" s="18">
        <v>0</v>
      </c>
      <c r="AS782" s="18">
        <v>0</v>
      </c>
      <c r="AT782" s="18">
        <v>0</v>
      </c>
      <c r="AU782" s="18">
        <v>0</v>
      </c>
      <c r="AV782" s="18">
        <v>0</v>
      </c>
      <c r="AW782" s="18">
        <v>0</v>
      </c>
      <c r="AX782" s="18">
        <v>0</v>
      </c>
      <c r="AY782" s="233"/>
      <c r="AZ782" s="4"/>
      <c r="BA782" s="35" t="str">
        <f>IF(OR(S782="North America",S782="Rocky Mountain"), "Widespread",BC782)</f>
        <v>Widespread</v>
      </c>
      <c r="BB782" s="4"/>
      <c r="BC782" s="35" t="str">
        <f ca="1">IF(BE782&gt;2046, "Abundant",BE782)</f>
        <v>Abundant</v>
      </c>
      <c r="BD782" s="4"/>
      <c r="BE782" s="81">
        <f ca="1">YEAR($C$13)+(BG782*80)</f>
        <v>2107.2410666666665</v>
      </c>
      <c r="BF782" s="4"/>
      <c r="BG782" s="137">
        <f ca="1">BH782*$BH$14</f>
        <v>1.1030133333333334</v>
      </c>
      <c r="BH782" s="137">
        <f ca="1">(((BJ782+BK782+BM782+BN782)/4)*$BM$11)+(((BP782+BQ782)/2)*$BQ$11)+(((BU782+BV782+BW782)/3)*$BU$11)+(((BY782+BZ782+CA782+CB782+CC782)/5)*$CA$11)</f>
        <v>1.1030133333333334</v>
      </c>
      <c r="BI782" s="4"/>
      <c r="BJ782" s="33">
        <f>AP782/(AM782+AO782)</f>
        <v>0.16666666666666666</v>
      </c>
      <c r="BK782" s="33">
        <f>(AN782+AO782)/(AM782+AO782)</f>
        <v>1</v>
      </c>
      <c r="BL782" s="4"/>
      <c r="BM782" s="127">
        <f>CF782/102</f>
        <v>0.3</v>
      </c>
      <c r="BN782" s="127">
        <f>C782/2</f>
        <v>4</v>
      </c>
      <c r="BO782" s="4"/>
      <c r="BP782" s="127">
        <f>(AK782)/($AW$6)</f>
        <v>0.22222222222222221</v>
      </c>
      <c r="BQ782" s="127">
        <f ca="1">(CH782-$AW$4)/((YEAR($C$13))-$AW$4)</f>
        <v>1</v>
      </c>
      <c r="BR782" s="127">
        <f>(AL782)/($AW$6)</f>
        <v>6.0606060606060608E-2</v>
      </c>
      <c r="BS782" s="4"/>
      <c r="BT782" s="127"/>
      <c r="BU782" s="127">
        <f ca="1">(CG782-$AW$4)/((YEAR($C$13))-$AW$4)</f>
        <v>1</v>
      </c>
      <c r="BV782" s="127">
        <f>AE782/5</f>
        <v>1</v>
      </c>
      <c r="BW782" s="127">
        <f>AF782/5</f>
        <v>1</v>
      </c>
      <c r="BX782" s="4"/>
      <c r="BY782" s="148" t="str">
        <f>IF(E782="A",".98",IF(E782="B",".99",IF(E782="C","1.00",IF(E782="D","1.00" ))))</f>
        <v>1.00</v>
      </c>
      <c r="BZ782" s="127">
        <f>(CE782+7)/10</f>
        <v>1</v>
      </c>
      <c r="CA782" s="76" t="str">
        <f>IF(D782="Fern",".97",IF(D782="Grass",".99",IF(D782="Herb",".97",IF(D782="Shrub",".99",IF(D782="Tree","1.00",IF(D782="Vine",".98"))))))</f>
        <v>.97</v>
      </c>
      <c r="CB782" s="149" t="str">
        <f>IF(R782="Bogs Ponds Streams",".96", IF(R782="Coastal Areas",".97",IF(R782="Meadows Dry Open",".96",IF(R782="Forest &amp; Understory",".97",IF(R782="Moist Open",".98",IF(R782="Moist Shady",".96",IF(R782="Sub-Alpine","1.0")))))))</f>
        <v>.96</v>
      </c>
      <c r="CC782" s="76" t="str">
        <f>IF(S782="Local Endemic",".50",IF(S782="Regional Endemic",".70",IF(S782="Cascadia",".90",IF(S782="Rocky Mountain",".95",IF(S782="North America",".99")))))</f>
        <v>.99</v>
      </c>
      <c r="CD782" s="4"/>
      <c r="CE782" s="21">
        <f>IF(W782&gt;3,3,W782)</f>
        <v>3</v>
      </c>
      <c r="CF782" s="21">
        <f>IF(AC782&gt;102,102,AC782)</f>
        <v>30.6</v>
      </c>
      <c r="CG782" s="34">
        <f ca="1">IF(AI782&lt;$AW$4,$AW$4,AI782)</f>
        <v>2019</v>
      </c>
      <c r="CH782" s="34">
        <f ca="1">IF(AJ782&lt;$AW$4,$AW$4,AJ782)</f>
        <v>2019</v>
      </c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13"/>
    </row>
    <row r="783" spans="1:115" ht="15" customHeight="1" x14ac:dyDescent="0.3">
      <c r="A783" s="235"/>
      <c r="B783" s="218"/>
      <c r="C783" s="225">
        <v>8</v>
      </c>
      <c r="D783" s="59" t="s">
        <v>2505</v>
      </c>
      <c r="E783" s="59" t="s">
        <v>2501</v>
      </c>
      <c r="F783" s="397" t="str">
        <f ca="1">IF(BC783&lt;2025, "Extinct&lt; 6Yrs?",BA783)</f>
        <v>Abundant</v>
      </c>
      <c r="G783" s="363" t="s">
        <v>525</v>
      </c>
      <c r="H783" s="363" t="s">
        <v>696</v>
      </c>
      <c r="I783" s="366" t="s">
        <v>2488</v>
      </c>
      <c r="J783" s="365" t="s">
        <v>3933</v>
      </c>
      <c r="K783" s="365" t="s">
        <v>823</v>
      </c>
      <c r="L783" s="10" t="s">
        <v>2280</v>
      </c>
      <c r="M783" s="8" t="s">
        <v>4854</v>
      </c>
      <c r="N783" s="8" t="s">
        <v>5752</v>
      </c>
      <c r="O783" s="8" t="s">
        <v>6651</v>
      </c>
      <c r="P783" s="9" t="s">
        <v>192</v>
      </c>
      <c r="Q783" s="59" t="s">
        <v>2552</v>
      </c>
      <c r="R783" s="9" t="s">
        <v>2500</v>
      </c>
      <c r="S783" s="9" t="s">
        <v>2459</v>
      </c>
      <c r="T783" s="123" t="str">
        <f>IF(R783="Bogs Ponds Streams","20",IF(R783="Coastal Areas","26",IF(R783="Meadows Dry Open","10",IF(R783="Forest &amp; Understory","14",IF(R783="Moist Open","12",IF(R783="Moist Shady","10",IF(R783="Sub-Alpine Slopes","0")))))))</f>
        <v>10</v>
      </c>
      <c r="U783" s="123" t="str">
        <f>IF(R783="Bogs Ponds Streams","52",IF(R783="Coastal Areas","51",IF(R783="Meadows Dry Open","53",IF(R783="Forest &amp; Understory","52",IF(R783="Moist Open","50",IF(R783="Moist Shady","46",IF(R783="Sub-Alpine Slopes","40")))))))</f>
        <v>53</v>
      </c>
      <c r="V783" s="123" t="str">
        <f>IF(R783="Bogs Ponds Streams","84",IF(R783="Coastal Areas","76",IF(R783="Meadows Dry Open","96", IF(R783="Forest &amp; Understory","90", IF(R783="Moist Open","88", IF(R783="Moist Shady","82", IF(R783="Sub-Alpine Slopes","80")))))))</f>
        <v>96</v>
      </c>
      <c r="W783" s="59">
        <v>20</v>
      </c>
      <c r="X783" s="59">
        <v>0</v>
      </c>
      <c r="Y783" s="59">
        <v>3500</v>
      </c>
      <c r="Z783" s="59" t="s">
        <v>2519</v>
      </c>
      <c r="AA783" s="59" t="s">
        <v>2518</v>
      </c>
      <c r="AB783" s="59">
        <v>6.8</v>
      </c>
      <c r="AC783" s="45">
        <f>C783+AK783+(0.1)*AL783</f>
        <v>32.200000000000003</v>
      </c>
      <c r="AD783" s="77">
        <v>69</v>
      </c>
      <c r="AE783" s="59">
        <v>5</v>
      </c>
      <c r="AF783" s="59">
        <v>5</v>
      </c>
      <c r="AG783" s="59">
        <v>1900</v>
      </c>
      <c r="AH783" s="77">
        <v>0</v>
      </c>
      <c r="AI783" s="59">
        <f ca="1">AJ783</f>
        <v>2019</v>
      </c>
      <c r="AJ783" s="18">
        <f ca="1">YEAR(TODAY())</f>
        <v>2019</v>
      </c>
      <c r="AK783" s="18">
        <v>22</v>
      </c>
      <c r="AL783" s="18">
        <v>22</v>
      </c>
      <c r="AM783" s="18">
        <v>1</v>
      </c>
      <c r="AN783" s="18">
        <v>1</v>
      </c>
      <c r="AO783" s="18">
        <v>5</v>
      </c>
      <c r="AP783" s="18">
        <v>1</v>
      </c>
      <c r="AQ783" s="18">
        <v>0</v>
      </c>
      <c r="AR783" s="18">
        <v>0</v>
      </c>
      <c r="AS783" s="18">
        <v>0</v>
      </c>
      <c r="AT783" s="18">
        <v>0</v>
      </c>
      <c r="AU783" s="18">
        <v>0</v>
      </c>
      <c r="AV783" s="18">
        <v>0</v>
      </c>
      <c r="AW783" s="18">
        <v>0</v>
      </c>
      <c r="AX783" s="18">
        <v>0</v>
      </c>
      <c r="AY783" s="233"/>
      <c r="AZ783" s="4"/>
      <c r="BA783" s="35" t="str">
        <f ca="1">IF(OR(S783="North America",S783="Rocky Mountain"), "Widespread",BC783)</f>
        <v>Abundant</v>
      </c>
      <c r="BB783" s="4"/>
      <c r="BC783" s="35" t="str">
        <f ca="1">IF(BE783&gt;2046, "Abundant",BE783)</f>
        <v>Abundant</v>
      </c>
      <c r="BD783" s="4"/>
      <c r="BE783" s="81">
        <f ca="1">YEAR($C$13)+(BG783*80)</f>
        <v>2107.4005019607844</v>
      </c>
      <c r="BF783" s="4"/>
      <c r="BG783" s="137">
        <f ca="1">BH783*$BH$14</f>
        <v>1.1050062745098042</v>
      </c>
      <c r="BH783" s="137">
        <f ca="1">(((BJ783+BK783+BM783+BN783)/4)*$BM$11)+(((BP783+BQ783)/2)*$BQ$11)+(((BU783+BV783+BW783)/3)*$BU$11)+(((BY783+BZ783+CA783+CB783+CC783)/5)*$CA$11)</f>
        <v>1.1050062745098042</v>
      </c>
      <c r="BI783" s="4"/>
      <c r="BJ783" s="33">
        <f>AP783/(AM783+AO783)</f>
        <v>0.16666666666666666</v>
      </c>
      <c r="BK783" s="33">
        <f>(AN783+AO783)/(AM783+AO783)</f>
        <v>1</v>
      </c>
      <c r="BL783" s="4"/>
      <c r="BM783" s="127">
        <f>CF783/102</f>
        <v>0.31568627450980397</v>
      </c>
      <c r="BN783" s="127">
        <f>C783/2</f>
        <v>4</v>
      </c>
      <c r="BO783" s="4"/>
      <c r="BP783" s="127">
        <f>(AK783)/($AW$6)</f>
        <v>0.22222222222222221</v>
      </c>
      <c r="BQ783" s="127">
        <f ca="1">(CH783-$AW$4)/((YEAR($C$13))-$AW$4)</f>
        <v>1</v>
      </c>
      <c r="BR783" s="127">
        <f>(AL783)/($AW$6)</f>
        <v>0.22222222222222221</v>
      </c>
      <c r="BS783" s="4"/>
      <c r="BT783" s="127"/>
      <c r="BU783" s="127">
        <f ca="1">(CG783-$AW$4)/((YEAR($C$13))-$AW$4)</f>
        <v>1</v>
      </c>
      <c r="BV783" s="127">
        <f>AE783/5</f>
        <v>1</v>
      </c>
      <c r="BW783" s="127">
        <f>AF783/5</f>
        <v>1</v>
      </c>
      <c r="BX783" s="4"/>
      <c r="BY783" s="148" t="str">
        <f>IF(E783="A",".98",IF(E783="B",".99",IF(E783="C","1.00",IF(E783="D","1.00" ))))</f>
        <v>1.00</v>
      </c>
      <c r="BZ783" s="127">
        <f>(CE783+7)/10</f>
        <v>1</v>
      </c>
      <c r="CA783" s="76" t="str">
        <f>IF(D783="Fern",".97",IF(D783="Grass",".99",IF(D783="Herb",".97",IF(D783="Shrub",".99",IF(D783="Tree","1.00",IF(D783="Vine",".98"))))))</f>
        <v>.97</v>
      </c>
      <c r="CB783" s="149" t="str">
        <f>IF(R783="Bogs Ponds Streams",".96", IF(R783="Coastal Areas",".97",IF(R783="Meadows Dry Open",".96",IF(R783="Forest &amp; Understory",".97",IF(R783="Moist Open",".98",IF(R783="Moist Shady",".96",IF(R783="Sub-Alpine","1.0")))))))</f>
        <v>.96</v>
      </c>
      <c r="CC783" s="76" t="str">
        <f>IF(S783="Local Endemic",".50",IF(S783="Regional Endemic",".70",IF(S783="Cascadia",".90",IF(S783="Rocky Mountain",".95",IF(S783="North America",".99")))))</f>
        <v>.90</v>
      </c>
      <c r="CD783" s="4"/>
      <c r="CE783" s="21">
        <f>IF(W783&gt;3,3,W783)</f>
        <v>3</v>
      </c>
      <c r="CF783" s="21">
        <f>IF(AC783&gt;102,102,AC783)</f>
        <v>32.200000000000003</v>
      </c>
      <c r="CG783" s="34">
        <f ca="1">IF(AI783&lt;$AW$4,$AW$4,AI783)</f>
        <v>2019</v>
      </c>
      <c r="CH783" s="34">
        <f ca="1">IF(AJ783&lt;$AW$4,$AW$4,AJ783)</f>
        <v>2019</v>
      </c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13"/>
    </row>
    <row r="784" spans="1:115" ht="15" customHeight="1" x14ac:dyDescent="0.3">
      <c r="A784" s="235"/>
      <c r="B784" s="218"/>
      <c r="C784" s="225">
        <v>8</v>
      </c>
      <c r="D784" s="59" t="s">
        <v>2505</v>
      </c>
      <c r="E784" s="59" t="s">
        <v>2501</v>
      </c>
      <c r="F784" s="397" t="str">
        <f ca="1">IF(BC784&lt;2025, "Extinct&lt; 6Yrs?",BA784)</f>
        <v>Widespread</v>
      </c>
      <c r="G784" s="363" t="s">
        <v>525</v>
      </c>
      <c r="H784" s="363" t="s">
        <v>696</v>
      </c>
      <c r="I784" s="366" t="s">
        <v>193</v>
      </c>
      <c r="J784" s="365" t="s">
        <v>3932</v>
      </c>
      <c r="K784" s="365" t="s">
        <v>824</v>
      </c>
      <c r="L784" s="10" t="s">
        <v>2281</v>
      </c>
      <c r="M784" s="8" t="s">
        <v>4855</v>
      </c>
      <c r="N784" s="8" t="s">
        <v>5753</v>
      </c>
      <c r="O784" s="8" t="s">
        <v>6652</v>
      </c>
      <c r="P784" s="9" t="s">
        <v>192</v>
      </c>
      <c r="Q784" s="59" t="s">
        <v>2552</v>
      </c>
      <c r="R784" s="9" t="s">
        <v>2500</v>
      </c>
      <c r="S784" s="9" t="s">
        <v>2479</v>
      </c>
      <c r="T784" s="123" t="str">
        <f>IF(R784="Bogs Ponds Streams","20",IF(R784="Coastal Areas","26",IF(R784="Meadows Dry Open","10",IF(R784="Forest &amp; Understory","14",IF(R784="Moist Open","12",IF(R784="Moist Shady","10",IF(R784="Sub-Alpine Slopes","0")))))))</f>
        <v>10</v>
      </c>
      <c r="U784" s="123" t="str">
        <f>IF(R784="Bogs Ponds Streams","52",IF(R784="Coastal Areas","51",IF(R784="Meadows Dry Open","53",IF(R784="Forest &amp; Understory","52",IF(R784="Moist Open","50",IF(R784="Moist Shady","46",IF(R784="Sub-Alpine Slopes","40")))))))</f>
        <v>53</v>
      </c>
      <c r="V784" s="123" t="str">
        <f>IF(R784="Bogs Ponds Streams","84",IF(R784="Coastal Areas","76",IF(R784="Meadows Dry Open","96", IF(R784="Forest &amp; Understory","90", IF(R784="Moist Open","88", IF(R784="Moist Shady","82", IF(R784="Sub-Alpine Slopes","80")))))))</f>
        <v>96</v>
      </c>
      <c r="W784" s="59">
        <v>20</v>
      </c>
      <c r="X784" s="59">
        <v>0</v>
      </c>
      <c r="Y784" s="59">
        <v>3500</v>
      </c>
      <c r="Z784" s="59" t="s">
        <v>2519</v>
      </c>
      <c r="AA784" s="59" t="s">
        <v>2518</v>
      </c>
      <c r="AB784" s="59">
        <v>6.8</v>
      </c>
      <c r="AC784" s="45">
        <f>C784+AK784+(0.1)*AL784</f>
        <v>26.3</v>
      </c>
      <c r="AD784" s="77">
        <v>243</v>
      </c>
      <c r="AE784" s="59">
        <v>5</v>
      </c>
      <c r="AF784" s="59">
        <v>5</v>
      </c>
      <c r="AG784" s="59">
        <v>1900</v>
      </c>
      <c r="AH784" s="77">
        <v>0</v>
      </c>
      <c r="AI784" s="59">
        <f ca="1">AJ784</f>
        <v>2019</v>
      </c>
      <c r="AJ784" s="18">
        <f ca="1">YEAR(TODAY())</f>
        <v>2019</v>
      </c>
      <c r="AK784" s="18">
        <v>15</v>
      </c>
      <c r="AL784" s="18">
        <v>33</v>
      </c>
      <c r="AM784" s="18">
        <v>1</v>
      </c>
      <c r="AN784" s="18">
        <v>1</v>
      </c>
      <c r="AO784" s="25">
        <v>0</v>
      </c>
      <c r="AP784" s="24">
        <v>1</v>
      </c>
      <c r="AQ784" s="18">
        <v>0</v>
      </c>
      <c r="AR784" s="18">
        <v>0</v>
      </c>
      <c r="AS784" s="18">
        <v>0</v>
      </c>
      <c r="AT784" s="18">
        <v>0</v>
      </c>
      <c r="AU784" s="18">
        <v>0</v>
      </c>
      <c r="AV784" s="18">
        <v>0</v>
      </c>
      <c r="AW784" s="18">
        <v>0</v>
      </c>
      <c r="AX784" s="18">
        <v>0</v>
      </c>
      <c r="AY784" s="233"/>
      <c r="AZ784" s="4"/>
      <c r="BA784" s="35" t="str">
        <f>IF(OR(S784="North America",S784="Rocky Mountain"), "Widespread",BC784)</f>
        <v>Widespread</v>
      </c>
      <c r="BB784" s="4"/>
      <c r="BC784" s="35" t="str">
        <f ca="1">IF(BE784&gt;2046, "Abundant",BE784)</f>
        <v>Abundant</v>
      </c>
      <c r="BD784" s="4"/>
      <c r="BE784" s="81">
        <f ca="1">YEAR($C$13)+(BG784*80)</f>
        <v>2115.8738994652408</v>
      </c>
      <c r="BF784" s="4"/>
      <c r="BG784" s="137">
        <f ca="1">BH784*$BH$14</f>
        <v>1.210923743315508</v>
      </c>
      <c r="BH784" s="137">
        <f ca="1">(((BJ784+BK784+BM784+BN784)/4)*$BM$11)+(((BP784+BQ784)/2)*$BQ$11)+(((BU784+BV784+BW784)/3)*$BU$11)+(((BY784+BZ784+CA784+CB784+CC784)/5)*$CA$11)</f>
        <v>1.210923743315508</v>
      </c>
      <c r="BI784" s="4"/>
      <c r="BJ784" s="33">
        <f>AP784/(AM784+AO784)</f>
        <v>1</v>
      </c>
      <c r="BK784" s="33">
        <f>(AN784+AO784)/(AM784+AO784)</f>
        <v>1</v>
      </c>
      <c r="BL784" s="4"/>
      <c r="BM784" s="127">
        <f>CF784/102</f>
        <v>0.25784313725490199</v>
      </c>
      <c r="BN784" s="127">
        <f>C784/2</f>
        <v>4</v>
      </c>
      <c r="BO784" s="4"/>
      <c r="BP784" s="127">
        <f>(AK784)/($AW$6)</f>
        <v>0.15151515151515152</v>
      </c>
      <c r="BQ784" s="127">
        <f ca="1">(CH784-$AW$4)/((YEAR($C$13))-$AW$4)</f>
        <v>1</v>
      </c>
      <c r="BR784" s="127">
        <f>(AL784)/($AW$6)</f>
        <v>0.33333333333333331</v>
      </c>
      <c r="BS784" s="4"/>
      <c r="BT784" s="127"/>
      <c r="BU784" s="127">
        <f ca="1">(CG784-$AW$4)/((YEAR($C$13))-$AW$4)</f>
        <v>1</v>
      </c>
      <c r="BV784" s="127">
        <f>AE784/5</f>
        <v>1</v>
      </c>
      <c r="BW784" s="127">
        <f>AF784/5</f>
        <v>1</v>
      </c>
      <c r="BX784" s="4"/>
      <c r="BY784" s="148" t="str">
        <f>IF(E784="A",".98",IF(E784="B",".99",IF(E784="C","1.00",IF(E784="D","1.00" ))))</f>
        <v>1.00</v>
      </c>
      <c r="BZ784" s="127">
        <f>(CE784+7)/10</f>
        <v>1</v>
      </c>
      <c r="CA784" s="76" t="str">
        <f>IF(D784="Fern",".97",IF(D784="Grass",".99",IF(D784="Herb",".97",IF(D784="Shrub",".99",IF(D784="Tree","1.00",IF(D784="Vine",".98"))))))</f>
        <v>.97</v>
      </c>
      <c r="CB784" s="149" t="str">
        <f>IF(R784="Bogs Ponds Streams",".96", IF(R784="Coastal Areas",".97",IF(R784="Meadows Dry Open",".96",IF(R784="Forest &amp; Understory",".97",IF(R784="Moist Open",".98",IF(R784="Moist Shady",".96",IF(R784="Sub-Alpine","1.0")))))))</f>
        <v>.96</v>
      </c>
      <c r="CC784" s="76" t="str">
        <f>IF(S784="Local Endemic",".50",IF(S784="Regional Endemic",".70",IF(S784="Cascadia",".90",IF(S784="Rocky Mountain",".95",IF(S784="North America",".99")))))</f>
        <v>.95</v>
      </c>
      <c r="CD784" s="4"/>
      <c r="CE784" s="21">
        <f>IF(W784&gt;3,3,W784)</f>
        <v>3</v>
      </c>
      <c r="CF784" s="21">
        <f>IF(AC784&gt;102,102,AC784)</f>
        <v>26.3</v>
      </c>
      <c r="CG784" s="34">
        <f ca="1">IF(AI784&lt;$AW$4,$AW$4,AI784)</f>
        <v>2019</v>
      </c>
      <c r="CH784" s="34">
        <f ca="1">IF(AJ784&lt;$AW$4,$AW$4,AJ784)</f>
        <v>2019</v>
      </c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13"/>
    </row>
    <row r="785" spans="1:115" ht="15" customHeight="1" x14ac:dyDescent="0.3">
      <c r="A785" s="235"/>
      <c r="B785" s="218"/>
      <c r="C785" s="225">
        <v>8</v>
      </c>
      <c r="D785" s="59" t="s">
        <v>2505</v>
      </c>
      <c r="E785" s="59" t="s">
        <v>2501</v>
      </c>
      <c r="F785" s="397" t="str">
        <f ca="1">IF(BC785&lt;2025, "Extinct&lt; 6Yrs?",BA785)</f>
        <v>Abundant</v>
      </c>
      <c r="G785" s="363" t="s">
        <v>525</v>
      </c>
      <c r="H785" s="363" t="s">
        <v>696</v>
      </c>
      <c r="I785" s="366" t="s">
        <v>195</v>
      </c>
      <c r="J785" s="365" t="s">
        <v>3931</v>
      </c>
      <c r="K785" s="365" t="s">
        <v>194</v>
      </c>
      <c r="L785" s="10" t="s">
        <v>2282</v>
      </c>
      <c r="M785" s="8" t="s">
        <v>4856</v>
      </c>
      <c r="N785" s="8" t="s">
        <v>5754</v>
      </c>
      <c r="O785" s="8" t="s">
        <v>6653</v>
      </c>
      <c r="P785" s="9" t="s">
        <v>192</v>
      </c>
      <c r="Q785" s="59" t="s">
        <v>2552</v>
      </c>
      <c r="R785" s="58" t="s">
        <v>2500</v>
      </c>
      <c r="S785" s="9" t="s">
        <v>2459</v>
      </c>
      <c r="T785" s="123" t="str">
        <f>IF(R785="Bogs Ponds Streams","20",IF(R785="Coastal Areas","26",IF(R785="Meadows Dry Open","10",IF(R785="Forest &amp; Understory","14",IF(R785="Moist Open","12",IF(R785="Moist Shady","10",IF(R785="Sub-Alpine Slopes","0")))))))</f>
        <v>10</v>
      </c>
      <c r="U785" s="123" t="str">
        <f>IF(R785="Bogs Ponds Streams","52",IF(R785="Coastal Areas","51",IF(R785="Meadows Dry Open","53",IF(R785="Forest &amp; Understory","52",IF(R785="Moist Open","50",IF(R785="Moist Shady","46",IF(R785="Sub-Alpine Slopes","40")))))))</f>
        <v>53</v>
      </c>
      <c r="V785" s="123" t="str">
        <f>IF(R785="Bogs Ponds Streams","84",IF(R785="Coastal Areas","76",IF(R785="Meadows Dry Open","96", IF(R785="Forest &amp; Understory","90", IF(R785="Moist Open","88", IF(R785="Moist Shady","82", IF(R785="Sub-Alpine Slopes","80")))))))</f>
        <v>96</v>
      </c>
      <c r="W785" s="59">
        <v>20</v>
      </c>
      <c r="X785" s="59">
        <v>0</v>
      </c>
      <c r="Y785" s="59">
        <v>3500</v>
      </c>
      <c r="Z785" s="59" t="s">
        <v>2519</v>
      </c>
      <c r="AA785" s="59" t="s">
        <v>2518</v>
      </c>
      <c r="AB785" s="59">
        <v>6.8</v>
      </c>
      <c r="AC785" s="45">
        <f>C785+AK785+(0.1)*AL785</f>
        <v>31.1</v>
      </c>
      <c r="AD785" s="77">
        <v>41</v>
      </c>
      <c r="AE785" s="59">
        <v>5</v>
      </c>
      <c r="AF785" s="59">
        <v>5</v>
      </c>
      <c r="AG785" s="59">
        <v>1900</v>
      </c>
      <c r="AH785" s="77">
        <v>0</v>
      </c>
      <c r="AI785" s="59">
        <f ca="1">AJ785</f>
        <v>2019</v>
      </c>
      <c r="AJ785" s="18">
        <f ca="1">YEAR(TODAY())</f>
        <v>2019</v>
      </c>
      <c r="AK785" s="18">
        <v>22</v>
      </c>
      <c r="AL785" s="18">
        <v>11</v>
      </c>
      <c r="AM785" s="18">
        <v>1</v>
      </c>
      <c r="AN785" s="18">
        <v>1</v>
      </c>
      <c r="AO785" s="18">
        <v>5</v>
      </c>
      <c r="AP785" s="18">
        <v>1</v>
      </c>
      <c r="AQ785" s="18">
        <v>0</v>
      </c>
      <c r="AR785" s="18">
        <v>0</v>
      </c>
      <c r="AS785" s="18">
        <v>0</v>
      </c>
      <c r="AT785" s="18">
        <v>0</v>
      </c>
      <c r="AU785" s="18">
        <v>0</v>
      </c>
      <c r="AV785" s="18">
        <v>0</v>
      </c>
      <c r="AW785" s="18">
        <v>0</v>
      </c>
      <c r="AX785" s="18">
        <v>0</v>
      </c>
      <c r="AY785" s="233"/>
      <c r="AZ785" s="4"/>
      <c r="BA785" s="35" t="str">
        <f ca="1">IF(OR(S785="North America",S785="Rocky Mountain"), "Widespread",BC785)</f>
        <v>Abundant</v>
      </c>
      <c r="BB785" s="4"/>
      <c r="BC785" s="35" t="str">
        <f ca="1">IF(BE785&gt;2046, "Abundant",BE785)</f>
        <v>Abundant</v>
      </c>
      <c r="BD785" s="4"/>
      <c r="BE785" s="81">
        <f ca="1">YEAR($C$13)+(BG785*80)</f>
        <v>2107.2710901960786</v>
      </c>
      <c r="BF785" s="4"/>
      <c r="BG785" s="137">
        <f ca="1">BH785*$BH$14</f>
        <v>1.1033886274509803</v>
      </c>
      <c r="BH785" s="137">
        <f ca="1">(((BJ785+BK785+BM785+BN785)/4)*$BM$11)+(((BP785+BQ785)/2)*$BQ$11)+(((BU785+BV785+BW785)/3)*$BU$11)+(((BY785+BZ785+CA785+CB785+CC785)/5)*$CA$11)</f>
        <v>1.1033886274509803</v>
      </c>
      <c r="BI785" s="4"/>
      <c r="BJ785" s="33">
        <f>AP785/(AM785+AO785)</f>
        <v>0.16666666666666666</v>
      </c>
      <c r="BK785" s="33">
        <f>(AN785+AO785)/(AM785+AO785)</f>
        <v>1</v>
      </c>
      <c r="BL785" s="4"/>
      <c r="BM785" s="127">
        <f>CF785/102</f>
        <v>0.30490196078431375</v>
      </c>
      <c r="BN785" s="127">
        <f>C785/2</f>
        <v>4</v>
      </c>
      <c r="BO785" s="4"/>
      <c r="BP785" s="127">
        <f>(AK785)/($AW$6)</f>
        <v>0.22222222222222221</v>
      </c>
      <c r="BQ785" s="127">
        <f ca="1">(CH785-$AW$4)/((YEAR($C$13))-$AW$4)</f>
        <v>1</v>
      </c>
      <c r="BR785" s="127">
        <f>(AL785)/($AW$6)</f>
        <v>0.1111111111111111</v>
      </c>
      <c r="BS785" s="4"/>
      <c r="BT785" s="127"/>
      <c r="BU785" s="127">
        <f ca="1">(CG785-$AW$4)/((YEAR($C$13))-$AW$4)</f>
        <v>1</v>
      </c>
      <c r="BV785" s="127">
        <f>AE785/5</f>
        <v>1</v>
      </c>
      <c r="BW785" s="127">
        <f>AF785/5</f>
        <v>1</v>
      </c>
      <c r="BX785" s="4"/>
      <c r="BY785" s="148" t="str">
        <f>IF(E785="A",".98",IF(E785="B",".99",IF(E785="C","1.00",IF(E785="D","1.00" ))))</f>
        <v>1.00</v>
      </c>
      <c r="BZ785" s="127">
        <f>(CE785+7)/10</f>
        <v>1</v>
      </c>
      <c r="CA785" s="76" t="str">
        <f>IF(D785="Fern",".97",IF(D785="Grass",".99",IF(D785="Herb",".97",IF(D785="Shrub",".99",IF(D785="Tree","1.00",IF(D785="Vine",".98"))))))</f>
        <v>.97</v>
      </c>
      <c r="CB785" s="149" t="str">
        <f>IF(R785="Bogs Ponds Streams",".96", IF(R785="Coastal Areas",".97",IF(R785="Meadows Dry Open",".96",IF(R785="Forest &amp; Understory",".97",IF(R785="Moist Open",".98",IF(R785="Moist Shady",".96",IF(R785="Sub-Alpine","1.0")))))))</f>
        <v>.96</v>
      </c>
      <c r="CC785" s="76" t="str">
        <f>IF(S785="Local Endemic",".50",IF(S785="Regional Endemic",".70",IF(S785="Cascadia",".90",IF(S785="Rocky Mountain",".95",IF(S785="North America",".99")))))</f>
        <v>.90</v>
      </c>
      <c r="CD785" s="4"/>
      <c r="CE785" s="21">
        <f>IF(W785&gt;3,3,W785)</f>
        <v>3</v>
      </c>
      <c r="CF785" s="21">
        <f>IF(AC785&gt;102,102,AC785)</f>
        <v>31.1</v>
      </c>
      <c r="CG785" s="34">
        <f ca="1">IF(AI785&lt;$AW$4,$AW$4,AI785)</f>
        <v>2019</v>
      </c>
      <c r="CH785" s="34">
        <f ca="1">IF(AJ785&lt;$AW$4,$AW$4,AJ785)</f>
        <v>2019</v>
      </c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13"/>
    </row>
    <row r="786" spans="1:115" ht="15" customHeight="1" x14ac:dyDescent="0.3">
      <c r="A786" s="235"/>
      <c r="B786" s="218"/>
      <c r="C786" s="225">
        <v>8</v>
      </c>
      <c r="D786" s="59" t="s">
        <v>2505</v>
      </c>
      <c r="E786" s="59" t="s">
        <v>2501</v>
      </c>
      <c r="F786" s="397" t="str">
        <f ca="1">IF(BC786&lt;2025, "Extinct&lt; 6Yrs?",BA786)</f>
        <v>Abundant</v>
      </c>
      <c r="G786" s="363" t="s">
        <v>525</v>
      </c>
      <c r="H786" s="363" t="s">
        <v>696</v>
      </c>
      <c r="I786" s="366" t="s">
        <v>196</v>
      </c>
      <c r="J786" s="365" t="s">
        <v>3930</v>
      </c>
      <c r="K786" s="365" t="s">
        <v>1139</v>
      </c>
      <c r="L786" s="10" t="s">
        <v>2283</v>
      </c>
      <c r="M786" s="8" t="s">
        <v>4857</v>
      </c>
      <c r="N786" s="8" t="s">
        <v>5755</v>
      </c>
      <c r="O786" s="8" t="s">
        <v>6654</v>
      </c>
      <c r="P786" s="9" t="s">
        <v>192</v>
      </c>
      <c r="Q786" s="59" t="s">
        <v>2552</v>
      </c>
      <c r="R786" s="58" t="s">
        <v>2500</v>
      </c>
      <c r="S786" s="9" t="s">
        <v>2459</v>
      </c>
      <c r="T786" s="123" t="str">
        <f>IF(R786="Bogs Ponds Streams","20",IF(R786="Coastal Areas","26",IF(R786="Meadows Dry Open","10",IF(R786="Forest &amp; Understory","14",IF(R786="Moist Open","12",IF(R786="Moist Shady","10",IF(R786="Sub-Alpine Slopes","0")))))))</f>
        <v>10</v>
      </c>
      <c r="U786" s="123" t="str">
        <f>IF(R786="Bogs Ponds Streams","52",IF(R786="Coastal Areas","51",IF(R786="Meadows Dry Open","53",IF(R786="Forest &amp; Understory","52",IF(R786="Moist Open","50",IF(R786="Moist Shady","46",IF(R786="Sub-Alpine Slopes","40")))))))</f>
        <v>53</v>
      </c>
      <c r="V786" s="123" t="str">
        <f>IF(R786="Bogs Ponds Streams","84",IF(R786="Coastal Areas","76",IF(R786="Meadows Dry Open","96", IF(R786="Forest &amp; Understory","90", IF(R786="Moist Open","88", IF(R786="Moist Shady","82", IF(R786="Sub-Alpine Slopes","80")))))))</f>
        <v>96</v>
      </c>
      <c r="W786" s="59">
        <v>20</v>
      </c>
      <c r="X786" s="59">
        <v>0</v>
      </c>
      <c r="Y786" s="59">
        <v>3500</v>
      </c>
      <c r="Z786" s="59" t="s">
        <v>2519</v>
      </c>
      <c r="AA786" s="59" t="s">
        <v>2518</v>
      </c>
      <c r="AB786" s="59">
        <v>6.8</v>
      </c>
      <c r="AC786" s="45">
        <f>C786+AK786+(0.1)*AL786</f>
        <v>40.799999999999997</v>
      </c>
      <c r="AD786" s="77">
        <v>45</v>
      </c>
      <c r="AE786" s="59">
        <v>5</v>
      </c>
      <c r="AF786" s="59">
        <v>5</v>
      </c>
      <c r="AG786" s="59">
        <v>1900</v>
      </c>
      <c r="AH786" s="77">
        <v>0</v>
      </c>
      <c r="AI786" s="59">
        <f ca="1">AJ786</f>
        <v>2019</v>
      </c>
      <c r="AJ786" s="18">
        <f ca="1">YEAR(TODAY())</f>
        <v>2019</v>
      </c>
      <c r="AK786" s="18">
        <v>32</v>
      </c>
      <c r="AL786" s="18">
        <v>8</v>
      </c>
      <c r="AM786" s="18">
        <v>1</v>
      </c>
      <c r="AN786" s="18">
        <v>1</v>
      </c>
      <c r="AO786" s="18">
        <v>5</v>
      </c>
      <c r="AP786" s="18">
        <v>1</v>
      </c>
      <c r="AQ786" s="18">
        <v>0</v>
      </c>
      <c r="AR786" s="18">
        <v>0</v>
      </c>
      <c r="AS786" s="18">
        <v>0</v>
      </c>
      <c r="AT786" s="18">
        <v>0</v>
      </c>
      <c r="AU786" s="18">
        <v>0</v>
      </c>
      <c r="AV786" s="18">
        <v>0</v>
      </c>
      <c r="AW786" s="18">
        <v>0</v>
      </c>
      <c r="AX786" s="18">
        <v>0</v>
      </c>
      <c r="AY786" s="233"/>
      <c r="AZ786" s="4"/>
      <c r="BA786" s="35" t="str">
        <f ca="1">IF(OR(S786="North America",S786="Rocky Mountain"), "Widespread",BC786)</f>
        <v>Abundant</v>
      </c>
      <c r="BB786" s="4"/>
      <c r="BC786" s="35" t="str">
        <f ca="1">IF(BE786&gt;2046, "Abundant",BE786)</f>
        <v>Abundant</v>
      </c>
      <c r="BD786" s="4"/>
      <c r="BE786" s="81">
        <f ca="1">YEAR($C$13)+(BG786*80)</f>
        <v>2109.6243878787877</v>
      </c>
      <c r="BF786" s="4"/>
      <c r="BG786" s="137">
        <f ca="1">BH786*$BH$14</f>
        <v>1.1328048484848485</v>
      </c>
      <c r="BH786" s="137">
        <f ca="1">(((BJ786+BK786+BM786+BN786)/4)*$BM$11)+(((BP786+BQ786)/2)*$BQ$11)+(((BU786+BV786+BW786)/3)*$BU$11)+(((BY786+BZ786+CA786+CB786+CC786)/5)*$CA$11)</f>
        <v>1.1328048484848485</v>
      </c>
      <c r="BI786" s="4"/>
      <c r="BJ786" s="33">
        <f>AP786/(AM786+AO786)</f>
        <v>0.16666666666666666</v>
      </c>
      <c r="BK786" s="33">
        <f>(AN786+AO786)/(AM786+AO786)</f>
        <v>1</v>
      </c>
      <c r="BL786" s="4"/>
      <c r="BM786" s="127">
        <f>CF786/102</f>
        <v>0.39999999999999997</v>
      </c>
      <c r="BN786" s="127">
        <f>C786/2</f>
        <v>4</v>
      </c>
      <c r="BO786" s="4"/>
      <c r="BP786" s="127">
        <f>(AK786)/($AW$6)</f>
        <v>0.32323232323232326</v>
      </c>
      <c r="BQ786" s="127">
        <f ca="1">(CH786-$AW$4)/((YEAR($C$13))-$AW$4)</f>
        <v>1</v>
      </c>
      <c r="BR786" s="127">
        <f>(AL786)/($AW$6)</f>
        <v>8.0808080808080815E-2</v>
      </c>
      <c r="BS786" s="4"/>
      <c r="BT786" s="127"/>
      <c r="BU786" s="127">
        <f ca="1">(CG786-$AW$4)/((YEAR($C$13))-$AW$4)</f>
        <v>1</v>
      </c>
      <c r="BV786" s="127">
        <f>AE786/5</f>
        <v>1</v>
      </c>
      <c r="BW786" s="127">
        <f>AF786/5</f>
        <v>1</v>
      </c>
      <c r="BX786" s="4"/>
      <c r="BY786" s="148" t="str">
        <f>IF(E786="A",".98",IF(E786="B",".99",IF(E786="C","1.00",IF(E786="D","1.00" ))))</f>
        <v>1.00</v>
      </c>
      <c r="BZ786" s="127">
        <f>(CE786+7)/10</f>
        <v>1</v>
      </c>
      <c r="CA786" s="76" t="str">
        <f>IF(D786="Fern",".97",IF(D786="Grass",".99",IF(D786="Herb",".97",IF(D786="Shrub",".99",IF(D786="Tree","1.00",IF(D786="Vine",".98"))))))</f>
        <v>.97</v>
      </c>
      <c r="CB786" s="149" t="str">
        <f>IF(R786="Bogs Ponds Streams",".96", IF(R786="Coastal Areas",".97",IF(R786="Meadows Dry Open",".96",IF(R786="Forest &amp; Understory",".97",IF(R786="Moist Open",".98",IF(R786="Moist Shady",".96",IF(R786="Sub-Alpine","1.0")))))))</f>
        <v>.96</v>
      </c>
      <c r="CC786" s="76" t="str">
        <f>IF(S786="Local Endemic",".50",IF(S786="Regional Endemic",".70",IF(S786="Cascadia",".90",IF(S786="Rocky Mountain",".95",IF(S786="North America",".99")))))</f>
        <v>.90</v>
      </c>
      <c r="CD786" s="4"/>
      <c r="CE786" s="21">
        <f>IF(W786&gt;3,3,W786)</f>
        <v>3</v>
      </c>
      <c r="CF786" s="21">
        <f>IF(AC786&gt;102,102,AC786)</f>
        <v>40.799999999999997</v>
      </c>
      <c r="CG786" s="34">
        <f ca="1">IF(AI786&lt;$AW$4,$AW$4,AI786)</f>
        <v>2019</v>
      </c>
      <c r="CH786" s="34">
        <f ca="1">IF(AJ786&lt;$AW$4,$AW$4,AJ786)</f>
        <v>2019</v>
      </c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13"/>
    </row>
    <row r="787" spans="1:115" ht="15" customHeight="1" x14ac:dyDescent="0.3">
      <c r="A787" s="235"/>
      <c r="B787" s="218"/>
      <c r="C787" s="225">
        <v>8</v>
      </c>
      <c r="D787" s="59" t="s">
        <v>1154</v>
      </c>
      <c r="E787" s="59" t="s">
        <v>2501</v>
      </c>
      <c r="F787" s="397" t="str">
        <f ca="1">IF(BC787&lt;2025, "Extinct&lt; 6Yrs?",BA787)</f>
        <v>Abundant</v>
      </c>
      <c r="G787" s="363" t="s">
        <v>525</v>
      </c>
      <c r="H787" s="363" t="s">
        <v>688</v>
      </c>
      <c r="I787" s="366" t="s">
        <v>478</v>
      </c>
      <c r="J787" s="365" t="s">
        <v>3929</v>
      </c>
      <c r="K787" s="365" t="s">
        <v>477</v>
      </c>
      <c r="L787" s="10" t="s">
        <v>2284</v>
      </c>
      <c r="M787" s="8" t="s">
        <v>4858</v>
      </c>
      <c r="N787" s="8" t="s">
        <v>5756</v>
      </c>
      <c r="O787" s="8" t="s">
        <v>6655</v>
      </c>
      <c r="P787" s="9" t="s">
        <v>479</v>
      </c>
      <c r="Q787" s="59" t="s">
        <v>2552</v>
      </c>
      <c r="R787" s="9" t="s">
        <v>2500</v>
      </c>
      <c r="S787" s="17" t="s">
        <v>2459</v>
      </c>
      <c r="T787" s="123" t="str">
        <f>IF(R787="Bogs Ponds Streams","20",IF(R787="Coastal Areas","26",IF(R787="Meadows Dry Open","10",IF(R787="Forest &amp; Understory","14",IF(R787="Moist Open","12",IF(R787="Moist Shady","10",IF(R787="Sub-Alpine Slopes","0")))))))</f>
        <v>10</v>
      </c>
      <c r="U787" s="123" t="str">
        <f>IF(R787="Bogs Ponds Streams","52",IF(R787="Coastal Areas","51",IF(R787="Meadows Dry Open","53",IF(R787="Forest &amp; Understory","52",IF(R787="Moist Open","50",IF(R787="Moist Shady","46",IF(R787="Sub-Alpine Slopes","40")))))))</f>
        <v>53</v>
      </c>
      <c r="V787" s="123" t="str">
        <f>IF(R787="Bogs Ponds Streams","84",IF(R787="Coastal Areas","76",IF(R787="Meadows Dry Open","96", IF(R787="Forest &amp; Understory","90", IF(R787="Moist Open","88", IF(R787="Moist Shady","82", IF(R787="Sub-Alpine Slopes","80")))))))</f>
        <v>96</v>
      </c>
      <c r="W787" s="59">
        <v>20</v>
      </c>
      <c r="X787" s="59">
        <v>0</v>
      </c>
      <c r="Y787" s="59">
        <v>3500</v>
      </c>
      <c r="Z787" s="59" t="s">
        <v>2519</v>
      </c>
      <c r="AA787" s="59" t="s">
        <v>2518</v>
      </c>
      <c r="AB787" s="59">
        <v>6.8</v>
      </c>
      <c r="AC787" s="45">
        <f>C787+AK787+(0.1)*AL787</f>
        <v>20</v>
      </c>
      <c r="AD787" s="77">
        <v>45</v>
      </c>
      <c r="AE787" s="59">
        <v>5</v>
      </c>
      <c r="AF787" s="59">
        <v>5</v>
      </c>
      <c r="AG787" s="59">
        <v>1900</v>
      </c>
      <c r="AH787" s="77">
        <v>0</v>
      </c>
      <c r="AI787" s="59">
        <f ca="1">AJ787</f>
        <v>2019</v>
      </c>
      <c r="AJ787" s="18">
        <f ca="1">YEAR(TODAY())</f>
        <v>2019</v>
      </c>
      <c r="AK787" s="18">
        <v>12</v>
      </c>
      <c r="AL787" s="18">
        <v>0</v>
      </c>
      <c r="AM787" s="18">
        <v>1</v>
      </c>
      <c r="AN787" s="18">
        <v>1</v>
      </c>
      <c r="AO787" s="18">
        <v>5</v>
      </c>
      <c r="AP787" s="18">
        <v>1</v>
      </c>
      <c r="AQ787" s="18">
        <v>0</v>
      </c>
      <c r="AR787" s="18">
        <v>0</v>
      </c>
      <c r="AS787" s="18">
        <v>0</v>
      </c>
      <c r="AT787" s="18">
        <v>0</v>
      </c>
      <c r="AU787" s="18">
        <v>0</v>
      </c>
      <c r="AV787" s="18">
        <v>0</v>
      </c>
      <c r="AW787" s="18">
        <v>0</v>
      </c>
      <c r="AX787" s="18">
        <v>0</v>
      </c>
      <c r="AY787" s="233"/>
      <c r="AZ787" s="4"/>
      <c r="BA787" s="35" t="str">
        <f ca="1">IF(OR(S787="North America",S787="Rocky Mountain"), "Widespread",BC787)</f>
        <v>Abundant</v>
      </c>
      <c r="BB787" s="4"/>
      <c r="BC787" s="35" t="str">
        <f ca="1">IF(BE787&gt;2046, "Abundant",BE787)</f>
        <v>Abundant</v>
      </c>
      <c r="BD787" s="4"/>
      <c r="BE787" s="81">
        <f ca="1">YEAR($C$13)+(BG787*80)</f>
        <v>2104.7530866310162</v>
      </c>
      <c r="BF787" s="4"/>
      <c r="BG787" s="137">
        <f ca="1">BH787*$BH$14</f>
        <v>1.0719135828877007</v>
      </c>
      <c r="BH787" s="137">
        <f ca="1">(((BJ787+BK787+BM787+BN787)/4)*$BM$11)+(((BP787+BQ787)/2)*$BQ$11)+(((BU787+BV787+BW787)/3)*$BU$11)+(((BY787+BZ787+CA787+CB787+CC787)/5)*$CA$11)</f>
        <v>1.0719135828877007</v>
      </c>
      <c r="BI787" s="4"/>
      <c r="BJ787" s="33">
        <f>AP787/(AM787+AO787)</f>
        <v>0.16666666666666666</v>
      </c>
      <c r="BK787" s="33">
        <f>(AN787+AO787)/(AM787+AO787)</f>
        <v>1</v>
      </c>
      <c r="BL787" s="4"/>
      <c r="BM787" s="127">
        <f>CF787/102</f>
        <v>0.19607843137254902</v>
      </c>
      <c r="BN787" s="127">
        <f>C787/2</f>
        <v>4</v>
      </c>
      <c r="BO787" s="4"/>
      <c r="BP787" s="127">
        <f>(AK787)/($AW$6)</f>
        <v>0.12121212121212122</v>
      </c>
      <c r="BQ787" s="127">
        <f ca="1">(CH787-$AW$4)/((YEAR($C$13))-$AW$4)</f>
        <v>1</v>
      </c>
      <c r="BR787" s="127">
        <f>(AL787)/($AW$6)</f>
        <v>0</v>
      </c>
      <c r="BS787" s="4"/>
      <c r="BT787" s="127"/>
      <c r="BU787" s="127">
        <f ca="1">(CG787-$AW$4)/((YEAR($C$13))-$AW$4)</f>
        <v>1</v>
      </c>
      <c r="BV787" s="127">
        <f>AE787/5</f>
        <v>1</v>
      </c>
      <c r="BW787" s="127">
        <f>AF787/5</f>
        <v>1</v>
      </c>
      <c r="BX787" s="4"/>
      <c r="BY787" s="148" t="str">
        <f>IF(E787="A",".98",IF(E787="B",".99",IF(E787="C","1.00",IF(E787="D","1.00" ))))</f>
        <v>1.00</v>
      </c>
      <c r="BZ787" s="127">
        <f>(CE787+7)/10</f>
        <v>1</v>
      </c>
      <c r="CA787" s="76" t="str">
        <f>IF(D787="Fern",".97",IF(D787="Grass",".99",IF(D787="Herb",".97",IF(D787="Shrub",".99",IF(D787="Tree","1.00",IF(D787="Vine",".98"))))))</f>
        <v>.97</v>
      </c>
      <c r="CB787" s="149" t="str">
        <f>IF(R787="Bogs Ponds Streams",".96", IF(R787="Coastal Areas",".97",IF(R787="Meadows Dry Open",".96",IF(R787="Forest &amp; Understory",".97",IF(R787="Moist Open",".98",IF(R787="Moist Shady",".96",IF(R787="Sub-Alpine","1.0")))))))</f>
        <v>.96</v>
      </c>
      <c r="CC787" s="76" t="str">
        <f>IF(S787="Local Endemic",".50",IF(S787="Regional Endemic",".70",IF(S787="Cascadia",".90",IF(S787="Rocky Mountain",".95",IF(S787="North America",".99")))))</f>
        <v>.90</v>
      </c>
      <c r="CD787" s="4"/>
      <c r="CE787" s="21">
        <f>IF(W787&gt;3,3,W787)</f>
        <v>3</v>
      </c>
      <c r="CF787" s="21">
        <f>IF(AC787&gt;102,102,AC787)</f>
        <v>20</v>
      </c>
      <c r="CG787" s="34">
        <f ca="1">IF(AI787&lt;$AW$4,$AW$4,AI787)</f>
        <v>2019</v>
      </c>
      <c r="CH787" s="34">
        <f ca="1">IF(AJ787&lt;$AW$4,$AW$4,AJ787)</f>
        <v>2019</v>
      </c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13"/>
    </row>
    <row r="788" spans="1:115" ht="15" customHeight="1" x14ac:dyDescent="0.3">
      <c r="A788" s="235"/>
      <c r="B788" s="218"/>
      <c r="C788" s="225">
        <v>8</v>
      </c>
      <c r="D788" s="59" t="s">
        <v>1154</v>
      </c>
      <c r="E788" s="59" t="s">
        <v>2501</v>
      </c>
      <c r="F788" s="397" t="str">
        <f ca="1">IF(BC788&lt;2025, "Extinct&lt; 6Yrs?",BA788)</f>
        <v>Widespread</v>
      </c>
      <c r="G788" s="363" t="s">
        <v>525</v>
      </c>
      <c r="H788" s="363" t="s">
        <v>688</v>
      </c>
      <c r="I788" s="366" t="s">
        <v>480</v>
      </c>
      <c r="J788" s="365" t="s">
        <v>3928</v>
      </c>
      <c r="K788" s="365" t="s">
        <v>1227</v>
      </c>
      <c r="L788" s="10" t="s">
        <v>2285</v>
      </c>
      <c r="M788" s="8" t="s">
        <v>4859</v>
      </c>
      <c r="N788" s="8" t="s">
        <v>5757</v>
      </c>
      <c r="O788" s="8" t="s">
        <v>6656</v>
      </c>
      <c r="P788" s="9" t="s">
        <v>479</v>
      </c>
      <c r="Q788" s="59" t="s">
        <v>2552</v>
      </c>
      <c r="R788" s="58" t="s">
        <v>2500</v>
      </c>
      <c r="S788" s="9" t="s">
        <v>2479</v>
      </c>
      <c r="T788" s="123" t="str">
        <f>IF(R788="Bogs Ponds Streams","20",IF(R788="Coastal Areas","26",IF(R788="Meadows Dry Open","10",IF(R788="Forest &amp; Understory","14",IF(R788="Moist Open","12",IF(R788="Moist Shady","10",IF(R788="Sub-Alpine Slopes","0")))))))</f>
        <v>10</v>
      </c>
      <c r="U788" s="123" t="str">
        <f>IF(R788="Bogs Ponds Streams","52",IF(R788="Coastal Areas","51",IF(R788="Meadows Dry Open","53",IF(R788="Forest &amp; Understory","52",IF(R788="Moist Open","50",IF(R788="Moist Shady","46",IF(R788="Sub-Alpine Slopes","40")))))))</f>
        <v>53</v>
      </c>
      <c r="V788" s="123" t="str">
        <f>IF(R788="Bogs Ponds Streams","84",IF(R788="Coastal Areas","76",IF(R788="Meadows Dry Open","96", IF(R788="Forest &amp; Understory","90", IF(R788="Moist Open","88", IF(R788="Moist Shady","82", IF(R788="Sub-Alpine Slopes","80")))))))</f>
        <v>96</v>
      </c>
      <c r="W788" s="59">
        <v>20</v>
      </c>
      <c r="X788" s="59">
        <v>0</v>
      </c>
      <c r="Y788" s="59">
        <v>3500</v>
      </c>
      <c r="Z788" s="59" t="s">
        <v>2519</v>
      </c>
      <c r="AA788" s="59" t="s">
        <v>2518</v>
      </c>
      <c r="AB788" s="59">
        <v>6.8</v>
      </c>
      <c r="AC788" s="45">
        <f>C788+AK788+(0.1)*AL788</f>
        <v>32.200000000000003</v>
      </c>
      <c r="AD788" s="77">
        <v>228</v>
      </c>
      <c r="AE788" s="59">
        <v>5</v>
      </c>
      <c r="AF788" s="59">
        <v>5</v>
      </c>
      <c r="AG788" s="59">
        <v>1900</v>
      </c>
      <c r="AH788" s="77">
        <v>0</v>
      </c>
      <c r="AI788" s="59">
        <f ca="1">AJ788</f>
        <v>2019</v>
      </c>
      <c r="AJ788" s="18">
        <f ca="1">YEAR(TODAY())</f>
        <v>2019</v>
      </c>
      <c r="AK788" s="18">
        <v>22</v>
      </c>
      <c r="AL788" s="18">
        <v>22</v>
      </c>
      <c r="AM788" s="18">
        <v>1</v>
      </c>
      <c r="AN788" s="18">
        <v>1</v>
      </c>
      <c r="AO788" s="25">
        <v>0</v>
      </c>
      <c r="AP788" s="24">
        <v>0</v>
      </c>
      <c r="AQ788" s="18">
        <v>0</v>
      </c>
      <c r="AR788" s="18">
        <v>0</v>
      </c>
      <c r="AS788" s="18">
        <v>0</v>
      </c>
      <c r="AT788" s="18">
        <v>0</v>
      </c>
      <c r="AU788" s="18">
        <v>0</v>
      </c>
      <c r="AV788" s="18">
        <v>0</v>
      </c>
      <c r="AW788" s="18">
        <v>0</v>
      </c>
      <c r="AX788" s="18">
        <v>0</v>
      </c>
      <c r="AY788" s="233"/>
      <c r="AZ788" s="4"/>
      <c r="BA788" s="35" t="str">
        <f>IF(OR(S788="North America",S788="Rocky Mountain"), "Widespread",BC788)</f>
        <v>Widespread</v>
      </c>
      <c r="BB788" s="4"/>
      <c r="BC788" s="35" t="str">
        <f ca="1">IF(BE788&gt;2046, "Abundant",BE788)</f>
        <v>Abundant</v>
      </c>
      <c r="BD788" s="4"/>
      <c r="BE788" s="81">
        <f ca="1">YEAR($C$13)+(BG788*80)</f>
        <v>2105.4165019607844</v>
      </c>
      <c r="BF788" s="4"/>
      <c r="BG788" s="137">
        <f ca="1">BH788*$BH$14</f>
        <v>1.0802062745098038</v>
      </c>
      <c r="BH788" s="137">
        <f ca="1">(((BJ788+BK788+BM788+BN788)/4)*$BM$11)+(((BP788+BQ788)/2)*$BQ$11)+(((BU788+BV788+BW788)/3)*$BU$11)+(((BY788+BZ788+CA788+CB788+CC788)/5)*$CA$11)</f>
        <v>1.0802062745098038</v>
      </c>
      <c r="BI788" s="4"/>
      <c r="BJ788" s="33">
        <f>AP788/(AM788+AO788)</f>
        <v>0</v>
      </c>
      <c r="BK788" s="33">
        <f>(AN788+AO788)/(AM788+AO788)</f>
        <v>1</v>
      </c>
      <c r="BL788" s="4"/>
      <c r="BM788" s="127">
        <f>CF788/102</f>
        <v>0.31568627450980397</v>
      </c>
      <c r="BN788" s="127">
        <f>C788/2</f>
        <v>4</v>
      </c>
      <c r="BO788" s="4"/>
      <c r="BP788" s="127">
        <f>(AK788)/($AW$6)</f>
        <v>0.22222222222222221</v>
      </c>
      <c r="BQ788" s="127">
        <f ca="1">(CH788-$AW$4)/((YEAR($C$13))-$AW$4)</f>
        <v>1</v>
      </c>
      <c r="BR788" s="127">
        <f>(AL788)/($AW$6)</f>
        <v>0.22222222222222221</v>
      </c>
      <c r="BS788" s="4"/>
      <c r="BT788" s="127"/>
      <c r="BU788" s="127">
        <f ca="1">(CG788-$AW$4)/((YEAR($C$13))-$AW$4)</f>
        <v>1</v>
      </c>
      <c r="BV788" s="127">
        <f>AE788/5</f>
        <v>1</v>
      </c>
      <c r="BW788" s="127">
        <f>AF788/5</f>
        <v>1</v>
      </c>
      <c r="BX788" s="4"/>
      <c r="BY788" s="148" t="str">
        <f>IF(E788="A",".98",IF(E788="B",".99",IF(E788="C","1.00",IF(E788="D","1.00" ))))</f>
        <v>1.00</v>
      </c>
      <c r="BZ788" s="127">
        <f>(CE788+7)/10</f>
        <v>1</v>
      </c>
      <c r="CA788" s="76" t="str">
        <f>IF(D788="Fern",".97",IF(D788="Grass",".99",IF(D788="Herb",".97",IF(D788="Shrub",".99",IF(D788="Tree","1.00",IF(D788="Vine",".98"))))))</f>
        <v>.97</v>
      </c>
      <c r="CB788" s="149" t="str">
        <f>IF(R788="Bogs Ponds Streams",".96", IF(R788="Coastal Areas",".97",IF(R788="Meadows Dry Open",".96",IF(R788="Forest &amp; Understory",".97",IF(R788="Moist Open",".98",IF(R788="Moist Shady",".96",IF(R788="Sub-Alpine","1.0")))))))</f>
        <v>.96</v>
      </c>
      <c r="CC788" s="76" t="str">
        <f>IF(S788="Local Endemic",".50",IF(S788="Regional Endemic",".70",IF(S788="Cascadia",".90",IF(S788="Rocky Mountain",".95",IF(S788="North America",".99")))))</f>
        <v>.95</v>
      </c>
      <c r="CD788" s="4"/>
      <c r="CE788" s="21">
        <f>IF(W788&gt;3,3,W788)</f>
        <v>3</v>
      </c>
      <c r="CF788" s="21">
        <f>IF(AC788&gt;102,102,AC788)</f>
        <v>32.200000000000003</v>
      </c>
      <c r="CG788" s="34">
        <f ca="1">IF(AI788&lt;$AW$4,$AW$4,AI788)</f>
        <v>2019</v>
      </c>
      <c r="CH788" s="34">
        <f ca="1">IF(AJ788&lt;$AW$4,$AW$4,AJ788)</f>
        <v>2019</v>
      </c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13"/>
    </row>
    <row r="789" spans="1:115" ht="15" customHeight="1" x14ac:dyDescent="0.3">
      <c r="A789" s="235"/>
      <c r="B789" s="218"/>
      <c r="C789" s="225">
        <v>9</v>
      </c>
      <c r="D789" s="59" t="s">
        <v>2507</v>
      </c>
      <c r="E789" s="59" t="s">
        <v>2504</v>
      </c>
      <c r="F789" s="397" t="str">
        <f ca="1">IF(BC789&lt;2025, "Extinct&lt; 6Yrs?",BA789)</f>
        <v>Abundant</v>
      </c>
      <c r="G789" s="363" t="s">
        <v>525</v>
      </c>
      <c r="H789" s="363" t="s">
        <v>686</v>
      </c>
      <c r="I789" s="10" t="s">
        <v>697</v>
      </c>
      <c r="J789" s="365" t="s">
        <v>3927</v>
      </c>
      <c r="K789" s="365" t="s">
        <v>2090</v>
      </c>
      <c r="L789" s="10" t="s">
        <v>1222</v>
      </c>
      <c r="M789" s="8" t="s">
        <v>4861</v>
      </c>
      <c r="N789" s="8" t="s">
        <v>1222</v>
      </c>
      <c r="O789" s="8" t="s">
        <v>6657</v>
      </c>
      <c r="P789" s="9" t="s">
        <v>536</v>
      </c>
      <c r="Q789" s="59" t="s">
        <v>2552</v>
      </c>
      <c r="R789" s="10" t="s">
        <v>2530</v>
      </c>
      <c r="S789" s="17" t="s">
        <v>2309</v>
      </c>
      <c r="T789" s="123" t="str">
        <f>IF(R789="Bogs Ponds Streams","20",IF(R789="Coastal Areas","26",IF(R789="Meadows Dry Open","10",IF(R789="Forest &amp; Understory","14",IF(R789="Moist Open","12",IF(R789="Moist Shady","10",IF(R789="Sub-Alpine Slopes","0")))))))</f>
        <v>14</v>
      </c>
      <c r="U789" s="123" t="str">
        <f>IF(R789="Bogs Ponds Streams","52",IF(R789="Coastal Areas","51",IF(R789="Meadows Dry Open","53",IF(R789="Forest &amp; Understory","52",IF(R789="Moist Open","50",IF(R789="Moist Shady","46",IF(R789="Sub-Alpine Slopes","40")))))))</f>
        <v>52</v>
      </c>
      <c r="V789" s="123" t="str">
        <f>IF(R789="Bogs Ponds Streams","84",IF(R789="Coastal Areas","76",IF(R789="Meadows Dry Open","96", IF(R789="Forest &amp; Understory","90", IF(R789="Moist Open","88", IF(R789="Moist Shady","82", IF(R789="Sub-Alpine Slopes","80")))))))</f>
        <v>90</v>
      </c>
      <c r="W789" s="59">
        <v>200</v>
      </c>
      <c r="X789" s="59">
        <v>0</v>
      </c>
      <c r="Y789" s="59">
        <v>3500</v>
      </c>
      <c r="Z789" s="59" t="s">
        <v>2519</v>
      </c>
      <c r="AA789" s="59" t="s">
        <v>2518</v>
      </c>
      <c r="AB789" s="59">
        <v>6.8</v>
      </c>
      <c r="AC789" s="45">
        <f>C789+AK789+(0.1)*AL789</f>
        <v>108.9</v>
      </c>
      <c r="AD789" s="77">
        <v>6</v>
      </c>
      <c r="AE789" s="59">
        <v>5</v>
      </c>
      <c r="AF789" s="59">
        <v>5</v>
      </c>
      <c r="AG789" s="59">
        <v>1900</v>
      </c>
      <c r="AH789" s="77">
        <v>0</v>
      </c>
      <c r="AI789" s="59">
        <f ca="1">AJ789</f>
        <v>2019</v>
      </c>
      <c r="AJ789" s="18">
        <f ca="1">YEAR(TODAY())</f>
        <v>2019</v>
      </c>
      <c r="AK789" s="18">
        <v>99</v>
      </c>
      <c r="AL789" s="18">
        <v>9</v>
      </c>
      <c r="AM789" s="18">
        <v>1</v>
      </c>
      <c r="AN789" s="18">
        <v>1</v>
      </c>
      <c r="AO789" s="18">
        <v>5</v>
      </c>
      <c r="AP789" s="18">
        <v>1</v>
      </c>
      <c r="AQ789" s="18">
        <v>0</v>
      </c>
      <c r="AR789" s="18">
        <v>0</v>
      </c>
      <c r="AS789" s="18">
        <v>0</v>
      </c>
      <c r="AT789" s="18">
        <v>0</v>
      </c>
      <c r="AU789" s="18">
        <v>0</v>
      </c>
      <c r="AV789" s="18">
        <v>0</v>
      </c>
      <c r="AW789" s="18">
        <v>0</v>
      </c>
      <c r="AX789" s="18">
        <v>0</v>
      </c>
      <c r="AY789" s="233"/>
      <c r="AZ789" s="4"/>
      <c r="BA789" s="35" t="str">
        <f ca="1">IF(OR(S789="North America",S789="Rocky Mountain"), "Widespread",BC789)</f>
        <v>Abundant</v>
      </c>
      <c r="BB789" s="4"/>
      <c r="BC789" s="35" t="str">
        <f ca="1">IF(BE789&gt;2046, "Abundant",BE789)</f>
        <v>Abundant</v>
      </c>
      <c r="BD789" s="4"/>
      <c r="BE789" s="81">
        <f ca="1">YEAR($C$13)+(BG789*80)</f>
        <v>2130.8944000000001</v>
      </c>
      <c r="BF789" s="4"/>
      <c r="BG789" s="137">
        <f ca="1">BH789*$BH$14</f>
        <v>1.3986800000000001</v>
      </c>
      <c r="BH789" s="137">
        <f ca="1">(((BJ789+BK789+BM789+BN789)/4)*$BM$11)+(((BP789+BQ789)/2)*$BQ$11)+(((BU789+BV789+BW789)/3)*$BU$11)+(((BY789+BZ789+CA789+CB789+CC789)/5)*$CA$11)</f>
        <v>1.3986800000000001</v>
      </c>
      <c r="BI789" s="4"/>
      <c r="BJ789" s="33">
        <f>AP789/(AM789+AO789)</f>
        <v>0.16666666666666666</v>
      </c>
      <c r="BK789" s="33">
        <f>(AN789+AO789)/(AM789+AO789)</f>
        <v>1</v>
      </c>
      <c r="BL789" s="4"/>
      <c r="BM789" s="127">
        <f>CF789/102</f>
        <v>1</v>
      </c>
      <c r="BN789" s="127">
        <f>C789/2</f>
        <v>4.5</v>
      </c>
      <c r="BO789" s="4"/>
      <c r="BP789" s="127">
        <f>(AK789)/($AW$6)</f>
        <v>1</v>
      </c>
      <c r="BQ789" s="127">
        <f ca="1">(CH789-$AW$4)/((YEAR($C$13))-$AW$4)</f>
        <v>1</v>
      </c>
      <c r="BR789" s="127">
        <f>(AL789)/($AW$6)</f>
        <v>9.0909090909090912E-2</v>
      </c>
      <c r="BS789" s="4"/>
      <c r="BT789" s="127"/>
      <c r="BU789" s="127">
        <f ca="1">(CG789-$AW$4)/((YEAR($C$13))-$AW$4)</f>
        <v>1</v>
      </c>
      <c r="BV789" s="127">
        <f>AE789/5</f>
        <v>1</v>
      </c>
      <c r="BW789" s="127">
        <f>AF789/5</f>
        <v>1</v>
      </c>
      <c r="BX789" s="4"/>
      <c r="BY789" s="148" t="str">
        <f>IF(E789="A",".98",IF(E789="B",".99",IF(E789="C","1.00",IF(E789="D","1.00" ))))</f>
        <v>1.00</v>
      </c>
      <c r="BZ789" s="127">
        <f>(CE789+7)/10</f>
        <v>1</v>
      </c>
      <c r="CA789" s="76" t="str">
        <f>IF(D789="Fern",".97",IF(D789="Grass",".99",IF(D789="Herb",".97",IF(D789="Shrub",".99",IF(D789="Tree","1.00",IF(D789="Vine",".98"))))))</f>
        <v>1.00</v>
      </c>
      <c r="CB789" s="149" t="str">
        <f>IF(R789="Bogs Ponds Streams",".96", IF(R789="Coastal Areas",".97",IF(R789="Meadows Dry Open",".96",IF(R789="Forest &amp; Understory",".97",IF(R789="Moist Open",".98",IF(R789="Moist Shady",".96",IF(R789="Sub-Alpine","1.0")))))))</f>
        <v>.97</v>
      </c>
      <c r="CC789" s="76" t="str">
        <f>IF(S789="Local Endemic",".50",IF(S789="Regional Endemic",".70",IF(S789="Cascadia",".90",IF(S789="Rocky Mountain",".95",IF(S789="North America",".99")))))</f>
        <v>.70</v>
      </c>
      <c r="CD789" s="4"/>
      <c r="CE789" s="21">
        <f>IF(W789&gt;3,3,W789)</f>
        <v>3</v>
      </c>
      <c r="CF789" s="21">
        <f>IF(AC789&gt;102,102,AC789)</f>
        <v>102</v>
      </c>
      <c r="CG789" s="34">
        <f ca="1">IF(AI789&lt;$AW$4,$AW$4,AI789)</f>
        <v>2019</v>
      </c>
      <c r="CH789" s="34">
        <f ca="1">IF(AJ789&lt;$AW$4,$AW$4,AJ789)</f>
        <v>2019</v>
      </c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</row>
    <row r="790" spans="1:115" ht="15" customHeight="1" x14ac:dyDescent="0.3">
      <c r="A790" s="235"/>
      <c r="B790" s="218"/>
      <c r="C790" s="225">
        <v>9</v>
      </c>
      <c r="D790" s="59" t="s">
        <v>2507</v>
      </c>
      <c r="E790" s="59" t="s">
        <v>2504</v>
      </c>
      <c r="F790" s="397" t="str">
        <f ca="1">IF(BC790&lt;2025, "Extinct&lt; 6Yrs?",BA790)</f>
        <v>Abundant</v>
      </c>
      <c r="G790" s="363" t="s">
        <v>525</v>
      </c>
      <c r="H790" s="363" t="s">
        <v>686</v>
      </c>
      <c r="I790" s="366" t="s">
        <v>712</v>
      </c>
      <c r="J790" s="365" t="s">
        <v>3926</v>
      </c>
      <c r="K790" s="365" t="s">
        <v>2089</v>
      </c>
      <c r="L790" s="10" t="s">
        <v>1221</v>
      </c>
      <c r="M790" s="8" t="s">
        <v>4860</v>
      </c>
      <c r="N790" s="8" t="s">
        <v>5758</v>
      </c>
      <c r="O790" s="8" t="s">
        <v>4860</v>
      </c>
      <c r="P790" s="9" t="s">
        <v>711</v>
      </c>
      <c r="Q790" s="59" t="s">
        <v>2552</v>
      </c>
      <c r="R790" s="9" t="s">
        <v>2500</v>
      </c>
      <c r="S790" s="17" t="s">
        <v>2309</v>
      </c>
      <c r="T790" s="123" t="str">
        <f>IF(R790="Bogs Ponds Streams","20",IF(R790="Coastal Areas","26",IF(R790="Meadows Dry Open","10",IF(R790="Forest &amp; Understory","14",IF(R790="Moist Open","12",IF(R790="Moist Shady","10",IF(R790="Sub-Alpine Slopes","0")))))))</f>
        <v>10</v>
      </c>
      <c r="U790" s="123" t="str">
        <f>IF(R790="Bogs Ponds Streams","52",IF(R790="Coastal Areas","51",IF(R790="Meadows Dry Open","53",IF(R790="Forest &amp; Understory","52",IF(R790="Moist Open","50",IF(R790="Moist Shady","46",IF(R790="Sub-Alpine Slopes","40")))))))</f>
        <v>53</v>
      </c>
      <c r="V790" s="123" t="str">
        <f>IF(R790="Bogs Ponds Streams","84",IF(R790="Coastal Areas","76",IF(R790="Meadows Dry Open","96", IF(R790="Forest &amp; Understory","90", IF(R790="Moist Open","88", IF(R790="Moist Shady","82", IF(R790="Sub-Alpine Slopes","80")))))))</f>
        <v>96</v>
      </c>
      <c r="W790" s="59">
        <v>200</v>
      </c>
      <c r="X790" s="59">
        <v>0</v>
      </c>
      <c r="Y790" s="59">
        <v>3500</v>
      </c>
      <c r="Z790" s="59" t="s">
        <v>2519</v>
      </c>
      <c r="AA790" s="59" t="s">
        <v>2518</v>
      </c>
      <c r="AB790" s="59">
        <v>6.8</v>
      </c>
      <c r="AC790" s="45">
        <f>C790+AK790+(0.1)*AL790</f>
        <v>108.9</v>
      </c>
      <c r="AD790" s="77">
        <v>2</v>
      </c>
      <c r="AE790" s="59">
        <v>5</v>
      </c>
      <c r="AF790" s="59">
        <v>5</v>
      </c>
      <c r="AG790" s="59">
        <v>1900</v>
      </c>
      <c r="AH790" s="77">
        <v>0</v>
      </c>
      <c r="AI790" s="59">
        <f ca="1">AJ790</f>
        <v>2019</v>
      </c>
      <c r="AJ790" s="18">
        <f ca="1">YEAR(TODAY())</f>
        <v>2019</v>
      </c>
      <c r="AK790" s="18">
        <v>99</v>
      </c>
      <c r="AL790" s="18">
        <v>9</v>
      </c>
      <c r="AM790" s="18">
        <v>1</v>
      </c>
      <c r="AN790" s="18">
        <v>1</v>
      </c>
      <c r="AO790" s="18">
        <v>5</v>
      </c>
      <c r="AP790" s="18">
        <v>1</v>
      </c>
      <c r="AQ790" s="18">
        <v>0</v>
      </c>
      <c r="AR790" s="18">
        <v>0</v>
      </c>
      <c r="AS790" s="18">
        <v>0</v>
      </c>
      <c r="AT790" s="18">
        <v>0</v>
      </c>
      <c r="AU790" s="18">
        <v>0</v>
      </c>
      <c r="AV790" s="18">
        <v>0</v>
      </c>
      <c r="AW790" s="18">
        <v>0</v>
      </c>
      <c r="AX790" s="18">
        <v>0</v>
      </c>
      <c r="AY790" s="233"/>
      <c r="AZ790" s="4"/>
      <c r="BA790" s="35" t="str">
        <f ca="1">IF(OR(S790="North America",S790="Rocky Mountain"), "Widespread",BC790)</f>
        <v>Abundant</v>
      </c>
      <c r="BB790" s="4"/>
      <c r="BC790" s="35" t="str">
        <f ca="1">IF(BE790&gt;2046, "Abundant",BE790)</f>
        <v>Abundant</v>
      </c>
      <c r="BD790" s="4"/>
      <c r="BE790" s="81">
        <f ca="1">YEAR($C$13)+(BG790*80)</f>
        <v>2130.8912</v>
      </c>
      <c r="BF790" s="4"/>
      <c r="BG790" s="137">
        <f ca="1">BH790*$BH$14</f>
        <v>1.3986400000000001</v>
      </c>
      <c r="BH790" s="137">
        <f ca="1">(((BJ790+BK790+BM790+BN790)/4)*$BM$11)+(((BP790+BQ790)/2)*$BQ$11)+(((BU790+BV790+BW790)/3)*$BU$11)+(((BY790+BZ790+CA790+CB790+CC790)/5)*$CA$11)</f>
        <v>1.3986400000000001</v>
      </c>
      <c r="BI790" s="4"/>
      <c r="BJ790" s="33">
        <f>AP790/(AM790+AO790)</f>
        <v>0.16666666666666666</v>
      </c>
      <c r="BK790" s="33">
        <f>(AN790+AO790)/(AM790+AO790)</f>
        <v>1</v>
      </c>
      <c r="BL790" s="4"/>
      <c r="BM790" s="127">
        <f>CF790/102</f>
        <v>1</v>
      </c>
      <c r="BN790" s="127">
        <f>C790/2</f>
        <v>4.5</v>
      </c>
      <c r="BO790" s="4"/>
      <c r="BP790" s="127">
        <f>(AK790)/($AW$6)</f>
        <v>1</v>
      </c>
      <c r="BQ790" s="127">
        <f ca="1">(CH790-$AW$4)/((YEAR($C$13))-$AW$4)</f>
        <v>1</v>
      </c>
      <c r="BR790" s="127">
        <f>(AL790)/($AW$6)</f>
        <v>9.0909090909090912E-2</v>
      </c>
      <c r="BS790" s="4"/>
      <c r="BT790" s="127"/>
      <c r="BU790" s="127">
        <f ca="1">(CG790-$AW$4)/((YEAR($C$13))-$AW$4)</f>
        <v>1</v>
      </c>
      <c r="BV790" s="127">
        <f>AE790/5</f>
        <v>1</v>
      </c>
      <c r="BW790" s="127">
        <f>AF790/5</f>
        <v>1</v>
      </c>
      <c r="BX790" s="4"/>
      <c r="BY790" s="148" t="str">
        <f>IF(E790="A",".98",IF(E790="B",".99",IF(E790="C","1.00",IF(E790="D","1.00" ))))</f>
        <v>1.00</v>
      </c>
      <c r="BZ790" s="127">
        <f>(CE790+7)/10</f>
        <v>1</v>
      </c>
      <c r="CA790" s="76" t="str">
        <f>IF(D790="Fern",".97",IF(D790="Grass",".99",IF(D790="Herb",".97",IF(D790="Shrub",".99",IF(D790="Tree","1.00",IF(D790="Vine",".98"))))))</f>
        <v>1.00</v>
      </c>
      <c r="CB790" s="149" t="str">
        <f>IF(R790="Bogs Ponds Streams",".96", IF(R790="Coastal Areas",".97",IF(R790="Meadows Dry Open",".96",IF(R790="Forest &amp; Understory",".97",IF(R790="Moist Open",".98",IF(R790="Moist Shady",".96",IF(R790="Sub-Alpine","1.0")))))))</f>
        <v>.96</v>
      </c>
      <c r="CC790" s="76" t="str">
        <f>IF(S790="Local Endemic",".50",IF(S790="Regional Endemic",".70",IF(S790="Cascadia",".90",IF(S790="Rocky Mountain",".95",IF(S790="North America",".99")))))</f>
        <v>.70</v>
      </c>
      <c r="CD790" s="4"/>
      <c r="CE790" s="21">
        <f>IF(W790&gt;3,3,W790)</f>
        <v>3</v>
      </c>
      <c r="CF790" s="21">
        <f>IF(AC790&gt;102,102,AC790)</f>
        <v>102</v>
      </c>
      <c r="CG790" s="34">
        <f ca="1">IF(AI790&lt;$AW$4,$AW$4,AI790)</f>
        <v>2019</v>
      </c>
      <c r="CH790" s="34">
        <f ca="1">IF(AJ790&lt;$AW$4,$AW$4,AJ790)</f>
        <v>2019</v>
      </c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</row>
    <row r="791" spans="1:115" ht="15" customHeight="1" x14ac:dyDescent="0.3">
      <c r="A791" s="235"/>
      <c r="B791" s="218"/>
      <c r="C791" s="375">
        <v>1</v>
      </c>
      <c r="D791" s="67" t="s">
        <v>2505</v>
      </c>
      <c r="E791" s="67" t="s">
        <v>2501</v>
      </c>
      <c r="F791" s="403">
        <f ca="1">IF(BC791&lt;2025, "Extinct&lt; 6Yrs?",BA791)</f>
        <v>2029.6369654188948</v>
      </c>
      <c r="G791" s="376" t="s">
        <v>525</v>
      </c>
      <c r="H791" s="376" t="s">
        <v>4028</v>
      </c>
      <c r="I791" s="379" t="s">
        <v>2709</v>
      </c>
      <c r="J791" s="378" t="s">
        <v>3509</v>
      </c>
      <c r="K791" s="378" t="s">
        <v>4073</v>
      </c>
      <c r="L791" s="65" t="s">
        <v>1782</v>
      </c>
      <c r="M791" s="64" t="s">
        <v>4862</v>
      </c>
      <c r="N791" s="64" t="s">
        <v>5759</v>
      </c>
      <c r="O791" s="64" t="s">
        <v>6658</v>
      </c>
      <c r="P791" s="404" t="s">
        <v>51</v>
      </c>
      <c r="Q791" s="67" t="s">
        <v>2552</v>
      </c>
      <c r="R791" s="61" t="s">
        <v>2500</v>
      </c>
      <c r="S791" s="61" t="s">
        <v>2309</v>
      </c>
      <c r="T791" s="134" t="str">
        <f>IF(R791="Bogs Ponds Streams","20",IF(R791="Coastal Areas","26",IF(R791="Meadows Dry Open","10",IF(R791="Forest &amp; Understory","14",IF(R791="Moist Open","12",IF(R791="Moist Shady","10",IF(R791="Sub-Alpine Slopes","0")))))))</f>
        <v>10</v>
      </c>
      <c r="U791" s="134" t="str">
        <f>IF(R791="Bogs Ponds Streams","52",IF(R791="Coastal Areas","51",IF(R791="Meadows Dry Open","53",IF(R791="Forest &amp; Understory","52",IF(R791="Moist Open","50",IF(R791="Moist Shady","46",IF(R791="Sub-Alpine Slopes","40")))))))</f>
        <v>53</v>
      </c>
      <c r="V791" s="134" t="str">
        <f>IF(R791="Bogs Ponds Streams","84",IF(R791="Coastal Areas","76",IF(R791="Meadows Dry Open","96", IF(R791="Forest &amp; Understory","90", IF(R791="Moist Open","88", IF(R791="Moist Shady","82", IF(R791="Sub-Alpine Slopes","80")))))))</f>
        <v>96</v>
      </c>
      <c r="W791" s="67">
        <v>20</v>
      </c>
      <c r="X791" s="67">
        <v>0</v>
      </c>
      <c r="Y791" s="67">
        <v>3500</v>
      </c>
      <c r="Z791" s="67" t="s">
        <v>2519</v>
      </c>
      <c r="AA791" s="67" t="s">
        <v>2518</v>
      </c>
      <c r="AB791" s="67">
        <v>6.8</v>
      </c>
      <c r="AC791" s="85">
        <f>C791+AK791+(0.1)*AL791</f>
        <v>3</v>
      </c>
      <c r="AD791" s="78">
        <v>17</v>
      </c>
      <c r="AE791" s="68">
        <v>3</v>
      </c>
      <c r="AF791" s="68">
        <v>3</v>
      </c>
      <c r="AG791" s="78">
        <v>1925</v>
      </c>
      <c r="AH791" s="78">
        <v>0</v>
      </c>
      <c r="AI791" s="78">
        <v>2000</v>
      </c>
      <c r="AJ791" s="69">
        <v>2004</v>
      </c>
      <c r="AK791" s="69">
        <v>2</v>
      </c>
      <c r="AL791" s="69">
        <v>0</v>
      </c>
      <c r="AM791" s="70">
        <v>5</v>
      </c>
      <c r="AN791" s="70">
        <v>0</v>
      </c>
      <c r="AO791" s="86">
        <v>0</v>
      </c>
      <c r="AP791" s="70">
        <v>0</v>
      </c>
      <c r="AQ791" s="70">
        <v>0</v>
      </c>
      <c r="AR791" s="70">
        <v>0</v>
      </c>
      <c r="AS791" s="86">
        <v>0</v>
      </c>
      <c r="AT791" s="70">
        <v>0</v>
      </c>
      <c r="AU791" s="70">
        <v>0</v>
      </c>
      <c r="AV791" s="70">
        <v>0</v>
      </c>
      <c r="AW791" s="86">
        <v>0</v>
      </c>
      <c r="AX791" s="70">
        <v>0</v>
      </c>
      <c r="AY791" s="233"/>
      <c r="AZ791" s="4"/>
      <c r="BA791" s="35">
        <f ca="1">IF(OR(S791="North America",S791="Rocky Mountain"), "Widespread",BC791)</f>
        <v>2029.6369654188948</v>
      </c>
      <c r="BB791" s="4"/>
      <c r="BC791" s="35">
        <f ca="1">IF(BE791&gt;2046, "Abundant",BE791)</f>
        <v>2029.6369654188948</v>
      </c>
      <c r="BD791" s="4"/>
      <c r="BE791" s="81">
        <f ca="1">YEAR($C$13)+(BG791*80)</f>
        <v>2029.6369654188948</v>
      </c>
      <c r="BF791" s="4"/>
      <c r="BG791" s="137">
        <f ca="1">BH791*$BH$14</f>
        <v>0.13296206773618538</v>
      </c>
      <c r="BH791" s="137">
        <f ca="1">(((BJ791+BK791+BM791+BN791)/4)*$BM$11)+(((BP791+BQ791)/2)*$BQ$11)+(((BU791+BV791+BW791)/3)*$BU$11)+(((BY791+BZ791+CA791+CB791+CC791)/5)*$CA$11)</f>
        <v>0.13296206773618538</v>
      </c>
      <c r="BI791" s="4"/>
      <c r="BJ791" s="33">
        <f>AP791/(AM791+AO791)</f>
        <v>0</v>
      </c>
      <c r="BK791" s="33">
        <f>(AN791+AO791)/(AM791+AO791)</f>
        <v>0</v>
      </c>
      <c r="BL791" s="4"/>
      <c r="BM791" s="127">
        <f>CF791/102</f>
        <v>2.9411764705882353E-2</v>
      </c>
      <c r="BN791" s="127">
        <f>C791/2</f>
        <v>0.5</v>
      </c>
      <c r="BO791" s="4"/>
      <c r="BP791" s="127">
        <f>(AK791)/($AW$6)</f>
        <v>2.0202020202020204E-2</v>
      </c>
      <c r="BQ791" s="127">
        <f ca="1">(CH791-$AW$4)/((YEAR($C$13))-$AW$4)</f>
        <v>0</v>
      </c>
      <c r="BR791" s="127">
        <f>(AL791)/($AW$6)</f>
        <v>0</v>
      </c>
      <c r="BS791" s="4"/>
      <c r="BT791" s="127"/>
      <c r="BU791" s="127">
        <f ca="1">(CG791-$AW$4)/((YEAR($C$13))-$AW$4)</f>
        <v>0</v>
      </c>
      <c r="BV791" s="127">
        <f>AE791/5</f>
        <v>0.6</v>
      </c>
      <c r="BW791" s="127">
        <f>AF791/5</f>
        <v>0.6</v>
      </c>
      <c r="BX791" s="4"/>
      <c r="BY791" s="148" t="str">
        <f>IF(E791="A",".98",IF(E791="B",".99",IF(E791="C","1.00",IF(E791="D","1.00" ))))</f>
        <v>1.00</v>
      </c>
      <c r="BZ791" s="127">
        <f>(CE791+7)/10</f>
        <v>1</v>
      </c>
      <c r="CA791" s="76" t="str">
        <f>IF(D791="Fern",".97",IF(D791="Grass",".99",IF(D791="Herb",".97",IF(D791="Shrub",".99",IF(D791="Tree","1.00",IF(D791="Vine",".98"))))))</f>
        <v>.97</v>
      </c>
      <c r="CB791" s="149" t="str">
        <f>IF(R791="Bogs Ponds Streams",".96", IF(R791="Coastal Areas",".97",IF(R791="Meadows Dry Open",".96",IF(R791="Forest &amp; Understory",".97",IF(R791="Moist Open",".98",IF(R791="Moist Shady",".96",IF(R791="Sub-Alpine","1.0")))))))</f>
        <v>.96</v>
      </c>
      <c r="CC791" s="76" t="str">
        <f>IF(S791="Local Endemic",".50",IF(S791="Regional Endemic",".70",IF(S791="Cascadia",".90",IF(S791="Rocky Mountain",".95",IF(S791="North America",".99")))))</f>
        <v>.70</v>
      </c>
      <c r="CD791" s="4"/>
      <c r="CE791" s="21">
        <f>IF(W791&gt;3,3,W791)</f>
        <v>3</v>
      </c>
      <c r="CF791" s="21">
        <f>IF(AC791&gt;102,102,AC791)</f>
        <v>3</v>
      </c>
      <c r="CG791" s="34">
        <f>IF(AI791&lt;$AW$4,$AW$4,AI791)</f>
        <v>2004</v>
      </c>
      <c r="CH791" s="34">
        <f>IF(AJ791&lt;$AW$4,$AW$4,AJ791)</f>
        <v>2004</v>
      </c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</row>
    <row r="792" spans="1:115" ht="15" customHeight="1" x14ac:dyDescent="0.3">
      <c r="A792" s="235"/>
      <c r="B792" s="218"/>
      <c r="C792" s="225">
        <v>8</v>
      </c>
      <c r="D792" s="59" t="s">
        <v>2506</v>
      </c>
      <c r="E792" s="60" t="s">
        <v>2501</v>
      </c>
      <c r="F792" s="397" t="str">
        <f ca="1">IF(BC792&lt;2025, "Extinct&lt; 6Yrs?",BA792)</f>
        <v>Widespread</v>
      </c>
      <c r="G792" s="363" t="s">
        <v>525</v>
      </c>
      <c r="H792" s="363" t="s">
        <v>685</v>
      </c>
      <c r="I792" s="366" t="s">
        <v>74</v>
      </c>
      <c r="J792" s="365" t="s">
        <v>3925</v>
      </c>
      <c r="K792" s="365" t="s">
        <v>87</v>
      </c>
      <c r="L792" s="10" t="s">
        <v>4054</v>
      </c>
      <c r="M792" s="8" t="s">
        <v>4863</v>
      </c>
      <c r="N792" s="8" t="s">
        <v>5760</v>
      </c>
      <c r="O792" s="8" t="s">
        <v>6659</v>
      </c>
      <c r="P792" s="9" t="s">
        <v>755</v>
      </c>
      <c r="Q792" s="59" t="s">
        <v>2552</v>
      </c>
      <c r="R792" s="9" t="s">
        <v>2500</v>
      </c>
      <c r="S792" s="9" t="s">
        <v>2495</v>
      </c>
      <c r="T792" s="123" t="str">
        <f>IF(R792="Bogs Ponds Streams","20",IF(R792="Coastal Areas","26",IF(R792="Meadows Dry Open","10",IF(R792="Forest &amp; Understory","14",IF(R792="Moist Open","12",IF(R792="Moist Shady","10",IF(R792="Sub-Alpine Slopes","0")))))))</f>
        <v>10</v>
      </c>
      <c r="U792" s="123" t="str">
        <f>IF(R792="Bogs Ponds Streams","52",IF(R792="Coastal Areas","51",IF(R792="Meadows Dry Open","53",IF(R792="Forest &amp; Understory","52",IF(R792="Moist Open","50",IF(R792="Moist Shady","46",IF(R792="Sub-Alpine Slopes","40")))))))</f>
        <v>53</v>
      </c>
      <c r="V792" s="123" t="str">
        <f>IF(R792="Bogs Ponds Streams","84",IF(R792="Coastal Areas","76",IF(R792="Meadows Dry Open","96", IF(R792="Forest &amp; Understory","90", IF(R792="Moist Open","88", IF(R792="Moist Shady","82", IF(R792="Sub-Alpine Slopes","80")))))))</f>
        <v>96</v>
      </c>
      <c r="W792" s="59">
        <v>20</v>
      </c>
      <c r="X792" s="59">
        <v>0</v>
      </c>
      <c r="Y792" s="59">
        <v>3500</v>
      </c>
      <c r="Z792" s="59" t="s">
        <v>2519</v>
      </c>
      <c r="AA792" s="59" t="s">
        <v>2518</v>
      </c>
      <c r="AB792" s="59">
        <v>6.8</v>
      </c>
      <c r="AC792" s="45">
        <f>C792+AK792+(0.1)*AL792</f>
        <v>33.299999999999997</v>
      </c>
      <c r="AD792" s="77">
        <v>155</v>
      </c>
      <c r="AE792" s="59">
        <v>5</v>
      </c>
      <c r="AF792" s="59">
        <v>5</v>
      </c>
      <c r="AG792" s="59">
        <v>1900</v>
      </c>
      <c r="AH792" s="77">
        <v>0</v>
      </c>
      <c r="AI792" s="59">
        <f ca="1">AJ792</f>
        <v>2019</v>
      </c>
      <c r="AJ792" s="18">
        <f ca="1">YEAR(TODAY())</f>
        <v>2019</v>
      </c>
      <c r="AK792" s="18">
        <v>22</v>
      </c>
      <c r="AL792" s="18">
        <v>33</v>
      </c>
      <c r="AM792" s="18">
        <v>1</v>
      </c>
      <c r="AN792" s="18">
        <v>1</v>
      </c>
      <c r="AO792" s="25">
        <v>0</v>
      </c>
      <c r="AP792" s="24">
        <v>1</v>
      </c>
      <c r="AQ792" s="18">
        <v>0</v>
      </c>
      <c r="AR792" s="18">
        <v>0</v>
      </c>
      <c r="AS792" s="18">
        <v>0</v>
      </c>
      <c r="AT792" s="18">
        <v>0</v>
      </c>
      <c r="AU792" s="18">
        <v>0</v>
      </c>
      <c r="AV792" s="18">
        <v>0</v>
      </c>
      <c r="AW792" s="18">
        <v>0</v>
      </c>
      <c r="AX792" s="18">
        <v>0</v>
      </c>
      <c r="AY792" s="233"/>
      <c r="AZ792" s="4"/>
      <c r="BA792" s="35" t="str">
        <f>IF(OR(S792="North America",S792="Rocky Mountain"), "Widespread",BC792)</f>
        <v>Widespread</v>
      </c>
      <c r="BB792" s="4"/>
      <c r="BC792" s="35" t="str">
        <f ca="1">IF(BE792&gt;2046, "Abundant",BE792)</f>
        <v>Abundant</v>
      </c>
      <c r="BD792" s="4"/>
      <c r="BE792" s="81">
        <f ca="1">YEAR($C$13)+(BG792*80)</f>
        <v>2117.5651137254904</v>
      </c>
      <c r="BF792" s="4"/>
      <c r="BG792" s="137">
        <f ca="1">BH792*$BH$14</f>
        <v>1.2320639215686275</v>
      </c>
      <c r="BH792" s="137">
        <f ca="1">(((BJ792+BK792+BM792+BN792)/4)*$BM$11)+(((BP792+BQ792)/2)*$BQ$11)+(((BU792+BV792+BW792)/3)*$BU$11)+(((BY792+BZ792+CA792+CB792+CC792)/5)*$CA$11)</f>
        <v>1.2320639215686275</v>
      </c>
      <c r="BI792" s="4"/>
      <c r="BJ792" s="33">
        <f>AP792/(AM792+AO792)</f>
        <v>1</v>
      </c>
      <c r="BK792" s="33">
        <f>(AN792+AO792)/(AM792+AO792)</f>
        <v>1</v>
      </c>
      <c r="BL792" s="4"/>
      <c r="BM792" s="127">
        <f>CF792/102</f>
        <v>0.32647058823529407</v>
      </c>
      <c r="BN792" s="127">
        <f>C792/2</f>
        <v>4</v>
      </c>
      <c r="BO792" s="4"/>
      <c r="BP792" s="127">
        <f>(AK792)/($AW$6)</f>
        <v>0.22222222222222221</v>
      </c>
      <c r="BQ792" s="127">
        <f ca="1">(CH792-$AW$4)/((YEAR($C$13))-$AW$4)</f>
        <v>1</v>
      </c>
      <c r="BR792" s="127">
        <f>(AL792)/($AW$6)</f>
        <v>0.33333333333333331</v>
      </c>
      <c r="BS792" s="4"/>
      <c r="BT792" s="127"/>
      <c r="BU792" s="127">
        <f ca="1">(CG792-$AW$4)/((YEAR($C$13))-$AW$4)</f>
        <v>1</v>
      </c>
      <c r="BV792" s="127">
        <f>AE792/5</f>
        <v>1</v>
      </c>
      <c r="BW792" s="127">
        <f>AF792/5</f>
        <v>1</v>
      </c>
      <c r="BX792" s="4"/>
      <c r="BY792" s="148" t="str">
        <f>IF(E792="A",".98",IF(E792="B",".99",IF(E792="C","1.00",IF(E792="D","1.00" ))))</f>
        <v>1.00</v>
      </c>
      <c r="BZ792" s="127">
        <f>(CE792+7)/10</f>
        <v>1</v>
      </c>
      <c r="CA792" s="76" t="str">
        <f>IF(D792="Fern",".97",IF(D792="Grass",".99",IF(D792="Herb",".97",IF(D792="Shrub",".99",IF(D792="Tree","1.00",IF(D792="Vine",".98"))))))</f>
        <v>.99</v>
      </c>
      <c r="CB792" s="149" t="str">
        <f>IF(R792="Bogs Ponds Streams",".96", IF(R792="Coastal Areas",".97",IF(R792="Meadows Dry Open",".96",IF(R792="Forest &amp; Understory",".97",IF(R792="Moist Open",".98",IF(R792="Moist Shady",".96",IF(R792="Sub-Alpine","1.0")))))))</f>
        <v>.96</v>
      </c>
      <c r="CC792" s="76" t="str">
        <f>IF(S792="Local Endemic",".50",IF(S792="Regional Endemic",".70",IF(S792="Cascadia",".90",IF(S792="Rocky Mountain",".95",IF(S792="North America",".99")))))</f>
        <v>.99</v>
      </c>
      <c r="CD792" s="4"/>
      <c r="CE792" s="21">
        <f>IF(W792&gt;3,3,W792)</f>
        <v>3</v>
      </c>
      <c r="CF792" s="21">
        <f>IF(AC792&gt;102,102,AC792)</f>
        <v>33.299999999999997</v>
      </c>
      <c r="CG792" s="34">
        <f ca="1">IF(AI792&lt;$AW$4,$AW$4,AI792)</f>
        <v>2019</v>
      </c>
      <c r="CH792" s="34">
        <f ca="1">IF(AJ792&lt;$AW$4,$AW$4,AJ792)</f>
        <v>2019</v>
      </c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</row>
    <row r="793" spans="1:115" ht="15" customHeight="1" x14ac:dyDescent="0.3">
      <c r="A793" s="235"/>
      <c r="B793" s="218"/>
      <c r="C793" s="225">
        <v>8</v>
      </c>
      <c r="D793" s="59" t="s">
        <v>2505</v>
      </c>
      <c r="E793" s="59" t="s">
        <v>2501</v>
      </c>
      <c r="F793" s="397" t="str">
        <f ca="1">IF(BC793&lt;2025, "Extinct&lt; 6Yrs?",BA793)</f>
        <v>Abundant</v>
      </c>
      <c r="G793" s="363" t="s">
        <v>525</v>
      </c>
      <c r="H793" s="363" t="s">
        <v>696</v>
      </c>
      <c r="I793" s="364" t="s">
        <v>1335</v>
      </c>
      <c r="J793" s="365" t="s">
        <v>3924</v>
      </c>
      <c r="K793" s="365" t="s">
        <v>1338</v>
      </c>
      <c r="L793" s="10" t="s">
        <v>4055</v>
      </c>
      <c r="M793" s="8" t="s">
        <v>4864</v>
      </c>
      <c r="N793" s="8" t="s">
        <v>5761</v>
      </c>
      <c r="O793" s="8" t="s">
        <v>6660</v>
      </c>
      <c r="P793" s="9" t="s">
        <v>647</v>
      </c>
      <c r="Q793" s="59" t="s">
        <v>2552</v>
      </c>
      <c r="R793" s="160" t="s">
        <v>2497</v>
      </c>
      <c r="S793" s="17" t="s">
        <v>2309</v>
      </c>
      <c r="T793" s="123" t="str">
        <f>IF(R793="Bogs Ponds Streams","20",IF(R793="Coastal Areas","26",IF(R793="Meadows Dry Open","10",IF(R793="Forest &amp; Understory","14",IF(R793="Moist Open","12",IF(R793="Moist Shady","10",IF(R793="Sub-Alpine Slopes","0")))))))</f>
        <v>12</v>
      </c>
      <c r="U793" s="123" t="str">
        <f>IF(R793="Bogs Ponds Streams","52",IF(R793="Coastal Areas","51",IF(R793="Meadows Dry Open","53",IF(R793="Forest &amp; Understory","52",IF(R793="Moist Open","50",IF(R793="Moist Shady","46",IF(R793="Sub-Alpine Slopes","40")))))))</f>
        <v>50</v>
      </c>
      <c r="V793" s="123" t="str">
        <f>IF(R793="Bogs Ponds Streams","84",IF(R793="Coastal Areas","76",IF(R793="Meadows Dry Open","96", IF(R793="Forest &amp; Understory","90", IF(R793="Moist Open","88", IF(R793="Moist Shady","82", IF(R793="Sub-Alpine Slopes","80")))))))</f>
        <v>88</v>
      </c>
      <c r="W793" s="59">
        <v>20</v>
      </c>
      <c r="X793" s="59">
        <v>0</v>
      </c>
      <c r="Y793" s="59">
        <v>3500</v>
      </c>
      <c r="Z793" s="59" t="s">
        <v>2519</v>
      </c>
      <c r="AA793" s="59" t="s">
        <v>2518</v>
      </c>
      <c r="AB793" s="59">
        <v>6.8</v>
      </c>
      <c r="AC793" s="45">
        <f>C793+AK793+(0.1)*AL793</f>
        <v>11.1</v>
      </c>
      <c r="AD793" s="77">
        <v>42</v>
      </c>
      <c r="AE793" s="59">
        <v>5</v>
      </c>
      <c r="AF793" s="59">
        <v>5</v>
      </c>
      <c r="AG793" s="59">
        <v>1900</v>
      </c>
      <c r="AH793" s="77">
        <v>0</v>
      </c>
      <c r="AI793" s="59">
        <f ca="1">AJ793</f>
        <v>2019</v>
      </c>
      <c r="AJ793" s="18">
        <f ca="1">YEAR(TODAY())</f>
        <v>2019</v>
      </c>
      <c r="AK793" s="18">
        <v>3</v>
      </c>
      <c r="AL793" s="18">
        <v>1</v>
      </c>
      <c r="AM793" s="18">
        <v>1</v>
      </c>
      <c r="AN793" s="18">
        <v>1</v>
      </c>
      <c r="AO793" s="18">
        <v>5</v>
      </c>
      <c r="AP793" s="18">
        <v>1</v>
      </c>
      <c r="AQ793" s="18">
        <v>0</v>
      </c>
      <c r="AR793" s="18">
        <v>0</v>
      </c>
      <c r="AS793" s="18">
        <v>0</v>
      </c>
      <c r="AT793" s="18">
        <v>0</v>
      </c>
      <c r="AU793" s="18">
        <v>0</v>
      </c>
      <c r="AV793" s="18">
        <v>0</v>
      </c>
      <c r="AW793" s="18">
        <v>0</v>
      </c>
      <c r="AX793" s="18">
        <v>0</v>
      </c>
      <c r="AY793" s="233"/>
      <c r="AZ793" s="4"/>
      <c r="BA793" s="35" t="str">
        <f ca="1">IF(OR(S793="North America",S793="Rocky Mountain"), "Widespread",BC793)</f>
        <v>Abundant</v>
      </c>
      <c r="BB793" s="4"/>
      <c r="BC793" s="35" t="str">
        <f ca="1">IF(BE793&gt;2046, "Abundant",BE793)</f>
        <v>Abundant</v>
      </c>
      <c r="BD793" s="4"/>
      <c r="BE793" s="81">
        <f ca="1">YEAR($C$13)+(BG793*80)</f>
        <v>2102.5575187165778</v>
      </c>
      <c r="BF793" s="4"/>
      <c r="BG793" s="137">
        <f ca="1">BH793*$BH$14</f>
        <v>1.0444689839572192</v>
      </c>
      <c r="BH793" s="137">
        <f ca="1">(((BJ793+BK793+BM793+BN793)/4)*$BM$11)+(((BP793+BQ793)/2)*$BQ$11)+(((BU793+BV793+BW793)/3)*$BU$11)+(((BY793+BZ793+CA793+CB793+CC793)/5)*$CA$11)</f>
        <v>1.0444689839572192</v>
      </c>
      <c r="BI793" s="4"/>
      <c r="BJ793" s="33">
        <f>AP793/(AM793+AO793)</f>
        <v>0.16666666666666666</v>
      </c>
      <c r="BK793" s="33">
        <f>(AN793+AO793)/(AM793+AO793)</f>
        <v>1</v>
      </c>
      <c r="BL793" s="4"/>
      <c r="BM793" s="127">
        <f>CF793/102</f>
        <v>0.10882352941176471</v>
      </c>
      <c r="BN793" s="127">
        <f>C793/2</f>
        <v>4</v>
      </c>
      <c r="BO793" s="4"/>
      <c r="BP793" s="127">
        <f>(AK793)/($AW$6)</f>
        <v>3.0303030303030304E-2</v>
      </c>
      <c r="BQ793" s="127">
        <f ca="1">(CH793-$AW$4)/((YEAR($C$13))-$AW$4)</f>
        <v>1</v>
      </c>
      <c r="BR793" s="127">
        <f>(AL793)/($AW$6)</f>
        <v>1.0101010101010102E-2</v>
      </c>
      <c r="BS793" s="4"/>
      <c r="BT793" s="127"/>
      <c r="BU793" s="127">
        <f ca="1">(CG793-$AW$4)/((YEAR($C$13))-$AW$4)</f>
        <v>1</v>
      </c>
      <c r="BV793" s="127">
        <f>AE793/5</f>
        <v>1</v>
      </c>
      <c r="BW793" s="127">
        <f>AF793/5</f>
        <v>1</v>
      </c>
      <c r="BX793" s="4"/>
      <c r="BY793" s="148" t="str">
        <f>IF(E793="A",".98",IF(E793="B",".99",IF(E793="C","1.00",IF(E793="D","1.00" ))))</f>
        <v>1.00</v>
      </c>
      <c r="BZ793" s="127">
        <f>(CE793+7)/10</f>
        <v>1</v>
      </c>
      <c r="CA793" s="76" t="str">
        <f>IF(D793="Fern",".97",IF(D793="Grass",".99",IF(D793="Herb",".97",IF(D793="Shrub",".99",IF(D793="Tree","1.00",IF(D793="Vine",".98"))))))</f>
        <v>.97</v>
      </c>
      <c r="CB793" s="149" t="str">
        <f>IF(R793="Bogs Ponds Streams",".96", IF(R793="Coastal Areas",".97",IF(R793="Meadows Dry Open",".96",IF(R793="Forest &amp; Understory",".97",IF(R793="Moist Open",".98",IF(R793="Moist Shady",".96",IF(R793="Sub-Alpine","1.0")))))))</f>
        <v>.98</v>
      </c>
      <c r="CC793" s="76" t="str">
        <f>IF(S793="Local Endemic",".50",IF(S793="Regional Endemic",".70",IF(S793="Cascadia",".90",IF(S793="Rocky Mountain",".95",IF(S793="North America",".99")))))</f>
        <v>.70</v>
      </c>
      <c r="CD793" s="4"/>
      <c r="CE793" s="21">
        <f>IF(W793&gt;3,3,W793)</f>
        <v>3</v>
      </c>
      <c r="CF793" s="21">
        <f>IF(AC793&gt;102,102,AC793)</f>
        <v>11.1</v>
      </c>
      <c r="CG793" s="34">
        <f ca="1">IF(AI793&lt;$AW$4,$AW$4,AI793)</f>
        <v>2019</v>
      </c>
      <c r="CH793" s="34">
        <f ca="1">IF(AJ793&lt;$AW$4,$AW$4,AJ793)</f>
        <v>2019</v>
      </c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13"/>
    </row>
    <row r="794" spans="1:115" ht="15" customHeight="1" x14ac:dyDescent="0.3">
      <c r="A794" s="235"/>
      <c r="B794" s="218"/>
      <c r="C794" s="225">
        <v>8</v>
      </c>
      <c r="D794" s="59" t="s">
        <v>2505</v>
      </c>
      <c r="E794" s="59" t="s">
        <v>2501</v>
      </c>
      <c r="F794" s="397" t="str">
        <f ca="1">IF(BC794&lt;2025, "Extinct&lt; 6Yrs?",BA794)</f>
        <v>Abundant</v>
      </c>
      <c r="G794" s="363" t="s">
        <v>525</v>
      </c>
      <c r="H794" s="363" t="s">
        <v>696</v>
      </c>
      <c r="I794" s="366" t="s">
        <v>3135</v>
      </c>
      <c r="J794" s="365" t="s">
        <v>3923</v>
      </c>
      <c r="K794" s="365" t="s">
        <v>1140</v>
      </c>
      <c r="L794" s="10" t="s">
        <v>2286</v>
      </c>
      <c r="M794" s="8" t="s">
        <v>4865</v>
      </c>
      <c r="N794" s="8" t="s">
        <v>5762</v>
      </c>
      <c r="O794" s="8" t="s">
        <v>6661</v>
      </c>
      <c r="P794" s="9" t="s">
        <v>647</v>
      </c>
      <c r="Q794" s="59" t="s">
        <v>2552</v>
      </c>
      <c r="R794" s="9" t="s">
        <v>2498</v>
      </c>
      <c r="S794" s="9" t="s">
        <v>2309</v>
      </c>
      <c r="T794" s="123" t="str">
        <f>IF(R794="Bogs Ponds Streams","20",IF(R794="Coastal Areas","26",IF(R794="Meadows Dry Open","10",IF(R794="Forest &amp; Understory","14",IF(R794="Moist Open","12",IF(R794="Moist Shady","10",IF(R794="Sub-Alpine Slopes","0")))))))</f>
        <v>10</v>
      </c>
      <c r="U794" s="123" t="str">
        <f>IF(R794="Bogs Ponds Streams","52",IF(R794="Coastal Areas","51",IF(R794="Meadows Dry Open","53",IF(R794="Forest &amp; Understory","52",IF(R794="Moist Open","50",IF(R794="Moist Shady","46",IF(R794="Sub-Alpine Slopes","40")))))))</f>
        <v>46</v>
      </c>
      <c r="V794" s="123" t="str">
        <f>IF(R794="Bogs Ponds Streams","84",IF(R794="Coastal Areas","76",IF(R794="Meadows Dry Open","96", IF(R794="Forest &amp; Understory","90", IF(R794="Moist Open","88", IF(R794="Moist Shady","82", IF(R794="Sub-Alpine Slopes","80")))))))</f>
        <v>82</v>
      </c>
      <c r="W794" s="59">
        <v>20</v>
      </c>
      <c r="X794" s="59">
        <v>0</v>
      </c>
      <c r="Y794" s="59">
        <v>3500</v>
      </c>
      <c r="Z794" s="59" t="s">
        <v>2519</v>
      </c>
      <c r="AA794" s="59" t="s">
        <v>2518</v>
      </c>
      <c r="AB794" s="59">
        <v>6.8</v>
      </c>
      <c r="AC794" s="45">
        <f>C794+AK794+(0.1)*AL794</f>
        <v>20</v>
      </c>
      <c r="AD794" s="77">
        <v>32</v>
      </c>
      <c r="AE794" s="59">
        <v>5</v>
      </c>
      <c r="AF794" s="59">
        <v>5</v>
      </c>
      <c r="AG794" s="59">
        <v>1900</v>
      </c>
      <c r="AH794" s="77">
        <v>0</v>
      </c>
      <c r="AI794" s="59">
        <f ca="1">AJ794</f>
        <v>2019</v>
      </c>
      <c r="AJ794" s="18">
        <f ca="1">YEAR(TODAY())</f>
        <v>2019</v>
      </c>
      <c r="AK794" s="18">
        <v>12</v>
      </c>
      <c r="AL794" s="18">
        <v>0</v>
      </c>
      <c r="AM794" s="18">
        <v>1</v>
      </c>
      <c r="AN794" s="18">
        <v>1</v>
      </c>
      <c r="AO794" s="18">
        <v>5</v>
      </c>
      <c r="AP794" s="18">
        <v>1</v>
      </c>
      <c r="AQ794" s="18">
        <v>0</v>
      </c>
      <c r="AR794" s="18">
        <v>0</v>
      </c>
      <c r="AS794" s="18">
        <v>0</v>
      </c>
      <c r="AT794" s="18">
        <v>0</v>
      </c>
      <c r="AU794" s="18">
        <v>0</v>
      </c>
      <c r="AV794" s="18">
        <v>0</v>
      </c>
      <c r="AW794" s="18">
        <v>0</v>
      </c>
      <c r="AX794" s="18">
        <v>0</v>
      </c>
      <c r="AY794" s="233"/>
      <c r="AZ794" s="4"/>
      <c r="BA794" s="35" t="str">
        <f ca="1">IF(OR(S794="North America",S794="Rocky Mountain"), "Widespread",BC794)</f>
        <v>Abundant</v>
      </c>
      <c r="BB794" s="4"/>
      <c r="BC794" s="35" t="str">
        <f ca="1">IF(BE794&gt;2046, "Abundant",BE794)</f>
        <v>Abundant</v>
      </c>
      <c r="BD794" s="4"/>
      <c r="BE794" s="81">
        <f ca="1">YEAR($C$13)+(BG794*80)</f>
        <v>2104.6890866310159</v>
      </c>
      <c r="BF794" s="4"/>
      <c r="BG794" s="137">
        <f ca="1">BH794*$BH$14</f>
        <v>1.0711135828877008</v>
      </c>
      <c r="BH794" s="137">
        <f ca="1">(((BJ794+BK794+BM794+BN794)/4)*$BM$11)+(((BP794+BQ794)/2)*$BQ$11)+(((BU794+BV794+BW794)/3)*$BU$11)+(((BY794+BZ794+CA794+CB794+CC794)/5)*$CA$11)</f>
        <v>1.0711135828877008</v>
      </c>
      <c r="BI794" s="4"/>
      <c r="BJ794" s="33">
        <f>AP794/(AM794+AO794)</f>
        <v>0.16666666666666666</v>
      </c>
      <c r="BK794" s="33">
        <f>(AN794+AO794)/(AM794+AO794)</f>
        <v>1</v>
      </c>
      <c r="BL794" s="4"/>
      <c r="BM794" s="127">
        <f>CF794/102</f>
        <v>0.19607843137254902</v>
      </c>
      <c r="BN794" s="127">
        <f>C794/2</f>
        <v>4</v>
      </c>
      <c r="BO794" s="4"/>
      <c r="BP794" s="127">
        <f>(AK794)/($AW$6)</f>
        <v>0.12121212121212122</v>
      </c>
      <c r="BQ794" s="127">
        <f ca="1">(CH794-$AW$4)/((YEAR($C$13))-$AW$4)</f>
        <v>1</v>
      </c>
      <c r="BR794" s="127">
        <f>(AL794)/($AW$6)</f>
        <v>0</v>
      </c>
      <c r="BS794" s="4"/>
      <c r="BT794" s="127"/>
      <c r="BU794" s="127">
        <f ca="1">(CG794-$AW$4)/((YEAR($C$13))-$AW$4)</f>
        <v>1</v>
      </c>
      <c r="BV794" s="127">
        <f>AE794/5</f>
        <v>1</v>
      </c>
      <c r="BW794" s="127">
        <f>AF794/5</f>
        <v>1</v>
      </c>
      <c r="BX794" s="4"/>
      <c r="BY794" s="148" t="str">
        <f>IF(E794="A",".98",IF(E794="B",".99",IF(E794="C","1.00",IF(E794="D","1.00" ))))</f>
        <v>1.00</v>
      </c>
      <c r="BZ794" s="127">
        <f>(CE794+7)/10</f>
        <v>1</v>
      </c>
      <c r="CA794" s="76" t="str">
        <f>IF(D794="Fern",".97",IF(D794="Grass",".99",IF(D794="Herb",".97",IF(D794="Shrub",".99",IF(D794="Tree","1.00",IF(D794="Vine",".98"))))))</f>
        <v>.97</v>
      </c>
      <c r="CB794" s="149" t="str">
        <f>IF(R794="Bogs Ponds Streams",".96", IF(R794="Coastal Areas",".97",IF(R794="Meadows Dry Open",".96",IF(R794="Forest &amp; Understory",".97",IF(R794="Moist Open",".98",IF(R794="Moist Shady",".96",IF(R794="Sub-Alpine","1.0")))))))</f>
        <v>.96</v>
      </c>
      <c r="CC794" s="76" t="str">
        <f>IF(S794="Local Endemic",".50",IF(S794="Regional Endemic",".70",IF(S794="Cascadia",".90",IF(S794="Rocky Mountain",".95",IF(S794="North America",".99")))))</f>
        <v>.70</v>
      </c>
      <c r="CD794" s="4"/>
      <c r="CE794" s="21">
        <f>IF(W794&gt;3,3,W794)</f>
        <v>3</v>
      </c>
      <c r="CF794" s="21">
        <f>IF(AC794&gt;102,102,AC794)</f>
        <v>20</v>
      </c>
      <c r="CG794" s="34">
        <f ca="1">IF(AI794&lt;$AW$4,$AW$4,AI794)</f>
        <v>2019</v>
      </c>
      <c r="CH794" s="34">
        <f ca="1">IF(AJ794&lt;$AW$4,$AW$4,AJ794)</f>
        <v>2019</v>
      </c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13"/>
    </row>
    <row r="795" spans="1:115" ht="15" customHeight="1" x14ac:dyDescent="0.3">
      <c r="A795" s="235"/>
      <c r="B795" s="218"/>
      <c r="C795" s="375">
        <v>1</v>
      </c>
      <c r="D795" s="67" t="s">
        <v>2505</v>
      </c>
      <c r="E795" s="67" t="s">
        <v>2501</v>
      </c>
      <c r="F795" s="403">
        <f ca="1">IF(BC795&lt;2025, "Extinct&lt; 6Yrs?",BA795)</f>
        <v>2029.0288912655972</v>
      </c>
      <c r="G795" s="376" t="s">
        <v>525</v>
      </c>
      <c r="H795" s="376" t="s">
        <v>4028</v>
      </c>
      <c r="I795" s="377" t="s">
        <v>2368</v>
      </c>
      <c r="J795" s="378" t="s">
        <v>4083</v>
      </c>
      <c r="K795" s="378" t="s">
        <v>4072</v>
      </c>
      <c r="L795" s="64" t="s">
        <v>2445</v>
      </c>
      <c r="M795" s="64" t="s">
        <v>4866</v>
      </c>
      <c r="N795" s="64" t="s">
        <v>5763</v>
      </c>
      <c r="O795" s="64" t="s">
        <v>6662</v>
      </c>
      <c r="P795" s="61" t="s">
        <v>647</v>
      </c>
      <c r="Q795" s="67" t="s">
        <v>2552</v>
      </c>
      <c r="R795" s="163" t="s">
        <v>2497</v>
      </c>
      <c r="S795" s="164" t="s">
        <v>2309</v>
      </c>
      <c r="T795" s="134" t="str">
        <f>IF(R795="Bogs Ponds Streams","20",IF(R795="Coastal Areas","26",IF(R795="Meadows Dry Open","10",IF(R795="Forest &amp; Understory","14",IF(R795="Moist Open","12",IF(R795="Moist Shady","10",IF(R795="Sub-Alpine Slopes","0")))))))</f>
        <v>12</v>
      </c>
      <c r="U795" s="134" t="str">
        <f>IF(R795="Bogs Ponds Streams","52",IF(R795="Coastal Areas","51",IF(R795="Meadows Dry Open","53",IF(R795="Forest &amp; Understory","52",IF(R795="Moist Open","50",IF(R795="Moist Shady","46",IF(R795="Sub-Alpine Slopes","40")))))))</f>
        <v>50</v>
      </c>
      <c r="V795" s="134" t="str">
        <f>IF(R795="Bogs Ponds Streams","84",IF(R795="Coastal Areas","76",IF(R795="Meadows Dry Open","96", IF(R795="Forest &amp; Understory","90", IF(R795="Moist Open","88", IF(R795="Moist Shady","82", IF(R795="Sub-Alpine Slopes","80")))))))</f>
        <v>88</v>
      </c>
      <c r="W795" s="67">
        <v>20</v>
      </c>
      <c r="X795" s="67">
        <v>0</v>
      </c>
      <c r="Y795" s="67">
        <v>3500</v>
      </c>
      <c r="Z795" s="67" t="s">
        <v>2519</v>
      </c>
      <c r="AA795" s="67" t="s">
        <v>2518</v>
      </c>
      <c r="AB795" s="67">
        <v>6.8</v>
      </c>
      <c r="AC795" s="85">
        <f>C795+AK795+(0.1)*AL795</f>
        <v>4</v>
      </c>
      <c r="AD795" s="78">
        <v>21</v>
      </c>
      <c r="AE795" s="68">
        <v>2</v>
      </c>
      <c r="AF795" s="68">
        <v>2</v>
      </c>
      <c r="AG795" s="78">
        <v>1925</v>
      </c>
      <c r="AH795" s="78">
        <v>0</v>
      </c>
      <c r="AI795" s="78">
        <v>2000</v>
      </c>
      <c r="AJ795" s="67">
        <v>1990</v>
      </c>
      <c r="AK795" s="67">
        <v>3</v>
      </c>
      <c r="AL795" s="67">
        <v>0</v>
      </c>
      <c r="AM795" s="70">
        <v>5</v>
      </c>
      <c r="AN795" s="70">
        <v>0</v>
      </c>
      <c r="AO795" s="86">
        <v>0</v>
      </c>
      <c r="AP795" s="70">
        <v>0</v>
      </c>
      <c r="AQ795" s="70">
        <v>0</v>
      </c>
      <c r="AR795" s="70">
        <v>0</v>
      </c>
      <c r="AS795" s="86">
        <v>0</v>
      </c>
      <c r="AT795" s="70">
        <v>0</v>
      </c>
      <c r="AU795" s="70">
        <v>0</v>
      </c>
      <c r="AV795" s="70">
        <v>0</v>
      </c>
      <c r="AW795" s="86">
        <v>0</v>
      </c>
      <c r="AX795" s="70">
        <v>0</v>
      </c>
      <c r="AY795" s="233"/>
      <c r="AZ795" s="11"/>
      <c r="BA795" s="35">
        <f ca="1">IF(OR(S795="North America",S795="Rocky Mountain"), "Widespread",BC795)</f>
        <v>2029.0288912655972</v>
      </c>
      <c r="BB795" s="11"/>
      <c r="BC795" s="35">
        <f ca="1">IF(BE795&gt;2046, "Abundant",BE795)</f>
        <v>2029.0288912655972</v>
      </c>
      <c r="BD795" s="11"/>
      <c r="BE795" s="81">
        <f ca="1">YEAR($C$13)+(BG795*80)</f>
        <v>2029.0288912655972</v>
      </c>
      <c r="BF795" s="11"/>
      <c r="BG795" s="137">
        <f ca="1">BH795*$BH$14</f>
        <v>0.12536114081996433</v>
      </c>
      <c r="BH795" s="137">
        <f ca="1">(((BJ795+BK795+BM795+BN795)/4)*$BM$11)+(((BP795+BQ795)/2)*$BQ$11)+(((BU795+BV795+BW795)/3)*$BU$11)+(((BY795+BZ795+CA795+CB795+CC795)/5)*$CA$11)</f>
        <v>0.12536114081996433</v>
      </c>
      <c r="BI795" s="11"/>
      <c r="BJ795" s="33">
        <f>AP795/(AM795+AO795)</f>
        <v>0</v>
      </c>
      <c r="BK795" s="33">
        <f>(AN795+AO795)/(AM795+AO795)</f>
        <v>0</v>
      </c>
      <c r="BL795" s="11"/>
      <c r="BM795" s="127">
        <f>CF795/102</f>
        <v>3.9215686274509803E-2</v>
      </c>
      <c r="BN795" s="127">
        <f>C795/2</f>
        <v>0.5</v>
      </c>
      <c r="BO795" s="11"/>
      <c r="BP795" s="127">
        <f>(AK795)/($AW$6)</f>
        <v>3.0303030303030304E-2</v>
      </c>
      <c r="BQ795" s="127">
        <f ca="1">(CH795-$AW$4)/((YEAR($C$13))-$AW$4)</f>
        <v>0</v>
      </c>
      <c r="BR795" s="127">
        <f>(AL795)/($AW$6)</f>
        <v>0</v>
      </c>
      <c r="BS795" s="11"/>
      <c r="BT795" s="127"/>
      <c r="BU795" s="127">
        <f ca="1">(CG795-$AW$4)/((YEAR($C$13))-$AW$4)</f>
        <v>0</v>
      </c>
      <c r="BV795" s="127">
        <f>AE795/5</f>
        <v>0.4</v>
      </c>
      <c r="BW795" s="127">
        <f>AF795/5</f>
        <v>0.4</v>
      </c>
      <c r="BX795" s="11"/>
      <c r="BY795" s="148" t="str">
        <f>IF(E795="A",".98",IF(E795="B",".99",IF(E795="C","1.00",IF(E795="D","1.00" ))))</f>
        <v>1.00</v>
      </c>
      <c r="BZ795" s="127">
        <f>(CE795+7)/10</f>
        <v>1</v>
      </c>
      <c r="CA795" s="76" t="str">
        <f>IF(D795="Fern",".97",IF(D795="Grass",".99",IF(D795="Herb",".97",IF(D795="Shrub",".99",IF(D795="Tree","1.00",IF(D795="Vine",".98"))))))</f>
        <v>.97</v>
      </c>
      <c r="CB795" s="149" t="str">
        <f>IF(R795="Bogs Ponds Streams",".96", IF(R795="Coastal Areas",".97",IF(R795="Meadows Dry Open",".96",IF(R795="Forest &amp; Understory",".97",IF(R795="Moist Open",".98",IF(R795="Moist Shady",".96",IF(R795="Sub-Alpine","1.0")))))))</f>
        <v>.98</v>
      </c>
      <c r="CC795" s="76" t="str">
        <f>IF(S795="Local Endemic",".50",IF(S795="Regional Endemic",".70",IF(S795="Cascadia",".90",IF(S795="Rocky Mountain",".95",IF(S795="North America",".99")))))</f>
        <v>.70</v>
      </c>
      <c r="CD795" s="11"/>
      <c r="CE795" s="21">
        <f>IF(W795&gt;3,3,W795)</f>
        <v>3</v>
      </c>
      <c r="CF795" s="21">
        <f>IF(AC795&gt;102,102,AC795)</f>
        <v>4</v>
      </c>
      <c r="CG795" s="34">
        <f>IF(AI795&lt;$AW$4,$AW$4,AI795)</f>
        <v>2004</v>
      </c>
      <c r="CH795" s="34">
        <f>IF(AJ795&lt;$AW$4,$AW$4,AJ795)</f>
        <v>2004</v>
      </c>
      <c r="CI795" s="11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11"/>
      <c r="DC795" s="11"/>
      <c r="DD795" s="11"/>
      <c r="DE795" s="11"/>
      <c r="DF795" s="11"/>
      <c r="DG795" s="11"/>
      <c r="DH795" s="11"/>
      <c r="DI795" s="11"/>
      <c r="DJ795" s="11"/>
    </row>
    <row r="796" spans="1:115" ht="15" customHeight="1" x14ac:dyDescent="0.3">
      <c r="A796" s="235"/>
      <c r="B796" s="218"/>
      <c r="C796" s="375">
        <v>1</v>
      </c>
      <c r="D796" s="67" t="s">
        <v>2505</v>
      </c>
      <c r="E796" s="67" t="s">
        <v>2501</v>
      </c>
      <c r="F796" s="403">
        <f ca="1">IF(BC796&lt;2025, "Extinct&lt; 6Yrs?",BA796)</f>
        <v>2030.354476530006</v>
      </c>
      <c r="G796" s="376" t="s">
        <v>525</v>
      </c>
      <c r="H796" s="376" t="s">
        <v>4028</v>
      </c>
      <c r="I796" s="377" t="s">
        <v>2361</v>
      </c>
      <c r="J796" s="378" t="s">
        <v>3508</v>
      </c>
      <c r="K796" s="378" t="s">
        <v>2360</v>
      </c>
      <c r="L796" s="64" t="s">
        <v>2446</v>
      </c>
      <c r="M796" s="64" t="s">
        <v>4867</v>
      </c>
      <c r="N796" s="64" t="s">
        <v>5764</v>
      </c>
      <c r="O796" s="64" t="s">
        <v>6663</v>
      </c>
      <c r="P796" s="61" t="s">
        <v>647</v>
      </c>
      <c r="Q796" s="67" t="s">
        <v>2552</v>
      </c>
      <c r="R796" s="163" t="s">
        <v>2497</v>
      </c>
      <c r="S796" s="164" t="s">
        <v>2309</v>
      </c>
      <c r="T796" s="134" t="str">
        <f>IF(R796="Bogs Ponds Streams","20",IF(R796="Coastal Areas","26",IF(R796="Meadows Dry Open","10",IF(R796="Forest &amp; Understory","14",IF(R796="Moist Open","12",IF(R796="Moist Shady","10",IF(R796="Sub-Alpine Slopes","0")))))))</f>
        <v>12</v>
      </c>
      <c r="U796" s="134" t="str">
        <f>IF(R796="Bogs Ponds Streams","52",IF(R796="Coastal Areas","51",IF(R796="Meadows Dry Open","53",IF(R796="Forest &amp; Understory","52",IF(R796="Moist Open","50",IF(R796="Moist Shady","46",IF(R796="Sub-Alpine Slopes","40")))))))</f>
        <v>50</v>
      </c>
      <c r="V796" s="134" t="str">
        <f>IF(R796="Bogs Ponds Streams","84",IF(R796="Coastal Areas","76",IF(R796="Meadows Dry Open","96", IF(R796="Forest &amp; Understory","90", IF(R796="Moist Open","88", IF(R796="Moist Shady","82", IF(R796="Sub-Alpine Slopes","80")))))))</f>
        <v>88</v>
      </c>
      <c r="W796" s="67">
        <v>20</v>
      </c>
      <c r="X796" s="67">
        <v>0</v>
      </c>
      <c r="Y796" s="67">
        <v>3500</v>
      </c>
      <c r="Z796" s="67" t="s">
        <v>2519</v>
      </c>
      <c r="AA796" s="67" t="s">
        <v>2518</v>
      </c>
      <c r="AB796" s="67">
        <v>6.8</v>
      </c>
      <c r="AC796" s="85">
        <f>C796+AK796+(0.1)*AL796</f>
        <v>3</v>
      </c>
      <c r="AD796" s="78">
        <v>12</v>
      </c>
      <c r="AE796" s="68">
        <v>1</v>
      </c>
      <c r="AF796" s="68">
        <v>2</v>
      </c>
      <c r="AG796" s="78">
        <v>1925</v>
      </c>
      <c r="AH796" s="78">
        <v>0</v>
      </c>
      <c r="AI796" s="78">
        <v>2018</v>
      </c>
      <c r="AJ796" s="67">
        <v>1990</v>
      </c>
      <c r="AK796" s="67">
        <v>2</v>
      </c>
      <c r="AL796" s="67">
        <v>0</v>
      </c>
      <c r="AM796" s="70">
        <v>5</v>
      </c>
      <c r="AN796" s="70">
        <v>0</v>
      </c>
      <c r="AO796" s="86">
        <v>0</v>
      </c>
      <c r="AP796" s="70">
        <v>0</v>
      </c>
      <c r="AQ796" s="70">
        <v>0</v>
      </c>
      <c r="AR796" s="70">
        <v>0</v>
      </c>
      <c r="AS796" s="86">
        <v>0</v>
      </c>
      <c r="AT796" s="70">
        <v>0</v>
      </c>
      <c r="AU796" s="70">
        <v>0</v>
      </c>
      <c r="AV796" s="70">
        <v>0</v>
      </c>
      <c r="AW796" s="86">
        <v>0</v>
      </c>
      <c r="AX796" s="70">
        <v>0</v>
      </c>
      <c r="AY796" s="233"/>
      <c r="AZ796" s="11"/>
      <c r="BA796" s="35">
        <f ca="1">IF(OR(S796="North America",S796="Rocky Mountain"), "Widespread",BC796)</f>
        <v>2030.354476530006</v>
      </c>
      <c r="BB796" s="11"/>
      <c r="BC796" s="35">
        <f ca="1">IF(BE796&gt;2046, "Abundant",BE796)</f>
        <v>2030.354476530006</v>
      </c>
      <c r="BD796" s="11"/>
      <c r="BE796" s="81">
        <f ca="1">YEAR($C$13)+(BG796*80)</f>
        <v>2030.354476530006</v>
      </c>
      <c r="BF796" s="11"/>
      <c r="BG796" s="137">
        <f ca="1">BH796*$BH$14</f>
        <v>0.14193095662507427</v>
      </c>
      <c r="BH796" s="137">
        <f ca="1">(((BJ796+BK796+BM796+BN796)/4)*$BM$11)+(((BP796+BQ796)/2)*$BQ$11)+(((BU796+BV796+BW796)/3)*$BU$11)+(((BY796+BZ796+CA796+CB796+CC796)/5)*$CA$11)</f>
        <v>0.14193095662507427</v>
      </c>
      <c r="BI796" s="11"/>
      <c r="BJ796" s="33">
        <f>AP796/(AM796+AO796)</f>
        <v>0</v>
      </c>
      <c r="BK796" s="33">
        <f>(AN796+AO796)/(AM796+AO796)</f>
        <v>0</v>
      </c>
      <c r="BL796" s="11"/>
      <c r="BM796" s="127">
        <f>CF796/102</f>
        <v>2.9411764705882353E-2</v>
      </c>
      <c r="BN796" s="127">
        <f>C796/2</f>
        <v>0.5</v>
      </c>
      <c r="BO796" s="11"/>
      <c r="BP796" s="127">
        <f>(AK796)/($AW$6)</f>
        <v>2.0202020202020204E-2</v>
      </c>
      <c r="BQ796" s="127">
        <f ca="1">(CH796-$AW$4)/((YEAR($C$13))-$AW$4)</f>
        <v>0</v>
      </c>
      <c r="BR796" s="127">
        <f>(AL796)/($AW$6)</f>
        <v>0</v>
      </c>
      <c r="BS796" s="11"/>
      <c r="BT796" s="127"/>
      <c r="BU796" s="127">
        <f ca="1">(CG796-$AW$4)/((YEAR($C$13))-$AW$4)</f>
        <v>0.93333333333333335</v>
      </c>
      <c r="BV796" s="127">
        <f>AE796/5</f>
        <v>0.2</v>
      </c>
      <c r="BW796" s="127">
        <f>AF796/5</f>
        <v>0.4</v>
      </c>
      <c r="BX796" s="11"/>
      <c r="BY796" s="148" t="str">
        <f>IF(E796="A",".98",IF(E796="B",".99",IF(E796="C","1.00",IF(E796="D","1.00" ))))</f>
        <v>1.00</v>
      </c>
      <c r="BZ796" s="127">
        <f>(CE796+7)/10</f>
        <v>1</v>
      </c>
      <c r="CA796" s="76" t="str">
        <f>IF(D796="Fern",".97",IF(D796="Grass",".99",IF(D796="Herb",".97",IF(D796="Shrub",".99",IF(D796="Tree","1.00",IF(D796="Vine",".98"))))))</f>
        <v>.97</v>
      </c>
      <c r="CB796" s="149" t="str">
        <f>IF(R796="Bogs Ponds Streams",".96", IF(R796="Coastal Areas",".97",IF(R796="Meadows Dry Open",".96",IF(R796="Forest &amp; Understory",".97",IF(R796="Moist Open",".98",IF(R796="Moist Shady",".96",IF(R796="Sub-Alpine","1.0")))))))</f>
        <v>.98</v>
      </c>
      <c r="CC796" s="76" t="str">
        <f>IF(S796="Local Endemic",".50",IF(S796="Regional Endemic",".70",IF(S796="Cascadia",".90",IF(S796="Rocky Mountain",".95",IF(S796="North America",".99")))))</f>
        <v>.70</v>
      </c>
      <c r="CD796" s="11"/>
      <c r="CE796" s="21">
        <f>IF(W796&gt;3,3,W796)</f>
        <v>3</v>
      </c>
      <c r="CF796" s="21">
        <f>IF(AC796&gt;102,102,AC796)</f>
        <v>3</v>
      </c>
      <c r="CG796" s="34">
        <f>IF(AI796&lt;$AW$4,$AW$4,AI796)</f>
        <v>2018</v>
      </c>
      <c r="CH796" s="34">
        <f>IF(AJ796&lt;$AW$4,$AW$4,AJ796)</f>
        <v>2004</v>
      </c>
      <c r="CI796" s="11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11"/>
      <c r="DC796" s="11"/>
      <c r="DD796" s="11"/>
      <c r="DE796" s="11"/>
      <c r="DF796" s="11"/>
      <c r="DG796" s="11"/>
      <c r="DH796" s="11"/>
      <c r="DI796" s="11"/>
      <c r="DJ796" s="11"/>
    </row>
    <row r="797" spans="1:115" ht="15" customHeight="1" x14ac:dyDescent="0.3">
      <c r="A797" s="235"/>
      <c r="B797" s="218"/>
      <c r="C797" s="225">
        <v>8</v>
      </c>
      <c r="D797" s="59" t="s">
        <v>2505</v>
      </c>
      <c r="E797" s="59" t="s">
        <v>2501</v>
      </c>
      <c r="F797" s="397" t="str">
        <f ca="1">IF(BC797&lt;2025, "Extinct&lt; 6Yrs?",BA797)</f>
        <v>Abundant</v>
      </c>
      <c r="G797" s="363" t="s">
        <v>525</v>
      </c>
      <c r="H797" s="363" t="s">
        <v>683</v>
      </c>
      <c r="I797" s="365" t="s">
        <v>1350</v>
      </c>
      <c r="J797" s="365" t="s">
        <v>3922</v>
      </c>
      <c r="K797" s="365" t="s">
        <v>1351</v>
      </c>
      <c r="L797" s="10" t="s">
        <v>2287</v>
      </c>
      <c r="M797" s="8" t="s">
        <v>4868</v>
      </c>
      <c r="N797" s="8" t="s">
        <v>5765</v>
      </c>
      <c r="O797" s="8" t="s">
        <v>6664</v>
      </c>
      <c r="P797" s="398" t="s">
        <v>647</v>
      </c>
      <c r="Q797" s="59" t="s">
        <v>2552</v>
      </c>
      <c r="R797" s="160" t="s">
        <v>2497</v>
      </c>
      <c r="S797" s="17" t="s">
        <v>2459</v>
      </c>
      <c r="T797" s="123" t="str">
        <f>IF(R797="Bogs Ponds Streams","20",IF(R797="Coastal Areas","26",IF(R797="Meadows Dry Open","10",IF(R797="Forest &amp; Understory","14",IF(R797="Moist Open","12",IF(R797="Moist Shady","10",IF(R797="Sub-Alpine Slopes","0")))))))</f>
        <v>12</v>
      </c>
      <c r="U797" s="123" t="str">
        <f>IF(R797="Bogs Ponds Streams","52",IF(R797="Coastal Areas","51",IF(R797="Meadows Dry Open","53",IF(R797="Forest &amp; Understory","52",IF(R797="Moist Open","50",IF(R797="Moist Shady","46",IF(R797="Sub-Alpine Slopes","40")))))))</f>
        <v>50</v>
      </c>
      <c r="V797" s="123" t="str">
        <f>IF(R797="Bogs Ponds Streams","84",IF(R797="Coastal Areas","76",IF(R797="Meadows Dry Open","96", IF(R797="Forest &amp; Understory","90", IF(R797="Moist Open","88", IF(R797="Moist Shady","82", IF(R797="Sub-Alpine Slopes","80")))))))</f>
        <v>88</v>
      </c>
      <c r="W797" s="59">
        <v>20</v>
      </c>
      <c r="X797" s="59">
        <v>0</v>
      </c>
      <c r="Y797" s="59">
        <v>3500</v>
      </c>
      <c r="Z797" s="59" t="s">
        <v>2519</v>
      </c>
      <c r="AA797" s="59" t="s">
        <v>2518</v>
      </c>
      <c r="AB797" s="59">
        <v>6.8</v>
      </c>
      <c r="AC797" s="45">
        <f>C797+AK797+(0.1)*AL797</f>
        <v>11.3</v>
      </c>
      <c r="AD797" s="77">
        <v>247</v>
      </c>
      <c r="AE797" s="59">
        <v>5</v>
      </c>
      <c r="AF797" s="59">
        <v>5</v>
      </c>
      <c r="AG797" s="59">
        <v>1900</v>
      </c>
      <c r="AH797" s="77">
        <v>0</v>
      </c>
      <c r="AI797" s="59">
        <f ca="1">AJ797</f>
        <v>2019</v>
      </c>
      <c r="AJ797" s="18">
        <f ca="1">YEAR(TODAY())</f>
        <v>2019</v>
      </c>
      <c r="AK797" s="18">
        <v>0</v>
      </c>
      <c r="AL797" s="18">
        <v>33</v>
      </c>
      <c r="AM797" s="18">
        <v>1</v>
      </c>
      <c r="AN797" s="18">
        <v>1</v>
      </c>
      <c r="AO797" s="24">
        <v>1</v>
      </c>
      <c r="AP797" s="24">
        <v>1</v>
      </c>
      <c r="AQ797" s="18">
        <v>0</v>
      </c>
      <c r="AR797" s="18">
        <v>0</v>
      </c>
      <c r="AS797" s="18">
        <v>0</v>
      </c>
      <c r="AT797" s="18">
        <v>0</v>
      </c>
      <c r="AU797" s="18">
        <v>0</v>
      </c>
      <c r="AV797" s="18">
        <v>0</v>
      </c>
      <c r="AW797" s="18">
        <v>0</v>
      </c>
      <c r="AX797" s="18">
        <v>0</v>
      </c>
      <c r="AY797" s="233"/>
      <c r="AZ797" s="4"/>
      <c r="BA797" s="35" t="str">
        <f ca="1">IF(OR(S797="North America",S797="Rocky Mountain"), "Widespread",BC797)</f>
        <v>Abundant</v>
      </c>
      <c r="BB797" s="4"/>
      <c r="BC797" s="35" t="str">
        <f ca="1">IF(BE797&gt;2046, "Abundant",BE797)</f>
        <v>Abundant</v>
      </c>
      <c r="BD797" s="4"/>
      <c r="BE797" s="81">
        <f ca="1">YEAR($C$13)+(BG797*80)</f>
        <v>2106.2814117647058</v>
      </c>
      <c r="BF797" s="4"/>
      <c r="BG797" s="137">
        <f ca="1">BH797*$BH$14</f>
        <v>1.0910176470588238</v>
      </c>
      <c r="BH797" s="137">
        <f ca="1">(((BJ797+BK797+BM797+BN797)/4)*$BM$11)+(((BP797+BQ797)/2)*$BQ$11)+(((BU797+BV797+BW797)/3)*$BU$11)+(((BY797+BZ797+CA797+CB797+CC797)/5)*$CA$11)</f>
        <v>1.0910176470588238</v>
      </c>
      <c r="BI797" s="4"/>
      <c r="BJ797" s="33">
        <f>AP797/(AM797+AO797)</f>
        <v>0.5</v>
      </c>
      <c r="BK797" s="33">
        <f>(AN797+AO797)/(AM797+AO797)</f>
        <v>1</v>
      </c>
      <c r="BL797" s="4"/>
      <c r="BM797" s="127">
        <f>CF797/102</f>
        <v>0.1107843137254902</v>
      </c>
      <c r="BN797" s="127">
        <f>C797/2</f>
        <v>4</v>
      </c>
      <c r="BO797" s="4"/>
      <c r="BP797" s="127">
        <f>(AK797)/($AW$6)</f>
        <v>0</v>
      </c>
      <c r="BQ797" s="127">
        <f ca="1">(CH797-$AW$4)/((YEAR($C$13))-$AW$4)</f>
        <v>1</v>
      </c>
      <c r="BR797" s="127">
        <f>(AL797)/($AW$6)</f>
        <v>0.33333333333333331</v>
      </c>
      <c r="BS797" s="4"/>
      <c r="BT797" s="127"/>
      <c r="BU797" s="127">
        <f ca="1">(CG797-$AW$4)/((YEAR($C$13))-$AW$4)</f>
        <v>1</v>
      </c>
      <c r="BV797" s="127">
        <f>AE797/5</f>
        <v>1</v>
      </c>
      <c r="BW797" s="127">
        <f>AF797/5</f>
        <v>1</v>
      </c>
      <c r="BX797" s="4"/>
      <c r="BY797" s="148" t="str">
        <f>IF(E797="A",".98",IF(E797="B",".99",IF(E797="C","1.00",IF(E797="D","1.00" ))))</f>
        <v>1.00</v>
      </c>
      <c r="BZ797" s="127">
        <f>(CE797+7)/10</f>
        <v>1</v>
      </c>
      <c r="CA797" s="76" t="str">
        <f>IF(D797="Fern",".97",IF(D797="Grass",".99",IF(D797="Herb",".97",IF(D797="Shrub",".99",IF(D797="Tree","1.00",IF(D797="Vine",".98"))))))</f>
        <v>.97</v>
      </c>
      <c r="CB797" s="149" t="str">
        <f>IF(R797="Bogs Ponds Streams",".96", IF(R797="Coastal Areas",".97",IF(R797="Meadows Dry Open",".96",IF(R797="Forest &amp; Understory",".97",IF(R797="Moist Open",".98",IF(R797="Moist Shady",".96",IF(R797="Sub-Alpine","1.0")))))))</f>
        <v>.98</v>
      </c>
      <c r="CC797" s="76" t="str">
        <f>IF(S797="Local Endemic",".50",IF(S797="Regional Endemic",".70",IF(S797="Cascadia",".90",IF(S797="Rocky Mountain",".95",IF(S797="North America",".99")))))</f>
        <v>.90</v>
      </c>
      <c r="CD797" s="4"/>
      <c r="CE797" s="21">
        <f>IF(W797&gt;3,3,W797)</f>
        <v>3</v>
      </c>
      <c r="CF797" s="21">
        <f>IF(AC797&gt;102,102,AC797)</f>
        <v>11.3</v>
      </c>
      <c r="CG797" s="34">
        <f ca="1">IF(AI797&lt;$AW$4,$AW$4,AI797)</f>
        <v>2019</v>
      </c>
      <c r="CH797" s="34">
        <f ca="1">IF(AJ797&lt;$AW$4,$AW$4,AJ797)</f>
        <v>2019</v>
      </c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13"/>
    </row>
    <row r="798" spans="1:115" ht="15" customHeight="1" x14ac:dyDescent="0.3">
      <c r="A798" s="235"/>
      <c r="B798" s="218"/>
      <c r="C798" s="375">
        <v>1</v>
      </c>
      <c r="D798" s="67" t="s">
        <v>2505</v>
      </c>
      <c r="E798" s="67" t="s">
        <v>2501</v>
      </c>
      <c r="F798" s="403">
        <f ca="1">IF(BC798&lt;2025, "Extinct&lt; 6Yrs?",BA798)</f>
        <v>2033.8922543077838</v>
      </c>
      <c r="G798" s="376" t="s">
        <v>525</v>
      </c>
      <c r="H798" s="376" t="s">
        <v>4028</v>
      </c>
      <c r="I798" s="377" t="s">
        <v>2348</v>
      </c>
      <c r="J798" s="378" t="s">
        <v>2448</v>
      </c>
      <c r="K798" s="378" t="s">
        <v>2347</v>
      </c>
      <c r="L798" s="63" t="s">
        <v>2447</v>
      </c>
      <c r="M798" s="64" t="s">
        <v>4869</v>
      </c>
      <c r="N798" s="64" t="s">
        <v>5766</v>
      </c>
      <c r="O798" s="64" t="s">
        <v>6665</v>
      </c>
      <c r="P798" s="404" t="s">
        <v>647</v>
      </c>
      <c r="Q798" s="67" t="s">
        <v>2552</v>
      </c>
      <c r="R798" s="163" t="s">
        <v>2497</v>
      </c>
      <c r="S798" s="164" t="s">
        <v>2309</v>
      </c>
      <c r="T798" s="134" t="str">
        <f>IF(R798="Bogs Ponds Streams","20",IF(R798="Coastal Areas","26",IF(R798="Meadows Dry Open","10",IF(R798="Forest &amp; Understory","14",IF(R798="Moist Open","12",IF(R798="Moist Shady","10",IF(R798="Sub-Alpine Slopes","0")))))))</f>
        <v>12</v>
      </c>
      <c r="U798" s="134" t="str">
        <f>IF(R798="Bogs Ponds Streams","52",IF(R798="Coastal Areas","51",IF(R798="Meadows Dry Open","53",IF(R798="Forest &amp; Understory","52",IF(R798="Moist Open","50",IF(R798="Moist Shady","46",IF(R798="Sub-Alpine Slopes","40")))))))</f>
        <v>50</v>
      </c>
      <c r="V798" s="134" t="str">
        <f>IF(R798="Bogs Ponds Streams","84",IF(R798="Coastal Areas","76",IF(R798="Meadows Dry Open","96", IF(R798="Forest &amp; Understory","90", IF(R798="Moist Open","88", IF(R798="Moist Shady","82", IF(R798="Sub-Alpine Slopes","80")))))))</f>
        <v>88</v>
      </c>
      <c r="W798" s="67">
        <v>20</v>
      </c>
      <c r="X798" s="67">
        <v>0</v>
      </c>
      <c r="Y798" s="67">
        <v>3500</v>
      </c>
      <c r="Z798" s="67" t="s">
        <v>2519</v>
      </c>
      <c r="AA798" s="67" t="s">
        <v>2518</v>
      </c>
      <c r="AB798" s="67">
        <v>6.8</v>
      </c>
      <c r="AC798" s="85">
        <f>C798+AK798+(0.1)*AL798</f>
        <v>3</v>
      </c>
      <c r="AD798" s="78">
        <v>46</v>
      </c>
      <c r="AE798" s="68">
        <v>2</v>
      </c>
      <c r="AF798" s="68">
        <v>5</v>
      </c>
      <c r="AG798" s="78">
        <v>1925</v>
      </c>
      <c r="AH798" s="78">
        <v>0</v>
      </c>
      <c r="AI798" s="78">
        <v>2014</v>
      </c>
      <c r="AJ798" s="67">
        <v>2007</v>
      </c>
      <c r="AK798" s="67">
        <v>2</v>
      </c>
      <c r="AL798" s="67">
        <v>0</v>
      </c>
      <c r="AM798" s="70">
        <v>5</v>
      </c>
      <c r="AN798" s="70">
        <v>0</v>
      </c>
      <c r="AO798" s="86">
        <v>0</v>
      </c>
      <c r="AP798" s="70">
        <v>0</v>
      </c>
      <c r="AQ798" s="70">
        <v>0</v>
      </c>
      <c r="AR798" s="70">
        <v>0</v>
      </c>
      <c r="AS798" s="86">
        <v>0</v>
      </c>
      <c r="AT798" s="70">
        <v>0</v>
      </c>
      <c r="AU798" s="70">
        <v>0</v>
      </c>
      <c r="AV798" s="70">
        <v>0</v>
      </c>
      <c r="AW798" s="86">
        <v>0</v>
      </c>
      <c r="AX798" s="70">
        <v>0</v>
      </c>
      <c r="AY798" s="233"/>
      <c r="AZ798" s="11"/>
      <c r="BA798" s="35">
        <f ca="1">IF(OR(S798="North America",S798="Rocky Mountain"), "Widespread",BC798)</f>
        <v>2033.8922543077838</v>
      </c>
      <c r="BB798" s="11"/>
      <c r="BC798" s="35">
        <f ca="1">IF(BE798&gt;2046, "Abundant",BE798)</f>
        <v>2033.8922543077838</v>
      </c>
      <c r="BD798" s="11"/>
      <c r="BE798" s="81">
        <f ca="1">YEAR($C$13)+(BG798*80)</f>
        <v>2033.8922543077838</v>
      </c>
      <c r="BF798" s="11"/>
      <c r="BG798" s="137">
        <f ca="1">BH798*$BH$14</f>
        <v>0.18615317884729649</v>
      </c>
      <c r="BH798" s="137">
        <f ca="1">(((BJ798+BK798+BM798+BN798)/4)*$BM$11)+(((BP798+BQ798)/2)*$BQ$11)+(((BU798+BV798+BW798)/3)*$BU$11)+(((BY798+BZ798+CA798+CB798+CC798)/5)*$CA$11)</f>
        <v>0.18615317884729649</v>
      </c>
      <c r="BI798" s="11"/>
      <c r="BJ798" s="33">
        <f>AP798/(AM798+AO798)</f>
        <v>0</v>
      </c>
      <c r="BK798" s="33">
        <f>(AN798+AO798)/(AM798+AO798)</f>
        <v>0</v>
      </c>
      <c r="BL798" s="11"/>
      <c r="BM798" s="127">
        <f>CF798/102</f>
        <v>2.9411764705882353E-2</v>
      </c>
      <c r="BN798" s="127">
        <f>C798/2</f>
        <v>0.5</v>
      </c>
      <c r="BO798" s="11"/>
      <c r="BP798" s="127">
        <f>(AK798)/($AW$6)</f>
        <v>2.0202020202020204E-2</v>
      </c>
      <c r="BQ798" s="127">
        <f ca="1">(CH798-$AW$4)/((YEAR($C$13))-$AW$4)</f>
        <v>0.2</v>
      </c>
      <c r="BR798" s="127">
        <f>(AL798)/($AW$6)</f>
        <v>0</v>
      </c>
      <c r="BS798" s="11"/>
      <c r="BT798" s="127"/>
      <c r="BU798" s="127">
        <f ca="1">(CG798-$AW$4)/((YEAR($C$13))-$AW$4)</f>
        <v>0.66666666666666663</v>
      </c>
      <c r="BV798" s="127">
        <f>AE798/5</f>
        <v>0.4</v>
      </c>
      <c r="BW798" s="127">
        <f>AF798/5</f>
        <v>1</v>
      </c>
      <c r="BX798" s="11"/>
      <c r="BY798" s="148" t="str">
        <f>IF(E798="A",".98",IF(E798="B",".99",IF(E798="C","1.00",IF(E798="D","1.00" ))))</f>
        <v>1.00</v>
      </c>
      <c r="BZ798" s="127">
        <f>(CE798+7)/10</f>
        <v>1</v>
      </c>
      <c r="CA798" s="76" t="str">
        <f>IF(D798="Fern",".97",IF(D798="Grass",".99",IF(D798="Herb",".97",IF(D798="Shrub",".99",IF(D798="Tree","1.00",IF(D798="Vine",".98"))))))</f>
        <v>.97</v>
      </c>
      <c r="CB798" s="149" t="str">
        <f>IF(R798="Bogs Ponds Streams",".96", IF(R798="Coastal Areas",".97",IF(R798="Meadows Dry Open",".96",IF(R798="Forest &amp; Understory",".97",IF(R798="Moist Open",".98",IF(R798="Moist Shady",".96",IF(R798="Sub-Alpine","1.0")))))))</f>
        <v>.98</v>
      </c>
      <c r="CC798" s="76" t="str">
        <f>IF(S798="Local Endemic",".50",IF(S798="Regional Endemic",".70",IF(S798="Cascadia",".90",IF(S798="Rocky Mountain",".95",IF(S798="North America",".99")))))</f>
        <v>.70</v>
      </c>
      <c r="CD798" s="11"/>
      <c r="CE798" s="21">
        <f>IF(W798&gt;3,3,W798)</f>
        <v>3</v>
      </c>
      <c r="CF798" s="21">
        <f>IF(AC798&gt;102,102,AC798)</f>
        <v>3</v>
      </c>
      <c r="CG798" s="34">
        <f>IF(AI798&lt;$AW$4,$AW$4,AI798)</f>
        <v>2014</v>
      </c>
      <c r="CH798" s="34">
        <f>IF(AJ798&lt;$AW$4,$AW$4,AJ798)</f>
        <v>2007</v>
      </c>
      <c r="CI798" s="11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11"/>
      <c r="DC798" s="11"/>
      <c r="DD798" s="11"/>
      <c r="DE798" s="11"/>
      <c r="DF798" s="11"/>
      <c r="DG798" s="11"/>
      <c r="DH798" s="11"/>
      <c r="DI798" s="11"/>
      <c r="DJ798" s="11"/>
    </row>
    <row r="799" spans="1:115" ht="15" customHeight="1" x14ac:dyDescent="0.3">
      <c r="A799" s="235"/>
      <c r="B799" s="218"/>
      <c r="C799" s="375">
        <v>1</v>
      </c>
      <c r="D799" s="67" t="s">
        <v>2505</v>
      </c>
      <c r="E799" s="67" t="s">
        <v>2502</v>
      </c>
      <c r="F799" s="403" t="str">
        <f ca="1">IF(BC799&lt;2025, "Extinct&lt; 6Yrs?",BA799)</f>
        <v>Widespread</v>
      </c>
      <c r="G799" s="376" t="s">
        <v>525</v>
      </c>
      <c r="H799" s="376" t="s">
        <v>4028</v>
      </c>
      <c r="I799" s="380" t="s">
        <v>172</v>
      </c>
      <c r="J799" s="378" t="s">
        <v>3507</v>
      </c>
      <c r="K799" s="378" t="s">
        <v>825</v>
      </c>
      <c r="L799" s="63" t="s">
        <v>2288</v>
      </c>
      <c r="M799" s="64" t="s">
        <v>4870</v>
      </c>
      <c r="N799" s="64" t="s">
        <v>5767</v>
      </c>
      <c r="O799" s="64" t="s">
        <v>6666</v>
      </c>
      <c r="P799" s="61" t="s">
        <v>168</v>
      </c>
      <c r="Q799" s="67" t="s">
        <v>2552</v>
      </c>
      <c r="R799" s="61" t="s">
        <v>2500</v>
      </c>
      <c r="S799" s="61" t="s">
        <v>2495</v>
      </c>
      <c r="T799" s="134" t="str">
        <f>IF(R799="Bogs Ponds Streams","20",IF(R799="Coastal Areas","26",IF(R799="Meadows Dry Open","10",IF(R799="Forest &amp; Understory","14",IF(R799="Moist Open","12",IF(R799="Moist Shady","10",IF(R799="Sub-Alpine Slopes","0")))))))</f>
        <v>10</v>
      </c>
      <c r="U799" s="134" t="str">
        <f>IF(R799="Bogs Ponds Streams","52",IF(R799="Coastal Areas","51",IF(R799="Meadows Dry Open","53",IF(R799="Forest &amp; Understory","52",IF(R799="Moist Open","50",IF(R799="Moist Shady","46",IF(R799="Sub-Alpine Slopes","40")))))))</f>
        <v>53</v>
      </c>
      <c r="V799" s="134" t="str">
        <f>IF(R799="Bogs Ponds Streams","84",IF(R799="Coastal Areas","76",IF(R799="Meadows Dry Open","96", IF(R799="Forest &amp; Understory","90", IF(R799="Moist Open","88", IF(R799="Moist Shady","82", IF(R799="Sub-Alpine Slopes","80")))))))</f>
        <v>96</v>
      </c>
      <c r="W799" s="67">
        <v>1</v>
      </c>
      <c r="X799" s="67">
        <v>0</v>
      </c>
      <c r="Y799" s="67">
        <v>3500</v>
      </c>
      <c r="Z799" s="67" t="s">
        <v>2519</v>
      </c>
      <c r="AA799" s="67" t="s">
        <v>2518</v>
      </c>
      <c r="AB799" s="67">
        <v>6.8</v>
      </c>
      <c r="AC799" s="85">
        <f>C799+AK799+(0.1)*AL799</f>
        <v>24.1</v>
      </c>
      <c r="AD799" s="78">
        <v>39</v>
      </c>
      <c r="AE799" s="67">
        <v>5</v>
      </c>
      <c r="AF799" s="67">
        <v>5</v>
      </c>
      <c r="AG799" s="67">
        <v>1900</v>
      </c>
      <c r="AH799" s="78">
        <v>0</v>
      </c>
      <c r="AI799" s="67">
        <f>AJ799</f>
        <v>2004</v>
      </c>
      <c r="AJ799" s="69">
        <v>2004</v>
      </c>
      <c r="AK799" s="69">
        <v>22</v>
      </c>
      <c r="AL799" s="69">
        <v>11</v>
      </c>
      <c r="AM799" s="70">
        <v>5</v>
      </c>
      <c r="AN799" s="70">
        <v>0</v>
      </c>
      <c r="AO799" s="86">
        <v>0</v>
      </c>
      <c r="AP799" s="70">
        <v>0</v>
      </c>
      <c r="AQ799" s="70">
        <v>0</v>
      </c>
      <c r="AR799" s="70">
        <v>0</v>
      </c>
      <c r="AS799" s="86">
        <v>0</v>
      </c>
      <c r="AT799" s="70">
        <v>0</v>
      </c>
      <c r="AU799" s="70">
        <v>0</v>
      </c>
      <c r="AV799" s="70">
        <v>0</v>
      </c>
      <c r="AW799" s="86">
        <v>0</v>
      </c>
      <c r="AX799" s="70">
        <v>0</v>
      </c>
      <c r="AY799" s="233"/>
      <c r="AZ799" s="4"/>
      <c r="BA799" s="35" t="str">
        <f>IF(OR(S799="North America",S799="Rocky Mountain"), "Widespread",BC799)</f>
        <v>Widespread</v>
      </c>
      <c r="BB799" s="4"/>
      <c r="BC799" s="35">
        <f ca="1">IF(BE799&gt;2046, "Abundant",BE799)</f>
        <v>2036.2726274509803</v>
      </c>
      <c r="BD799" s="4"/>
      <c r="BE799" s="81">
        <f ca="1">YEAR($C$13)+(BG799*80)</f>
        <v>2036.2726274509803</v>
      </c>
      <c r="BF799" s="4"/>
      <c r="BG799" s="137">
        <f ca="1">BH799*$BH$14</f>
        <v>0.21590784313725489</v>
      </c>
      <c r="BH799" s="137">
        <f ca="1">(((BJ799+BK799+BM799+BN799)/4)*$BM$11)+(((BP799+BQ799)/2)*$BQ$11)+(((BU799+BV799+BW799)/3)*$BU$11)+(((BY799+BZ799+CA799+CB799+CC799)/5)*$CA$11)</f>
        <v>0.21590784313725489</v>
      </c>
      <c r="BI799" s="4"/>
      <c r="BJ799" s="33">
        <f>AP799/(AM799+AO799)</f>
        <v>0</v>
      </c>
      <c r="BK799" s="33">
        <f>(AN799+AO799)/(AM799+AO799)</f>
        <v>0</v>
      </c>
      <c r="BL799" s="4"/>
      <c r="BM799" s="127">
        <f>CF799/102</f>
        <v>0.23627450980392159</v>
      </c>
      <c r="BN799" s="127">
        <f>C799/2</f>
        <v>0.5</v>
      </c>
      <c r="BO799" s="4"/>
      <c r="BP799" s="127">
        <f>(AK799)/($AW$6)</f>
        <v>0.22222222222222221</v>
      </c>
      <c r="BQ799" s="127">
        <f ca="1">(CH799-$AW$4)/((YEAR($C$13))-$AW$4)</f>
        <v>0</v>
      </c>
      <c r="BR799" s="127">
        <f>(AL799)/($AW$6)</f>
        <v>0.1111111111111111</v>
      </c>
      <c r="BS799" s="4"/>
      <c r="BT799" s="127"/>
      <c r="BU799" s="127">
        <f ca="1">(CG799-$AW$4)/((YEAR($C$13))-$AW$4)</f>
        <v>0</v>
      </c>
      <c r="BV799" s="127">
        <f>AE799/5</f>
        <v>1</v>
      </c>
      <c r="BW799" s="127">
        <f>AF799/5</f>
        <v>1</v>
      </c>
      <c r="BX799" s="4"/>
      <c r="BY799" s="148" t="str">
        <f>IF(E799="A",".98",IF(E799="B",".99",IF(E799="C","1.00",IF(E799="D","1.00" ))))</f>
        <v>.98</v>
      </c>
      <c r="BZ799" s="127">
        <f>(CE799+7)/10</f>
        <v>0.8</v>
      </c>
      <c r="CA799" s="76" t="str">
        <f>IF(D799="Fern",".97",IF(D799="Grass",".99",IF(D799="Herb",".97",IF(D799="Shrub",".99",IF(D799="Tree","1.00",IF(D799="Vine",".98"))))))</f>
        <v>.97</v>
      </c>
      <c r="CB799" s="149" t="str">
        <f>IF(R799="Bogs Ponds Streams",".96", IF(R799="Coastal Areas",".97",IF(R799="Meadows Dry Open",".96",IF(R799="Forest &amp; Understory",".97",IF(R799="Moist Open",".98",IF(R799="Moist Shady",".96",IF(R799="Sub-Alpine","1.0")))))))</f>
        <v>.96</v>
      </c>
      <c r="CC799" s="76" t="str">
        <f>IF(S799="Local Endemic",".50",IF(S799="Regional Endemic",".70",IF(S799="Cascadia",".90",IF(S799="Rocky Mountain",".95",IF(S799="North America",".99")))))</f>
        <v>.99</v>
      </c>
      <c r="CD799" s="4"/>
      <c r="CE799" s="21">
        <f>IF(W799&gt;3,3,W799)</f>
        <v>1</v>
      </c>
      <c r="CF799" s="21">
        <f>IF(AC799&gt;102,102,AC799)</f>
        <v>24.1</v>
      </c>
      <c r="CG799" s="34">
        <f>IF(AI799&lt;$AW$4,$AW$4,AI799)</f>
        <v>2004</v>
      </c>
      <c r="CH799" s="34">
        <f>IF(AJ799&lt;$AW$4,$AW$4,AJ799)</f>
        <v>2004</v>
      </c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</row>
    <row r="800" spans="1:115" ht="15" customHeight="1" x14ac:dyDescent="0.3">
      <c r="A800" s="235"/>
      <c r="B800" s="218"/>
      <c r="C800" s="375">
        <v>1</v>
      </c>
      <c r="D800" s="67" t="s">
        <v>2505</v>
      </c>
      <c r="E800" s="67" t="s">
        <v>2501</v>
      </c>
      <c r="F800" s="403" t="str">
        <f ca="1">IF(BC800&lt;2025, "Extinct&lt; 6Yrs?",BA800)</f>
        <v>Widespread</v>
      </c>
      <c r="G800" s="376" t="s">
        <v>525</v>
      </c>
      <c r="H800" s="376" t="s">
        <v>4028</v>
      </c>
      <c r="I800" s="380" t="s">
        <v>3136</v>
      </c>
      <c r="J800" s="378" t="s">
        <v>3506</v>
      </c>
      <c r="K800" s="378" t="s">
        <v>175</v>
      </c>
      <c r="L800" s="63" t="s">
        <v>2289</v>
      </c>
      <c r="M800" s="64" t="s">
        <v>4871</v>
      </c>
      <c r="N800" s="64" t="s">
        <v>5768</v>
      </c>
      <c r="O800" s="64" t="s">
        <v>6667</v>
      </c>
      <c r="P800" s="61" t="s">
        <v>168</v>
      </c>
      <c r="Q800" s="67" t="s">
        <v>2552</v>
      </c>
      <c r="R800" s="61" t="s">
        <v>2530</v>
      </c>
      <c r="S800" s="61" t="s">
        <v>2479</v>
      </c>
      <c r="T800" s="134" t="str">
        <f>IF(R800="Bogs Ponds Streams","20",IF(R800="Coastal Areas","26",IF(R800="Meadows Dry Open","10",IF(R800="Forest &amp; Understory","14",IF(R800="Moist Open","12",IF(R800="Moist Shady","10",IF(R800="Sub-Alpine Slopes","0")))))))</f>
        <v>14</v>
      </c>
      <c r="U800" s="134" t="str">
        <f>IF(R800="Bogs Ponds Streams","52",IF(R800="Coastal Areas","51",IF(R800="Meadows Dry Open","53",IF(R800="Forest &amp; Understory","52",IF(R800="Moist Open","50",IF(R800="Moist Shady","46",IF(R800="Sub-Alpine Slopes","40")))))))</f>
        <v>52</v>
      </c>
      <c r="V800" s="134" t="str">
        <f>IF(R800="Bogs Ponds Streams","84",IF(R800="Coastal Areas","76",IF(R800="Meadows Dry Open","96", IF(R800="Forest &amp; Understory","90", IF(R800="Moist Open","88", IF(R800="Moist Shady","82", IF(R800="Sub-Alpine Slopes","80")))))))</f>
        <v>90</v>
      </c>
      <c r="W800" s="67">
        <v>20</v>
      </c>
      <c r="X800" s="67">
        <v>0</v>
      </c>
      <c r="Y800" s="67">
        <v>3500</v>
      </c>
      <c r="Z800" s="67" t="s">
        <v>2519</v>
      </c>
      <c r="AA800" s="67" t="s">
        <v>2518</v>
      </c>
      <c r="AB800" s="67">
        <v>6.8</v>
      </c>
      <c r="AC800" s="85">
        <f>C800+AK800+(0.1)*AL800</f>
        <v>16.8</v>
      </c>
      <c r="AD800" s="78">
        <v>223</v>
      </c>
      <c r="AE800" s="67">
        <v>5</v>
      </c>
      <c r="AF800" s="67">
        <v>5</v>
      </c>
      <c r="AG800" s="67">
        <v>1900</v>
      </c>
      <c r="AH800" s="78">
        <v>0</v>
      </c>
      <c r="AI800" s="67">
        <f>AJ800</f>
        <v>2004</v>
      </c>
      <c r="AJ800" s="69">
        <v>2004</v>
      </c>
      <c r="AK800" s="69">
        <v>7</v>
      </c>
      <c r="AL800" s="69">
        <v>88</v>
      </c>
      <c r="AM800" s="70">
        <v>5</v>
      </c>
      <c r="AN800" s="70">
        <v>0</v>
      </c>
      <c r="AO800" s="86">
        <v>0</v>
      </c>
      <c r="AP800" s="70">
        <v>0</v>
      </c>
      <c r="AQ800" s="70">
        <v>0</v>
      </c>
      <c r="AR800" s="70">
        <v>0</v>
      </c>
      <c r="AS800" s="86">
        <v>0</v>
      </c>
      <c r="AT800" s="70">
        <v>0</v>
      </c>
      <c r="AU800" s="70">
        <v>0</v>
      </c>
      <c r="AV800" s="70">
        <v>0</v>
      </c>
      <c r="AW800" s="86">
        <v>0</v>
      </c>
      <c r="AX800" s="70">
        <v>0</v>
      </c>
      <c r="AY800" s="233"/>
      <c r="AZ800" s="4"/>
      <c r="BA800" s="35" t="str">
        <f>IF(OR(S800="North America",S800="Rocky Mountain"), "Widespread",BC800)</f>
        <v>Widespread</v>
      </c>
      <c r="BB800" s="4"/>
      <c r="BC800" s="35">
        <f ca="1">IF(BE800&gt;2046, "Abundant",BE800)</f>
        <v>2033.6564221033868</v>
      </c>
      <c r="BD800" s="4"/>
      <c r="BE800" s="81">
        <f ca="1">YEAR($C$13)+(BG800*80)</f>
        <v>2033.6564221033868</v>
      </c>
      <c r="BF800" s="4"/>
      <c r="BG800" s="137">
        <f ca="1">BH800*$BH$14</f>
        <v>0.1832052762923351</v>
      </c>
      <c r="BH800" s="137">
        <f ca="1">(((BJ800+BK800+BM800+BN800)/4)*$BM$11)+(((BP800+BQ800)/2)*$BQ$11)+(((BU800+BV800+BW800)/3)*$BU$11)+(((BY800+BZ800+CA800+CB800+CC800)/5)*$CA$11)</f>
        <v>0.1832052762923351</v>
      </c>
      <c r="BI800" s="4"/>
      <c r="BJ800" s="33">
        <f>AP800/(AM800+AO800)</f>
        <v>0</v>
      </c>
      <c r="BK800" s="33">
        <f>(AN800+AO800)/(AM800+AO800)</f>
        <v>0</v>
      </c>
      <c r="BL800" s="4"/>
      <c r="BM800" s="127">
        <f>CF800/102</f>
        <v>0.16470588235294117</v>
      </c>
      <c r="BN800" s="127">
        <f>C800/2</f>
        <v>0.5</v>
      </c>
      <c r="BO800" s="4"/>
      <c r="BP800" s="127">
        <f>(AK800)/($AW$6)</f>
        <v>7.0707070707070704E-2</v>
      </c>
      <c r="BQ800" s="127">
        <f ca="1">(CH800-$AW$4)/((YEAR($C$13))-$AW$4)</f>
        <v>0</v>
      </c>
      <c r="BR800" s="127">
        <f>(AL800)/($AW$6)</f>
        <v>0.88888888888888884</v>
      </c>
      <c r="BS800" s="4"/>
      <c r="BT800" s="127"/>
      <c r="BU800" s="127">
        <f ca="1">(CG800-$AW$4)/((YEAR($C$13))-$AW$4)</f>
        <v>0</v>
      </c>
      <c r="BV800" s="127">
        <f>AE800/5</f>
        <v>1</v>
      </c>
      <c r="BW800" s="127">
        <f>AF800/5</f>
        <v>1</v>
      </c>
      <c r="BX800" s="4"/>
      <c r="BY800" s="148" t="str">
        <f>IF(E800="A",".98",IF(E800="B",".99",IF(E800="C","1.00",IF(E800="D","1.00" ))))</f>
        <v>1.00</v>
      </c>
      <c r="BZ800" s="127">
        <f>(CE800+7)/10</f>
        <v>1</v>
      </c>
      <c r="CA800" s="76" t="str">
        <f>IF(D800="Fern",".97",IF(D800="Grass",".99",IF(D800="Herb",".97",IF(D800="Shrub",".99",IF(D800="Tree","1.00",IF(D800="Vine",".98"))))))</f>
        <v>.97</v>
      </c>
      <c r="CB800" s="149" t="str">
        <f>IF(R800="Bogs Ponds Streams",".96", IF(R800="Coastal Areas",".97",IF(R800="Meadows Dry Open",".96",IF(R800="Forest &amp; Understory",".97",IF(R800="Moist Open",".98",IF(R800="Moist Shady",".96",IF(R800="Sub-Alpine","1.0")))))))</f>
        <v>.97</v>
      </c>
      <c r="CC800" s="76" t="str">
        <f>IF(S800="Local Endemic",".50",IF(S800="Regional Endemic",".70",IF(S800="Cascadia",".90",IF(S800="Rocky Mountain",".95",IF(S800="North America",".99")))))</f>
        <v>.95</v>
      </c>
      <c r="CD800" s="4"/>
      <c r="CE800" s="21">
        <f>IF(W800&gt;3,3,W800)</f>
        <v>3</v>
      </c>
      <c r="CF800" s="21">
        <f>IF(AC800&gt;102,102,AC800)</f>
        <v>16.8</v>
      </c>
      <c r="CG800" s="34">
        <f>IF(AI800&lt;$AW$4,$AW$4,AI800)</f>
        <v>2004</v>
      </c>
      <c r="CH800" s="34">
        <f>IF(AJ800&lt;$AW$4,$AW$4,AJ800)</f>
        <v>2004</v>
      </c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</row>
    <row r="801" spans="1:115" ht="15" customHeight="1" x14ac:dyDescent="0.3">
      <c r="A801" s="235"/>
      <c r="B801" s="218"/>
      <c r="C801" s="375">
        <v>1</v>
      </c>
      <c r="D801" s="67" t="s">
        <v>2505</v>
      </c>
      <c r="E801" s="67" t="s">
        <v>2501</v>
      </c>
      <c r="F801" s="403" t="str">
        <f ca="1">IF(BC801&lt;2025, "Extinct&lt; 6Yrs?",BA801)</f>
        <v>Widespread</v>
      </c>
      <c r="G801" s="376" t="s">
        <v>525</v>
      </c>
      <c r="H801" s="376" t="s">
        <v>4028</v>
      </c>
      <c r="I801" s="380" t="s">
        <v>174</v>
      </c>
      <c r="J801" s="378" t="s">
        <v>3505</v>
      </c>
      <c r="K801" s="378" t="s">
        <v>173</v>
      </c>
      <c r="L801" s="63" t="s">
        <v>2290</v>
      </c>
      <c r="M801" s="64" t="s">
        <v>4872</v>
      </c>
      <c r="N801" s="64" t="s">
        <v>5769</v>
      </c>
      <c r="O801" s="64" t="s">
        <v>6668</v>
      </c>
      <c r="P801" s="61" t="s">
        <v>168</v>
      </c>
      <c r="Q801" s="67" t="s">
        <v>2552</v>
      </c>
      <c r="R801" s="61" t="s">
        <v>2500</v>
      </c>
      <c r="S801" s="61" t="s">
        <v>2479</v>
      </c>
      <c r="T801" s="134" t="str">
        <f>IF(R801="Bogs Ponds Streams","20",IF(R801="Coastal Areas","26",IF(R801="Meadows Dry Open","10",IF(R801="Forest &amp; Understory","14",IF(R801="Moist Open","12",IF(R801="Moist Shady","10",IF(R801="Sub-Alpine Slopes","0")))))))</f>
        <v>10</v>
      </c>
      <c r="U801" s="134" t="str">
        <f>IF(R801="Bogs Ponds Streams","52",IF(R801="Coastal Areas","51",IF(R801="Meadows Dry Open","53",IF(R801="Forest &amp; Understory","52",IF(R801="Moist Open","50",IF(R801="Moist Shady","46",IF(R801="Sub-Alpine Slopes","40")))))))</f>
        <v>53</v>
      </c>
      <c r="V801" s="134" t="str">
        <f>IF(R801="Bogs Ponds Streams","84",IF(R801="Coastal Areas","76",IF(R801="Meadows Dry Open","96", IF(R801="Forest &amp; Understory","90", IF(R801="Moist Open","88", IF(R801="Moist Shady","82", IF(R801="Sub-Alpine Slopes","80")))))))</f>
        <v>96</v>
      </c>
      <c r="W801" s="67">
        <v>20</v>
      </c>
      <c r="X801" s="67">
        <v>0</v>
      </c>
      <c r="Y801" s="67">
        <v>3500</v>
      </c>
      <c r="Z801" s="67" t="s">
        <v>2519</v>
      </c>
      <c r="AA801" s="67" t="s">
        <v>2518</v>
      </c>
      <c r="AB801" s="67">
        <v>6.8</v>
      </c>
      <c r="AC801" s="85">
        <f>C801+AK801+(0.1)*AL801</f>
        <v>10.1</v>
      </c>
      <c r="AD801" s="78">
        <v>29</v>
      </c>
      <c r="AE801" s="68">
        <v>3</v>
      </c>
      <c r="AF801" s="68">
        <v>5</v>
      </c>
      <c r="AG801" s="78">
        <v>1925</v>
      </c>
      <c r="AH801" s="78">
        <v>0</v>
      </c>
      <c r="AI801" s="78">
        <v>2000</v>
      </c>
      <c r="AJ801" s="69">
        <v>2018</v>
      </c>
      <c r="AK801" s="69">
        <v>8</v>
      </c>
      <c r="AL801" s="69">
        <v>11</v>
      </c>
      <c r="AM801" s="70">
        <v>5</v>
      </c>
      <c r="AN801" s="70">
        <v>0</v>
      </c>
      <c r="AO801" s="86">
        <v>0</v>
      </c>
      <c r="AP801" s="70">
        <v>0</v>
      </c>
      <c r="AQ801" s="70">
        <v>0</v>
      </c>
      <c r="AR801" s="70">
        <v>0</v>
      </c>
      <c r="AS801" s="86">
        <v>0</v>
      </c>
      <c r="AT801" s="70">
        <v>0</v>
      </c>
      <c r="AU801" s="70">
        <v>0</v>
      </c>
      <c r="AV801" s="70">
        <v>0</v>
      </c>
      <c r="AW801" s="86">
        <v>0</v>
      </c>
      <c r="AX801" s="70">
        <v>0</v>
      </c>
      <c r="AY801" s="233"/>
      <c r="AZ801" s="4"/>
      <c r="BA801" s="35" t="str">
        <f>IF(OR(S801="North America",S801="Rocky Mountain"), "Widespread",BC801)</f>
        <v>Widespread</v>
      </c>
      <c r="BB801" s="4"/>
      <c r="BC801" s="35">
        <f ca="1">IF(BE801&gt;2046, "Abundant",BE801)</f>
        <v>2043.3328655971479</v>
      </c>
      <c r="BD801" s="4"/>
      <c r="BE801" s="81">
        <f ca="1">YEAR($C$13)+(BG801*80)</f>
        <v>2043.3328655971479</v>
      </c>
      <c r="BF801" s="4"/>
      <c r="BG801" s="137">
        <f ca="1">BH801*$BH$14</f>
        <v>0.30416081996434935</v>
      </c>
      <c r="BH801" s="137">
        <f ca="1">(((BJ801+BK801+BM801+BN801)/4)*$BM$11)+(((BP801+BQ801)/2)*$BQ$11)+(((BU801+BV801+BW801)/3)*$BU$11)+(((BY801+BZ801+CA801+CB801+CC801)/5)*$CA$11)</f>
        <v>0.30416081996434935</v>
      </c>
      <c r="BI801" s="4"/>
      <c r="BJ801" s="33">
        <f>AP801/(AM801+AO801)</f>
        <v>0</v>
      </c>
      <c r="BK801" s="33">
        <f>(AN801+AO801)/(AM801+AO801)</f>
        <v>0</v>
      </c>
      <c r="BL801" s="4"/>
      <c r="BM801" s="127">
        <f>CF801/102</f>
        <v>9.901960784313725E-2</v>
      </c>
      <c r="BN801" s="127">
        <f>C801/2</f>
        <v>0.5</v>
      </c>
      <c r="BO801" s="4"/>
      <c r="BP801" s="127">
        <f>(AK801)/($AW$6)</f>
        <v>8.0808080808080815E-2</v>
      </c>
      <c r="BQ801" s="127">
        <f ca="1">(CH801-$AW$4)/((YEAR($C$13))-$AW$4)</f>
        <v>0.93333333333333335</v>
      </c>
      <c r="BR801" s="127">
        <f>(AL801)/($AW$6)</f>
        <v>0.1111111111111111</v>
      </c>
      <c r="BS801" s="4"/>
      <c r="BT801" s="127"/>
      <c r="BU801" s="127">
        <f ca="1">(CG801-$AW$4)/((YEAR($C$13))-$AW$4)</f>
        <v>0</v>
      </c>
      <c r="BV801" s="127">
        <f>AE801/5</f>
        <v>0.6</v>
      </c>
      <c r="BW801" s="127">
        <f>AF801/5</f>
        <v>1</v>
      </c>
      <c r="BX801" s="4"/>
      <c r="BY801" s="148" t="str">
        <f>IF(E801="A",".98",IF(E801="B",".99",IF(E801="C","1.00",IF(E801="D","1.00" ))))</f>
        <v>1.00</v>
      </c>
      <c r="BZ801" s="127">
        <f>(CE801+7)/10</f>
        <v>1</v>
      </c>
      <c r="CA801" s="76" t="str">
        <f>IF(D801="Fern",".97",IF(D801="Grass",".99",IF(D801="Herb",".97",IF(D801="Shrub",".99",IF(D801="Tree","1.00",IF(D801="Vine",".98"))))))</f>
        <v>.97</v>
      </c>
      <c r="CB801" s="149" t="str">
        <f>IF(R801="Bogs Ponds Streams",".96", IF(R801="Coastal Areas",".97",IF(R801="Meadows Dry Open",".96",IF(R801="Forest &amp; Understory",".97",IF(R801="Moist Open",".98",IF(R801="Moist Shady",".96",IF(R801="Sub-Alpine","1.0")))))))</f>
        <v>.96</v>
      </c>
      <c r="CC801" s="76" t="str">
        <f>IF(S801="Local Endemic",".50",IF(S801="Regional Endemic",".70",IF(S801="Cascadia",".90",IF(S801="Rocky Mountain",".95",IF(S801="North America",".99")))))</f>
        <v>.95</v>
      </c>
      <c r="CD801" s="4"/>
      <c r="CE801" s="21">
        <f>IF(W801&gt;3,3,W801)</f>
        <v>3</v>
      </c>
      <c r="CF801" s="21">
        <f>IF(AC801&gt;102,102,AC801)</f>
        <v>10.1</v>
      </c>
      <c r="CG801" s="34">
        <f>IF(AI801&lt;$AW$4,$AW$4,AI801)</f>
        <v>2004</v>
      </c>
      <c r="CH801" s="34">
        <f>IF(AJ801&lt;$AW$4,$AW$4,AJ801)</f>
        <v>2018</v>
      </c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</row>
    <row r="802" spans="1:115" ht="15" customHeight="1" x14ac:dyDescent="0.3">
      <c r="A802" s="235"/>
      <c r="B802" s="218"/>
      <c r="C802" s="225">
        <v>8</v>
      </c>
      <c r="D802" s="94" t="s">
        <v>1155</v>
      </c>
      <c r="E802" s="59" t="s">
        <v>2501</v>
      </c>
      <c r="F802" s="397" t="str">
        <f ca="1">IF(BC802&lt;2025, "Extinct&lt; 6Yrs?",BA802)</f>
        <v>Abundant</v>
      </c>
      <c r="G802" s="363" t="s">
        <v>525</v>
      </c>
      <c r="H802" s="363" t="s">
        <v>682</v>
      </c>
      <c r="I802" s="366" t="s">
        <v>114</v>
      </c>
      <c r="J802" s="365" t="s">
        <v>3921</v>
      </c>
      <c r="K802" s="365" t="s">
        <v>826</v>
      </c>
      <c r="L802" s="10" t="s">
        <v>4053</v>
      </c>
      <c r="M802" s="8" t="s">
        <v>4873</v>
      </c>
      <c r="N802" s="8" t="s">
        <v>5770</v>
      </c>
      <c r="O802" s="8" t="s">
        <v>6669</v>
      </c>
      <c r="P802" s="9" t="s">
        <v>134</v>
      </c>
      <c r="Q802" s="59" t="s">
        <v>2552</v>
      </c>
      <c r="R802" s="9" t="s">
        <v>2498</v>
      </c>
      <c r="S802" s="9" t="s">
        <v>2459</v>
      </c>
      <c r="T802" s="123" t="str">
        <f>IF(R802="Bogs Ponds Streams","20",IF(R802="Coastal Areas","26",IF(R802="Meadows Dry Open","10",IF(R802="Forest &amp; Understory","14",IF(R802="Moist Open","12",IF(R802="Moist Shady","10",IF(R802="Sub-Alpine Slopes","0")))))))</f>
        <v>10</v>
      </c>
      <c r="U802" s="123" t="str">
        <f>IF(R802="Bogs Ponds Streams","52",IF(R802="Coastal Areas","51",IF(R802="Meadows Dry Open","53",IF(R802="Forest &amp; Understory","52",IF(R802="Moist Open","50",IF(R802="Moist Shady","46",IF(R802="Sub-Alpine Slopes","40")))))))</f>
        <v>46</v>
      </c>
      <c r="V802" s="123" t="str">
        <f>IF(R802="Bogs Ponds Streams","84",IF(R802="Coastal Areas","76",IF(R802="Meadows Dry Open","96", IF(R802="Forest &amp; Understory","90", IF(R802="Moist Open","88", IF(R802="Moist Shady","82", IF(R802="Sub-Alpine Slopes","80")))))))</f>
        <v>82</v>
      </c>
      <c r="W802" s="59">
        <v>20</v>
      </c>
      <c r="X802" s="59">
        <v>0</v>
      </c>
      <c r="Y802" s="59">
        <v>3500</v>
      </c>
      <c r="Z802" s="59" t="s">
        <v>2519</v>
      </c>
      <c r="AA802" s="59" t="s">
        <v>2518</v>
      </c>
      <c r="AB802" s="59">
        <v>6.8</v>
      </c>
      <c r="AC802" s="45">
        <f>C802+AK802+(0.1)*AL802</f>
        <v>19.100000000000001</v>
      </c>
      <c r="AD802" s="77">
        <v>26</v>
      </c>
      <c r="AE802" s="59">
        <v>5</v>
      </c>
      <c r="AF802" s="59">
        <v>5</v>
      </c>
      <c r="AG802" s="59">
        <v>1900</v>
      </c>
      <c r="AH802" s="77">
        <v>0</v>
      </c>
      <c r="AI802" s="59">
        <f ca="1">AJ802</f>
        <v>2019</v>
      </c>
      <c r="AJ802" s="18">
        <f ca="1">YEAR(TODAY())</f>
        <v>2019</v>
      </c>
      <c r="AK802" s="18">
        <v>11</v>
      </c>
      <c r="AL802" s="18">
        <v>1</v>
      </c>
      <c r="AM802" s="18">
        <v>1</v>
      </c>
      <c r="AN802" s="18">
        <v>1</v>
      </c>
      <c r="AO802" s="18">
        <v>5</v>
      </c>
      <c r="AP802" s="18">
        <v>1</v>
      </c>
      <c r="AQ802" s="18">
        <v>0</v>
      </c>
      <c r="AR802" s="18">
        <v>0</v>
      </c>
      <c r="AS802" s="18">
        <v>0</v>
      </c>
      <c r="AT802" s="18">
        <v>0</v>
      </c>
      <c r="AU802" s="18">
        <v>0</v>
      </c>
      <c r="AV802" s="18">
        <v>0</v>
      </c>
      <c r="AW802" s="18">
        <v>0</v>
      </c>
      <c r="AX802" s="18">
        <v>0</v>
      </c>
      <c r="AY802" s="233"/>
      <c r="AZ802" s="4"/>
      <c r="BA802" s="35" t="str">
        <f ca="1">IF(OR(S802="North America",S802="Rocky Mountain"), "Widespread",BC802)</f>
        <v>Abundant</v>
      </c>
      <c r="BB802" s="4"/>
      <c r="BC802" s="35" t="str">
        <f ca="1">IF(BE802&gt;2046, "Abundant",BE802)</f>
        <v>Abundant</v>
      </c>
      <c r="BD802" s="4"/>
      <c r="BE802" s="81">
        <f ca="1">YEAR($C$13)+(BG802*80)</f>
        <v>2104.5323921568629</v>
      </c>
      <c r="BF802" s="4"/>
      <c r="BG802" s="137">
        <f ca="1">BH802*$BH$14</f>
        <v>1.0691549019607842</v>
      </c>
      <c r="BH802" s="137">
        <f ca="1">(((BJ802+BK802+BM802+BN802)/4)*$BM$11)+(((BP802+BQ802)/2)*$BQ$11)+(((BU802+BV802+BW802)/3)*$BU$11)+(((BY802+BZ802+CA802+CB802+CC802)/5)*$CA$11)</f>
        <v>1.0691549019607842</v>
      </c>
      <c r="BI802" s="4"/>
      <c r="BJ802" s="33">
        <f>AP802/(AM802+AO802)</f>
        <v>0.16666666666666666</v>
      </c>
      <c r="BK802" s="33">
        <f>(AN802+AO802)/(AM802+AO802)</f>
        <v>1</v>
      </c>
      <c r="BL802" s="4"/>
      <c r="BM802" s="127">
        <f>CF802/102</f>
        <v>0.18725490196078431</v>
      </c>
      <c r="BN802" s="127">
        <f>C802/2</f>
        <v>4</v>
      </c>
      <c r="BO802" s="4"/>
      <c r="BP802" s="127">
        <f>(AK802)/($AW$6)</f>
        <v>0.1111111111111111</v>
      </c>
      <c r="BQ802" s="127">
        <f ca="1">(CH802-$AW$4)/((YEAR($C$13))-$AW$4)</f>
        <v>1</v>
      </c>
      <c r="BR802" s="127">
        <f>(AL802)/($AW$6)</f>
        <v>1.0101010101010102E-2</v>
      </c>
      <c r="BS802" s="4"/>
      <c r="BT802" s="127"/>
      <c r="BU802" s="127">
        <f ca="1">(CG802-$AW$4)/((YEAR($C$13))-$AW$4)</f>
        <v>1</v>
      </c>
      <c r="BV802" s="127">
        <f>AE802/5</f>
        <v>1</v>
      </c>
      <c r="BW802" s="127">
        <f>AF802/5</f>
        <v>1</v>
      </c>
      <c r="BX802" s="4"/>
      <c r="BY802" s="148" t="str">
        <f>IF(E802="A",".98",IF(E802="B",".99",IF(E802="C","1.00",IF(E802="D","1.00" ))))</f>
        <v>1.00</v>
      </c>
      <c r="BZ802" s="127">
        <f>(CE802+7)/10</f>
        <v>1</v>
      </c>
      <c r="CA802" s="76" t="str">
        <f>IF(D802="Fern",".97",IF(D802="Grass",".99",IF(D802="Herb",".97",IF(D802="Shrub",".99",IF(D802="Tree","1.00",IF(D802="Vine",".98"))))))</f>
        <v>.99</v>
      </c>
      <c r="CB802" s="149" t="str">
        <f>IF(R802="Bogs Ponds Streams",".96", IF(R802="Coastal Areas",".97",IF(R802="Meadows Dry Open",".96",IF(R802="Forest &amp; Understory",".97",IF(R802="Moist Open",".98",IF(R802="Moist Shady",".96",IF(R802="Sub-Alpine","1.0")))))))</f>
        <v>.96</v>
      </c>
      <c r="CC802" s="76" t="str">
        <f>IF(S802="Local Endemic",".50",IF(S802="Regional Endemic",".70",IF(S802="Cascadia",".90",IF(S802="Rocky Mountain",".95",IF(S802="North America",".99")))))</f>
        <v>.90</v>
      </c>
      <c r="CD802" s="4"/>
      <c r="CE802" s="21">
        <f>IF(W802&gt;3,3,W802)</f>
        <v>3</v>
      </c>
      <c r="CF802" s="21">
        <f>IF(AC802&gt;102,102,AC802)</f>
        <v>19.100000000000001</v>
      </c>
      <c r="CG802" s="34">
        <f ca="1">IF(AI802&lt;$AW$4,$AW$4,AI802)</f>
        <v>2019</v>
      </c>
      <c r="CH802" s="34">
        <f ca="1">IF(AJ802&lt;$AW$4,$AW$4,AJ802)</f>
        <v>2019</v>
      </c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13"/>
    </row>
    <row r="803" spans="1:115" ht="15" customHeight="1" x14ac:dyDescent="0.3">
      <c r="A803" s="235"/>
      <c r="B803" s="218"/>
      <c r="C803" s="225">
        <v>8</v>
      </c>
      <c r="D803" s="94" t="s">
        <v>1155</v>
      </c>
      <c r="E803" s="59" t="s">
        <v>2501</v>
      </c>
      <c r="F803" s="397" t="str">
        <f ca="1">IF(BC803&lt;2025, "Extinct&lt; 6Yrs?",BA803)</f>
        <v>Widespread</v>
      </c>
      <c r="G803" s="363" t="s">
        <v>525</v>
      </c>
      <c r="H803" s="363" t="s">
        <v>681</v>
      </c>
      <c r="I803" s="366" t="s">
        <v>3137</v>
      </c>
      <c r="J803" s="365" t="s">
        <v>3920</v>
      </c>
      <c r="K803" s="365" t="s">
        <v>827</v>
      </c>
      <c r="L803" s="10" t="s">
        <v>2291</v>
      </c>
      <c r="M803" s="8" t="s">
        <v>4874</v>
      </c>
      <c r="N803" s="8" t="s">
        <v>5771</v>
      </c>
      <c r="O803" s="8" t="s">
        <v>6670</v>
      </c>
      <c r="P803" s="9" t="s">
        <v>134</v>
      </c>
      <c r="Q803" s="59" t="s">
        <v>2552</v>
      </c>
      <c r="R803" s="9" t="s">
        <v>2498</v>
      </c>
      <c r="S803" s="9" t="s">
        <v>2479</v>
      </c>
      <c r="T803" s="123" t="str">
        <f>IF(R803="Bogs Ponds Streams","20",IF(R803="Coastal Areas","26",IF(R803="Meadows Dry Open","10",IF(R803="Forest &amp; Understory","14",IF(R803="Moist Open","12",IF(R803="Moist Shady","10",IF(R803="Sub-Alpine Slopes","0")))))))</f>
        <v>10</v>
      </c>
      <c r="U803" s="123" t="str">
        <f>IF(R803="Bogs Ponds Streams","52",IF(R803="Coastal Areas","51",IF(R803="Meadows Dry Open","53",IF(R803="Forest &amp; Understory","52",IF(R803="Moist Open","50",IF(R803="Moist Shady","46",IF(R803="Sub-Alpine Slopes","40")))))))</f>
        <v>46</v>
      </c>
      <c r="V803" s="123" t="str">
        <f>IF(R803="Bogs Ponds Streams","84",IF(R803="Coastal Areas","76",IF(R803="Meadows Dry Open","96", IF(R803="Forest &amp; Understory","90", IF(R803="Moist Open","88", IF(R803="Moist Shady","82", IF(R803="Sub-Alpine Slopes","80")))))))</f>
        <v>82</v>
      </c>
      <c r="W803" s="59">
        <v>20</v>
      </c>
      <c r="X803" s="59">
        <v>0</v>
      </c>
      <c r="Y803" s="59">
        <v>3500</v>
      </c>
      <c r="Z803" s="59" t="s">
        <v>2519</v>
      </c>
      <c r="AA803" s="59" t="s">
        <v>2518</v>
      </c>
      <c r="AB803" s="59">
        <v>6.8</v>
      </c>
      <c r="AC803" s="45">
        <f>C803+AK803+(0.1)*AL803</f>
        <v>33.299999999999997</v>
      </c>
      <c r="AD803" s="77">
        <v>139</v>
      </c>
      <c r="AE803" s="59">
        <v>5</v>
      </c>
      <c r="AF803" s="59">
        <v>5</v>
      </c>
      <c r="AG803" s="59">
        <v>1900</v>
      </c>
      <c r="AH803" s="77">
        <v>0</v>
      </c>
      <c r="AI803" s="59">
        <f ca="1">AJ803</f>
        <v>2019</v>
      </c>
      <c r="AJ803" s="18">
        <f ca="1">YEAR(TODAY())</f>
        <v>2019</v>
      </c>
      <c r="AK803" s="18">
        <v>22</v>
      </c>
      <c r="AL803" s="18">
        <v>33</v>
      </c>
      <c r="AM803" s="18">
        <v>1</v>
      </c>
      <c r="AN803" s="18">
        <v>1</v>
      </c>
      <c r="AO803" s="24">
        <v>1</v>
      </c>
      <c r="AP803" s="24">
        <v>1</v>
      </c>
      <c r="AQ803" s="18">
        <v>0</v>
      </c>
      <c r="AR803" s="18">
        <v>0</v>
      </c>
      <c r="AS803" s="18">
        <v>0</v>
      </c>
      <c r="AT803" s="18">
        <v>0</v>
      </c>
      <c r="AU803" s="18">
        <v>0</v>
      </c>
      <c r="AV803" s="18">
        <v>0</v>
      </c>
      <c r="AW803" s="18">
        <v>0</v>
      </c>
      <c r="AX803" s="18">
        <v>0</v>
      </c>
      <c r="AY803" s="233"/>
      <c r="AZ803" s="4"/>
      <c r="BA803" s="35" t="str">
        <f>IF(OR(S803="North America",S803="Rocky Mountain"), "Widespread",BC803)</f>
        <v>Widespread</v>
      </c>
      <c r="BB803" s="4"/>
      <c r="BC803" s="35" t="str">
        <f ca="1">IF(BE803&gt;2046, "Abundant",BE803)</f>
        <v>Abundant</v>
      </c>
      <c r="BD803" s="4"/>
      <c r="BE803" s="81">
        <f ca="1">YEAR($C$13)+(BG803*80)</f>
        <v>2111.5523137254904</v>
      </c>
      <c r="BF803" s="4"/>
      <c r="BG803" s="137">
        <f ca="1">BH803*$BH$14</f>
        <v>1.1569039215686274</v>
      </c>
      <c r="BH803" s="137">
        <f ca="1">(((BJ803+BK803+BM803+BN803)/4)*$BM$11)+(((BP803+BQ803)/2)*$BQ$11)+(((BU803+BV803+BW803)/3)*$BU$11)+(((BY803+BZ803+CA803+CB803+CC803)/5)*$CA$11)</f>
        <v>1.1569039215686274</v>
      </c>
      <c r="BI803" s="4"/>
      <c r="BJ803" s="33">
        <f>AP803/(AM803+AO803)</f>
        <v>0.5</v>
      </c>
      <c r="BK803" s="33">
        <f>(AN803+AO803)/(AM803+AO803)</f>
        <v>1</v>
      </c>
      <c r="BL803" s="4"/>
      <c r="BM803" s="127">
        <f>CF803/102</f>
        <v>0.32647058823529407</v>
      </c>
      <c r="BN803" s="127">
        <f>C803/2</f>
        <v>4</v>
      </c>
      <c r="BO803" s="4"/>
      <c r="BP803" s="127">
        <f>(AK803)/($AW$6)</f>
        <v>0.22222222222222221</v>
      </c>
      <c r="BQ803" s="127">
        <f ca="1">(CH803-$AW$4)/((YEAR($C$13))-$AW$4)</f>
        <v>1</v>
      </c>
      <c r="BR803" s="127">
        <f>(AL803)/($AW$6)</f>
        <v>0.33333333333333331</v>
      </c>
      <c r="BS803" s="4"/>
      <c r="BT803" s="127"/>
      <c r="BU803" s="127">
        <f ca="1">(CG803-$AW$4)/((YEAR($C$13))-$AW$4)</f>
        <v>1</v>
      </c>
      <c r="BV803" s="127">
        <f>AE803/5</f>
        <v>1</v>
      </c>
      <c r="BW803" s="127">
        <f>AF803/5</f>
        <v>1</v>
      </c>
      <c r="BX803" s="4"/>
      <c r="BY803" s="148" t="str">
        <f>IF(E803="A",".98",IF(E803="B",".99",IF(E803="C","1.00",IF(E803="D","1.00" ))))</f>
        <v>1.00</v>
      </c>
      <c r="BZ803" s="127">
        <f>(CE803+7)/10</f>
        <v>1</v>
      </c>
      <c r="CA803" s="76" t="str">
        <f>IF(D803="Fern",".97",IF(D803="Grass",".99",IF(D803="Herb",".97",IF(D803="Shrub",".99",IF(D803="Tree","1.00",IF(D803="Vine",".98"))))))</f>
        <v>.99</v>
      </c>
      <c r="CB803" s="149" t="str">
        <f>IF(R803="Bogs Ponds Streams",".96", IF(R803="Coastal Areas",".97",IF(R803="Meadows Dry Open",".96",IF(R803="Forest &amp; Understory",".97",IF(R803="Moist Open",".98",IF(R803="Moist Shady",".96",IF(R803="Sub-Alpine","1.0")))))))</f>
        <v>.96</v>
      </c>
      <c r="CC803" s="76" t="str">
        <f>IF(S803="Local Endemic",".50",IF(S803="Regional Endemic",".70",IF(S803="Cascadia",".90",IF(S803="Rocky Mountain",".95",IF(S803="North America",".99")))))</f>
        <v>.95</v>
      </c>
      <c r="CD803" s="4"/>
      <c r="CE803" s="21">
        <f>IF(W803&gt;3,3,W803)</f>
        <v>3</v>
      </c>
      <c r="CF803" s="21">
        <f>IF(AC803&gt;102,102,AC803)</f>
        <v>33.299999999999997</v>
      </c>
      <c r="CG803" s="34">
        <f ca="1">IF(AI803&lt;$AW$4,$AW$4,AI803)</f>
        <v>2019</v>
      </c>
      <c r="CH803" s="34">
        <f ca="1">IF(AJ803&lt;$AW$4,$AW$4,AJ803)</f>
        <v>2019</v>
      </c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13"/>
    </row>
    <row r="804" spans="1:115" ht="15" customHeight="1" x14ac:dyDescent="0.3">
      <c r="A804" s="235"/>
      <c r="B804" s="218"/>
      <c r="C804" s="225">
        <v>8</v>
      </c>
      <c r="D804" s="59" t="s">
        <v>2505</v>
      </c>
      <c r="E804" s="59" t="s">
        <v>2501</v>
      </c>
      <c r="F804" s="397" t="str">
        <f ca="1">IF(BC804&lt;2025, "Extinct&lt; 6Yrs?",BA804)</f>
        <v>Widespread</v>
      </c>
      <c r="G804" s="363" t="s">
        <v>525</v>
      </c>
      <c r="H804" s="363" t="s">
        <v>680</v>
      </c>
      <c r="I804" s="366" t="s">
        <v>3138</v>
      </c>
      <c r="J804" s="365" t="s">
        <v>3919</v>
      </c>
      <c r="K804" s="365" t="s">
        <v>828</v>
      </c>
      <c r="L804" s="10" t="s">
        <v>2292</v>
      </c>
      <c r="M804" s="8" t="s">
        <v>4875</v>
      </c>
      <c r="N804" s="8" t="s">
        <v>5772</v>
      </c>
      <c r="O804" s="8" t="s">
        <v>6671</v>
      </c>
      <c r="P804" s="9" t="s">
        <v>558</v>
      </c>
      <c r="Q804" s="59" t="s">
        <v>2552</v>
      </c>
      <c r="R804" s="9" t="s">
        <v>2497</v>
      </c>
      <c r="S804" s="9" t="s">
        <v>2495</v>
      </c>
      <c r="T804" s="123" t="str">
        <f>IF(R804="Bogs Ponds Streams","20",IF(R804="Coastal Areas","26",IF(R804="Meadows Dry Open","10",IF(R804="Forest &amp; Understory","14",IF(R804="Moist Open","12",IF(R804="Moist Shady","10",IF(R804="Sub-Alpine Slopes","0")))))))</f>
        <v>12</v>
      </c>
      <c r="U804" s="123" t="str">
        <f>IF(R804="Bogs Ponds Streams","52",IF(R804="Coastal Areas","51",IF(R804="Meadows Dry Open","53",IF(R804="Forest &amp; Understory","52",IF(R804="Moist Open","50",IF(R804="Moist Shady","46",IF(R804="Sub-Alpine Slopes","40")))))))</f>
        <v>50</v>
      </c>
      <c r="V804" s="123" t="str">
        <f>IF(R804="Bogs Ponds Streams","84",IF(R804="Coastal Areas","76",IF(R804="Meadows Dry Open","96", IF(R804="Forest &amp; Understory","90", IF(R804="Moist Open","88", IF(R804="Moist Shady","82", IF(R804="Sub-Alpine Slopes","80")))))))</f>
        <v>88</v>
      </c>
      <c r="W804" s="59">
        <v>20</v>
      </c>
      <c r="X804" s="59">
        <v>0</v>
      </c>
      <c r="Y804" s="59">
        <v>3500</v>
      </c>
      <c r="Z804" s="59" t="s">
        <v>2519</v>
      </c>
      <c r="AA804" s="59" t="s">
        <v>2518</v>
      </c>
      <c r="AB804" s="59">
        <v>6.8</v>
      </c>
      <c r="AC804" s="45">
        <f>C804+AK804+(0.1)*AL804</f>
        <v>19.100000000000001</v>
      </c>
      <c r="AD804" s="77">
        <v>47</v>
      </c>
      <c r="AE804" s="59">
        <v>5</v>
      </c>
      <c r="AF804" s="59">
        <v>5</v>
      </c>
      <c r="AG804" s="59">
        <v>1900</v>
      </c>
      <c r="AH804" s="77">
        <v>0</v>
      </c>
      <c r="AI804" s="59">
        <f ca="1">AJ804</f>
        <v>2019</v>
      </c>
      <c r="AJ804" s="18">
        <f ca="1">YEAR(TODAY())</f>
        <v>2019</v>
      </c>
      <c r="AK804" s="18">
        <v>10</v>
      </c>
      <c r="AL804" s="18">
        <v>11</v>
      </c>
      <c r="AM804" s="18">
        <v>1</v>
      </c>
      <c r="AN804" s="18">
        <v>1</v>
      </c>
      <c r="AO804" s="18">
        <v>5</v>
      </c>
      <c r="AP804" s="18">
        <v>1</v>
      </c>
      <c r="AQ804" s="18">
        <v>0</v>
      </c>
      <c r="AR804" s="18">
        <v>0</v>
      </c>
      <c r="AS804" s="18">
        <v>0</v>
      </c>
      <c r="AT804" s="18">
        <v>0</v>
      </c>
      <c r="AU804" s="18">
        <v>0</v>
      </c>
      <c r="AV804" s="18">
        <v>0</v>
      </c>
      <c r="AW804" s="18">
        <v>0</v>
      </c>
      <c r="AX804" s="18">
        <v>0</v>
      </c>
      <c r="AY804" s="233"/>
      <c r="AZ804" s="4"/>
      <c r="BA804" s="35" t="str">
        <f>IF(OR(S804="North America",S804="Rocky Mountain"), "Widespread",BC804)</f>
        <v>Widespread</v>
      </c>
      <c r="BB804" s="4"/>
      <c r="BC804" s="35" t="str">
        <f ca="1">IF(BE804&gt;2046, "Abundant",BE804)</f>
        <v>Abundant</v>
      </c>
      <c r="BD804" s="4"/>
      <c r="BE804" s="81">
        <f ca="1">YEAR($C$13)+(BG804*80)</f>
        <v>2104.4399800356505</v>
      </c>
      <c r="BF804" s="4"/>
      <c r="BG804" s="137">
        <f ca="1">BH804*$BH$14</f>
        <v>1.0679997504456327</v>
      </c>
      <c r="BH804" s="137">
        <f ca="1">(((BJ804+BK804+BM804+BN804)/4)*$BM$11)+(((BP804+BQ804)/2)*$BQ$11)+(((BU804+BV804+BW804)/3)*$BU$11)+(((BY804+BZ804+CA804+CB804+CC804)/5)*$CA$11)</f>
        <v>1.0679997504456327</v>
      </c>
      <c r="BI804" s="4"/>
      <c r="BJ804" s="33">
        <f>AP804/(AM804+AO804)</f>
        <v>0.16666666666666666</v>
      </c>
      <c r="BK804" s="33">
        <f>(AN804+AO804)/(AM804+AO804)</f>
        <v>1</v>
      </c>
      <c r="BL804" s="4"/>
      <c r="BM804" s="127">
        <f>CF804/102</f>
        <v>0.18725490196078431</v>
      </c>
      <c r="BN804" s="127">
        <f>C804/2</f>
        <v>4</v>
      </c>
      <c r="BO804" s="4"/>
      <c r="BP804" s="127">
        <f>(AK804)/($AW$6)</f>
        <v>0.10101010101010101</v>
      </c>
      <c r="BQ804" s="127">
        <f ca="1">(CH804-$AW$4)/((YEAR($C$13))-$AW$4)</f>
        <v>1</v>
      </c>
      <c r="BR804" s="127">
        <f>(AL804)/($AW$6)</f>
        <v>0.1111111111111111</v>
      </c>
      <c r="BS804" s="4"/>
      <c r="BT804" s="127"/>
      <c r="BU804" s="127">
        <f ca="1">(CG804-$AW$4)/((YEAR($C$13))-$AW$4)</f>
        <v>1</v>
      </c>
      <c r="BV804" s="127">
        <f>AE804/5</f>
        <v>1</v>
      </c>
      <c r="BW804" s="127">
        <f>AF804/5</f>
        <v>1</v>
      </c>
      <c r="BX804" s="4"/>
      <c r="BY804" s="148" t="str">
        <f>IF(E804="A",".98",IF(E804="B",".99",IF(E804="C","1.00",IF(E804="D","1.00" ))))</f>
        <v>1.00</v>
      </c>
      <c r="BZ804" s="127">
        <f>(CE804+7)/10</f>
        <v>1</v>
      </c>
      <c r="CA804" s="76" t="str">
        <f>IF(D804="Fern",".97",IF(D804="Grass",".99",IF(D804="Herb",".97",IF(D804="Shrub",".99",IF(D804="Tree","1.00",IF(D804="Vine",".98"))))))</f>
        <v>.97</v>
      </c>
      <c r="CB804" s="149" t="str">
        <f>IF(R804="Bogs Ponds Streams",".96", IF(R804="Coastal Areas",".97",IF(R804="Meadows Dry Open",".96",IF(R804="Forest &amp; Understory",".97",IF(R804="Moist Open",".98",IF(R804="Moist Shady",".96",IF(R804="Sub-Alpine","1.0")))))))</f>
        <v>.98</v>
      </c>
      <c r="CC804" s="76" t="str">
        <f>IF(S804="Local Endemic",".50",IF(S804="Regional Endemic",".70",IF(S804="Cascadia",".90",IF(S804="Rocky Mountain",".95",IF(S804="North America",".99")))))</f>
        <v>.99</v>
      </c>
      <c r="CD804" s="4"/>
      <c r="CE804" s="21">
        <f>IF(W804&gt;3,3,W804)</f>
        <v>3</v>
      </c>
      <c r="CF804" s="21">
        <f>IF(AC804&gt;102,102,AC804)</f>
        <v>19.100000000000001</v>
      </c>
      <c r="CG804" s="34">
        <f ca="1">IF(AI804&lt;$AW$4,$AW$4,AI804)</f>
        <v>2019</v>
      </c>
      <c r="CH804" s="34">
        <f ca="1">IF(AJ804&lt;$AW$4,$AW$4,AJ804)</f>
        <v>2019</v>
      </c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13"/>
    </row>
    <row r="805" spans="1:115" ht="15" customHeight="1" x14ac:dyDescent="0.3">
      <c r="A805" s="235"/>
      <c r="B805" s="218"/>
      <c r="C805" s="225">
        <v>8</v>
      </c>
      <c r="D805" s="59" t="s">
        <v>2505</v>
      </c>
      <c r="E805" s="59" t="s">
        <v>2501</v>
      </c>
      <c r="F805" s="397" t="str">
        <f ca="1">IF(BC805&lt;2025, "Extinct&lt; 6Yrs?",BA805)</f>
        <v>Widespread</v>
      </c>
      <c r="G805" s="363" t="s">
        <v>525</v>
      </c>
      <c r="H805" s="363" t="s">
        <v>679</v>
      </c>
      <c r="I805" s="364" t="s">
        <v>1186</v>
      </c>
      <c r="J805" s="365" t="s">
        <v>3918</v>
      </c>
      <c r="K805" s="365" t="s">
        <v>1231</v>
      </c>
      <c r="L805" s="17" t="s">
        <v>2294</v>
      </c>
      <c r="M805" s="8" t="s">
        <v>4876</v>
      </c>
      <c r="N805" s="8" t="s">
        <v>5773</v>
      </c>
      <c r="O805" s="8" t="s">
        <v>6672</v>
      </c>
      <c r="P805" s="398" t="s">
        <v>51</v>
      </c>
      <c r="Q805" s="59" t="s">
        <v>2552</v>
      </c>
      <c r="R805" s="9" t="s">
        <v>2500</v>
      </c>
      <c r="S805" s="17" t="s">
        <v>2495</v>
      </c>
      <c r="T805" s="123" t="str">
        <f>IF(R805="Bogs Ponds Streams","20",IF(R805="Coastal Areas","26",IF(R805="Meadows Dry Open","10",IF(R805="Forest &amp; Understory","14",IF(R805="Moist Open","12",IF(R805="Moist Shady","10",IF(R805="Sub-Alpine Slopes","0")))))))</f>
        <v>10</v>
      </c>
      <c r="U805" s="123" t="str">
        <f>IF(R805="Bogs Ponds Streams","52",IF(R805="Coastal Areas","51",IF(R805="Meadows Dry Open","53",IF(R805="Forest &amp; Understory","52",IF(R805="Moist Open","50",IF(R805="Moist Shady","46",IF(R805="Sub-Alpine Slopes","40")))))))</f>
        <v>53</v>
      </c>
      <c r="V805" s="123" t="str">
        <f>IF(R805="Bogs Ponds Streams","84",IF(R805="Coastal Areas","76",IF(R805="Meadows Dry Open","96", IF(R805="Forest &amp; Understory","90", IF(R805="Moist Open","88", IF(R805="Moist Shady","82", IF(R805="Sub-Alpine Slopes","80")))))))</f>
        <v>96</v>
      </c>
      <c r="W805" s="59">
        <v>20</v>
      </c>
      <c r="X805" s="59">
        <v>0</v>
      </c>
      <c r="Y805" s="59">
        <v>3500</v>
      </c>
      <c r="Z805" s="59" t="s">
        <v>2519</v>
      </c>
      <c r="AA805" s="59" t="s">
        <v>2518</v>
      </c>
      <c r="AB805" s="59">
        <v>6.8</v>
      </c>
      <c r="AC805" s="45">
        <f>C805+AK805+(0.1)*AL805</f>
        <v>54.2</v>
      </c>
      <c r="AD805" s="77">
        <v>44</v>
      </c>
      <c r="AE805" s="59">
        <v>5</v>
      </c>
      <c r="AF805" s="59">
        <v>5</v>
      </c>
      <c r="AG805" s="59">
        <v>1900</v>
      </c>
      <c r="AH805" s="77">
        <v>0</v>
      </c>
      <c r="AI805" s="59">
        <f ca="1">AJ805</f>
        <v>2019</v>
      </c>
      <c r="AJ805" s="18">
        <f ca="1">YEAR(TODAY())</f>
        <v>2019</v>
      </c>
      <c r="AK805" s="18">
        <v>44</v>
      </c>
      <c r="AL805" s="18">
        <v>22</v>
      </c>
      <c r="AM805" s="18">
        <v>1</v>
      </c>
      <c r="AN805" s="18">
        <v>1</v>
      </c>
      <c r="AO805" s="18">
        <v>5</v>
      </c>
      <c r="AP805" s="18">
        <v>1</v>
      </c>
      <c r="AQ805" s="18">
        <v>0</v>
      </c>
      <c r="AR805" s="18">
        <v>0</v>
      </c>
      <c r="AS805" s="18">
        <v>0</v>
      </c>
      <c r="AT805" s="18">
        <v>0</v>
      </c>
      <c r="AU805" s="18">
        <v>0</v>
      </c>
      <c r="AV805" s="18">
        <v>0</v>
      </c>
      <c r="AW805" s="18">
        <v>0</v>
      </c>
      <c r="AX805" s="18">
        <v>0</v>
      </c>
      <c r="AY805" s="233"/>
      <c r="AZ805" s="4"/>
      <c r="BA805" s="35" t="str">
        <f>IF(OR(S805="North America",S805="Rocky Mountain"), "Widespread",BC805)</f>
        <v>Widespread</v>
      </c>
      <c r="BB805" s="4"/>
      <c r="BC805" s="35" t="str">
        <f ca="1">IF(BE805&gt;2046, "Abundant",BE805)</f>
        <v>Abundant</v>
      </c>
      <c r="BD805" s="4"/>
      <c r="BE805" s="81">
        <f ca="1">YEAR($C$13)+(BG805*80)</f>
        <v>2112.6842039215685</v>
      </c>
      <c r="BF805" s="4"/>
      <c r="BG805" s="137">
        <f ca="1">BH805*$BH$14</f>
        <v>1.1710525490196078</v>
      </c>
      <c r="BH805" s="137">
        <f ca="1">(((BJ805+BK805+BM805+BN805)/4)*$BM$11)+(((BP805+BQ805)/2)*$BQ$11)+(((BU805+BV805+BW805)/3)*$BU$11)+(((BY805+BZ805+CA805+CB805+CC805)/5)*$CA$11)</f>
        <v>1.1710525490196078</v>
      </c>
      <c r="BI805" s="4"/>
      <c r="BJ805" s="33">
        <f>AP805/(AM805+AO805)</f>
        <v>0.16666666666666666</v>
      </c>
      <c r="BK805" s="33">
        <f>(AN805+AO805)/(AM805+AO805)</f>
        <v>1</v>
      </c>
      <c r="BL805" s="4"/>
      <c r="BM805" s="127">
        <f>CF805/102</f>
        <v>0.53137254901960784</v>
      </c>
      <c r="BN805" s="127">
        <f>C805/2</f>
        <v>4</v>
      </c>
      <c r="BO805" s="4"/>
      <c r="BP805" s="127">
        <f>(AK805)/($AW$6)</f>
        <v>0.44444444444444442</v>
      </c>
      <c r="BQ805" s="127">
        <f ca="1">(CH805-$AW$4)/((YEAR($C$13))-$AW$4)</f>
        <v>1</v>
      </c>
      <c r="BR805" s="127">
        <f>(AL805)/($AW$6)</f>
        <v>0.22222222222222221</v>
      </c>
      <c r="BS805" s="4"/>
      <c r="BT805" s="127"/>
      <c r="BU805" s="127">
        <f ca="1">(CG805-$AW$4)/((YEAR($C$13))-$AW$4)</f>
        <v>1</v>
      </c>
      <c r="BV805" s="127">
        <f>AE805/5</f>
        <v>1</v>
      </c>
      <c r="BW805" s="127">
        <f>AF805/5</f>
        <v>1</v>
      </c>
      <c r="BX805" s="4"/>
      <c r="BY805" s="148" t="str">
        <f>IF(E805="A",".98",IF(E805="B",".99",IF(E805="C","1.00",IF(E805="D","1.00" ))))</f>
        <v>1.00</v>
      </c>
      <c r="BZ805" s="127">
        <f>(CE805+7)/10</f>
        <v>1</v>
      </c>
      <c r="CA805" s="76" t="str">
        <f>IF(D805="Fern",".97",IF(D805="Grass",".99",IF(D805="Herb",".97",IF(D805="Shrub",".99",IF(D805="Tree","1.00",IF(D805="Vine",".98"))))))</f>
        <v>.97</v>
      </c>
      <c r="CB805" s="149" t="str">
        <f>IF(R805="Bogs Ponds Streams",".96", IF(R805="Coastal Areas",".97",IF(R805="Meadows Dry Open",".96",IF(R805="Forest &amp; Understory",".97",IF(R805="Moist Open",".98",IF(R805="Moist Shady",".96",IF(R805="Sub-Alpine","1.0")))))))</f>
        <v>.96</v>
      </c>
      <c r="CC805" s="76" t="str">
        <f>IF(S805="Local Endemic",".50",IF(S805="Regional Endemic",".70",IF(S805="Cascadia",".90",IF(S805="Rocky Mountain",".95",IF(S805="North America",".99")))))</f>
        <v>.99</v>
      </c>
      <c r="CD805" s="4"/>
      <c r="CE805" s="21">
        <f>IF(W805&gt;3,3,W805)</f>
        <v>3</v>
      </c>
      <c r="CF805" s="21">
        <f>IF(AC805&gt;102,102,AC805)</f>
        <v>54.2</v>
      </c>
      <c r="CG805" s="34">
        <f ca="1">IF(AI805&lt;$AW$4,$AW$4,AI805)</f>
        <v>2019</v>
      </c>
      <c r="CH805" s="34">
        <f ca="1">IF(AJ805&lt;$AW$4,$AW$4,AJ805)</f>
        <v>2019</v>
      </c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13"/>
    </row>
    <row r="806" spans="1:115" ht="15" customHeight="1" x14ac:dyDescent="0.3">
      <c r="A806" s="235"/>
      <c r="B806" s="218"/>
      <c r="C806" s="225">
        <v>8</v>
      </c>
      <c r="D806" s="59" t="s">
        <v>2505</v>
      </c>
      <c r="E806" s="59" t="s">
        <v>2501</v>
      </c>
      <c r="F806" s="397" t="str">
        <f ca="1">IF(BC806&lt;2025, "Extinct&lt; 6Yrs?",BA806)</f>
        <v>Widespread</v>
      </c>
      <c r="G806" s="363" t="s">
        <v>525</v>
      </c>
      <c r="H806" s="363" t="s">
        <v>679</v>
      </c>
      <c r="I806" s="366" t="s">
        <v>107</v>
      </c>
      <c r="J806" s="365" t="s">
        <v>3917</v>
      </c>
      <c r="K806" s="365" t="s">
        <v>829</v>
      </c>
      <c r="L806" s="10" t="s">
        <v>2293</v>
      </c>
      <c r="M806" s="8" t="s">
        <v>4877</v>
      </c>
      <c r="N806" s="8" t="s">
        <v>5774</v>
      </c>
      <c r="O806" s="8" t="s">
        <v>6673</v>
      </c>
      <c r="P806" s="9" t="s">
        <v>51</v>
      </c>
      <c r="Q806" s="59" t="s">
        <v>2552</v>
      </c>
      <c r="R806" s="9" t="s">
        <v>2500</v>
      </c>
      <c r="S806" s="9" t="s">
        <v>2495</v>
      </c>
      <c r="T806" s="123" t="str">
        <f>IF(R806="Bogs Ponds Streams","20",IF(R806="Coastal Areas","26",IF(R806="Meadows Dry Open","10",IF(R806="Forest &amp; Understory","14",IF(R806="Moist Open","12",IF(R806="Moist Shady","10",IF(R806="Sub-Alpine Slopes","0")))))))</f>
        <v>10</v>
      </c>
      <c r="U806" s="123" t="str">
        <f>IF(R806="Bogs Ponds Streams","52",IF(R806="Coastal Areas","51",IF(R806="Meadows Dry Open","53",IF(R806="Forest &amp; Understory","52",IF(R806="Moist Open","50",IF(R806="Moist Shady","46",IF(R806="Sub-Alpine Slopes","40")))))))</f>
        <v>53</v>
      </c>
      <c r="V806" s="123" t="str">
        <f>IF(R806="Bogs Ponds Streams","84",IF(R806="Coastal Areas","76",IF(R806="Meadows Dry Open","96", IF(R806="Forest &amp; Understory","90", IF(R806="Moist Open","88", IF(R806="Moist Shady","82", IF(R806="Sub-Alpine Slopes","80")))))))</f>
        <v>96</v>
      </c>
      <c r="W806" s="59">
        <v>20</v>
      </c>
      <c r="X806" s="59">
        <v>0</v>
      </c>
      <c r="Y806" s="59">
        <v>3500</v>
      </c>
      <c r="Z806" s="59" t="s">
        <v>2519</v>
      </c>
      <c r="AA806" s="59" t="s">
        <v>2518</v>
      </c>
      <c r="AB806" s="59">
        <v>6.8</v>
      </c>
      <c r="AC806" s="45">
        <f>C806+AK806+(0.1)*AL806</f>
        <v>20.100000000000001</v>
      </c>
      <c r="AD806" s="77">
        <v>23</v>
      </c>
      <c r="AE806" s="59">
        <v>5</v>
      </c>
      <c r="AF806" s="59">
        <v>5</v>
      </c>
      <c r="AG806" s="59">
        <v>1900</v>
      </c>
      <c r="AH806" s="77">
        <v>0</v>
      </c>
      <c r="AI806" s="59">
        <f ca="1">AJ806</f>
        <v>2019</v>
      </c>
      <c r="AJ806" s="18">
        <f ca="1">YEAR(TODAY())</f>
        <v>2019</v>
      </c>
      <c r="AK806" s="18">
        <v>12</v>
      </c>
      <c r="AL806" s="18">
        <v>1</v>
      </c>
      <c r="AM806" s="18">
        <v>1</v>
      </c>
      <c r="AN806" s="18">
        <v>1</v>
      </c>
      <c r="AO806" s="18">
        <v>5</v>
      </c>
      <c r="AP806" s="18">
        <v>1</v>
      </c>
      <c r="AQ806" s="18">
        <v>0</v>
      </c>
      <c r="AR806" s="18">
        <v>0</v>
      </c>
      <c r="AS806" s="18">
        <v>0</v>
      </c>
      <c r="AT806" s="18">
        <v>0</v>
      </c>
      <c r="AU806" s="18">
        <v>0</v>
      </c>
      <c r="AV806" s="18">
        <v>0</v>
      </c>
      <c r="AW806" s="18">
        <v>0</v>
      </c>
      <c r="AX806" s="18">
        <v>0</v>
      </c>
      <c r="AY806" s="233"/>
      <c r="AZ806" s="4"/>
      <c r="BA806" s="35" t="str">
        <f>IF(OR(S806="North America",S806="Rocky Mountain"), "Widespread",BC806)</f>
        <v>Widespread</v>
      </c>
      <c r="BB806" s="4"/>
      <c r="BC806" s="35" t="str">
        <f ca="1">IF(BE806&gt;2046, "Abundant",BE806)</f>
        <v>Abundant</v>
      </c>
      <c r="BD806" s="4"/>
      <c r="BE806" s="81">
        <f ca="1">YEAR($C$13)+(BG806*80)</f>
        <v>2104.7936513368986</v>
      </c>
      <c r="BF806" s="4"/>
      <c r="BG806" s="137">
        <f ca="1">BH806*$BH$14</f>
        <v>1.0724206417112299</v>
      </c>
      <c r="BH806" s="137">
        <f ca="1">(((BJ806+BK806+BM806+BN806)/4)*$BM$11)+(((BP806+BQ806)/2)*$BQ$11)+(((BU806+BV806+BW806)/3)*$BU$11)+(((BY806+BZ806+CA806+CB806+CC806)/5)*$CA$11)</f>
        <v>1.0724206417112299</v>
      </c>
      <c r="BI806" s="4"/>
      <c r="BJ806" s="33">
        <f>AP806/(AM806+AO806)</f>
        <v>0.16666666666666666</v>
      </c>
      <c r="BK806" s="33">
        <f>(AN806+AO806)/(AM806+AO806)</f>
        <v>1</v>
      </c>
      <c r="BL806" s="4"/>
      <c r="BM806" s="127">
        <f>CF806/102</f>
        <v>0.19705882352941179</v>
      </c>
      <c r="BN806" s="127">
        <f>C806/2</f>
        <v>4</v>
      </c>
      <c r="BO806" s="4"/>
      <c r="BP806" s="127">
        <f>(AK806)/($AW$6)</f>
        <v>0.12121212121212122</v>
      </c>
      <c r="BQ806" s="127">
        <f ca="1">(CH806-$AW$4)/((YEAR($C$13))-$AW$4)</f>
        <v>1</v>
      </c>
      <c r="BR806" s="127">
        <f>(AL806)/($AW$6)</f>
        <v>1.0101010101010102E-2</v>
      </c>
      <c r="BS806" s="4"/>
      <c r="BT806" s="127"/>
      <c r="BU806" s="127">
        <f ca="1">(CG806-$AW$4)/((YEAR($C$13))-$AW$4)</f>
        <v>1</v>
      </c>
      <c r="BV806" s="127">
        <f>AE806/5</f>
        <v>1</v>
      </c>
      <c r="BW806" s="127">
        <f>AF806/5</f>
        <v>1</v>
      </c>
      <c r="BX806" s="4"/>
      <c r="BY806" s="148" t="str">
        <f>IF(E806="A",".98",IF(E806="B",".99",IF(E806="C","1.00",IF(E806="D","1.00" ))))</f>
        <v>1.00</v>
      </c>
      <c r="BZ806" s="127">
        <f>(CE806+7)/10</f>
        <v>1</v>
      </c>
      <c r="CA806" s="76" t="str">
        <f>IF(D806="Fern",".97",IF(D806="Grass",".99",IF(D806="Herb",".97",IF(D806="Shrub",".99",IF(D806="Tree","1.00",IF(D806="Vine",".98"))))))</f>
        <v>.97</v>
      </c>
      <c r="CB806" s="149" t="str">
        <f>IF(R806="Bogs Ponds Streams",".96", IF(R806="Coastal Areas",".97",IF(R806="Meadows Dry Open",".96",IF(R806="Forest &amp; Understory",".97",IF(R806="Moist Open",".98",IF(R806="Moist Shady",".96",IF(R806="Sub-Alpine","1.0")))))))</f>
        <v>.96</v>
      </c>
      <c r="CC806" s="76" t="str">
        <f>IF(S806="Local Endemic",".50",IF(S806="Regional Endemic",".70",IF(S806="Cascadia",".90",IF(S806="Rocky Mountain",".95",IF(S806="North America",".99")))))</f>
        <v>.99</v>
      </c>
      <c r="CD806" s="4"/>
      <c r="CE806" s="21">
        <f>IF(W806&gt;3,3,W806)</f>
        <v>3</v>
      </c>
      <c r="CF806" s="21">
        <f>IF(AC806&gt;102,102,AC806)</f>
        <v>20.100000000000001</v>
      </c>
      <c r="CG806" s="34">
        <f ca="1">IF(AI806&lt;$AW$4,$AW$4,AI806)</f>
        <v>2019</v>
      </c>
      <c r="CH806" s="34">
        <f ca="1">IF(AJ806&lt;$AW$4,$AW$4,AJ806)</f>
        <v>2019</v>
      </c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13"/>
    </row>
    <row r="807" spans="1:115" ht="15" customHeight="1" x14ac:dyDescent="0.3">
      <c r="A807" s="235"/>
      <c r="B807" s="218"/>
      <c r="C807" s="225">
        <v>8</v>
      </c>
      <c r="D807" s="59" t="s">
        <v>2506</v>
      </c>
      <c r="E807" s="60" t="s">
        <v>2501</v>
      </c>
      <c r="F807" s="397" t="str">
        <f ca="1">IF(BC807&lt;2025, "Extinct&lt; 6Yrs?",BA807)</f>
        <v>Abundant</v>
      </c>
      <c r="G807" s="363" t="s">
        <v>525</v>
      </c>
      <c r="H807" s="363" t="s">
        <v>683</v>
      </c>
      <c r="I807" s="366" t="s">
        <v>726</v>
      </c>
      <c r="J807" s="365" t="s">
        <v>3916</v>
      </c>
      <c r="K807" s="365" t="s">
        <v>719</v>
      </c>
      <c r="L807" s="17" t="s">
        <v>2295</v>
      </c>
      <c r="M807" s="8" t="s">
        <v>4878</v>
      </c>
      <c r="N807" s="8" t="s">
        <v>5775</v>
      </c>
      <c r="O807" s="8" t="s">
        <v>6674</v>
      </c>
      <c r="P807" s="9" t="s">
        <v>303</v>
      </c>
      <c r="Q807" s="59" t="s">
        <v>2552</v>
      </c>
      <c r="R807" s="9" t="s">
        <v>2500</v>
      </c>
      <c r="S807" s="9" t="s">
        <v>2459</v>
      </c>
      <c r="T807" s="123" t="str">
        <f>IF(R807="Bogs Ponds Streams","20",IF(R807="Coastal Areas","26",IF(R807="Meadows Dry Open","10",IF(R807="Forest &amp; Understory","14",IF(R807="Moist Open","12",IF(R807="Moist Shady","10",IF(R807="Sub-Alpine Slopes","0")))))))</f>
        <v>10</v>
      </c>
      <c r="U807" s="123" t="str">
        <f>IF(R807="Bogs Ponds Streams","52",IF(R807="Coastal Areas","51",IF(R807="Meadows Dry Open","53",IF(R807="Forest &amp; Understory","52",IF(R807="Moist Open","50",IF(R807="Moist Shady","46",IF(R807="Sub-Alpine Slopes","40")))))))</f>
        <v>53</v>
      </c>
      <c r="V807" s="123" t="str">
        <f>IF(R807="Bogs Ponds Streams","84",IF(R807="Coastal Areas","76",IF(R807="Meadows Dry Open","96", IF(R807="Forest &amp; Understory","90", IF(R807="Moist Open","88", IF(R807="Moist Shady","82", IF(R807="Sub-Alpine Slopes","80")))))))</f>
        <v>96</v>
      </c>
      <c r="W807" s="59">
        <v>20</v>
      </c>
      <c r="X807" s="59">
        <v>0</v>
      </c>
      <c r="Y807" s="59">
        <v>3500</v>
      </c>
      <c r="Z807" s="59" t="s">
        <v>2519</v>
      </c>
      <c r="AA807" s="59" t="s">
        <v>2518</v>
      </c>
      <c r="AB807" s="59">
        <v>6.8</v>
      </c>
      <c r="AC807" s="45">
        <f>C807+AK807+(0.1)*AL807</f>
        <v>13.2</v>
      </c>
      <c r="AD807" s="77">
        <v>156</v>
      </c>
      <c r="AE807" s="59">
        <v>5</v>
      </c>
      <c r="AF807" s="59">
        <v>5</v>
      </c>
      <c r="AG807" s="59">
        <v>1900</v>
      </c>
      <c r="AH807" s="77">
        <v>0</v>
      </c>
      <c r="AI807" s="59">
        <f ca="1">AJ807</f>
        <v>2019</v>
      </c>
      <c r="AJ807" s="18">
        <f ca="1">YEAR(TODAY())</f>
        <v>2019</v>
      </c>
      <c r="AK807" s="18">
        <v>3</v>
      </c>
      <c r="AL807" s="18">
        <v>22</v>
      </c>
      <c r="AM807" s="18">
        <v>1</v>
      </c>
      <c r="AN807" s="18">
        <v>1</v>
      </c>
      <c r="AO807" s="18">
        <v>5</v>
      </c>
      <c r="AP807" s="18">
        <v>1</v>
      </c>
      <c r="AQ807" s="18">
        <v>0</v>
      </c>
      <c r="AR807" s="18">
        <v>0</v>
      </c>
      <c r="AS807" s="18">
        <v>0</v>
      </c>
      <c r="AT807" s="18">
        <v>0</v>
      </c>
      <c r="AU807" s="18">
        <v>0</v>
      </c>
      <c r="AV807" s="18">
        <v>0</v>
      </c>
      <c r="AW807" s="18">
        <v>0</v>
      </c>
      <c r="AX807" s="18">
        <v>0</v>
      </c>
      <c r="AY807" s="233"/>
      <c r="AZ807" s="4"/>
      <c r="BA807" s="35" t="str">
        <f ca="1">IF(OR(S807="North America",S807="Rocky Mountain"), "Widespread",BC807)</f>
        <v>Abundant</v>
      </c>
      <c r="BB807" s="4"/>
      <c r="BC807" s="35" t="str">
        <f ca="1">IF(BE807&gt;2046, "Abundant",BE807)</f>
        <v>Abundant</v>
      </c>
      <c r="BD807" s="4"/>
      <c r="BE807" s="81">
        <f ca="1">YEAR($C$13)+(BG807*80)</f>
        <v>2102.8685775401068</v>
      </c>
      <c r="BF807" s="4"/>
      <c r="BG807" s="137">
        <f ca="1">BH807*$BH$14</f>
        <v>1.0483572192513368</v>
      </c>
      <c r="BH807" s="137">
        <f ca="1">(((BJ807+BK807+BM807+BN807)/4)*$BM$11)+(((BP807+BQ807)/2)*$BQ$11)+(((BU807+BV807+BW807)/3)*$BU$11)+(((BY807+BZ807+CA807+CB807+CC807)/5)*$CA$11)</f>
        <v>1.0483572192513368</v>
      </c>
      <c r="BI807" s="4"/>
      <c r="BJ807" s="33">
        <f>AP807/(AM807+AO807)</f>
        <v>0.16666666666666666</v>
      </c>
      <c r="BK807" s="33">
        <f>(AN807+AO807)/(AM807+AO807)</f>
        <v>1</v>
      </c>
      <c r="BL807" s="4"/>
      <c r="BM807" s="127">
        <f>CF807/102</f>
        <v>0.12941176470588234</v>
      </c>
      <c r="BN807" s="127">
        <f>C807/2</f>
        <v>4</v>
      </c>
      <c r="BO807" s="4"/>
      <c r="BP807" s="127">
        <f>(AK807)/($AW$6)</f>
        <v>3.0303030303030304E-2</v>
      </c>
      <c r="BQ807" s="127">
        <f ca="1">(CH807-$AW$4)/((YEAR($C$13))-$AW$4)</f>
        <v>1</v>
      </c>
      <c r="BR807" s="127">
        <f>(AL807)/($AW$6)</f>
        <v>0.22222222222222221</v>
      </c>
      <c r="BS807" s="4"/>
      <c r="BT807" s="127"/>
      <c r="BU807" s="127">
        <f ca="1">(CG807-$AW$4)/((YEAR($C$13))-$AW$4)</f>
        <v>1</v>
      </c>
      <c r="BV807" s="127">
        <f>AE807/5</f>
        <v>1</v>
      </c>
      <c r="BW807" s="127">
        <f>AF807/5</f>
        <v>1</v>
      </c>
      <c r="BX807" s="4"/>
      <c r="BY807" s="148" t="str">
        <f>IF(E807="A",".98",IF(E807="B",".99",IF(E807="C","1.00",IF(E807="D","1.00" ))))</f>
        <v>1.00</v>
      </c>
      <c r="BZ807" s="127">
        <f>(CE807+7)/10</f>
        <v>1</v>
      </c>
      <c r="CA807" s="76" t="str">
        <f>IF(D807="Fern",".97",IF(D807="Grass",".99",IF(D807="Herb",".97",IF(D807="Shrub",".99",IF(D807="Tree","1.00",IF(D807="Vine",".98"))))))</f>
        <v>.99</v>
      </c>
      <c r="CB807" s="149" t="str">
        <f>IF(R807="Bogs Ponds Streams",".96", IF(R807="Coastal Areas",".97",IF(R807="Meadows Dry Open",".96",IF(R807="Forest &amp; Understory",".97",IF(R807="Moist Open",".98",IF(R807="Moist Shady",".96",IF(R807="Sub-Alpine","1.0")))))))</f>
        <v>.96</v>
      </c>
      <c r="CC807" s="76" t="str">
        <f>IF(S807="Local Endemic",".50",IF(S807="Regional Endemic",".70",IF(S807="Cascadia",".90",IF(S807="Rocky Mountain",".95",IF(S807="North America",".99")))))</f>
        <v>.90</v>
      </c>
      <c r="CD807" s="4"/>
      <c r="CE807" s="21">
        <f>IF(W807&gt;3,3,W807)</f>
        <v>3</v>
      </c>
      <c r="CF807" s="21">
        <f>IF(AC807&gt;102,102,AC807)</f>
        <v>13.2</v>
      </c>
      <c r="CG807" s="34">
        <f ca="1">IF(AI807&lt;$AW$4,$AW$4,AI807)</f>
        <v>2019</v>
      </c>
      <c r="CH807" s="34">
        <f ca="1">IF(AJ807&lt;$AW$4,$AW$4,AJ807)</f>
        <v>2019</v>
      </c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</row>
    <row r="808" spans="1:115" ht="15" customHeight="1" x14ac:dyDescent="0.3">
      <c r="A808" s="235"/>
      <c r="B808" s="218"/>
      <c r="C808" s="225">
        <v>8</v>
      </c>
      <c r="D808" s="59" t="s">
        <v>2506</v>
      </c>
      <c r="E808" s="60" t="s">
        <v>2501</v>
      </c>
      <c r="F808" s="397" t="str">
        <f ca="1">IF(BC808&lt;2025, "Extinct&lt; 6Yrs?",BA808)</f>
        <v>Abundant</v>
      </c>
      <c r="G808" s="363" t="s">
        <v>525</v>
      </c>
      <c r="H808" s="363" t="s">
        <v>683</v>
      </c>
      <c r="I808" s="366" t="s">
        <v>699</v>
      </c>
      <c r="J808" s="365" t="s">
        <v>3915</v>
      </c>
      <c r="K808" s="365" t="s">
        <v>698</v>
      </c>
      <c r="L808" s="10" t="s">
        <v>4051</v>
      </c>
      <c r="M808" s="8" t="s">
        <v>4879</v>
      </c>
      <c r="N808" s="8" t="s">
        <v>5776</v>
      </c>
      <c r="O808" s="8" t="s">
        <v>6675</v>
      </c>
      <c r="P808" s="9" t="s">
        <v>303</v>
      </c>
      <c r="Q808" s="59" t="s">
        <v>2552</v>
      </c>
      <c r="R808" s="9" t="s">
        <v>2497</v>
      </c>
      <c r="S808" s="9" t="s">
        <v>2309</v>
      </c>
      <c r="T808" s="123" t="str">
        <f>IF(R808="Bogs Ponds Streams","20",IF(R808="Coastal Areas","26",IF(R808="Meadows Dry Open","10",IF(R808="Forest &amp; Understory","14",IF(R808="Moist Open","12",IF(R808="Moist Shady","10",IF(R808="Sub-Alpine Slopes","0")))))))</f>
        <v>12</v>
      </c>
      <c r="U808" s="123" t="str">
        <f>IF(R808="Bogs Ponds Streams","52",IF(R808="Coastal Areas","51",IF(R808="Meadows Dry Open","53",IF(R808="Forest &amp; Understory","52",IF(R808="Moist Open","50",IF(R808="Moist Shady","46",IF(R808="Sub-Alpine Slopes","40")))))))</f>
        <v>50</v>
      </c>
      <c r="V808" s="123" t="str">
        <f>IF(R808="Bogs Ponds Streams","84",IF(R808="Coastal Areas","76",IF(R808="Meadows Dry Open","96", IF(R808="Forest &amp; Understory","90", IF(R808="Moist Open","88", IF(R808="Moist Shady","82", IF(R808="Sub-Alpine Slopes","80")))))))</f>
        <v>88</v>
      </c>
      <c r="W808" s="59">
        <v>20</v>
      </c>
      <c r="X808" s="59">
        <v>0</v>
      </c>
      <c r="Y808" s="59">
        <v>3500</v>
      </c>
      <c r="Z808" s="59" t="s">
        <v>2519</v>
      </c>
      <c r="AA808" s="59" t="s">
        <v>2518</v>
      </c>
      <c r="AB808" s="59">
        <v>6.8</v>
      </c>
      <c r="AC808" s="45">
        <f>C808+AK808+(0.1)*AL808</f>
        <v>53.1</v>
      </c>
      <c r="AD808" s="77">
        <v>147</v>
      </c>
      <c r="AE808" s="59">
        <v>5</v>
      </c>
      <c r="AF808" s="59">
        <v>5</v>
      </c>
      <c r="AG808" s="59">
        <v>1900</v>
      </c>
      <c r="AH808" s="77">
        <v>0</v>
      </c>
      <c r="AI808" s="59">
        <f ca="1">AJ808</f>
        <v>2019</v>
      </c>
      <c r="AJ808" s="18">
        <f ca="1">YEAR(TODAY())</f>
        <v>2019</v>
      </c>
      <c r="AK808" s="18">
        <v>44</v>
      </c>
      <c r="AL808" s="18">
        <v>11</v>
      </c>
      <c r="AM808" s="18">
        <v>1</v>
      </c>
      <c r="AN808" s="18">
        <v>1</v>
      </c>
      <c r="AO808" s="18">
        <v>5</v>
      </c>
      <c r="AP808" s="18">
        <v>1</v>
      </c>
      <c r="AQ808" s="18">
        <v>0</v>
      </c>
      <c r="AR808" s="18">
        <v>0</v>
      </c>
      <c r="AS808" s="18">
        <v>0</v>
      </c>
      <c r="AT808" s="18">
        <v>0</v>
      </c>
      <c r="AU808" s="18">
        <v>0</v>
      </c>
      <c r="AV808" s="18">
        <v>0</v>
      </c>
      <c r="AW808" s="18">
        <v>0</v>
      </c>
      <c r="AX808" s="18">
        <v>0</v>
      </c>
      <c r="AY808" s="233"/>
      <c r="AZ808" s="4"/>
      <c r="BA808" s="35" t="str">
        <f ca="1">IF(OR(S808="North America",S808="Rocky Mountain"), "Widespread",BC808)</f>
        <v>Abundant</v>
      </c>
      <c r="BB808" s="4"/>
      <c r="BC808" s="35" t="str">
        <f ca="1">IF(BE808&gt;2046, "Abundant",BE808)</f>
        <v>Abundant</v>
      </c>
      <c r="BD808" s="4"/>
      <c r="BE808" s="81">
        <f ca="1">YEAR($C$13)+(BG808*80)</f>
        <v>2112.4747921568628</v>
      </c>
      <c r="BF808" s="4"/>
      <c r="BG808" s="137">
        <f ca="1">BH808*$BH$14</f>
        <v>1.1684349019607845</v>
      </c>
      <c r="BH808" s="137">
        <f ca="1">(((BJ808+BK808+BM808+BN808)/4)*$BM$11)+(((BP808+BQ808)/2)*$BQ$11)+(((BU808+BV808+BW808)/3)*$BU$11)+(((BY808+BZ808+CA808+CB808+CC808)/5)*$CA$11)</f>
        <v>1.1684349019607845</v>
      </c>
      <c r="BI808" s="4"/>
      <c r="BJ808" s="33">
        <f>AP808/(AM808+AO808)</f>
        <v>0.16666666666666666</v>
      </c>
      <c r="BK808" s="33">
        <f>(AN808+AO808)/(AM808+AO808)</f>
        <v>1</v>
      </c>
      <c r="BL808" s="4"/>
      <c r="BM808" s="127">
        <f>CF808/102</f>
        <v>0.52058823529411768</v>
      </c>
      <c r="BN808" s="127">
        <f>C808/2</f>
        <v>4</v>
      </c>
      <c r="BO808" s="4"/>
      <c r="BP808" s="127">
        <f>(AK808)/($AW$6)</f>
        <v>0.44444444444444442</v>
      </c>
      <c r="BQ808" s="127">
        <f ca="1">(CH808-$AW$4)/((YEAR($C$13))-$AW$4)</f>
        <v>1</v>
      </c>
      <c r="BR808" s="127">
        <f>(AL808)/($AW$6)</f>
        <v>0.1111111111111111</v>
      </c>
      <c r="BS808" s="4"/>
      <c r="BT808" s="127"/>
      <c r="BU808" s="127">
        <f ca="1">(CG808-$AW$4)/((YEAR($C$13))-$AW$4)</f>
        <v>1</v>
      </c>
      <c r="BV808" s="127">
        <f>AE808/5</f>
        <v>1</v>
      </c>
      <c r="BW808" s="127">
        <f>AF808/5</f>
        <v>1</v>
      </c>
      <c r="BX808" s="4"/>
      <c r="BY808" s="148" t="str">
        <f>IF(E808="A",".98",IF(E808="B",".99",IF(E808="C","1.00",IF(E808="D","1.00" ))))</f>
        <v>1.00</v>
      </c>
      <c r="BZ808" s="127">
        <f>(CE808+7)/10</f>
        <v>1</v>
      </c>
      <c r="CA808" s="76" t="str">
        <f>IF(D808="Fern",".97",IF(D808="Grass",".99",IF(D808="Herb",".97",IF(D808="Shrub",".99",IF(D808="Tree","1.00",IF(D808="Vine",".98"))))))</f>
        <v>.99</v>
      </c>
      <c r="CB808" s="149" t="str">
        <f>IF(R808="Bogs Ponds Streams",".96", IF(R808="Coastal Areas",".97",IF(R808="Meadows Dry Open",".96",IF(R808="Forest &amp; Understory",".97",IF(R808="Moist Open",".98",IF(R808="Moist Shady",".96",IF(R808="Sub-Alpine","1.0")))))))</f>
        <v>.98</v>
      </c>
      <c r="CC808" s="76" t="str">
        <f>IF(S808="Local Endemic",".50",IF(S808="Regional Endemic",".70",IF(S808="Cascadia",".90",IF(S808="Rocky Mountain",".95",IF(S808="North America",".99")))))</f>
        <v>.70</v>
      </c>
      <c r="CD808" s="4"/>
      <c r="CE808" s="21">
        <f>IF(W808&gt;3,3,W808)</f>
        <v>3</v>
      </c>
      <c r="CF808" s="21">
        <f>IF(AC808&gt;102,102,AC808)</f>
        <v>53.1</v>
      </c>
      <c r="CG808" s="34">
        <f ca="1">IF(AI808&lt;$AW$4,$AW$4,AI808)</f>
        <v>2019</v>
      </c>
      <c r="CH808" s="34">
        <f ca="1">IF(AJ808&lt;$AW$4,$AW$4,AJ808)</f>
        <v>2019</v>
      </c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</row>
    <row r="809" spans="1:115" ht="15" customHeight="1" x14ac:dyDescent="0.3">
      <c r="A809" s="235"/>
      <c r="B809" s="218"/>
      <c r="C809" s="225">
        <v>8</v>
      </c>
      <c r="D809" s="94" t="s">
        <v>1155</v>
      </c>
      <c r="E809" s="59" t="s">
        <v>2501</v>
      </c>
      <c r="F809" s="397" t="str">
        <f ca="1">IF(BC809&lt;2025, "Extinct&lt; 6Yrs?",BA809)</f>
        <v>Widespread</v>
      </c>
      <c r="G809" s="363" t="s">
        <v>525</v>
      </c>
      <c r="H809" s="363" t="s">
        <v>687</v>
      </c>
      <c r="I809" s="366" t="s">
        <v>247</v>
      </c>
      <c r="J809" s="365" t="s">
        <v>3914</v>
      </c>
      <c r="K809" s="365" t="s">
        <v>830</v>
      </c>
      <c r="L809" s="10" t="s">
        <v>4052</v>
      </c>
      <c r="M809" s="8" t="s">
        <v>4880</v>
      </c>
      <c r="N809" s="8" t="s">
        <v>5777</v>
      </c>
      <c r="O809" s="8" t="s">
        <v>6676</v>
      </c>
      <c r="P809" s="9" t="s">
        <v>248</v>
      </c>
      <c r="Q809" s="59" t="s">
        <v>2552</v>
      </c>
      <c r="R809" s="9" t="s">
        <v>2499</v>
      </c>
      <c r="S809" s="9" t="s">
        <v>2495</v>
      </c>
      <c r="T809" s="123" t="str">
        <f>IF(R809="Bogs Ponds Streams","20",IF(R809="Coastal Areas","26",IF(R809="Meadows Dry Open","10",IF(R809="Forest &amp; Understory","14",IF(R809="Moist Open","12",IF(R809="Moist Shady","10",IF(R809="Sub-Alpine Slopes","0")))))))</f>
        <v>20</v>
      </c>
      <c r="U809" s="123" t="str">
        <f>IF(R809="Bogs Ponds Streams","52",IF(R809="Coastal Areas","51",IF(R809="Meadows Dry Open","53",IF(R809="Forest &amp; Understory","52",IF(R809="Moist Open","50",IF(R809="Moist Shady","46",IF(R809="Sub-Alpine Slopes","40")))))))</f>
        <v>52</v>
      </c>
      <c r="V809" s="123" t="str">
        <f>IF(R809="Bogs Ponds Streams","84",IF(R809="Coastal Areas","76",IF(R809="Meadows Dry Open","96", IF(R809="Forest &amp; Understory","90", IF(R809="Moist Open","88", IF(R809="Moist Shady","82", IF(R809="Sub-Alpine Slopes","80")))))))</f>
        <v>84</v>
      </c>
      <c r="W809" s="59">
        <v>20</v>
      </c>
      <c r="X809" s="59">
        <v>0</v>
      </c>
      <c r="Y809" s="59">
        <v>3500</v>
      </c>
      <c r="Z809" s="59" t="s">
        <v>2519</v>
      </c>
      <c r="AA809" s="59" t="s">
        <v>2518</v>
      </c>
      <c r="AB809" s="59">
        <v>6.8</v>
      </c>
      <c r="AC809" s="45">
        <f>C809+AK809+(0.1)*AL809</f>
        <v>42.1</v>
      </c>
      <c r="AD809" s="77">
        <v>113</v>
      </c>
      <c r="AE809" s="59">
        <v>5</v>
      </c>
      <c r="AF809" s="59">
        <v>5</v>
      </c>
      <c r="AG809" s="59">
        <v>1900</v>
      </c>
      <c r="AH809" s="77">
        <v>0</v>
      </c>
      <c r="AI809" s="59">
        <f>AJ809</f>
        <v>2004</v>
      </c>
      <c r="AJ809" s="18">
        <v>2004</v>
      </c>
      <c r="AK809" s="18">
        <v>33</v>
      </c>
      <c r="AL809" s="18">
        <v>11</v>
      </c>
      <c r="AM809" s="18">
        <v>1</v>
      </c>
      <c r="AN809" s="18">
        <v>1</v>
      </c>
      <c r="AO809" s="18">
        <v>0</v>
      </c>
      <c r="AP809" s="18">
        <v>0</v>
      </c>
      <c r="AQ809" s="18">
        <v>0</v>
      </c>
      <c r="AR809" s="18">
        <v>0</v>
      </c>
      <c r="AS809" s="18">
        <v>0</v>
      </c>
      <c r="AT809" s="18">
        <v>0</v>
      </c>
      <c r="AU809" s="18">
        <v>0</v>
      </c>
      <c r="AV809" s="18">
        <v>0</v>
      </c>
      <c r="AW809" s="18">
        <v>0</v>
      </c>
      <c r="AX809" s="18">
        <v>0</v>
      </c>
      <c r="AY809" s="233"/>
      <c r="AZ809" s="4"/>
      <c r="BA809" s="35" t="str">
        <f>IF(OR(S809="North America",S809="Rocky Mountain"), "Widespread",BC809)</f>
        <v>Widespread</v>
      </c>
      <c r="BB809" s="4"/>
      <c r="BC809" s="35" t="str">
        <f ca="1">IF(BE809&gt;2046, "Abundant",BE809)</f>
        <v>Abundant</v>
      </c>
      <c r="BD809" s="4"/>
      <c r="BE809" s="81">
        <f ca="1">YEAR($C$13)+(BG809*80)</f>
        <v>2093.8004078431372</v>
      </c>
      <c r="BF809" s="4"/>
      <c r="BG809" s="137">
        <f ca="1">BH809*$BH$14</f>
        <v>0.93500509803921572</v>
      </c>
      <c r="BH809" s="137">
        <f ca="1">(((BJ809+BK809+BM809+BN809)/4)*$BM$11)+(((BP809+BQ809)/2)*$BQ$11)+(((BU809+BV809+BW809)/3)*$BU$11)+(((BY809+BZ809+CA809+CB809+CC809)/5)*$CA$11)</f>
        <v>0.93500509803921572</v>
      </c>
      <c r="BI809" s="4"/>
      <c r="BJ809" s="33">
        <f>AP809/(AM809+AO809)</f>
        <v>0</v>
      </c>
      <c r="BK809" s="33">
        <f>(AN809+AO809)/(AM809+AO809)</f>
        <v>1</v>
      </c>
      <c r="BL809" s="4"/>
      <c r="BM809" s="127">
        <f>CF809/102</f>
        <v>0.41274509803921572</v>
      </c>
      <c r="BN809" s="127">
        <f>C809/2</f>
        <v>4</v>
      </c>
      <c r="BO809" s="4"/>
      <c r="BP809" s="127">
        <f>(AK809)/($AW$6)</f>
        <v>0.33333333333333331</v>
      </c>
      <c r="BQ809" s="127">
        <f ca="1">(CH809-$AW$4)/((YEAR($C$13))-$AW$4)</f>
        <v>0</v>
      </c>
      <c r="BR809" s="127">
        <f>(AL809)/($AW$6)</f>
        <v>0.1111111111111111</v>
      </c>
      <c r="BS809" s="4"/>
      <c r="BT809" s="127"/>
      <c r="BU809" s="127">
        <f ca="1">(CG809-$AW$4)/((YEAR($C$13))-$AW$4)</f>
        <v>0</v>
      </c>
      <c r="BV809" s="127">
        <f>AE809/5</f>
        <v>1</v>
      </c>
      <c r="BW809" s="127">
        <f>AF809/5</f>
        <v>1</v>
      </c>
      <c r="BX809" s="4"/>
      <c r="BY809" s="148" t="str">
        <f>IF(E809="A",".98",IF(E809="B",".99",IF(E809="C","1.00",IF(E809="D","1.00" ))))</f>
        <v>1.00</v>
      </c>
      <c r="BZ809" s="127">
        <f>(CE809+7)/10</f>
        <v>1</v>
      </c>
      <c r="CA809" s="76" t="str">
        <f>IF(D809="Fern",".97",IF(D809="Grass",".99",IF(D809="Herb",".97",IF(D809="Shrub",".99",IF(D809="Tree","1.00",IF(D809="Vine",".98"))))))</f>
        <v>.99</v>
      </c>
      <c r="CB809" s="149" t="str">
        <f>IF(R809="Bogs Ponds Streams",".96", IF(R809="Coastal Areas",".97",IF(R809="Meadows Dry Open",".96",IF(R809="Forest &amp; Understory",".97",IF(R809="Moist Open",".98",IF(R809="Moist Shady",".96",IF(R809="Sub-Alpine","1.0")))))))</f>
        <v>.96</v>
      </c>
      <c r="CC809" s="76" t="str">
        <f>IF(S809="Local Endemic",".50",IF(S809="Regional Endemic",".70",IF(S809="Cascadia",".90",IF(S809="Rocky Mountain",".95",IF(S809="North America",".99")))))</f>
        <v>.99</v>
      </c>
      <c r="CD809" s="4"/>
      <c r="CE809" s="21">
        <f>IF(W809&gt;3,3,W809)</f>
        <v>3</v>
      </c>
      <c r="CF809" s="21">
        <f>IF(AC809&gt;102,102,AC809)</f>
        <v>42.1</v>
      </c>
      <c r="CG809" s="34">
        <f>IF(AI809&lt;$AW$4,$AW$4,AI809)</f>
        <v>2004</v>
      </c>
      <c r="CH809" s="34">
        <f>IF(AJ809&lt;$AW$4,$AW$4,AJ809)</f>
        <v>2004</v>
      </c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13"/>
    </row>
    <row r="810" spans="1:115" ht="15" customHeight="1" x14ac:dyDescent="0.3">
      <c r="A810" s="235"/>
      <c r="B810" s="218"/>
      <c r="C810" s="225">
        <v>8</v>
      </c>
      <c r="D810" s="94" t="s">
        <v>1155</v>
      </c>
      <c r="E810" s="59" t="s">
        <v>2501</v>
      </c>
      <c r="F810" s="397" t="str">
        <f ca="1">IF(BC810&lt;2025, "Extinct&lt; 6Yrs?",BA810)</f>
        <v>Widespread</v>
      </c>
      <c r="G810" s="363" t="s">
        <v>525</v>
      </c>
      <c r="H810" s="363" t="s">
        <v>681</v>
      </c>
      <c r="I810" s="366" t="s">
        <v>3139</v>
      </c>
      <c r="J810" s="365" t="s">
        <v>1</v>
      </c>
      <c r="K810" s="365" t="s">
        <v>2816</v>
      </c>
      <c r="L810" s="10" t="s">
        <v>2296</v>
      </c>
      <c r="M810" s="8" t="s">
        <v>4881</v>
      </c>
      <c r="N810" s="8" t="s">
        <v>5778</v>
      </c>
      <c r="O810" s="8" t="s">
        <v>6677</v>
      </c>
      <c r="P810" s="9" t="s">
        <v>248</v>
      </c>
      <c r="Q810" s="59" t="s">
        <v>2552</v>
      </c>
      <c r="R810" s="9" t="s">
        <v>2499</v>
      </c>
      <c r="S810" s="9" t="s">
        <v>2495</v>
      </c>
      <c r="T810" s="123" t="str">
        <f>IF(R810="Bogs Ponds Streams","20",IF(R810="Coastal Areas","26",IF(R810="Meadows Dry Open","10",IF(R810="Forest &amp; Understory","14",IF(R810="Moist Open","12",IF(R810="Moist Shady","10",IF(R810="Sub-Alpine Slopes","0")))))))</f>
        <v>20</v>
      </c>
      <c r="U810" s="123" t="str">
        <f>IF(R810="Bogs Ponds Streams","52",IF(R810="Coastal Areas","51",IF(R810="Meadows Dry Open","53",IF(R810="Forest &amp; Understory","52",IF(R810="Moist Open","50",IF(R810="Moist Shady","46",IF(R810="Sub-Alpine Slopes","40")))))))</f>
        <v>52</v>
      </c>
      <c r="V810" s="123" t="str">
        <f>IF(R810="Bogs Ponds Streams","84",IF(R810="Coastal Areas","76",IF(R810="Meadows Dry Open","96", IF(R810="Forest &amp; Understory","90", IF(R810="Moist Open","88", IF(R810="Moist Shady","82", IF(R810="Sub-Alpine Slopes","80")))))))</f>
        <v>84</v>
      </c>
      <c r="W810" s="59">
        <v>20</v>
      </c>
      <c r="X810" s="59">
        <v>0</v>
      </c>
      <c r="Y810" s="59">
        <v>3500</v>
      </c>
      <c r="Z810" s="59" t="s">
        <v>2519</v>
      </c>
      <c r="AA810" s="59" t="s">
        <v>2518</v>
      </c>
      <c r="AB810" s="59">
        <v>6.8</v>
      </c>
      <c r="AC810" s="45">
        <f>C810+AK810+(0.1)*AL810</f>
        <v>31.1</v>
      </c>
      <c r="AD810" s="77">
        <v>51</v>
      </c>
      <c r="AE810" s="59">
        <v>5</v>
      </c>
      <c r="AF810" s="59">
        <v>5</v>
      </c>
      <c r="AG810" s="59">
        <v>1900</v>
      </c>
      <c r="AH810" s="77">
        <v>0</v>
      </c>
      <c r="AI810" s="59">
        <f>AJ810</f>
        <v>2004</v>
      </c>
      <c r="AJ810" s="18">
        <v>2004</v>
      </c>
      <c r="AK810" s="18">
        <v>22</v>
      </c>
      <c r="AL810" s="18">
        <v>11</v>
      </c>
      <c r="AM810" s="18">
        <v>1</v>
      </c>
      <c r="AN810" s="18">
        <v>1</v>
      </c>
      <c r="AO810" s="25">
        <v>0</v>
      </c>
      <c r="AP810" s="24">
        <v>0</v>
      </c>
      <c r="AQ810" s="18">
        <v>0</v>
      </c>
      <c r="AR810" s="18">
        <v>0</v>
      </c>
      <c r="AS810" s="18">
        <v>0</v>
      </c>
      <c r="AT810" s="18">
        <v>0</v>
      </c>
      <c r="AU810" s="18">
        <v>0</v>
      </c>
      <c r="AV810" s="18">
        <v>0</v>
      </c>
      <c r="AW810" s="18">
        <v>0</v>
      </c>
      <c r="AX810" s="18">
        <v>0</v>
      </c>
      <c r="AY810" s="233"/>
      <c r="AZ810" s="4"/>
      <c r="BA810" s="35" t="str">
        <f>IF(OR(S810="North America",S810="Rocky Mountain"), "Widespread",BC810)</f>
        <v>Widespread</v>
      </c>
      <c r="BB810" s="4"/>
      <c r="BC810" s="35" t="str">
        <f ca="1">IF(BE810&gt;2046, "Abundant",BE810)</f>
        <v>Abundant</v>
      </c>
      <c r="BD810" s="4"/>
      <c r="BE810" s="81">
        <f ca="1">YEAR($C$13)+(BG810*80)</f>
        <v>2091.1729568627452</v>
      </c>
      <c r="BF810" s="4"/>
      <c r="BG810" s="137">
        <f ca="1">BH810*$BH$14</f>
        <v>0.90216196078431365</v>
      </c>
      <c r="BH810" s="137">
        <f ca="1">(((BJ810+BK810+BM810+BN810)/4)*$BM$11)+(((BP810+BQ810)/2)*$BQ$11)+(((BU810+BV810+BW810)/3)*$BU$11)+(((BY810+BZ810+CA810+CB810+CC810)/5)*$CA$11)</f>
        <v>0.90216196078431365</v>
      </c>
      <c r="BI810" s="4"/>
      <c r="BJ810" s="33">
        <f>AP810/(AM810+AO810)</f>
        <v>0</v>
      </c>
      <c r="BK810" s="33">
        <f>(AN810+AO810)/(AM810+AO810)</f>
        <v>1</v>
      </c>
      <c r="BL810" s="4"/>
      <c r="BM810" s="127">
        <f>CF810/102</f>
        <v>0.30490196078431375</v>
      </c>
      <c r="BN810" s="127">
        <f>C810/2</f>
        <v>4</v>
      </c>
      <c r="BO810" s="4"/>
      <c r="BP810" s="127">
        <f>(AK810)/($AW$6)</f>
        <v>0.22222222222222221</v>
      </c>
      <c r="BQ810" s="127">
        <f ca="1">(CH810-$AW$4)/((YEAR($C$13))-$AW$4)</f>
        <v>0</v>
      </c>
      <c r="BR810" s="127">
        <f>(AL810)/($AW$6)</f>
        <v>0.1111111111111111</v>
      </c>
      <c r="BS810" s="4"/>
      <c r="BT810" s="127"/>
      <c r="BU810" s="127">
        <f ca="1">(CG810-$AW$4)/((YEAR($C$13))-$AW$4)</f>
        <v>0</v>
      </c>
      <c r="BV810" s="127">
        <f>AE810/5</f>
        <v>1</v>
      </c>
      <c r="BW810" s="127">
        <f>AF810/5</f>
        <v>1</v>
      </c>
      <c r="BX810" s="4"/>
      <c r="BY810" s="148" t="str">
        <f>IF(E810="A",".98",IF(E810="B",".99",IF(E810="C","1.00",IF(E810="D","1.00" ))))</f>
        <v>1.00</v>
      </c>
      <c r="BZ810" s="127">
        <f>(CE810+7)/10</f>
        <v>1</v>
      </c>
      <c r="CA810" s="76" t="str">
        <f>IF(D810="Fern",".97",IF(D810="Grass",".99",IF(D810="Herb",".97",IF(D810="Shrub",".99",IF(D810="Tree","1.00",IF(D810="Vine",".98"))))))</f>
        <v>.99</v>
      </c>
      <c r="CB810" s="149" t="str">
        <f>IF(R810="Bogs Ponds Streams",".96", IF(R810="Coastal Areas",".97",IF(R810="Meadows Dry Open",".96",IF(R810="Forest &amp; Understory",".97",IF(R810="Moist Open",".98",IF(R810="Moist Shady",".96",IF(R810="Sub-Alpine","1.0")))))))</f>
        <v>.96</v>
      </c>
      <c r="CC810" s="76" t="str">
        <f>IF(S810="Local Endemic",".50",IF(S810="Regional Endemic",".70",IF(S810="Cascadia",".90",IF(S810="Rocky Mountain",".95",IF(S810="North America",".99")))))</f>
        <v>.99</v>
      </c>
      <c r="CD810" s="4"/>
      <c r="CE810" s="21">
        <f>IF(W810&gt;3,3,W810)</f>
        <v>3</v>
      </c>
      <c r="CF810" s="21">
        <f>IF(AC810&gt;102,102,AC810)</f>
        <v>31.1</v>
      </c>
      <c r="CG810" s="34">
        <f>IF(AI810&lt;$AW$4,$AW$4,AI810)</f>
        <v>2004</v>
      </c>
      <c r="CH810" s="34">
        <f>IF(AJ810&lt;$AW$4,$AW$4,AJ810)</f>
        <v>2004</v>
      </c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13"/>
    </row>
    <row r="811" spans="1:115" ht="15" customHeight="1" x14ac:dyDescent="0.3">
      <c r="A811" s="235"/>
      <c r="B811" s="218"/>
      <c r="C811" s="226">
        <v>2</v>
      </c>
      <c r="D811" s="119" t="s">
        <v>1155</v>
      </c>
      <c r="E811" s="104" t="s">
        <v>2501</v>
      </c>
      <c r="F811" s="400" t="str">
        <f ca="1">IF(BC811&lt;2025, "Extinct&lt; 6Yrs?",BA811)</f>
        <v>Widespread</v>
      </c>
      <c r="G811" s="369" t="s">
        <v>525</v>
      </c>
      <c r="H811" s="369" t="s">
        <v>4028</v>
      </c>
      <c r="I811" s="370" t="s">
        <v>138</v>
      </c>
      <c r="J811" s="371" t="s">
        <v>3694</v>
      </c>
      <c r="K811" s="371" t="s">
        <v>2</v>
      </c>
      <c r="L811" s="106" t="s">
        <v>2297</v>
      </c>
      <c r="M811" s="111" t="s">
        <v>4882</v>
      </c>
      <c r="N811" s="111" t="s">
        <v>5779</v>
      </c>
      <c r="O811" s="111" t="s">
        <v>6678</v>
      </c>
      <c r="P811" s="105" t="s">
        <v>248</v>
      </c>
      <c r="Q811" s="104" t="s">
        <v>2552</v>
      </c>
      <c r="R811" s="105" t="s">
        <v>2498</v>
      </c>
      <c r="S811" s="105" t="s">
        <v>2495</v>
      </c>
      <c r="T811" s="133" t="str">
        <f>IF(R811="Bogs Ponds Streams","20",IF(R811="Coastal Areas","26",IF(R811="Meadows Dry Open","10",IF(R811="Forest &amp; Understory","14",IF(R811="Moist Open","12",IF(R811="Moist Shady","10",IF(R811="Sub-Alpine Slopes","0")))))))</f>
        <v>10</v>
      </c>
      <c r="U811" s="133" t="str">
        <f>IF(R811="Bogs Ponds Streams","52",IF(R811="Coastal Areas","51",IF(R811="Meadows Dry Open","53",IF(R811="Forest &amp; Understory","52",IF(R811="Moist Open","50",IF(R811="Moist Shady","46",IF(R811="Sub-Alpine Slopes","40")))))))</f>
        <v>46</v>
      </c>
      <c r="V811" s="133" t="str">
        <f>IF(R811="Bogs Ponds Streams","84",IF(R811="Coastal Areas","76",IF(R811="Meadows Dry Open","96", IF(R811="Forest &amp; Understory","90", IF(R811="Moist Open","88", IF(R811="Moist Shady","82", IF(R811="Sub-Alpine Slopes","80")))))))</f>
        <v>82</v>
      </c>
      <c r="W811" s="104">
        <v>20</v>
      </c>
      <c r="X811" s="104">
        <v>0</v>
      </c>
      <c r="Y811" s="104">
        <v>3500</v>
      </c>
      <c r="Z811" s="104" t="s">
        <v>2519</v>
      </c>
      <c r="AA811" s="104" t="s">
        <v>2518</v>
      </c>
      <c r="AB811" s="104">
        <v>6.8</v>
      </c>
      <c r="AC811" s="107">
        <f>C811+AK811+(0.1)*AL811</f>
        <v>15.5</v>
      </c>
      <c r="AD811" s="113">
        <v>28</v>
      </c>
      <c r="AE811" s="104">
        <v>5</v>
      </c>
      <c r="AF811" s="104">
        <v>5</v>
      </c>
      <c r="AG811" s="104">
        <v>1900</v>
      </c>
      <c r="AH811" s="113">
        <v>0</v>
      </c>
      <c r="AI811" s="104">
        <f>AJ811</f>
        <v>2004</v>
      </c>
      <c r="AJ811" s="108">
        <v>2004</v>
      </c>
      <c r="AK811" s="108">
        <v>12</v>
      </c>
      <c r="AL811" s="108">
        <v>15</v>
      </c>
      <c r="AM811" s="109">
        <v>5</v>
      </c>
      <c r="AN811" s="109">
        <v>1</v>
      </c>
      <c r="AO811" s="110">
        <v>0</v>
      </c>
      <c r="AP811" s="109">
        <v>0</v>
      </c>
      <c r="AQ811" s="109">
        <v>0</v>
      </c>
      <c r="AR811" s="109">
        <v>0</v>
      </c>
      <c r="AS811" s="110">
        <v>0</v>
      </c>
      <c r="AT811" s="109">
        <v>0</v>
      </c>
      <c r="AU811" s="109">
        <v>0</v>
      </c>
      <c r="AV811" s="109">
        <v>0</v>
      </c>
      <c r="AW811" s="110">
        <v>0</v>
      </c>
      <c r="AX811" s="109">
        <v>0</v>
      </c>
      <c r="AY811" s="233"/>
      <c r="AZ811" s="4"/>
      <c r="BA811" s="35" t="str">
        <f>IF(OR(S811="North America",S811="Rocky Mountain"), "Widespread",BC811)</f>
        <v>Widespread</v>
      </c>
      <c r="BB811" s="4"/>
      <c r="BC811" s="35">
        <f ca="1">IF(BE811&gt;2046, "Abundant",BE811)</f>
        <v>2042.5255415329768</v>
      </c>
      <c r="BD811" s="4"/>
      <c r="BE811" s="81">
        <f ca="1">YEAR($C$13)+(BG811*80)</f>
        <v>2042.5255415329768</v>
      </c>
      <c r="BF811" s="4"/>
      <c r="BG811" s="137">
        <f ca="1">BH811*$BH$14</f>
        <v>0.29406926916221032</v>
      </c>
      <c r="BH811" s="137">
        <f ca="1">(((BJ811+BK811+BM811+BN811)/4)*$BM$11)+(((BP811+BQ811)/2)*$BQ$11)+(((BU811+BV811+BW811)/3)*$BU$11)+(((BY811+BZ811+CA811+CB811+CC811)/5)*$CA$11)</f>
        <v>0.29406926916221032</v>
      </c>
      <c r="BI811" s="4"/>
      <c r="BJ811" s="33">
        <f>AP811/(AM811+AO811)</f>
        <v>0</v>
      </c>
      <c r="BK811" s="33">
        <f>(AN811+AO811)/(AM811+AO811)</f>
        <v>0.2</v>
      </c>
      <c r="BL811" s="4"/>
      <c r="BM811" s="127">
        <f>CF811/102</f>
        <v>0.15196078431372548</v>
      </c>
      <c r="BN811" s="127">
        <f>C811/2</f>
        <v>1</v>
      </c>
      <c r="BO811" s="4"/>
      <c r="BP811" s="127">
        <f>(AK811)/($AW$6)</f>
        <v>0.12121212121212122</v>
      </c>
      <c r="BQ811" s="127">
        <f ca="1">(CH811-$AW$4)/((YEAR($C$13))-$AW$4)</f>
        <v>0</v>
      </c>
      <c r="BR811" s="127">
        <f>(AL811)/($AW$6)</f>
        <v>0.15151515151515152</v>
      </c>
      <c r="BS811" s="4"/>
      <c r="BT811" s="127"/>
      <c r="BU811" s="127">
        <f ca="1">(CG811-$AW$4)/((YEAR($C$13))-$AW$4)</f>
        <v>0</v>
      </c>
      <c r="BV811" s="127">
        <f>AE811/5</f>
        <v>1</v>
      </c>
      <c r="BW811" s="127">
        <f>AF811/5</f>
        <v>1</v>
      </c>
      <c r="BX811" s="4"/>
      <c r="BY811" s="148" t="str">
        <f>IF(E811="A",".98",IF(E811="B",".99",IF(E811="C","1.00",IF(E811="D","1.00" ))))</f>
        <v>1.00</v>
      </c>
      <c r="BZ811" s="127">
        <f>(CE811+7)/10</f>
        <v>1</v>
      </c>
      <c r="CA811" s="76" t="str">
        <f>IF(D811="Fern",".97",IF(D811="Grass",".99",IF(D811="Herb",".97",IF(D811="Shrub",".99",IF(D811="Tree","1.00",IF(D811="Vine",".98"))))))</f>
        <v>.99</v>
      </c>
      <c r="CB811" s="149" t="str">
        <f>IF(R811="Bogs Ponds Streams",".96", IF(R811="Coastal Areas",".97",IF(R811="Meadows Dry Open",".96",IF(R811="Forest &amp; Understory",".97",IF(R811="Moist Open",".98",IF(R811="Moist Shady",".96",IF(R811="Sub-Alpine","1.0")))))))</f>
        <v>.96</v>
      </c>
      <c r="CC811" s="76" t="str">
        <f>IF(S811="Local Endemic",".50",IF(S811="Regional Endemic",".70",IF(S811="Cascadia",".90",IF(S811="Rocky Mountain",".95",IF(S811="North America",".99")))))</f>
        <v>.99</v>
      </c>
      <c r="CD811" s="4"/>
      <c r="CE811" s="21">
        <f>IF(W811&gt;3,3,W811)</f>
        <v>3</v>
      </c>
      <c r="CF811" s="21">
        <f>IF(AC811&gt;102,102,AC811)</f>
        <v>15.5</v>
      </c>
      <c r="CG811" s="34">
        <f>IF(AI811&lt;$AW$4,$AW$4,AI811)</f>
        <v>2004</v>
      </c>
      <c r="CH811" s="34">
        <f>IF(AJ811&lt;$AW$4,$AW$4,AJ811)</f>
        <v>2004</v>
      </c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13"/>
    </row>
    <row r="812" spans="1:115" ht="15" customHeight="1" x14ac:dyDescent="0.3">
      <c r="A812" s="235"/>
      <c r="B812" s="218"/>
      <c r="C812" s="375">
        <v>1</v>
      </c>
      <c r="D812" s="67" t="s">
        <v>2505</v>
      </c>
      <c r="E812" s="67" t="s">
        <v>2502</v>
      </c>
      <c r="F812" s="403" t="str">
        <f ca="1">IF(BC812&lt;2025, "Extinct&lt; 6Yrs?",BA812)</f>
        <v>Widespread</v>
      </c>
      <c r="G812" s="376" t="s">
        <v>525</v>
      </c>
      <c r="H812" s="376" t="s">
        <v>4028</v>
      </c>
      <c r="I812" s="377" t="s">
        <v>2366</v>
      </c>
      <c r="J812" s="378" t="s">
        <v>2450</v>
      </c>
      <c r="K812" s="378" t="s">
        <v>2365</v>
      </c>
      <c r="L812" s="64" t="s">
        <v>2449</v>
      </c>
      <c r="M812" s="64" t="s">
        <v>4883</v>
      </c>
      <c r="N812" s="64" t="s">
        <v>5780</v>
      </c>
      <c r="O812" s="64" t="s">
        <v>6679</v>
      </c>
      <c r="P812" s="61" t="s">
        <v>248</v>
      </c>
      <c r="Q812" s="67" t="s">
        <v>2552</v>
      </c>
      <c r="R812" s="163" t="s">
        <v>2497</v>
      </c>
      <c r="S812" s="164" t="s">
        <v>2495</v>
      </c>
      <c r="T812" s="134" t="str">
        <f>IF(R812="Bogs Ponds Streams","20",IF(R812="Coastal Areas","26",IF(R812="Meadows Dry Open","10",IF(R812="Forest &amp; Understory","14",IF(R812="Moist Open","12",IF(R812="Moist Shady","10",IF(R812="Sub-Alpine Slopes","0")))))))</f>
        <v>12</v>
      </c>
      <c r="U812" s="134" t="str">
        <f>IF(R812="Bogs Ponds Streams","52",IF(R812="Coastal Areas","51",IF(R812="Meadows Dry Open","53",IF(R812="Forest &amp; Understory","52",IF(R812="Moist Open","50",IF(R812="Moist Shady","46",IF(R812="Sub-Alpine Slopes","40")))))))</f>
        <v>50</v>
      </c>
      <c r="V812" s="134" t="str">
        <f>IF(R812="Bogs Ponds Streams","84",IF(R812="Coastal Areas","76",IF(R812="Meadows Dry Open","96", IF(R812="Forest &amp; Understory","90", IF(R812="Moist Open","88", IF(R812="Moist Shady","82", IF(R812="Sub-Alpine Slopes","80")))))))</f>
        <v>88</v>
      </c>
      <c r="W812" s="67">
        <v>1</v>
      </c>
      <c r="X812" s="67">
        <v>0</v>
      </c>
      <c r="Y812" s="67">
        <v>3500</v>
      </c>
      <c r="Z812" s="67" t="s">
        <v>2519</v>
      </c>
      <c r="AA812" s="67" t="s">
        <v>2518</v>
      </c>
      <c r="AB812" s="67">
        <v>6.8</v>
      </c>
      <c r="AC812" s="85">
        <f>C812+AK812+(0.1)*AL812</f>
        <v>2</v>
      </c>
      <c r="AD812" s="78">
        <v>5</v>
      </c>
      <c r="AE812" s="68">
        <v>2</v>
      </c>
      <c r="AF812" s="68">
        <v>5</v>
      </c>
      <c r="AG812" s="78">
        <v>1925</v>
      </c>
      <c r="AH812" s="78">
        <v>0</v>
      </c>
      <c r="AI812" s="78">
        <v>2000</v>
      </c>
      <c r="AJ812" s="67">
        <v>1983</v>
      </c>
      <c r="AK812" s="67">
        <v>1</v>
      </c>
      <c r="AL812" s="67">
        <v>0</v>
      </c>
      <c r="AM812" s="70">
        <v>5</v>
      </c>
      <c r="AN812" s="70">
        <v>0</v>
      </c>
      <c r="AO812" s="86">
        <v>0</v>
      </c>
      <c r="AP812" s="70">
        <v>0</v>
      </c>
      <c r="AQ812" s="70">
        <v>0</v>
      </c>
      <c r="AR812" s="70">
        <v>0</v>
      </c>
      <c r="AS812" s="86">
        <v>0</v>
      </c>
      <c r="AT812" s="70">
        <v>0</v>
      </c>
      <c r="AU812" s="70">
        <v>0</v>
      </c>
      <c r="AV812" s="70">
        <v>0</v>
      </c>
      <c r="AW812" s="86">
        <v>0</v>
      </c>
      <c r="AX812" s="70">
        <v>0</v>
      </c>
      <c r="AY812" s="233"/>
      <c r="AZ812" s="11"/>
      <c r="BA812" s="35" t="str">
        <f>IF(OR(S812="North America",S812="Rocky Mountain"), "Widespread",BC812)</f>
        <v>Widespread</v>
      </c>
      <c r="BB812" s="11"/>
      <c r="BC812" s="35">
        <f ca="1">IF(BE812&gt;2046, "Abundant",BE812)</f>
        <v>2029.8535729055259</v>
      </c>
      <c r="BD812" s="11"/>
      <c r="BE812" s="81">
        <f ca="1">YEAR($C$13)+(BG812*80)</f>
        <v>2029.8535729055259</v>
      </c>
      <c r="BF812" s="11"/>
      <c r="BG812" s="137">
        <f ca="1">BH812*$BH$14</f>
        <v>0.13566966131907307</v>
      </c>
      <c r="BH812" s="137">
        <f ca="1">(((BJ812+BK812+BM812+BN812)/4)*$BM$11)+(((BP812+BQ812)/2)*$BQ$11)+(((BU812+BV812+BW812)/3)*$BU$11)+(((BY812+BZ812+CA812+CB812+CC812)/5)*$CA$11)</f>
        <v>0.13566966131907307</v>
      </c>
      <c r="BI812" s="11"/>
      <c r="BJ812" s="33">
        <f>AP812/(AM812+AO812)</f>
        <v>0</v>
      </c>
      <c r="BK812" s="33">
        <f>(AN812+AO812)/(AM812+AO812)</f>
        <v>0</v>
      </c>
      <c r="BL812" s="11"/>
      <c r="BM812" s="127">
        <f>CF812/102</f>
        <v>1.9607843137254902E-2</v>
      </c>
      <c r="BN812" s="127">
        <f>C812/2</f>
        <v>0.5</v>
      </c>
      <c r="BO812" s="11"/>
      <c r="BP812" s="127">
        <f>(AK812)/($AW$6)</f>
        <v>1.0101010101010102E-2</v>
      </c>
      <c r="BQ812" s="127">
        <f ca="1">(CH812-$AW$4)/((YEAR($C$13))-$AW$4)</f>
        <v>0</v>
      </c>
      <c r="BR812" s="127">
        <f>(AL812)/($AW$6)</f>
        <v>0</v>
      </c>
      <c r="BS812" s="11"/>
      <c r="BT812" s="127"/>
      <c r="BU812" s="127">
        <f ca="1">(CG812-$AW$4)/((YEAR($C$13))-$AW$4)</f>
        <v>0</v>
      </c>
      <c r="BV812" s="127">
        <f>AE812/5</f>
        <v>0.4</v>
      </c>
      <c r="BW812" s="127">
        <f>AF812/5</f>
        <v>1</v>
      </c>
      <c r="BX812" s="11"/>
      <c r="BY812" s="148" t="str">
        <f>IF(E812="A",".98",IF(E812="B",".99",IF(E812="C","1.00",IF(E812="D","1.00" ))))</f>
        <v>.98</v>
      </c>
      <c r="BZ812" s="127">
        <f>(CE812+7)/10</f>
        <v>0.8</v>
      </c>
      <c r="CA812" s="76" t="str">
        <f>IF(D812="Fern",".97",IF(D812="Grass",".99",IF(D812="Herb",".97",IF(D812="Shrub",".99",IF(D812="Tree","1.00",IF(D812="Vine",".98"))))))</f>
        <v>.97</v>
      </c>
      <c r="CB812" s="149" t="str">
        <f>IF(R812="Bogs Ponds Streams",".96", IF(R812="Coastal Areas",".97",IF(R812="Meadows Dry Open",".96",IF(R812="Forest &amp; Understory",".97",IF(R812="Moist Open",".98",IF(R812="Moist Shady",".96",IF(R812="Sub-Alpine","1.0")))))))</f>
        <v>.98</v>
      </c>
      <c r="CC812" s="76" t="str">
        <f>IF(S812="Local Endemic",".50",IF(S812="Regional Endemic",".70",IF(S812="Cascadia",".90",IF(S812="Rocky Mountain",".95",IF(S812="North America",".99")))))</f>
        <v>.99</v>
      </c>
      <c r="CD812" s="11"/>
      <c r="CE812" s="21">
        <f>IF(W812&gt;3,3,W812)</f>
        <v>1</v>
      </c>
      <c r="CF812" s="21">
        <f>IF(AC812&gt;102,102,AC812)</f>
        <v>2</v>
      </c>
      <c r="CG812" s="34">
        <f>IF(AI812&lt;$AW$4,$AW$4,AI812)</f>
        <v>2004</v>
      </c>
      <c r="CH812" s="34">
        <f>IF(AJ812&lt;$AW$4,$AW$4,AJ812)</f>
        <v>2004</v>
      </c>
      <c r="CI812" s="11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11"/>
      <c r="DC812" s="11"/>
      <c r="DD812" s="11"/>
      <c r="DE812" s="11"/>
      <c r="DF812" s="11"/>
      <c r="DG812" s="11"/>
      <c r="DH812" s="11"/>
      <c r="DI812" s="11"/>
      <c r="DJ812" s="11"/>
    </row>
    <row r="813" spans="1:115" ht="15" customHeight="1" x14ac:dyDescent="0.3">
      <c r="A813" s="235"/>
      <c r="B813" s="218"/>
      <c r="C813" s="375">
        <v>1</v>
      </c>
      <c r="D813" s="95" t="s">
        <v>1155</v>
      </c>
      <c r="E813" s="67" t="s">
        <v>2501</v>
      </c>
      <c r="F813" s="403" t="str">
        <f ca="1">IF(BC813&lt;2025, "Extinct&lt; 6Yrs?",BA813)</f>
        <v>Widespread</v>
      </c>
      <c r="G813" s="376" t="s">
        <v>525</v>
      </c>
      <c r="H813" s="376" t="s">
        <v>4028</v>
      </c>
      <c r="I813" s="380" t="s">
        <v>1298</v>
      </c>
      <c r="J813" s="378" t="s">
        <v>3504</v>
      </c>
      <c r="K813" s="378" t="s">
        <v>1297</v>
      </c>
      <c r="L813" s="63" t="s">
        <v>2298</v>
      </c>
      <c r="M813" s="64" t="s">
        <v>4884</v>
      </c>
      <c r="N813" s="64" t="s">
        <v>5781</v>
      </c>
      <c r="O813" s="64" t="s">
        <v>6680</v>
      </c>
      <c r="P813" s="61" t="s">
        <v>248</v>
      </c>
      <c r="Q813" s="67" t="s">
        <v>2552</v>
      </c>
      <c r="R813" s="61" t="s">
        <v>2499</v>
      </c>
      <c r="S813" s="61" t="s">
        <v>2495</v>
      </c>
      <c r="T813" s="134" t="str">
        <f>IF(R813="Bogs Ponds Streams","20",IF(R813="Coastal Areas","26",IF(R813="Meadows Dry Open","10",IF(R813="Forest &amp; Understory","14",IF(R813="Moist Open","12",IF(R813="Moist Shady","10",IF(R813="Sub-Alpine Slopes","0")))))))</f>
        <v>20</v>
      </c>
      <c r="U813" s="134" t="str">
        <f>IF(R813="Bogs Ponds Streams","52",IF(R813="Coastal Areas","51",IF(R813="Meadows Dry Open","53",IF(R813="Forest &amp; Understory","52",IF(R813="Moist Open","50",IF(R813="Moist Shady","46",IF(R813="Sub-Alpine Slopes","40")))))))</f>
        <v>52</v>
      </c>
      <c r="V813" s="134" t="str">
        <f>IF(R813="Bogs Ponds Streams","84",IF(R813="Coastal Areas","76",IF(R813="Meadows Dry Open","96", IF(R813="Forest &amp; Understory","90", IF(R813="Moist Open","88", IF(R813="Moist Shady","82", IF(R813="Sub-Alpine Slopes","80")))))))</f>
        <v>84</v>
      </c>
      <c r="W813" s="67">
        <v>20</v>
      </c>
      <c r="X813" s="67">
        <v>0</v>
      </c>
      <c r="Y813" s="67">
        <v>3500</v>
      </c>
      <c r="Z813" s="67" t="s">
        <v>2519</v>
      </c>
      <c r="AA813" s="67" t="s">
        <v>2518</v>
      </c>
      <c r="AB813" s="67">
        <v>6.8</v>
      </c>
      <c r="AC813" s="85">
        <f>C813+AK813+(0.1)*AL813</f>
        <v>12.1</v>
      </c>
      <c r="AD813" s="78">
        <v>18</v>
      </c>
      <c r="AE813" s="67">
        <v>5</v>
      </c>
      <c r="AF813" s="67">
        <v>5</v>
      </c>
      <c r="AG813" s="67">
        <v>1900</v>
      </c>
      <c r="AH813" s="78">
        <v>0</v>
      </c>
      <c r="AI813" s="67">
        <f>AJ813</f>
        <v>2004</v>
      </c>
      <c r="AJ813" s="69">
        <v>2004</v>
      </c>
      <c r="AK813" s="69">
        <v>11</v>
      </c>
      <c r="AL813" s="69">
        <v>1</v>
      </c>
      <c r="AM813" s="70">
        <v>5</v>
      </c>
      <c r="AN813" s="70">
        <v>0</v>
      </c>
      <c r="AO813" s="86">
        <v>0</v>
      </c>
      <c r="AP813" s="70">
        <v>0</v>
      </c>
      <c r="AQ813" s="70">
        <v>0</v>
      </c>
      <c r="AR813" s="70">
        <v>0</v>
      </c>
      <c r="AS813" s="86">
        <v>0</v>
      </c>
      <c r="AT813" s="70">
        <v>0</v>
      </c>
      <c r="AU813" s="70">
        <v>0</v>
      </c>
      <c r="AV813" s="70">
        <v>0</v>
      </c>
      <c r="AW813" s="86">
        <v>0</v>
      </c>
      <c r="AX813" s="70">
        <v>0</v>
      </c>
      <c r="AY813" s="233"/>
      <c r="AZ813" s="4"/>
      <c r="BA813" s="35" t="str">
        <f>IF(OR(S813="North America",S813="Rocky Mountain"), "Widespread",BC813)</f>
        <v>Widespread</v>
      </c>
      <c r="BB813" s="4"/>
      <c r="BC813" s="35">
        <f ca="1">IF(BE813&gt;2046, "Abundant",BE813)</f>
        <v>2033.6043294117646</v>
      </c>
      <c r="BD813" s="4"/>
      <c r="BE813" s="81">
        <f ca="1">YEAR($C$13)+(BG813*80)</f>
        <v>2033.6043294117646</v>
      </c>
      <c r="BF813" s="4"/>
      <c r="BG813" s="137">
        <f ca="1">BH813*$BH$14</f>
        <v>0.18255411764705881</v>
      </c>
      <c r="BH813" s="137">
        <f ca="1">(((BJ813+BK813+BM813+BN813)/4)*$BM$11)+(((BP813+BQ813)/2)*$BQ$11)+(((BU813+BV813+BW813)/3)*$BU$11)+(((BY813+BZ813+CA813+CB813+CC813)/5)*$CA$11)</f>
        <v>0.18255411764705881</v>
      </c>
      <c r="BI813" s="4"/>
      <c r="BJ813" s="33">
        <f>AP813/(AM813+AO813)</f>
        <v>0</v>
      </c>
      <c r="BK813" s="33">
        <f>(AN813+AO813)/(AM813+AO813)</f>
        <v>0</v>
      </c>
      <c r="BL813" s="4"/>
      <c r="BM813" s="127">
        <f>CF813/102</f>
        <v>0.11862745098039215</v>
      </c>
      <c r="BN813" s="127">
        <f>C813/2</f>
        <v>0.5</v>
      </c>
      <c r="BO813" s="4"/>
      <c r="BP813" s="127">
        <f>(AK813)/($AW$6)</f>
        <v>0.1111111111111111</v>
      </c>
      <c r="BQ813" s="127">
        <f ca="1">(CH813-$AW$4)/((YEAR($C$13))-$AW$4)</f>
        <v>0</v>
      </c>
      <c r="BR813" s="127">
        <f>(AL813)/($AW$6)</f>
        <v>1.0101010101010102E-2</v>
      </c>
      <c r="BS813" s="4"/>
      <c r="BT813" s="127"/>
      <c r="BU813" s="127">
        <f ca="1">(CG813-$AW$4)/((YEAR($C$13))-$AW$4)</f>
        <v>0</v>
      </c>
      <c r="BV813" s="127">
        <f>AE813/5</f>
        <v>1</v>
      </c>
      <c r="BW813" s="127">
        <f>AF813/5</f>
        <v>1</v>
      </c>
      <c r="BX813" s="4"/>
      <c r="BY813" s="148" t="str">
        <f>IF(E813="A",".98",IF(E813="B",".99",IF(E813="C","1.00",IF(E813="D","1.00" ))))</f>
        <v>1.00</v>
      </c>
      <c r="BZ813" s="127">
        <f>(CE813+7)/10</f>
        <v>1</v>
      </c>
      <c r="CA813" s="76" t="str">
        <f>IF(D813="Fern",".97",IF(D813="Grass",".99",IF(D813="Herb",".97",IF(D813="Shrub",".99",IF(D813="Tree","1.00",IF(D813="Vine",".98"))))))</f>
        <v>.99</v>
      </c>
      <c r="CB813" s="149" t="str">
        <f>IF(R813="Bogs Ponds Streams",".96", IF(R813="Coastal Areas",".97",IF(R813="Meadows Dry Open",".96",IF(R813="Forest &amp; Understory",".97",IF(R813="Moist Open",".98",IF(R813="Moist Shady",".96",IF(R813="Sub-Alpine","1.0")))))))</f>
        <v>.96</v>
      </c>
      <c r="CC813" s="76" t="str">
        <f>IF(S813="Local Endemic",".50",IF(S813="Regional Endemic",".70",IF(S813="Cascadia",".90",IF(S813="Rocky Mountain",".95",IF(S813="North America",".99")))))</f>
        <v>.99</v>
      </c>
      <c r="CD813" s="4"/>
      <c r="CE813" s="21">
        <f>IF(W813&gt;3,3,W813)</f>
        <v>3</v>
      </c>
      <c r="CF813" s="21">
        <f>IF(AC813&gt;102,102,AC813)</f>
        <v>12.1</v>
      </c>
      <c r="CG813" s="34">
        <f>IF(AI813&lt;$AW$4,$AW$4,AI813)</f>
        <v>2004</v>
      </c>
      <c r="CH813" s="34">
        <f>IF(AJ813&lt;$AW$4,$AW$4,AJ813)</f>
        <v>2004</v>
      </c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13"/>
    </row>
    <row r="814" spans="1:115" ht="15" customHeight="1" x14ac:dyDescent="0.3">
      <c r="A814" s="235"/>
      <c r="B814" s="218"/>
      <c r="C814" s="225">
        <v>8</v>
      </c>
      <c r="D814" s="59" t="s">
        <v>2505</v>
      </c>
      <c r="E814" s="59" t="s">
        <v>2502</v>
      </c>
      <c r="F814" s="397" t="str">
        <f ca="1">IF(BC814&lt;2025, "Extinct&lt; 6Yrs?",BA814)</f>
        <v>Abundant</v>
      </c>
      <c r="G814" s="363" t="s">
        <v>525</v>
      </c>
      <c r="H814" s="363" t="s">
        <v>678</v>
      </c>
      <c r="I814" s="366" t="s">
        <v>176</v>
      </c>
      <c r="J814" s="365" t="s">
        <v>3913</v>
      </c>
      <c r="K814" s="365" t="s">
        <v>831</v>
      </c>
      <c r="L814" s="10" t="s">
        <v>2299</v>
      </c>
      <c r="M814" s="8" t="s">
        <v>4885</v>
      </c>
      <c r="N814" s="8" t="s">
        <v>5782</v>
      </c>
      <c r="O814" s="8" t="s">
        <v>6681</v>
      </c>
      <c r="P814" s="9" t="s">
        <v>168</v>
      </c>
      <c r="Q814" s="59" t="s">
        <v>2552</v>
      </c>
      <c r="R814" s="9" t="s">
        <v>2453</v>
      </c>
      <c r="S814" s="9" t="s">
        <v>2309</v>
      </c>
      <c r="T814" s="123" t="str">
        <f>IF(R814="Bogs Ponds Streams","20",IF(R814="Coastal Areas","26",IF(R814="Meadows Dry Open","10",IF(R814="Forest &amp; Understory","14",IF(R814="Moist Open","12",IF(R814="Moist Shady","10",IF(R814="Sub-Alpine Slopes","0")))))))</f>
        <v>26</v>
      </c>
      <c r="U814" s="123" t="str">
        <f>IF(R814="Bogs Ponds Streams","52",IF(R814="Coastal Areas","51",IF(R814="Meadows Dry Open","53",IF(R814="Forest &amp; Understory","52",IF(R814="Moist Open","50",IF(R814="Moist Shady","46",IF(R814="Sub-Alpine Slopes","40")))))))</f>
        <v>51</v>
      </c>
      <c r="V814" s="123" t="str">
        <f>IF(R814="Bogs Ponds Streams","84",IF(R814="Coastal Areas","76",IF(R814="Meadows Dry Open","96", IF(R814="Forest &amp; Understory","90", IF(R814="Moist Open","88", IF(R814="Moist Shady","82", IF(R814="Sub-Alpine Slopes","80")))))))</f>
        <v>76</v>
      </c>
      <c r="W814" s="59">
        <v>1</v>
      </c>
      <c r="X814" s="59">
        <v>0</v>
      </c>
      <c r="Y814" s="59">
        <v>3500</v>
      </c>
      <c r="Z814" s="59" t="s">
        <v>2519</v>
      </c>
      <c r="AA814" s="59" t="s">
        <v>2518</v>
      </c>
      <c r="AB814" s="59">
        <v>6.8</v>
      </c>
      <c r="AC814" s="45">
        <f>C814+AK814+(0.1)*AL814</f>
        <v>41</v>
      </c>
      <c r="AD814" s="77">
        <v>55</v>
      </c>
      <c r="AE814" s="59">
        <v>5</v>
      </c>
      <c r="AF814" s="59">
        <v>5</v>
      </c>
      <c r="AG814" s="59">
        <v>1900</v>
      </c>
      <c r="AH814" s="77">
        <v>0</v>
      </c>
      <c r="AI814" s="59">
        <f ca="1">AJ814</f>
        <v>2019</v>
      </c>
      <c r="AJ814" s="18">
        <f ca="1">YEAR(TODAY())</f>
        <v>2019</v>
      </c>
      <c r="AK814" s="18">
        <v>33</v>
      </c>
      <c r="AL814" s="18">
        <v>0</v>
      </c>
      <c r="AM814" s="18">
        <v>1</v>
      </c>
      <c r="AN814" s="18">
        <v>1</v>
      </c>
      <c r="AO814" s="18">
        <v>5</v>
      </c>
      <c r="AP814" s="18">
        <v>1</v>
      </c>
      <c r="AQ814" s="18">
        <v>0</v>
      </c>
      <c r="AR814" s="18">
        <v>0</v>
      </c>
      <c r="AS814" s="18">
        <v>0</v>
      </c>
      <c r="AT814" s="18">
        <v>0</v>
      </c>
      <c r="AU814" s="18">
        <v>0</v>
      </c>
      <c r="AV814" s="18">
        <v>0</v>
      </c>
      <c r="AW814" s="18">
        <v>0</v>
      </c>
      <c r="AX814" s="18">
        <v>0</v>
      </c>
      <c r="AY814" s="233"/>
      <c r="AZ814" s="4"/>
      <c r="BA814" s="35" t="str">
        <f ca="1">IF(OR(S814="North America",S814="Rocky Mountain"), "Widespread",BC814)</f>
        <v>Abundant</v>
      </c>
      <c r="BB814" s="4"/>
      <c r="BC814" s="35" t="str">
        <f ca="1">IF(BE814&gt;2046, "Abundant",BE814)</f>
        <v>Abundant</v>
      </c>
      <c r="BD814" s="4"/>
      <c r="BE814" s="81">
        <f ca="1">YEAR($C$13)+(BG814*80)</f>
        <v>2109.6379294117646</v>
      </c>
      <c r="BF814" s="4"/>
      <c r="BG814" s="137">
        <f ca="1">BH814*$BH$14</f>
        <v>1.1329741176470587</v>
      </c>
      <c r="BH814" s="137">
        <f ca="1">(((BJ814+BK814+BM814+BN814)/4)*$BM$11)+(((BP814+BQ814)/2)*$BQ$11)+(((BU814+BV814+BW814)/3)*$BU$11)+(((BY814+BZ814+CA814+CB814+CC814)/5)*$CA$11)</f>
        <v>1.1329741176470587</v>
      </c>
      <c r="BI814" s="4"/>
      <c r="BJ814" s="33">
        <f>AP814/(AM814+AO814)</f>
        <v>0.16666666666666666</v>
      </c>
      <c r="BK814" s="33">
        <f>(AN814+AO814)/(AM814+AO814)</f>
        <v>1</v>
      </c>
      <c r="BL814" s="4"/>
      <c r="BM814" s="127">
        <f>CF814/102</f>
        <v>0.40196078431372551</v>
      </c>
      <c r="BN814" s="127">
        <f>C814/2</f>
        <v>4</v>
      </c>
      <c r="BO814" s="4"/>
      <c r="BP814" s="127">
        <f>(AK814)/($AW$6)</f>
        <v>0.33333333333333331</v>
      </c>
      <c r="BQ814" s="127">
        <f ca="1">(CH814-$AW$4)/((YEAR($C$13))-$AW$4)</f>
        <v>1</v>
      </c>
      <c r="BR814" s="127">
        <f>(AL814)/($AW$6)</f>
        <v>0</v>
      </c>
      <c r="BS814" s="4"/>
      <c r="BT814" s="127"/>
      <c r="BU814" s="127">
        <f ca="1">(CG814-$AW$4)/((YEAR($C$13))-$AW$4)</f>
        <v>1</v>
      </c>
      <c r="BV814" s="127">
        <f>AE814/5</f>
        <v>1</v>
      </c>
      <c r="BW814" s="127">
        <f>AF814/5</f>
        <v>1</v>
      </c>
      <c r="BX814" s="4"/>
      <c r="BY814" s="148" t="str">
        <f>IF(E814="A",".98",IF(E814="B",".99",IF(E814="C","1.00",IF(E814="D","1.00" ))))</f>
        <v>.98</v>
      </c>
      <c r="BZ814" s="127">
        <f>(CE814+7)/10</f>
        <v>0.8</v>
      </c>
      <c r="CA814" s="76" t="str">
        <f>IF(D814="Fern",".97",IF(D814="Grass",".99",IF(D814="Herb",".97",IF(D814="Shrub",".99",IF(D814="Tree","1.00",IF(D814="Vine",".98"))))))</f>
        <v>.97</v>
      </c>
      <c r="CB814" s="149" t="str">
        <f>IF(R814="Bogs Ponds Streams",".96", IF(R814="Coastal Areas",".97",IF(R814="Meadows Dry Open",".96",IF(R814="Forest &amp; Understory",".97",IF(R814="Moist Open",".98",IF(R814="Moist Shady",".96",IF(R814="Sub-Alpine","1.0")))))))</f>
        <v>.97</v>
      </c>
      <c r="CC814" s="76" t="str">
        <f>IF(S814="Local Endemic",".50",IF(S814="Regional Endemic",".70",IF(S814="Cascadia",".90",IF(S814="Rocky Mountain",".95",IF(S814="North America",".99")))))</f>
        <v>.70</v>
      </c>
      <c r="CD814" s="4"/>
      <c r="CE814" s="21">
        <f>IF(W814&gt;3,3,W814)</f>
        <v>1</v>
      </c>
      <c r="CF814" s="21">
        <f>IF(AC814&gt;102,102,AC814)</f>
        <v>41</v>
      </c>
      <c r="CG814" s="34">
        <f ca="1">IF(AI814&lt;$AW$4,$AW$4,AI814)</f>
        <v>2019</v>
      </c>
      <c r="CH814" s="34">
        <f ca="1">IF(AJ814&lt;$AW$4,$AW$4,AJ814)</f>
        <v>2019</v>
      </c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13"/>
    </row>
    <row r="815" spans="1:115" ht="15" customHeight="1" x14ac:dyDescent="0.3">
      <c r="A815" s="235"/>
      <c r="B815" s="218"/>
      <c r="C815" s="375">
        <v>1</v>
      </c>
      <c r="D815" s="67" t="s">
        <v>2505</v>
      </c>
      <c r="E815" s="67" t="s">
        <v>2502</v>
      </c>
      <c r="F815" s="403" t="str">
        <f ca="1">IF(BC815&lt;2025, "Extinct&lt; 6Yrs?",BA815)</f>
        <v>Widespread</v>
      </c>
      <c r="G815" s="376" t="s">
        <v>525</v>
      </c>
      <c r="H815" s="376" t="s">
        <v>4028</v>
      </c>
      <c r="I815" s="379" t="s">
        <v>2710</v>
      </c>
      <c r="J815" s="378" t="s">
        <v>3503</v>
      </c>
      <c r="K815" s="378" t="s">
        <v>1299</v>
      </c>
      <c r="L815" s="65" t="s">
        <v>2300</v>
      </c>
      <c r="M815" s="64" t="s">
        <v>4886</v>
      </c>
      <c r="N815" s="64" t="s">
        <v>5783</v>
      </c>
      <c r="O815" s="64" t="s">
        <v>6682</v>
      </c>
      <c r="P815" s="404" t="s">
        <v>168</v>
      </c>
      <c r="Q815" s="67" t="s">
        <v>2552</v>
      </c>
      <c r="R815" s="61" t="s">
        <v>2453</v>
      </c>
      <c r="S815" s="61" t="s">
        <v>2495</v>
      </c>
      <c r="T815" s="134" t="str">
        <f>IF(R815="Bogs Ponds Streams","20",IF(R815="Coastal Areas","26",IF(R815="Meadows Dry Open","10",IF(R815="Forest &amp; Understory","14",IF(R815="Moist Open","12",IF(R815="Moist Shady","10",IF(R815="Sub-Alpine Slopes","0")))))))</f>
        <v>26</v>
      </c>
      <c r="U815" s="134" t="str">
        <f>IF(R815="Bogs Ponds Streams","52",IF(R815="Coastal Areas","51",IF(R815="Meadows Dry Open","53",IF(R815="Forest &amp; Understory","52",IF(R815="Moist Open","50",IF(R815="Moist Shady","46",IF(R815="Sub-Alpine Slopes","40")))))))</f>
        <v>51</v>
      </c>
      <c r="V815" s="134" t="str">
        <f>IF(R815="Bogs Ponds Streams","84",IF(R815="Coastal Areas","76",IF(R815="Meadows Dry Open","96", IF(R815="Forest &amp; Understory","90", IF(R815="Moist Open","88", IF(R815="Moist Shady","82", IF(R815="Sub-Alpine Slopes","80")))))))</f>
        <v>76</v>
      </c>
      <c r="W815" s="67">
        <v>1</v>
      </c>
      <c r="X815" s="67">
        <v>0</v>
      </c>
      <c r="Y815" s="67">
        <v>3500</v>
      </c>
      <c r="Z815" s="67" t="s">
        <v>2519</v>
      </c>
      <c r="AA815" s="67" t="s">
        <v>2518</v>
      </c>
      <c r="AB815" s="67">
        <v>6.8</v>
      </c>
      <c r="AC815" s="85">
        <f>C815+AK815+(0.1)*AL815</f>
        <v>16.100000000000001</v>
      </c>
      <c r="AD815" s="78">
        <v>37</v>
      </c>
      <c r="AE815" s="67">
        <v>5</v>
      </c>
      <c r="AF815" s="67">
        <v>5</v>
      </c>
      <c r="AG815" s="67">
        <v>1900</v>
      </c>
      <c r="AH815" s="78">
        <v>0</v>
      </c>
      <c r="AI815" s="67">
        <f>AJ815</f>
        <v>2004</v>
      </c>
      <c r="AJ815" s="69">
        <v>2004</v>
      </c>
      <c r="AK815" s="69">
        <v>14</v>
      </c>
      <c r="AL815" s="69">
        <v>11</v>
      </c>
      <c r="AM815" s="70">
        <v>5</v>
      </c>
      <c r="AN815" s="70">
        <v>0</v>
      </c>
      <c r="AO815" s="86">
        <v>0</v>
      </c>
      <c r="AP815" s="70">
        <v>0</v>
      </c>
      <c r="AQ815" s="70">
        <v>0</v>
      </c>
      <c r="AR815" s="70">
        <v>0</v>
      </c>
      <c r="AS815" s="86">
        <v>0</v>
      </c>
      <c r="AT815" s="70">
        <v>0</v>
      </c>
      <c r="AU815" s="70">
        <v>0</v>
      </c>
      <c r="AV815" s="70">
        <v>0</v>
      </c>
      <c r="AW815" s="86">
        <v>0</v>
      </c>
      <c r="AX815" s="70">
        <v>0</v>
      </c>
      <c r="AY815" s="233"/>
      <c r="AZ815" s="4"/>
      <c r="BA815" s="35" t="str">
        <f>IF(OR(S815="North America",S815="Rocky Mountain"), "Widespread",BC815)</f>
        <v>Widespread</v>
      </c>
      <c r="BB815" s="4"/>
      <c r="BC815" s="35">
        <f ca="1">IF(BE815&gt;2046, "Abundant",BE815)</f>
        <v>2034.3649540106951</v>
      </c>
      <c r="BD815" s="4"/>
      <c r="BE815" s="81">
        <f ca="1">YEAR($C$13)+(BG815*80)</f>
        <v>2034.3649540106951</v>
      </c>
      <c r="BF815" s="4"/>
      <c r="BG815" s="137">
        <f ca="1">BH815*$BH$14</f>
        <v>0.19206192513368983</v>
      </c>
      <c r="BH815" s="137">
        <f ca="1">(((BJ815+BK815+BM815+BN815)/4)*$BM$11)+(((BP815+BQ815)/2)*$BQ$11)+(((BU815+BV815+BW815)/3)*$BU$11)+(((BY815+BZ815+CA815+CB815+CC815)/5)*$CA$11)</f>
        <v>0.19206192513368983</v>
      </c>
      <c r="BI815" s="4"/>
      <c r="BJ815" s="33">
        <f>AP815/(AM815+AO815)</f>
        <v>0</v>
      </c>
      <c r="BK815" s="33">
        <f>(AN815+AO815)/(AM815+AO815)</f>
        <v>0</v>
      </c>
      <c r="BL815" s="4"/>
      <c r="BM815" s="127">
        <f>CF815/102</f>
        <v>0.15784313725490198</v>
      </c>
      <c r="BN815" s="127">
        <f>C815/2</f>
        <v>0.5</v>
      </c>
      <c r="BO815" s="4"/>
      <c r="BP815" s="127">
        <f>(AK815)/($AW$6)</f>
        <v>0.14141414141414141</v>
      </c>
      <c r="BQ815" s="127">
        <f ca="1">(CH815-$AW$4)/((YEAR($C$13))-$AW$4)</f>
        <v>0</v>
      </c>
      <c r="BR815" s="127">
        <f>(AL815)/($AW$6)</f>
        <v>0.1111111111111111</v>
      </c>
      <c r="BS815" s="4"/>
      <c r="BT815" s="127"/>
      <c r="BU815" s="127">
        <f ca="1">(CG815-$AW$4)/((YEAR($C$13))-$AW$4)</f>
        <v>0</v>
      </c>
      <c r="BV815" s="127">
        <f>AE815/5</f>
        <v>1</v>
      </c>
      <c r="BW815" s="127">
        <f>AF815/5</f>
        <v>1</v>
      </c>
      <c r="BX815" s="4"/>
      <c r="BY815" s="148" t="str">
        <f>IF(E815="A",".98",IF(E815="B",".99",IF(E815="C","1.00",IF(E815="D","1.00" ))))</f>
        <v>.98</v>
      </c>
      <c r="BZ815" s="127">
        <f>(CE815+7)/10</f>
        <v>0.8</v>
      </c>
      <c r="CA815" s="76" t="str">
        <f>IF(D815="Fern",".97",IF(D815="Grass",".99",IF(D815="Herb",".97",IF(D815="Shrub",".99",IF(D815="Tree","1.00",IF(D815="Vine",".98"))))))</f>
        <v>.97</v>
      </c>
      <c r="CB815" s="149" t="str">
        <f>IF(R815="Bogs Ponds Streams",".96", IF(R815="Coastal Areas",".97",IF(R815="Meadows Dry Open",".96",IF(R815="Forest &amp; Understory",".97",IF(R815="Moist Open",".98",IF(R815="Moist Shady",".96",IF(R815="Sub-Alpine","1.0")))))))</f>
        <v>.97</v>
      </c>
      <c r="CC815" s="76" t="str">
        <f>IF(S815="Local Endemic",".50",IF(S815="Regional Endemic",".70",IF(S815="Cascadia",".90",IF(S815="Rocky Mountain",".95",IF(S815="North America",".99")))))</f>
        <v>.99</v>
      </c>
      <c r="CD815" s="4"/>
      <c r="CE815" s="21">
        <f>IF(W815&gt;3,3,W815)</f>
        <v>1</v>
      </c>
      <c r="CF815" s="21">
        <f>IF(AC815&gt;102,102,AC815)</f>
        <v>16.100000000000001</v>
      </c>
      <c r="CG815" s="34">
        <f>IF(AI815&lt;$AW$4,$AW$4,AI815)</f>
        <v>2004</v>
      </c>
      <c r="CH815" s="34">
        <f>IF(AJ815&lt;$AW$4,$AW$4,AJ815)</f>
        <v>2004</v>
      </c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</row>
    <row r="816" spans="1:115" ht="15" customHeight="1" x14ac:dyDescent="0.3">
      <c r="A816" s="235"/>
      <c r="B816" s="218"/>
      <c r="C816" s="225">
        <v>8</v>
      </c>
      <c r="D816" s="59" t="s">
        <v>2506</v>
      </c>
      <c r="E816" s="60" t="s">
        <v>2501</v>
      </c>
      <c r="F816" s="397" t="str">
        <f ca="1">IF(BC816&lt;2025, "Extinct&lt; 6Yrs?",BA816)</f>
        <v>Widespread</v>
      </c>
      <c r="G816" s="363" t="s">
        <v>525</v>
      </c>
      <c r="H816" s="363" t="s">
        <v>680</v>
      </c>
      <c r="I816" s="366" t="s">
        <v>347</v>
      </c>
      <c r="J816" s="365" t="s">
        <v>3912</v>
      </c>
      <c r="K816" s="365" t="s">
        <v>1240</v>
      </c>
      <c r="L816" s="10" t="s">
        <v>2303</v>
      </c>
      <c r="M816" s="8" t="s">
        <v>4887</v>
      </c>
      <c r="N816" s="8" t="s">
        <v>5784</v>
      </c>
      <c r="O816" s="8" t="s">
        <v>6683</v>
      </c>
      <c r="P816" s="9" t="s">
        <v>303</v>
      </c>
      <c r="Q816" s="59" t="s">
        <v>2552</v>
      </c>
      <c r="R816" s="9" t="s">
        <v>2498</v>
      </c>
      <c r="S816" s="9" t="s">
        <v>2479</v>
      </c>
      <c r="T816" s="123" t="str">
        <f>IF(R816="Bogs Ponds Streams","20",IF(R816="Coastal Areas","26",IF(R816="Meadows Dry Open","10",IF(R816="Forest &amp; Understory","14",IF(R816="Moist Open","12",IF(R816="Moist Shady","10",IF(R816="Sub-Alpine Slopes","0")))))))</f>
        <v>10</v>
      </c>
      <c r="U816" s="123" t="str">
        <f>IF(R816="Bogs Ponds Streams","52",IF(R816="Coastal Areas","51",IF(R816="Meadows Dry Open","53",IF(R816="Forest &amp; Understory","52",IF(R816="Moist Open","50",IF(R816="Moist Shady","46",IF(R816="Sub-Alpine Slopes","40")))))))</f>
        <v>46</v>
      </c>
      <c r="V816" s="123" t="str">
        <f>IF(R816="Bogs Ponds Streams","84",IF(R816="Coastal Areas","76",IF(R816="Meadows Dry Open","96", IF(R816="Forest &amp; Understory","90", IF(R816="Moist Open","88", IF(R816="Moist Shady","82", IF(R816="Sub-Alpine Slopes","80")))))))</f>
        <v>82</v>
      </c>
      <c r="W816" s="59">
        <v>20</v>
      </c>
      <c r="X816" s="59">
        <v>0</v>
      </c>
      <c r="Y816" s="59">
        <v>3500</v>
      </c>
      <c r="Z816" s="59" t="s">
        <v>2519</v>
      </c>
      <c r="AA816" s="59" t="s">
        <v>2518</v>
      </c>
      <c r="AB816" s="59">
        <v>6.8</v>
      </c>
      <c r="AC816" s="45">
        <f>C816+AK816+(0.1)*AL816</f>
        <v>42.1</v>
      </c>
      <c r="AD816" s="77">
        <v>152</v>
      </c>
      <c r="AE816" s="59">
        <v>5</v>
      </c>
      <c r="AF816" s="59">
        <v>5</v>
      </c>
      <c r="AG816" s="59">
        <v>1900</v>
      </c>
      <c r="AH816" s="77">
        <v>0</v>
      </c>
      <c r="AI816" s="59">
        <f ca="1">AJ816</f>
        <v>2019</v>
      </c>
      <c r="AJ816" s="18">
        <f ca="1">YEAR(TODAY())</f>
        <v>2019</v>
      </c>
      <c r="AK816" s="18">
        <v>33</v>
      </c>
      <c r="AL816" s="18">
        <v>11</v>
      </c>
      <c r="AM816" s="18">
        <v>1</v>
      </c>
      <c r="AN816" s="18">
        <v>1</v>
      </c>
      <c r="AO816" s="18">
        <v>5</v>
      </c>
      <c r="AP816" s="18">
        <v>1</v>
      </c>
      <c r="AQ816" s="18">
        <v>0</v>
      </c>
      <c r="AR816" s="18">
        <v>0</v>
      </c>
      <c r="AS816" s="18">
        <v>0</v>
      </c>
      <c r="AT816" s="18">
        <v>0</v>
      </c>
      <c r="AU816" s="18">
        <v>0</v>
      </c>
      <c r="AV816" s="18">
        <v>0</v>
      </c>
      <c r="AW816" s="18">
        <v>0</v>
      </c>
      <c r="AX816" s="18">
        <v>0</v>
      </c>
      <c r="AY816" s="233"/>
      <c r="AZ816" s="4"/>
      <c r="BA816" s="35" t="str">
        <f>IF(OR(S816="North America",S816="Rocky Mountain"), "Widespread",BC816)</f>
        <v>Widespread</v>
      </c>
      <c r="BB816" s="4"/>
      <c r="BC816" s="35" t="str">
        <f ca="1">IF(BE816&gt;2046, "Abundant",BE816)</f>
        <v>Abundant</v>
      </c>
      <c r="BD816" s="4"/>
      <c r="BE816" s="81">
        <f ca="1">YEAR($C$13)+(BG816*80)</f>
        <v>2109.9209411764705</v>
      </c>
      <c r="BF816" s="4"/>
      <c r="BG816" s="137">
        <f ca="1">BH816*$BH$14</f>
        <v>1.1365117647058827</v>
      </c>
      <c r="BH816" s="137">
        <f ca="1">(((BJ816+BK816+BM816+BN816)/4)*$BM$11)+(((BP816+BQ816)/2)*$BQ$11)+(((BU816+BV816+BW816)/3)*$BU$11)+(((BY816+BZ816+CA816+CB816+CC816)/5)*$CA$11)</f>
        <v>1.1365117647058827</v>
      </c>
      <c r="BI816" s="4"/>
      <c r="BJ816" s="33">
        <f>AP816/(AM816+AO816)</f>
        <v>0.16666666666666666</v>
      </c>
      <c r="BK816" s="33">
        <f>(AN816+AO816)/(AM816+AO816)</f>
        <v>1</v>
      </c>
      <c r="BL816" s="4"/>
      <c r="BM816" s="127">
        <f>CF816/102</f>
        <v>0.41274509803921572</v>
      </c>
      <c r="BN816" s="127">
        <f>C816/2</f>
        <v>4</v>
      </c>
      <c r="BO816" s="4"/>
      <c r="BP816" s="127">
        <f>(AK816)/($AW$6)</f>
        <v>0.33333333333333331</v>
      </c>
      <c r="BQ816" s="127">
        <f ca="1">(CH816-$AW$4)/((YEAR($C$13))-$AW$4)</f>
        <v>1</v>
      </c>
      <c r="BR816" s="127">
        <f>(AL816)/($AW$6)</f>
        <v>0.1111111111111111</v>
      </c>
      <c r="BS816" s="4"/>
      <c r="BT816" s="127"/>
      <c r="BU816" s="127">
        <f ca="1">(CG816-$AW$4)/((YEAR($C$13))-$AW$4)</f>
        <v>1</v>
      </c>
      <c r="BV816" s="127">
        <f>AE816/5</f>
        <v>1</v>
      </c>
      <c r="BW816" s="127">
        <f>AF816/5</f>
        <v>1</v>
      </c>
      <c r="BX816" s="4"/>
      <c r="BY816" s="148" t="str">
        <f>IF(E816="A",".98",IF(E816="B",".99",IF(E816="C","1.00",IF(E816="D","1.00" ))))</f>
        <v>1.00</v>
      </c>
      <c r="BZ816" s="127">
        <f>(CE816+7)/10</f>
        <v>1</v>
      </c>
      <c r="CA816" s="76" t="str">
        <f>IF(D816="Fern",".97",IF(D816="Grass",".99",IF(D816="Herb",".97",IF(D816="Shrub",".99",IF(D816="Tree","1.00",IF(D816="Vine",".98"))))))</f>
        <v>.99</v>
      </c>
      <c r="CB816" s="149" t="str">
        <f>IF(R816="Bogs Ponds Streams",".96", IF(R816="Coastal Areas",".97",IF(R816="Meadows Dry Open",".96",IF(R816="Forest &amp; Understory",".97",IF(R816="Moist Open",".98",IF(R816="Moist Shady",".96",IF(R816="Sub-Alpine","1.0")))))))</f>
        <v>.96</v>
      </c>
      <c r="CC816" s="76" t="str">
        <f>IF(S816="Local Endemic",".50",IF(S816="Regional Endemic",".70",IF(S816="Cascadia",".90",IF(S816="Rocky Mountain",".95",IF(S816="North America",".99")))))</f>
        <v>.95</v>
      </c>
      <c r="CD816" s="4"/>
      <c r="CE816" s="21">
        <f>IF(W816&gt;3,3,W816)</f>
        <v>3</v>
      </c>
      <c r="CF816" s="21">
        <f>IF(AC816&gt;102,102,AC816)</f>
        <v>42.1</v>
      </c>
      <c r="CG816" s="34">
        <f ca="1">IF(AI816&lt;$AW$4,$AW$4,AI816)</f>
        <v>2019</v>
      </c>
      <c r="CH816" s="34">
        <f ca="1">IF(AJ816&lt;$AW$4,$AW$4,AJ816)</f>
        <v>2019</v>
      </c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</row>
    <row r="817" spans="1:115" ht="15" customHeight="1" x14ac:dyDescent="0.3">
      <c r="A817" s="235"/>
      <c r="B817" s="218"/>
      <c r="C817" s="225">
        <v>8</v>
      </c>
      <c r="D817" s="59" t="s">
        <v>2506</v>
      </c>
      <c r="E817" s="60" t="s">
        <v>2501</v>
      </c>
      <c r="F817" s="397" t="str">
        <f ca="1">IF(BC817&lt;2025, "Extinct&lt; 6Yrs?",BA817)</f>
        <v>Abundant</v>
      </c>
      <c r="G817" s="363" t="s">
        <v>525</v>
      </c>
      <c r="H817" s="363" t="s">
        <v>680</v>
      </c>
      <c r="I817" s="366" t="s">
        <v>348</v>
      </c>
      <c r="J817" s="365" t="s">
        <v>3911</v>
      </c>
      <c r="K817" s="365" t="s">
        <v>832</v>
      </c>
      <c r="L817" s="10" t="s">
        <v>2478</v>
      </c>
      <c r="M817" s="8" t="s">
        <v>4888</v>
      </c>
      <c r="N817" s="8" t="s">
        <v>5785</v>
      </c>
      <c r="O817" s="8" t="s">
        <v>6684</v>
      </c>
      <c r="P817" s="9" t="s">
        <v>303</v>
      </c>
      <c r="Q817" s="59" t="s">
        <v>2552</v>
      </c>
      <c r="R817" s="9" t="s">
        <v>2499</v>
      </c>
      <c r="S817" s="9" t="s">
        <v>2459</v>
      </c>
      <c r="T817" s="123" t="str">
        <f>IF(R817="Bogs Ponds Streams","20",IF(R817="Coastal Areas","26",IF(R817="Meadows Dry Open","10",IF(R817="Forest &amp; Understory","14",IF(R817="Moist Open","12",IF(R817="Moist Shady","10",IF(R817="Sub-Alpine Slopes","0")))))))</f>
        <v>20</v>
      </c>
      <c r="U817" s="123" t="str">
        <f>IF(R817="Bogs Ponds Streams","52",IF(R817="Coastal Areas","51",IF(R817="Meadows Dry Open","53",IF(R817="Forest &amp; Understory","52",IF(R817="Moist Open","50",IF(R817="Moist Shady","46",IF(R817="Sub-Alpine Slopes","40")))))))</f>
        <v>52</v>
      </c>
      <c r="V817" s="123" t="str">
        <f>IF(R817="Bogs Ponds Streams","84",IF(R817="Coastal Areas","76",IF(R817="Meadows Dry Open","96", IF(R817="Forest &amp; Understory","90", IF(R817="Moist Open","88", IF(R817="Moist Shady","82", IF(R817="Sub-Alpine Slopes","80")))))))</f>
        <v>84</v>
      </c>
      <c r="W817" s="59">
        <v>20</v>
      </c>
      <c r="X817" s="59">
        <v>0</v>
      </c>
      <c r="Y817" s="59">
        <v>3500</v>
      </c>
      <c r="Z817" s="59" t="s">
        <v>2519</v>
      </c>
      <c r="AA817" s="59" t="s">
        <v>2518</v>
      </c>
      <c r="AB817" s="59">
        <v>6.8</v>
      </c>
      <c r="AC817" s="45">
        <f>C817+AK817+(0.1)*AL817</f>
        <v>99.3</v>
      </c>
      <c r="AD817" s="77">
        <v>257</v>
      </c>
      <c r="AE817" s="59">
        <v>5</v>
      </c>
      <c r="AF817" s="59">
        <v>5</v>
      </c>
      <c r="AG817" s="59">
        <v>1900</v>
      </c>
      <c r="AH817" s="77">
        <v>0</v>
      </c>
      <c r="AI817" s="59">
        <f ca="1">AJ817</f>
        <v>2019</v>
      </c>
      <c r="AJ817" s="18">
        <f ca="1">YEAR(TODAY())</f>
        <v>2019</v>
      </c>
      <c r="AK817" s="18">
        <v>88</v>
      </c>
      <c r="AL817" s="18">
        <v>33</v>
      </c>
      <c r="AM817" s="18">
        <v>1</v>
      </c>
      <c r="AN817" s="18">
        <v>1</v>
      </c>
      <c r="AO817" s="24">
        <v>1</v>
      </c>
      <c r="AP817" s="24">
        <v>0</v>
      </c>
      <c r="AQ817" s="18">
        <v>0</v>
      </c>
      <c r="AR817" s="18">
        <v>0</v>
      </c>
      <c r="AS817" s="18">
        <v>0</v>
      </c>
      <c r="AT817" s="18">
        <v>0</v>
      </c>
      <c r="AU817" s="18">
        <v>0</v>
      </c>
      <c r="AV817" s="18">
        <v>0</v>
      </c>
      <c r="AW817" s="18">
        <v>0</v>
      </c>
      <c r="AX817" s="18">
        <v>0</v>
      </c>
      <c r="AY817" s="233"/>
      <c r="AZ817" s="4"/>
      <c r="BA817" s="35" t="str">
        <f ca="1">IF(OR(S817="North America",S817="Rocky Mountain"), "Widespread",BC817)</f>
        <v>Abundant</v>
      </c>
      <c r="BB817" s="4"/>
      <c r="BC817" s="35" t="str">
        <f ca="1">IF(BE817&gt;2046, "Abundant",BE817)</f>
        <v>Abundant</v>
      </c>
      <c r="BD817" s="4"/>
      <c r="BE817" s="81">
        <f ca="1">YEAR($C$13)+(BG817*80)</f>
        <v>2121.301019607843</v>
      </c>
      <c r="BF817" s="4"/>
      <c r="BG817" s="137">
        <f ca="1">BH817*$BH$14</f>
        <v>1.2787627450980392</v>
      </c>
      <c r="BH817" s="137">
        <f ca="1">(((BJ817+BK817+BM817+BN817)/4)*$BM$11)+(((BP817+BQ817)/2)*$BQ$11)+(((BU817+BV817+BW817)/3)*$BU$11)+(((BY817+BZ817+CA817+CB817+CC817)/5)*$CA$11)</f>
        <v>1.2787627450980392</v>
      </c>
      <c r="BI817" s="4"/>
      <c r="BJ817" s="33">
        <f>AP817/(AM817+AO817)</f>
        <v>0</v>
      </c>
      <c r="BK817" s="33">
        <f>(AN817+AO817)/(AM817+AO817)</f>
        <v>1</v>
      </c>
      <c r="BL817" s="4"/>
      <c r="BM817" s="127">
        <f>CF817/102</f>
        <v>0.97352941176470587</v>
      </c>
      <c r="BN817" s="127">
        <f>C817/2</f>
        <v>4</v>
      </c>
      <c r="BO817" s="4"/>
      <c r="BP817" s="127">
        <f>(AK817)/($AW$6)</f>
        <v>0.88888888888888884</v>
      </c>
      <c r="BQ817" s="127">
        <f ca="1">(CH817-$AW$4)/((YEAR($C$13))-$AW$4)</f>
        <v>1</v>
      </c>
      <c r="BR817" s="127">
        <f>(AL817)/($AW$6)</f>
        <v>0.33333333333333331</v>
      </c>
      <c r="BS817" s="4"/>
      <c r="BT817" s="127"/>
      <c r="BU817" s="127">
        <f ca="1">(CG817-$AW$4)/((YEAR($C$13))-$AW$4)</f>
        <v>1</v>
      </c>
      <c r="BV817" s="127">
        <f>AE817/5</f>
        <v>1</v>
      </c>
      <c r="BW817" s="127">
        <f>AF817/5</f>
        <v>1</v>
      </c>
      <c r="BX817" s="4"/>
      <c r="BY817" s="148" t="str">
        <f>IF(E817="A",".98",IF(E817="B",".99",IF(E817="C","1.00",IF(E817="D","1.00" ))))</f>
        <v>1.00</v>
      </c>
      <c r="BZ817" s="127">
        <f>(CE817+7)/10</f>
        <v>1</v>
      </c>
      <c r="CA817" s="76" t="str">
        <f>IF(D817="Fern",".97",IF(D817="Grass",".99",IF(D817="Herb",".97",IF(D817="Shrub",".99",IF(D817="Tree","1.00",IF(D817="Vine",".98"))))))</f>
        <v>.99</v>
      </c>
      <c r="CB817" s="149" t="str">
        <f>IF(R817="Bogs Ponds Streams",".96", IF(R817="Coastal Areas",".97",IF(R817="Meadows Dry Open",".96",IF(R817="Forest &amp; Understory",".97",IF(R817="Moist Open",".98",IF(R817="Moist Shady",".96",IF(R817="Sub-Alpine","1.0")))))))</f>
        <v>.96</v>
      </c>
      <c r="CC817" s="76" t="str">
        <f>IF(S817="Local Endemic",".50",IF(S817="Regional Endemic",".70",IF(S817="Cascadia",".90",IF(S817="Rocky Mountain",".95",IF(S817="North America",".99")))))</f>
        <v>.90</v>
      </c>
      <c r="CD817" s="4"/>
      <c r="CE817" s="21">
        <f>IF(W817&gt;3,3,W817)</f>
        <v>3</v>
      </c>
      <c r="CF817" s="21">
        <f>IF(AC817&gt;102,102,AC817)</f>
        <v>99.3</v>
      </c>
      <c r="CG817" s="34">
        <f ca="1">IF(AI817&lt;$AW$4,$AW$4,AI817)</f>
        <v>2019</v>
      </c>
      <c r="CH817" s="34">
        <f ca="1">IF(AJ817&lt;$AW$4,$AW$4,AJ817)</f>
        <v>2019</v>
      </c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</row>
    <row r="818" spans="1:115" ht="15" customHeight="1" x14ac:dyDescent="0.3">
      <c r="A818" s="235"/>
      <c r="B818" s="218"/>
      <c r="C818" s="225">
        <v>8</v>
      </c>
      <c r="D818" s="59" t="s">
        <v>2506</v>
      </c>
      <c r="E818" s="60" t="s">
        <v>2501</v>
      </c>
      <c r="F818" s="397" t="str">
        <f ca="1">IF(BC818&lt;2025, "Extinct&lt; 6Yrs?",BA818)</f>
        <v>Abundant</v>
      </c>
      <c r="G818" s="363" t="s">
        <v>525</v>
      </c>
      <c r="H818" s="363" t="s">
        <v>680</v>
      </c>
      <c r="I818" s="364" t="s">
        <v>2711</v>
      </c>
      <c r="J818" s="365" t="s">
        <v>3910</v>
      </c>
      <c r="K818" s="365" t="s">
        <v>1141</v>
      </c>
      <c r="L818" s="17" t="s">
        <v>2301</v>
      </c>
      <c r="M818" s="8" t="s">
        <v>4889</v>
      </c>
      <c r="N818" s="8" t="s">
        <v>5786</v>
      </c>
      <c r="O818" s="8" t="s">
        <v>6685</v>
      </c>
      <c r="P818" s="398" t="s">
        <v>303</v>
      </c>
      <c r="Q818" s="59" t="s">
        <v>2552</v>
      </c>
      <c r="R818" s="9" t="s">
        <v>2497</v>
      </c>
      <c r="S818" s="9" t="s">
        <v>2309</v>
      </c>
      <c r="T818" s="123" t="str">
        <f>IF(R818="Bogs Ponds Streams","20",IF(R818="Coastal Areas","26",IF(R818="Meadows Dry Open","10",IF(R818="Forest &amp; Understory","14",IF(R818="Moist Open","12",IF(R818="Moist Shady","10",IF(R818="Sub-Alpine Slopes","0")))))))</f>
        <v>12</v>
      </c>
      <c r="U818" s="123" t="str">
        <f>IF(R818="Bogs Ponds Streams","52",IF(R818="Coastal Areas","51",IF(R818="Meadows Dry Open","53",IF(R818="Forest &amp; Understory","52",IF(R818="Moist Open","50",IF(R818="Moist Shady","46",IF(R818="Sub-Alpine Slopes","40")))))))</f>
        <v>50</v>
      </c>
      <c r="V818" s="123" t="str">
        <f>IF(R818="Bogs Ponds Streams","84",IF(R818="Coastal Areas","76",IF(R818="Meadows Dry Open","96", IF(R818="Forest &amp; Understory","90", IF(R818="Moist Open","88", IF(R818="Moist Shady","82", IF(R818="Sub-Alpine Slopes","80")))))))</f>
        <v>88</v>
      </c>
      <c r="W818" s="59">
        <v>20</v>
      </c>
      <c r="X818" s="59">
        <v>0</v>
      </c>
      <c r="Y818" s="59">
        <v>3500</v>
      </c>
      <c r="Z818" s="59" t="s">
        <v>2519</v>
      </c>
      <c r="AA818" s="59" t="s">
        <v>2518</v>
      </c>
      <c r="AB818" s="59">
        <v>6.8</v>
      </c>
      <c r="AC818" s="45">
        <f>C818+AK818+(0.1)*AL818</f>
        <v>22.3</v>
      </c>
      <c r="AD818" s="77">
        <v>241</v>
      </c>
      <c r="AE818" s="59">
        <v>5</v>
      </c>
      <c r="AF818" s="59">
        <v>5</v>
      </c>
      <c r="AG818" s="59">
        <v>1900</v>
      </c>
      <c r="AH818" s="77">
        <v>0</v>
      </c>
      <c r="AI818" s="59">
        <f ca="1">AJ818</f>
        <v>2019</v>
      </c>
      <c r="AJ818" s="18">
        <f ca="1">YEAR(TODAY())</f>
        <v>2019</v>
      </c>
      <c r="AK818" s="18">
        <v>11</v>
      </c>
      <c r="AL818" s="18">
        <v>33</v>
      </c>
      <c r="AM818" s="18">
        <v>1</v>
      </c>
      <c r="AN818" s="18">
        <v>1</v>
      </c>
      <c r="AO818" s="18">
        <v>5</v>
      </c>
      <c r="AP818" s="18">
        <v>1</v>
      </c>
      <c r="AQ818" s="18">
        <v>0</v>
      </c>
      <c r="AR818" s="18">
        <v>0</v>
      </c>
      <c r="AS818" s="18">
        <v>0</v>
      </c>
      <c r="AT818" s="18">
        <v>0</v>
      </c>
      <c r="AU818" s="18">
        <v>0</v>
      </c>
      <c r="AV818" s="18">
        <v>0</v>
      </c>
      <c r="AW818" s="18">
        <v>0</v>
      </c>
      <c r="AX818" s="18">
        <v>0</v>
      </c>
      <c r="AY818" s="233"/>
      <c r="AZ818" s="4"/>
      <c r="BA818" s="35" t="str">
        <f ca="1">IF(OR(S818="North America",S818="Rocky Mountain"), "Widespread",BC818)</f>
        <v>Abundant</v>
      </c>
      <c r="BB818" s="4"/>
      <c r="BC818" s="35" t="str">
        <f ca="1">IF(BE818&gt;2046, "Abundant",BE818)</f>
        <v>Abundant</v>
      </c>
      <c r="BD818" s="4"/>
      <c r="BE818" s="81">
        <f ca="1">YEAR($C$13)+(BG818*80)</f>
        <v>2104.8512627450982</v>
      </c>
      <c r="BF818" s="4"/>
      <c r="BG818" s="137">
        <f ca="1">BH818*$BH$14</f>
        <v>1.0731407843137255</v>
      </c>
      <c r="BH818" s="137">
        <f ca="1">(((BJ818+BK818+BM818+BN818)/4)*$BM$11)+(((BP818+BQ818)/2)*$BQ$11)+(((BU818+BV818+BW818)/3)*$BU$11)+(((BY818+BZ818+CA818+CB818+CC818)/5)*$CA$11)</f>
        <v>1.0731407843137255</v>
      </c>
      <c r="BI818" s="4"/>
      <c r="BJ818" s="33">
        <f>AP818/(AM818+AO818)</f>
        <v>0.16666666666666666</v>
      </c>
      <c r="BK818" s="33">
        <f>(AN818+AO818)/(AM818+AO818)</f>
        <v>1</v>
      </c>
      <c r="BL818" s="4"/>
      <c r="BM818" s="127">
        <f>CF818/102</f>
        <v>0.21862745098039216</v>
      </c>
      <c r="BN818" s="127">
        <f>C818/2</f>
        <v>4</v>
      </c>
      <c r="BO818" s="4"/>
      <c r="BP818" s="127">
        <f>(AK818)/($AW$6)</f>
        <v>0.1111111111111111</v>
      </c>
      <c r="BQ818" s="127">
        <f ca="1">(CH818-$AW$4)/((YEAR($C$13))-$AW$4)</f>
        <v>1</v>
      </c>
      <c r="BR818" s="127">
        <f>(AL818)/($AW$6)</f>
        <v>0.33333333333333331</v>
      </c>
      <c r="BS818" s="4"/>
      <c r="BT818" s="127"/>
      <c r="BU818" s="127">
        <f ca="1">(CG818-$AW$4)/((YEAR($C$13))-$AW$4)</f>
        <v>1</v>
      </c>
      <c r="BV818" s="127">
        <f>AE818/5</f>
        <v>1</v>
      </c>
      <c r="BW818" s="127">
        <f>AF818/5</f>
        <v>1</v>
      </c>
      <c r="BX818" s="4"/>
      <c r="BY818" s="148" t="str">
        <f>IF(E818="A",".98",IF(E818="B",".99",IF(E818="C","1.00",IF(E818="D","1.00" ))))</f>
        <v>1.00</v>
      </c>
      <c r="BZ818" s="127">
        <f>(CE818+7)/10</f>
        <v>1</v>
      </c>
      <c r="CA818" s="76" t="str">
        <f>IF(D818="Fern",".97",IF(D818="Grass",".99",IF(D818="Herb",".97",IF(D818="Shrub",".99",IF(D818="Tree","1.00",IF(D818="Vine",".98"))))))</f>
        <v>.99</v>
      </c>
      <c r="CB818" s="149" t="str">
        <f>IF(R818="Bogs Ponds Streams",".96", IF(R818="Coastal Areas",".97",IF(R818="Meadows Dry Open",".96",IF(R818="Forest &amp; Understory",".97",IF(R818="Moist Open",".98",IF(R818="Moist Shady",".96",IF(R818="Sub-Alpine","1.0")))))))</f>
        <v>.98</v>
      </c>
      <c r="CC818" s="76" t="str">
        <f>IF(S818="Local Endemic",".50",IF(S818="Regional Endemic",".70",IF(S818="Cascadia",".90",IF(S818="Rocky Mountain",".95",IF(S818="North America",".99")))))</f>
        <v>.70</v>
      </c>
      <c r="CD818" s="4"/>
      <c r="CE818" s="21">
        <f>IF(W818&gt;3,3,W818)</f>
        <v>3</v>
      </c>
      <c r="CF818" s="21">
        <f>IF(AC818&gt;102,102,AC818)</f>
        <v>22.3</v>
      </c>
      <c r="CG818" s="34">
        <f ca="1">IF(AI818&lt;$AW$4,$AW$4,AI818)</f>
        <v>2019</v>
      </c>
      <c r="CH818" s="34">
        <f ca="1">IF(AJ818&lt;$AW$4,$AW$4,AJ818)</f>
        <v>2019</v>
      </c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</row>
    <row r="819" spans="1:115" ht="15" customHeight="1" x14ac:dyDescent="0.3">
      <c r="A819" s="235"/>
      <c r="B819" s="218"/>
      <c r="C819" s="225">
        <v>8</v>
      </c>
      <c r="D819" s="59" t="s">
        <v>2506</v>
      </c>
      <c r="E819" s="60" t="s">
        <v>2501</v>
      </c>
      <c r="F819" s="397" t="str">
        <f ca="1">IF(BC819&lt;2025, "Extinct&lt; 6Yrs?",BA819)</f>
        <v>Abundant</v>
      </c>
      <c r="G819" s="363" t="s">
        <v>525</v>
      </c>
      <c r="H819" s="363" t="s">
        <v>680</v>
      </c>
      <c r="I819" s="364" t="s">
        <v>1146</v>
      </c>
      <c r="J819" s="365" t="s">
        <v>702</v>
      </c>
      <c r="K819" s="365" t="s">
        <v>702</v>
      </c>
      <c r="L819" s="10" t="s">
        <v>2302</v>
      </c>
      <c r="M819" s="8" t="s">
        <v>4890</v>
      </c>
      <c r="N819" s="8" t="s">
        <v>5787</v>
      </c>
      <c r="O819" s="8" t="s">
        <v>6686</v>
      </c>
      <c r="P819" s="9" t="s">
        <v>303</v>
      </c>
      <c r="Q819" s="59" t="s">
        <v>2552</v>
      </c>
      <c r="R819" s="9" t="s">
        <v>2500</v>
      </c>
      <c r="S819" s="9" t="s">
        <v>2309</v>
      </c>
      <c r="T819" s="123" t="str">
        <f>IF(R819="Bogs Ponds Streams","20",IF(R819="Coastal Areas","26",IF(R819="Meadows Dry Open","10",IF(R819="Forest &amp; Understory","14",IF(R819="Moist Open","12",IF(R819="Moist Shady","10",IF(R819="Sub-Alpine Slopes","0")))))))</f>
        <v>10</v>
      </c>
      <c r="U819" s="123" t="str">
        <f>IF(R819="Bogs Ponds Streams","52",IF(R819="Coastal Areas","51",IF(R819="Meadows Dry Open","53",IF(R819="Forest &amp; Understory","52",IF(R819="Moist Open","50",IF(R819="Moist Shady","46",IF(R819="Sub-Alpine Slopes","40")))))))</f>
        <v>53</v>
      </c>
      <c r="V819" s="123" t="str">
        <f>IF(R819="Bogs Ponds Streams","84",IF(R819="Coastal Areas","76",IF(R819="Meadows Dry Open","96", IF(R819="Forest &amp; Understory","90", IF(R819="Moist Open","88", IF(R819="Moist Shady","82", IF(R819="Sub-Alpine Slopes","80")))))))</f>
        <v>96</v>
      </c>
      <c r="W819" s="59">
        <v>20</v>
      </c>
      <c r="X819" s="59">
        <v>0</v>
      </c>
      <c r="Y819" s="59">
        <v>3500</v>
      </c>
      <c r="Z819" s="59" t="s">
        <v>2519</v>
      </c>
      <c r="AA819" s="59" t="s">
        <v>2518</v>
      </c>
      <c r="AB819" s="59">
        <v>6.8</v>
      </c>
      <c r="AC819" s="45">
        <f>C819+AK819+(0.1)*AL819</f>
        <v>17.2</v>
      </c>
      <c r="AD819" s="77">
        <v>79</v>
      </c>
      <c r="AE819" s="59">
        <v>5</v>
      </c>
      <c r="AF819" s="59">
        <v>5</v>
      </c>
      <c r="AG819" s="59">
        <v>1900</v>
      </c>
      <c r="AH819" s="77">
        <v>0</v>
      </c>
      <c r="AI819" s="59">
        <f ca="1">AJ819</f>
        <v>2019</v>
      </c>
      <c r="AJ819" s="18">
        <f ca="1">YEAR(TODAY())</f>
        <v>2019</v>
      </c>
      <c r="AK819" s="18">
        <v>7</v>
      </c>
      <c r="AL819" s="18">
        <v>22</v>
      </c>
      <c r="AM819" s="18">
        <v>1</v>
      </c>
      <c r="AN819" s="18">
        <v>1</v>
      </c>
      <c r="AO819" s="18">
        <v>5</v>
      </c>
      <c r="AP819" s="18">
        <v>1</v>
      </c>
      <c r="AQ819" s="18">
        <v>0</v>
      </c>
      <c r="AR819" s="18">
        <v>0</v>
      </c>
      <c r="AS819" s="18">
        <v>0</v>
      </c>
      <c r="AT819" s="18">
        <v>0</v>
      </c>
      <c r="AU819" s="18">
        <v>0</v>
      </c>
      <c r="AV819" s="18">
        <v>0</v>
      </c>
      <c r="AW819" s="18">
        <v>0</v>
      </c>
      <c r="AX819" s="18">
        <v>0</v>
      </c>
      <c r="AY819" s="233"/>
      <c r="AZ819" s="4"/>
      <c r="BA819" s="35" t="str">
        <f ca="1">IF(OR(S819="North America",S819="Rocky Mountain"), "Widespread",BC819)</f>
        <v>Abundant</v>
      </c>
      <c r="BB819" s="4"/>
      <c r="BC819" s="35" t="str">
        <f ca="1">IF(BE819&gt;2046, "Abundant",BE819)</f>
        <v>Abundant</v>
      </c>
      <c r="BD819" s="4"/>
      <c r="BE819" s="81">
        <f ca="1">YEAR($C$13)+(BG819*80)</f>
        <v>2103.7600142602496</v>
      </c>
      <c r="BF819" s="4"/>
      <c r="BG819" s="137">
        <f ca="1">BH819*$BH$14</f>
        <v>1.0595001782531195</v>
      </c>
      <c r="BH819" s="137">
        <f ca="1">(((BJ819+BK819+BM819+BN819)/4)*$BM$11)+(((BP819+BQ819)/2)*$BQ$11)+(((BU819+BV819+BW819)/3)*$BU$11)+(((BY819+BZ819+CA819+CB819+CC819)/5)*$CA$11)</f>
        <v>1.0595001782531195</v>
      </c>
      <c r="BI819" s="4"/>
      <c r="BJ819" s="33">
        <f>AP819/(AM819+AO819)</f>
        <v>0.16666666666666666</v>
      </c>
      <c r="BK819" s="33">
        <f>(AN819+AO819)/(AM819+AO819)</f>
        <v>1</v>
      </c>
      <c r="BL819" s="4"/>
      <c r="BM819" s="127">
        <f>CF819/102</f>
        <v>0.16862745098039214</v>
      </c>
      <c r="BN819" s="127">
        <f>C819/2</f>
        <v>4</v>
      </c>
      <c r="BO819" s="4"/>
      <c r="BP819" s="127">
        <f>(AK819)/($AW$6)</f>
        <v>7.0707070707070704E-2</v>
      </c>
      <c r="BQ819" s="127">
        <f ca="1">(CH819-$AW$4)/((YEAR($C$13))-$AW$4)</f>
        <v>1</v>
      </c>
      <c r="BR819" s="127">
        <f>(AL819)/($AW$6)</f>
        <v>0.22222222222222221</v>
      </c>
      <c r="BS819" s="4"/>
      <c r="BT819" s="127"/>
      <c r="BU819" s="127">
        <f ca="1">(CG819-$AW$4)/((YEAR($C$13))-$AW$4)</f>
        <v>1</v>
      </c>
      <c r="BV819" s="127">
        <f>AE819/5</f>
        <v>1</v>
      </c>
      <c r="BW819" s="127">
        <f>AF819/5</f>
        <v>1</v>
      </c>
      <c r="BX819" s="4"/>
      <c r="BY819" s="148" t="str">
        <f>IF(E819="A",".98",IF(E819="B",".99",IF(E819="C","1.00",IF(E819="D","1.00" ))))</f>
        <v>1.00</v>
      </c>
      <c r="BZ819" s="127">
        <f>(CE819+7)/10</f>
        <v>1</v>
      </c>
      <c r="CA819" s="76" t="str">
        <f>IF(D819="Fern",".97",IF(D819="Grass",".99",IF(D819="Herb",".97",IF(D819="Shrub",".99",IF(D819="Tree","1.00",IF(D819="Vine",".98"))))))</f>
        <v>.99</v>
      </c>
      <c r="CB819" s="149" t="str">
        <f>IF(R819="Bogs Ponds Streams",".96", IF(R819="Coastal Areas",".97",IF(R819="Meadows Dry Open",".96",IF(R819="Forest &amp; Understory",".97",IF(R819="Moist Open",".98",IF(R819="Moist Shady",".96",IF(R819="Sub-Alpine","1.0")))))))</f>
        <v>.96</v>
      </c>
      <c r="CC819" s="76" t="str">
        <f>IF(S819="Local Endemic",".50",IF(S819="Regional Endemic",".70",IF(S819="Cascadia",".90",IF(S819="Rocky Mountain",".95",IF(S819="North America",".99")))))</f>
        <v>.70</v>
      </c>
      <c r="CD819" s="4"/>
      <c r="CE819" s="21">
        <f>IF(W819&gt;3,3,W819)</f>
        <v>3</v>
      </c>
      <c r="CF819" s="21">
        <f>IF(AC819&gt;102,102,AC819)</f>
        <v>17.2</v>
      </c>
      <c r="CG819" s="34">
        <f ca="1">IF(AI819&lt;$AW$4,$AW$4,AI819)</f>
        <v>2019</v>
      </c>
      <c r="CH819" s="34">
        <f ca="1">IF(AJ819&lt;$AW$4,$AW$4,AJ819)</f>
        <v>2019</v>
      </c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</row>
    <row r="820" spans="1:115" ht="15" customHeight="1" x14ac:dyDescent="0.3">
      <c r="A820" s="235"/>
      <c r="B820" s="218"/>
      <c r="C820" s="375">
        <v>1</v>
      </c>
      <c r="D820" s="67" t="s">
        <v>2505</v>
      </c>
      <c r="E820" s="67" t="s">
        <v>2501</v>
      </c>
      <c r="F820" s="403">
        <f ca="1">IF(BC820&lt;2025, "Extinct&lt; 6Yrs?",BA820)</f>
        <v>2033.3693262032086</v>
      </c>
      <c r="G820" s="376" t="s">
        <v>525</v>
      </c>
      <c r="H820" s="376" t="s">
        <v>4028</v>
      </c>
      <c r="I820" s="377" t="s">
        <v>2372</v>
      </c>
      <c r="J820" s="378" t="s">
        <v>3502</v>
      </c>
      <c r="K820" s="378" t="s">
        <v>2371</v>
      </c>
      <c r="L820" s="63" t="s">
        <v>2451</v>
      </c>
      <c r="M820" s="64" t="s">
        <v>4891</v>
      </c>
      <c r="N820" s="64" t="s">
        <v>5788</v>
      </c>
      <c r="O820" s="64" t="s">
        <v>6687</v>
      </c>
      <c r="P820" s="61" t="s">
        <v>458</v>
      </c>
      <c r="Q820" s="67" t="s">
        <v>2552</v>
      </c>
      <c r="R820" s="163" t="s">
        <v>2497</v>
      </c>
      <c r="S820" s="164" t="s">
        <v>2459</v>
      </c>
      <c r="T820" s="134" t="str">
        <f>IF(R820="Bogs Ponds Streams","20",IF(R820="Coastal Areas","26",IF(R820="Meadows Dry Open","10",IF(R820="Forest &amp; Understory","14",IF(R820="Moist Open","12",IF(R820="Moist Shady","10",IF(R820="Sub-Alpine Slopes","0")))))))</f>
        <v>12</v>
      </c>
      <c r="U820" s="134" t="str">
        <f>IF(R820="Bogs Ponds Streams","52",IF(R820="Coastal Areas","51",IF(R820="Meadows Dry Open","53",IF(R820="Forest &amp; Understory","52",IF(R820="Moist Open","50",IF(R820="Moist Shady","46",IF(R820="Sub-Alpine Slopes","40")))))))</f>
        <v>50</v>
      </c>
      <c r="V820" s="134" t="str">
        <f>IF(R820="Bogs Ponds Streams","84",IF(R820="Coastal Areas","76",IF(R820="Meadows Dry Open","96", IF(R820="Forest &amp; Understory","90", IF(R820="Moist Open","88", IF(R820="Moist Shady","82", IF(R820="Sub-Alpine Slopes","80")))))))</f>
        <v>88</v>
      </c>
      <c r="W820" s="67">
        <v>20</v>
      </c>
      <c r="X820" s="67">
        <v>0</v>
      </c>
      <c r="Y820" s="67">
        <v>3500</v>
      </c>
      <c r="Z820" s="67" t="s">
        <v>2519</v>
      </c>
      <c r="AA820" s="67" t="s">
        <v>2518</v>
      </c>
      <c r="AB820" s="67">
        <v>6.8</v>
      </c>
      <c r="AC820" s="85">
        <f>C820+AK820+(0.1)*AL820</f>
        <v>3.3</v>
      </c>
      <c r="AD820" s="78">
        <v>7</v>
      </c>
      <c r="AE820" s="68">
        <v>3</v>
      </c>
      <c r="AF820" s="68">
        <v>4</v>
      </c>
      <c r="AG820" s="78">
        <v>1925</v>
      </c>
      <c r="AH820" s="78">
        <v>0</v>
      </c>
      <c r="AI820" s="78">
        <v>2000</v>
      </c>
      <c r="AJ820" s="67">
        <v>2008</v>
      </c>
      <c r="AK820" s="67">
        <v>2</v>
      </c>
      <c r="AL820" s="67">
        <v>3</v>
      </c>
      <c r="AM820" s="70">
        <v>5</v>
      </c>
      <c r="AN820" s="70">
        <v>0</v>
      </c>
      <c r="AO820" s="86">
        <v>0</v>
      </c>
      <c r="AP820" s="70">
        <v>0</v>
      </c>
      <c r="AQ820" s="70">
        <v>0</v>
      </c>
      <c r="AR820" s="70">
        <v>0</v>
      </c>
      <c r="AS820" s="86">
        <v>0</v>
      </c>
      <c r="AT820" s="70">
        <v>0</v>
      </c>
      <c r="AU820" s="70">
        <v>0</v>
      </c>
      <c r="AV820" s="70">
        <v>0</v>
      </c>
      <c r="AW820" s="86">
        <v>0</v>
      </c>
      <c r="AX820" s="70">
        <v>0</v>
      </c>
      <c r="AY820" s="233"/>
      <c r="AZ820" s="11"/>
      <c r="BA820" s="35">
        <f ca="1">IF(OR(S820="North America",S820="Rocky Mountain"), "Widespread",BC820)</f>
        <v>2033.3693262032086</v>
      </c>
      <c r="BB820" s="11"/>
      <c r="BC820" s="35">
        <f ca="1">IF(BE820&gt;2046, "Abundant",BE820)</f>
        <v>2033.3693262032086</v>
      </c>
      <c r="BD820" s="11"/>
      <c r="BE820" s="81">
        <f ca="1">YEAR($C$13)+(BG820*80)</f>
        <v>2033.3693262032086</v>
      </c>
      <c r="BF820" s="11"/>
      <c r="BG820" s="137">
        <f ca="1">BH820*$BH$14</f>
        <v>0.17961657754010693</v>
      </c>
      <c r="BH820" s="137">
        <f ca="1">(((BJ820+BK820+BM820+BN820)/4)*$BM$11)+(((BP820+BQ820)/2)*$BQ$11)+(((BU820+BV820+BW820)/3)*$BU$11)+(((BY820+BZ820+CA820+CB820+CC820)/5)*$CA$11)</f>
        <v>0.17961657754010693</v>
      </c>
      <c r="BI820" s="11"/>
      <c r="BJ820" s="33">
        <f>AP820/(AM820+AO820)</f>
        <v>0</v>
      </c>
      <c r="BK820" s="33">
        <f>(AN820+AO820)/(AM820+AO820)</f>
        <v>0</v>
      </c>
      <c r="BL820" s="11"/>
      <c r="BM820" s="127">
        <f>CF820/102</f>
        <v>3.2352941176470584E-2</v>
      </c>
      <c r="BN820" s="127">
        <f>C820/2</f>
        <v>0.5</v>
      </c>
      <c r="BO820" s="11"/>
      <c r="BP820" s="127">
        <f>(AK820)/($AW$6)</f>
        <v>2.0202020202020204E-2</v>
      </c>
      <c r="BQ820" s="127">
        <f ca="1">(CH820-$AW$4)/((YEAR($C$13))-$AW$4)</f>
        <v>0.26666666666666666</v>
      </c>
      <c r="BR820" s="127">
        <f>(AL820)/($AW$6)</f>
        <v>3.0303030303030304E-2</v>
      </c>
      <c r="BS820" s="11"/>
      <c r="BT820" s="127"/>
      <c r="BU820" s="127">
        <f ca="1">(CG820-$AW$4)/((YEAR($C$13))-$AW$4)</f>
        <v>0</v>
      </c>
      <c r="BV820" s="127">
        <f>AE820/5</f>
        <v>0.6</v>
      </c>
      <c r="BW820" s="127">
        <f>AF820/5</f>
        <v>0.8</v>
      </c>
      <c r="BX820" s="11"/>
      <c r="BY820" s="148" t="str">
        <f>IF(E820="A",".98",IF(E820="B",".99",IF(E820="C","1.00",IF(E820="D","1.00" ))))</f>
        <v>1.00</v>
      </c>
      <c r="BZ820" s="127">
        <f>(CE820+7)/10</f>
        <v>1</v>
      </c>
      <c r="CA820" s="76" t="str">
        <f>IF(D820="Fern",".97",IF(D820="Grass",".99",IF(D820="Herb",".97",IF(D820="Shrub",".99",IF(D820="Tree","1.00",IF(D820="Vine",".98"))))))</f>
        <v>.97</v>
      </c>
      <c r="CB820" s="149" t="str">
        <f>IF(R820="Bogs Ponds Streams",".96", IF(R820="Coastal Areas",".97",IF(R820="Meadows Dry Open",".96",IF(R820="Forest &amp; Understory",".97",IF(R820="Moist Open",".98",IF(R820="Moist Shady",".96",IF(R820="Sub-Alpine","1.0")))))))</f>
        <v>.98</v>
      </c>
      <c r="CC820" s="76" t="str">
        <f>IF(S820="Local Endemic",".50",IF(S820="Regional Endemic",".70",IF(S820="Cascadia",".90",IF(S820="Rocky Mountain",".95",IF(S820="North America",".99")))))</f>
        <v>.90</v>
      </c>
      <c r="CD820" s="11"/>
      <c r="CE820" s="21">
        <f>IF(W820&gt;3,3,W820)</f>
        <v>3</v>
      </c>
      <c r="CF820" s="21">
        <f>IF(AC820&gt;102,102,AC820)</f>
        <v>3.3</v>
      </c>
      <c r="CG820" s="34">
        <f>IF(AI820&lt;$AW$4,$AW$4,AI820)</f>
        <v>2004</v>
      </c>
      <c r="CH820" s="34">
        <f>IF(AJ820&lt;$AW$4,$AW$4,AJ820)</f>
        <v>2008</v>
      </c>
      <c r="CI820" s="11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11"/>
      <c r="DC820" s="11"/>
      <c r="DD820" s="11"/>
      <c r="DE820" s="11"/>
      <c r="DF820" s="11"/>
      <c r="DG820" s="11"/>
      <c r="DH820" s="11"/>
      <c r="DI820" s="11"/>
      <c r="DJ820" s="11"/>
    </row>
    <row r="821" spans="1:115" ht="15" customHeight="1" x14ac:dyDescent="0.3">
      <c r="A821" s="235"/>
      <c r="B821" s="218"/>
      <c r="C821" s="226">
        <v>2</v>
      </c>
      <c r="D821" s="104" t="s">
        <v>2505</v>
      </c>
      <c r="E821" s="104" t="s">
        <v>2501</v>
      </c>
      <c r="F821" s="400" t="str">
        <f ca="1">IF(BC821&lt;2025, "Extinct&lt; 6Yrs?",BA821)</f>
        <v>Widespread</v>
      </c>
      <c r="G821" s="369" t="s">
        <v>525</v>
      </c>
      <c r="H821" s="369" t="s">
        <v>4028</v>
      </c>
      <c r="I821" s="370" t="s">
        <v>3140</v>
      </c>
      <c r="J821" s="371" t="s">
        <v>3693</v>
      </c>
      <c r="K821" s="371" t="s">
        <v>835</v>
      </c>
      <c r="L821" s="106" t="s">
        <v>2304</v>
      </c>
      <c r="M821" s="111" t="s">
        <v>4892</v>
      </c>
      <c r="N821" s="111" t="s">
        <v>5789</v>
      </c>
      <c r="O821" s="111" t="s">
        <v>6688</v>
      </c>
      <c r="P821" s="105" t="s">
        <v>458</v>
      </c>
      <c r="Q821" s="104" t="s">
        <v>2552</v>
      </c>
      <c r="R821" s="105" t="s">
        <v>2498</v>
      </c>
      <c r="S821" s="105" t="s">
        <v>2495</v>
      </c>
      <c r="T821" s="133" t="str">
        <f>IF(R821="Bogs Ponds Streams","20",IF(R821="Coastal Areas","26",IF(R821="Meadows Dry Open","10",IF(R821="Forest &amp; Understory","14",IF(R821="Moist Open","12",IF(R821="Moist Shady","10",IF(R821="Sub-Alpine Slopes","0")))))))</f>
        <v>10</v>
      </c>
      <c r="U821" s="133" t="str">
        <f>IF(R821="Bogs Ponds Streams","52",IF(R821="Coastal Areas","51",IF(R821="Meadows Dry Open","53",IF(R821="Forest &amp; Understory","52",IF(R821="Moist Open","50",IF(R821="Moist Shady","46",IF(R821="Sub-Alpine Slopes","40")))))))</f>
        <v>46</v>
      </c>
      <c r="V821" s="133" t="str">
        <f>IF(R821="Bogs Ponds Streams","84",IF(R821="Coastal Areas","76",IF(R821="Meadows Dry Open","96", IF(R821="Forest &amp; Understory","90", IF(R821="Moist Open","88", IF(R821="Moist Shady","82", IF(R821="Sub-Alpine Slopes","80")))))))</f>
        <v>82</v>
      </c>
      <c r="W821" s="104">
        <v>20</v>
      </c>
      <c r="X821" s="104">
        <v>0</v>
      </c>
      <c r="Y821" s="104">
        <v>3500</v>
      </c>
      <c r="Z821" s="104" t="s">
        <v>2519</v>
      </c>
      <c r="AA821" s="104" t="s">
        <v>2518</v>
      </c>
      <c r="AB821" s="104">
        <v>6.8</v>
      </c>
      <c r="AC821" s="107">
        <f>C821+AK821+(0.1)*AL821</f>
        <v>24.2</v>
      </c>
      <c r="AD821" s="113">
        <v>108</v>
      </c>
      <c r="AE821" s="104">
        <v>5</v>
      </c>
      <c r="AF821" s="104">
        <v>5</v>
      </c>
      <c r="AG821" s="104">
        <v>1900</v>
      </c>
      <c r="AH821" s="113">
        <v>0</v>
      </c>
      <c r="AI821" s="104">
        <f>AJ821</f>
        <v>2004</v>
      </c>
      <c r="AJ821" s="108">
        <v>2004</v>
      </c>
      <c r="AK821" s="108">
        <v>22</v>
      </c>
      <c r="AL821" s="108">
        <v>2</v>
      </c>
      <c r="AM821" s="109">
        <v>5</v>
      </c>
      <c r="AN821" s="109">
        <v>1</v>
      </c>
      <c r="AO821" s="110">
        <v>0</v>
      </c>
      <c r="AP821" s="109">
        <v>0</v>
      </c>
      <c r="AQ821" s="109">
        <v>0</v>
      </c>
      <c r="AR821" s="109">
        <v>0</v>
      </c>
      <c r="AS821" s="110">
        <v>0</v>
      </c>
      <c r="AT821" s="109">
        <v>0</v>
      </c>
      <c r="AU821" s="109">
        <v>0</v>
      </c>
      <c r="AV821" s="109">
        <v>0</v>
      </c>
      <c r="AW821" s="110">
        <v>0</v>
      </c>
      <c r="AX821" s="109">
        <v>0</v>
      </c>
      <c r="AY821" s="233"/>
      <c r="AZ821" s="4"/>
      <c r="BA821" s="35" t="str">
        <f>IF(OR(S821="North America",S821="Rocky Mountain"), "Widespread",BC821)</f>
        <v>Widespread</v>
      </c>
      <c r="BB821" s="4"/>
      <c r="BC821" s="35">
        <f ca="1">IF(BE821&gt;2046, "Abundant",BE821)</f>
        <v>2044.7547921568628</v>
      </c>
      <c r="BD821" s="4"/>
      <c r="BE821" s="81">
        <f ca="1">YEAR($C$13)+(BG821*80)</f>
        <v>2044.7547921568628</v>
      </c>
      <c r="BF821" s="4"/>
      <c r="BG821" s="137">
        <f ca="1">BH821*$BH$14</f>
        <v>0.32193490196078428</v>
      </c>
      <c r="BH821" s="137">
        <f ca="1">(((BJ821+BK821+BM821+BN821)/4)*$BM$11)+(((BP821+BQ821)/2)*$BQ$11)+(((BU821+BV821+BW821)/3)*$BU$11)+(((BY821+BZ821+CA821+CB821+CC821)/5)*$CA$11)</f>
        <v>0.32193490196078428</v>
      </c>
      <c r="BI821" s="4"/>
      <c r="BJ821" s="33">
        <f>AP821/(AM821+AO821)</f>
        <v>0</v>
      </c>
      <c r="BK821" s="33">
        <f>(AN821+AO821)/(AM821+AO821)</f>
        <v>0.2</v>
      </c>
      <c r="BL821" s="4"/>
      <c r="BM821" s="127">
        <f>CF821/102</f>
        <v>0.2372549019607843</v>
      </c>
      <c r="BN821" s="127">
        <f>C821/2</f>
        <v>1</v>
      </c>
      <c r="BO821" s="4"/>
      <c r="BP821" s="127">
        <f>(AK821)/($AW$6)</f>
        <v>0.22222222222222221</v>
      </c>
      <c r="BQ821" s="127">
        <f ca="1">(CH821-$AW$4)/((YEAR($C$13))-$AW$4)</f>
        <v>0</v>
      </c>
      <c r="BR821" s="127">
        <f>(AL821)/($AW$6)</f>
        <v>2.0202020202020204E-2</v>
      </c>
      <c r="BS821" s="4"/>
      <c r="BT821" s="127"/>
      <c r="BU821" s="127">
        <f ca="1">(CG821-$AW$4)/((YEAR($C$13))-$AW$4)</f>
        <v>0</v>
      </c>
      <c r="BV821" s="127">
        <f>AE821/5</f>
        <v>1</v>
      </c>
      <c r="BW821" s="127">
        <f>AF821/5</f>
        <v>1</v>
      </c>
      <c r="BX821" s="4"/>
      <c r="BY821" s="148" t="str">
        <f>IF(E821="A",".98",IF(E821="B",".99",IF(E821="C","1.00",IF(E821="D","1.00" ))))</f>
        <v>1.00</v>
      </c>
      <c r="BZ821" s="127">
        <f>(CE821+7)/10</f>
        <v>1</v>
      </c>
      <c r="CA821" s="76" t="str">
        <f>IF(D821="Fern",".97",IF(D821="Grass",".99",IF(D821="Herb",".97",IF(D821="Shrub",".99",IF(D821="Tree","1.00",IF(D821="Vine",".98"))))))</f>
        <v>.97</v>
      </c>
      <c r="CB821" s="149" t="str">
        <f>IF(R821="Bogs Ponds Streams",".96", IF(R821="Coastal Areas",".97",IF(R821="Meadows Dry Open",".96",IF(R821="Forest &amp; Understory",".97",IF(R821="Moist Open",".98",IF(R821="Moist Shady",".96",IF(R821="Sub-Alpine","1.0")))))))</f>
        <v>.96</v>
      </c>
      <c r="CC821" s="76" t="str">
        <f>IF(S821="Local Endemic",".50",IF(S821="Regional Endemic",".70",IF(S821="Cascadia",".90",IF(S821="Rocky Mountain",".95",IF(S821="North America",".99")))))</f>
        <v>.99</v>
      </c>
      <c r="CD821" s="4"/>
      <c r="CE821" s="21">
        <f>IF(W821&gt;3,3,W821)</f>
        <v>3</v>
      </c>
      <c r="CF821" s="21">
        <f>IF(AC821&gt;102,102,AC821)</f>
        <v>24.2</v>
      </c>
      <c r="CG821" s="34">
        <f>IF(AI821&lt;$AW$4,$AW$4,AI821)</f>
        <v>2004</v>
      </c>
      <c r="CH821" s="34">
        <f>IF(AJ821&lt;$AW$4,$AW$4,AJ821)</f>
        <v>2004</v>
      </c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</row>
    <row r="822" spans="1:115" ht="15" customHeight="1" x14ac:dyDescent="0.3">
      <c r="A822" s="235"/>
      <c r="B822" s="218"/>
      <c r="C822" s="225">
        <v>8</v>
      </c>
      <c r="D822" s="59" t="s">
        <v>2505</v>
      </c>
      <c r="E822" s="59" t="s">
        <v>2501</v>
      </c>
      <c r="F822" s="397" t="str">
        <f ca="1">IF(BC822&lt;2025, "Extinct&lt; 6Yrs?",BA822)</f>
        <v>Abundant</v>
      </c>
      <c r="G822" s="363" t="s">
        <v>525</v>
      </c>
      <c r="H822" s="363" t="s">
        <v>686</v>
      </c>
      <c r="I822" s="364" t="s">
        <v>738</v>
      </c>
      <c r="J822" s="365" t="s">
        <v>3909</v>
      </c>
      <c r="K822" s="365" t="s">
        <v>833</v>
      </c>
      <c r="L822" s="10" t="s">
        <v>2482</v>
      </c>
      <c r="M822" s="8" t="s">
        <v>4893</v>
      </c>
      <c r="N822" s="8" t="s">
        <v>5790</v>
      </c>
      <c r="O822" s="8" t="s">
        <v>6689</v>
      </c>
      <c r="P822" s="9" t="s">
        <v>637</v>
      </c>
      <c r="Q822" s="59" t="s">
        <v>2552</v>
      </c>
      <c r="R822" s="9" t="s">
        <v>2530</v>
      </c>
      <c r="S822" s="9" t="s">
        <v>2459</v>
      </c>
      <c r="T822" s="123" t="str">
        <f>IF(R822="Bogs Ponds Streams","20",IF(R822="Coastal Areas","26",IF(R822="Meadows Dry Open","10",IF(R822="Forest &amp; Understory","14",IF(R822="Moist Open","12",IF(R822="Moist Shady","10",IF(R822="Sub-Alpine Slopes","0")))))))</f>
        <v>14</v>
      </c>
      <c r="U822" s="123" t="str">
        <f>IF(R822="Bogs Ponds Streams","52",IF(R822="Coastal Areas","51",IF(R822="Meadows Dry Open","53",IF(R822="Forest &amp; Understory","52",IF(R822="Moist Open","50",IF(R822="Moist Shady","46",IF(R822="Sub-Alpine Slopes","40")))))))</f>
        <v>52</v>
      </c>
      <c r="V822" s="123" t="str">
        <f>IF(R822="Bogs Ponds Streams","84",IF(R822="Coastal Areas","76",IF(R822="Meadows Dry Open","96", IF(R822="Forest &amp; Understory","90", IF(R822="Moist Open","88", IF(R822="Moist Shady","82", IF(R822="Sub-Alpine Slopes","80")))))))</f>
        <v>90</v>
      </c>
      <c r="W822" s="59">
        <v>20</v>
      </c>
      <c r="X822" s="59">
        <v>0</v>
      </c>
      <c r="Y822" s="59">
        <v>3500</v>
      </c>
      <c r="Z822" s="59" t="s">
        <v>2519</v>
      </c>
      <c r="AA822" s="59" t="s">
        <v>2518</v>
      </c>
      <c r="AB822" s="59">
        <v>6.8</v>
      </c>
      <c r="AC822" s="45">
        <f>C822+AK822+(0.1)*AL822</f>
        <v>42.1</v>
      </c>
      <c r="AD822" s="77">
        <v>89</v>
      </c>
      <c r="AE822" s="59">
        <v>5</v>
      </c>
      <c r="AF822" s="59">
        <v>5</v>
      </c>
      <c r="AG822" s="59">
        <v>1900</v>
      </c>
      <c r="AH822" s="77">
        <v>0</v>
      </c>
      <c r="AI822" s="59">
        <f ca="1">AJ822</f>
        <v>2019</v>
      </c>
      <c r="AJ822" s="18">
        <f ca="1">YEAR(TODAY())</f>
        <v>2019</v>
      </c>
      <c r="AK822" s="18">
        <v>33</v>
      </c>
      <c r="AL822" s="18">
        <v>11</v>
      </c>
      <c r="AM822" s="18">
        <v>1</v>
      </c>
      <c r="AN822" s="18">
        <v>1</v>
      </c>
      <c r="AO822" s="18">
        <v>5</v>
      </c>
      <c r="AP822" s="18">
        <v>1</v>
      </c>
      <c r="AQ822" s="18">
        <v>0</v>
      </c>
      <c r="AR822" s="18">
        <v>0</v>
      </c>
      <c r="AS822" s="18">
        <v>0</v>
      </c>
      <c r="AT822" s="18">
        <v>0</v>
      </c>
      <c r="AU822" s="18">
        <v>0</v>
      </c>
      <c r="AV822" s="18">
        <v>0</v>
      </c>
      <c r="AW822" s="18">
        <v>0</v>
      </c>
      <c r="AX822" s="18">
        <v>0</v>
      </c>
      <c r="AY822" s="233"/>
      <c r="AZ822" s="4"/>
      <c r="BA822" s="35" t="str">
        <f ca="1">IF(OR(S822="North America",S822="Rocky Mountain"), "Widespread",BC822)</f>
        <v>Abundant</v>
      </c>
      <c r="BB822" s="4"/>
      <c r="BC822" s="35" t="str">
        <f ca="1">IF(BE822&gt;2046, "Abundant",BE822)</f>
        <v>Abundant</v>
      </c>
      <c r="BD822" s="4"/>
      <c r="BE822" s="81">
        <f ca="1">YEAR($C$13)+(BG822*80)</f>
        <v>2109.9017411764708</v>
      </c>
      <c r="BF822" s="4"/>
      <c r="BG822" s="137">
        <f ca="1">BH822*$BH$14</f>
        <v>1.1362717647058826</v>
      </c>
      <c r="BH822" s="137">
        <f ca="1">(((BJ822+BK822+BM822+BN822)/4)*$BM$11)+(((BP822+BQ822)/2)*$BQ$11)+(((BU822+BV822+BW822)/3)*$BU$11)+(((BY822+BZ822+CA822+CB822+CC822)/5)*$CA$11)</f>
        <v>1.1362717647058826</v>
      </c>
      <c r="BI822" s="4"/>
      <c r="BJ822" s="33">
        <f>AP822/(AM822+AO822)</f>
        <v>0.16666666666666666</v>
      </c>
      <c r="BK822" s="33">
        <f>(AN822+AO822)/(AM822+AO822)</f>
        <v>1</v>
      </c>
      <c r="BL822" s="4"/>
      <c r="BM822" s="127">
        <f>CF822/102</f>
        <v>0.41274509803921572</v>
      </c>
      <c r="BN822" s="127">
        <f>C822/2</f>
        <v>4</v>
      </c>
      <c r="BO822" s="4"/>
      <c r="BP822" s="127">
        <f>(AK822)/($AW$6)</f>
        <v>0.33333333333333331</v>
      </c>
      <c r="BQ822" s="127">
        <f ca="1">(CH822-$AW$4)/((YEAR($C$13))-$AW$4)</f>
        <v>1</v>
      </c>
      <c r="BR822" s="127">
        <f>(AL822)/($AW$6)</f>
        <v>0.1111111111111111</v>
      </c>
      <c r="BS822" s="4"/>
      <c r="BT822" s="127"/>
      <c r="BU822" s="127">
        <f ca="1">(CG822-$AW$4)/((YEAR($C$13))-$AW$4)</f>
        <v>1</v>
      </c>
      <c r="BV822" s="127">
        <f>AE822/5</f>
        <v>1</v>
      </c>
      <c r="BW822" s="127">
        <f>AF822/5</f>
        <v>1</v>
      </c>
      <c r="BX822" s="4"/>
      <c r="BY822" s="148" t="str">
        <f>IF(E822="A",".98",IF(E822="B",".99",IF(E822="C","1.00",IF(E822="D","1.00" ))))</f>
        <v>1.00</v>
      </c>
      <c r="BZ822" s="127">
        <f>(CE822+7)/10</f>
        <v>1</v>
      </c>
      <c r="CA822" s="76" t="str">
        <f>IF(D822="Fern",".97",IF(D822="Grass",".99",IF(D822="Herb",".97",IF(D822="Shrub",".99",IF(D822="Tree","1.00",IF(D822="Vine",".98"))))))</f>
        <v>.97</v>
      </c>
      <c r="CB822" s="149" t="str">
        <f>IF(R822="Bogs Ponds Streams",".96", IF(R822="Coastal Areas",".97",IF(R822="Meadows Dry Open",".96",IF(R822="Forest &amp; Understory",".97",IF(R822="Moist Open",".98",IF(R822="Moist Shady",".96",IF(R822="Sub-Alpine","1.0")))))))</f>
        <v>.97</v>
      </c>
      <c r="CC822" s="76" t="str">
        <f>IF(S822="Local Endemic",".50",IF(S822="Regional Endemic",".70",IF(S822="Cascadia",".90",IF(S822="Rocky Mountain",".95",IF(S822="North America",".99")))))</f>
        <v>.90</v>
      </c>
      <c r="CD822" s="4"/>
      <c r="CE822" s="21">
        <f>IF(W822&gt;3,3,W822)</f>
        <v>3</v>
      </c>
      <c r="CF822" s="21">
        <f>IF(AC822&gt;102,102,AC822)</f>
        <v>42.1</v>
      </c>
      <c r="CG822" s="34">
        <f ca="1">IF(AI822&lt;$AW$4,$AW$4,AI822)</f>
        <v>2019</v>
      </c>
      <c r="CH822" s="34">
        <f ca="1">IF(AJ822&lt;$AW$4,$AW$4,AJ822)</f>
        <v>2019</v>
      </c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13"/>
    </row>
    <row r="823" spans="1:115" ht="15" customHeight="1" x14ac:dyDescent="0.3">
      <c r="A823" s="235"/>
      <c r="B823" s="218"/>
      <c r="C823" s="375">
        <v>1</v>
      </c>
      <c r="D823" s="67" t="s">
        <v>2505</v>
      </c>
      <c r="E823" s="67" t="s">
        <v>2501</v>
      </c>
      <c r="F823" s="403">
        <f ca="1">IF(BC823&lt;2025, "Extinct&lt; 6Yrs?",BA823)</f>
        <v>2033.6899764705881</v>
      </c>
      <c r="G823" s="376" t="s">
        <v>525</v>
      </c>
      <c r="H823" s="376" t="s">
        <v>4028</v>
      </c>
      <c r="I823" s="379" t="s">
        <v>2712</v>
      </c>
      <c r="J823" s="378" t="s">
        <v>2817</v>
      </c>
      <c r="K823" s="378" t="s">
        <v>2817</v>
      </c>
      <c r="L823" s="65" t="s">
        <v>2305</v>
      </c>
      <c r="M823" s="64" t="s">
        <v>4894</v>
      </c>
      <c r="N823" s="64" t="s">
        <v>5791</v>
      </c>
      <c r="O823" s="64" t="s">
        <v>6690</v>
      </c>
      <c r="P823" s="404" t="s">
        <v>637</v>
      </c>
      <c r="Q823" s="67" t="s">
        <v>2552</v>
      </c>
      <c r="R823" s="61" t="s">
        <v>2530</v>
      </c>
      <c r="S823" s="61" t="s">
        <v>2459</v>
      </c>
      <c r="T823" s="134" t="str">
        <f>IF(R823="Bogs Ponds Streams","20",IF(R823="Coastal Areas","26",IF(R823="Meadows Dry Open","10",IF(R823="Forest &amp; Understory","14",IF(R823="Moist Open","12",IF(R823="Moist Shady","10",IF(R823="Sub-Alpine Slopes","0")))))))</f>
        <v>14</v>
      </c>
      <c r="U823" s="134" t="str">
        <f>IF(R823="Bogs Ponds Streams","52",IF(R823="Coastal Areas","51",IF(R823="Meadows Dry Open","53",IF(R823="Forest &amp; Understory","52",IF(R823="Moist Open","50",IF(R823="Moist Shady","46",IF(R823="Sub-Alpine Slopes","40")))))))</f>
        <v>52</v>
      </c>
      <c r="V823" s="134" t="str">
        <f>IF(R823="Bogs Ponds Streams","84",IF(R823="Coastal Areas","76",IF(R823="Meadows Dry Open","96", IF(R823="Forest &amp; Understory","90", IF(R823="Moist Open","88", IF(R823="Moist Shady","82", IF(R823="Sub-Alpine Slopes","80")))))))</f>
        <v>90</v>
      </c>
      <c r="W823" s="67">
        <v>20</v>
      </c>
      <c r="X823" s="67">
        <v>0</v>
      </c>
      <c r="Y823" s="67">
        <v>3500</v>
      </c>
      <c r="Z823" s="67" t="s">
        <v>2519</v>
      </c>
      <c r="AA823" s="67" t="s">
        <v>2518</v>
      </c>
      <c r="AB823" s="67">
        <v>6.8</v>
      </c>
      <c r="AC823" s="85">
        <f>C823+AK823+(0.1)*AL823</f>
        <v>13.1</v>
      </c>
      <c r="AD823" s="78">
        <v>35</v>
      </c>
      <c r="AE823" s="67">
        <v>5</v>
      </c>
      <c r="AF823" s="67">
        <v>5</v>
      </c>
      <c r="AG823" s="67">
        <v>1900</v>
      </c>
      <c r="AH823" s="78">
        <v>0</v>
      </c>
      <c r="AI823" s="67">
        <f>AJ823</f>
        <v>2004</v>
      </c>
      <c r="AJ823" s="69">
        <v>2004</v>
      </c>
      <c r="AK823" s="69">
        <v>11</v>
      </c>
      <c r="AL823" s="69">
        <v>11</v>
      </c>
      <c r="AM823" s="70">
        <v>5</v>
      </c>
      <c r="AN823" s="70">
        <v>0</v>
      </c>
      <c r="AO823" s="86">
        <v>0</v>
      </c>
      <c r="AP823" s="70">
        <v>0</v>
      </c>
      <c r="AQ823" s="70">
        <v>0</v>
      </c>
      <c r="AR823" s="70">
        <v>0</v>
      </c>
      <c r="AS823" s="86">
        <v>0</v>
      </c>
      <c r="AT823" s="70">
        <v>0</v>
      </c>
      <c r="AU823" s="70">
        <v>0</v>
      </c>
      <c r="AV823" s="70">
        <v>0</v>
      </c>
      <c r="AW823" s="86">
        <v>0</v>
      </c>
      <c r="AX823" s="70">
        <v>0</v>
      </c>
      <c r="AY823" s="233"/>
      <c r="AZ823" s="4"/>
      <c r="BA823" s="35">
        <f ca="1">IF(OR(S823="North America",S823="Rocky Mountain"), "Widespread",BC823)</f>
        <v>2033.6899764705881</v>
      </c>
      <c r="BB823" s="4"/>
      <c r="BC823" s="35">
        <f ca="1">IF(BE823&gt;2046, "Abundant",BE823)</f>
        <v>2033.6899764705881</v>
      </c>
      <c r="BD823" s="4"/>
      <c r="BE823" s="81">
        <f ca="1">YEAR($C$13)+(BG823*80)</f>
        <v>2033.6899764705881</v>
      </c>
      <c r="BF823" s="4"/>
      <c r="BG823" s="137">
        <f ca="1">BH823*$BH$14</f>
        <v>0.18362470588235291</v>
      </c>
      <c r="BH823" s="137">
        <f ca="1">(((BJ823+BK823+BM823+BN823)/4)*$BM$11)+(((BP823+BQ823)/2)*$BQ$11)+(((BU823+BV823+BW823)/3)*$BU$11)+(((BY823+BZ823+CA823+CB823+CC823)/5)*$CA$11)</f>
        <v>0.18362470588235291</v>
      </c>
      <c r="BI823" s="4"/>
      <c r="BJ823" s="33">
        <f>AP823/(AM823+AO823)</f>
        <v>0</v>
      </c>
      <c r="BK823" s="33">
        <f>(AN823+AO823)/(AM823+AO823)</f>
        <v>0</v>
      </c>
      <c r="BL823" s="4"/>
      <c r="BM823" s="127">
        <f>CF823/102</f>
        <v>0.1284313725490196</v>
      </c>
      <c r="BN823" s="127">
        <f>C823/2</f>
        <v>0.5</v>
      </c>
      <c r="BO823" s="4"/>
      <c r="BP823" s="127">
        <f>(AK823)/($AW$6)</f>
        <v>0.1111111111111111</v>
      </c>
      <c r="BQ823" s="127">
        <f ca="1">(CH823-$AW$4)/((YEAR($C$13))-$AW$4)</f>
        <v>0</v>
      </c>
      <c r="BR823" s="127">
        <f>(AL823)/($AW$6)</f>
        <v>0.1111111111111111</v>
      </c>
      <c r="BS823" s="4"/>
      <c r="BT823" s="127"/>
      <c r="BU823" s="127">
        <f ca="1">(CG823-$AW$4)/((YEAR($C$13))-$AW$4)</f>
        <v>0</v>
      </c>
      <c r="BV823" s="127">
        <f>AE823/5</f>
        <v>1</v>
      </c>
      <c r="BW823" s="127">
        <f>AF823/5</f>
        <v>1</v>
      </c>
      <c r="BX823" s="4"/>
      <c r="BY823" s="148" t="str">
        <f>IF(E823="A",".98",IF(E823="B",".99",IF(E823="C","1.00",IF(E823="D","1.00" ))))</f>
        <v>1.00</v>
      </c>
      <c r="BZ823" s="127">
        <f>(CE823+7)/10</f>
        <v>1</v>
      </c>
      <c r="CA823" s="76" t="str">
        <f>IF(D823="Fern",".97",IF(D823="Grass",".99",IF(D823="Herb",".97",IF(D823="Shrub",".99",IF(D823="Tree","1.00",IF(D823="Vine",".98"))))))</f>
        <v>.97</v>
      </c>
      <c r="CB823" s="149" t="str">
        <f>IF(R823="Bogs Ponds Streams",".96", IF(R823="Coastal Areas",".97",IF(R823="Meadows Dry Open",".96",IF(R823="Forest &amp; Understory",".97",IF(R823="Moist Open",".98",IF(R823="Moist Shady",".96",IF(R823="Sub-Alpine","1.0")))))))</f>
        <v>.97</v>
      </c>
      <c r="CC823" s="76" t="str">
        <f>IF(S823="Local Endemic",".50",IF(S823="Regional Endemic",".70",IF(S823="Cascadia",".90",IF(S823="Rocky Mountain",".95",IF(S823="North America",".99")))))</f>
        <v>.90</v>
      </c>
      <c r="CD823" s="4"/>
      <c r="CE823" s="21">
        <f>IF(W823&gt;3,3,W823)</f>
        <v>3</v>
      </c>
      <c r="CF823" s="21">
        <f>IF(AC823&gt;102,102,AC823)</f>
        <v>13.1</v>
      </c>
      <c r="CG823" s="34">
        <f>IF(AI823&lt;$AW$4,$AW$4,AI823)</f>
        <v>2004</v>
      </c>
      <c r="CH823" s="34">
        <f>IF(AJ823&lt;$AW$4,$AW$4,AJ823)</f>
        <v>2004</v>
      </c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</row>
    <row r="824" spans="1:115" ht="15" customHeight="1" x14ac:dyDescent="0.3">
      <c r="A824" s="235"/>
      <c r="B824" s="218"/>
      <c r="C824" s="225">
        <v>8</v>
      </c>
      <c r="D824" s="59" t="s">
        <v>2505</v>
      </c>
      <c r="E824" s="59" t="s">
        <v>2501</v>
      </c>
      <c r="F824" s="397" t="str">
        <f ca="1">IF(BC824&lt;2025, "Extinct&lt; 6Yrs?",BA824)</f>
        <v>Abundant</v>
      </c>
      <c r="G824" s="363" t="s">
        <v>525</v>
      </c>
      <c r="H824" s="363" t="s">
        <v>685</v>
      </c>
      <c r="I824" s="366" t="s">
        <v>3162</v>
      </c>
      <c r="J824" s="365" t="s">
        <v>3908</v>
      </c>
      <c r="K824" s="365" t="s">
        <v>834</v>
      </c>
      <c r="L824" s="10" t="s">
        <v>2306</v>
      </c>
      <c r="M824" s="8" t="s">
        <v>4895</v>
      </c>
      <c r="N824" s="8" t="s">
        <v>5792</v>
      </c>
      <c r="O824" s="8" t="s">
        <v>6691</v>
      </c>
      <c r="P824" s="9" t="s">
        <v>637</v>
      </c>
      <c r="Q824" s="59" t="s">
        <v>2552</v>
      </c>
      <c r="R824" s="9" t="s">
        <v>2497</v>
      </c>
      <c r="S824" s="9" t="s">
        <v>2459</v>
      </c>
      <c r="T824" s="123" t="str">
        <f>IF(R824="Bogs Ponds Streams","20",IF(R824="Coastal Areas","26",IF(R824="Meadows Dry Open","10",IF(R824="Forest &amp; Understory","14",IF(R824="Moist Open","12",IF(R824="Moist Shady","10",IF(R824="Sub-Alpine Slopes","0")))))))</f>
        <v>12</v>
      </c>
      <c r="U824" s="123" t="str">
        <f>IF(R824="Bogs Ponds Streams","52",IF(R824="Coastal Areas","51",IF(R824="Meadows Dry Open","53",IF(R824="Forest &amp; Understory","52",IF(R824="Moist Open","50",IF(R824="Moist Shady","46",IF(R824="Sub-Alpine Slopes","40")))))))</f>
        <v>50</v>
      </c>
      <c r="V824" s="123" t="str">
        <f>IF(R824="Bogs Ponds Streams","84",IF(R824="Coastal Areas","76",IF(R824="Meadows Dry Open","96", IF(R824="Forest &amp; Understory","90", IF(R824="Moist Open","88", IF(R824="Moist Shady","82", IF(R824="Sub-Alpine Slopes","80")))))))</f>
        <v>88</v>
      </c>
      <c r="W824" s="59">
        <v>20</v>
      </c>
      <c r="X824" s="59">
        <v>0</v>
      </c>
      <c r="Y824" s="59">
        <v>3500</v>
      </c>
      <c r="Z824" s="59" t="s">
        <v>2519</v>
      </c>
      <c r="AA824" s="59" t="s">
        <v>2518</v>
      </c>
      <c r="AB824" s="59">
        <v>6.8</v>
      </c>
      <c r="AC824" s="45">
        <f>C824+AK824+(0.1)*AL824</f>
        <v>18</v>
      </c>
      <c r="AD824" s="77">
        <v>23</v>
      </c>
      <c r="AE824" s="59">
        <v>5</v>
      </c>
      <c r="AF824" s="59">
        <v>5</v>
      </c>
      <c r="AG824" s="59">
        <v>1900</v>
      </c>
      <c r="AH824" s="77">
        <v>0</v>
      </c>
      <c r="AI824" s="59">
        <f ca="1">AJ824</f>
        <v>2019</v>
      </c>
      <c r="AJ824" s="18">
        <f ca="1">YEAR(TODAY())</f>
        <v>2019</v>
      </c>
      <c r="AK824" s="18">
        <v>10</v>
      </c>
      <c r="AL824" s="18">
        <v>0</v>
      </c>
      <c r="AM824" s="18">
        <v>1</v>
      </c>
      <c r="AN824" s="18">
        <v>1</v>
      </c>
      <c r="AO824" s="18">
        <v>5</v>
      </c>
      <c r="AP824" s="18">
        <v>1</v>
      </c>
      <c r="AQ824" s="18">
        <v>0</v>
      </c>
      <c r="AR824" s="18">
        <v>0</v>
      </c>
      <c r="AS824" s="18">
        <v>0</v>
      </c>
      <c r="AT824" s="18">
        <v>0</v>
      </c>
      <c r="AU824" s="18">
        <v>0</v>
      </c>
      <c r="AV824" s="18">
        <v>0</v>
      </c>
      <c r="AW824" s="18">
        <v>0</v>
      </c>
      <c r="AX824" s="18">
        <v>0</v>
      </c>
      <c r="AY824" s="233"/>
      <c r="AZ824" s="4"/>
      <c r="BA824" s="35" t="str">
        <f ca="1">IF(OR(S824="North America",S824="Rocky Mountain"), "Widespread",BC824)</f>
        <v>Abundant</v>
      </c>
      <c r="BB824" s="4"/>
      <c r="BC824" s="35" t="str">
        <f ca="1">IF(BE824&gt;2046, "Abundant",BE824)</f>
        <v>Abundant</v>
      </c>
      <c r="BD824" s="4"/>
      <c r="BE824" s="81">
        <f ca="1">YEAR($C$13)+(BG824*80)</f>
        <v>2104.2817682709447</v>
      </c>
      <c r="BF824" s="4"/>
      <c r="BG824" s="137">
        <f ca="1">BH824*$BH$14</f>
        <v>1.0660221033868094</v>
      </c>
      <c r="BH824" s="137">
        <f ca="1">(((BJ824+BK824+BM824+BN824)/4)*$BM$11)+(((BP824+BQ824)/2)*$BQ$11)+(((BU824+BV824+BW824)/3)*$BU$11)+(((BY824+BZ824+CA824+CB824+CC824)/5)*$CA$11)</f>
        <v>1.0660221033868094</v>
      </c>
      <c r="BI824" s="4"/>
      <c r="BJ824" s="33">
        <f>AP824/(AM824+AO824)</f>
        <v>0.16666666666666666</v>
      </c>
      <c r="BK824" s="33">
        <f>(AN824+AO824)/(AM824+AO824)</f>
        <v>1</v>
      </c>
      <c r="BL824" s="4"/>
      <c r="BM824" s="127">
        <f>CF824/102</f>
        <v>0.17647058823529413</v>
      </c>
      <c r="BN824" s="127">
        <f>C824/2</f>
        <v>4</v>
      </c>
      <c r="BO824" s="4"/>
      <c r="BP824" s="127">
        <f>(AK824)/($AW$6)</f>
        <v>0.10101010101010101</v>
      </c>
      <c r="BQ824" s="127">
        <f ca="1">(CH824-$AW$4)/((YEAR($C$13))-$AW$4)</f>
        <v>1</v>
      </c>
      <c r="BR824" s="127">
        <f>(AL824)/($AW$6)</f>
        <v>0</v>
      </c>
      <c r="BS824" s="4"/>
      <c r="BT824" s="127"/>
      <c r="BU824" s="127">
        <f ca="1">(CG824-$AW$4)/((YEAR($C$13))-$AW$4)</f>
        <v>1</v>
      </c>
      <c r="BV824" s="127">
        <f>AE824/5</f>
        <v>1</v>
      </c>
      <c r="BW824" s="127">
        <f>AF824/5</f>
        <v>1</v>
      </c>
      <c r="BX824" s="4"/>
      <c r="BY824" s="148" t="str">
        <f>IF(E824="A",".98",IF(E824="B",".99",IF(E824="C","1.00",IF(E824="D","1.00" ))))</f>
        <v>1.00</v>
      </c>
      <c r="BZ824" s="127">
        <f>(CE824+7)/10</f>
        <v>1</v>
      </c>
      <c r="CA824" s="76" t="str">
        <f>IF(D824="Fern",".97",IF(D824="Grass",".99",IF(D824="Herb",".97",IF(D824="Shrub",".99",IF(D824="Tree","1.00",IF(D824="Vine",".98"))))))</f>
        <v>.97</v>
      </c>
      <c r="CB824" s="149" t="str">
        <f>IF(R824="Bogs Ponds Streams",".96", IF(R824="Coastal Areas",".97",IF(R824="Meadows Dry Open",".96",IF(R824="Forest &amp; Understory",".97",IF(R824="Moist Open",".98",IF(R824="Moist Shady",".96",IF(R824="Sub-Alpine","1.0")))))))</f>
        <v>.98</v>
      </c>
      <c r="CC824" s="76" t="str">
        <f>IF(S824="Local Endemic",".50",IF(S824="Regional Endemic",".70",IF(S824="Cascadia",".90",IF(S824="Rocky Mountain",".95",IF(S824="North America",".99")))))</f>
        <v>.90</v>
      </c>
      <c r="CD824" s="4"/>
      <c r="CE824" s="21">
        <f>IF(W824&gt;3,3,W824)</f>
        <v>3</v>
      </c>
      <c r="CF824" s="21">
        <f>IF(AC824&gt;102,102,AC824)</f>
        <v>18</v>
      </c>
      <c r="CG824" s="34">
        <f ca="1">IF(AI824&lt;$AW$4,$AW$4,AI824)</f>
        <v>2019</v>
      </c>
      <c r="CH824" s="34">
        <f ca="1">IF(AJ824&lt;$AW$4,$AW$4,AJ824)</f>
        <v>2019</v>
      </c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13"/>
    </row>
    <row r="825" spans="1:115" ht="15" customHeight="1" x14ac:dyDescent="0.3">
      <c r="A825" s="235"/>
      <c r="B825" s="218"/>
      <c r="C825" s="375">
        <v>1</v>
      </c>
      <c r="D825" s="67" t="s">
        <v>2505</v>
      </c>
      <c r="E825" s="67" t="s">
        <v>2501</v>
      </c>
      <c r="F825" s="403" t="str">
        <f ca="1">IF(BC825&lt;2025, "Extinct&lt; 6Yrs?",BA825)</f>
        <v>Widespread</v>
      </c>
      <c r="G825" s="376" t="s">
        <v>525</v>
      </c>
      <c r="H825" s="376" t="s">
        <v>4028</v>
      </c>
      <c r="I825" s="379" t="s">
        <v>1301</v>
      </c>
      <c r="J825" s="378" t="s">
        <v>3501</v>
      </c>
      <c r="K825" s="378" t="s">
        <v>1300</v>
      </c>
      <c r="L825" s="63" t="s">
        <v>2167</v>
      </c>
      <c r="M825" s="64" t="s">
        <v>4896</v>
      </c>
      <c r="N825" s="64" t="s">
        <v>5793</v>
      </c>
      <c r="O825" s="64" t="s">
        <v>6692</v>
      </c>
      <c r="P825" s="61" t="s">
        <v>168</v>
      </c>
      <c r="Q825" s="67" t="s">
        <v>2552</v>
      </c>
      <c r="R825" s="61" t="s">
        <v>2498</v>
      </c>
      <c r="S825" s="61" t="s">
        <v>2495</v>
      </c>
      <c r="T825" s="134" t="str">
        <f>IF(R825="Bogs Ponds Streams","20",IF(R825="Coastal Areas","26",IF(R825="Meadows Dry Open","10",IF(R825="Forest &amp; Understory","14",IF(R825="Moist Open","12",IF(R825="Moist Shady","10",IF(R825="Sub-Alpine Slopes","0")))))))</f>
        <v>10</v>
      </c>
      <c r="U825" s="134" t="str">
        <f>IF(R825="Bogs Ponds Streams","52",IF(R825="Coastal Areas","51",IF(R825="Meadows Dry Open","53",IF(R825="Forest &amp; Understory","52",IF(R825="Moist Open","50",IF(R825="Moist Shady","46",IF(R825="Sub-Alpine Slopes","40")))))))</f>
        <v>46</v>
      </c>
      <c r="V825" s="134" t="str">
        <f>IF(R825="Bogs Ponds Streams","84",IF(R825="Coastal Areas","76",IF(R825="Meadows Dry Open","96", IF(R825="Forest &amp; Understory","90", IF(R825="Moist Open","88", IF(R825="Moist Shady","82", IF(R825="Sub-Alpine Slopes","80")))))))</f>
        <v>82</v>
      </c>
      <c r="W825" s="67">
        <v>20</v>
      </c>
      <c r="X825" s="67">
        <v>0</v>
      </c>
      <c r="Y825" s="67">
        <v>3500</v>
      </c>
      <c r="Z825" s="67" t="s">
        <v>2519</v>
      </c>
      <c r="AA825" s="67" t="s">
        <v>2518</v>
      </c>
      <c r="AB825" s="67">
        <v>6.8</v>
      </c>
      <c r="AC825" s="85">
        <f>C825+AK825+(0.1)*AL825</f>
        <v>3.1</v>
      </c>
      <c r="AD825" s="78">
        <v>121</v>
      </c>
      <c r="AE825" s="67">
        <v>5</v>
      </c>
      <c r="AF825" s="67">
        <v>5</v>
      </c>
      <c r="AG825" s="67">
        <v>1900</v>
      </c>
      <c r="AH825" s="78">
        <v>0</v>
      </c>
      <c r="AI825" s="67">
        <f>AJ825</f>
        <v>2004</v>
      </c>
      <c r="AJ825" s="69">
        <v>2004</v>
      </c>
      <c r="AK825" s="69">
        <v>2</v>
      </c>
      <c r="AL825" s="69">
        <v>1</v>
      </c>
      <c r="AM825" s="70">
        <v>5</v>
      </c>
      <c r="AN825" s="70">
        <v>0</v>
      </c>
      <c r="AO825" s="86">
        <v>0</v>
      </c>
      <c r="AP825" s="70">
        <v>0</v>
      </c>
      <c r="AQ825" s="70">
        <v>0</v>
      </c>
      <c r="AR825" s="70">
        <v>0</v>
      </c>
      <c r="AS825" s="86">
        <v>0</v>
      </c>
      <c r="AT825" s="70">
        <v>0</v>
      </c>
      <c r="AU825" s="70">
        <v>0</v>
      </c>
      <c r="AV825" s="70">
        <v>0</v>
      </c>
      <c r="AW825" s="86">
        <v>0</v>
      </c>
      <c r="AX825" s="70">
        <v>0</v>
      </c>
      <c r="AY825" s="233"/>
      <c r="AZ825" s="4"/>
      <c r="BA825" s="35" t="str">
        <f>IF(OR(S825="North America",S825="Rocky Mountain"), "Widespread",BC825)</f>
        <v>Widespread</v>
      </c>
      <c r="BB825" s="4"/>
      <c r="BC825" s="35">
        <f ca="1">IF(BE825&gt;2046, "Abundant",BE825)</f>
        <v>2031.4481967914439</v>
      </c>
      <c r="BD825" s="4"/>
      <c r="BE825" s="81">
        <f ca="1">YEAR($C$13)+(BG825*80)</f>
        <v>2031.4481967914439</v>
      </c>
      <c r="BF825" s="4"/>
      <c r="BG825" s="137">
        <f ca="1">BH825*$BH$14</f>
        <v>0.15560245989304813</v>
      </c>
      <c r="BH825" s="137">
        <f ca="1">(((BJ825+BK825+BM825+BN825)/4)*$BM$11)+(((BP825+BQ825)/2)*$BQ$11)+(((BU825+BV825+BW825)/3)*$BU$11)+(((BY825+BZ825+CA825+CB825+CC825)/5)*$CA$11)</f>
        <v>0.15560245989304813</v>
      </c>
      <c r="BI825" s="4"/>
      <c r="BJ825" s="33">
        <f>AP825/(AM825+AO825)</f>
        <v>0</v>
      </c>
      <c r="BK825" s="33">
        <f>(AN825+AO825)/(AM825+AO825)</f>
        <v>0</v>
      </c>
      <c r="BL825" s="4"/>
      <c r="BM825" s="127">
        <f>CF825/102</f>
        <v>3.0392156862745098E-2</v>
      </c>
      <c r="BN825" s="127">
        <f>C825/2</f>
        <v>0.5</v>
      </c>
      <c r="BO825" s="4"/>
      <c r="BP825" s="127">
        <f>(AK825)/($AW$6)</f>
        <v>2.0202020202020204E-2</v>
      </c>
      <c r="BQ825" s="127">
        <f ca="1">(CH825-$AW$4)/((YEAR($C$13))-$AW$4)</f>
        <v>0</v>
      </c>
      <c r="BR825" s="127">
        <f>(AL825)/($AW$6)</f>
        <v>1.0101010101010102E-2</v>
      </c>
      <c r="BS825" s="4"/>
      <c r="BT825" s="127"/>
      <c r="BU825" s="127">
        <f ca="1">(CG825-$AW$4)/((YEAR($C$13))-$AW$4)</f>
        <v>0</v>
      </c>
      <c r="BV825" s="127">
        <f>AE825/5</f>
        <v>1</v>
      </c>
      <c r="BW825" s="127">
        <f>AF825/5</f>
        <v>1</v>
      </c>
      <c r="BX825" s="4"/>
      <c r="BY825" s="148" t="str">
        <f>IF(E825="A",".98",IF(E825="B",".99",IF(E825="C","1.00",IF(E825="D","1.00" ))))</f>
        <v>1.00</v>
      </c>
      <c r="BZ825" s="127">
        <f>(CE825+7)/10</f>
        <v>1</v>
      </c>
      <c r="CA825" s="76" t="str">
        <f>IF(D825="Fern",".97",IF(D825="Grass",".99",IF(D825="Herb",".97",IF(D825="Shrub",".99",IF(D825="Tree","1.00",IF(D825="Vine",".98"))))))</f>
        <v>.97</v>
      </c>
      <c r="CB825" s="149" t="str">
        <f>IF(R825="Bogs Ponds Streams",".96", IF(R825="Coastal Areas",".97",IF(R825="Meadows Dry Open",".96",IF(R825="Forest &amp; Understory",".97",IF(R825="Moist Open",".98",IF(R825="Moist Shady",".96",IF(R825="Sub-Alpine","1.0")))))))</f>
        <v>.96</v>
      </c>
      <c r="CC825" s="76" t="str">
        <f>IF(S825="Local Endemic",".50",IF(S825="Regional Endemic",".70",IF(S825="Cascadia",".90",IF(S825="Rocky Mountain",".95",IF(S825="North America",".99")))))</f>
        <v>.99</v>
      </c>
      <c r="CD825" s="4"/>
      <c r="CE825" s="21">
        <f>IF(W825&gt;3,3,W825)</f>
        <v>3</v>
      </c>
      <c r="CF825" s="21">
        <f>IF(AC825&gt;102,102,AC825)</f>
        <v>3.1</v>
      </c>
      <c r="CG825" s="34">
        <f>IF(AI825&lt;$AW$4,$AW$4,AI825)</f>
        <v>2004</v>
      </c>
      <c r="CH825" s="34">
        <f>IF(AJ825&lt;$AW$4,$AW$4,AJ825)</f>
        <v>2004</v>
      </c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</row>
    <row r="826" spans="1:115" ht="15" customHeight="1" x14ac:dyDescent="0.3">
      <c r="A826" s="235"/>
      <c r="B826" s="218"/>
      <c r="C826" s="226">
        <v>2</v>
      </c>
      <c r="D826" s="104" t="s">
        <v>2505</v>
      </c>
      <c r="E826" s="104" t="s">
        <v>2501</v>
      </c>
      <c r="F826" s="400" t="str">
        <f ca="1">IF(BC826&lt;2025, "Extinct&lt; 6Yrs?",BA826)</f>
        <v>Widespread</v>
      </c>
      <c r="G826" s="369" t="s">
        <v>525</v>
      </c>
      <c r="H826" s="369" t="s">
        <v>4028</v>
      </c>
      <c r="I826" s="370" t="s">
        <v>1164</v>
      </c>
      <c r="J826" s="371" t="s">
        <v>3692</v>
      </c>
      <c r="K826" s="371" t="s">
        <v>836</v>
      </c>
      <c r="L826" s="106" t="s">
        <v>2166</v>
      </c>
      <c r="M826" s="111" t="s">
        <v>4897</v>
      </c>
      <c r="N826" s="111" t="s">
        <v>5794</v>
      </c>
      <c r="O826" s="111" t="s">
        <v>6693</v>
      </c>
      <c r="P826" s="105" t="s">
        <v>168</v>
      </c>
      <c r="Q826" s="104" t="s">
        <v>2552</v>
      </c>
      <c r="R826" s="105" t="s">
        <v>2498</v>
      </c>
      <c r="S826" s="105" t="s">
        <v>2479</v>
      </c>
      <c r="T826" s="133" t="str">
        <f>IF(R826="Bogs Ponds Streams","20",IF(R826="Coastal Areas","26",IF(R826="Meadows Dry Open","10",IF(R826="Forest &amp; Understory","14",IF(R826="Moist Open","12",IF(R826="Moist Shady","10",IF(R826="Sub-Alpine Slopes","0")))))))</f>
        <v>10</v>
      </c>
      <c r="U826" s="133" t="str">
        <f>IF(R826="Bogs Ponds Streams","52",IF(R826="Coastal Areas","51",IF(R826="Meadows Dry Open","53",IF(R826="Forest &amp; Understory","52",IF(R826="Moist Open","50",IF(R826="Moist Shady","46",IF(R826="Sub-Alpine Slopes","40")))))))</f>
        <v>46</v>
      </c>
      <c r="V826" s="133" t="str">
        <f>IF(R826="Bogs Ponds Streams","84",IF(R826="Coastal Areas","76",IF(R826="Meadows Dry Open","96", IF(R826="Forest &amp; Understory","90", IF(R826="Moist Open","88", IF(R826="Moist Shady","82", IF(R826="Sub-Alpine Slopes","80")))))))</f>
        <v>82</v>
      </c>
      <c r="W826" s="104">
        <v>20</v>
      </c>
      <c r="X826" s="104">
        <v>0</v>
      </c>
      <c r="Y826" s="104">
        <v>3500</v>
      </c>
      <c r="Z826" s="104" t="s">
        <v>2519</v>
      </c>
      <c r="AA826" s="104" t="s">
        <v>2518</v>
      </c>
      <c r="AB826" s="104">
        <v>6.8</v>
      </c>
      <c r="AC826" s="107">
        <f>C826+AK826+(0.1)*AL826</f>
        <v>33</v>
      </c>
      <c r="AD826" s="113">
        <v>87</v>
      </c>
      <c r="AE826" s="104">
        <v>5</v>
      </c>
      <c r="AF826" s="104">
        <v>5</v>
      </c>
      <c r="AG826" s="104">
        <v>1900</v>
      </c>
      <c r="AH826" s="113">
        <v>0</v>
      </c>
      <c r="AI826" s="104">
        <f>AJ826</f>
        <v>2004</v>
      </c>
      <c r="AJ826" s="108">
        <v>2004</v>
      </c>
      <c r="AK826" s="108">
        <v>30</v>
      </c>
      <c r="AL826" s="108">
        <v>10</v>
      </c>
      <c r="AM826" s="109">
        <v>5</v>
      </c>
      <c r="AN826" s="109">
        <v>1</v>
      </c>
      <c r="AO826" s="110">
        <v>0</v>
      </c>
      <c r="AP826" s="109">
        <v>0</v>
      </c>
      <c r="AQ826" s="109">
        <v>0</v>
      </c>
      <c r="AR826" s="109">
        <v>0</v>
      </c>
      <c r="AS826" s="110">
        <v>0</v>
      </c>
      <c r="AT826" s="109">
        <v>0</v>
      </c>
      <c r="AU826" s="109">
        <v>0</v>
      </c>
      <c r="AV826" s="109">
        <v>0</v>
      </c>
      <c r="AW826" s="110">
        <v>0</v>
      </c>
      <c r="AX826" s="109">
        <v>0</v>
      </c>
      <c r="AY826" s="233"/>
      <c r="AZ826" s="4"/>
      <c r="BA826" s="35" t="str">
        <f>IF(OR(S826="North America",S826="Rocky Mountain"), "Widespread",BC826)</f>
        <v>Widespread</v>
      </c>
      <c r="BB826" s="4"/>
      <c r="BC826" s="35" t="str">
        <f ca="1">IF(BE826&gt;2046, "Abundant",BE826)</f>
        <v>Abundant</v>
      </c>
      <c r="BD826" s="4"/>
      <c r="BE826" s="81">
        <f ca="1">YEAR($C$13)+(BG826*80)</f>
        <v>2046.7469832442068</v>
      </c>
      <c r="BF826" s="4"/>
      <c r="BG826" s="137">
        <f ca="1">BH826*$BH$14</f>
        <v>0.34683729055258467</v>
      </c>
      <c r="BH826" s="137">
        <f ca="1">(((BJ826+BK826+BM826+BN826)/4)*$BM$11)+(((BP826+BQ826)/2)*$BQ$11)+(((BU826+BV826+BW826)/3)*$BU$11)+(((BY826+BZ826+CA826+CB826+CC826)/5)*$CA$11)</f>
        <v>0.34683729055258467</v>
      </c>
      <c r="BI826" s="4"/>
      <c r="BJ826" s="33">
        <f>AP826/(AM826+AO826)</f>
        <v>0</v>
      </c>
      <c r="BK826" s="33">
        <f>(AN826+AO826)/(AM826+AO826)</f>
        <v>0.2</v>
      </c>
      <c r="BL826" s="4"/>
      <c r="BM826" s="127">
        <f>CF826/102</f>
        <v>0.3235294117647059</v>
      </c>
      <c r="BN826" s="127">
        <f>C826/2</f>
        <v>1</v>
      </c>
      <c r="BO826" s="4"/>
      <c r="BP826" s="127">
        <f>(AK826)/($AW$6)</f>
        <v>0.30303030303030304</v>
      </c>
      <c r="BQ826" s="127">
        <f ca="1">(CH826-$AW$4)/((YEAR($C$13))-$AW$4)</f>
        <v>0</v>
      </c>
      <c r="BR826" s="127">
        <f>(AL826)/($AW$6)</f>
        <v>0.10101010101010101</v>
      </c>
      <c r="BS826" s="4"/>
      <c r="BT826" s="127"/>
      <c r="BU826" s="127">
        <f ca="1">(CG826-$AW$4)/((YEAR($C$13))-$AW$4)</f>
        <v>0</v>
      </c>
      <c r="BV826" s="127">
        <f>AE826/5</f>
        <v>1</v>
      </c>
      <c r="BW826" s="127">
        <f>AF826/5</f>
        <v>1</v>
      </c>
      <c r="BX826" s="4"/>
      <c r="BY826" s="148" t="str">
        <f>IF(E826="A",".98",IF(E826="B",".99",IF(E826="C","1.00",IF(E826="D","1.00" ))))</f>
        <v>1.00</v>
      </c>
      <c r="BZ826" s="127">
        <f>(CE826+7)/10</f>
        <v>1</v>
      </c>
      <c r="CA826" s="76" t="str">
        <f>IF(D826="Fern",".97",IF(D826="Grass",".99",IF(D826="Herb",".97",IF(D826="Shrub",".99",IF(D826="Tree","1.00",IF(D826="Vine",".98"))))))</f>
        <v>.97</v>
      </c>
      <c r="CB826" s="149" t="str">
        <f>IF(R826="Bogs Ponds Streams",".96", IF(R826="Coastal Areas",".97",IF(R826="Meadows Dry Open",".96",IF(R826="Forest &amp; Understory",".97",IF(R826="Moist Open",".98",IF(R826="Moist Shady",".96",IF(R826="Sub-Alpine","1.0")))))))</f>
        <v>.96</v>
      </c>
      <c r="CC826" s="76" t="str">
        <f>IF(S826="Local Endemic",".50",IF(S826="Regional Endemic",".70",IF(S826="Cascadia",".90",IF(S826="Rocky Mountain",".95",IF(S826="North America",".99")))))</f>
        <v>.95</v>
      </c>
      <c r="CD826" s="4"/>
      <c r="CE826" s="21">
        <f>IF(W826&gt;3,3,W826)</f>
        <v>3</v>
      </c>
      <c r="CF826" s="21">
        <f>IF(AC826&gt;102,102,AC826)</f>
        <v>33</v>
      </c>
      <c r="CG826" s="34">
        <f>IF(AI826&lt;$AW$4,$AW$4,AI826)</f>
        <v>2004</v>
      </c>
      <c r="CH826" s="34">
        <f>IF(AJ826&lt;$AW$4,$AW$4,AJ826)</f>
        <v>2004</v>
      </c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</row>
    <row r="827" spans="1:115" ht="15" customHeight="1" x14ac:dyDescent="0.3">
      <c r="A827" s="235"/>
      <c r="B827" s="218"/>
      <c r="C827" s="375">
        <v>1</v>
      </c>
      <c r="D827" s="67" t="s">
        <v>2505</v>
      </c>
      <c r="E827" s="67" t="s">
        <v>2501</v>
      </c>
      <c r="F827" s="403" t="str">
        <f ca="1">IF(BC827&lt;2025, "Extinct&lt; 6Yrs?",BA827)</f>
        <v>Widespread</v>
      </c>
      <c r="G827" s="376" t="s">
        <v>525</v>
      </c>
      <c r="H827" s="376" t="s">
        <v>4028</v>
      </c>
      <c r="I827" s="380" t="s">
        <v>178</v>
      </c>
      <c r="J827" s="378" t="s">
        <v>3500</v>
      </c>
      <c r="K827" s="378" t="s">
        <v>177</v>
      </c>
      <c r="L827" s="63" t="s">
        <v>2165</v>
      </c>
      <c r="M827" s="64" t="s">
        <v>4898</v>
      </c>
      <c r="N827" s="64" t="s">
        <v>5795</v>
      </c>
      <c r="O827" s="64" t="s">
        <v>6694</v>
      </c>
      <c r="P827" s="61" t="s">
        <v>168</v>
      </c>
      <c r="Q827" s="67" t="s">
        <v>2552</v>
      </c>
      <c r="R827" s="61" t="s">
        <v>2498</v>
      </c>
      <c r="S827" s="61" t="s">
        <v>2495</v>
      </c>
      <c r="T827" s="134" t="str">
        <f>IF(R827="Bogs Ponds Streams","20",IF(R827="Coastal Areas","26",IF(R827="Meadows Dry Open","10",IF(R827="Forest &amp; Understory","14",IF(R827="Moist Open","12",IF(R827="Moist Shady","10",IF(R827="Sub-Alpine Slopes","0")))))))</f>
        <v>10</v>
      </c>
      <c r="U827" s="134" t="str">
        <f>IF(R827="Bogs Ponds Streams","52",IF(R827="Coastal Areas","51",IF(R827="Meadows Dry Open","53",IF(R827="Forest &amp; Understory","52",IF(R827="Moist Open","50",IF(R827="Moist Shady","46",IF(R827="Sub-Alpine Slopes","40")))))))</f>
        <v>46</v>
      </c>
      <c r="V827" s="134" t="str">
        <f>IF(R827="Bogs Ponds Streams","84",IF(R827="Coastal Areas","76",IF(R827="Meadows Dry Open","96", IF(R827="Forest &amp; Understory","90", IF(R827="Moist Open","88", IF(R827="Moist Shady","82", IF(R827="Sub-Alpine Slopes","80")))))))</f>
        <v>82</v>
      </c>
      <c r="W827" s="67">
        <v>20</v>
      </c>
      <c r="X827" s="67">
        <v>0</v>
      </c>
      <c r="Y827" s="67">
        <v>3500</v>
      </c>
      <c r="Z827" s="67" t="s">
        <v>2519</v>
      </c>
      <c r="AA827" s="67" t="s">
        <v>2518</v>
      </c>
      <c r="AB827" s="67">
        <v>6.8</v>
      </c>
      <c r="AC827" s="85">
        <f>C827+AK827+(0.1)*AL827</f>
        <v>4.8</v>
      </c>
      <c r="AD827" s="78">
        <v>186</v>
      </c>
      <c r="AE827" s="67">
        <v>5</v>
      </c>
      <c r="AF827" s="67">
        <v>5</v>
      </c>
      <c r="AG827" s="67">
        <v>1900</v>
      </c>
      <c r="AH827" s="78">
        <v>0</v>
      </c>
      <c r="AI827" s="67">
        <f>AJ827</f>
        <v>2004</v>
      </c>
      <c r="AJ827" s="69">
        <v>2004</v>
      </c>
      <c r="AK827" s="69">
        <v>3</v>
      </c>
      <c r="AL827" s="69">
        <v>8</v>
      </c>
      <c r="AM827" s="70">
        <v>5</v>
      </c>
      <c r="AN827" s="70">
        <v>0</v>
      </c>
      <c r="AO827" s="86">
        <v>0</v>
      </c>
      <c r="AP827" s="70">
        <v>0</v>
      </c>
      <c r="AQ827" s="70">
        <v>0</v>
      </c>
      <c r="AR827" s="70">
        <v>0</v>
      </c>
      <c r="AS827" s="86">
        <v>0</v>
      </c>
      <c r="AT827" s="70">
        <v>0</v>
      </c>
      <c r="AU827" s="70">
        <v>0</v>
      </c>
      <c r="AV827" s="70">
        <v>0</v>
      </c>
      <c r="AW827" s="86">
        <v>0</v>
      </c>
      <c r="AX827" s="70">
        <v>0</v>
      </c>
      <c r="AY827" s="233"/>
      <c r="AZ827" s="4"/>
      <c r="BA827" s="35" t="str">
        <f>IF(OR(S827="North America",S827="Rocky Mountain"), "Widespread",BC827)</f>
        <v>Widespread</v>
      </c>
      <c r="BB827" s="4"/>
      <c r="BC827" s="35">
        <f ca="1">IF(BE827&gt;2046, "Abundant",BE827)</f>
        <v>2031.769408912656</v>
      </c>
      <c r="BD827" s="4"/>
      <c r="BE827" s="81">
        <f ca="1">YEAR($C$13)+(BG827*80)</f>
        <v>2031.769408912656</v>
      </c>
      <c r="BF827" s="4"/>
      <c r="BG827" s="137">
        <f ca="1">BH827*$BH$14</f>
        <v>0.15961761140819966</v>
      </c>
      <c r="BH827" s="137">
        <f ca="1">(((BJ827+BK827+BM827+BN827)/4)*$BM$11)+(((BP827+BQ827)/2)*$BQ$11)+(((BU827+BV827+BW827)/3)*$BU$11)+(((BY827+BZ827+CA827+CB827+CC827)/5)*$CA$11)</f>
        <v>0.15961761140819966</v>
      </c>
      <c r="BI827" s="4"/>
      <c r="BJ827" s="33">
        <f>AP827/(AM827+AO827)</f>
        <v>0</v>
      </c>
      <c r="BK827" s="33">
        <f>(AN827+AO827)/(AM827+AO827)</f>
        <v>0</v>
      </c>
      <c r="BL827" s="4"/>
      <c r="BM827" s="127">
        <f>CF827/102</f>
        <v>4.7058823529411764E-2</v>
      </c>
      <c r="BN827" s="127">
        <f>C827/2</f>
        <v>0.5</v>
      </c>
      <c r="BO827" s="4"/>
      <c r="BP827" s="127">
        <f>(AK827)/($AW$6)</f>
        <v>3.0303030303030304E-2</v>
      </c>
      <c r="BQ827" s="127">
        <f ca="1">(CH827-$AW$4)/((YEAR($C$13))-$AW$4)</f>
        <v>0</v>
      </c>
      <c r="BR827" s="127">
        <f>(AL827)/($AW$6)</f>
        <v>8.0808080808080815E-2</v>
      </c>
      <c r="BS827" s="4"/>
      <c r="BT827" s="127"/>
      <c r="BU827" s="127">
        <f ca="1">(CG827-$AW$4)/((YEAR($C$13))-$AW$4)</f>
        <v>0</v>
      </c>
      <c r="BV827" s="127">
        <f>AE827/5</f>
        <v>1</v>
      </c>
      <c r="BW827" s="127">
        <f>AF827/5</f>
        <v>1</v>
      </c>
      <c r="BX827" s="4"/>
      <c r="BY827" s="148" t="str">
        <f>IF(E827="A",".98",IF(E827="B",".99",IF(E827="C","1.00",IF(E827="D","1.00" ))))</f>
        <v>1.00</v>
      </c>
      <c r="BZ827" s="127">
        <f>(CE827+7)/10</f>
        <v>1</v>
      </c>
      <c r="CA827" s="76" t="str">
        <f>IF(D827="Fern",".97",IF(D827="Grass",".99",IF(D827="Herb",".97",IF(D827="Shrub",".99",IF(D827="Tree","1.00",IF(D827="Vine",".98"))))))</f>
        <v>.97</v>
      </c>
      <c r="CB827" s="149" t="str">
        <f>IF(R827="Bogs Ponds Streams",".96", IF(R827="Coastal Areas",".97",IF(R827="Meadows Dry Open",".96",IF(R827="Forest &amp; Understory",".97",IF(R827="Moist Open",".98",IF(R827="Moist Shady",".96",IF(R827="Sub-Alpine","1.0")))))))</f>
        <v>.96</v>
      </c>
      <c r="CC827" s="76" t="str">
        <f>IF(S827="Local Endemic",".50",IF(S827="Regional Endemic",".70",IF(S827="Cascadia",".90",IF(S827="Rocky Mountain",".95",IF(S827="North America",".99")))))</f>
        <v>.99</v>
      </c>
      <c r="CD827" s="4"/>
      <c r="CE827" s="21">
        <f>IF(W827&gt;3,3,W827)</f>
        <v>3</v>
      </c>
      <c r="CF827" s="21">
        <f>IF(AC827&gt;102,102,AC827)</f>
        <v>4.8</v>
      </c>
      <c r="CG827" s="34">
        <f>IF(AI827&lt;$AW$4,$AW$4,AI827)</f>
        <v>2004</v>
      </c>
      <c r="CH827" s="34">
        <f>IF(AJ827&lt;$AW$4,$AW$4,AJ827)</f>
        <v>2004</v>
      </c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</row>
    <row r="828" spans="1:115" ht="15" customHeight="1" x14ac:dyDescent="0.3">
      <c r="A828" s="235"/>
      <c r="B828" s="218"/>
      <c r="C828" s="226">
        <v>2</v>
      </c>
      <c r="D828" s="104" t="s">
        <v>2505</v>
      </c>
      <c r="E828" s="104" t="s">
        <v>2501</v>
      </c>
      <c r="F828" s="400" t="str">
        <f ca="1">IF(BC828&lt;2025, "Extinct&lt; 6Yrs?",BA828)</f>
        <v>Widespread</v>
      </c>
      <c r="G828" s="369" t="s">
        <v>525</v>
      </c>
      <c r="H828" s="369" t="s">
        <v>4028</v>
      </c>
      <c r="I828" s="372" t="s">
        <v>2713</v>
      </c>
      <c r="J828" s="371" t="s">
        <v>3691</v>
      </c>
      <c r="K828" s="371" t="s">
        <v>2818</v>
      </c>
      <c r="L828" s="114" t="s">
        <v>2164</v>
      </c>
      <c r="M828" s="111" t="s">
        <v>4899</v>
      </c>
      <c r="N828" s="111" t="s">
        <v>5796</v>
      </c>
      <c r="O828" s="111" t="s">
        <v>6695</v>
      </c>
      <c r="P828" s="401" t="s">
        <v>168</v>
      </c>
      <c r="Q828" s="104" t="s">
        <v>2552</v>
      </c>
      <c r="R828" s="105" t="s">
        <v>2498</v>
      </c>
      <c r="S828" s="105" t="s">
        <v>2495</v>
      </c>
      <c r="T828" s="133" t="str">
        <f>IF(R828="Bogs Ponds Streams","20",IF(R828="Coastal Areas","26",IF(R828="Meadows Dry Open","10",IF(R828="Forest &amp; Understory","14",IF(R828="Moist Open","12",IF(R828="Moist Shady","10",IF(R828="Sub-Alpine Slopes","0")))))))</f>
        <v>10</v>
      </c>
      <c r="U828" s="133" t="str">
        <f>IF(R828="Bogs Ponds Streams","52",IF(R828="Coastal Areas","51",IF(R828="Meadows Dry Open","53",IF(R828="Forest &amp; Understory","52",IF(R828="Moist Open","50",IF(R828="Moist Shady","46",IF(R828="Sub-Alpine Slopes","40")))))))</f>
        <v>46</v>
      </c>
      <c r="V828" s="133" t="str">
        <f>IF(R828="Bogs Ponds Streams","84",IF(R828="Coastal Areas","76",IF(R828="Meadows Dry Open","96", IF(R828="Forest &amp; Understory","90", IF(R828="Moist Open","88", IF(R828="Moist Shady","82", IF(R828="Sub-Alpine Slopes","80")))))))</f>
        <v>82</v>
      </c>
      <c r="W828" s="104">
        <v>20</v>
      </c>
      <c r="X828" s="104">
        <v>0</v>
      </c>
      <c r="Y828" s="104">
        <v>3500</v>
      </c>
      <c r="Z828" s="104" t="s">
        <v>2519</v>
      </c>
      <c r="AA828" s="104" t="s">
        <v>2518</v>
      </c>
      <c r="AB828" s="104">
        <v>6.8</v>
      </c>
      <c r="AC828" s="107">
        <f>C828+AK828+(0.1)*AL828</f>
        <v>24</v>
      </c>
      <c r="AD828" s="113">
        <v>186</v>
      </c>
      <c r="AE828" s="104">
        <v>5</v>
      </c>
      <c r="AF828" s="104">
        <v>5</v>
      </c>
      <c r="AG828" s="104">
        <v>1900</v>
      </c>
      <c r="AH828" s="113">
        <v>0</v>
      </c>
      <c r="AI828" s="104">
        <f>AJ828</f>
        <v>2004</v>
      </c>
      <c r="AJ828" s="108">
        <v>2004</v>
      </c>
      <c r="AK828" s="108">
        <v>20</v>
      </c>
      <c r="AL828" s="108">
        <v>20</v>
      </c>
      <c r="AM828" s="109">
        <v>5</v>
      </c>
      <c r="AN828" s="109">
        <v>1</v>
      </c>
      <c r="AO828" s="109">
        <v>1</v>
      </c>
      <c r="AP828" s="109">
        <v>0</v>
      </c>
      <c r="AQ828" s="109">
        <v>0</v>
      </c>
      <c r="AR828" s="109">
        <v>0</v>
      </c>
      <c r="AS828" s="110">
        <v>0</v>
      </c>
      <c r="AT828" s="109">
        <v>0</v>
      </c>
      <c r="AU828" s="109">
        <v>0</v>
      </c>
      <c r="AV828" s="109">
        <v>0</v>
      </c>
      <c r="AW828" s="110">
        <v>0</v>
      </c>
      <c r="AX828" s="109">
        <v>0</v>
      </c>
      <c r="AY828" s="233"/>
      <c r="AZ828" s="4"/>
      <c r="BA828" s="35" t="str">
        <f>IF(OR(S828="North America",S828="Rocky Mountain"), "Widespread",BC828)</f>
        <v>Widespread</v>
      </c>
      <c r="BB828" s="4"/>
      <c r="BC828" s="35" t="str">
        <f ca="1">IF(BE828&gt;2046, "Abundant",BE828)</f>
        <v>Abundant</v>
      </c>
      <c r="BD828" s="4"/>
      <c r="BE828" s="81">
        <f ca="1">YEAR($C$13)+(BG828*80)</f>
        <v>2046.0888385026738</v>
      </c>
      <c r="BF828" s="4"/>
      <c r="BG828" s="137">
        <f ca="1">BH828*$BH$14</f>
        <v>0.33861048128342242</v>
      </c>
      <c r="BH828" s="137">
        <f ca="1">(((BJ828+BK828+BM828+BN828)/4)*$BM$11)+(((BP828+BQ828)/2)*$BQ$11)+(((BU828+BV828+BW828)/3)*$BU$11)+(((BY828+BZ828+CA828+CB828+CC828)/5)*$CA$11)</f>
        <v>0.33861048128342242</v>
      </c>
      <c r="BI828" s="4"/>
      <c r="BJ828" s="33">
        <f>AP828/(AM828+AO828)</f>
        <v>0</v>
      </c>
      <c r="BK828" s="33">
        <f>(AN828+AO828)/(AM828+AO828)</f>
        <v>0.33333333333333331</v>
      </c>
      <c r="BL828" s="4"/>
      <c r="BM828" s="127">
        <f>CF828/102</f>
        <v>0.23529411764705882</v>
      </c>
      <c r="BN828" s="127">
        <f>C828/2</f>
        <v>1</v>
      </c>
      <c r="BO828" s="4"/>
      <c r="BP828" s="127">
        <f>(AK828)/($AW$6)</f>
        <v>0.20202020202020202</v>
      </c>
      <c r="BQ828" s="127">
        <f ca="1">(CH828-$AW$4)/((YEAR($C$13))-$AW$4)</f>
        <v>0</v>
      </c>
      <c r="BR828" s="127">
        <f>(AL828)/($AW$6)</f>
        <v>0.20202020202020202</v>
      </c>
      <c r="BS828" s="4"/>
      <c r="BT828" s="127"/>
      <c r="BU828" s="127">
        <f ca="1">(CG828-$AW$4)/((YEAR($C$13))-$AW$4)</f>
        <v>0</v>
      </c>
      <c r="BV828" s="127">
        <f>AE828/5</f>
        <v>1</v>
      </c>
      <c r="BW828" s="127">
        <f>AF828/5</f>
        <v>1</v>
      </c>
      <c r="BX828" s="4"/>
      <c r="BY828" s="148" t="str">
        <f>IF(E828="A",".98",IF(E828="B",".99",IF(E828="C","1.00",IF(E828="D","1.00" ))))</f>
        <v>1.00</v>
      </c>
      <c r="BZ828" s="127">
        <f>(CE828+7)/10</f>
        <v>1</v>
      </c>
      <c r="CA828" s="76" t="str">
        <f>IF(D828="Fern",".97",IF(D828="Grass",".99",IF(D828="Herb",".97",IF(D828="Shrub",".99",IF(D828="Tree","1.00",IF(D828="Vine",".98"))))))</f>
        <v>.97</v>
      </c>
      <c r="CB828" s="149" t="str">
        <f>IF(R828="Bogs Ponds Streams",".96", IF(R828="Coastal Areas",".97",IF(R828="Meadows Dry Open",".96",IF(R828="Forest &amp; Understory",".97",IF(R828="Moist Open",".98",IF(R828="Moist Shady",".96",IF(R828="Sub-Alpine","1.0")))))))</f>
        <v>.96</v>
      </c>
      <c r="CC828" s="76" t="str">
        <f>IF(S828="Local Endemic",".50",IF(S828="Regional Endemic",".70",IF(S828="Cascadia",".90",IF(S828="Rocky Mountain",".95",IF(S828="North America",".99")))))</f>
        <v>.99</v>
      </c>
      <c r="CD828" s="4"/>
      <c r="CE828" s="21">
        <f>IF(W828&gt;3,3,W828)</f>
        <v>3</v>
      </c>
      <c r="CF828" s="21">
        <f>IF(AC828&gt;102,102,AC828)</f>
        <v>24</v>
      </c>
      <c r="CG828" s="34">
        <f>IF(AI828&lt;$AW$4,$AW$4,AI828)</f>
        <v>2004</v>
      </c>
      <c r="CH828" s="34">
        <f>IF(AJ828&lt;$AW$4,$AW$4,AJ828)</f>
        <v>2004</v>
      </c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</row>
    <row r="829" spans="1:115" ht="15" customHeight="1" x14ac:dyDescent="0.3">
      <c r="A829" s="235"/>
      <c r="B829" s="218"/>
      <c r="C829" s="375">
        <v>1</v>
      </c>
      <c r="D829" s="67" t="s">
        <v>2505</v>
      </c>
      <c r="E829" s="67" t="s">
        <v>2502</v>
      </c>
      <c r="F829" s="403" t="str">
        <f ca="1">IF(BC829&lt;2025, "Extinct&lt; 6Yrs?",BA829)</f>
        <v>Widespread</v>
      </c>
      <c r="G829" s="376" t="s">
        <v>525</v>
      </c>
      <c r="H829" s="376" t="s">
        <v>4028</v>
      </c>
      <c r="I829" s="379" t="s">
        <v>2714</v>
      </c>
      <c r="J829" s="378" t="s">
        <v>3499</v>
      </c>
      <c r="K829" s="378" t="s">
        <v>1142</v>
      </c>
      <c r="L829" s="65" t="s">
        <v>4031</v>
      </c>
      <c r="M829" s="64" t="s">
        <v>4900</v>
      </c>
      <c r="N829" s="64" t="s">
        <v>5797</v>
      </c>
      <c r="O829" s="64" t="s">
        <v>6696</v>
      </c>
      <c r="P829" s="404" t="s">
        <v>168</v>
      </c>
      <c r="Q829" s="67" t="s">
        <v>2552</v>
      </c>
      <c r="R829" s="61" t="s">
        <v>2500</v>
      </c>
      <c r="S829" s="61" t="s">
        <v>2479</v>
      </c>
      <c r="T829" s="134" t="str">
        <f>IF(R829="Bogs Ponds Streams","20",IF(R829="Coastal Areas","26",IF(R829="Meadows Dry Open","10",IF(R829="Forest &amp; Understory","14",IF(R829="Moist Open","12",IF(R829="Moist Shady","10",IF(R829="Sub-Alpine Slopes","0")))))))</f>
        <v>10</v>
      </c>
      <c r="U829" s="134" t="str">
        <f>IF(R829="Bogs Ponds Streams","52",IF(R829="Coastal Areas","51",IF(R829="Meadows Dry Open","53",IF(R829="Forest &amp; Understory","52",IF(R829="Moist Open","50",IF(R829="Moist Shady","46",IF(R829="Sub-Alpine Slopes","40")))))))</f>
        <v>53</v>
      </c>
      <c r="V829" s="134" t="str">
        <f>IF(R829="Bogs Ponds Streams","84",IF(R829="Coastal Areas","76",IF(R829="Meadows Dry Open","96", IF(R829="Forest &amp; Understory","90", IF(R829="Moist Open","88", IF(R829="Moist Shady","82", IF(R829="Sub-Alpine Slopes","80")))))))</f>
        <v>96</v>
      </c>
      <c r="W829" s="67">
        <v>1</v>
      </c>
      <c r="X829" s="67">
        <v>0</v>
      </c>
      <c r="Y829" s="67">
        <v>3500</v>
      </c>
      <c r="Z829" s="67" t="s">
        <v>2519</v>
      </c>
      <c r="AA829" s="67" t="s">
        <v>2518</v>
      </c>
      <c r="AB829" s="67">
        <v>6.8</v>
      </c>
      <c r="AC829" s="85">
        <f>C829+AK829+(0.1)*AL829</f>
        <v>12</v>
      </c>
      <c r="AD829" s="78">
        <v>41</v>
      </c>
      <c r="AE829" s="67">
        <v>5</v>
      </c>
      <c r="AF829" s="67">
        <v>5</v>
      </c>
      <c r="AG829" s="67">
        <v>1900</v>
      </c>
      <c r="AH829" s="78">
        <v>0</v>
      </c>
      <c r="AI829" s="67">
        <f>AJ829</f>
        <v>2004</v>
      </c>
      <c r="AJ829" s="69">
        <v>2004</v>
      </c>
      <c r="AK829" s="69">
        <v>10</v>
      </c>
      <c r="AL829" s="69">
        <v>10</v>
      </c>
      <c r="AM829" s="70">
        <v>5</v>
      </c>
      <c r="AN829" s="70">
        <v>0</v>
      </c>
      <c r="AO829" s="86">
        <v>0</v>
      </c>
      <c r="AP829" s="70">
        <v>0</v>
      </c>
      <c r="AQ829" s="70">
        <v>0</v>
      </c>
      <c r="AR829" s="70">
        <v>0</v>
      </c>
      <c r="AS829" s="86">
        <v>0</v>
      </c>
      <c r="AT829" s="70">
        <v>0</v>
      </c>
      <c r="AU829" s="70">
        <v>0</v>
      </c>
      <c r="AV829" s="70">
        <v>0</v>
      </c>
      <c r="AW829" s="86">
        <v>0</v>
      </c>
      <c r="AX829" s="70">
        <v>0</v>
      </c>
      <c r="AY829" s="233"/>
      <c r="AZ829" s="4"/>
      <c r="BA829" s="35" t="str">
        <f>IF(OR(S829="North America",S829="Rocky Mountain"), "Widespread",BC829)</f>
        <v>Widespread</v>
      </c>
      <c r="BB829" s="4"/>
      <c r="BC829" s="35">
        <f ca="1">IF(BE829&gt;2046, "Abundant",BE829)</f>
        <v>2033.3817525846703</v>
      </c>
      <c r="BD829" s="4"/>
      <c r="BE829" s="81">
        <f ca="1">YEAR($C$13)+(BG829*80)</f>
        <v>2033.3817525846703</v>
      </c>
      <c r="BF829" s="4"/>
      <c r="BG829" s="137">
        <f ca="1">BH829*$BH$14</f>
        <v>0.17977190730837789</v>
      </c>
      <c r="BH829" s="137">
        <f ca="1">(((BJ829+BK829+BM829+BN829)/4)*$BM$11)+(((BP829+BQ829)/2)*$BQ$11)+(((BU829+BV829+BW829)/3)*$BU$11)+(((BY829+BZ829+CA829+CB829+CC829)/5)*$CA$11)</f>
        <v>0.17977190730837789</v>
      </c>
      <c r="BI829" s="4"/>
      <c r="BJ829" s="33">
        <f>AP829/(AM829+AO829)</f>
        <v>0</v>
      </c>
      <c r="BK829" s="33">
        <f>(AN829+AO829)/(AM829+AO829)</f>
        <v>0</v>
      </c>
      <c r="BL829" s="4"/>
      <c r="BM829" s="127">
        <f>CF829/102</f>
        <v>0.11764705882352941</v>
      </c>
      <c r="BN829" s="127">
        <f>C829/2</f>
        <v>0.5</v>
      </c>
      <c r="BO829" s="4"/>
      <c r="BP829" s="127">
        <f>(AK829)/($AW$6)</f>
        <v>0.10101010101010101</v>
      </c>
      <c r="BQ829" s="127">
        <f ca="1">(CH829-$AW$4)/((YEAR($C$13))-$AW$4)</f>
        <v>0</v>
      </c>
      <c r="BR829" s="127">
        <f>(AL829)/($AW$6)</f>
        <v>0.10101010101010101</v>
      </c>
      <c r="BS829" s="4"/>
      <c r="BT829" s="127"/>
      <c r="BU829" s="127">
        <f ca="1">(CG829-$AW$4)/((YEAR($C$13))-$AW$4)</f>
        <v>0</v>
      </c>
      <c r="BV829" s="127">
        <f>AE829/5</f>
        <v>1</v>
      </c>
      <c r="BW829" s="127">
        <f>AF829/5</f>
        <v>1</v>
      </c>
      <c r="BX829" s="4"/>
      <c r="BY829" s="148" t="str">
        <f>IF(E829="A",".98",IF(E829="B",".99",IF(E829="C","1.00",IF(E829="D","1.00" ))))</f>
        <v>.98</v>
      </c>
      <c r="BZ829" s="127">
        <f>(CE829+7)/10</f>
        <v>0.8</v>
      </c>
      <c r="CA829" s="76" t="str">
        <f>IF(D829="Fern",".97",IF(D829="Grass",".99",IF(D829="Herb",".97",IF(D829="Shrub",".99",IF(D829="Tree","1.00",IF(D829="Vine",".98"))))))</f>
        <v>.97</v>
      </c>
      <c r="CB829" s="149" t="str">
        <f>IF(R829="Bogs Ponds Streams",".96", IF(R829="Coastal Areas",".97",IF(R829="Meadows Dry Open",".96",IF(R829="Forest &amp; Understory",".97",IF(R829="Moist Open",".98",IF(R829="Moist Shady",".96",IF(R829="Sub-Alpine","1.0")))))))</f>
        <v>.96</v>
      </c>
      <c r="CC829" s="76" t="str">
        <f>IF(S829="Local Endemic",".50",IF(S829="Regional Endemic",".70",IF(S829="Cascadia",".90",IF(S829="Rocky Mountain",".95",IF(S829="North America",".99")))))</f>
        <v>.95</v>
      </c>
      <c r="CD829" s="4"/>
      <c r="CE829" s="21">
        <f>IF(W829&gt;3,3,W829)</f>
        <v>1</v>
      </c>
      <c r="CF829" s="21">
        <f>IF(AC829&gt;102,102,AC829)</f>
        <v>12</v>
      </c>
      <c r="CG829" s="34">
        <f>IF(AI829&lt;$AW$4,$AW$4,AI829)</f>
        <v>2004</v>
      </c>
      <c r="CH829" s="34">
        <f>IF(AJ829&lt;$AW$4,$AW$4,AJ829)</f>
        <v>2004</v>
      </c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</row>
    <row r="830" spans="1:115" ht="15" customHeight="1" x14ac:dyDescent="0.3">
      <c r="A830" s="235"/>
      <c r="B830" s="218"/>
      <c r="C830" s="375">
        <v>1</v>
      </c>
      <c r="D830" s="67" t="s">
        <v>2505</v>
      </c>
      <c r="E830" s="67" t="s">
        <v>2501</v>
      </c>
      <c r="F830" s="403" t="str">
        <f ca="1">IF(BC830&lt;2025, "Extinct&lt; 6Yrs?",BA830)</f>
        <v>Widespread</v>
      </c>
      <c r="G830" s="376" t="s">
        <v>525</v>
      </c>
      <c r="H830" s="376" t="s">
        <v>4028</v>
      </c>
      <c r="I830" s="379" t="s">
        <v>2715</v>
      </c>
      <c r="J830" s="378" t="s">
        <v>4082</v>
      </c>
      <c r="K830" s="378" t="s">
        <v>2819</v>
      </c>
      <c r="L830" s="65" t="s">
        <v>2163</v>
      </c>
      <c r="M830" s="64" t="s">
        <v>4901</v>
      </c>
      <c r="N830" s="64" t="s">
        <v>5798</v>
      </c>
      <c r="O830" s="64" t="s">
        <v>6697</v>
      </c>
      <c r="P830" s="404" t="s">
        <v>168</v>
      </c>
      <c r="Q830" s="67" t="s">
        <v>2552</v>
      </c>
      <c r="R830" s="61" t="s">
        <v>2498</v>
      </c>
      <c r="S830" s="61" t="s">
        <v>2479</v>
      </c>
      <c r="T830" s="134" t="str">
        <f>IF(R830="Bogs Ponds Streams","20",IF(R830="Coastal Areas","26",IF(R830="Meadows Dry Open","10",IF(R830="Forest &amp; Understory","14",IF(R830="Moist Open","12",IF(R830="Moist Shady","10",IF(R830="Sub-Alpine Slopes","0")))))))</f>
        <v>10</v>
      </c>
      <c r="U830" s="134" t="str">
        <f>IF(R830="Bogs Ponds Streams","52",IF(R830="Coastal Areas","51",IF(R830="Meadows Dry Open","53",IF(R830="Forest &amp; Understory","52",IF(R830="Moist Open","50",IF(R830="Moist Shady","46",IF(R830="Sub-Alpine Slopes","40")))))))</f>
        <v>46</v>
      </c>
      <c r="V830" s="134" t="str">
        <f>IF(R830="Bogs Ponds Streams","84",IF(R830="Coastal Areas","76",IF(R830="Meadows Dry Open","96", IF(R830="Forest &amp; Understory","90", IF(R830="Moist Open","88", IF(R830="Moist Shady","82", IF(R830="Sub-Alpine Slopes","80")))))))</f>
        <v>82</v>
      </c>
      <c r="W830" s="67">
        <v>20</v>
      </c>
      <c r="X830" s="67">
        <v>0</v>
      </c>
      <c r="Y830" s="67">
        <v>3500</v>
      </c>
      <c r="Z830" s="67" t="s">
        <v>2519</v>
      </c>
      <c r="AA830" s="67" t="s">
        <v>2518</v>
      </c>
      <c r="AB830" s="67">
        <v>6.8</v>
      </c>
      <c r="AC830" s="85">
        <f>C830+AK830+(0.1)*AL830</f>
        <v>4.2</v>
      </c>
      <c r="AD830" s="78">
        <v>15</v>
      </c>
      <c r="AE830" s="67">
        <v>5</v>
      </c>
      <c r="AF830" s="67">
        <v>5</v>
      </c>
      <c r="AG830" s="67">
        <v>1900</v>
      </c>
      <c r="AH830" s="78">
        <v>0</v>
      </c>
      <c r="AI830" s="67">
        <f>AJ830</f>
        <v>2004</v>
      </c>
      <c r="AJ830" s="69">
        <v>2004</v>
      </c>
      <c r="AK830" s="69">
        <v>3</v>
      </c>
      <c r="AL830" s="69">
        <v>2</v>
      </c>
      <c r="AM830" s="70">
        <v>5</v>
      </c>
      <c r="AN830" s="70">
        <v>0</v>
      </c>
      <c r="AO830" s="86">
        <v>0</v>
      </c>
      <c r="AP830" s="70">
        <v>0</v>
      </c>
      <c r="AQ830" s="70">
        <v>0</v>
      </c>
      <c r="AR830" s="70">
        <v>0</v>
      </c>
      <c r="AS830" s="86">
        <v>0</v>
      </c>
      <c r="AT830" s="70">
        <v>0</v>
      </c>
      <c r="AU830" s="70">
        <v>0</v>
      </c>
      <c r="AV830" s="70">
        <v>0</v>
      </c>
      <c r="AW830" s="86">
        <v>0</v>
      </c>
      <c r="AX830" s="70">
        <v>0</v>
      </c>
      <c r="AY830" s="233"/>
      <c r="AZ830" s="4"/>
      <c r="BA830" s="35" t="str">
        <f>IF(OR(S830="North America",S830="Rocky Mountain"), "Widespread",BC830)</f>
        <v>Widespread</v>
      </c>
      <c r="BB830" s="4"/>
      <c r="BC830" s="35">
        <f ca="1">IF(BE830&gt;2046, "Abundant",BE830)</f>
        <v>2031.6860206773617</v>
      </c>
      <c r="BD830" s="4"/>
      <c r="BE830" s="81">
        <f ca="1">YEAR($C$13)+(BG830*80)</f>
        <v>2031.6860206773617</v>
      </c>
      <c r="BF830" s="4"/>
      <c r="BG830" s="137">
        <f ca="1">BH830*$BH$14</f>
        <v>0.15857525846702317</v>
      </c>
      <c r="BH830" s="137">
        <f ca="1">(((BJ830+BK830+BM830+BN830)/4)*$BM$11)+(((BP830+BQ830)/2)*$BQ$11)+(((BU830+BV830+BW830)/3)*$BU$11)+(((BY830+BZ830+CA830+CB830+CC830)/5)*$CA$11)</f>
        <v>0.15857525846702317</v>
      </c>
      <c r="BI830" s="4"/>
      <c r="BJ830" s="33">
        <f>AP830/(AM830+AO830)</f>
        <v>0</v>
      </c>
      <c r="BK830" s="33">
        <f>(AN830+AO830)/(AM830+AO830)</f>
        <v>0</v>
      </c>
      <c r="BL830" s="4"/>
      <c r="BM830" s="127">
        <f>CF830/102</f>
        <v>4.1176470588235294E-2</v>
      </c>
      <c r="BN830" s="127">
        <f>C830/2</f>
        <v>0.5</v>
      </c>
      <c r="BO830" s="4"/>
      <c r="BP830" s="127">
        <f>(AK830)/($AW$6)</f>
        <v>3.0303030303030304E-2</v>
      </c>
      <c r="BQ830" s="127">
        <f ca="1">(CH830-$AW$4)/((YEAR($C$13))-$AW$4)</f>
        <v>0</v>
      </c>
      <c r="BR830" s="127">
        <f>(AL830)/($AW$6)</f>
        <v>2.0202020202020204E-2</v>
      </c>
      <c r="BS830" s="4"/>
      <c r="BT830" s="127"/>
      <c r="BU830" s="127">
        <f ca="1">(CG830-$AW$4)/((YEAR($C$13))-$AW$4)</f>
        <v>0</v>
      </c>
      <c r="BV830" s="127">
        <f>AE830/5</f>
        <v>1</v>
      </c>
      <c r="BW830" s="127">
        <f>AF830/5</f>
        <v>1</v>
      </c>
      <c r="BX830" s="4"/>
      <c r="BY830" s="148" t="str">
        <f>IF(E830="A",".98",IF(E830="B",".99",IF(E830="C","1.00",IF(E830="D","1.00" ))))</f>
        <v>1.00</v>
      </c>
      <c r="BZ830" s="127">
        <f>(CE830+7)/10</f>
        <v>1</v>
      </c>
      <c r="CA830" s="76" t="str">
        <f>IF(D830="Fern",".97",IF(D830="Grass",".99",IF(D830="Herb",".97",IF(D830="Shrub",".99",IF(D830="Tree","1.00",IF(D830="Vine",".98"))))))</f>
        <v>.97</v>
      </c>
      <c r="CB830" s="149" t="str">
        <f>IF(R830="Bogs Ponds Streams",".96", IF(R830="Coastal Areas",".97",IF(R830="Meadows Dry Open",".96",IF(R830="Forest &amp; Understory",".97",IF(R830="Moist Open",".98",IF(R830="Moist Shady",".96",IF(R830="Sub-Alpine","1.0")))))))</f>
        <v>.96</v>
      </c>
      <c r="CC830" s="76" t="str">
        <f>IF(S830="Local Endemic",".50",IF(S830="Regional Endemic",".70",IF(S830="Cascadia",".90",IF(S830="Rocky Mountain",".95",IF(S830="North America",".99")))))</f>
        <v>.95</v>
      </c>
      <c r="CD830" s="4"/>
      <c r="CE830" s="21">
        <f>IF(W830&gt;3,3,W830)</f>
        <v>3</v>
      </c>
      <c r="CF830" s="21">
        <f>IF(AC830&gt;102,102,AC830)</f>
        <v>4.2</v>
      </c>
      <c r="CG830" s="34">
        <f>IF(AI830&lt;$AW$4,$AW$4,AI830)</f>
        <v>2004</v>
      </c>
      <c r="CH830" s="34">
        <f>IF(AJ830&lt;$AW$4,$AW$4,AJ830)</f>
        <v>2004</v>
      </c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</row>
    <row r="831" spans="1:115" ht="15" customHeight="1" x14ac:dyDescent="0.3">
      <c r="A831" s="235"/>
      <c r="B831" s="218"/>
      <c r="C831" s="225">
        <v>8</v>
      </c>
      <c r="D831" s="59" t="s">
        <v>2505</v>
      </c>
      <c r="E831" s="59" t="s">
        <v>2501</v>
      </c>
      <c r="F831" s="397" t="str">
        <f ca="1">IF(BC831&lt;2025, "Extinct&lt; 6Yrs?",BA831)</f>
        <v>Widespread</v>
      </c>
      <c r="G831" s="363" t="s">
        <v>525</v>
      </c>
      <c r="H831" s="363" t="s">
        <v>679</v>
      </c>
      <c r="I831" s="366" t="s">
        <v>451</v>
      </c>
      <c r="J831" s="365" t="s">
        <v>3907</v>
      </c>
      <c r="K831" s="365" t="s">
        <v>837</v>
      </c>
      <c r="L831" s="10" t="s">
        <v>2162</v>
      </c>
      <c r="M831" s="8" t="s">
        <v>4902</v>
      </c>
      <c r="N831" s="8" t="s">
        <v>5799</v>
      </c>
      <c r="O831" s="8" t="s">
        <v>6698</v>
      </c>
      <c r="P831" s="9" t="s">
        <v>749</v>
      </c>
      <c r="Q831" s="59" t="s">
        <v>2552</v>
      </c>
      <c r="R831" s="9" t="s">
        <v>2500</v>
      </c>
      <c r="S831" s="9" t="s">
        <v>2495</v>
      </c>
      <c r="T831" s="123" t="str">
        <f>IF(R831="Bogs Ponds Streams","20",IF(R831="Coastal Areas","26",IF(R831="Meadows Dry Open","10",IF(R831="Forest &amp; Understory","14",IF(R831="Moist Open","12",IF(R831="Moist Shady","10",IF(R831="Sub-Alpine Slopes","0")))))))</f>
        <v>10</v>
      </c>
      <c r="U831" s="123" t="str">
        <f>IF(R831="Bogs Ponds Streams","52",IF(R831="Coastal Areas","51",IF(R831="Meadows Dry Open","53",IF(R831="Forest &amp; Understory","52",IF(R831="Moist Open","50",IF(R831="Moist Shady","46",IF(R831="Sub-Alpine Slopes","40")))))))</f>
        <v>53</v>
      </c>
      <c r="V831" s="123" t="str">
        <f>IF(R831="Bogs Ponds Streams","84",IF(R831="Coastal Areas","76",IF(R831="Meadows Dry Open","96", IF(R831="Forest &amp; Understory","90", IF(R831="Moist Open","88", IF(R831="Moist Shady","82", IF(R831="Sub-Alpine Slopes","80")))))))</f>
        <v>96</v>
      </c>
      <c r="W831" s="59">
        <v>20</v>
      </c>
      <c r="X831" s="59">
        <v>0</v>
      </c>
      <c r="Y831" s="59">
        <v>3500</v>
      </c>
      <c r="Z831" s="59" t="s">
        <v>2519</v>
      </c>
      <c r="AA831" s="59" t="s">
        <v>2518</v>
      </c>
      <c r="AB831" s="59">
        <v>6.8</v>
      </c>
      <c r="AC831" s="45">
        <f>C831+AK831+(0.1)*AL831</f>
        <v>29</v>
      </c>
      <c r="AD831" s="77">
        <v>192</v>
      </c>
      <c r="AE831" s="59">
        <v>5</v>
      </c>
      <c r="AF831" s="59">
        <v>5</v>
      </c>
      <c r="AG831" s="59">
        <v>1900</v>
      </c>
      <c r="AH831" s="77">
        <v>0</v>
      </c>
      <c r="AI831" s="59">
        <f>AJ831</f>
        <v>2004</v>
      </c>
      <c r="AJ831" s="18">
        <v>2004</v>
      </c>
      <c r="AK831" s="18">
        <v>20</v>
      </c>
      <c r="AL831" s="18">
        <v>10</v>
      </c>
      <c r="AM831" s="18">
        <v>1</v>
      </c>
      <c r="AN831" s="18">
        <v>1</v>
      </c>
      <c r="AO831" s="25">
        <v>0</v>
      </c>
      <c r="AP831" s="24">
        <v>0</v>
      </c>
      <c r="AQ831" s="18">
        <v>0</v>
      </c>
      <c r="AR831" s="18">
        <v>0</v>
      </c>
      <c r="AS831" s="18">
        <v>0</v>
      </c>
      <c r="AT831" s="18">
        <v>0</v>
      </c>
      <c r="AU831" s="18">
        <v>0</v>
      </c>
      <c r="AV831" s="18">
        <v>0</v>
      </c>
      <c r="AW831" s="18">
        <v>0</v>
      </c>
      <c r="AX831" s="18">
        <v>0</v>
      </c>
      <c r="AY831" s="233"/>
      <c r="AZ831" s="4"/>
      <c r="BA831" s="35" t="str">
        <f>IF(OR(S831="North America",S831="Rocky Mountain"), "Widespread",BC831)</f>
        <v>Widespread</v>
      </c>
      <c r="BB831" s="4"/>
      <c r="BC831" s="35" t="str">
        <f ca="1">IF(BE831&gt;2046, "Abundant",BE831)</f>
        <v>Abundant</v>
      </c>
      <c r="BD831" s="4"/>
      <c r="BE831" s="81">
        <f ca="1">YEAR($C$13)+(BG831*80)</f>
        <v>2090.6770737967913</v>
      </c>
      <c r="BF831" s="4"/>
      <c r="BG831" s="137">
        <f ca="1">BH831*$BH$14</f>
        <v>0.89596342245989302</v>
      </c>
      <c r="BH831" s="137">
        <f ca="1">(((BJ831+BK831+BM831+BN831)/4)*$BM$11)+(((BP831+BQ831)/2)*$BQ$11)+(((BU831+BV831+BW831)/3)*$BU$11)+(((BY831+BZ831+CA831+CB831+CC831)/5)*$CA$11)</f>
        <v>0.89596342245989302</v>
      </c>
      <c r="BI831" s="4"/>
      <c r="BJ831" s="33">
        <f>AP831/(AM831+AO831)</f>
        <v>0</v>
      </c>
      <c r="BK831" s="33">
        <f>(AN831+AO831)/(AM831+AO831)</f>
        <v>1</v>
      </c>
      <c r="BL831" s="4"/>
      <c r="BM831" s="127">
        <f>CF831/102</f>
        <v>0.28431372549019607</v>
      </c>
      <c r="BN831" s="127">
        <f>C831/2</f>
        <v>4</v>
      </c>
      <c r="BO831" s="4"/>
      <c r="BP831" s="127">
        <f>(AK831)/($AW$6)</f>
        <v>0.20202020202020202</v>
      </c>
      <c r="BQ831" s="127">
        <f ca="1">(CH831-$AW$4)/((YEAR($C$13))-$AW$4)</f>
        <v>0</v>
      </c>
      <c r="BR831" s="127">
        <f>(AL831)/($AW$6)</f>
        <v>0.10101010101010101</v>
      </c>
      <c r="BS831" s="4"/>
      <c r="BT831" s="127"/>
      <c r="BU831" s="127">
        <f ca="1">(CG831-$AW$4)/((YEAR($C$13))-$AW$4)</f>
        <v>0</v>
      </c>
      <c r="BV831" s="127">
        <f>AE831/5</f>
        <v>1</v>
      </c>
      <c r="BW831" s="127">
        <f>AF831/5</f>
        <v>1</v>
      </c>
      <c r="BX831" s="4"/>
      <c r="BY831" s="148" t="str">
        <f>IF(E831="A",".98",IF(E831="B",".99",IF(E831="C","1.00",IF(E831="D","1.00" ))))</f>
        <v>1.00</v>
      </c>
      <c r="BZ831" s="127">
        <f>(CE831+7)/10</f>
        <v>1</v>
      </c>
      <c r="CA831" s="76" t="str">
        <f>IF(D831="Fern",".97",IF(D831="Grass",".99",IF(D831="Herb",".97",IF(D831="Shrub",".99",IF(D831="Tree","1.00",IF(D831="Vine",".98"))))))</f>
        <v>.97</v>
      </c>
      <c r="CB831" s="149" t="str">
        <f>IF(R831="Bogs Ponds Streams",".96", IF(R831="Coastal Areas",".97",IF(R831="Meadows Dry Open",".96",IF(R831="Forest &amp; Understory",".97",IF(R831="Moist Open",".98",IF(R831="Moist Shady",".96",IF(R831="Sub-Alpine","1.0")))))))</f>
        <v>.96</v>
      </c>
      <c r="CC831" s="76" t="str">
        <f>IF(S831="Local Endemic",".50",IF(S831="Regional Endemic",".70",IF(S831="Cascadia",".90",IF(S831="Rocky Mountain",".95",IF(S831="North America",".99")))))</f>
        <v>.99</v>
      </c>
      <c r="CD831" s="4"/>
      <c r="CE831" s="21">
        <f>IF(W831&gt;3,3,W831)</f>
        <v>3</v>
      </c>
      <c r="CF831" s="21">
        <f>IF(AC831&gt;102,102,AC831)</f>
        <v>29</v>
      </c>
      <c r="CG831" s="34">
        <f>IF(AI831&lt;$AW$4,$AW$4,AI831)</f>
        <v>2004</v>
      </c>
      <c r="CH831" s="34">
        <f>IF(AJ831&lt;$AW$4,$AW$4,AJ831)</f>
        <v>2004</v>
      </c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13"/>
    </row>
    <row r="832" spans="1:115" ht="15" customHeight="1" x14ac:dyDescent="0.3">
      <c r="A832" s="235"/>
      <c r="B832" s="218"/>
      <c r="C832" s="226">
        <v>2</v>
      </c>
      <c r="D832" s="104" t="s">
        <v>2505</v>
      </c>
      <c r="E832" s="104" t="s">
        <v>2501</v>
      </c>
      <c r="F832" s="400">
        <f ca="1">IF(BC832&lt;2025, "Extinct&lt; 6Yrs?",BA832)</f>
        <v>2041.4325732620321</v>
      </c>
      <c r="G832" s="369" t="s">
        <v>525</v>
      </c>
      <c r="H832" s="369" t="s">
        <v>4028</v>
      </c>
      <c r="I832" s="372" t="s">
        <v>2716</v>
      </c>
      <c r="J832" s="371" t="s">
        <v>3690</v>
      </c>
      <c r="K832" s="371" t="s">
        <v>1230</v>
      </c>
      <c r="L832" s="114" t="s">
        <v>2161</v>
      </c>
      <c r="M832" s="111" t="s">
        <v>4903</v>
      </c>
      <c r="N832" s="111" t="s">
        <v>5800</v>
      </c>
      <c r="O832" s="111" t="s">
        <v>6699</v>
      </c>
      <c r="P832" s="401" t="s">
        <v>235</v>
      </c>
      <c r="Q832" s="104" t="s">
        <v>2552</v>
      </c>
      <c r="R832" s="105" t="s">
        <v>2499</v>
      </c>
      <c r="S832" s="105" t="s">
        <v>2316</v>
      </c>
      <c r="T832" s="133" t="str">
        <f>IF(R832="Bogs Ponds Streams","20",IF(R832="Coastal Areas","26",IF(R832="Meadows Dry Open","10",IF(R832="Forest &amp; Understory","14",IF(R832="Moist Open","12",IF(R832="Moist Shady","10",IF(R832="Sub-Alpine Slopes","0")))))))</f>
        <v>20</v>
      </c>
      <c r="U832" s="133" t="str">
        <f>IF(R832="Bogs Ponds Streams","52",IF(R832="Coastal Areas","51",IF(R832="Meadows Dry Open","53",IF(R832="Forest &amp; Understory","52",IF(R832="Moist Open","50",IF(R832="Moist Shady","46",IF(R832="Sub-Alpine Slopes","40")))))))</f>
        <v>52</v>
      </c>
      <c r="V832" s="133" t="str">
        <f>IF(R832="Bogs Ponds Streams","84",IF(R832="Coastal Areas","76",IF(R832="Meadows Dry Open","96", IF(R832="Forest &amp; Understory","90", IF(R832="Moist Open","88", IF(R832="Moist Shady","82", IF(R832="Sub-Alpine Slopes","80")))))))</f>
        <v>84</v>
      </c>
      <c r="W832" s="104">
        <v>20</v>
      </c>
      <c r="X832" s="104">
        <v>0</v>
      </c>
      <c r="Y832" s="104">
        <v>3500</v>
      </c>
      <c r="Z832" s="104" t="s">
        <v>2519</v>
      </c>
      <c r="AA832" s="104" t="s">
        <v>2518</v>
      </c>
      <c r="AB832" s="104">
        <v>6.8</v>
      </c>
      <c r="AC832" s="107">
        <f>C832+AK832+(0.1)*AL832</f>
        <v>4.3</v>
      </c>
      <c r="AD832" s="113">
        <v>35</v>
      </c>
      <c r="AE832" s="104">
        <v>5</v>
      </c>
      <c r="AF832" s="104">
        <v>5</v>
      </c>
      <c r="AG832" s="104">
        <v>1900</v>
      </c>
      <c r="AH832" s="113">
        <v>0</v>
      </c>
      <c r="AI832" s="104">
        <f>AJ832</f>
        <v>2004</v>
      </c>
      <c r="AJ832" s="108">
        <v>2004</v>
      </c>
      <c r="AK832" s="108">
        <v>2</v>
      </c>
      <c r="AL832" s="108">
        <v>3</v>
      </c>
      <c r="AM832" s="109">
        <v>5</v>
      </c>
      <c r="AN832" s="109">
        <v>1</v>
      </c>
      <c r="AO832" s="109">
        <v>1</v>
      </c>
      <c r="AP832" s="109">
        <v>0</v>
      </c>
      <c r="AQ832" s="109">
        <v>0</v>
      </c>
      <c r="AR832" s="109">
        <v>0</v>
      </c>
      <c r="AS832" s="110">
        <v>0</v>
      </c>
      <c r="AT832" s="109">
        <v>0</v>
      </c>
      <c r="AU832" s="109">
        <v>0</v>
      </c>
      <c r="AV832" s="109">
        <v>0</v>
      </c>
      <c r="AW832" s="110">
        <v>0</v>
      </c>
      <c r="AX832" s="109">
        <v>0</v>
      </c>
      <c r="AY832" s="233"/>
      <c r="AZ832" s="4"/>
      <c r="BA832" s="35">
        <f ca="1">IF(OR(S832="North America",S832="Rocky Mountain"), "Widespread",BC832)</f>
        <v>2041.4325732620321</v>
      </c>
      <c r="BB832" s="4"/>
      <c r="BC832" s="35">
        <f ca="1">IF(BE832&gt;2046, "Abundant",BE832)</f>
        <v>2041.4325732620321</v>
      </c>
      <c r="BD832" s="4"/>
      <c r="BE832" s="81">
        <f ca="1">YEAR($C$13)+(BG832*80)</f>
        <v>2041.4325732620321</v>
      </c>
      <c r="BF832" s="4"/>
      <c r="BG832" s="137">
        <f ca="1">BH832*$BH$14</f>
        <v>0.28040716577540109</v>
      </c>
      <c r="BH832" s="137">
        <f ca="1">(((BJ832+BK832+BM832+BN832)/4)*$BM$11)+(((BP832+BQ832)/2)*$BQ$11)+(((BU832+BV832+BW832)/3)*$BU$11)+(((BY832+BZ832+CA832+CB832+CC832)/5)*$CA$11)</f>
        <v>0.28040716577540109</v>
      </c>
      <c r="BI832" s="4"/>
      <c r="BJ832" s="33">
        <f>AP832/(AM832+AO832)</f>
        <v>0</v>
      </c>
      <c r="BK832" s="33">
        <f>(AN832+AO832)/(AM832+AO832)</f>
        <v>0.33333333333333331</v>
      </c>
      <c r="BL832" s="4"/>
      <c r="BM832" s="127">
        <f>CF832/102</f>
        <v>4.2156862745098035E-2</v>
      </c>
      <c r="BN832" s="127">
        <f>C832/2</f>
        <v>1</v>
      </c>
      <c r="BO832" s="4"/>
      <c r="BP832" s="127">
        <f>(AK832)/($AW$6)</f>
        <v>2.0202020202020204E-2</v>
      </c>
      <c r="BQ832" s="127">
        <f ca="1">(CH832-$AW$4)/((YEAR($C$13))-$AW$4)</f>
        <v>0</v>
      </c>
      <c r="BR832" s="127">
        <f>(AL832)/($AW$6)</f>
        <v>3.0303030303030304E-2</v>
      </c>
      <c r="BS832" s="4"/>
      <c r="BT832" s="127"/>
      <c r="BU832" s="127">
        <f ca="1">(CG832-$AW$4)/((YEAR($C$13))-$AW$4)</f>
        <v>0</v>
      </c>
      <c r="BV832" s="127">
        <f>AE832/5</f>
        <v>1</v>
      </c>
      <c r="BW832" s="127">
        <f>AF832/5</f>
        <v>1</v>
      </c>
      <c r="BX832" s="4"/>
      <c r="BY832" s="148" t="str">
        <f>IF(E832="A",".98",IF(E832="B",".99",IF(E832="C","1.00",IF(E832="D","1.00" ))))</f>
        <v>1.00</v>
      </c>
      <c r="BZ832" s="127">
        <f>(CE832+7)/10</f>
        <v>1</v>
      </c>
      <c r="CA832" s="76" t="str">
        <f>IF(D832="Fern",".97",IF(D832="Grass",".99",IF(D832="Herb",".97",IF(D832="Shrub",".99",IF(D832="Tree","1.00",IF(D832="Vine",".98"))))))</f>
        <v>.97</v>
      </c>
      <c r="CB832" s="149" t="str">
        <f>IF(R832="Bogs Ponds Streams",".96", IF(R832="Coastal Areas",".97",IF(R832="Meadows Dry Open",".96",IF(R832="Forest &amp; Understory",".97",IF(R832="Moist Open",".98",IF(R832="Moist Shady",".96",IF(R832="Sub-Alpine","1.0")))))))</f>
        <v>.96</v>
      </c>
      <c r="CC832" s="76" t="str">
        <f>IF(S832="Local Endemic",".50",IF(S832="Regional Endemic",".70",IF(S832="Cascadia",".90",IF(S832="Rocky Mountain",".95",IF(S832="North America",".99")))))</f>
        <v>.50</v>
      </c>
      <c r="CD832" s="4"/>
      <c r="CE832" s="21">
        <f>IF(W832&gt;3,3,W832)</f>
        <v>3</v>
      </c>
      <c r="CF832" s="21">
        <f>IF(AC832&gt;102,102,AC832)</f>
        <v>4.3</v>
      </c>
      <c r="CG832" s="34">
        <f>IF(AI832&lt;$AW$4,$AW$4,AI832)</f>
        <v>2004</v>
      </c>
      <c r="CH832" s="34">
        <f>IF(AJ832&lt;$AW$4,$AW$4,AJ832)</f>
        <v>2004</v>
      </c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</row>
    <row r="833" spans="1:115" ht="15" customHeight="1" x14ac:dyDescent="0.3">
      <c r="A833" s="235"/>
      <c r="B833" s="218"/>
      <c r="C833" s="375">
        <v>1</v>
      </c>
      <c r="D833" s="67" t="s">
        <v>2505</v>
      </c>
      <c r="E833" s="67" t="s">
        <v>2501</v>
      </c>
      <c r="F833" s="403" t="str">
        <f ca="1">IF(BC833&lt;2025, "Extinct&lt; 6Yrs?",BA833)</f>
        <v>Widespread</v>
      </c>
      <c r="G833" s="376" t="s">
        <v>525</v>
      </c>
      <c r="H833" s="376" t="s">
        <v>4028</v>
      </c>
      <c r="I833" s="380" t="s">
        <v>73</v>
      </c>
      <c r="J833" s="378" t="s">
        <v>3498</v>
      </c>
      <c r="K833" s="378" t="s">
        <v>59</v>
      </c>
      <c r="L833" s="63" t="s">
        <v>2160</v>
      </c>
      <c r="M833" s="64" t="s">
        <v>4904</v>
      </c>
      <c r="N833" s="64" t="s">
        <v>5801</v>
      </c>
      <c r="O833" s="64" t="s">
        <v>6700</v>
      </c>
      <c r="P833" s="61" t="s">
        <v>235</v>
      </c>
      <c r="Q833" s="67" t="s">
        <v>2552</v>
      </c>
      <c r="R833" s="61" t="s">
        <v>2499</v>
      </c>
      <c r="S833" s="61" t="s">
        <v>2495</v>
      </c>
      <c r="T833" s="134" t="str">
        <f>IF(R833="Bogs Ponds Streams","20",IF(R833="Coastal Areas","26",IF(R833="Meadows Dry Open","10",IF(R833="Forest &amp; Understory","14",IF(R833="Moist Open","12",IF(R833="Moist Shady","10",IF(R833="Sub-Alpine Slopes","0")))))))</f>
        <v>20</v>
      </c>
      <c r="U833" s="134" t="str">
        <f>IF(R833="Bogs Ponds Streams","52",IF(R833="Coastal Areas","51",IF(R833="Meadows Dry Open","53",IF(R833="Forest &amp; Understory","52",IF(R833="Moist Open","50",IF(R833="Moist Shady","46",IF(R833="Sub-Alpine Slopes","40")))))))</f>
        <v>52</v>
      </c>
      <c r="V833" s="134" t="str">
        <f>IF(R833="Bogs Ponds Streams","84",IF(R833="Coastal Areas","76",IF(R833="Meadows Dry Open","96", IF(R833="Forest &amp; Understory","90", IF(R833="Moist Open","88", IF(R833="Moist Shady","82", IF(R833="Sub-Alpine Slopes","80")))))))</f>
        <v>84</v>
      </c>
      <c r="W833" s="67">
        <v>20</v>
      </c>
      <c r="X833" s="67">
        <v>0</v>
      </c>
      <c r="Y833" s="67">
        <v>3500</v>
      </c>
      <c r="Z833" s="67" t="s">
        <v>2519</v>
      </c>
      <c r="AA833" s="67" t="s">
        <v>2518</v>
      </c>
      <c r="AB833" s="67">
        <v>6.8</v>
      </c>
      <c r="AC833" s="85">
        <f>C833+AK833+(0.1)*AL833</f>
        <v>12</v>
      </c>
      <c r="AD833" s="78">
        <v>81</v>
      </c>
      <c r="AE833" s="67">
        <v>5</v>
      </c>
      <c r="AF833" s="67">
        <v>5</v>
      </c>
      <c r="AG833" s="67">
        <v>1900</v>
      </c>
      <c r="AH833" s="78">
        <v>0</v>
      </c>
      <c r="AI833" s="67">
        <f>AJ833</f>
        <v>2004</v>
      </c>
      <c r="AJ833" s="69">
        <v>2004</v>
      </c>
      <c r="AK833" s="69">
        <v>10</v>
      </c>
      <c r="AL833" s="69">
        <v>10</v>
      </c>
      <c r="AM833" s="70">
        <v>5</v>
      </c>
      <c r="AN833" s="70">
        <v>0</v>
      </c>
      <c r="AO833" s="86">
        <v>0</v>
      </c>
      <c r="AP833" s="70">
        <v>0</v>
      </c>
      <c r="AQ833" s="70">
        <v>0</v>
      </c>
      <c r="AR833" s="70">
        <v>0</v>
      </c>
      <c r="AS833" s="86">
        <v>0</v>
      </c>
      <c r="AT833" s="70">
        <v>0</v>
      </c>
      <c r="AU833" s="70">
        <v>0</v>
      </c>
      <c r="AV833" s="70">
        <v>0</v>
      </c>
      <c r="AW833" s="86">
        <v>0</v>
      </c>
      <c r="AX833" s="70">
        <v>0</v>
      </c>
      <c r="AY833" s="233"/>
      <c r="AZ833" s="4"/>
      <c r="BA833" s="35" t="str">
        <f>IF(OR(S833="North America",S833="Rocky Mountain"), "Widespread",BC833)</f>
        <v>Widespread</v>
      </c>
      <c r="BB833" s="4"/>
      <c r="BC833" s="35">
        <f ca="1">IF(BE833&gt;2046, "Abundant",BE833)</f>
        <v>2033.4649525846703</v>
      </c>
      <c r="BD833" s="4"/>
      <c r="BE833" s="81">
        <f ca="1">YEAR($C$13)+(BG833*80)</f>
        <v>2033.4649525846703</v>
      </c>
      <c r="BF833" s="4"/>
      <c r="BG833" s="137">
        <f ca="1">BH833*$BH$14</f>
        <v>0.1808119073083779</v>
      </c>
      <c r="BH833" s="137">
        <f ca="1">(((BJ833+BK833+BM833+BN833)/4)*$BM$11)+(((BP833+BQ833)/2)*$BQ$11)+(((BU833+BV833+BW833)/3)*$BU$11)+(((BY833+BZ833+CA833+CB833+CC833)/5)*$CA$11)</f>
        <v>0.1808119073083779</v>
      </c>
      <c r="BI833" s="4"/>
      <c r="BJ833" s="33">
        <f>AP833/(AM833+AO833)</f>
        <v>0</v>
      </c>
      <c r="BK833" s="33">
        <f>(AN833+AO833)/(AM833+AO833)</f>
        <v>0</v>
      </c>
      <c r="BL833" s="4"/>
      <c r="BM833" s="127">
        <f>CF833/102</f>
        <v>0.11764705882352941</v>
      </c>
      <c r="BN833" s="127">
        <f>C833/2</f>
        <v>0.5</v>
      </c>
      <c r="BO833" s="4"/>
      <c r="BP833" s="127">
        <f>(AK833)/($AW$6)</f>
        <v>0.10101010101010101</v>
      </c>
      <c r="BQ833" s="127">
        <f ca="1">(CH833-$AW$4)/((YEAR($C$13))-$AW$4)</f>
        <v>0</v>
      </c>
      <c r="BR833" s="127">
        <f>(AL833)/($AW$6)</f>
        <v>0.10101010101010101</v>
      </c>
      <c r="BS833" s="4"/>
      <c r="BT833" s="127"/>
      <c r="BU833" s="127">
        <f ca="1">(CG833-$AW$4)/((YEAR($C$13))-$AW$4)</f>
        <v>0</v>
      </c>
      <c r="BV833" s="127">
        <f>AE833/5</f>
        <v>1</v>
      </c>
      <c r="BW833" s="127">
        <f>AF833/5</f>
        <v>1</v>
      </c>
      <c r="BX833" s="4"/>
      <c r="BY833" s="148" t="str">
        <f>IF(E833="A",".98",IF(E833="B",".99",IF(E833="C","1.00",IF(E833="D","1.00" ))))</f>
        <v>1.00</v>
      </c>
      <c r="BZ833" s="127">
        <f>(CE833+7)/10</f>
        <v>1</v>
      </c>
      <c r="CA833" s="76" t="str">
        <f>IF(D833="Fern",".97",IF(D833="Grass",".99",IF(D833="Herb",".97",IF(D833="Shrub",".99",IF(D833="Tree","1.00",IF(D833="Vine",".98"))))))</f>
        <v>.97</v>
      </c>
      <c r="CB833" s="149" t="str">
        <f>IF(R833="Bogs Ponds Streams",".96", IF(R833="Coastal Areas",".97",IF(R833="Meadows Dry Open",".96",IF(R833="Forest &amp; Understory",".97",IF(R833="Moist Open",".98",IF(R833="Moist Shady",".96",IF(R833="Sub-Alpine","1.0")))))))</f>
        <v>.96</v>
      </c>
      <c r="CC833" s="76" t="str">
        <f>IF(S833="Local Endemic",".50",IF(S833="Regional Endemic",".70",IF(S833="Cascadia",".90",IF(S833="Rocky Mountain",".95",IF(S833="North America",".99")))))</f>
        <v>.99</v>
      </c>
      <c r="CD833" s="4"/>
      <c r="CE833" s="21">
        <f>IF(W833&gt;3,3,W833)</f>
        <v>3</v>
      </c>
      <c r="CF833" s="21">
        <f>IF(AC833&gt;102,102,AC833)</f>
        <v>12</v>
      </c>
      <c r="CG833" s="34">
        <f>IF(AI833&lt;$AW$4,$AW$4,AI833)</f>
        <v>2004</v>
      </c>
      <c r="CH833" s="34">
        <f>IF(AJ833&lt;$AW$4,$AW$4,AJ833)</f>
        <v>2004</v>
      </c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</row>
    <row r="834" spans="1:115" ht="15" customHeight="1" x14ac:dyDescent="0.3">
      <c r="A834" s="235"/>
      <c r="B834" s="218"/>
      <c r="C834" s="375">
        <v>1</v>
      </c>
      <c r="D834" s="67" t="s">
        <v>2505</v>
      </c>
      <c r="E834" s="67" t="s">
        <v>2501</v>
      </c>
      <c r="F834" s="403" t="str">
        <f ca="1">IF(BC834&lt;2025, "Extinct&lt; 6Yrs?",BA834)</f>
        <v>Widespread</v>
      </c>
      <c r="G834" s="376" t="s">
        <v>525</v>
      </c>
      <c r="H834" s="376" t="s">
        <v>4028</v>
      </c>
      <c r="I834" s="379" t="s">
        <v>2717</v>
      </c>
      <c r="J834" s="378" t="s">
        <v>3497</v>
      </c>
      <c r="K834" s="378" t="s">
        <v>1143</v>
      </c>
      <c r="L834" s="65" t="s">
        <v>2159</v>
      </c>
      <c r="M834" s="64" t="s">
        <v>4125</v>
      </c>
      <c r="N834" s="64" t="s">
        <v>5802</v>
      </c>
      <c r="O834" s="64" t="s">
        <v>6701</v>
      </c>
      <c r="P834" s="404" t="s">
        <v>1168</v>
      </c>
      <c r="Q834" s="67" t="s">
        <v>2552</v>
      </c>
      <c r="R834" s="61" t="s">
        <v>2497</v>
      </c>
      <c r="S834" s="61" t="s">
        <v>2495</v>
      </c>
      <c r="T834" s="134" t="str">
        <f>IF(R834="Bogs Ponds Streams","20",IF(R834="Coastal Areas","26",IF(R834="Meadows Dry Open","10",IF(R834="Forest &amp; Understory","14",IF(R834="Moist Open","12",IF(R834="Moist Shady","10",IF(R834="Sub-Alpine Slopes","0")))))))</f>
        <v>12</v>
      </c>
      <c r="U834" s="134" t="str">
        <f>IF(R834="Bogs Ponds Streams","52",IF(R834="Coastal Areas","51",IF(R834="Meadows Dry Open","53",IF(R834="Forest &amp; Understory","52",IF(R834="Moist Open","50",IF(R834="Moist Shady","46",IF(R834="Sub-Alpine Slopes","40")))))))</f>
        <v>50</v>
      </c>
      <c r="V834" s="134" t="str">
        <f>IF(R834="Bogs Ponds Streams","84",IF(R834="Coastal Areas","76",IF(R834="Meadows Dry Open","96", IF(R834="Forest &amp; Understory","90", IF(R834="Moist Open","88", IF(R834="Moist Shady","82", IF(R834="Sub-Alpine Slopes","80")))))))</f>
        <v>88</v>
      </c>
      <c r="W834" s="67">
        <v>20</v>
      </c>
      <c r="X834" s="67">
        <v>0</v>
      </c>
      <c r="Y834" s="67">
        <v>3500</v>
      </c>
      <c r="Z834" s="67" t="s">
        <v>2519</v>
      </c>
      <c r="AA834" s="67" t="s">
        <v>2518</v>
      </c>
      <c r="AB834" s="67">
        <v>6.8</v>
      </c>
      <c r="AC834" s="85">
        <f>C834+AK834+(0.1)*AL834</f>
        <v>5.8</v>
      </c>
      <c r="AD834" s="78">
        <v>42</v>
      </c>
      <c r="AE834" s="67">
        <v>5</v>
      </c>
      <c r="AF834" s="67">
        <v>5</v>
      </c>
      <c r="AG834" s="67">
        <v>1900</v>
      </c>
      <c r="AH834" s="78">
        <v>0</v>
      </c>
      <c r="AI834" s="67">
        <f>AJ834</f>
        <v>2004</v>
      </c>
      <c r="AJ834" s="69">
        <v>2004</v>
      </c>
      <c r="AK834" s="69">
        <v>4</v>
      </c>
      <c r="AL834" s="69">
        <v>8</v>
      </c>
      <c r="AM834" s="70">
        <v>5</v>
      </c>
      <c r="AN834" s="70">
        <v>0</v>
      </c>
      <c r="AO834" s="86">
        <v>0</v>
      </c>
      <c r="AP834" s="70">
        <v>0</v>
      </c>
      <c r="AQ834" s="70">
        <v>0</v>
      </c>
      <c r="AR834" s="70">
        <v>0</v>
      </c>
      <c r="AS834" s="86">
        <v>0</v>
      </c>
      <c r="AT834" s="70">
        <v>0</v>
      </c>
      <c r="AU834" s="70">
        <v>0</v>
      </c>
      <c r="AV834" s="70">
        <v>0</v>
      </c>
      <c r="AW834" s="86">
        <v>0</v>
      </c>
      <c r="AX834" s="70">
        <v>0</v>
      </c>
      <c r="AY834" s="233"/>
      <c r="AZ834" s="4"/>
      <c r="BA834" s="35" t="str">
        <f>IF(OR(S834="North America",S834="Rocky Mountain"), "Widespread",BC834)</f>
        <v>Widespread</v>
      </c>
      <c r="BB834" s="4"/>
      <c r="BC834" s="35">
        <f ca="1">IF(BE834&gt;2046, "Abundant",BE834)</f>
        <v>2032.0146680926916</v>
      </c>
      <c r="BD834" s="4"/>
      <c r="BE834" s="81">
        <f ca="1">YEAR($C$13)+(BG834*80)</f>
        <v>2032.0146680926916</v>
      </c>
      <c r="BF834" s="4"/>
      <c r="BG834" s="137">
        <f ca="1">BH834*$BH$14</f>
        <v>0.16268335115864527</v>
      </c>
      <c r="BH834" s="137">
        <f ca="1">(((BJ834+BK834+BM834+BN834)/4)*$BM$11)+(((BP834+BQ834)/2)*$BQ$11)+(((BU834+BV834+BW834)/3)*$BU$11)+(((BY834+BZ834+CA834+CB834+CC834)/5)*$CA$11)</f>
        <v>0.16268335115864527</v>
      </c>
      <c r="BI834" s="4"/>
      <c r="BJ834" s="33">
        <f>AP834/(AM834+AO834)</f>
        <v>0</v>
      </c>
      <c r="BK834" s="33">
        <f>(AN834+AO834)/(AM834+AO834)</f>
        <v>0</v>
      </c>
      <c r="BL834" s="4"/>
      <c r="BM834" s="127">
        <f>CF834/102</f>
        <v>5.6862745098039215E-2</v>
      </c>
      <c r="BN834" s="127">
        <f>C834/2</f>
        <v>0.5</v>
      </c>
      <c r="BO834" s="4"/>
      <c r="BP834" s="127">
        <f>(AK834)/($AW$6)</f>
        <v>4.0404040404040407E-2</v>
      </c>
      <c r="BQ834" s="127">
        <f ca="1">(CH834-$AW$4)/((YEAR($C$13))-$AW$4)</f>
        <v>0</v>
      </c>
      <c r="BR834" s="127">
        <f>(AL834)/($AW$6)</f>
        <v>8.0808080808080815E-2</v>
      </c>
      <c r="BS834" s="4"/>
      <c r="BT834" s="127"/>
      <c r="BU834" s="127">
        <f ca="1">(CG834-$AW$4)/((YEAR($C$13))-$AW$4)</f>
        <v>0</v>
      </c>
      <c r="BV834" s="127">
        <f>AE834/5</f>
        <v>1</v>
      </c>
      <c r="BW834" s="127">
        <f>AF834/5</f>
        <v>1</v>
      </c>
      <c r="BX834" s="4"/>
      <c r="BY834" s="148" t="str">
        <f>IF(E834="A",".98",IF(E834="B",".99",IF(E834="C","1.00",IF(E834="D","1.00" ))))</f>
        <v>1.00</v>
      </c>
      <c r="BZ834" s="127">
        <f>(CE834+7)/10</f>
        <v>1</v>
      </c>
      <c r="CA834" s="76" t="str">
        <f>IF(D834="Fern",".97",IF(D834="Grass",".99",IF(D834="Herb",".97",IF(D834="Shrub",".99",IF(D834="Tree","1.00",IF(D834="Vine",".98"))))))</f>
        <v>.97</v>
      </c>
      <c r="CB834" s="149" t="str">
        <f>IF(R834="Bogs Ponds Streams",".96", IF(R834="Coastal Areas",".97",IF(R834="Meadows Dry Open",".96",IF(R834="Forest &amp; Understory",".97",IF(R834="Moist Open",".98",IF(R834="Moist Shady",".96",IF(R834="Sub-Alpine","1.0")))))))</f>
        <v>.98</v>
      </c>
      <c r="CC834" s="76" t="str">
        <f>IF(S834="Local Endemic",".50",IF(S834="Regional Endemic",".70",IF(S834="Cascadia",".90",IF(S834="Rocky Mountain",".95",IF(S834="North America",".99")))))</f>
        <v>.99</v>
      </c>
      <c r="CD834" s="4"/>
      <c r="CE834" s="21">
        <f>IF(W834&gt;3,3,W834)</f>
        <v>3</v>
      </c>
      <c r="CF834" s="21">
        <f>IF(AC834&gt;102,102,AC834)</f>
        <v>5.8</v>
      </c>
      <c r="CG834" s="34">
        <f>IF(AI834&lt;$AW$4,$AW$4,AI834)</f>
        <v>2004</v>
      </c>
      <c r="CH834" s="34">
        <f>IF(AJ834&lt;$AW$4,$AW$4,AJ834)</f>
        <v>2004</v>
      </c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</row>
    <row r="835" spans="1:115" ht="15" customHeight="1" x14ac:dyDescent="0.3">
      <c r="A835" s="235"/>
      <c r="B835" s="218"/>
      <c r="C835" s="226">
        <v>2</v>
      </c>
      <c r="D835" s="104" t="s">
        <v>2505</v>
      </c>
      <c r="E835" s="104" t="s">
        <v>2501</v>
      </c>
      <c r="F835" s="400" t="str">
        <f ca="1">IF(BC835&lt;2025, "Extinct&lt; 6Yrs?",BA835)</f>
        <v>Widespread</v>
      </c>
      <c r="G835" s="369" t="s">
        <v>525</v>
      </c>
      <c r="H835" s="369" t="s">
        <v>4028</v>
      </c>
      <c r="I835" s="372" t="s">
        <v>2588</v>
      </c>
      <c r="J835" s="372" t="s">
        <v>3689</v>
      </c>
      <c r="K835" s="371" t="s">
        <v>1302</v>
      </c>
      <c r="L835" s="106" t="s">
        <v>3688</v>
      </c>
      <c r="M835" s="111" t="s">
        <v>4905</v>
      </c>
      <c r="N835" s="111" t="s">
        <v>5803</v>
      </c>
      <c r="O835" s="111" t="s">
        <v>6702</v>
      </c>
      <c r="P835" s="105" t="s">
        <v>144</v>
      </c>
      <c r="Q835" s="104" t="s">
        <v>2552</v>
      </c>
      <c r="R835" s="105" t="s">
        <v>2499</v>
      </c>
      <c r="S835" s="103" t="s">
        <v>2495</v>
      </c>
      <c r="T835" s="133" t="str">
        <f>IF(R835="Bogs Ponds Streams","20",IF(R835="Coastal Areas","26",IF(R835="Meadows Dry Open","10",IF(R835="Forest &amp; Understory","14",IF(R835="Moist Open","12",IF(R835="Moist Shady","10",IF(R835="Sub-Alpine Slopes","0")))))))</f>
        <v>20</v>
      </c>
      <c r="U835" s="133" t="str">
        <f>IF(R835="Bogs Ponds Streams","52",IF(R835="Coastal Areas","51",IF(R835="Meadows Dry Open","53",IF(R835="Forest &amp; Understory","52",IF(R835="Moist Open","50",IF(R835="Moist Shady","46",IF(R835="Sub-Alpine Slopes","40")))))))</f>
        <v>52</v>
      </c>
      <c r="V835" s="133" t="str">
        <f>IF(R835="Bogs Ponds Streams","84",IF(R835="Coastal Areas","76",IF(R835="Meadows Dry Open","96", IF(R835="Forest &amp; Understory","90", IF(R835="Moist Open","88", IF(R835="Moist Shady","82", IF(R835="Sub-Alpine Slopes","80")))))))</f>
        <v>84</v>
      </c>
      <c r="W835" s="104">
        <v>20</v>
      </c>
      <c r="X835" s="104">
        <v>0</v>
      </c>
      <c r="Y835" s="104">
        <v>3500</v>
      </c>
      <c r="Z835" s="104" t="s">
        <v>2519</v>
      </c>
      <c r="AA835" s="104" t="s">
        <v>2518</v>
      </c>
      <c r="AB835" s="104">
        <v>6.8</v>
      </c>
      <c r="AC835" s="107">
        <f>C835+AK835+(0.1)*AL835</f>
        <v>5</v>
      </c>
      <c r="AD835" s="113">
        <v>11</v>
      </c>
      <c r="AE835" s="104">
        <v>5</v>
      </c>
      <c r="AF835" s="104">
        <v>5</v>
      </c>
      <c r="AG835" s="104">
        <v>1900</v>
      </c>
      <c r="AH835" s="113">
        <v>0</v>
      </c>
      <c r="AI835" s="104">
        <f>AJ835</f>
        <v>2004</v>
      </c>
      <c r="AJ835" s="108">
        <v>2004</v>
      </c>
      <c r="AK835" s="108">
        <v>3</v>
      </c>
      <c r="AL835" s="108">
        <v>0</v>
      </c>
      <c r="AM835" s="109">
        <v>5</v>
      </c>
      <c r="AN835" s="109">
        <v>1</v>
      </c>
      <c r="AO835" s="109">
        <v>1</v>
      </c>
      <c r="AP835" s="109">
        <v>0</v>
      </c>
      <c r="AQ835" s="109">
        <v>0</v>
      </c>
      <c r="AR835" s="109">
        <v>0</v>
      </c>
      <c r="AS835" s="110">
        <v>0</v>
      </c>
      <c r="AT835" s="109">
        <v>0</v>
      </c>
      <c r="AU835" s="109">
        <v>0</v>
      </c>
      <c r="AV835" s="109">
        <v>0</v>
      </c>
      <c r="AW835" s="110">
        <v>0</v>
      </c>
      <c r="AX835" s="109">
        <v>0</v>
      </c>
      <c r="AY835" s="233"/>
      <c r="AZ835" s="4"/>
      <c r="BA835" s="35" t="str">
        <f>IF(OR(S835="North America",S835="Rocky Mountain"), "Widespread",BC835)</f>
        <v>Widespread</v>
      </c>
      <c r="BB835" s="4"/>
      <c r="BC835" s="35">
        <f ca="1">IF(BE835&gt;2046, "Abundant",BE835)</f>
        <v>2041.7929383244207</v>
      </c>
      <c r="BD835" s="4"/>
      <c r="BE835" s="81">
        <f ca="1">YEAR($C$13)+(BG835*80)</f>
        <v>2041.7929383244207</v>
      </c>
      <c r="BF835" s="4"/>
      <c r="BG835" s="137">
        <f ca="1">BH835*$BH$14</f>
        <v>0.28491172905525841</v>
      </c>
      <c r="BH835" s="137">
        <f ca="1">(((BJ835+BK835+BM835+BN835)/4)*$BM$11)+(((BP835+BQ835)/2)*$BQ$11)+(((BU835+BV835+BW835)/3)*$BU$11)+(((BY835+BZ835+CA835+CB835+CC835)/5)*$CA$11)</f>
        <v>0.28491172905525841</v>
      </c>
      <c r="BI835" s="4"/>
      <c r="BJ835" s="33">
        <f>AP835/(AM835+AO835)</f>
        <v>0</v>
      </c>
      <c r="BK835" s="33">
        <f>(AN835+AO835)/(AM835+AO835)</f>
        <v>0.33333333333333331</v>
      </c>
      <c r="BL835" s="4"/>
      <c r="BM835" s="127">
        <f>CF835/102</f>
        <v>4.9019607843137254E-2</v>
      </c>
      <c r="BN835" s="127">
        <f>C835/2</f>
        <v>1</v>
      </c>
      <c r="BO835" s="4"/>
      <c r="BP835" s="127">
        <f>(AK835)/($AW$6)</f>
        <v>3.0303030303030304E-2</v>
      </c>
      <c r="BQ835" s="127">
        <f ca="1">(CH835-$AW$4)/((YEAR($C$13))-$AW$4)</f>
        <v>0</v>
      </c>
      <c r="BR835" s="127">
        <f>(AL835)/($AW$6)</f>
        <v>0</v>
      </c>
      <c r="BS835" s="4"/>
      <c r="BT835" s="127"/>
      <c r="BU835" s="127">
        <f ca="1">(CG835-$AW$4)/((YEAR($C$13))-$AW$4)</f>
        <v>0</v>
      </c>
      <c r="BV835" s="127">
        <f>AE835/5</f>
        <v>1</v>
      </c>
      <c r="BW835" s="127">
        <f>AF835/5</f>
        <v>1</v>
      </c>
      <c r="BX835" s="4"/>
      <c r="BY835" s="148" t="str">
        <f>IF(E835="A",".98",IF(E835="B",".99",IF(E835="C","1.00",IF(E835="D","1.00" ))))</f>
        <v>1.00</v>
      </c>
      <c r="BZ835" s="127">
        <f>(CE835+7)/10</f>
        <v>1</v>
      </c>
      <c r="CA835" s="76" t="str">
        <f>IF(D835="Fern",".97",IF(D835="Grass",".99",IF(D835="Herb",".97",IF(D835="Shrub",".99",IF(D835="Tree","1.00",IF(D835="Vine",".98"))))))</f>
        <v>.97</v>
      </c>
      <c r="CB835" s="149" t="str">
        <f>IF(R835="Bogs Ponds Streams",".96", IF(R835="Coastal Areas",".97",IF(R835="Meadows Dry Open",".96",IF(R835="Forest &amp; Understory",".97",IF(R835="Moist Open",".98",IF(R835="Moist Shady",".96",IF(R835="Sub-Alpine","1.0")))))))</f>
        <v>.96</v>
      </c>
      <c r="CC835" s="76" t="str">
        <f>IF(S835="Local Endemic",".50",IF(S835="Regional Endemic",".70",IF(S835="Cascadia",".90",IF(S835="Rocky Mountain",".95",IF(S835="North America",".99")))))</f>
        <v>.99</v>
      </c>
      <c r="CD835" s="4"/>
      <c r="CE835" s="21">
        <f>IF(W835&gt;3,3,W835)</f>
        <v>3</v>
      </c>
      <c r="CF835" s="21">
        <f>IF(AC835&gt;102,102,AC835)</f>
        <v>5</v>
      </c>
      <c r="CG835" s="34">
        <f>IF(AI835&lt;$AW$4,$AW$4,AI835)</f>
        <v>2004</v>
      </c>
      <c r="CH835" s="34">
        <f>IF(AJ835&lt;$AW$4,$AW$4,AJ835)</f>
        <v>2004</v>
      </c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</row>
    <row r="836" spans="1:115" ht="15" customHeight="1" x14ac:dyDescent="0.3">
      <c r="A836" s="235"/>
      <c r="B836" s="218"/>
      <c r="C836" s="225">
        <v>8</v>
      </c>
      <c r="D836" s="59" t="s">
        <v>2506</v>
      </c>
      <c r="E836" s="60" t="s">
        <v>2501</v>
      </c>
      <c r="F836" s="397" t="str">
        <f ca="1">IF(BC836&lt;2025, "Extinct&lt; 6Yrs?",BA836)</f>
        <v>Widespread</v>
      </c>
      <c r="G836" s="363" t="s">
        <v>525</v>
      </c>
      <c r="H836" s="363" t="s">
        <v>677</v>
      </c>
      <c r="I836" s="366" t="s">
        <v>165</v>
      </c>
      <c r="J836" s="365" t="s">
        <v>3906</v>
      </c>
      <c r="K836" s="365" t="s">
        <v>838</v>
      </c>
      <c r="L836" s="10" t="s">
        <v>2158</v>
      </c>
      <c r="M836" s="8" t="s">
        <v>4906</v>
      </c>
      <c r="N836" s="8" t="s">
        <v>5804</v>
      </c>
      <c r="O836" s="8" t="s">
        <v>6703</v>
      </c>
      <c r="P836" s="9" t="s">
        <v>160</v>
      </c>
      <c r="Q836" s="59" t="s">
        <v>2552</v>
      </c>
      <c r="R836" s="9" t="s">
        <v>2530</v>
      </c>
      <c r="S836" s="9" t="s">
        <v>2495</v>
      </c>
      <c r="T836" s="123" t="str">
        <f>IF(R836="Bogs Ponds Streams","20",IF(R836="Coastal Areas","26",IF(R836="Meadows Dry Open","10",IF(R836="Forest &amp; Understory","14",IF(R836="Moist Open","12",IF(R836="Moist Shady","10",IF(R836="Sub-Alpine Slopes","0")))))))</f>
        <v>14</v>
      </c>
      <c r="U836" s="123" t="str">
        <f>IF(R836="Bogs Ponds Streams","52",IF(R836="Coastal Areas","51",IF(R836="Meadows Dry Open","53",IF(R836="Forest &amp; Understory","52",IF(R836="Moist Open","50",IF(R836="Moist Shady","46",IF(R836="Sub-Alpine Slopes","40")))))))</f>
        <v>52</v>
      </c>
      <c r="V836" s="123" t="str">
        <f>IF(R836="Bogs Ponds Streams","84",IF(R836="Coastal Areas","76",IF(R836="Meadows Dry Open","96", IF(R836="Forest &amp; Understory","90", IF(R836="Moist Open","88", IF(R836="Moist Shady","82", IF(R836="Sub-Alpine Slopes","80")))))))</f>
        <v>90</v>
      </c>
      <c r="W836" s="59">
        <v>20</v>
      </c>
      <c r="X836" s="59">
        <v>0</v>
      </c>
      <c r="Y836" s="59">
        <v>3500</v>
      </c>
      <c r="Z836" s="59" t="s">
        <v>2519</v>
      </c>
      <c r="AA836" s="59" t="s">
        <v>2518</v>
      </c>
      <c r="AB836" s="59">
        <v>6.8</v>
      </c>
      <c r="AC836" s="45">
        <f>C836+AK836+(0.1)*AL836</f>
        <v>85.7</v>
      </c>
      <c r="AD836" s="77">
        <v>229</v>
      </c>
      <c r="AE836" s="59">
        <v>5</v>
      </c>
      <c r="AF836" s="59">
        <v>5</v>
      </c>
      <c r="AG836" s="59">
        <v>1900</v>
      </c>
      <c r="AH836" s="77">
        <v>0</v>
      </c>
      <c r="AI836" s="59">
        <f ca="1">AJ836</f>
        <v>2019</v>
      </c>
      <c r="AJ836" s="18">
        <f ca="1">YEAR(TODAY())</f>
        <v>2019</v>
      </c>
      <c r="AK836" s="18">
        <v>77</v>
      </c>
      <c r="AL836" s="18">
        <v>7</v>
      </c>
      <c r="AM836" s="18">
        <v>1</v>
      </c>
      <c r="AN836" s="18">
        <v>1</v>
      </c>
      <c r="AO836" s="18">
        <v>5</v>
      </c>
      <c r="AP836" s="18">
        <v>1</v>
      </c>
      <c r="AQ836" s="18">
        <v>0</v>
      </c>
      <c r="AR836" s="18">
        <v>0</v>
      </c>
      <c r="AS836" s="18">
        <v>0</v>
      </c>
      <c r="AT836" s="18">
        <v>0</v>
      </c>
      <c r="AU836" s="18">
        <v>0</v>
      </c>
      <c r="AV836" s="18">
        <v>0</v>
      </c>
      <c r="AW836" s="18">
        <v>0</v>
      </c>
      <c r="AX836" s="18">
        <v>0</v>
      </c>
      <c r="AY836" s="233"/>
      <c r="AZ836" s="4"/>
      <c r="BA836" s="35" t="str">
        <f>IF(OR(S836="North America",S836="Rocky Mountain"), "Widespread",BC836)</f>
        <v>Widespread</v>
      </c>
      <c r="BB836" s="4"/>
      <c r="BC836" s="35" t="str">
        <f ca="1">IF(BE836&gt;2046, "Abundant",BE836)</f>
        <v>Abundant</v>
      </c>
      <c r="BD836" s="4"/>
      <c r="BE836" s="81">
        <f ca="1">YEAR($C$13)+(BG836*80)</f>
        <v>2120.3996862745098</v>
      </c>
      <c r="BF836" s="4"/>
      <c r="BG836" s="137">
        <f ca="1">BH836*$BH$14</f>
        <v>1.2674960784313727</v>
      </c>
      <c r="BH836" s="137">
        <f ca="1">(((BJ836+BK836+BM836+BN836)/4)*$BM$11)+(((BP836+BQ836)/2)*$BQ$11)+(((BU836+BV836+BW836)/3)*$BU$11)+(((BY836+BZ836+CA836+CB836+CC836)/5)*$CA$11)</f>
        <v>1.2674960784313727</v>
      </c>
      <c r="BI836" s="4"/>
      <c r="BJ836" s="33">
        <f>AP836/(AM836+AO836)</f>
        <v>0.16666666666666666</v>
      </c>
      <c r="BK836" s="33">
        <f>(AN836+AO836)/(AM836+AO836)</f>
        <v>1</v>
      </c>
      <c r="BL836" s="4"/>
      <c r="BM836" s="127">
        <f>CF836/102</f>
        <v>0.84019607843137256</v>
      </c>
      <c r="BN836" s="127">
        <f>C836/2</f>
        <v>4</v>
      </c>
      <c r="BO836" s="4"/>
      <c r="BP836" s="127">
        <f>(AK836)/($AW$6)</f>
        <v>0.77777777777777779</v>
      </c>
      <c r="BQ836" s="127">
        <f ca="1">(CH836-$AW$4)/((YEAR($C$13))-$AW$4)</f>
        <v>1</v>
      </c>
      <c r="BR836" s="127">
        <f>(AL836)/($AW$6)</f>
        <v>7.0707070707070704E-2</v>
      </c>
      <c r="BS836" s="4"/>
      <c r="BT836" s="127"/>
      <c r="BU836" s="127">
        <f ca="1">(CG836-$AW$4)/((YEAR($C$13))-$AW$4)</f>
        <v>1</v>
      </c>
      <c r="BV836" s="127">
        <f>AE836/5</f>
        <v>1</v>
      </c>
      <c r="BW836" s="127">
        <f>AF836/5</f>
        <v>1</v>
      </c>
      <c r="BX836" s="4"/>
      <c r="BY836" s="148" t="str">
        <f>IF(E836="A",".98",IF(E836="B",".99",IF(E836="C","1.00",IF(E836="D","1.00" ))))</f>
        <v>1.00</v>
      </c>
      <c r="BZ836" s="127">
        <f>(CE836+7)/10</f>
        <v>1</v>
      </c>
      <c r="CA836" s="76" t="str">
        <f>IF(D836="Fern",".97",IF(D836="Grass",".99",IF(D836="Herb",".97",IF(D836="Shrub",".99",IF(D836="Tree","1.00",IF(D836="Vine",".98"))))))</f>
        <v>.99</v>
      </c>
      <c r="CB836" s="149" t="str">
        <f>IF(R836="Bogs Ponds Streams",".96", IF(R836="Coastal Areas",".97",IF(R836="Meadows Dry Open",".96",IF(R836="Forest &amp; Understory",".97",IF(R836="Moist Open",".98",IF(R836="Moist Shady",".96",IF(R836="Sub-Alpine","1.0")))))))</f>
        <v>.97</v>
      </c>
      <c r="CC836" s="76" t="str">
        <f>IF(S836="Local Endemic",".50",IF(S836="Regional Endemic",".70",IF(S836="Cascadia",".90",IF(S836="Rocky Mountain",".95",IF(S836="North America",".99")))))</f>
        <v>.99</v>
      </c>
      <c r="CD836" s="4"/>
      <c r="CE836" s="21">
        <f>IF(W836&gt;3,3,W836)</f>
        <v>3</v>
      </c>
      <c r="CF836" s="21">
        <f>IF(AC836&gt;102,102,AC836)</f>
        <v>85.7</v>
      </c>
      <c r="CG836" s="34">
        <f ca="1">IF(AI836&lt;$AW$4,$AW$4,AI836)</f>
        <v>2019</v>
      </c>
      <c r="CH836" s="34">
        <f ca="1">IF(AJ836&lt;$AW$4,$AW$4,AJ836)</f>
        <v>2019</v>
      </c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</row>
    <row r="837" spans="1:115" ht="15" customHeight="1" x14ac:dyDescent="0.3">
      <c r="A837" s="235"/>
      <c r="B837" s="218"/>
      <c r="C837" s="225">
        <v>8</v>
      </c>
      <c r="D837" s="59" t="s">
        <v>2506</v>
      </c>
      <c r="E837" s="60" t="s">
        <v>2501</v>
      </c>
      <c r="F837" s="397" t="str">
        <f ca="1">IF(BC837&lt;2025, "Extinct&lt; 6Yrs?",BA837)</f>
        <v>Abundant</v>
      </c>
      <c r="G837" s="363" t="s">
        <v>525</v>
      </c>
      <c r="H837" s="363" t="s">
        <v>677</v>
      </c>
      <c r="I837" s="366" t="s">
        <v>166</v>
      </c>
      <c r="J837" s="365" t="s">
        <v>3905</v>
      </c>
      <c r="K837" s="365" t="s">
        <v>839</v>
      </c>
      <c r="L837" s="10" t="s">
        <v>2157</v>
      </c>
      <c r="M837" s="8" t="s">
        <v>4907</v>
      </c>
      <c r="N837" s="8" t="s">
        <v>5805</v>
      </c>
      <c r="O837" s="8" t="s">
        <v>6704</v>
      </c>
      <c r="P837" s="9" t="s">
        <v>160</v>
      </c>
      <c r="Q837" s="59" t="s">
        <v>2552</v>
      </c>
      <c r="R837" s="9" t="s">
        <v>2499</v>
      </c>
      <c r="S837" s="9" t="s">
        <v>2459</v>
      </c>
      <c r="T837" s="123" t="str">
        <f>IF(R837="Bogs Ponds Streams","20",IF(R837="Coastal Areas","26",IF(R837="Meadows Dry Open","10",IF(R837="Forest &amp; Understory","14",IF(R837="Moist Open","12",IF(R837="Moist Shady","10",IF(R837="Sub-Alpine Slopes","0")))))))</f>
        <v>20</v>
      </c>
      <c r="U837" s="123" t="str">
        <f>IF(R837="Bogs Ponds Streams","52",IF(R837="Coastal Areas","51",IF(R837="Meadows Dry Open","53",IF(R837="Forest &amp; Understory","52",IF(R837="Moist Open","50",IF(R837="Moist Shady","46",IF(R837="Sub-Alpine Slopes","40")))))))</f>
        <v>52</v>
      </c>
      <c r="V837" s="123" t="str">
        <f>IF(R837="Bogs Ponds Streams","84",IF(R837="Coastal Areas","76",IF(R837="Meadows Dry Open","96", IF(R837="Forest &amp; Understory","90", IF(R837="Moist Open","88", IF(R837="Moist Shady","82", IF(R837="Sub-Alpine Slopes","80")))))))</f>
        <v>84</v>
      </c>
      <c r="W837" s="59">
        <v>20</v>
      </c>
      <c r="X837" s="59">
        <v>0</v>
      </c>
      <c r="Y837" s="59">
        <v>3500</v>
      </c>
      <c r="Z837" s="59" t="s">
        <v>2519</v>
      </c>
      <c r="AA837" s="59" t="s">
        <v>2518</v>
      </c>
      <c r="AB837" s="59">
        <v>6.8</v>
      </c>
      <c r="AC837" s="45">
        <f>C837+AK837+(0.1)*AL837</f>
        <v>16.7</v>
      </c>
      <c r="AD837" s="77">
        <v>37</v>
      </c>
      <c r="AE837" s="59">
        <v>5</v>
      </c>
      <c r="AF837" s="59">
        <v>5</v>
      </c>
      <c r="AG837" s="59">
        <v>1900</v>
      </c>
      <c r="AH837" s="77">
        <v>0</v>
      </c>
      <c r="AI837" s="59">
        <f ca="1">AJ837</f>
        <v>2019</v>
      </c>
      <c r="AJ837" s="18">
        <f ca="1">YEAR(TODAY())</f>
        <v>2019</v>
      </c>
      <c r="AK837" s="18">
        <v>8</v>
      </c>
      <c r="AL837" s="18">
        <v>7</v>
      </c>
      <c r="AM837" s="18">
        <v>1</v>
      </c>
      <c r="AN837" s="18">
        <v>1</v>
      </c>
      <c r="AO837" s="18">
        <v>5</v>
      </c>
      <c r="AP837" s="18">
        <v>1</v>
      </c>
      <c r="AQ837" s="18">
        <v>0</v>
      </c>
      <c r="AR837" s="18">
        <v>0</v>
      </c>
      <c r="AS837" s="18">
        <v>0</v>
      </c>
      <c r="AT837" s="18">
        <v>0</v>
      </c>
      <c r="AU837" s="18">
        <v>0</v>
      </c>
      <c r="AV837" s="18">
        <v>0</v>
      </c>
      <c r="AW837" s="18">
        <v>0</v>
      </c>
      <c r="AX837" s="18">
        <v>0</v>
      </c>
      <c r="AY837" s="233"/>
      <c r="AZ837" s="4"/>
      <c r="BA837" s="35" t="str">
        <f ca="1">IF(OR(S837="North America",S837="Rocky Mountain"), "Widespread",BC837)</f>
        <v>Abundant</v>
      </c>
      <c r="BB837" s="4"/>
      <c r="BC837" s="35" t="str">
        <f ca="1">IF(BE837&gt;2046, "Abundant",BE837)</f>
        <v>Abundant</v>
      </c>
      <c r="BD837" s="4"/>
      <c r="BE837" s="81">
        <f ca="1">YEAR($C$13)+(BG837*80)</f>
        <v>2103.8864028520497</v>
      </c>
      <c r="BF837" s="4"/>
      <c r="BG837" s="137">
        <f ca="1">BH837*$BH$14</f>
        <v>1.0610800356506238</v>
      </c>
      <c r="BH837" s="137">
        <f ca="1">(((BJ837+BK837+BM837+BN837)/4)*$BM$11)+(((BP837+BQ837)/2)*$BQ$11)+(((BU837+BV837+BW837)/3)*$BU$11)+(((BY837+BZ837+CA837+CB837+CC837)/5)*$CA$11)</f>
        <v>1.0610800356506238</v>
      </c>
      <c r="BI837" s="4"/>
      <c r="BJ837" s="33">
        <f>AP837/(AM837+AO837)</f>
        <v>0.16666666666666666</v>
      </c>
      <c r="BK837" s="33">
        <f>(AN837+AO837)/(AM837+AO837)</f>
        <v>1</v>
      </c>
      <c r="BL837" s="4"/>
      <c r="BM837" s="127">
        <f>CF837/102</f>
        <v>0.16372549019607843</v>
      </c>
      <c r="BN837" s="127">
        <f>C837/2</f>
        <v>4</v>
      </c>
      <c r="BO837" s="4"/>
      <c r="BP837" s="127">
        <f>(AK837)/($AW$6)</f>
        <v>8.0808080808080815E-2</v>
      </c>
      <c r="BQ837" s="127">
        <f ca="1">(CH837-$AW$4)/((YEAR($C$13))-$AW$4)</f>
        <v>1</v>
      </c>
      <c r="BR837" s="127">
        <f>(AL837)/($AW$6)</f>
        <v>7.0707070707070704E-2</v>
      </c>
      <c r="BS837" s="4"/>
      <c r="BT837" s="127"/>
      <c r="BU837" s="127">
        <f ca="1">(CG837-$AW$4)/((YEAR($C$13))-$AW$4)</f>
        <v>1</v>
      </c>
      <c r="BV837" s="127">
        <f>AE837/5</f>
        <v>1</v>
      </c>
      <c r="BW837" s="127">
        <f>AF837/5</f>
        <v>1</v>
      </c>
      <c r="BX837" s="4"/>
      <c r="BY837" s="148" t="str">
        <f>IF(E837="A",".98",IF(E837="B",".99",IF(E837="C","1.00",IF(E837="D","1.00" ))))</f>
        <v>1.00</v>
      </c>
      <c r="BZ837" s="127">
        <f>(CE837+7)/10</f>
        <v>1</v>
      </c>
      <c r="CA837" s="76" t="str">
        <f>IF(D837="Fern",".97",IF(D837="Grass",".99",IF(D837="Herb",".97",IF(D837="Shrub",".99",IF(D837="Tree","1.00",IF(D837="Vine",".98"))))))</f>
        <v>.99</v>
      </c>
      <c r="CB837" s="149" t="str">
        <f>IF(R837="Bogs Ponds Streams",".96", IF(R837="Coastal Areas",".97",IF(R837="Meadows Dry Open",".96",IF(R837="Forest &amp; Understory",".97",IF(R837="Moist Open",".98",IF(R837="Moist Shady",".96",IF(R837="Sub-Alpine","1.0")))))))</f>
        <v>.96</v>
      </c>
      <c r="CC837" s="76" t="str">
        <f>IF(S837="Local Endemic",".50",IF(S837="Regional Endemic",".70",IF(S837="Cascadia",".90",IF(S837="Rocky Mountain",".95",IF(S837="North America",".99")))))</f>
        <v>.90</v>
      </c>
      <c r="CD837" s="4"/>
      <c r="CE837" s="21">
        <f>IF(W837&gt;3,3,W837)</f>
        <v>3</v>
      </c>
      <c r="CF837" s="21">
        <f>IF(AC837&gt;102,102,AC837)</f>
        <v>16.7</v>
      </c>
      <c r="CG837" s="34">
        <f ca="1">IF(AI837&lt;$AW$4,$AW$4,AI837)</f>
        <v>2019</v>
      </c>
      <c r="CH837" s="34">
        <f ca="1">IF(AJ837&lt;$AW$4,$AW$4,AJ837)</f>
        <v>2019</v>
      </c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</row>
    <row r="838" spans="1:115" ht="15" customHeight="1" x14ac:dyDescent="0.3">
      <c r="A838" s="235"/>
      <c r="B838" s="218"/>
      <c r="C838" s="375">
        <v>1</v>
      </c>
      <c r="D838" s="67" t="s">
        <v>2505</v>
      </c>
      <c r="E838" s="67" t="s">
        <v>2502</v>
      </c>
      <c r="F838" s="403" t="str">
        <f ca="1">IF(BC838&lt;2025, "Extinct&lt; 6Yrs?",BA838)</f>
        <v>Widespread</v>
      </c>
      <c r="G838" s="376" t="s">
        <v>525</v>
      </c>
      <c r="H838" s="376" t="s">
        <v>4028</v>
      </c>
      <c r="I838" s="380" t="s">
        <v>518</v>
      </c>
      <c r="J838" s="378" t="s">
        <v>3496</v>
      </c>
      <c r="K838" s="378" t="s">
        <v>517</v>
      </c>
      <c r="L838" s="63" t="s">
        <v>2132</v>
      </c>
      <c r="M838" s="64" t="s">
        <v>4908</v>
      </c>
      <c r="N838" s="64" t="s">
        <v>5806</v>
      </c>
      <c r="O838" s="64" t="s">
        <v>6705</v>
      </c>
      <c r="P838" s="61" t="s">
        <v>51</v>
      </c>
      <c r="Q838" s="67" t="s">
        <v>2552</v>
      </c>
      <c r="R838" s="61" t="s">
        <v>2530</v>
      </c>
      <c r="S838" s="61" t="s">
        <v>2495</v>
      </c>
      <c r="T838" s="134" t="str">
        <f>IF(R838="Bogs Ponds Streams","20",IF(R838="Coastal Areas","26",IF(R838="Meadows Dry Open","10",IF(R838="Forest &amp; Understory","14",IF(R838="Moist Open","12",IF(R838="Moist Shady","10",IF(R838="Sub-Alpine Slopes","0")))))))</f>
        <v>14</v>
      </c>
      <c r="U838" s="134" t="str">
        <f>IF(R838="Bogs Ponds Streams","52",IF(R838="Coastal Areas","51",IF(R838="Meadows Dry Open","53",IF(R838="Forest &amp; Understory","52",IF(R838="Moist Open","50",IF(R838="Moist Shady","46",IF(R838="Sub-Alpine Slopes","40")))))))</f>
        <v>52</v>
      </c>
      <c r="V838" s="134" t="str">
        <f>IF(R838="Bogs Ponds Streams","84",IF(R838="Coastal Areas","76",IF(R838="Meadows Dry Open","96", IF(R838="Forest &amp; Understory","90", IF(R838="Moist Open","88", IF(R838="Moist Shady","82", IF(R838="Sub-Alpine Slopes","80")))))))</f>
        <v>90</v>
      </c>
      <c r="W838" s="67">
        <v>1</v>
      </c>
      <c r="X838" s="67">
        <v>0</v>
      </c>
      <c r="Y838" s="67">
        <v>3500</v>
      </c>
      <c r="Z838" s="67" t="s">
        <v>2519</v>
      </c>
      <c r="AA838" s="67" t="s">
        <v>2518</v>
      </c>
      <c r="AB838" s="67">
        <v>6.8</v>
      </c>
      <c r="AC838" s="85">
        <f>C838+AK838+(0.1)*AL838</f>
        <v>2.2999999999999998</v>
      </c>
      <c r="AD838" s="78">
        <v>10</v>
      </c>
      <c r="AE838" s="68">
        <v>2</v>
      </c>
      <c r="AF838" s="68">
        <v>5</v>
      </c>
      <c r="AG838" s="78">
        <v>1925</v>
      </c>
      <c r="AH838" s="78">
        <v>0</v>
      </c>
      <c r="AI838" s="78">
        <v>2000</v>
      </c>
      <c r="AJ838" s="69">
        <v>2004</v>
      </c>
      <c r="AK838" s="69">
        <v>1</v>
      </c>
      <c r="AL838" s="69">
        <v>3</v>
      </c>
      <c r="AM838" s="70">
        <v>5</v>
      </c>
      <c r="AN838" s="70">
        <v>0</v>
      </c>
      <c r="AO838" s="86">
        <v>0</v>
      </c>
      <c r="AP838" s="70">
        <v>0</v>
      </c>
      <c r="AQ838" s="70">
        <v>0</v>
      </c>
      <c r="AR838" s="70">
        <v>0</v>
      </c>
      <c r="AS838" s="86">
        <v>0</v>
      </c>
      <c r="AT838" s="70">
        <v>0</v>
      </c>
      <c r="AU838" s="70">
        <v>0</v>
      </c>
      <c r="AV838" s="70">
        <v>0</v>
      </c>
      <c r="AW838" s="86">
        <v>0</v>
      </c>
      <c r="AX838" s="70">
        <v>0</v>
      </c>
      <c r="AY838" s="233"/>
      <c r="AZ838" s="4"/>
      <c r="BA838" s="35" t="str">
        <f>IF(OR(S838="North America",S838="Rocky Mountain"), "Widespread",BC838)</f>
        <v>Widespread</v>
      </c>
      <c r="BB838" s="4"/>
      <c r="BC838" s="35">
        <f ca="1">IF(BE838&gt;2046, "Abundant",BE838)</f>
        <v>2029.8856670231728</v>
      </c>
      <c r="BD838" s="4"/>
      <c r="BE838" s="81">
        <f ca="1">YEAR($C$13)+(BG838*80)</f>
        <v>2029.8856670231728</v>
      </c>
      <c r="BF838" s="4"/>
      <c r="BG838" s="137">
        <f ca="1">BH838*$BH$14</f>
        <v>0.13607083778966131</v>
      </c>
      <c r="BH838" s="137">
        <f ca="1">(((BJ838+BK838+BM838+BN838)/4)*$BM$11)+(((BP838+BQ838)/2)*$BQ$11)+(((BU838+BV838+BW838)/3)*$BU$11)+(((BY838+BZ838+CA838+CB838+CC838)/5)*$CA$11)</f>
        <v>0.13607083778966131</v>
      </c>
      <c r="BI838" s="4"/>
      <c r="BJ838" s="33">
        <f>AP838/(AM838+AO838)</f>
        <v>0</v>
      </c>
      <c r="BK838" s="33">
        <f>(AN838+AO838)/(AM838+AO838)</f>
        <v>0</v>
      </c>
      <c r="BL838" s="4"/>
      <c r="BM838" s="127">
        <f>CF838/102</f>
        <v>2.2549019607843137E-2</v>
      </c>
      <c r="BN838" s="127">
        <f>C838/2</f>
        <v>0.5</v>
      </c>
      <c r="BO838" s="4"/>
      <c r="BP838" s="127">
        <f>(AK838)/($AW$6)</f>
        <v>1.0101010101010102E-2</v>
      </c>
      <c r="BQ838" s="127">
        <f ca="1">(CH838-$AW$4)/((YEAR($C$13))-$AW$4)</f>
        <v>0</v>
      </c>
      <c r="BR838" s="127">
        <f>(AL838)/($AW$6)</f>
        <v>3.0303030303030304E-2</v>
      </c>
      <c r="BS838" s="4"/>
      <c r="BT838" s="127"/>
      <c r="BU838" s="127">
        <f ca="1">(CG838-$AW$4)/((YEAR($C$13))-$AW$4)</f>
        <v>0</v>
      </c>
      <c r="BV838" s="127">
        <f>AE838/5</f>
        <v>0.4</v>
      </c>
      <c r="BW838" s="127">
        <f>AF838/5</f>
        <v>1</v>
      </c>
      <c r="BX838" s="4"/>
      <c r="BY838" s="148" t="str">
        <f>IF(E838="A",".98",IF(E838="B",".99",IF(E838="C","1.00",IF(E838="D","1.00" ))))</f>
        <v>.98</v>
      </c>
      <c r="BZ838" s="127">
        <f>(CE838+7)/10</f>
        <v>0.8</v>
      </c>
      <c r="CA838" s="76" t="str">
        <f>IF(D838="Fern",".97",IF(D838="Grass",".99",IF(D838="Herb",".97",IF(D838="Shrub",".99",IF(D838="Tree","1.00",IF(D838="Vine",".98"))))))</f>
        <v>.97</v>
      </c>
      <c r="CB838" s="149" t="str">
        <f>IF(R838="Bogs Ponds Streams",".96", IF(R838="Coastal Areas",".97",IF(R838="Meadows Dry Open",".96",IF(R838="Forest &amp; Understory",".97",IF(R838="Moist Open",".98",IF(R838="Moist Shady",".96",IF(R838="Sub-Alpine","1.0")))))))</f>
        <v>.97</v>
      </c>
      <c r="CC838" s="76" t="str">
        <f>IF(S838="Local Endemic",".50",IF(S838="Regional Endemic",".70",IF(S838="Cascadia",".90",IF(S838="Rocky Mountain",".95",IF(S838="North America",".99")))))</f>
        <v>.99</v>
      </c>
      <c r="CD838" s="4"/>
      <c r="CE838" s="21">
        <f>IF(W838&gt;3,3,W838)</f>
        <v>1</v>
      </c>
      <c r="CF838" s="21">
        <f>IF(AC838&gt;102,102,AC838)</f>
        <v>2.2999999999999998</v>
      </c>
      <c r="CG838" s="34">
        <f>IF(AI838&lt;$AW$4,$AW$4,AI838)</f>
        <v>2004</v>
      </c>
      <c r="CH838" s="34">
        <f>IF(AJ838&lt;$AW$4,$AW$4,AJ838)</f>
        <v>2004</v>
      </c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</row>
    <row r="839" spans="1:115" ht="15" customHeight="1" x14ac:dyDescent="0.3">
      <c r="A839" s="235"/>
      <c r="B839" s="218"/>
      <c r="C839" s="225">
        <v>8</v>
      </c>
      <c r="D839" s="59" t="s">
        <v>2505</v>
      </c>
      <c r="E839" s="59" t="s">
        <v>2501</v>
      </c>
      <c r="F839" s="397" t="str">
        <f ca="1">IF(BC839&lt;2025, "Extinct&lt; 6Yrs?",BA839)</f>
        <v>Widespread</v>
      </c>
      <c r="G839" s="363" t="s">
        <v>525</v>
      </c>
      <c r="H839" s="363" t="s">
        <v>688</v>
      </c>
      <c r="I839" s="364" t="s">
        <v>2718</v>
      </c>
      <c r="J839" s="365" t="s">
        <v>3904</v>
      </c>
      <c r="K839" s="365" t="s">
        <v>1160</v>
      </c>
      <c r="L839" s="17" t="s">
        <v>2131</v>
      </c>
      <c r="M839" s="8" t="s">
        <v>4909</v>
      </c>
      <c r="N839" s="8" t="s">
        <v>5807</v>
      </c>
      <c r="O839" s="8" t="s">
        <v>6706</v>
      </c>
      <c r="P839" s="398" t="s">
        <v>51</v>
      </c>
      <c r="Q839" s="59" t="s">
        <v>2552</v>
      </c>
      <c r="R839" s="9" t="s">
        <v>2530</v>
      </c>
      <c r="S839" s="17" t="s">
        <v>2479</v>
      </c>
      <c r="T839" s="123" t="str">
        <f>IF(R839="Bogs Ponds Streams","20",IF(R839="Coastal Areas","26",IF(R839="Meadows Dry Open","10",IF(R839="Forest &amp; Understory","14",IF(R839="Moist Open","12",IF(R839="Moist Shady","10",IF(R839="Sub-Alpine Slopes","0")))))))</f>
        <v>14</v>
      </c>
      <c r="U839" s="123" t="str">
        <f>IF(R839="Bogs Ponds Streams","52",IF(R839="Coastal Areas","51",IF(R839="Meadows Dry Open","53",IF(R839="Forest &amp; Understory","52",IF(R839="Moist Open","50",IF(R839="Moist Shady","46",IF(R839="Sub-Alpine Slopes","40")))))))</f>
        <v>52</v>
      </c>
      <c r="V839" s="123" t="str">
        <f>IF(R839="Bogs Ponds Streams","84",IF(R839="Coastal Areas","76",IF(R839="Meadows Dry Open","96", IF(R839="Forest &amp; Understory","90", IF(R839="Moist Open","88", IF(R839="Moist Shady","82", IF(R839="Sub-Alpine Slopes","80")))))))</f>
        <v>90</v>
      </c>
      <c r="W839" s="59">
        <v>20</v>
      </c>
      <c r="X839" s="59">
        <v>0</v>
      </c>
      <c r="Y839" s="59">
        <v>3500</v>
      </c>
      <c r="Z839" s="59" t="s">
        <v>2519</v>
      </c>
      <c r="AA839" s="59" t="s">
        <v>2518</v>
      </c>
      <c r="AB839" s="59">
        <v>6.8</v>
      </c>
      <c r="AC839" s="45">
        <f>C839+AK839+(0.1)*AL839</f>
        <v>13</v>
      </c>
      <c r="AD839" s="77">
        <v>69</v>
      </c>
      <c r="AE839" s="59">
        <v>5</v>
      </c>
      <c r="AF839" s="59">
        <v>5</v>
      </c>
      <c r="AG839" s="59">
        <v>1900</v>
      </c>
      <c r="AH839" s="77">
        <v>0</v>
      </c>
      <c r="AI839" s="59">
        <f>AJ839</f>
        <v>2004</v>
      </c>
      <c r="AJ839" s="18">
        <v>2004</v>
      </c>
      <c r="AK839" s="18">
        <v>5</v>
      </c>
      <c r="AL839" s="18">
        <v>0</v>
      </c>
      <c r="AM839" s="24">
        <v>5</v>
      </c>
      <c r="AN839" s="24">
        <v>0</v>
      </c>
      <c r="AO839" s="25">
        <v>0</v>
      </c>
      <c r="AP839" s="24">
        <v>0</v>
      </c>
      <c r="AQ839" s="24">
        <v>0</v>
      </c>
      <c r="AR839" s="24">
        <v>0</v>
      </c>
      <c r="AS839" s="25">
        <v>0</v>
      </c>
      <c r="AT839" s="24">
        <v>0</v>
      </c>
      <c r="AU839" s="24">
        <v>0</v>
      </c>
      <c r="AV839" s="24">
        <v>0</v>
      </c>
      <c r="AW839" s="25">
        <v>0</v>
      </c>
      <c r="AX839" s="24">
        <v>0</v>
      </c>
      <c r="AY839" s="233"/>
      <c r="AZ839" s="4"/>
      <c r="BA839" s="35" t="str">
        <f>IF(OR(S839="North America",S839="Rocky Mountain"), "Widespread",BC839)</f>
        <v>Widespread</v>
      </c>
      <c r="BB839" s="4"/>
      <c r="BC839" s="35" t="str">
        <f ca="1">IF(BE839&gt;2046, "Abundant",BE839)</f>
        <v>Abundant</v>
      </c>
      <c r="BD839" s="4"/>
      <c r="BE839" s="81">
        <f ca="1">YEAR($C$13)+(BG839*80)</f>
        <v>2074.9669390374333</v>
      </c>
      <c r="BF839" s="4"/>
      <c r="BG839" s="137">
        <f ca="1">BH839*$BH$14</f>
        <v>0.69958673796791437</v>
      </c>
      <c r="BH839" s="137">
        <f ca="1">(((BJ839+BK839+BM839+BN839)/4)*$BM$11)+(((BP839+BQ839)/2)*$BQ$11)+(((BU839+BV839+BW839)/3)*$BU$11)+(((BY839+BZ839+CA839+CB839+CC839)/5)*$CA$11)</f>
        <v>0.69958673796791437</v>
      </c>
      <c r="BI839" s="4"/>
      <c r="BJ839" s="33">
        <f>AP839/(AM839+AO839)</f>
        <v>0</v>
      </c>
      <c r="BK839" s="33">
        <f>(AN839+AO839)/(AM839+AO839)</f>
        <v>0</v>
      </c>
      <c r="BL839" s="4"/>
      <c r="BM839" s="127">
        <f>CF839/102</f>
        <v>0.12745098039215685</v>
      </c>
      <c r="BN839" s="127">
        <f>C839/2</f>
        <v>4</v>
      </c>
      <c r="BO839" s="4"/>
      <c r="BP839" s="127">
        <f>(AK839)/($AW$6)</f>
        <v>5.0505050505050504E-2</v>
      </c>
      <c r="BQ839" s="127">
        <f ca="1">(CH839-$AW$4)/((YEAR($C$13))-$AW$4)</f>
        <v>0</v>
      </c>
      <c r="BR839" s="127">
        <f>(AL839)/($AW$6)</f>
        <v>0</v>
      </c>
      <c r="BS839" s="4"/>
      <c r="BT839" s="127"/>
      <c r="BU839" s="127">
        <f ca="1">(CG839-$AW$4)/((YEAR($C$13))-$AW$4)</f>
        <v>0</v>
      </c>
      <c r="BV839" s="127">
        <f>AE839/5</f>
        <v>1</v>
      </c>
      <c r="BW839" s="127">
        <f>AF839/5</f>
        <v>1</v>
      </c>
      <c r="BX839" s="4"/>
      <c r="BY839" s="148" t="str">
        <f>IF(E839="A",".98",IF(E839="B",".99",IF(E839="C","1.00",IF(E839="D","1.00" ))))</f>
        <v>1.00</v>
      </c>
      <c r="BZ839" s="127">
        <f>(CE839+7)/10</f>
        <v>1</v>
      </c>
      <c r="CA839" s="76" t="str">
        <f>IF(D839="Fern",".97",IF(D839="Grass",".99",IF(D839="Herb",".97",IF(D839="Shrub",".99",IF(D839="Tree","1.00",IF(D839="Vine",".98"))))))</f>
        <v>.97</v>
      </c>
      <c r="CB839" s="149" t="str">
        <f>IF(R839="Bogs Ponds Streams",".96", IF(R839="Coastal Areas",".97",IF(R839="Meadows Dry Open",".96",IF(R839="Forest &amp; Understory",".97",IF(R839="Moist Open",".98",IF(R839="Moist Shady",".96",IF(R839="Sub-Alpine","1.0")))))))</f>
        <v>.97</v>
      </c>
      <c r="CC839" s="76" t="str">
        <f>IF(S839="Local Endemic",".50",IF(S839="Regional Endemic",".70",IF(S839="Cascadia",".90",IF(S839="Rocky Mountain",".95",IF(S839="North America",".99")))))</f>
        <v>.95</v>
      </c>
      <c r="CD839" s="4"/>
      <c r="CE839" s="21">
        <f>IF(W839&gt;3,3,W839)</f>
        <v>3</v>
      </c>
      <c r="CF839" s="21">
        <f>IF(AC839&gt;102,102,AC839)</f>
        <v>13</v>
      </c>
      <c r="CG839" s="34">
        <f>IF(AI839&lt;$AW$4,$AW$4,AI839)</f>
        <v>2004</v>
      </c>
      <c r="CH839" s="34">
        <f>IF(AJ839&lt;$AW$4,$AW$4,AJ839)</f>
        <v>2004</v>
      </c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13"/>
    </row>
    <row r="840" spans="1:115" ht="15" customHeight="1" x14ac:dyDescent="0.3">
      <c r="A840" s="235"/>
      <c r="B840" s="218"/>
      <c r="C840" s="225">
        <v>8</v>
      </c>
      <c r="D840" s="59" t="s">
        <v>2505</v>
      </c>
      <c r="E840" s="59" t="s">
        <v>2501</v>
      </c>
      <c r="F840" s="397" t="str">
        <f ca="1">IF(BC840&lt;2025, "Extinct&lt; 6Yrs?",BA840)</f>
        <v>Abundant</v>
      </c>
      <c r="G840" s="363" t="s">
        <v>525</v>
      </c>
      <c r="H840" s="363" t="s">
        <v>688</v>
      </c>
      <c r="I840" s="364" t="s">
        <v>745</v>
      </c>
      <c r="J840" s="365" t="s">
        <v>3903</v>
      </c>
      <c r="K840" s="365" t="s">
        <v>1165</v>
      </c>
      <c r="L840" s="10" t="s">
        <v>2130</v>
      </c>
      <c r="M840" s="8" t="s">
        <v>4910</v>
      </c>
      <c r="N840" s="8" t="s">
        <v>5808</v>
      </c>
      <c r="O840" s="8" t="s">
        <v>6707</v>
      </c>
      <c r="P840" s="9" t="s">
        <v>51</v>
      </c>
      <c r="Q840" s="59" t="s">
        <v>2552</v>
      </c>
      <c r="R840" s="9" t="s">
        <v>2500</v>
      </c>
      <c r="S840" s="9" t="s">
        <v>2459</v>
      </c>
      <c r="T840" s="123" t="str">
        <f>IF(R840="Bogs Ponds Streams","20",IF(R840="Coastal Areas","26",IF(R840="Meadows Dry Open","10",IF(R840="Forest &amp; Understory","14",IF(R840="Moist Open","12",IF(R840="Moist Shady","10",IF(R840="Sub-Alpine Slopes","0")))))))</f>
        <v>10</v>
      </c>
      <c r="U840" s="123" t="str">
        <f>IF(R840="Bogs Ponds Streams","52",IF(R840="Coastal Areas","51",IF(R840="Meadows Dry Open","53",IF(R840="Forest &amp; Understory","52",IF(R840="Moist Open","50",IF(R840="Moist Shady","46",IF(R840="Sub-Alpine Slopes","40")))))))</f>
        <v>53</v>
      </c>
      <c r="V840" s="123" t="str">
        <f>IF(R840="Bogs Ponds Streams","84",IF(R840="Coastal Areas","76",IF(R840="Meadows Dry Open","96", IF(R840="Forest &amp; Understory","90", IF(R840="Moist Open","88", IF(R840="Moist Shady","82", IF(R840="Sub-Alpine Slopes","80")))))))</f>
        <v>96</v>
      </c>
      <c r="W840" s="59">
        <v>20</v>
      </c>
      <c r="X840" s="59">
        <v>0</v>
      </c>
      <c r="Y840" s="59">
        <v>3500</v>
      </c>
      <c r="Z840" s="59" t="s">
        <v>2519</v>
      </c>
      <c r="AA840" s="59" t="s">
        <v>2518</v>
      </c>
      <c r="AB840" s="59">
        <v>6.8</v>
      </c>
      <c r="AC840" s="45">
        <f>C840+AK840+(0.1)*AL840</f>
        <v>9</v>
      </c>
      <c r="AD840" s="77">
        <v>16</v>
      </c>
      <c r="AE840" s="59">
        <v>5</v>
      </c>
      <c r="AF840" s="59">
        <v>5</v>
      </c>
      <c r="AG840" s="59">
        <v>1900</v>
      </c>
      <c r="AH840" s="77">
        <v>0</v>
      </c>
      <c r="AI840" s="59">
        <f ca="1">AJ840</f>
        <v>2019</v>
      </c>
      <c r="AJ840" s="18">
        <f ca="1">YEAR(TODAY())</f>
        <v>2019</v>
      </c>
      <c r="AK840" s="18">
        <v>1</v>
      </c>
      <c r="AL840" s="18">
        <v>0</v>
      </c>
      <c r="AM840" s="18">
        <v>1</v>
      </c>
      <c r="AN840" s="18">
        <v>1</v>
      </c>
      <c r="AO840" s="24">
        <v>1</v>
      </c>
      <c r="AP840" s="24">
        <v>1</v>
      </c>
      <c r="AQ840" s="18">
        <v>0</v>
      </c>
      <c r="AR840" s="18">
        <v>0</v>
      </c>
      <c r="AS840" s="18">
        <v>0</v>
      </c>
      <c r="AT840" s="18">
        <v>0</v>
      </c>
      <c r="AU840" s="18">
        <v>0</v>
      </c>
      <c r="AV840" s="18">
        <v>0</v>
      </c>
      <c r="AW840" s="18">
        <v>0</v>
      </c>
      <c r="AX840" s="18">
        <v>0</v>
      </c>
      <c r="AY840" s="233"/>
      <c r="AZ840" s="4"/>
      <c r="BA840" s="35" t="str">
        <f ca="1">IF(OR(S840="North America",S840="Rocky Mountain"), "Widespread",BC840)</f>
        <v>Abundant</v>
      </c>
      <c r="BB840" s="4"/>
      <c r="BC840" s="35" t="str">
        <f ca="1">IF(BE840&gt;2046, "Abundant",BE840)</f>
        <v>Abundant</v>
      </c>
      <c r="BD840" s="4"/>
      <c r="BE840" s="81">
        <f ca="1">YEAR($C$13)+(BG840*80)</f>
        <v>2106.1256356506237</v>
      </c>
      <c r="BF840" s="4"/>
      <c r="BG840" s="137">
        <f ca="1">BH840*$BH$14</f>
        <v>1.0890704456327984</v>
      </c>
      <c r="BH840" s="137">
        <f ca="1">(((BJ840+BK840+BM840+BN840)/4)*$BM$11)+(((BP840+BQ840)/2)*$BQ$11)+(((BU840+BV840+BW840)/3)*$BU$11)+(((BY840+BZ840+CA840+CB840+CC840)/5)*$CA$11)</f>
        <v>1.0890704456327984</v>
      </c>
      <c r="BI840" s="4"/>
      <c r="BJ840" s="33">
        <f>AP840/(AM840+AO840)</f>
        <v>0.5</v>
      </c>
      <c r="BK840" s="33">
        <f>(AN840+AO840)/(AM840+AO840)</f>
        <v>1</v>
      </c>
      <c r="BL840" s="4"/>
      <c r="BM840" s="127">
        <f>CF840/102</f>
        <v>8.8235294117647065E-2</v>
      </c>
      <c r="BN840" s="127">
        <f>C840/2</f>
        <v>4</v>
      </c>
      <c r="BO840" s="4"/>
      <c r="BP840" s="127">
        <f>(AK840)/($AW$6)</f>
        <v>1.0101010101010102E-2</v>
      </c>
      <c r="BQ840" s="127">
        <f ca="1">(CH840-$AW$4)/((YEAR($C$13))-$AW$4)</f>
        <v>1</v>
      </c>
      <c r="BR840" s="127">
        <f>(AL840)/($AW$6)</f>
        <v>0</v>
      </c>
      <c r="BS840" s="4"/>
      <c r="BT840" s="127"/>
      <c r="BU840" s="127">
        <f ca="1">(CG840-$AW$4)/((YEAR($C$13))-$AW$4)</f>
        <v>1</v>
      </c>
      <c r="BV840" s="127">
        <f>AE840/5</f>
        <v>1</v>
      </c>
      <c r="BW840" s="127">
        <f>AF840/5</f>
        <v>1</v>
      </c>
      <c r="BX840" s="4"/>
      <c r="BY840" s="148" t="str">
        <f>IF(E840="A",".98",IF(E840="B",".99",IF(E840="C","1.00",IF(E840="D","1.00" ))))</f>
        <v>1.00</v>
      </c>
      <c r="BZ840" s="127">
        <f>(CE840+7)/10</f>
        <v>1</v>
      </c>
      <c r="CA840" s="76" t="str">
        <f>IF(D840="Fern",".97",IF(D840="Grass",".99",IF(D840="Herb",".97",IF(D840="Shrub",".99",IF(D840="Tree","1.00",IF(D840="Vine",".98"))))))</f>
        <v>.97</v>
      </c>
      <c r="CB840" s="149" t="str">
        <f>IF(R840="Bogs Ponds Streams",".96", IF(R840="Coastal Areas",".97",IF(R840="Meadows Dry Open",".96",IF(R840="Forest &amp; Understory",".97",IF(R840="Moist Open",".98",IF(R840="Moist Shady",".96",IF(R840="Sub-Alpine","1.0")))))))</f>
        <v>.96</v>
      </c>
      <c r="CC840" s="76" t="str">
        <f>IF(S840="Local Endemic",".50",IF(S840="Regional Endemic",".70",IF(S840="Cascadia",".90",IF(S840="Rocky Mountain",".95",IF(S840="North America",".99")))))</f>
        <v>.90</v>
      </c>
      <c r="CD840" s="4"/>
      <c r="CE840" s="21">
        <f>IF(W840&gt;3,3,W840)</f>
        <v>3</v>
      </c>
      <c r="CF840" s="21">
        <f>IF(AC840&gt;102,102,AC840)</f>
        <v>9</v>
      </c>
      <c r="CG840" s="34">
        <f ca="1">IF(AI840&lt;$AW$4,$AW$4,AI840)</f>
        <v>2019</v>
      </c>
      <c r="CH840" s="34">
        <f ca="1">IF(AJ840&lt;$AW$4,$AW$4,AJ840)</f>
        <v>2019</v>
      </c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13"/>
    </row>
    <row r="841" spans="1:115" ht="15" customHeight="1" x14ac:dyDescent="0.3">
      <c r="A841" s="235"/>
      <c r="B841" s="218"/>
      <c r="C841" s="225">
        <v>8</v>
      </c>
      <c r="D841" s="59" t="s">
        <v>2505</v>
      </c>
      <c r="E841" s="59" t="s">
        <v>2501</v>
      </c>
      <c r="F841" s="397" t="str">
        <f ca="1">IF(BC841&lt;2025, "Extinct&lt; 6Yrs?",BA841)</f>
        <v>Abundant</v>
      </c>
      <c r="G841" s="363" t="s">
        <v>525</v>
      </c>
      <c r="H841" s="363" t="s">
        <v>680</v>
      </c>
      <c r="I841" s="364" t="s">
        <v>2084</v>
      </c>
      <c r="J841" s="365" t="s">
        <v>2820</v>
      </c>
      <c r="K841" s="365" t="s">
        <v>2820</v>
      </c>
      <c r="L841" s="17" t="s">
        <v>2128</v>
      </c>
      <c r="M841" s="8" t="s">
        <v>4911</v>
      </c>
      <c r="N841" s="8" t="s">
        <v>5809</v>
      </c>
      <c r="O841" s="8" t="s">
        <v>6708</v>
      </c>
      <c r="P841" s="7" t="s">
        <v>51</v>
      </c>
      <c r="Q841" s="59" t="s">
        <v>2552</v>
      </c>
      <c r="R841" s="9" t="s">
        <v>2500</v>
      </c>
      <c r="S841" s="9" t="s">
        <v>2309</v>
      </c>
      <c r="T841" s="123" t="str">
        <f>IF(R841="Bogs Ponds Streams","20",IF(R841="Coastal Areas","26",IF(R841="Meadows Dry Open","10",IF(R841="Forest &amp; Understory","14",IF(R841="Moist Open","12",IF(R841="Moist Shady","10",IF(R841="Sub-Alpine Slopes","0")))))))</f>
        <v>10</v>
      </c>
      <c r="U841" s="123" t="str">
        <f>IF(R841="Bogs Ponds Streams","52",IF(R841="Coastal Areas","51",IF(R841="Meadows Dry Open","53",IF(R841="Forest &amp; Understory","52",IF(R841="Moist Open","50",IF(R841="Moist Shady","46",IF(R841="Sub-Alpine Slopes","40")))))))</f>
        <v>53</v>
      </c>
      <c r="V841" s="123" t="str">
        <f>IF(R841="Bogs Ponds Streams","84",IF(R841="Coastal Areas","76",IF(R841="Meadows Dry Open","96", IF(R841="Forest &amp; Understory","90", IF(R841="Moist Open","88", IF(R841="Moist Shady","82", IF(R841="Sub-Alpine Slopes","80")))))))</f>
        <v>96</v>
      </c>
      <c r="W841" s="59">
        <v>20</v>
      </c>
      <c r="X841" s="59">
        <v>0</v>
      </c>
      <c r="Y841" s="59">
        <v>3500</v>
      </c>
      <c r="Z841" s="59" t="s">
        <v>2519</v>
      </c>
      <c r="AA841" s="59" t="s">
        <v>2518</v>
      </c>
      <c r="AB841" s="59">
        <v>6.8</v>
      </c>
      <c r="AC841" s="45">
        <f>C841+AK841+(0.1)*AL841</f>
        <v>11.9</v>
      </c>
      <c r="AD841" s="77">
        <v>18</v>
      </c>
      <c r="AE841" s="60">
        <v>2</v>
      </c>
      <c r="AF841" s="60">
        <v>4</v>
      </c>
      <c r="AG841" s="77">
        <v>1925</v>
      </c>
      <c r="AH841" s="77">
        <v>0</v>
      </c>
      <c r="AI841" s="77">
        <v>2000</v>
      </c>
      <c r="AJ841" s="18">
        <f ca="1">YEAR(TODAY())</f>
        <v>2019</v>
      </c>
      <c r="AK841" s="18">
        <v>3</v>
      </c>
      <c r="AL841" s="18">
        <v>9</v>
      </c>
      <c r="AM841" s="18">
        <v>1</v>
      </c>
      <c r="AN841" s="18">
        <v>1</v>
      </c>
      <c r="AO841" s="18">
        <v>5</v>
      </c>
      <c r="AP841" s="18">
        <v>1</v>
      </c>
      <c r="AQ841" s="18">
        <v>0</v>
      </c>
      <c r="AR841" s="18">
        <v>0</v>
      </c>
      <c r="AS841" s="18">
        <v>0</v>
      </c>
      <c r="AT841" s="18">
        <v>0</v>
      </c>
      <c r="AU841" s="18">
        <v>0</v>
      </c>
      <c r="AV841" s="18">
        <v>0</v>
      </c>
      <c r="AW841" s="18">
        <v>0</v>
      </c>
      <c r="AX841" s="18">
        <v>0</v>
      </c>
      <c r="AY841" s="233"/>
      <c r="AZ841" s="4"/>
      <c r="BA841" s="35" t="str">
        <f ca="1">IF(OR(S841="North America",S841="Rocky Mountain"), "Widespread",BC841)</f>
        <v>Abundant</v>
      </c>
      <c r="BB841" s="4"/>
      <c r="BC841" s="35" t="str">
        <f ca="1">IF(BE841&gt;2046, "Abundant",BE841)</f>
        <v>Abundant</v>
      </c>
      <c r="BD841" s="4"/>
      <c r="BE841" s="81">
        <f ca="1">YEAR($C$13)+(BG841*80)</f>
        <v>2098.8052363636361</v>
      </c>
      <c r="BF841" s="4"/>
      <c r="BG841" s="137">
        <f ca="1">BH841*$BH$14</f>
        <v>0.99756545454545453</v>
      </c>
      <c r="BH841" s="137">
        <f ca="1">(((BJ841+BK841+BM841+BN841)/4)*$BM$11)+(((BP841+BQ841)/2)*$BQ$11)+(((BU841+BV841+BW841)/3)*$BU$11)+(((BY841+BZ841+CA841+CB841+CC841)/5)*$CA$11)</f>
        <v>0.99756545454545453</v>
      </c>
      <c r="BI841" s="4"/>
      <c r="BJ841" s="33">
        <f>AP841/(AM841+AO841)</f>
        <v>0.16666666666666666</v>
      </c>
      <c r="BK841" s="33">
        <f>(AN841+AO841)/(AM841+AO841)</f>
        <v>1</v>
      </c>
      <c r="BL841" s="4"/>
      <c r="BM841" s="127">
        <f>CF841/102</f>
        <v>0.11666666666666667</v>
      </c>
      <c r="BN841" s="127">
        <f>C841/2</f>
        <v>4</v>
      </c>
      <c r="BO841" s="4"/>
      <c r="BP841" s="127">
        <f>(AK841)/($AW$6)</f>
        <v>3.0303030303030304E-2</v>
      </c>
      <c r="BQ841" s="127">
        <f ca="1">(CH841-$AW$4)/((YEAR($C$13))-$AW$4)</f>
        <v>1</v>
      </c>
      <c r="BR841" s="127">
        <f>(AL841)/($AW$6)</f>
        <v>9.0909090909090912E-2</v>
      </c>
      <c r="BS841" s="4"/>
      <c r="BT841" s="127"/>
      <c r="BU841" s="127">
        <f ca="1">(CG841-$AW$4)/((YEAR($C$13))-$AW$4)</f>
        <v>0</v>
      </c>
      <c r="BV841" s="127">
        <f>AE841/5</f>
        <v>0.4</v>
      </c>
      <c r="BW841" s="127">
        <f>AF841/5</f>
        <v>0.8</v>
      </c>
      <c r="BX841" s="4"/>
      <c r="BY841" s="148" t="str">
        <f>IF(E841="A",".98",IF(E841="B",".99",IF(E841="C","1.00",IF(E841="D","1.00" ))))</f>
        <v>1.00</v>
      </c>
      <c r="BZ841" s="127">
        <f>(CE841+7)/10</f>
        <v>1</v>
      </c>
      <c r="CA841" s="76" t="str">
        <f>IF(D841="Fern",".97",IF(D841="Grass",".99",IF(D841="Herb",".97",IF(D841="Shrub",".99",IF(D841="Tree","1.00",IF(D841="Vine",".98"))))))</f>
        <v>.97</v>
      </c>
      <c r="CB841" s="149" t="str">
        <f>IF(R841="Bogs Ponds Streams",".96", IF(R841="Coastal Areas",".97",IF(R841="Meadows Dry Open",".96",IF(R841="Forest &amp; Understory",".97",IF(R841="Moist Open",".98",IF(R841="Moist Shady",".96",IF(R841="Sub-Alpine","1.0")))))))</f>
        <v>.96</v>
      </c>
      <c r="CC841" s="76" t="str">
        <f>IF(S841="Local Endemic",".50",IF(S841="Regional Endemic",".70",IF(S841="Cascadia",".90",IF(S841="Rocky Mountain",".95",IF(S841="North America",".99")))))</f>
        <v>.70</v>
      </c>
      <c r="CD841" s="4"/>
      <c r="CE841" s="21">
        <f>IF(W841&gt;3,3,W841)</f>
        <v>3</v>
      </c>
      <c r="CF841" s="21">
        <f>IF(AC841&gt;102,102,AC841)</f>
        <v>11.9</v>
      </c>
      <c r="CG841" s="34">
        <f>IF(AI841&lt;$AW$4,$AW$4,AI841)</f>
        <v>2004</v>
      </c>
      <c r="CH841" s="34">
        <f ca="1">IF(AJ841&lt;$AW$4,$AW$4,AJ841)</f>
        <v>2019</v>
      </c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13"/>
    </row>
    <row r="842" spans="1:115" ht="15" customHeight="1" x14ac:dyDescent="0.3">
      <c r="A842" s="235"/>
      <c r="B842" s="218"/>
      <c r="C842" s="225">
        <v>9</v>
      </c>
      <c r="D842" s="59" t="s">
        <v>2505</v>
      </c>
      <c r="E842" s="59" t="s">
        <v>2501</v>
      </c>
      <c r="F842" s="397" t="str">
        <f ca="1">IF(BC842&lt;2025, "Extinct&lt; 6Yrs?",BA842)</f>
        <v>Abundant</v>
      </c>
      <c r="G842" s="363" t="s">
        <v>525</v>
      </c>
      <c r="H842" s="363" t="s">
        <v>688</v>
      </c>
      <c r="I842" s="365" t="s">
        <v>1343</v>
      </c>
      <c r="J842" s="365" t="s">
        <v>3902</v>
      </c>
      <c r="K842" s="365" t="s">
        <v>1344</v>
      </c>
      <c r="L842" s="10" t="s">
        <v>2129</v>
      </c>
      <c r="M842" s="8" t="s">
        <v>4912</v>
      </c>
      <c r="N842" s="8" t="s">
        <v>5810</v>
      </c>
      <c r="O842" s="8" t="s">
        <v>6709</v>
      </c>
      <c r="P842" s="7" t="s">
        <v>51</v>
      </c>
      <c r="Q842" s="59" t="s">
        <v>2552</v>
      </c>
      <c r="R842" s="9" t="s">
        <v>2500</v>
      </c>
      <c r="S842" s="7" t="s">
        <v>2309</v>
      </c>
      <c r="T842" s="123" t="str">
        <f>IF(R842="Bogs Ponds Streams","20",IF(R842="Coastal Areas","26",IF(R842="Meadows Dry Open","10",IF(R842="Forest &amp; Understory","14",IF(R842="Moist Open","12",IF(R842="Moist Shady","10",IF(R842="Sub-Alpine Slopes","0")))))))</f>
        <v>10</v>
      </c>
      <c r="U842" s="123" t="str">
        <f>IF(R842="Bogs Ponds Streams","52",IF(R842="Coastal Areas","51",IF(R842="Meadows Dry Open","53",IF(R842="Forest &amp; Understory","52",IF(R842="Moist Open","50",IF(R842="Moist Shady","46",IF(R842="Sub-Alpine Slopes","40")))))))</f>
        <v>53</v>
      </c>
      <c r="V842" s="123" t="str">
        <f>IF(R842="Bogs Ponds Streams","84",IF(R842="Coastal Areas","76",IF(R842="Meadows Dry Open","96", IF(R842="Forest &amp; Understory","90", IF(R842="Moist Open","88", IF(R842="Moist Shady","82", IF(R842="Sub-Alpine Slopes","80")))))))</f>
        <v>96</v>
      </c>
      <c r="W842" s="59">
        <v>20</v>
      </c>
      <c r="X842" s="59">
        <v>0</v>
      </c>
      <c r="Y842" s="59">
        <v>3500</v>
      </c>
      <c r="Z842" s="59" t="s">
        <v>2519</v>
      </c>
      <c r="AA842" s="59" t="s">
        <v>2518</v>
      </c>
      <c r="AB842" s="59">
        <v>6.8</v>
      </c>
      <c r="AC842" s="45">
        <f>C842+AK842+(0.1)*AL842</f>
        <v>10</v>
      </c>
      <c r="AD842" s="77">
        <v>0</v>
      </c>
      <c r="AE842" s="59">
        <v>5</v>
      </c>
      <c r="AF842" s="59">
        <v>5</v>
      </c>
      <c r="AG842" s="59">
        <v>1900</v>
      </c>
      <c r="AH842" s="77">
        <v>0</v>
      </c>
      <c r="AI842" s="59">
        <f ca="1">AJ842</f>
        <v>2019</v>
      </c>
      <c r="AJ842" s="18">
        <f ca="1">YEAR(TODAY())</f>
        <v>2019</v>
      </c>
      <c r="AK842" s="18">
        <v>1</v>
      </c>
      <c r="AL842" s="18">
        <v>0</v>
      </c>
      <c r="AM842" s="18">
        <v>1</v>
      </c>
      <c r="AN842" s="18">
        <v>1</v>
      </c>
      <c r="AO842" s="25">
        <v>0</v>
      </c>
      <c r="AP842" s="18">
        <v>1</v>
      </c>
      <c r="AQ842" s="18">
        <v>0</v>
      </c>
      <c r="AR842" s="18">
        <v>0</v>
      </c>
      <c r="AS842" s="18">
        <v>0</v>
      </c>
      <c r="AT842" s="18">
        <v>0</v>
      </c>
      <c r="AU842" s="18">
        <v>0</v>
      </c>
      <c r="AV842" s="18">
        <v>0</v>
      </c>
      <c r="AW842" s="18">
        <v>0</v>
      </c>
      <c r="AX842" s="18">
        <v>0</v>
      </c>
      <c r="AY842" s="233"/>
      <c r="AZ842" s="4"/>
      <c r="BA842" s="35" t="str">
        <f ca="1">IF(OR(S842="North America",S842="Rocky Mountain"), "Widespread",BC842)</f>
        <v>Abundant</v>
      </c>
      <c r="BB842" s="4"/>
      <c r="BC842" s="35" t="str">
        <f ca="1">IF(BE842&gt;2046, "Abundant",BE842)</f>
        <v>Abundant</v>
      </c>
      <c r="BD842" s="4"/>
      <c r="BE842" s="81">
        <f ca="1">YEAR($C$13)+(BG842*80)</f>
        <v>2118.1792827094473</v>
      </c>
      <c r="BF842" s="4"/>
      <c r="BG842" s="137">
        <f ca="1">BH842*$BH$14</f>
        <v>1.2397410338680928</v>
      </c>
      <c r="BH842" s="137">
        <f ca="1">(((BJ842+BK842+BM842+BN842)/4)*$BM$11)+(((BP842+BQ842)/2)*$BQ$11)+(((BU842+BV842+BW842)/3)*$BU$11)+(((BY842+BZ842+CA842+CB842+CC842)/5)*$CA$11)</f>
        <v>1.2397410338680928</v>
      </c>
      <c r="BI842" s="4"/>
      <c r="BJ842" s="33">
        <f>AP842/(AM842+AO842)</f>
        <v>1</v>
      </c>
      <c r="BK842" s="33">
        <f>(AN842+AO842)/(AM842+AO842)</f>
        <v>1</v>
      </c>
      <c r="BL842" s="4"/>
      <c r="BM842" s="127">
        <f>CF842/102</f>
        <v>9.8039215686274508E-2</v>
      </c>
      <c r="BN842" s="127">
        <f>C842/2</f>
        <v>4.5</v>
      </c>
      <c r="BO842" s="4"/>
      <c r="BP842" s="127">
        <f>(AK842)/($AW$6)</f>
        <v>1.0101010101010102E-2</v>
      </c>
      <c r="BQ842" s="127">
        <f ca="1">(CH842-$AW$4)/((YEAR($C$13))-$AW$4)</f>
        <v>1</v>
      </c>
      <c r="BR842" s="127">
        <f>(AL842)/($AW$6)</f>
        <v>0</v>
      </c>
      <c r="BS842" s="4"/>
      <c r="BT842" s="127"/>
      <c r="BU842" s="127">
        <f ca="1">(CG842-$AW$4)/((YEAR($C$13))-$AW$4)</f>
        <v>1</v>
      </c>
      <c r="BV842" s="127">
        <f>AE842/5</f>
        <v>1</v>
      </c>
      <c r="BW842" s="127">
        <f>AF842/5</f>
        <v>1</v>
      </c>
      <c r="BX842" s="4"/>
      <c r="BY842" s="148" t="str">
        <f>IF(E842="A",".98",IF(E842="B",".99",IF(E842="C","1.00",IF(E842="D","1.00" ))))</f>
        <v>1.00</v>
      </c>
      <c r="BZ842" s="127">
        <f>(CE842+7)/10</f>
        <v>1</v>
      </c>
      <c r="CA842" s="76" t="str">
        <f>IF(D842="Fern",".97",IF(D842="Grass",".99",IF(D842="Herb",".97",IF(D842="Shrub",".99",IF(D842="Tree","1.00",IF(D842="Vine",".98"))))))</f>
        <v>.97</v>
      </c>
      <c r="CB842" s="149" t="str">
        <f>IF(R842="Bogs Ponds Streams",".96", IF(R842="Coastal Areas",".97",IF(R842="Meadows Dry Open",".96",IF(R842="Forest &amp; Understory",".97",IF(R842="Moist Open",".98",IF(R842="Moist Shady",".96",IF(R842="Sub-Alpine","1.0")))))))</f>
        <v>.96</v>
      </c>
      <c r="CC842" s="76" t="str">
        <f>IF(S842="Local Endemic",".50",IF(S842="Regional Endemic",".70",IF(S842="Cascadia",".90",IF(S842="Rocky Mountain",".95",IF(S842="North America",".99")))))</f>
        <v>.70</v>
      </c>
      <c r="CD842" s="4"/>
      <c r="CE842" s="21">
        <f>IF(W842&gt;3,3,W842)</f>
        <v>3</v>
      </c>
      <c r="CF842" s="21">
        <f>IF(AC842&gt;102,102,AC842)</f>
        <v>10</v>
      </c>
      <c r="CG842" s="34">
        <f ca="1">IF(AI842&lt;$AW$4,$AW$4,AI842)</f>
        <v>2019</v>
      </c>
      <c r="CH842" s="34">
        <f ca="1">IF(AJ842&lt;$AW$4,$AW$4,AJ842)</f>
        <v>2019</v>
      </c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13"/>
    </row>
    <row r="843" spans="1:115" ht="15" customHeight="1" x14ac:dyDescent="0.3">
      <c r="A843" s="235"/>
      <c r="B843" s="218"/>
      <c r="C843" s="225">
        <v>8</v>
      </c>
      <c r="D843" s="59" t="s">
        <v>2505</v>
      </c>
      <c r="E843" s="59" t="s">
        <v>2501</v>
      </c>
      <c r="F843" s="397" t="str">
        <f ca="1">IF(BC843&lt;2025, "Extinct&lt; 6Yrs?",BA843)</f>
        <v>Abundant</v>
      </c>
      <c r="G843" s="363" t="s">
        <v>525</v>
      </c>
      <c r="H843" s="363" t="s">
        <v>688</v>
      </c>
      <c r="I843" s="364" t="s">
        <v>746</v>
      </c>
      <c r="J843" s="365" t="s">
        <v>3901</v>
      </c>
      <c r="K843" s="365" t="s">
        <v>62</v>
      </c>
      <c r="L843" s="10" t="s">
        <v>2127</v>
      </c>
      <c r="M843" s="8" t="s">
        <v>4913</v>
      </c>
      <c r="N843" s="8" t="s">
        <v>5811</v>
      </c>
      <c r="O843" s="8" t="s">
        <v>6710</v>
      </c>
      <c r="P843" s="9" t="s">
        <v>51</v>
      </c>
      <c r="Q843" s="59" t="s">
        <v>2552</v>
      </c>
      <c r="R843" s="9" t="s">
        <v>2498</v>
      </c>
      <c r="S843" s="9" t="s">
        <v>2459</v>
      </c>
      <c r="T843" s="123" t="str">
        <f>IF(R843="Bogs Ponds Streams","20",IF(R843="Coastal Areas","26",IF(R843="Meadows Dry Open","10",IF(R843="Forest &amp; Understory","14",IF(R843="Moist Open","12",IF(R843="Moist Shady","10",IF(R843="Sub-Alpine Slopes","0")))))))</f>
        <v>10</v>
      </c>
      <c r="U843" s="123" t="str">
        <f>IF(R843="Bogs Ponds Streams","52",IF(R843="Coastal Areas","51",IF(R843="Meadows Dry Open","53",IF(R843="Forest &amp; Understory","52",IF(R843="Moist Open","50",IF(R843="Moist Shady","46",IF(R843="Sub-Alpine Slopes","40")))))))</f>
        <v>46</v>
      </c>
      <c r="V843" s="123" t="str">
        <f>IF(R843="Bogs Ponds Streams","84",IF(R843="Coastal Areas","76",IF(R843="Meadows Dry Open","96", IF(R843="Forest &amp; Understory","90", IF(R843="Moist Open","88", IF(R843="Moist Shady","82", IF(R843="Sub-Alpine Slopes","80")))))))</f>
        <v>82</v>
      </c>
      <c r="W843" s="59">
        <v>20</v>
      </c>
      <c r="X843" s="59">
        <v>0</v>
      </c>
      <c r="Y843" s="59">
        <v>3500</v>
      </c>
      <c r="Z843" s="59" t="s">
        <v>2519</v>
      </c>
      <c r="AA843" s="59" t="s">
        <v>2518</v>
      </c>
      <c r="AB843" s="59">
        <v>6.8</v>
      </c>
      <c r="AC843" s="45">
        <f>C843+AK843+(0.1)*AL843</f>
        <v>49.1</v>
      </c>
      <c r="AD843" s="77">
        <v>144</v>
      </c>
      <c r="AE843" s="59">
        <v>5</v>
      </c>
      <c r="AF843" s="59">
        <v>5</v>
      </c>
      <c r="AG843" s="59">
        <v>1900</v>
      </c>
      <c r="AH843" s="77">
        <v>0</v>
      </c>
      <c r="AI843" s="59">
        <f ca="1">AJ843</f>
        <v>2019</v>
      </c>
      <c r="AJ843" s="18">
        <f ca="1">YEAR(TODAY())</f>
        <v>2019</v>
      </c>
      <c r="AK843" s="18">
        <v>40</v>
      </c>
      <c r="AL843" s="18">
        <v>11</v>
      </c>
      <c r="AM843" s="18">
        <v>1</v>
      </c>
      <c r="AN843" s="18">
        <v>1</v>
      </c>
      <c r="AO843" s="24">
        <v>1</v>
      </c>
      <c r="AP843" s="24">
        <v>1</v>
      </c>
      <c r="AQ843" s="18">
        <v>0</v>
      </c>
      <c r="AR843" s="18">
        <v>0</v>
      </c>
      <c r="AS843" s="18">
        <v>0</v>
      </c>
      <c r="AT843" s="18">
        <v>0</v>
      </c>
      <c r="AU843" s="18">
        <v>0</v>
      </c>
      <c r="AV843" s="18">
        <v>0</v>
      </c>
      <c r="AW843" s="18">
        <v>0</v>
      </c>
      <c r="AX843" s="18">
        <v>0</v>
      </c>
      <c r="AY843" s="233"/>
      <c r="AZ843" s="4"/>
      <c r="BA843" s="35" t="str">
        <f ca="1">IF(OR(S843="North America",S843="Rocky Mountain"), "Widespread",BC843)</f>
        <v>Abundant</v>
      </c>
      <c r="BB843" s="4"/>
      <c r="BC843" s="35" t="str">
        <f ca="1">IF(BE843&gt;2046, "Abundant",BE843)</f>
        <v>Abundant</v>
      </c>
      <c r="BD843" s="4"/>
      <c r="BE843" s="81">
        <f ca="1">YEAR($C$13)+(BG843*80)</f>
        <v>2115.57055543672</v>
      </c>
      <c r="BF843" s="4"/>
      <c r="BG843" s="137">
        <f ca="1">BH843*$BH$14</f>
        <v>1.2071319429590019</v>
      </c>
      <c r="BH843" s="137">
        <f ca="1">(((BJ843+BK843+BM843+BN843)/4)*$BM$11)+(((BP843+BQ843)/2)*$BQ$11)+(((BU843+BV843+BW843)/3)*$BU$11)+(((BY843+BZ843+CA843+CB843+CC843)/5)*$CA$11)</f>
        <v>1.2071319429590019</v>
      </c>
      <c r="BI843" s="4"/>
      <c r="BJ843" s="33">
        <f>AP843/(AM843+AO843)</f>
        <v>0.5</v>
      </c>
      <c r="BK843" s="33">
        <f>(AN843+AO843)/(AM843+AO843)</f>
        <v>1</v>
      </c>
      <c r="BL843" s="4"/>
      <c r="BM843" s="127">
        <f>CF843/102</f>
        <v>0.48137254901960785</v>
      </c>
      <c r="BN843" s="127">
        <f>C843/2</f>
        <v>4</v>
      </c>
      <c r="BO843" s="4"/>
      <c r="BP843" s="127">
        <f>(AK843)/($AW$6)</f>
        <v>0.40404040404040403</v>
      </c>
      <c r="BQ843" s="127">
        <f ca="1">(CH843-$AW$4)/((YEAR($C$13))-$AW$4)</f>
        <v>1</v>
      </c>
      <c r="BR843" s="127">
        <f>(AL843)/($AW$6)</f>
        <v>0.1111111111111111</v>
      </c>
      <c r="BS843" s="4"/>
      <c r="BT843" s="127"/>
      <c r="BU843" s="127">
        <f ca="1">(CG843-$AW$4)/((YEAR($C$13))-$AW$4)</f>
        <v>1</v>
      </c>
      <c r="BV843" s="127">
        <f>AE843/5</f>
        <v>1</v>
      </c>
      <c r="BW843" s="127">
        <f>AF843/5</f>
        <v>1</v>
      </c>
      <c r="BX843" s="4"/>
      <c r="BY843" s="148" t="str">
        <f>IF(E843="A",".98",IF(E843="B",".99",IF(E843="C","1.00",IF(E843="D","1.00" ))))</f>
        <v>1.00</v>
      </c>
      <c r="BZ843" s="127">
        <f>(CE843+7)/10</f>
        <v>1</v>
      </c>
      <c r="CA843" s="76" t="str">
        <f>IF(D843="Fern",".97",IF(D843="Grass",".99",IF(D843="Herb",".97",IF(D843="Shrub",".99",IF(D843="Tree","1.00",IF(D843="Vine",".98"))))))</f>
        <v>.97</v>
      </c>
      <c r="CB843" s="149" t="str">
        <f>IF(R843="Bogs Ponds Streams",".96", IF(R843="Coastal Areas",".97",IF(R843="Meadows Dry Open",".96",IF(R843="Forest &amp; Understory",".97",IF(R843="Moist Open",".98",IF(R843="Moist Shady",".96",IF(R843="Sub-Alpine","1.0")))))))</f>
        <v>.96</v>
      </c>
      <c r="CC843" s="76" t="str">
        <f>IF(S843="Local Endemic",".50",IF(S843="Regional Endemic",".70",IF(S843="Cascadia",".90",IF(S843="Rocky Mountain",".95",IF(S843="North America",".99")))))</f>
        <v>.90</v>
      </c>
      <c r="CD843" s="4"/>
      <c r="CE843" s="21">
        <f>IF(W843&gt;3,3,W843)</f>
        <v>3</v>
      </c>
      <c r="CF843" s="21">
        <f>IF(AC843&gt;102,102,AC843)</f>
        <v>49.1</v>
      </c>
      <c r="CG843" s="34">
        <f ca="1">IF(AI843&lt;$AW$4,$AW$4,AI843)</f>
        <v>2019</v>
      </c>
      <c r="CH843" s="34">
        <f ca="1">IF(AJ843&lt;$AW$4,$AW$4,AJ843)</f>
        <v>2019</v>
      </c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13"/>
    </row>
    <row r="844" spans="1:115" ht="15" customHeight="1" x14ac:dyDescent="0.3">
      <c r="A844" s="235"/>
      <c r="B844" s="218"/>
      <c r="C844" s="375">
        <v>1</v>
      </c>
      <c r="D844" s="67" t="s">
        <v>2505</v>
      </c>
      <c r="E844" s="67" t="s">
        <v>2501</v>
      </c>
      <c r="F844" s="403">
        <f ca="1">IF(BC844&lt;2025, "Extinct&lt; 6Yrs?",BA844)</f>
        <v>2035.9491565062388</v>
      </c>
      <c r="G844" s="376" t="s">
        <v>525</v>
      </c>
      <c r="H844" s="376" t="s">
        <v>4028</v>
      </c>
      <c r="I844" s="379" t="s">
        <v>2719</v>
      </c>
      <c r="J844" s="378" t="s">
        <v>3495</v>
      </c>
      <c r="K844" s="378" t="s">
        <v>1144</v>
      </c>
      <c r="L844" s="65" t="s">
        <v>2156</v>
      </c>
      <c r="M844" s="64" t="s">
        <v>4914</v>
      </c>
      <c r="N844" s="64" t="s">
        <v>5812</v>
      </c>
      <c r="O844" s="64" t="s">
        <v>6711</v>
      </c>
      <c r="P844" s="404" t="s">
        <v>672</v>
      </c>
      <c r="Q844" s="67" t="s">
        <v>2552</v>
      </c>
      <c r="R844" s="61" t="s">
        <v>2530</v>
      </c>
      <c r="S844" s="61" t="s">
        <v>2459</v>
      </c>
      <c r="T844" s="134" t="str">
        <f>IF(R844="Bogs Ponds Streams","20",IF(R844="Coastal Areas","26",IF(R844="Meadows Dry Open","10",IF(R844="Forest &amp; Understory","14",IF(R844="Moist Open","12",IF(R844="Moist Shady","10",IF(R844="Sub-Alpine Slopes","0")))))))</f>
        <v>14</v>
      </c>
      <c r="U844" s="134" t="str">
        <f>IF(R844="Bogs Ponds Streams","52",IF(R844="Coastal Areas","51",IF(R844="Meadows Dry Open","53",IF(R844="Forest &amp; Understory","52",IF(R844="Moist Open","50",IF(R844="Moist Shady","46",IF(R844="Sub-Alpine Slopes","40")))))))</f>
        <v>52</v>
      </c>
      <c r="V844" s="134" t="str">
        <f>IF(R844="Bogs Ponds Streams","84",IF(R844="Coastal Areas","76",IF(R844="Meadows Dry Open","96", IF(R844="Forest &amp; Understory","90", IF(R844="Moist Open","88", IF(R844="Moist Shady","82", IF(R844="Sub-Alpine Slopes","80")))))))</f>
        <v>90</v>
      </c>
      <c r="W844" s="67">
        <v>20</v>
      </c>
      <c r="X844" s="67">
        <v>0</v>
      </c>
      <c r="Y844" s="67">
        <v>3500</v>
      </c>
      <c r="Z844" s="67" t="s">
        <v>2519</v>
      </c>
      <c r="AA844" s="67" t="s">
        <v>2518</v>
      </c>
      <c r="AB844" s="67">
        <v>6.8</v>
      </c>
      <c r="AC844" s="85">
        <f>C844+AK844+(0.1)*AL844</f>
        <v>22</v>
      </c>
      <c r="AD844" s="78">
        <v>58</v>
      </c>
      <c r="AE844" s="67">
        <v>5</v>
      </c>
      <c r="AF844" s="67">
        <v>5</v>
      </c>
      <c r="AG844" s="67">
        <v>1900</v>
      </c>
      <c r="AH844" s="78">
        <v>0</v>
      </c>
      <c r="AI844" s="67">
        <f>AJ844</f>
        <v>2004</v>
      </c>
      <c r="AJ844" s="69">
        <v>2004</v>
      </c>
      <c r="AK844" s="69">
        <v>21</v>
      </c>
      <c r="AL844" s="69">
        <v>0</v>
      </c>
      <c r="AM844" s="70">
        <v>5</v>
      </c>
      <c r="AN844" s="70">
        <v>0</v>
      </c>
      <c r="AO844" s="86">
        <v>0</v>
      </c>
      <c r="AP844" s="70">
        <v>0</v>
      </c>
      <c r="AQ844" s="70">
        <v>0</v>
      </c>
      <c r="AR844" s="70">
        <v>0</v>
      </c>
      <c r="AS844" s="86">
        <v>0</v>
      </c>
      <c r="AT844" s="70">
        <v>0</v>
      </c>
      <c r="AU844" s="70">
        <v>0</v>
      </c>
      <c r="AV844" s="70">
        <v>0</v>
      </c>
      <c r="AW844" s="86">
        <v>0</v>
      </c>
      <c r="AX844" s="70">
        <v>0</v>
      </c>
      <c r="AY844" s="233"/>
      <c r="AZ844" s="4"/>
      <c r="BA844" s="35">
        <f ca="1">IF(OR(S844="North America",S844="Rocky Mountain"), "Widespread",BC844)</f>
        <v>2035.9491565062388</v>
      </c>
      <c r="BB844" s="4"/>
      <c r="BC844" s="35">
        <f ca="1">IF(BE844&gt;2046, "Abundant",BE844)</f>
        <v>2035.9491565062388</v>
      </c>
      <c r="BD844" s="4"/>
      <c r="BE844" s="81">
        <f ca="1">YEAR($C$13)+(BG844*80)</f>
        <v>2035.9491565062388</v>
      </c>
      <c r="BF844" s="4"/>
      <c r="BG844" s="137">
        <f ca="1">BH844*$BH$14</f>
        <v>0.21186445632798573</v>
      </c>
      <c r="BH844" s="137">
        <f ca="1">(((BJ844+BK844+BM844+BN844)/4)*$BM$11)+(((BP844+BQ844)/2)*$BQ$11)+(((BU844+BV844+BW844)/3)*$BU$11)+(((BY844+BZ844+CA844+CB844+CC844)/5)*$CA$11)</f>
        <v>0.21186445632798573</v>
      </c>
      <c r="BI844" s="4"/>
      <c r="BJ844" s="33">
        <f>AP844/(AM844+AO844)</f>
        <v>0</v>
      </c>
      <c r="BK844" s="33">
        <f>(AN844+AO844)/(AM844+AO844)</f>
        <v>0</v>
      </c>
      <c r="BL844" s="4"/>
      <c r="BM844" s="127">
        <f>CF844/102</f>
        <v>0.21568627450980393</v>
      </c>
      <c r="BN844" s="127">
        <f>C844/2</f>
        <v>0.5</v>
      </c>
      <c r="BO844" s="4"/>
      <c r="BP844" s="127">
        <f>(AK844)/($AW$6)</f>
        <v>0.21212121212121213</v>
      </c>
      <c r="BQ844" s="127">
        <f ca="1">(CH844-$AW$4)/((YEAR($C$13))-$AW$4)</f>
        <v>0</v>
      </c>
      <c r="BR844" s="127">
        <f>(AL844)/($AW$6)</f>
        <v>0</v>
      </c>
      <c r="BS844" s="4"/>
      <c r="BT844" s="127"/>
      <c r="BU844" s="127">
        <f ca="1">(CG844-$AW$4)/((YEAR($C$13))-$AW$4)</f>
        <v>0</v>
      </c>
      <c r="BV844" s="127">
        <f>AE844/5</f>
        <v>1</v>
      </c>
      <c r="BW844" s="127">
        <f>AF844/5</f>
        <v>1</v>
      </c>
      <c r="BX844" s="4"/>
      <c r="BY844" s="148" t="str">
        <f>IF(E844="A",".98",IF(E844="B",".99",IF(E844="C","1.00",IF(E844="D","1.00" ))))</f>
        <v>1.00</v>
      </c>
      <c r="BZ844" s="127">
        <f>(CE844+7)/10</f>
        <v>1</v>
      </c>
      <c r="CA844" s="76" t="str">
        <f>IF(D844="Fern",".97",IF(D844="Grass",".99",IF(D844="Herb",".97",IF(D844="Shrub",".99",IF(D844="Tree","1.00",IF(D844="Vine",".98"))))))</f>
        <v>.97</v>
      </c>
      <c r="CB844" s="149" t="str">
        <f>IF(R844="Bogs Ponds Streams",".96", IF(R844="Coastal Areas",".97",IF(R844="Meadows Dry Open",".96",IF(R844="Forest &amp; Understory",".97",IF(R844="Moist Open",".98",IF(R844="Moist Shady",".96",IF(R844="Sub-Alpine","1.0")))))))</f>
        <v>.97</v>
      </c>
      <c r="CC844" s="76" t="str">
        <f>IF(S844="Local Endemic",".50",IF(S844="Regional Endemic",".70",IF(S844="Cascadia",".90",IF(S844="Rocky Mountain",".95",IF(S844="North America",".99")))))</f>
        <v>.90</v>
      </c>
      <c r="CD844" s="4"/>
      <c r="CE844" s="21">
        <f>IF(W844&gt;3,3,W844)</f>
        <v>3</v>
      </c>
      <c r="CF844" s="21">
        <f>IF(AC844&gt;102,102,AC844)</f>
        <v>22</v>
      </c>
      <c r="CG844" s="34">
        <f>IF(AI844&lt;$AW$4,$AW$4,AI844)</f>
        <v>2004</v>
      </c>
      <c r="CH844" s="34">
        <f>IF(AJ844&lt;$AW$4,$AW$4,AJ844)</f>
        <v>2004</v>
      </c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</row>
    <row r="845" spans="1:115" ht="15" customHeight="1" x14ac:dyDescent="0.3">
      <c r="A845" s="235"/>
      <c r="B845" s="218"/>
      <c r="C845" s="375">
        <v>1</v>
      </c>
      <c r="D845" s="67" t="s">
        <v>2505</v>
      </c>
      <c r="E845" s="67" t="s">
        <v>2502</v>
      </c>
      <c r="F845" s="403" t="str">
        <f ca="1">IF(BC845&lt;2025, "Extinct&lt; 6Yrs?",BA845)</f>
        <v>Widespread</v>
      </c>
      <c r="G845" s="376" t="s">
        <v>525</v>
      </c>
      <c r="H845" s="376" t="s">
        <v>4028</v>
      </c>
      <c r="I845" s="379" t="s">
        <v>2720</v>
      </c>
      <c r="J845" s="378" t="s">
        <v>3494</v>
      </c>
      <c r="K845" s="378" t="s">
        <v>1236</v>
      </c>
      <c r="L845" s="64" t="s">
        <v>2155</v>
      </c>
      <c r="M845" s="64" t="s">
        <v>4915</v>
      </c>
      <c r="N845" s="64" t="s">
        <v>5813</v>
      </c>
      <c r="O845" s="64" t="s">
        <v>6712</v>
      </c>
      <c r="P845" s="404" t="s">
        <v>51</v>
      </c>
      <c r="Q845" s="67" t="s">
        <v>2552</v>
      </c>
      <c r="R845" s="61" t="s">
        <v>2453</v>
      </c>
      <c r="S845" s="61" t="s">
        <v>2495</v>
      </c>
      <c r="T845" s="134" t="str">
        <f>IF(R845="Bogs Ponds Streams","20",IF(R845="Coastal Areas","26",IF(R845="Meadows Dry Open","10",IF(R845="Forest &amp; Understory","14",IF(R845="Moist Open","12",IF(R845="Moist Shady","10",IF(R845="Sub-Alpine Slopes","0")))))))</f>
        <v>26</v>
      </c>
      <c r="U845" s="134" t="str">
        <f>IF(R845="Bogs Ponds Streams","52",IF(R845="Coastal Areas","51",IF(R845="Meadows Dry Open","53",IF(R845="Forest &amp; Understory","52",IF(R845="Moist Open","50",IF(R845="Moist Shady","46",IF(R845="Sub-Alpine Slopes","40")))))))</f>
        <v>51</v>
      </c>
      <c r="V845" s="134" t="str">
        <f>IF(R845="Bogs Ponds Streams","84",IF(R845="Coastal Areas","76",IF(R845="Meadows Dry Open","96", IF(R845="Forest &amp; Understory","90", IF(R845="Moist Open","88", IF(R845="Moist Shady","82", IF(R845="Sub-Alpine Slopes","80")))))))</f>
        <v>76</v>
      </c>
      <c r="W845" s="67">
        <v>1</v>
      </c>
      <c r="X845" s="67">
        <v>0</v>
      </c>
      <c r="Y845" s="67">
        <v>3500</v>
      </c>
      <c r="Z845" s="67" t="s">
        <v>2519</v>
      </c>
      <c r="AA845" s="67" t="s">
        <v>2518</v>
      </c>
      <c r="AB845" s="67">
        <v>6.8</v>
      </c>
      <c r="AC845" s="85">
        <f>C845+AK845+(0.1)*AL845</f>
        <v>9</v>
      </c>
      <c r="AD845" s="78">
        <v>33</v>
      </c>
      <c r="AE845" s="67">
        <v>5</v>
      </c>
      <c r="AF845" s="67">
        <v>5</v>
      </c>
      <c r="AG845" s="67">
        <v>1900</v>
      </c>
      <c r="AH845" s="78">
        <v>0</v>
      </c>
      <c r="AI845" s="67">
        <f>AJ845</f>
        <v>2004</v>
      </c>
      <c r="AJ845" s="69">
        <v>2004</v>
      </c>
      <c r="AK845" s="69">
        <v>8</v>
      </c>
      <c r="AL845" s="69">
        <v>0</v>
      </c>
      <c r="AM845" s="70">
        <v>5</v>
      </c>
      <c r="AN845" s="70">
        <v>0</v>
      </c>
      <c r="AO845" s="86">
        <v>0</v>
      </c>
      <c r="AP845" s="70">
        <v>0</v>
      </c>
      <c r="AQ845" s="70">
        <v>0</v>
      </c>
      <c r="AR845" s="70">
        <v>0</v>
      </c>
      <c r="AS845" s="86">
        <v>0</v>
      </c>
      <c r="AT845" s="70">
        <v>0</v>
      </c>
      <c r="AU845" s="70">
        <v>0</v>
      </c>
      <c r="AV845" s="70">
        <v>0</v>
      </c>
      <c r="AW845" s="86">
        <v>0</v>
      </c>
      <c r="AX845" s="70">
        <v>0</v>
      </c>
      <c r="AY845" s="233"/>
      <c r="AZ845" s="4"/>
      <c r="BA845" s="35" t="str">
        <f>IF(OR(S845="North America",S845="Rocky Mountain"), "Widespread",BC845)</f>
        <v>Widespread</v>
      </c>
      <c r="BB845" s="4"/>
      <c r="BC845" s="35">
        <f ca="1">IF(BE845&gt;2046, "Abundant",BE845)</f>
        <v>2032.8023871657754</v>
      </c>
      <c r="BD845" s="4"/>
      <c r="BE845" s="81">
        <f ca="1">YEAR($C$13)+(BG845*80)</f>
        <v>2032.8023871657754</v>
      </c>
      <c r="BF845" s="4"/>
      <c r="BG845" s="137">
        <f ca="1">BH845*$BH$14</f>
        <v>0.17252983957219251</v>
      </c>
      <c r="BH845" s="137">
        <f ca="1">(((BJ845+BK845+BM845+BN845)/4)*$BM$11)+(((BP845+BQ845)/2)*$BQ$11)+(((BU845+BV845+BW845)/3)*$BU$11)+(((BY845+BZ845+CA845+CB845+CC845)/5)*$CA$11)</f>
        <v>0.17252983957219251</v>
      </c>
      <c r="BI845" s="4"/>
      <c r="BJ845" s="33">
        <f>AP845/(AM845+AO845)</f>
        <v>0</v>
      </c>
      <c r="BK845" s="33">
        <f>(AN845+AO845)/(AM845+AO845)</f>
        <v>0</v>
      </c>
      <c r="BL845" s="4"/>
      <c r="BM845" s="127">
        <f>CF845/102</f>
        <v>8.8235294117647065E-2</v>
      </c>
      <c r="BN845" s="127">
        <f>C845/2</f>
        <v>0.5</v>
      </c>
      <c r="BO845" s="4"/>
      <c r="BP845" s="127">
        <f>(AK845)/($AW$6)</f>
        <v>8.0808080808080815E-2</v>
      </c>
      <c r="BQ845" s="127">
        <f ca="1">(CH845-$AW$4)/((YEAR($C$13))-$AW$4)</f>
        <v>0</v>
      </c>
      <c r="BR845" s="127">
        <f>(AL845)/($AW$6)</f>
        <v>0</v>
      </c>
      <c r="BS845" s="4"/>
      <c r="BT845" s="127"/>
      <c r="BU845" s="127">
        <f ca="1">(CG845-$AW$4)/((YEAR($C$13))-$AW$4)</f>
        <v>0</v>
      </c>
      <c r="BV845" s="127">
        <f>AE845/5</f>
        <v>1</v>
      </c>
      <c r="BW845" s="127">
        <f>AF845/5</f>
        <v>1</v>
      </c>
      <c r="BX845" s="4"/>
      <c r="BY845" s="148" t="str">
        <f>IF(E845="A",".98",IF(E845="B",".99",IF(E845="C","1.00",IF(E845="D","1.00" ))))</f>
        <v>.98</v>
      </c>
      <c r="BZ845" s="127">
        <f>(CE845+7)/10</f>
        <v>0.8</v>
      </c>
      <c r="CA845" s="76" t="str">
        <f>IF(D845="Fern",".97",IF(D845="Grass",".99",IF(D845="Herb",".97",IF(D845="Shrub",".99",IF(D845="Tree","1.00",IF(D845="Vine",".98"))))))</f>
        <v>.97</v>
      </c>
      <c r="CB845" s="149" t="str">
        <f>IF(R845="Bogs Ponds Streams",".96", IF(R845="Coastal Areas",".97",IF(R845="Meadows Dry Open",".96",IF(R845="Forest &amp; Understory",".97",IF(R845="Moist Open",".98",IF(R845="Moist Shady",".96",IF(R845="Sub-Alpine","1.0")))))))</f>
        <v>.97</v>
      </c>
      <c r="CC845" s="76" t="str">
        <f>IF(S845="Local Endemic",".50",IF(S845="Regional Endemic",".70",IF(S845="Cascadia",".90",IF(S845="Rocky Mountain",".95",IF(S845="North America",".99")))))</f>
        <v>.99</v>
      </c>
      <c r="CD845" s="4"/>
      <c r="CE845" s="21">
        <f>IF(W845&gt;3,3,W845)</f>
        <v>1</v>
      </c>
      <c r="CF845" s="21">
        <f>IF(AC845&gt;102,102,AC845)</f>
        <v>9</v>
      </c>
      <c r="CG845" s="34">
        <f>IF(AI845&lt;$AW$4,$AW$4,AI845)</f>
        <v>2004</v>
      </c>
      <c r="CH845" s="34">
        <f>IF(AJ845&lt;$AW$4,$AW$4,AJ845)</f>
        <v>2004</v>
      </c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</row>
    <row r="846" spans="1:115" ht="15" customHeight="1" x14ac:dyDescent="0.3">
      <c r="A846" s="235"/>
      <c r="B846" s="218"/>
      <c r="C846" s="225">
        <v>8</v>
      </c>
      <c r="D846" s="59" t="s">
        <v>2507</v>
      </c>
      <c r="E846" s="59" t="s">
        <v>2504</v>
      </c>
      <c r="F846" s="397" t="str">
        <f ca="1">IF(BC846&lt;2025, "Extinct&lt; 6Yrs?",BA846)</f>
        <v>Widespread</v>
      </c>
      <c r="G846" s="363" t="s">
        <v>525</v>
      </c>
      <c r="H846" s="363" t="s">
        <v>681</v>
      </c>
      <c r="I846" s="366" t="s">
        <v>540</v>
      </c>
      <c r="J846" s="365" t="s">
        <v>3900</v>
      </c>
      <c r="K846" s="365" t="s">
        <v>795</v>
      </c>
      <c r="L846" s="8" t="s">
        <v>2154</v>
      </c>
      <c r="M846" s="8" t="s">
        <v>4916</v>
      </c>
      <c r="N846" s="8" t="s">
        <v>5814</v>
      </c>
      <c r="O846" s="8" t="s">
        <v>6713</v>
      </c>
      <c r="P846" s="9" t="s">
        <v>541</v>
      </c>
      <c r="Q846" s="59" t="s">
        <v>2552</v>
      </c>
      <c r="R846" s="9" t="s">
        <v>2500</v>
      </c>
      <c r="S846" s="9" t="s">
        <v>2479</v>
      </c>
      <c r="T846" s="123" t="str">
        <f>IF(R846="Bogs Ponds Streams","20",IF(R846="Coastal Areas","26",IF(R846="Meadows Dry Open","10",IF(R846="Forest &amp; Understory","14",IF(R846="Moist Open","12",IF(R846="Moist Shady","10",IF(R846="Sub-Alpine Slopes","0")))))))</f>
        <v>10</v>
      </c>
      <c r="U846" s="123" t="str">
        <f>IF(R846="Bogs Ponds Streams","52",IF(R846="Coastal Areas","51",IF(R846="Meadows Dry Open","53",IF(R846="Forest &amp; Understory","52",IF(R846="Moist Open","50",IF(R846="Moist Shady","46",IF(R846="Sub-Alpine Slopes","40")))))))</f>
        <v>53</v>
      </c>
      <c r="V846" s="123" t="str">
        <f>IF(R846="Bogs Ponds Streams","84",IF(R846="Coastal Areas","76",IF(R846="Meadows Dry Open","96", IF(R846="Forest &amp; Understory","90", IF(R846="Moist Open","88", IF(R846="Moist Shady","82", IF(R846="Sub-Alpine Slopes","80")))))))</f>
        <v>96</v>
      </c>
      <c r="W846" s="59">
        <v>200</v>
      </c>
      <c r="X846" s="59">
        <v>0</v>
      </c>
      <c r="Y846" s="59">
        <v>3500</v>
      </c>
      <c r="Z846" s="59" t="s">
        <v>2519</v>
      </c>
      <c r="AA846" s="59" t="s">
        <v>2518</v>
      </c>
      <c r="AB846" s="59">
        <v>6.8</v>
      </c>
      <c r="AC846" s="45">
        <f>C846+AK846+(0.1)*AL846</f>
        <v>40</v>
      </c>
      <c r="AD846" s="77">
        <v>121</v>
      </c>
      <c r="AE846" s="59">
        <v>5</v>
      </c>
      <c r="AF846" s="59">
        <v>5</v>
      </c>
      <c r="AG846" s="59">
        <v>1900</v>
      </c>
      <c r="AH846" s="77">
        <v>0</v>
      </c>
      <c r="AI846" s="59">
        <f ca="1">AJ846</f>
        <v>2019</v>
      </c>
      <c r="AJ846" s="18">
        <f ca="1">YEAR(TODAY())</f>
        <v>2019</v>
      </c>
      <c r="AK846" s="18">
        <v>30</v>
      </c>
      <c r="AL846" s="18">
        <v>20</v>
      </c>
      <c r="AM846" s="18">
        <v>1</v>
      </c>
      <c r="AN846" s="18">
        <v>1</v>
      </c>
      <c r="AO846" s="18">
        <v>5</v>
      </c>
      <c r="AP846" s="18">
        <v>1</v>
      </c>
      <c r="AQ846" s="18">
        <v>0</v>
      </c>
      <c r="AR846" s="18">
        <v>0</v>
      </c>
      <c r="AS846" s="18">
        <v>0</v>
      </c>
      <c r="AT846" s="18">
        <v>0</v>
      </c>
      <c r="AU846" s="18">
        <v>0</v>
      </c>
      <c r="AV846" s="18">
        <v>0</v>
      </c>
      <c r="AW846" s="18">
        <v>0</v>
      </c>
      <c r="AX846" s="18">
        <v>0</v>
      </c>
      <c r="AY846" s="233"/>
      <c r="AZ846" s="4"/>
      <c r="BA846" s="35" t="str">
        <f>IF(OR(S846="North America",S846="Rocky Mountain"), "Widespread",BC846)</f>
        <v>Widespread</v>
      </c>
      <c r="BB846" s="4"/>
      <c r="BC846" s="35" t="str">
        <f ca="1">IF(BE846&gt;2046, "Abundant",BE846)</f>
        <v>Abundant</v>
      </c>
      <c r="BD846" s="4"/>
      <c r="BE846" s="81">
        <f ca="1">YEAR($C$13)+(BG846*80)</f>
        <v>2109.3134459893049</v>
      </c>
      <c r="BF846" s="4"/>
      <c r="BG846" s="137">
        <f ca="1">BH846*$BH$14</f>
        <v>1.1289180748663104</v>
      </c>
      <c r="BH846" s="137">
        <f ca="1">(((BJ846+BK846+BM846+BN846)/4)*$BM$11)+(((BP846+BQ846)/2)*$BQ$11)+(((BU846+BV846+BW846)/3)*$BU$11)+(((BY846+BZ846+CA846+CB846+CC846)/5)*$CA$11)</f>
        <v>1.1289180748663104</v>
      </c>
      <c r="BI846" s="4"/>
      <c r="BJ846" s="33">
        <f>AP846/(AM846+AO846)</f>
        <v>0.16666666666666666</v>
      </c>
      <c r="BK846" s="33">
        <f>(AN846+AO846)/(AM846+AO846)</f>
        <v>1</v>
      </c>
      <c r="BL846" s="4"/>
      <c r="BM846" s="127">
        <f>CF846/102</f>
        <v>0.39215686274509803</v>
      </c>
      <c r="BN846" s="127">
        <f>C846/2</f>
        <v>4</v>
      </c>
      <c r="BO846" s="4"/>
      <c r="BP846" s="127">
        <f>(AK846)/($AW$6)</f>
        <v>0.30303030303030304</v>
      </c>
      <c r="BQ846" s="127">
        <f ca="1">(CH846-$AW$4)/((YEAR($C$13))-$AW$4)</f>
        <v>1</v>
      </c>
      <c r="BR846" s="127">
        <f>(AL846)/($AW$6)</f>
        <v>0.20202020202020202</v>
      </c>
      <c r="BS846" s="4"/>
      <c r="BT846" s="127"/>
      <c r="BU846" s="127">
        <f ca="1">(CG846-$AW$4)/((YEAR($C$13))-$AW$4)</f>
        <v>1</v>
      </c>
      <c r="BV846" s="127">
        <f>AE846/5</f>
        <v>1</v>
      </c>
      <c r="BW846" s="127">
        <f>AF846/5</f>
        <v>1</v>
      </c>
      <c r="BX846" s="4"/>
      <c r="BY846" s="148" t="str">
        <f>IF(E846="A",".98",IF(E846="B",".99",IF(E846="C","1.00",IF(E846="D","1.00" ))))</f>
        <v>1.00</v>
      </c>
      <c r="BZ846" s="127">
        <f>(CE846+7)/10</f>
        <v>1</v>
      </c>
      <c r="CA846" s="76" t="str">
        <f>IF(D846="Fern",".97",IF(D846="Grass",".99",IF(D846="Herb",".97",IF(D846="Shrub",".99",IF(D846="Tree","1.00",IF(D846="Vine",".98"))))))</f>
        <v>1.00</v>
      </c>
      <c r="CB846" s="149" t="str">
        <f>IF(R846="Bogs Ponds Streams",".96", IF(R846="Coastal Areas",".97",IF(R846="Meadows Dry Open",".96",IF(R846="Forest &amp; Understory",".97",IF(R846="Moist Open",".98",IF(R846="Moist Shady",".96",IF(R846="Sub-Alpine","1.0")))))))</f>
        <v>.96</v>
      </c>
      <c r="CC846" s="76" t="str">
        <f>IF(S846="Local Endemic",".50",IF(S846="Regional Endemic",".70",IF(S846="Cascadia",".90",IF(S846="Rocky Mountain",".95",IF(S846="North America",".99")))))</f>
        <v>.95</v>
      </c>
      <c r="CD846" s="4"/>
      <c r="CE846" s="21">
        <f>IF(W846&gt;3,3,W846)</f>
        <v>3</v>
      </c>
      <c r="CF846" s="21">
        <f>IF(AC846&gt;102,102,AC846)</f>
        <v>40</v>
      </c>
      <c r="CG846" s="34">
        <f ca="1">IF(AI846&lt;$AW$4,$AW$4,AI846)</f>
        <v>2019</v>
      </c>
      <c r="CH846" s="34">
        <f ca="1">IF(AJ846&lt;$AW$4,$AW$4,AJ846)</f>
        <v>2019</v>
      </c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</row>
    <row r="847" spans="1:115" ht="15" customHeight="1" x14ac:dyDescent="0.3">
      <c r="A847" s="235"/>
      <c r="B847" s="218"/>
      <c r="C847" s="225">
        <v>8</v>
      </c>
      <c r="D847" s="59" t="s">
        <v>2505</v>
      </c>
      <c r="E847" s="59" t="s">
        <v>2501</v>
      </c>
      <c r="F847" s="397" t="str">
        <f ca="1">IF(BC847&lt;2025, "Extinct&lt; 6Yrs?",BA847)</f>
        <v>Widespread</v>
      </c>
      <c r="G847" s="363" t="s">
        <v>525</v>
      </c>
      <c r="H847" s="363" t="s">
        <v>688</v>
      </c>
      <c r="I847" s="366" t="s">
        <v>362</v>
      </c>
      <c r="J847" s="365" t="s">
        <v>3899</v>
      </c>
      <c r="K847" s="365" t="s">
        <v>796</v>
      </c>
      <c r="L847" s="8" t="s">
        <v>2153</v>
      </c>
      <c r="M847" s="8" t="s">
        <v>4917</v>
      </c>
      <c r="N847" s="8" t="s">
        <v>5815</v>
      </c>
      <c r="O847" s="8" t="s">
        <v>6714</v>
      </c>
      <c r="P847" s="9" t="s">
        <v>361</v>
      </c>
      <c r="Q847" s="59" t="s">
        <v>2552</v>
      </c>
      <c r="R847" s="9" t="s">
        <v>2498</v>
      </c>
      <c r="S847" s="9" t="s">
        <v>2479</v>
      </c>
      <c r="T847" s="123" t="str">
        <f>IF(R847="Bogs Ponds Streams","20",IF(R847="Coastal Areas","26",IF(R847="Meadows Dry Open","10",IF(R847="Forest &amp; Understory","14",IF(R847="Moist Open","12",IF(R847="Moist Shady","10",IF(R847="Sub-Alpine Slopes","0")))))))</f>
        <v>10</v>
      </c>
      <c r="U847" s="123" t="str">
        <f>IF(R847="Bogs Ponds Streams","52",IF(R847="Coastal Areas","51",IF(R847="Meadows Dry Open","53",IF(R847="Forest &amp; Understory","52",IF(R847="Moist Open","50",IF(R847="Moist Shady","46",IF(R847="Sub-Alpine Slopes","40")))))))</f>
        <v>46</v>
      </c>
      <c r="V847" s="123" t="str">
        <f>IF(R847="Bogs Ponds Streams","84",IF(R847="Coastal Areas","76",IF(R847="Meadows Dry Open","96", IF(R847="Forest &amp; Understory","90", IF(R847="Moist Open","88", IF(R847="Moist Shady","82", IF(R847="Sub-Alpine Slopes","80")))))))</f>
        <v>82</v>
      </c>
      <c r="W847" s="59">
        <v>20</v>
      </c>
      <c r="X847" s="59">
        <v>0</v>
      </c>
      <c r="Y847" s="59">
        <v>3500</v>
      </c>
      <c r="Z847" s="59" t="s">
        <v>2519</v>
      </c>
      <c r="AA847" s="59" t="s">
        <v>2518</v>
      </c>
      <c r="AB847" s="59">
        <v>6.8</v>
      </c>
      <c r="AC847" s="45">
        <f>C847+AK847+(0.1)*AL847</f>
        <v>96.8</v>
      </c>
      <c r="AD847" s="77">
        <v>103</v>
      </c>
      <c r="AE847" s="59">
        <v>5</v>
      </c>
      <c r="AF847" s="59">
        <v>5</v>
      </c>
      <c r="AG847" s="59">
        <v>1900</v>
      </c>
      <c r="AH847" s="77">
        <v>0</v>
      </c>
      <c r="AI847" s="59">
        <f ca="1">AJ847</f>
        <v>2019</v>
      </c>
      <c r="AJ847" s="18">
        <f ca="1">YEAR(TODAY())</f>
        <v>2019</v>
      </c>
      <c r="AK847" s="18">
        <v>88</v>
      </c>
      <c r="AL847" s="18">
        <v>8</v>
      </c>
      <c r="AM847" s="18">
        <v>1</v>
      </c>
      <c r="AN847" s="18">
        <v>1</v>
      </c>
      <c r="AO847" s="24">
        <v>1</v>
      </c>
      <c r="AP847" s="24">
        <v>0</v>
      </c>
      <c r="AQ847" s="18">
        <v>0</v>
      </c>
      <c r="AR847" s="18">
        <v>0</v>
      </c>
      <c r="AS847" s="18">
        <v>0</v>
      </c>
      <c r="AT847" s="18">
        <v>0</v>
      </c>
      <c r="AU847" s="18">
        <v>0</v>
      </c>
      <c r="AV847" s="18">
        <v>0</v>
      </c>
      <c r="AW847" s="18">
        <v>0</v>
      </c>
      <c r="AX847" s="18">
        <v>0</v>
      </c>
      <c r="AY847" s="233"/>
      <c r="AZ847" s="4"/>
      <c r="BA847" s="35" t="str">
        <f>IF(OR(S847="North America",S847="Rocky Mountain"), "Widespread",BC847)</f>
        <v>Widespread</v>
      </c>
      <c r="BB847" s="4"/>
      <c r="BC847" s="35" t="str">
        <f ca="1">IF(BE847&gt;2046, "Abundant",BE847)</f>
        <v>Abundant</v>
      </c>
      <c r="BD847" s="4"/>
      <c r="BE847" s="81">
        <f ca="1">YEAR($C$13)+(BG847*80)</f>
        <v>2121.0165019607844</v>
      </c>
      <c r="BF847" s="4"/>
      <c r="BG847" s="137">
        <f ca="1">BH847*$BH$14</f>
        <v>1.2752062745098041</v>
      </c>
      <c r="BH847" s="137">
        <f ca="1">(((BJ847+BK847+BM847+BN847)/4)*$BM$11)+(((BP847+BQ847)/2)*$BQ$11)+(((BU847+BV847+BW847)/3)*$BU$11)+(((BY847+BZ847+CA847+CB847+CC847)/5)*$CA$11)</f>
        <v>1.2752062745098041</v>
      </c>
      <c r="BI847" s="4"/>
      <c r="BJ847" s="33">
        <f>AP847/(AM847+AO847)</f>
        <v>0</v>
      </c>
      <c r="BK847" s="33">
        <f>(AN847+AO847)/(AM847+AO847)</f>
        <v>1</v>
      </c>
      <c r="BL847" s="4"/>
      <c r="BM847" s="127">
        <f>CF847/102</f>
        <v>0.94901960784313721</v>
      </c>
      <c r="BN847" s="127">
        <f>C847/2</f>
        <v>4</v>
      </c>
      <c r="BO847" s="4"/>
      <c r="BP847" s="127">
        <f>(AK847)/($AW$6)</f>
        <v>0.88888888888888884</v>
      </c>
      <c r="BQ847" s="127">
        <f ca="1">(CH847-$AW$4)/((YEAR($C$13))-$AW$4)</f>
        <v>1</v>
      </c>
      <c r="BR847" s="127">
        <f>(AL847)/($AW$6)</f>
        <v>8.0808080808080815E-2</v>
      </c>
      <c r="BS847" s="4"/>
      <c r="BT847" s="127"/>
      <c r="BU847" s="127">
        <f ca="1">(CG847-$AW$4)/((YEAR($C$13))-$AW$4)</f>
        <v>1</v>
      </c>
      <c r="BV847" s="127">
        <f>AE847/5</f>
        <v>1</v>
      </c>
      <c r="BW847" s="127">
        <f>AF847/5</f>
        <v>1</v>
      </c>
      <c r="BX847" s="4"/>
      <c r="BY847" s="148" t="str">
        <f>IF(E847="A",".98",IF(E847="B",".99",IF(E847="C","1.00",IF(E847="D","1.00" ))))</f>
        <v>1.00</v>
      </c>
      <c r="BZ847" s="127">
        <f>(CE847+7)/10</f>
        <v>1</v>
      </c>
      <c r="CA847" s="76" t="str">
        <f>IF(D847="Fern",".97",IF(D847="Grass",".99",IF(D847="Herb",".97",IF(D847="Shrub",".99",IF(D847="Tree","1.00",IF(D847="Vine",".98"))))))</f>
        <v>.97</v>
      </c>
      <c r="CB847" s="149" t="str">
        <f>IF(R847="Bogs Ponds Streams",".96", IF(R847="Coastal Areas",".97",IF(R847="Meadows Dry Open",".96",IF(R847="Forest &amp; Understory",".97",IF(R847="Moist Open",".98",IF(R847="Moist Shady",".96",IF(R847="Sub-Alpine","1.0")))))))</f>
        <v>.96</v>
      </c>
      <c r="CC847" s="76" t="str">
        <f>IF(S847="Local Endemic",".50",IF(S847="Regional Endemic",".70",IF(S847="Cascadia",".90",IF(S847="Rocky Mountain",".95",IF(S847="North America",".99")))))</f>
        <v>.95</v>
      </c>
      <c r="CD847" s="4"/>
      <c r="CE847" s="21">
        <f>IF(W847&gt;3,3,W847)</f>
        <v>3</v>
      </c>
      <c r="CF847" s="21">
        <f>IF(AC847&gt;102,102,AC847)</f>
        <v>96.8</v>
      </c>
      <c r="CG847" s="34">
        <f ca="1">IF(AI847&lt;$AW$4,$AW$4,AI847)</f>
        <v>2019</v>
      </c>
      <c r="CH847" s="34">
        <f ca="1">IF(AJ847&lt;$AW$4,$AW$4,AJ847)</f>
        <v>2019</v>
      </c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14"/>
    </row>
    <row r="848" spans="1:115" ht="15" customHeight="1" x14ac:dyDescent="0.3">
      <c r="A848" s="235"/>
      <c r="B848" s="218"/>
      <c r="C848" s="225">
        <v>8</v>
      </c>
      <c r="D848" s="59" t="s">
        <v>2505</v>
      </c>
      <c r="E848" s="59" t="s">
        <v>2501</v>
      </c>
      <c r="F848" s="397" t="str">
        <f ca="1">IF(BC848&lt;2025, "Extinct&lt; 6Yrs?",BA848)</f>
        <v>Widespread</v>
      </c>
      <c r="G848" s="363" t="s">
        <v>525</v>
      </c>
      <c r="H848" s="363" t="s">
        <v>681</v>
      </c>
      <c r="I848" s="366" t="s">
        <v>259</v>
      </c>
      <c r="J848" s="365" t="s">
        <v>3898</v>
      </c>
      <c r="K848" s="365" t="s">
        <v>86</v>
      </c>
      <c r="L848" s="8" t="s">
        <v>2152</v>
      </c>
      <c r="M848" s="8" t="s">
        <v>4918</v>
      </c>
      <c r="N848" s="8" t="s">
        <v>5816</v>
      </c>
      <c r="O848" s="8" t="s">
        <v>6715</v>
      </c>
      <c r="P848" s="9" t="s">
        <v>285</v>
      </c>
      <c r="Q848" s="59" t="s">
        <v>2552</v>
      </c>
      <c r="R848" s="9" t="s">
        <v>2530</v>
      </c>
      <c r="S848" s="9" t="s">
        <v>2479</v>
      </c>
      <c r="T848" s="123" t="str">
        <f>IF(R848="Bogs Ponds Streams","20",IF(R848="Coastal Areas","26",IF(R848="Meadows Dry Open","10",IF(R848="Forest &amp; Understory","14",IF(R848="Moist Open","12",IF(R848="Moist Shady","10",IF(R848="Sub-Alpine Slopes","0")))))))</f>
        <v>14</v>
      </c>
      <c r="U848" s="123" t="str">
        <f>IF(R848="Bogs Ponds Streams","52",IF(R848="Coastal Areas","51",IF(R848="Meadows Dry Open","53",IF(R848="Forest &amp; Understory","52",IF(R848="Moist Open","50",IF(R848="Moist Shady","46",IF(R848="Sub-Alpine Slopes","40")))))))</f>
        <v>52</v>
      </c>
      <c r="V848" s="123" t="str">
        <f>IF(R848="Bogs Ponds Streams","84",IF(R848="Coastal Areas","76",IF(R848="Meadows Dry Open","96", IF(R848="Forest &amp; Understory","90", IF(R848="Moist Open","88", IF(R848="Moist Shady","82", IF(R848="Sub-Alpine Slopes","80")))))))</f>
        <v>90</v>
      </c>
      <c r="W848" s="59">
        <v>20</v>
      </c>
      <c r="X848" s="59">
        <v>0</v>
      </c>
      <c r="Y848" s="59">
        <v>3500</v>
      </c>
      <c r="Z848" s="59" t="s">
        <v>2519</v>
      </c>
      <c r="AA848" s="59" t="s">
        <v>2518</v>
      </c>
      <c r="AB848" s="59">
        <v>6.8</v>
      </c>
      <c r="AC848" s="45">
        <f>C848+AK848+(0.1)*AL848</f>
        <v>24.4</v>
      </c>
      <c r="AD848" s="77">
        <v>248</v>
      </c>
      <c r="AE848" s="59">
        <v>5</v>
      </c>
      <c r="AF848" s="59">
        <v>5</v>
      </c>
      <c r="AG848" s="59">
        <v>1900</v>
      </c>
      <c r="AH848" s="77">
        <v>0</v>
      </c>
      <c r="AI848" s="59">
        <f ca="1">AJ848</f>
        <v>2019</v>
      </c>
      <c r="AJ848" s="18">
        <f ca="1">YEAR(TODAY())</f>
        <v>2019</v>
      </c>
      <c r="AK848" s="18">
        <v>12</v>
      </c>
      <c r="AL848" s="18">
        <v>44</v>
      </c>
      <c r="AM848" s="18">
        <v>1</v>
      </c>
      <c r="AN848" s="18">
        <v>1</v>
      </c>
      <c r="AO848" s="24">
        <v>1</v>
      </c>
      <c r="AP848" s="24">
        <v>0</v>
      </c>
      <c r="AQ848" s="18">
        <v>0</v>
      </c>
      <c r="AR848" s="18">
        <v>0</v>
      </c>
      <c r="AS848" s="18">
        <v>0</v>
      </c>
      <c r="AT848" s="18">
        <v>0</v>
      </c>
      <c r="AU848" s="18">
        <v>0</v>
      </c>
      <c r="AV848" s="18">
        <v>0</v>
      </c>
      <c r="AW848" s="18">
        <v>0</v>
      </c>
      <c r="AX848" s="18">
        <v>0</v>
      </c>
      <c r="AY848" s="233"/>
      <c r="AZ848" s="4"/>
      <c r="BA848" s="35" t="str">
        <f>IF(OR(S848="North America",S848="Rocky Mountain"), "Widespread",BC848)</f>
        <v>Widespread</v>
      </c>
      <c r="BB848" s="4"/>
      <c r="BC848" s="35" t="str">
        <f ca="1">IF(BE848&gt;2046, "Abundant",BE848)</f>
        <v>Abundant</v>
      </c>
      <c r="BD848" s="4"/>
      <c r="BE848" s="81">
        <f ca="1">YEAR($C$13)+(BG848*80)</f>
        <v>2103.2899336898395</v>
      </c>
      <c r="BF848" s="4"/>
      <c r="BG848" s="137">
        <f ca="1">BH848*$BH$14</f>
        <v>1.0536241711229948</v>
      </c>
      <c r="BH848" s="137">
        <f ca="1">(((BJ848+BK848+BM848+BN848)/4)*$BM$11)+(((BP848+BQ848)/2)*$BQ$11)+(((BU848+BV848+BW848)/3)*$BU$11)+(((BY848+BZ848+CA848+CB848+CC848)/5)*$CA$11)</f>
        <v>1.0536241711229948</v>
      </c>
      <c r="BI848" s="4"/>
      <c r="BJ848" s="33">
        <f>AP848/(AM848+AO848)</f>
        <v>0</v>
      </c>
      <c r="BK848" s="33">
        <f>(AN848+AO848)/(AM848+AO848)</f>
        <v>1</v>
      </c>
      <c r="BL848" s="4"/>
      <c r="BM848" s="127">
        <f>CF848/102</f>
        <v>0.23921568627450979</v>
      </c>
      <c r="BN848" s="127">
        <f>C848/2</f>
        <v>4</v>
      </c>
      <c r="BO848" s="4"/>
      <c r="BP848" s="127">
        <f>(AK848)/($AW$6)</f>
        <v>0.12121212121212122</v>
      </c>
      <c r="BQ848" s="127">
        <f ca="1">(CH848-$AW$4)/((YEAR($C$13))-$AW$4)</f>
        <v>1</v>
      </c>
      <c r="BR848" s="127">
        <f>(AL848)/($AW$6)</f>
        <v>0.44444444444444442</v>
      </c>
      <c r="BS848" s="4"/>
      <c r="BT848" s="127"/>
      <c r="BU848" s="127">
        <f ca="1">(CG848-$AW$4)/((YEAR($C$13))-$AW$4)</f>
        <v>1</v>
      </c>
      <c r="BV848" s="127">
        <f>AE848/5</f>
        <v>1</v>
      </c>
      <c r="BW848" s="127">
        <f>AF848/5</f>
        <v>1</v>
      </c>
      <c r="BX848" s="4"/>
      <c r="BY848" s="148" t="str">
        <f>IF(E848="A",".98",IF(E848="B",".99",IF(E848="C","1.00",IF(E848="D","1.00" ))))</f>
        <v>1.00</v>
      </c>
      <c r="BZ848" s="127">
        <f>(CE848+7)/10</f>
        <v>1</v>
      </c>
      <c r="CA848" s="76" t="str">
        <f>IF(D848="Fern",".97",IF(D848="Grass",".99",IF(D848="Herb",".97",IF(D848="Shrub",".99",IF(D848="Tree","1.00",IF(D848="Vine",".98"))))))</f>
        <v>.97</v>
      </c>
      <c r="CB848" s="149" t="str">
        <f>IF(R848="Bogs Ponds Streams",".96", IF(R848="Coastal Areas",".97",IF(R848="Meadows Dry Open",".96",IF(R848="Forest &amp; Understory",".97",IF(R848="Moist Open",".98",IF(R848="Moist Shady",".96",IF(R848="Sub-Alpine","1.0")))))))</f>
        <v>.97</v>
      </c>
      <c r="CC848" s="76" t="str">
        <f>IF(S848="Local Endemic",".50",IF(S848="Regional Endemic",".70",IF(S848="Cascadia",".90",IF(S848="Rocky Mountain",".95",IF(S848="North America",".99")))))</f>
        <v>.95</v>
      </c>
      <c r="CD848" s="4"/>
      <c r="CE848" s="21">
        <f>IF(W848&gt;3,3,W848)</f>
        <v>3</v>
      </c>
      <c r="CF848" s="21">
        <f>IF(AC848&gt;102,102,AC848)</f>
        <v>24.4</v>
      </c>
      <c r="CG848" s="34">
        <f ca="1">IF(AI848&lt;$AW$4,$AW$4,AI848)</f>
        <v>2019</v>
      </c>
      <c r="CH848" s="34">
        <f ca="1">IF(AJ848&lt;$AW$4,$AW$4,AJ848)</f>
        <v>2019</v>
      </c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13"/>
    </row>
    <row r="849" spans="1:115" ht="15" customHeight="1" x14ac:dyDescent="0.3">
      <c r="A849" s="235"/>
      <c r="B849" s="218"/>
      <c r="C849" s="225">
        <v>8</v>
      </c>
      <c r="D849" s="59" t="s">
        <v>1154</v>
      </c>
      <c r="E849" s="59" t="s">
        <v>2501</v>
      </c>
      <c r="F849" s="397" t="str">
        <f ca="1">IF(BC849&lt;2025, "Extinct&lt; 6Yrs?",BA849)</f>
        <v>Abundant</v>
      </c>
      <c r="G849" s="363" t="s">
        <v>525</v>
      </c>
      <c r="H849" s="363" t="s">
        <v>683</v>
      </c>
      <c r="I849" s="364" t="s">
        <v>2721</v>
      </c>
      <c r="J849" s="365" t="s">
        <v>3897</v>
      </c>
      <c r="K849" s="365" t="s">
        <v>1303</v>
      </c>
      <c r="L849" s="8" t="s">
        <v>2151</v>
      </c>
      <c r="M849" s="8" t="s">
        <v>4919</v>
      </c>
      <c r="N849" s="8" t="s">
        <v>5817</v>
      </c>
      <c r="O849" s="8" t="s">
        <v>6716</v>
      </c>
      <c r="P849" s="398" t="s">
        <v>4050</v>
      </c>
      <c r="Q849" s="59" t="s">
        <v>2552</v>
      </c>
      <c r="R849" s="9" t="s">
        <v>2498</v>
      </c>
      <c r="S849" s="9" t="s">
        <v>2309</v>
      </c>
      <c r="T849" s="123" t="str">
        <f>IF(R849="Bogs Ponds Streams","20",IF(R849="Coastal Areas","26",IF(R849="Meadows Dry Open","10",IF(R849="Forest &amp; Understory","14",IF(R849="Moist Open","12",IF(R849="Moist Shady","10",IF(R849="Sub-Alpine Slopes","0")))))))</f>
        <v>10</v>
      </c>
      <c r="U849" s="123" t="str">
        <f>IF(R849="Bogs Ponds Streams","52",IF(R849="Coastal Areas","51",IF(R849="Meadows Dry Open","53",IF(R849="Forest &amp; Understory","52",IF(R849="Moist Open","50",IF(R849="Moist Shady","46",IF(R849="Sub-Alpine Slopes","40")))))))</f>
        <v>46</v>
      </c>
      <c r="V849" s="123" t="str">
        <f>IF(R849="Bogs Ponds Streams","84",IF(R849="Coastal Areas","76",IF(R849="Meadows Dry Open","96", IF(R849="Forest &amp; Understory","90", IF(R849="Moist Open","88", IF(R849="Moist Shady","82", IF(R849="Sub-Alpine Slopes","80")))))))</f>
        <v>82</v>
      </c>
      <c r="W849" s="59">
        <v>20</v>
      </c>
      <c r="X849" s="59">
        <v>0</v>
      </c>
      <c r="Y849" s="59">
        <v>3500</v>
      </c>
      <c r="Z849" s="59" t="s">
        <v>2519</v>
      </c>
      <c r="AA849" s="59" t="s">
        <v>2518</v>
      </c>
      <c r="AB849" s="59">
        <v>6.8</v>
      </c>
      <c r="AC849" s="45">
        <f>C849+AK849+(0.1)*AL849</f>
        <v>14.1</v>
      </c>
      <c r="AD849" s="77">
        <v>39</v>
      </c>
      <c r="AE849" s="59">
        <v>5</v>
      </c>
      <c r="AF849" s="59">
        <v>5</v>
      </c>
      <c r="AG849" s="59">
        <v>1900</v>
      </c>
      <c r="AH849" s="77">
        <v>0</v>
      </c>
      <c r="AI849" s="59">
        <f ca="1">AJ849</f>
        <v>2019</v>
      </c>
      <c r="AJ849" s="18">
        <f ca="1">YEAR(TODAY())</f>
        <v>2019</v>
      </c>
      <c r="AK849" s="18">
        <v>6</v>
      </c>
      <c r="AL849" s="18">
        <v>1</v>
      </c>
      <c r="AM849" s="18">
        <v>1</v>
      </c>
      <c r="AN849" s="18">
        <v>1</v>
      </c>
      <c r="AO849" s="18">
        <v>5</v>
      </c>
      <c r="AP849" s="18">
        <v>1</v>
      </c>
      <c r="AQ849" s="18">
        <v>0</v>
      </c>
      <c r="AR849" s="18">
        <v>0</v>
      </c>
      <c r="AS849" s="18">
        <v>0</v>
      </c>
      <c r="AT849" s="18">
        <v>0</v>
      </c>
      <c r="AU849" s="18">
        <v>0</v>
      </c>
      <c r="AV849" s="18">
        <v>0</v>
      </c>
      <c r="AW849" s="18">
        <v>0</v>
      </c>
      <c r="AX849" s="18">
        <v>0</v>
      </c>
      <c r="AY849" s="233"/>
      <c r="AZ849" s="4"/>
      <c r="BA849" s="35" t="str">
        <f ca="1">IF(OR(S849="North America",S849="Rocky Mountain"), "Widespread",BC849)</f>
        <v>Abundant</v>
      </c>
      <c r="BB849" s="4"/>
      <c r="BC849" s="35" t="str">
        <f ca="1">IF(BE849&gt;2046, "Abundant",BE849)</f>
        <v>Abundant</v>
      </c>
      <c r="BD849" s="4"/>
      <c r="BE849" s="81">
        <f ca="1">YEAR($C$13)+(BG849*80)</f>
        <v>2103.2676962566843</v>
      </c>
      <c r="BF849" s="4"/>
      <c r="BG849" s="137">
        <f ca="1">BH849*$BH$14</f>
        <v>1.0533462032085561</v>
      </c>
      <c r="BH849" s="137">
        <f ca="1">(((BJ849+BK849+BM849+BN849)/4)*$BM$11)+(((BP849+BQ849)/2)*$BQ$11)+(((BU849+BV849+BW849)/3)*$BU$11)+(((BY849+BZ849+CA849+CB849+CC849)/5)*$CA$11)</f>
        <v>1.0533462032085561</v>
      </c>
      <c r="BI849" s="4"/>
      <c r="BJ849" s="33">
        <f>AP849/(AM849+AO849)</f>
        <v>0.16666666666666666</v>
      </c>
      <c r="BK849" s="33">
        <f>(AN849+AO849)/(AM849+AO849)</f>
        <v>1</v>
      </c>
      <c r="BL849" s="4"/>
      <c r="BM849" s="127">
        <f>CF849/102</f>
        <v>0.13823529411764707</v>
      </c>
      <c r="BN849" s="127">
        <f>C849/2</f>
        <v>4</v>
      </c>
      <c r="BO849" s="4"/>
      <c r="BP849" s="127">
        <f>(AK849)/($AW$6)</f>
        <v>6.0606060606060608E-2</v>
      </c>
      <c r="BQ849" s="127">
        <f ca="1">(CH849-$AW$4)/((YEAR($C$13))-$AW$4)</f>
        <v>1</v>
      </c>
      <c r="BR849" s="127">
        <f>(AL849)/($AW$6)</f>
        <v>1.0101010101010102E-2</v>
      </c>
      <c r="BS849" s="4"/>
      <c r="BT849" s="127"/>
      <c r="BU849" s="127">
        <f ca="1">(CG849-$AW$4)/((YEAR($C$13))-$AW$4)</f>
        <v>1</v>
      </c>
      <c r="BV849" s="127">
        <f>AE849/5</f>
        <v>1</v>
      </c>
      <c r="BW849" s="127">
        <f>AF849/5</f>
        <v>1</v>
      </c>
      <c r="BX849" s="4"/>
      <c r="BY849" s="148" t="str">
        <f>IF(E849="A",".98",IF(E849="B",".99",IF(E849="C","1.00",IF(E849="D","1.00" ))))</f>
        <v>1.00</v>
      </c>
      <c r="BZ849" s="127">
        <f>(CE849+7)/10</f>
        <v>1</v>
      </c>
      <c r="CA849" s="76" t="str">
        <f>IF(D849="Fern",".97",IF(D849="Grass",".99",IF(D849="Herb",".97",IF(D849="Shrub",".99",IF(D849="Tree","1.00",IF(D849="Vine",".98"))))))</f>
        <v>.97</v>
      </c>
      <c r="CB849" s="149" t="str">
        <f>IF(R849="Bogs Ponds Streams",".96", IF(R849="Coastal Areas",".97",IF(R849="Meadows Dry Open",".96",IF(R849="Forest &amp; Understory",".97",IF(R849="Moist Open",".98",IF(R849="Moist Shady",".96",IF(R849="Sub-Alpine","1.0")))))))</f>
        <v>.96</v>
      </c>
      <c r="CC849" s="76" t="str">
        <f>IF(S849="Local Endemic",".50",IF(S849="Regional Endemic",".70",IF(S849="Cascadia",".90",IF(S849="Rocky Mountain",".95",IF(S849="North America",".99")))))</f>
        <v>.70</v>
      </c>
      <c r="CD849" s="4"/>
      <c r="CE849" s="21">
        <f>IF(W849&gt;3,3,W849)</f>
        <v>3</v>
      </c>
      <c r="CF849" s="21">
        <f>IF(AC849&gt;102,102,AC849)</f>
        <v>14.1</v>
      </c>
      <c r="CG849" s="34">
        <f ca="1">IF(AI849&lt;$AW$4,$AW$4,AI849)</f>
        <v>2019</v>
      </c>
      <c r="CH849" s="34">
        <f ca="1">IF(AJ849&lt;$AW$4,$AW$4,AJ849)</f>
        <v>2019</v>
      </c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13"/>
    </row>
    <row r="850" spans="1:115" ht="15" customHeight="1" x14ac:dyDescent="0.3">
      <c r="A850" s="235"/>
      <c r="B850" s="218"/>
      <c r="C850" s="225">
        <v>8</v>
      </c>
      <c r="D850" s="59" t="s">
        <v>2505</v>
      </c>
      <c r="E850" s="59" t="s">
        <v>2501</v>
      </c>
      <c r="F850" s="397" t="str">
        <f ca="1">IF(BC850&lt;2025, "Extinct&lt; 6Yrs?",BA850)</f>
        <v>Widespread</v>
      </c>
      <c r="G850" s="363" t="s">
        <v>525</v>
      </c>
      <c r="H850" s="363" t="s">
        <v>691</v>
      </c>
      <c r="I850" s="365" t="s">
        <v>1348</v>
      </c>
      <c r="J850" s="365" t="s">
        <v>3896</v>
      </c>
      <c r="K850" s="365" t="s">
        <v>1349</v>
      </c>
      <c r="L850" s="17" t="s">
        <v>2150</v>
      </c>
      <c r="M850" s="8" t="s">
        <v>4920</v>
      </c>
      <c r="N850" s="8" t="s">
        <v>5818</v>
      </c>
      <c r="O850" s="8" t="s">
        <v>6717</v>
      </c>
      <c r="P850" s="398" t="s">
        <v>536</v>
      </c>
      <c r="Q850" s="59" t="s">
        <v>2552</v>
      </c>
      <c r="R850" s="160" t="s">
        <v>2497</v>
      </c>
      <c r="S850" s="17" t="s">
        <v>2479</v>
      </c>
      <c r="T850" s="123" t="str">
        <f>IF(R850="Bogs Ponds Streams","20",IF(R850="Coastal Areas","26",IF(R850="Meadows Dry Open","10",IF(R850="Forest &amp; Understory","14",IF(R850="Moist Open","12",IF(R850="Moist Shady","10",IF(R850="Sub-Alpine Slopes","0")))))))</f>
        <v>12</v>
      </c>
      <c r="U850" s="123" t="str">
        <f>IF(R850="Bogs Ponds Streams","52",IF(R850="Coastal Areas","51",IF(R850="Meadows Dry Open","53",IF(R850="Forest &amp; Understory","52",IF(R850="Moist Open","50",IF(R850="Moist Shady","46",IF(R850="Sub-Alpine Slopes","40")))))))</f>
        <v>50</v>
      </c>
      <c r="V850" s="123" t="str">
        <f>IF(R850="Bogs Ponds Streams","84",IF(R850="Coastal Areas","76",IF(R850="Meadows Dry Open","96", IF(R850="Forest &amp; Understory","90", IF(R850="Moist Open","88", IF(R850="Moist Shady","82", IF(R850="Sub-Alpine Slopes","80")))))))</f>
        <v>88</v>
      </c>
      <c r="W850" s="59">
        <v>20</v>
      </c>
      <c r="X850" s="59">
        <v>0</v>
      </c>
      <c r="Y850" s="59">
        <v>3500</v>
      </c>
      <c r="Z850" s="59" t="s">
        <v>2519</v>
      </c>
      <c r="AA850" s="59" t="s">
        <v>2518</v>
      </c>
      <c r="AB850" s="59">
        <v>6.8</v>
      </c>
      <c r="AC850" s="45">
        <f>C850+AK850+(0.1)*AL850</f>
        <v>20.8</v>
      </c>
      <c r="AD850" s="77">
        <v>113</v>
      </c>
      <c r="AE850" s="59">
        <v>5</v>
      </c>
      <c r="AF850" s="59">
        <v>5</v>
      </c>
      <c r="AG850" s="59">
        <v>1900</v>
      </c>
      <c r="AH850" s="77">
        <v>0</v>
      </c>
      <c r="AI850" s="59">
        <f ca="1">AJ850</f>
        <v>2019</v>
      </c>
      <c r="AJ850" s="18">
        <f ca="1">YEAR(TODAY())</f>
        <v>2019</v>
      </c>
      <c r="AK850" s="18">
        <v>12</v>
      </c>
      <c r="AL850" s="18">
        <v>8</v>
      </c>
      <c r="AM850" s="18">
        <v>1</v>
      </c>
      <c r="AN850" s="18">
        <v>1</v>
      </c>
      <c r="AO850" s="18">
        <v>5</v>
      </c>
      <c r="AP850" s="18">
        <v>1</v>
      </c>
      <c r="AQ850" s="18">
        <v>0</v>
      </c>
      <c r="AR850" s="18">
        <v>0</v>
      </c>
      <c r="AS850" s="18">
        <v>0</v>
      </c>
      <c r="AT850" s="18">
        <v>0</v>
      </c>
      <c r="AU850" s="18">
        <v>0</v>
      </c>
      <c r="AV850" s="18">
        <v>0</v>
      </c>
      <c r="AW850" s="18">
        <v>0</v>
      </c>
      <c r="AX850" s="18">
        <v>0</v>
      </c>
      <c r="AY850" s="233"/>
      <c r="AZ850" s="4"/>
      <c r="BA850" s="35" t="str">
        <f>IF(OR(S850="North America",S850="Rocky Mountain"), "Widespread",BC850)</f>
        <v>Widespread</v>
      </c>
      <c r="BB850" s="4"/>
      <c r="BC850" s="35" t="str">
        <f ca="1">IF(BE850&gt;2046, "Abundant",BE850)</f>
        <v>Abundant</v>
      </c>
      <c r="BD850" s="4"/>
      <c r="BE850" s="81">
        <f ca="1">YEAR($C$13)+(BG850*80)</f>
        <v>2104.8696042780748</v>
      </c>
      <c r="BF850" s="4"/>
      <c r="BG850" s="137">
        <f ca="1">BH850*$BH$14</f>
        <v>1.0733700534759361</v>
      </c>
      <c r="BH850" s="137">
        <f ca="1">(((BJ850+BK850+BM850+BN850)/4)*$BM$11)+(((BP850+BQ850)/2)*$BQ$11)+(((BU850+BV850+BW850)/3)*$BU$11)+(((BY850+BZ850+CA850+CB850+CC850)/5)*$CA$11)</f>
        <v>1.0733700534759361</v>
      </c>
      <c r="BI850" s="4"/>
      <c r="BJ850" s="33">
        <f>AP850/(AM850+AO850)</f>
        <v>0.16666666666666666</v>
      </c>
      <c r="BK850" s="33">
        <f>(AN850+AO850)/(AM850+AO850)</f>
        <v>1</v>
      </c>
      <c r="BL850" s="4"/>
      <c r="BM850" s="127">
        <f>CF850/102</f>
        <v>0.20392156862745098</v>
      </c>
      <c r="BN850" s="127">
        <f>C850/2</f>
        <v>4</v>
      </c>
      <c r="BO850" s="4"/>
      <c r="BP850" s="127">
        <f>(AK850)/($AW$6)</f>
        <v>0.12121212121212122</v>
      </c>
      <c r="BQ850" s="127">
        <f ca="1">(CH850-$AW$4)/((YEAR($C$13))-$AW$4)</f>
        <v>1</v>
      </c>
      <c r="BR850" s="127">
        <f>(AL850)/($AW$6)</f>
        <v>8.0808080808080815E-2</v>
      </c>
      <c r="BS850" s="4"/>
      <c r="BT850" s="127"/>
      <c r="BU850" s="127">
        <f ca="1">(CG850-$AW$4)/((YEAR($C$13))-$AW$4)</f>
        <v>1</v>
      </c>
      <c r="BV850" s="127">
        <f>AE850/5</f>
        <v>1</v>
      </c>
      <c r="BW850" s="127">
        <f>AF850/5</f>
        <v>1</v>
      </c>
      <c r="BX850" s="4"/>
      <c r="BY850" s="148" t="str">
        <f>IF(E850="A",".98",IF(E850="B",".99",IF(E850="C","1.00",IF(E850="D","1.00" ))))</f>
        <v>1.00</v>
      </c>
      <c r="BZ850" s="127">
        <f>(CE850+7)/10</f>
        <v>1</v>
      </c>
      <c r="CA850" s="76" t="str">
        <f>IF(D850="Fern",".97",IF(D850="Grass",".99",IF(D850="Herb",".97",IF(D850="Shrub",".99",IF(D850="Tree","1.00",IF(D850="Vine",".98"))))))</f>
        <v>.97</v>
      </c>
      <c r="CB850" s="149" t="str">
        <f>IF(R850="Bogs Ponds Streams",".96", IF(R850="Coastal Areas",".97",IF(R850="Meadows Dry Open",".96",IF(R850="Forest &amp; Understory",".97",IF(R850="Moist Open",".98",IF(R850="Moist Shady",".96",IF(R850="Sub-Alpine","1.0")))))))</f>
        <v>.98</v>
      </c>
      <c r="CC850" s="76" t="str">
        <f>IF(S850="Local Endemic",".50",IF(S850="Regional Endemic",".70",IF(S850="Cascadia",".90",IF(S850="Rocky Mountain",".95",IF(S850="North America",".99")))))</f>
        <v>.95</v>
      </c>
      <c r="CD850" s="4"/>
      <c r="CE850" s="21">
        <f>IF(W850&gt;3,3,W850)</f>
        <v>3</v>
      </c>
      <c r="CF850" s="21">
        <f>IF(AC850&gt;102,102,AC850)</f>
        <v>20.8</v>
      </c>
      <c r="CG850" s="34">
        <f ca="1">IF(AI850&lt;$AW$4,$AW$4,AI850)</f>
        <v>2019</v>
      </c>
      <c r="CH850" s="34">
        <f ca="1">IF(AJ850&lt;$AW$4,$AW$4,AJ850)</f>
        <v>2019</v>
      </c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13"/>
    </row>
    <row r="851" spans="1:115" ht="15" customHeight="1" x14ac:dyDescent="0.3">
      <c r="A851" s="235"/>
      <c r="B851" s="218"/>
      <c r="C851" s="225">
        <v>8</v>
      </c>
      <c r="D851" s="59" t="s">
        <v>2507</v>
      </c>
      <c r="E851" s="59" t="s">
        <v>2504</v>
      </c>
      <c r="F851" s="397" t="str">
        <f ca="1">IF(BC851&lt;2025, "Extinct&lt; 6Yrs?",BA851)</f>
        <v>Abundant</v>
      </c>
      <c r="G851" s="363" t="s">
        <v>525</v>
      </c>
      <c r="H851" s="363" t="s">
        <v>690</v>
      </c>
      <c r="I851" s="366" t="s">
        <v>3159</v>
      </c>
      <c r="J851" s="365" t="s">
        <v>3895</v>
      </c>
      <c r="K851" s="365" t="s">
        <v>535</v>
      </c>
      <c r="L851" s="8" t="s">
        <v>2150</v>
      </c>
      <c r="M851" s="8" t="s">
        <v>4921</v>
      </c>
      <c r="N851" s="8" t="s">
        <v>5819</v>
      </c>
      <c r="O851" s="8" t="s">
        <v>6718</v>
      </c>
      <c r="P851" s="9" t="s">
        <v>536</v>
      </c>
      <c r="Q851" s="59" t="s">
        <v>2552</v>
      </c>
      <c r="R851" s="9" t="s">
        <v>2498</v>
      </c>
      <c r="S851" s="9" t="s">
        <v>2459</v>
      </c>
      <c r="T851" s="123" t="str">
        <f>IF(R851="Bogs Ponds Streams","20",IF(R851="Coastal Areas","26",IF(R851="Meadows Dry Open","10",IF(R851="Forest &amp; Understory","14",IF(R851="Moist Open","12",IF(R851="Moist Shady","10",IF(R851="Sub-Alpine Slopes","0")))))))</f>
        <v>10</v>
      </c>
      <c r="U851" s="123" t="str">
        <f>IF(R851="Bogs Ponds Streams","52",IF(R851="Coastal Areas","51",IF(R851="Meadows Dry Open","53",IF(R851="Forest &amp; Understory","52",IF(R851="Moist Open","50",IF(R851="Moist Shady","46",IF(R851="Sub-Alpine Slopes","40")))))))</f>
        <v>46</v>
      </c>
      <c r="V851" s="123" t="str">
        <f>IF(R851="Bogs Ponds Streams","84",IF(R851="Coastal Areas","76",IF(R851="Meadows Dry Open","96", IF(R851="Forest &amp; Understory","90", IF(R851="Moist Open","88", IF(R851="Moist Shady","82", IF(R851="Sub-Alpine Slopes","80")))))))</f>
        <v>82</v>
      </c>
      <c r="W851" s="59">
        <v>200</v>
      </c>
      <c r="X851" s="59">
        <v>0</v>
      </c>
      <c r="Y851" s="59">
        <v>3500</v>
      </c>
      <c r="Z851" s="59" t="s">
        <v>2519</v>
      </c>
      <c r="AA851" s="59" t="s">
        <v>2518</v>
      </c>
      <c r="AB851" s="59">
        <v>6.8</v>
      </c>
      <c r="AC851" s="45">
        <f>C851+AK851+(0.1)*AL851</f>
        <v>107.9</v>
      </c>
      <c r="AD851" s="77">
        <v>107</v>
      </c>
      <c r="AE851" s="59">
        <v>5</v>
      </c>
      <c r="AF851" s="59">
        <v>5</v>
      </c>
      <c r="AG851" s="59">
        <v>1900</v>
      </c>
      <c r="AH851" s="77">
        <v>0</v>
      </c>
      <c r="AI851" s="59">
        <f ca="1">AJ851</f>
        <v>2019</v>
      </c>
      <c r="AJ851" s="18">
        <f ca="1">YEAR(TODAY())</f>
        <v>2019</v>
      </c>
      <c r="AK851" s="18">
        <v>99</v>
      </c>
      <c r="AL851" s="18">
        <v>9</v>
      </c>
      <c r="AM851" s="18">
        <v>1</v>
      </c>
      <c r="AN851" s="18">
        <v>1</v>
      </c>
      <c r="AO851" s="18">
        <v>5</v>
      </c>
      <c r="AP851" s="18">
        <v>1</v>
      </c>
      <c r="AQ851" s="18">
        <v>0</v>
      </c>
      <c r="AR851" s="18">
        <v>0</v>
      </c>
      <c r="AS851" s="18">
        <v>0</v>
      </c>
      <c r="AT851" s="18">
        <v>0</v>
      </c>
      <c r="AU851" s="18">
        <v>0</v>
      </c>
      <c r="AV851" s="18">
        <v>0</v>
      </c>
      <c r="AW851" s="18">
        <v>0</v>
      </c>
      <c r="AX851" s="18">
        <v>0</v>
      </c>
      <c r="AY851" s="233"/>
      <c r="AZ851" s="4"/>
      <c r="BA851" s="35" t="str">
        <f ca="1">IF(OR(S851="North America",S851="Rocky Mountain"), "Widespread",BC851)</f>
        <v>Abundant</v>
      </c>
      <c r="BB851" s="4"/>
      <c r="BC851" s="35" t="str">
        <f ca="1">IF(BE851&gt;2046, "Abundant",BE851)</f>
        <v>Abundant</v>
      </c>
      <c r="BD851" s="4"/>
      <c r="BE851" s="81">
        <f ca="1">YEAR($C$13)+(BG851*80)</f>
        <v>2124.9551999999999</v>
      </c>
      <c r="BF851" s="4"/>
      <c r="BG851" s="137">
        <f ca="1">BH851*$BH$14</f>
        <v>1.3244400000000001</v>
      </c>
      <c r="BH851" s="137">
        <f ca="1">(((BJ851+BK851+BM851+BN851)/4)*$BM$11)+(((BP851+BQ851)/2)*$BQ$11)+(((BU851+BV851+BW851)/3)*$BU$11)+(((BY851+BZ851+CA851+CB851+CC851)/5)*$CA$11)</f>
        <v>1.3244400000000001</v>
      </c>
      <c r="BI851" s="4"/>
      <c r="BJ851" s="33">
        <f>AP851/(AM851+AO851)</f>
        <v>0.16666666666666666</v>
      </c>
      <c r="BK851" s="33">
        <f>(AN851+AO851)/(AM851+AO851)</f>
        <v>1</v>
      </c>
      <c r="BL851" s="4"/>
      <c r="BM851" s="127">
        <f>CF851/102</f>
        <v>1</v>
      </c>
      <c r="BN851" s="127">
        <f>C851/2</f>
        <v>4</v>
      </c>
      <c r="BO851" s="4"/>
      <c r="BP851" s="127">
        <f>(AK851)/($AW$6)</f>
        <v>1</v>
      </c>
      <c r="BQ851" s="127">
        <f ca="1">(CH851-$AW$4)/((YEAR($C$13))-$AW$4)</f>
        <v>1</v>
      </c>
      <c r="BR851" s="127">
        <f>(AL851)/($AW$6)</f>
        <v>9.0909090909090912E-2</v>
      </c>
      <c r="BS851" s="4"/>
      <c r="BT851" s="127"/>
      <c r="BU851" s="127">
        <f ca="1">(CG851-$AW$4)/((YEAR($C$13))-$AW$4)</f>
        <v>1</v>
      </c>
      <c r="BV851" s="127">
        <f>AE851/5</f>
        <v>1</v>
      </c>
      <c r="BW851" s="127">
        <f>AF851/5</f>
        <v>1</v>
      </c>
      <c r="BX851" s="4"/>
      <c r="BY851" s="148" t="str">
        <f>IF(E851="A",".98",IF(E851="B",".99",IF(E851="C","1.00",IF(E851="D","1.00" ))))</f>
        <v>1.00</v>
      </c>
      <c r="BZ851" s="127">
        <f>(CE851+7)/10</f>
        <v>1</v>
      </c>
      <c r="CA851" s="76" t="str">
        <f>IF(D851="Fern",".97",IF(D851="Grass",".99",IF(D851="Herb",".97",IF(D851="Shrub",".99",IF(D851="Tree","1.00",IF(D851="Vine",".98"))))))</f>
        <v>1.00</v>
      </c>
      <c r="CB851" s="149" t="str">
        <f>IF(R851="Bogs Ponds Streams",".96", IF(R851="Coastal Areas",".97",IF(R851="Meadows Dry Open",".96",IF(R851="Forest &amp; Understory",".97",IF(R851="Moist Open",".98",IF(R851="Moist Shady",".96",IF(R851="Sub-Alpine","1.0")))))))</f>
        <v>.96</v>
      </c>
      <c r="CC851" s="76" t="str">
        <f>IF(S851="Local Endemic",".50",IF(S851="Regional Endemic",".70",IF(S851="Cascadia",".90",IF(S851="Rocky Mountain",".95",IF(S851="North America",".99")))))</f>
        <v>.90</v>
      </c>
      <c r="CD851" s="4"/>
      <c r="CE851" s="21">
        <f>IF(W851&gt;3,3,W851)</f>
        <v>3</v>
      </c>
      <c r="CF851" s="21">
        <f>IF(AC851&gt;102,102,AC851)</f>
        <v>102</v>
      </c>
      <c r="CG851" s="34">
        <f ca="1">IF(AI851&lt;$AW$4,$AW$4,AI851)</f>
        <v>2019</v>
      </c>
      <c r="CH851" s="34">
        <f ca="1">IF(AJ851&lt;$AW$4,$AW$4,AJ851)</f>
        <v>2019</v>
      </c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</row>
    <row r="852" spans="1:115" ht="15" customHeight="1" x14ac:dyDescent="0.3">
      <c r="A852" s="235"/>
      <c r="B852" s="218"/>
      <c r="C852" s="225">
        <v>8</v>
      </c>
      <c r="D852" s="59" t="s">
        <v>2505</v>
      </c>
      <c r="E852" s="59" t="s">
        <v>2501</v>
      </c>
      <c r="F852" s="397" t="str">
        <f ca="1">IF(BC852&lt;2025, "Extinct&lt; 6Yrs?",BA852)</f>
        <v>Abundant</v>
      </c>
      <c r="G852" s="363" t="s">
        <v>525</v>
      </c>
      <c r="H852" s="363" t="s">
        <v>682</v>
      </c>
      <c r="I852" s="366" t="s">
        <v>365</v>
      </c>
      <c r="J852" s="365" t="s">
        <v>3894</v>
      </c>
      <c r="K852" s="365" t="s">
        <v>797</v>
      </c>
      <c r="L852" s="8" t="s">
        <v>2149</v>
      </c>
      <c r="M852" s="8" t="s">
        <v>4922</v>
      </c>
      <c r="N852" s="8" t="s">
        <v>5820</v>
      </c>
      <c r="O852" s="8" t="s">
        <v>6719</v>
      </c>
      <c r="P852" s="9" t="s">
        <v>361</v>
      </c>
      <c r="Q852" s="59" t="s">
        <v>2552</v>
      </c>
      <c r="R852" s="9" t="s">
        <v>2498</v>
      </c>
      <c r="S852" s="9" t="s">
        <v>2459</v>
      </c>
      <c r="T852" s="123" t="str">
        <f>IF(R852="Bogs Ponds Streams","20",IF(R852="Coastal Areas","26",IF(R852="Meadows Dry Open","10",IF(R852="Forest &amp; Understory","14",IF(R852="Moist Open","12",IF(R852="Moist Shady","10",IF(R852="Sub-Alpine Slopes","0")))))))</f>
        <v>10</v>
      </c>
      <c r="U852" s="123" t="str">
        <f>IF(R852="Bogs Ponds Streams","52",IF(R852="Coastal Areas","51",IF(R852="Meadows Dry Open","53",IF(R852="Forest &amp; Understory","52",IF(R852="Moist Open","50",IF(R852="Moist Shady","46",IF(R852="Sub-Alpine Slopes","40")))))))</f>
        <v>46</v>
      </c>
      <c r="V852" s="123" t="str">
        <f>IF(R852="Bogs Ponds Streams","84",IF(R852="Coastal Areas","76",IF(R852="Meadows Dry Open","96", IF(R852="Forest &amp; Understory","90", IF(R852="Moist Open","88", IF(R852="Moist Shady","82", IF(R852="Sub-Alpine Slopes","80")))))))</f>
        <v>82</v>
      </c>
      <c r="W852" s="59">
        <v>20</v>
      </c>
      <c r="X852" s="59">
        <v>0</v>
      </c>
      <c r="Y852" s="59">
        <v>3500</v>
      </c>
      <c r="Z852" s="59" t="s">
        <v>2519</v>
      </c>
      <c r="AA852" s="59" t="s">
        <v>2518</v>
      </c>
      <c r="AB852" s="59">
        <v>6.8</v>
      </c>
      <c r="AC852" s="45">
        <f>C852+AK852+(0.1)*AL852</f>
        <v>107.9</v>
      </c>
      <c r="AD852" s="77">
        <v>308</v>
      </c>
      <c r="AE852" s="59">
        <v>5</v>
      </c>
      <c r="AF852" s="59">
        <v>5</v>
      </c>
      <c r="AG852" s="59">
        <v>1900</v>
      </c>
      <c r="AH852" s="77">
        <v>0</v>
      </c>
      <c r="AI852" s="59">
        <f ca="1">AJ852</f>
        <v>2019</v>
      </c>
      <c r="AJ852" s="18">
        <f ca="1">YEAR(TODAY())</f>
        <v>2019</v>
      </c>
      <c r="AK852" s="18">
        <v>99</v>
      </c>
      <c r="AL852" s="18">
        <v>9</v>
      </c>
      <c r="AM852" s="18">
        <v>1</v>
      </c>
      <c r="AN852" s="18">
        <v>1</v>
      </c>
      <c r="AO852" s="24">
        <v>1</v>
      </c>
      <c r="AP852" s="24">
        <v>0</v>
      </c>
      <c r="AQ852" s="18">
        <v>0</v>
      </c>
      <c r="AR852" s="18">
        <v>0</v>
      </c>
      <c r="AS852" s="18">
        <v>0</v>
      </c>
      <c r="AT852" s="18">
        <v>0</v>
      </c>
      <c r="AU852" s="18">
        <v>0</v>
      </c>
      <c r="AV852" s="18">
        <v>0</v>
      </c>
      <c r="AW852" s="18">
        <v>0</v>
      </c>
      <c r="AX852" s="18">
        <v>0</v>
      </c>
      <c r="AY852" s="233"/>
      <c r="AZ852" s="4"/>
      <c r="BA852" s="35" t="str">
        <f ca="1">IF(OR(S852="North America",S852="Rocky Mountain"), "Widespread",BC852)</f>
        <v>Abundant</v>
      </c>
      <c r="BB852" s="4"/>
      <c r="BC852" s="35" t="str">
        <f ca="1">IF(BE852&gt;2046, "Abundant",BE852)</f>
        <v>Abundant</v>
      </c>
      <c r="BD852" s="4"/>
      <c r="BE852" s="81">
        <f ca="1">YEAR($C$13)+(BG852*80)</f>
        <v>2122.9456</v>
      </c>
      <c r="BF852" s="4"/>
      <c r="BG852" s="137">
        <f ca="1">BH852*$BH$14</f>
        <v>1.29932</v>
      </c>
      <c r="BH852" s="137">
        <f ca="1">(((BJ852+BK852+BM852+BN852)/4)*$BM$11)+(((BP852+BQ852)/2)*$BQ$11)+(((BU852+BV852+BW852)/3)*$BU$11)+(((BY852+BZ852+CA852+CB852+CC852)/5)*$CA$11)</f>
        <v>1.29932</v>
      </c>
      <c r="BI852" s="4"/>
      <c r="BJ852" s="33">
        <f>AP852/(AM852+AO852)</f>
        <v>0</v>
      </c>
      <c r="BK852" s="33">
        <f>(AN852+AO852)/(AM852+AO852)</f>
        <v>1</v>
      </c>
      <c r="BL852" s="4"/>
      <c r="BM852" s="127">
        <f>CF852/102</f>
        <v>1</v>
      </c>
      <c r="BN852" s="127">
        <f>C852/2</f>
        <v>4</v>
      </c>
      <c r="BO852" s="4"/>
      <c r="BP852" s="127">
        <f>(AK852)/($AW$6)</f>
        <v>1</v>
      </c>
      <c r="BQ852" s="127">
        <f ca="1">(CH852-$AW$4)/((YEAR($C$13))-$AW$4)</f>
        <v>1</v>
      </c>
      <c r="BR852" s="127">
        <f>(AL852)/($AW$6)</f>
        <v>9.0909090909090912E-2</v>
      </c>
      <c r="BS852" s="4"/>
      <c r="BT852" s="127"/>
      <c r="BU852" s="127">
        <f ca="1">(CG852-$AW$4)/((YEAR($C$13))-$AW$4)</f>
        <v>1</v>
      </c>
      <c r="BV852" s="127">
        <f>AE852/5</f>
        <v>1</v>
      </c>
      <c r="BW852" s="127">
        <f>AF852/5</f>
        <v>1</v>
      </c>
      <c r="BX852" s="4"/>
      <c r="BY852" s="148" t="str">
        <f>IF(E852="A",".98",IF(E852="B",".99",IF(E852="C","1.00",IF(E852="D","1.00" ))))</f>
        <v>1.00</v>
      </c>
      <c r="BZ852" s="127">
        <f>(CE852+7)/10</f>
        <v>1</v>
      </c>
      <c r="CA852" s="76" t="str">
        <f>IF(D852="Fern",".97",IF(D852="Grass",".99",IF(D852="Herb",".97",IF(D852="Shrub",".99",IF(D852="Tree","1.00",IF(D852="Vine",".98"))))))</f>
        <v>.97</v>
      </c>
      <c r="CB852" s="149" t="str">
        <f>IF(R852="Bogs Ponds Streams",".96", IF(R852="Coastal Areas",".97",IF(R852="Meadows Dry Open",".96",IF(R852="Forest &amp; Understory",".97",IF(R852="Moist Open",".98",IF(R852="Moist Shady",".96",IF(R852="Sub-Alpine","1.0")))))))</f>
        <v>.96</v>
      </c>
      <c r="CC852" s="76" t="str">
        <f>IF(S852="Local Endemic",".50",IF(S852="Regional Endemic",".70",IF(S852="Cascadia",".90",IF(S852="Rocky Mountain",".95",IF(S852="North America",".99")))))</f>
        <v>.90</v>
      </c>
      <c r="CD852" s="4"/>
      <c r="CE852" s="21">
        <f>IF(W852&gt;3,3,W852)</f>
        <v>3</v>
      </c>
      <c r="CF852" s="21">
        <f>IF(AC852&gt;102,102,AC852)</f>
        <v>102</v>
      </c>
      <c r="CG852" s="34">
        <f ca="1">IF(AI852&lt;$AW$4,$AW$4,AI852)</f>
        <v>2019</v>
      </c>
      <c r="CH852" s="34">
        <f ca="1">IF(AJ852&lt;$AW$4,$AW$4,AJ852)</f>
        <v>2019</v>
      </c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13"/>
    </row>
    <row r="853" spans="1:115" ht="15" customHeight="1" x14ac:dyDescent="0.3">
      <c r="A853" s="235"/>
      <c r="B853" s="218"/>
      <c r="C853" s="225">
        <v>8</v>
      </c>
      <c r="D853" s="59" t="s">
        <v>2505</v>
      </c>
      <c r="E853" s="59" t="s">
        <v>2501</v>
      </c>
      <c r="F853" s="397" t="str">
        <f ca="1">IF(BC853&lt;2025, "Extinct&lt; 6Yrs?",BA853)</f>
        <v>Abundant</v>
      </c>
      <c r="G853" s="363" t="s">
        <v>525</v>
      </c>
      <c r="H853" s="363" t="s">
        <v>688</v>
      </c>
      <c r="I853" s="366" t="s">
        <v>363</v>
      </c>
      <c r="J853" s="365" t="s">
        <v>3893</v>
      </c>
      <c r="K853" s="365" t="s">
        <v>798</v>
      </c>
      <c r="L853" s="8" t="s">
        <v>2148</v>
      </c>
      <c r="M853" s="8" t="s">
        <v>4923</v>
      </c>
      <c r="N853" s="8" t="s">
        <v>5821</v>
      </c>
      <c r="O853" s="8" t="s">
        <v>6720</v>
      </c>
      <c r="P853" s="9" t="s">
        <v>361</v>
      </c>
      <c r="Q853" s="59" t="s">
        <v>2552</v>
      </c>
      <c r="R853" s="9" t="s">
        <v>2498</v>
      </c>
      <c r="S853" s="9" t="s">
        <v>2459</v>
      </c>
      <c r="T853" s="123" t="str">
        <f>IF(R853="Bogs Ponds Streams","20",IF(R853="Coastal Areas","26",IF(R853="Meadows Dry Open","10",IF(R853="Forest &amp; Understory","14",IF(R853="Moist Open","12",IF(R853="Moist Shady","10",IF(R853="Sub-Alpine Slopes","0")))))))</f>
        <v>10</v>
      </c>
      <c r="U853" s="123" t="str">
        <f>IF(R853="Bogs Ponds Streams","52",IF(R853="Coastal Areas","51",IF(R853="Meadows Dry Open","53",IF(R853="Forest &amp; Understory","52",IF(R853="Moist Open","50",IF(R853="Moist Shady","46",IF(R853="Sub-Alpine Slopes","40")))))))</f>
        <v>46</v>
      </c>
      <c r="V853" s="123" t="str">
        <f>IF(R853="Bogs Ponds Streams","84",IF(R853="Coastal Areas","76",IF(R853="Meadows Dry Open","96", IF(R853="Forest &amp; Understory","90", IF(R853="Moist Open","88", IF(R853="Moist Shady","82", IF(R853="Sub-Alpine Slopes","80")))))))</f>
        <v>82</v>
      </c>
      <c r="W853" s="59">
        <v>20</v>
      </c>
      <c r="X853" s="59">
        <v>0</v>
      </c>
      <c r="Y853" s="59">
        <v>3500</v>
      </c>
      <c r="Z853" s="59" t="s">
        <v>2519</v>
      </c>
      <c r="AA853" s="59" t="s">
        <v>2518</v>
      </c>
      <c r="AB853" s="59">
        <v>6.8</v>
      </c>
      <c r="AC853" s="45">
        <f>C853+AK853+(0.1)*AL853</f>
        <v>107.9</v>
      </c>
      <c r="AD853" s="77">
        <v>87</v>
      </c>
      <c r="AE853" s="59">
        <v>5</v>
      </c>
      <c r="AF853" s="59">
        <v>5</v>
      </c>
      <c r="AG853" s="59">
        <v>1900</v>
      </c>
      <c r="AH853" s="77">
        <v>0</v>
      </c>
      <c r="AI853" s="59">
        <f ca="1">AJ853</f>
        <v>2019</v>
      </c>
      <c r="AJ853" s="18">
        <f ca="1">YEAR(TODAY())</f>
        <v>2019</v>
      </c>
      <c r="AK853" s="18">
        <v>99</v>
      </c>
      <c r="AL853" s="18">
        <v>9</v>
      </c>
      <c r="AM853" s="18">
        <v>1</v>
      </c>
      <c r="AN853" s="18">
        <v>1</v>
      </c>
      <c r="AO853" s="18">
        <v>5</v>
      </c>
      <c r="AP853" s="18">
        <v>1</v>
      </c>
      <c r="AQ853" s="18">
        <v>0</v>
      </c>
      <c r="AR853" s="18">
        <v>0</v>
      </c>
      <c r="AS853" s="18">
        <v>0</v>
      </c>
      <c r="AT853" s="18">
        <v>0</v>
      </c>
      <c r="AU853" s="18">
        <v>0</v>
      </c>
      <c r="AV853" s="18">
        <v>0</v>
      </c>
      <c r="AW853" s="18">
        <v>0</v>
      </c>
      <c r="AX853" s="18">
        <v>0</v>
      </c>
      <c r="AY853" s="233"/>
      <c r="AZ853" s="4"/>
      <c r="BA853" s="35" t="str">
        <f ca="1">IF(OR(S853="North America",S853="Rocky Mountain"), "Widespread",BC853)</f>
        <v>Abundant</v>
      </c>
      <c r="BB853" s="4"/>
      <c r="BC853" s="35" t="str">
        <f ca="1">IF(BE853&gt;2046, "Abundant",BE853)</f>
        <v>Abundant</v>
      </c>
      <c r="BD853" s="4"/>
      <c r="BE853" s="81">
        <f ca="1">YEAR($C$13)+(BG853*80)</f>
        <v>2124.9456</v>
      </c>
      <c r="BF853" s="4"/>
      <c r="BG853" s="137">
        <f ca="1">BH853*$BH$14</f>
        <v>1.3243200000000002</v>
      </c>
      <c r="BH853" s="137">
        <f ca="1">(((BJ853+BK853+BM853+BN853)/4)*$BM$11)+(((BP853+BQ853)/2)*$BQ$11)+(((BU853+BV853+BW853)/3)*$BU$11)+(((BY853+BZ853+CA853+CB853+CC853)/5)*$CA$11)</f>
        <v>1.3243200000000002</v>
      </c>
      <c r="BI853" s="4"/>
      <c r="BJ853" s="33">
        <f>AP853/(AM853+AO853)</f>
        <v>0.16666666666666666</v>
      </c>
      <c r="BK853" s="33">
        <f>(AN853+AO853)/(AM853+AO853)</f>
        <v>1</v>
      </c>
      <c r="BL853" s="4"/>
      <c r="BM853" s="127">
        <f>CF853/102</f>
        <v>1</v>
      </c>
      <c r="BN853" s="127">
        <f>C853/2</f>
        <v>4</v>
      </c>
      <c r="BO853" s="4"/>
      <c r="BP853" s="127">
        <f>(AK853)/($AW$6)</f>
        <v>1</v>
      </c>
      <c r="BQ853" s="127">
        <f ca="1">(CH853-$AW$4)/((YEAR($C$13))-$AW$4)</f>
        <v>1</v>
      </c>
      <c r="BR853" s="127">
        <f>(AL853)/($AW$6)</f>
        <v>9.0909090909090912E-2</v>
      </c>
      <c r="BS853" s="4"/>
      <c r="BT853" s="127"/>
      <c r="BU853" s="127">
        <f ca="1">(CG853-$AW$4)/((YEAR($C$13))-$AW$4)</f>
        <v>1</v>
      </c>
      <c r="BV853" s="127">
        <f>AE853/5</f>
        <v>1</v>
      </c>
      <c r="BW853" s="127">
        <f>AF853/5</f>
        <v>1</v>
      </c>
      <c r="BX853" s="4"/>
      <c r="BY853" s="148" t="str">
        <f>IF(E853="A",".98",IF(E853="B",".99",IF(E853="C","1.00",IF(E853="D","1.00" ))))</f>
        <v>1.00</v>
      </c>
      <c r="BZ853" s="127">
        <f>(CE853+7)/10</f>
        <v>1</v>
      </c>
      <c r="CA853" s="76" t="str">
        <f>IF(D853="Fern",".97",IF(D853="Grass",".99",IF(D853="Herb",".97",IF(D853="Shrub",".99",IF(D853="Tree","1.00",IF(D853="Vine",".98"))))))</f>
        <v>.97</v>
      </c>
      <c r="CB853" s="149" t="str">
        <f>IF(R853="Bogs Ponds Streams",".96", IF(R853="Coastal Areas",".97",IF(R853="Meadows Dry Open",".96",IF(R853="Forest &amp; Understory",".97",IF(R853="Moist Open",".98",IF(R853="Moist Shady",".96",IF(R853="Sub-Alpine","1.0")))))))</f>
        <v>.96</v>
      </c>
      <c r="CC853" s="76" t="str">
        <f>IF(S853="Local Endemic",".50",IF(S853="Regional Endemic",".70",IF(S853="Cascadia",".90",IF(S853="Rocky Mountain",".95",IF(S853="North America",".99")))))</f>
        <v>.90</v>
      </c>
      <c r="CD853" s="4"/>
      <c r="CE853" s="21">
        <f>IF(W853&gt;3,3,W853)</f>
        <v>3</v>
      </c>
      <c r="CF853" s="21">
        <f>IF(AC853&gt;102,102,AC853)</f>
        <v>102</v>
      </c>
      <c r="CG853" s="34">
        <f ca="1">IF(AI853&lt;$AW$4,$AW$4,AI853)</f>
        <v>2019</v>
      </c>
      <c r="CH853" s="34">
        <f ca="1">IF(AJ853&lt;$AW$4,$AW$4,AJ853)</f>
        <v>2019</v>
      </c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13"/>
    </row>
    <row r="854" spans="1:115" ht="15" customHeight="1" x14ac:dyDescent="0.3">
      <c r="A854" s="235"/>
      <c r="B854" s="218"/>
      <c r="C854" s="375">
        <v>1</v>
      </c>
      <c r="D854" s="95" t="s">
        <v>1155</v>
      </c>
      <c r="E854" s="67" t="s">
        <v>2501</v>
      </c>
      <c r="F854" s="403" t="str">
        <f ca="1">IF(BC854&lt;2025, "Extinct&lt; 6Yrs?",BA854)</f>
        <v>Widespread</v>
      </c>
      <c r="G854" s="376" t="s">
        <v>525</v>
      </c>
      <c r="H854" s="376" t="s">
        <v>4028</v>
      </c>
      <c r="I854" s="379" t="s">
        <v>2722</v>
      </c>
      <c r="J854" s="378" t="s">
        <v>3493</v>
      </c>
      <c r="K854" s="378" t="s">
        <v>800</v>
      </c>
      <c r="L854" s="64" t="s">
        <v>2147</v>
      </c>
      <c r="M854" s="64" t="s">
        <v>4924</v>
      </c>
      <c r="N854" s="64" t="s">
        <v>5822</v>
      </c>
      <c r="O854" s="64" t="s">
        <v>6721</v>
      </c>
      <c r="P854" s="404" t="s">
        <v>468</v>
      </c>
      <c r="Q854" s="67" t="s">
        <v>2552</v>
      </c>
      <c r="R854" s="61" t="s">
        <v>2498</v>
      </c>
      <c r="S854" s="61" t="s">
        <v>2495</v>
      </c>
      <c r="T854" s="134" t="str">
        <f>IF(R854="Bogs Ponds Streams","20",IF(R854="Coastal Areas","26",IF(R854="Meadows Dry Open","10",IF(R854="Forest &amp; Understory","14",IF(R854="Moist Open","12",IF(R854="Moist Shady","10",IF(R854="Sub-Alpine Slopes","0")))))))</f>
        <v>10</v>
      </c>
      <c r="U854" s="134" t="str">
        <f>IF(R854="Bogs Ponds Streams","52",IF(R854="Coastal Areas","51",IF(R854="Meadows Dry Open","53",IF(R854="Forest &amp; Understory","52",IF(R854="Moist Open","50",IF(R854="Moist Shady","46",IF(R854="Sub-Alpine Slopes","40")))))))</f>
        <v>46</v>
      </c>
      <c r="V854" s="134" t="str">
        <f>IF(R854="Bogs Ponds Streams","84",IF(R854="Coastal Areas","76",IF(R854="Meadows Dry Open","96", IF(R854="Forest &amp; Understory","90", IF(R854="Moist Open","88", IF(R854="Moist Shady","82", IF(R854="Sub-Alpine Slopes","80")))))))</f>
        <v>82</v>
      </c>
      <c r="W854" s="67">
        <v>20</v>
      </c>
      <c r="X854" s="67">
        <v>0</v>
      </c>
      <c r="Y854" s="67">
        <v>3500</v>
      </c>
      <c r="Z854" s="67" t="s">
        <v>2519</v>
      </c>
      <c r="AA854" s="67" t="s">
        <v>2518</v>
      </c>
      <c r="AB854" s="67">
        <v>6.8</v>
      </c>
      <c r="AC854" s="85">
        <f>C854+AK854+(0.1)*AL854</f>
        <v>42</v>
      </c>
      <c r="AD854" s="78">
        <v>108</v>
      </c>
      <c r="AE854" s="67">
        <v>5</v>
      </c>
      <c r="AF854" s="67">
        <v>5</v>
      </c>
      <c r="AG854" s="67">
        <v>1900</v>
      </c>
      <c r="AH854" s="78">
        <v>0</v>
      </c>
      <c r="AI854" s="67">
        <f>AJ854</f>
        <v>2004</v>
      </c>
      <c r="AJ854" s="69">
        <v>2004</v>
      </c>
      <c r="AK854" s="69">
        <v>39</v>
      </c>
      <c r="AL854" s="69">
        <v>20</v>
      </c>
      <c r="AM854" s="70">
        <v>5</v>
      </c>
      <c r="AN854" s="70">
        <v>0</v>
      </c>
      <c r="AO854" s="86">
        <v>0</v>
      </c>
      <c r="AP854" s="70">
        <v>0</v>
      </c>
      <c r="AQ854" s="70">
        <v>0</v>
      </c>
      <c r="AR854" s="70">
        <v>0</v>
      </c>
      <c r="AS854" s="86">
        <v>0</v>
      </c>
      <c r="AT854" s="70">
        <v>0</v>
      </c>
      <c r="AU854" s="70">
        <v>0</v>
      </c>
      <c r="AV854" s="70">
        <v>0</v>
      </c>
      <c r="AW854" s="86">
        <v>0</v>
      </c>
      <c r="AX854" s="70">
        <v>0</v>
      </c>
      <c r="AY854" s="233"/>
      <c r="AZ854" s="4"/>
      <c r="BA854" s="35" t="str">
        <f>IF(OR(S854="North America",S854="Rocky Mountain"), "Widespread",BC854)</f>
        <v>Widespread</v>
      </c>
      <c r="BB854" s="4"/>
      <c r="BC854" s="35">
        <f ca="1">IF(BE854&gt;2046, "Abundant",BE854)</f>
        <v>2040.5159158645276</v>
      </c>
      <c r="BD854" s="4"/>
      <c r="BE854" s="81">
        <f ca="1">YEAR($C$13)+(BG854*80)</f>
        <v>2040.5159158645276</v>
      </c>
      <c r="BF854" s="4"/>
      <c r="BG854" s="137">
        <f ca="1">BH854*$BH$14</f>
        <v>0.26894894830659533</v>
      </c>
      <c r="BH854" s="137">
        <f ca="1">(((BJ854+BK854+BM854+BN854)/4)*$BM$11)+(((BP854+BQ854)/2)*$BQ$11)+(((BU854+BV854+BW854)/3)*$BU$11)+(((BY854+BZ854+CA854+CB854+CC854)/5)*$CA$11)</f>
        <v>0.26894894830659533</v>
      </c>
      <c r="BI854" s="4"/>
      <c r="BJ854" s="33">
        <f>AP854/(AM854+AO854)</f>
        <v>0</v>
      </c>
      <c r="BK854" s="33">
        <f>(AN854+AO854)/(AM854+AO854)</f>
        <v>0</v>
      </c>
      <c r="BL854" s="4"/>
      <c r="BM854" s="127">
        <f>CF854/102</f>
        <v>0.41176470588235292</v>
      </c>
      <c r="BN854" s="127">
        <f>C854/2</f>
        <v>0.5</v>
      </c>
      <c r="BO854" s="4"/>
      <c r="BP854" s="127">
        <f>(AK854)/($AW$6)</f>
        <v>0.39393939393939392</v>
      </c>
      <c r="BQ854" s="127">
        <f ca="1">(CH854-$AW$4)/((YEAR($C$13))-$AW$4)</f>
        <v>0</v>
      </c>
      <c r="BR854" s="127">
        <f>(AL854)/($AW$6)</f>
        <v>0.20202020202020202</v>
      </c>
      <c r="BS854" s="4"/>
      <c r="BT854" s="127"/>
      <c r="BU854" s="127">
        <f ca="1">(CG854-$AW$4)/((YEAR($C$13))-$AW$4)</f>
        <v>0</v>
      </c>
      <c r="BV854" s="127">
        <f>AE854/5</f>
        <v>1</v>
      </c>
      <c r="BW854" s="127">
        <f>AF854/5</f>
        <v>1</v>
      </c>
      <c r="BX854" s="4"/>
      <c r="BY854" s="148" t="str">
        <f>IF(E854="A",".98",IF(E854="B",".99",IF(E854="C","1.00",IF(E854="D","1.00" ))))</f>
        <v>1.00</v>
      </c>
      <c r="BZ854" s="127">
        <f>(CE854+7)/10</f>
        <v>1</v>
      </c>
      <c r="CA854" s="76" t="str">
        <f>IF(D854="Fern",".97",IF(D854="Grass",".99",IF(D854="Herb",".97",IF(D854="Shrub",".99",IF(D854="Tree","1.00",IF(D854="Vine",".98"))))))</f>
        <v>.99</v>
      </c>
      <c r="CB854" s="149" t="str">
        <f>IF(R854="Bogs Ponds Streams",".96", IF(R854="Coastal Areas",".97",IF(R854="Meadows Dry Open",".96",IF(R854="Forest &amp; Understory",".97",IF(R854="Moist Open",".98",IF(R854="Moist Shady",".96",IF(R854="Sub-Alpine","1.0")))))))</f>
        <v>.96</v>
      </c>
      <c r="CC854" s="76" t="str">
        <f>IF(S854="Local Endemic",".50",IF(S854="Regional Endemic",".70",IF(S854="Cascadia",".90",IF(S854="Rocky Mountain",".95",IF(S854="North America",".99")))))</f>
        <v>.99</v>
      </c>
      <c r="CD854" s="4"/>
      <c r="CE854" s="21">
        <f>IF(W854&gt;3,3,W854)</f>
        <v>3</v>
      </c>
      <c r="CF854" s="21">
        <f>IF(AC854&gt;102,102,AC854)</f>
        <v>42</v>
      </c>
      <c r="CG854" s="34">
        <f>IF(AI854&lt;$AW$4,$AW$4,AI854)</f>
        <v>2004</v>
      </c>
      <c r="CH854" s="34">
        <f>IF(AJ854&lt;$AW$4,$AW$4,AJ854)</f>
        <v>2004</v>
      </c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13"/>
    </row>
    <row r="855" spans="1:115" ht="15" customHeight="1" x14ac:dyDescent="0.3">
      <c r="A855" s="235"/>
      <c r="B855" s="218"/>
      <c r="C855" s="225">
        <v>8</v>
      </c>
      <c r="D855" s="59" t="s">
        <v>2506</v>
      </c>
      <c r="E855" s="60" t="s">
        <v>2501</v>
      </c>
      <c r="F855" s="397" t="str">
        <f ca="1">IF(BC855&lt;2025, "Extinct&lt; 6Yrs?",BA855)</f>
        <v>Abundant</v>
      </c>
      <c r="G855" s="363" t="s">
        <v>525</v>
      </c>
      <c r="H855" s="363" t="s">
        <v>690</v>
      </c>
      <c r="I855" s="366" t="s">
        <v>556</v>
      </c>
      <c r="J855" s="365" t="s">
        <v>3892</v>
      </c>
      <c r="K855" s="365" t="s">
        <v>555</v>
      </c>
      <c r="L855" s="8" t="s">
        <v>2146</v>
      </c>
      <c r="M855" s="8" t="s">
        <v>4925</v>
      </c>
      <c r="N855" s="8" t="s">
        <v>5823</v>
      </c>
      <c r="O855" s="8" t="s">
        <v>6722</v>
      </c>
      <c r="P855" s="9" t="s">
        <v>557</v>
      </c>
      <c r="Q855" s="59" t="s">
        <v>2552</v>
      </c>
      <c r="R855" s="9" t="s">
        <v>2500</v>
      </c>
      <c r="S855" s="9" t="s">
        <v>2459</v>
      </c>
      <c r="T855" s="123" t="str">
        <f>IF(R855="Bogs Ponds Streams","20",IF(R855="Coastal Areas","26",IF(R855="Meadows Dry Open","10",IF(R855="Forest &amp; Understory","14",IF(R855="Moist Open","12",IF(R855="Moist Shady","10",IF(R855="Sub-Alpine Slopes","0")))))))</f>
        <v>10</v>
      </c>
      <c r="U855" s="123" t="str">
        <f>IF(R855="Bogs Ponds Streams","52",IF(R855="Coastal Areas","51",IF(R855="Meadows Dry Open","53",IF(R855="Forest &amp; Understory","52",IF(R855="Moist Open","50",IF(R855="Moist Shady","46",IF(R855="Sub-Alpine Slopes","40")))))))</f>
        <v>53</v>
      </c>
      <c r="V855" s="123" t="str">
        <f>IF(R855="Bogs Ponds Streams","84",IF(R855="Coastal Areas","76",IF(R855="Meadows Dry Open","96", IF(R855="Forest &amp; Understory","90", IF(R855="Moist Open","88", IF(R855="Moist Shady","82", IF(R855="Sub-Alpine Slopes","80")))))))</f>
        <v>96</v>
      </c>
      <c r="W855" s="59">
        <v>20</v>
      </c>
      <c r="X855" s="59">
        <v>0</v>
      </c>
      <c r="Y855" s="59">
        <v>3500</v>
      </c>
      <c r="Z855" s="59" t="s">
        <v>2519</v>
      </c>
      <c r="AA855" s="59" t="s">
        <v>2518</v>
      </c>
      <c r="AB855" s="59">
        <v>6.8</v>
      </c>
      <c r="AC855" s="45">
        <f>C855+AK855+(0.1)*AL855</f>
        <v>23.3</v>
      </c>
      <c r="AD855" s="77">
        <v>36</v>
      </c>
      <c r="AE855" s="59">
        <v>5</v>
      </c>
      <c r="AF855" s="59">
        <v>5</v>
      </c>
      <c r="AG855" s="59">
        <v>1900</v>
      </c>
      <c r="AH855" s="77">
        <v>0</v>
      </c>
      <c r="AI855" s="59">
        <f ca="1">AJ855</f>
        <v>2019</v>
      </c>
      <c r="AJ855" s="18">
        <f ca="1">YEAR(TODAY())</f>
        <v>2019</v>
      </c>
      <c r="AK855" s="18">
        <v>15</v>
      </c>
      <c r="AL855" s="18">
        <v>3</v>
      </c>
      <c r="AM855" s="18">
        <v>1</v>
      </c>
      <c r="AN855" s="18">
        <v>1</v>
      </c>
      <c r="AO855" s="18">
        <v>5</v>
      </c>
      <c r="AP855" s="18">
        <v>1</v>
      </c>
      <c r="AQ855" s="18">
        <v>0</v>
      </c>
      <c r="AR855" s="18">
        <v>0</v>
      </c>
      <c r="AS855" s="18">
        <v>0</v>
      </c>
      <c r="AT855" s="18">
        <v>0</v>
      </c>
      <c r="AU855" s="18">
        <v>0</v>
      </c>
      <c r="AV855" s="18">
        <v>0</v>
      </c>
      <c r="AW855" s="18">
        <v>0</v>
      </c>
      <c r="AX855" s="18">
        <v>0</v>
      </c>
      <c r="AY855" s="233"/>
      <c r="AZ855" s="4"/>
      <c r="BA855" s="35" t="str">
        <f ca="1">IF(OR(S855="North America",S855="Rocky Mountain"), "Widespread",BC855)</f>
        <v>Abundant</v>
      </c>
      <c r="BB855" s="4"/>
      <c r="BC855" s="35" t="str">
        <f ca="1">IF(BE855&gt;2046, "Abundant",BE855)</f>
        <v>Abundant</v>
      </c>
      <c r="BD855" s="4"/>
      <c r="BE855" s="81">
        <f ca="1">YEAR($C$13)+(BG855*80)</f>
        <v>2105.5113582887702</v>
      </c>
      <c r="BF855" s="4"/>
      <c r="BG855" s="137">
        <f ca="1">BH855*$BH$14</f>
        <v>1.0813919786096258</v>
      </c>
      <c r="BH855" s="137">
        <f ca="1">(((BJ855+BK855+BM855+BN855)/4)*$BM$11)+(((BP855+BQ855)/2)*$BQ$11)+(((BU855+BV855+BW855)/3)*$BU$11)+(((BY855+BZ855+CA855+CB855+CC855)/5)*$CA$11)</f>
        <v>1.0813919786096258</v>
      </c>
      <c r="BI855" s="4"/>
      <c r="BJ855" s="33">
        <f>AP855/(AM855+AO855)</f>
        <v>0.16666666666666666</v>
      </c>
      <c r="BK855" s="33">
        <f>(AN855+AO855)/(AM855+AO855)</f>
        <v>1</v>
      </c>
      <c r="BL855" s="4"/>
      <c r="BM855" s="127">
        <f>CF855/102</f>
        <v>0.2284313725490196</v>
      </c>
      <c r="BN855" s="127">
        <f>C855/2</f>
        <v>4</v>
      </c>
      <c r="BO855" s="4"/>
      <c r="BP855" s="127">
        <f>(AK855)/($AW$6)</f>
        <v>0.15151515151515152</v>
      </c>
      <c r="BQ855" s="127">
        <f ca="1">(CH855-$AW$4)/((YEAR($C$13))-$AW$4)</f>
        <v>1</v>
      </c>
      <c r="BR855" s="127">
        <f>(AL855)/($AW$6)</f>
        <v>3.0303030303030304E-2</v>
      </c>
      <c r="BS855" s="4"/>
      <c r="BT855" s="127"/>
      <c r="BU855" s="127">
        <f ca="1">(CG855-$AW$4)/((YEAR($C$13))-$AW$4)</f>
        <v>1</v>
      </c>
      <c r="BV855" s="127">
        <f>AE855/5</f>
        <v>1</v>
      </c>
      <c r="BW855" s="127">
        <f>AF855/5</f>
        <v>1</v>
      </c>
      <c r="BX855" s="4"/>
      <c r="BY855" s="148" t="str">
        <f>IF(E855="A",".98",IF(E855="B",".99",IF(E855="C","1.00",IF(E855="D","1.00" ))))</f>
        <v>1.00</v>
      </c>
      <c r="BZ855" s="127">
        <f>(CE855+7)/10</f>
        <v>1</v>
      </c>
      <c r="CA855" s="76" t="str">
        <f>IF(D855="Fern",".97",IF(D855="Grass",".99",IF(D855="Herb",".97",IF(D855="Shrub",".99",IF(D855="Tree","1.00",IF(D855="Vine",".98"))))))</f>
        <v>.99</v>
      </c>
      <c r="CB855" s="149" t="str">
        <f>IF(R855="Bogs Ponds Streams",".96", IF(R855="Coastal Areas",".97",IF(R855="Meadows Dry Open",".96",IF(R855="Forest &amp; Understory",".97",IF(R855="Moist Open",".98",IF(R855="Moist Shady",".96",IF(R855="Sub-Alpine","1.0")))))))</f>
        <v>.96</v>
      </c>
      <c r="CC855" s="76" t="str">
        <f>IF(S855="Local Endemic",".50",IF(S855="Regional Endemic",".70",IF(S855="Cascadia",".90",IF(S855="Rocky Mountain",".95",IF(S855="North America",".99")))))</f>
        <v>.90</v>
      </c>
      <c r="CD855" s="4"/>
      <c r="CE855" s="21">
        <f>IF(W855&gt;3,3,W855)</f>
        <v>3</v>
      </c>
      <c r="CF855" s="21">
        <f>IF(AC855&gt;102,102,AC855)</f>
        <v>23.3</v>
      </c>
      <c r="CG855" s="34">
        <f ca="1">IF(AI855&lt;$AW$4,$AW$4,AI855)</f>
        <v>2019</v>
      </c>
      <c r="CH855" s="34">
        <f ca="1">IF(AJ855&lt;$AW$4,$AW$4,AJ855)</f>
        <v>2019</v>
      </c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</row>
    <row r="856" spans="1:115" ht="15" customHeight="1" x14ac:dyDescent="0.3">
      <c r="A856" s="235"/>
      <c r="B856" s="218"/>
      <c r="C856" s="226">
        <v>2</v>
      </c>
      <c r="D856" s="104" t="s">
        <v>2506</v>
      </c>
      <c r="E856" s="112" t="s">
        <v>2501</v>
      </c>
      <c r="F856" s="400" t="str">
        <f ca="1">IF(BC856&lt;2025, "Extinct&lt; 6Yrs?",BA856)</f>
        <v>Widespread</v>
      </c>
      <c r="G856" s="369" t="s">
        <v>525</v>
      </c>
      <c r="H856" s="369" t="s">
        <v>4028</v>
      </c>
      <c r="I856" s="372" t="s">
        <v>2589</v>
      </c>
      <c r="J856" s="371" t="s">
        <v>1158</v>
      </c>
      <c r="K856" s="371" t="s">
        <v>2145</v>
      </c>
      <c r="L856" s="114" t="s">
        <v>2144</v>
      </c>
      <c r="M856" s="111" t="s">
        <v>4926</v>
      </c>
      <c r="N856" s="111" t="s">
        <v>5824</v>
      </c>
      <c r="O856" s="111" t="s">
        <v>6723</v>
      </c>
      <c r="P856" s="105" t="s">
        <v>557</v>
      </c>
      <c r="Q856" s="104" t="s">
        <v>2552</v>
      </c>
      <c r="R856" s="105" t="s">
        <v>2497</v>
      </c>
      <c r="S856" s="114" t="s">
        <v>2495</v>
      </c>
      <c r="T856" s="133" t="str">
        <f>IF(R856="Bogs Ponds Streams","20",IF(R856="Coastal Areas","26",IF(R856="Meadows Dry Open","10",IF(R856="Forest &amp; Understory","14",IF(R856="Moist Open","12",IF(R856="Moist Shady","10",IF(R856="Sub-Alpine Slopes","0")))))))</f>
        <v>12</v>
      </c>
      <c r="U856" s="133" t="str">
        <f>IF(R856="Bogs Ponds Streams","52",IF(R856="Coastal Areas","51",IF(R856="Meadows Dry Open","53",IF(R856="Forest &amp; Understory","52",IF(R856="Moist Open","50",IF(R856="Moist Shady","46",IF(R856="Sub-Alpine Slopes","40")))))))</f>
        <v>50</v>
      </c>
      <c r="V856" s="133" t="str">
        <f>IF(R856="Bogs Ponds Streams","84",IF(R856="Coastal Areas","76",IF(R856="Meadows Dry Open","96", IF(R856="Forest &amp; Understory","90", IF(R856="Moist Open","88", IF(R856="Moist Shady","82", IF(R856="Sub-Alpine Slopes","80")))))))</f>
        <v>88</v>
      </c>
      <c r="W856" s="104">
        <v>20</v>
      </c>
      <c r="X856" s="104">
        <v>0</v>
      </c>
      <c r="Y856" s="104">
        <v>3500</v>
      </c>
      <c r="Z856" s="104" t="s">
        <v>2519</v>
      </c>
      <c r="AA856" s="104" t="s">
        <v>2518</v>
      </c>
      <c r="AB856" s="104">
        <v>6.8</v>
      </c>
      <c r="AC856" s="107">
        <f>C856+AK856+(0.1)*AL856</f>
        <v>5</v>
      </c>
      <c r="AD856" s="113">
        <v>23</v>
      </c>
      <c r="AE856" s="104">
        <v>5</v>
      </c>
      <c r="AF856" s="104">
        <v>5</v>
      </c>
      <c r="AG856" s="104">
        <v>1900</v>
      </c>
      <c r="AH856" s="113">
        <v>0</v>
      </c>
      <c r="AI856" s="104">
        <f ca="1">AJ856</f>
        <v>2019</v>
      </c>
      <c r="AJ856" s="108">
        <f ca="1">YEAR(TODAY())</f>
        <v>2019</v>
      </c>
      <c r="AK856" s="108">
        <v>0</v>
      </c>
      <c r="AL856" s="108">
        <v>30</v>
      </c>
      <c r="AM856" s="108">
        <v>1</v>
      </c>
      <c r="AN856" s="108">
        <v>1</v>
      </c>
      <c r="AO856" s="108">
        <v>5</v>
      </c>
      <c r="AP856" s="108">
        <v>1</v>
      </c>
      <c r="AQ856" s="108">
        <v>0</v>
      </c>
      <c r="AR856" s="108">
        <v>0</v>
      </c>
      <c r="AS856" s="108">
        <v>0</v>
      </c>
      <c r="AT856" s="108">
        <v>0</v>
      </c>
      <c r="AU856" s="108">
        <v>0</v>
      </c>
      <c r="AV856" s="108">
        <v>0</v>
      </c>
      <c r="AW856" s="108">
        <v>0</v>
      </c>
      <c r="AX856" s="108">
        <v>0</v>
      </c>
      <c r="AY856" s="233"/>
      <c r="AZ856" s="4"/>
      <c r="BA856" s="35" t="str">
        <f>IF(OR(S856="North America",S856="Rocky Mountain"), "Widespread",BC856)</f>
        <v>Widespread</v>
      </c>
      <c r="BB856" s="4"/>
      <c r="BC856" s="35" t="str">
        <f ca="1">IF(BE856&gt;2046, "Abundant",BE856)</f>
        <v>Abundant</v>
      </c>
      <c r="BD856" s="4"/>
      <c r="BE856" s="81">
        <f ca="1">YEAR($C$13)+(BG856*80)</f>
        <v>2065.5754352941176</v>
      </c>
      <c r="BF856" s="4"/>
      <c r="BG856" s="137">
        <f ca="1">BH856*$BH$14</f>
        <v>0.58219294117647047</v>
      </c>
      <c r="BH856" s="137">
        <f ca="1">(((BJ856+BK856+BM856+BN856)/4)*$BM$11)+(((BP856+BQ856)/2)*$BQ$11)+(((BU856+BV856+BW856)/3)*$BU$11)+(((BY856+BZ856+CA856+CB856+CC856)/5)*$CA$11)</f>
        <v>0.58219294117647047</v>
      </c>
      <c r="BI856" s="4"/>
      <c r="BJ856" s="33">
        <f>AP856/(AM856+AO856)</f>
        <v>0.16666666666666666</v>
      </c>
      <c r="BK856" s="33">
        <f>(AN856+AO856)/(AM856+AO856)</f>
        <v>1</v>
      </c>
      <c r="BL856" s="4"/>
      <c r="BM856" s="127">
        <f>CF856/102</f>
        <v>4.9019607843137254E-2</v>
      </c>
      <c r="BN856" s="127">
        <f>C856/2</f>
        <v>1</v>
      </c>
      <c r="BO856" s="4"/>
      <c r="BP856" s="127">
        <f>(AK856)/($AW$6)</f>
        <v>0</v>
      </c>
      <c r="BQ856" s="127">
        <f ca="1">(CH856-$AW$4)/((YEAR($C$13))-$AW$4)</f>
        <v>1</v>
      </c>
      <c r="BR856" s="127">
        <f>(AL856)/($AW$6)</f>
        <v>0.30303030303030304</v>
      </c>
      <c r="BS856" s="4"/>
      <c r="BT856" s="127"/>
      <c r="BU856" s="127">
        <f ca="1">(CG856-$AW$4)/((YEAR($C$13))-$AW$4)</f>
        <v>1</v>
      </c>
      <c r="BV856" s="127">
        <f>AE856/5</f>
        <v>1</v>
      </c>
      <c r="BW856" s="127">
        <f>AF856/5</f>
        <v>1</v>
      </c>
      <c r="BX856" s="4"/>
      <c r="BY856" s="148" t="str">
        <f>IF(E856="A",".98",IF(E856="B",".99",IF(E856="C","1.00",IF(E856="D","1.00" ))))</f>
        <v>1.00</v>
      </c>
      <c r="BZ856" s="127">
        <f>(CE856+7)/10</f>
        <v>1</v>
      </c>
      <c r="CA856" s="76" t="str">
        <f>IF(D856="Fern",".97",IF(D856="Grass",".99",IF(D856="Herb",".97",IF(D856="Shrub",".99",IF(D856="Tree","1.00",IF(D856="Vine",".98"))))))</f>
        <v>.99</v>
      </c>
      <c r="CB856" s="149" t="str">
        <f>IF(R856="Bogs Ponds Streams",".96", IF(R856="Coastal Areas",".97",IF(R856="Meadows Dry Open",".96",IF(R856="Forest &amp; Understory",".97",IF(R856="Moist Open",".98",IF(R856="Moist Shady",".96",IF(R856="Sub-Alpine","1.0")))))))</f>
        <v>.98</v>
      </c>
      <c r="CC856" s="76" t="str">
        <f>IF(S856="Local Endemic",".50",IF(S856="Regional Endemic",".70",IF(S856="Cascadia",".90",IF(S856="Rocky Mountain",".95",IF(S856="North America",".99")))))</f>
        <v>.99</v>
      </c>
      <c r="CD856" s="4"/>
      <c r="CE856" s="21">
        <f>IF(W856&gt;3,3,W856)</f>
        <v>3</v>
      </c>
      <c r="CF856" s="21">
        <f>IF(AC856&gt;102,102,AC856)</f>
        <v>5</v>
      </c>
      <c r="CG856" s="34">
        <f ca="1">IF(AI856&lt;$AW$4,$AW$4,AI856)</f>
        <v>2019</v>
      </c>
      <c r="CH856" s="34">
        <f ca="1">IF(AJ856&lt;$AW$4,$AW$4,AJ856)</f>
        <v>2019</v>
      </c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</row>
    <row r="857" spans="1:115" ht="15" customHeight="1" x14ac:dyDescent="0.3">
      <c r="A857" s="235"/>
      <c r="B857" s="218"/>
      <c r="C857" s="375">
        <v>1</v>
      </c>
      <c r="D857" s="67" t="s">
        <v>2505</v>
      </c>
      <c r="E857" s="67" t="s">
        <v>2501</v>
      </c>
      <c r="F857" s="403">
        <f ca="1">IF(BC857&lt;2025, "Extinct&lt; 6Yrs?",BA857)</f>
        <v>2040.5379279857398</v>
      </c>
      <c r="G857" s="376" t="s">
        <v>525</v>
      </c>
      <c r="H857" s="376" t="s">
        <v>4028</v>
      </c>
      <c r="I857" s="380" t="s">
        <v>3141</v>
      </c>
      <c r="J857" s="378" t="s">
        <v>3492</v>
      </c>
      <c r="K857" s="378" t="s">
        <v>799</v>
      </c>
      <c r="L857" s="64" t="s">
        <v>2143</v>
      </c>
      <c r="M857" s="64" t="s">
        <v>4927</v>
      </c>
      <c r="N857" s="64" t="s">
        <v>5825</v>
      </c>
      <c r="O857" s="64" t="s">
        <v>6724</v>
      </c>
      <c r="P857" s="61" t="s">
        <v>285</v>
      </c>
      <c r="Q857" s="67" t="s">
        <v>2552</v>
      </c>
      <c r="R857" s="61" t="s">
        <v>2498</v>
      </c>
      <c r="S857" s="61" t="s">
        <v>2309</v>
      </c>
      <c r="T857" s="134" t="str">
        <f>IF(R857="Bogs Ponds Streams","20",IF(R857="Coastal Areas","26",IF(R857="Meadows Dry Open","10",IF(R857="Forest &amp; Understory","14",IF(R857="Moist Open","12",IF(R857="Moist Shady","10",IF(R857="Sub-Alpine Slopes","0")))))))</f>
        <v>10</v>
      </c>
      <c r="U857" s="134" t="str">
        <f>IF(R857="Bogs Ponds Streams","52",IF(R857="Coastal Areas","51",IF(R857="Meadows Dry Open","53",IF(R857="Forest &amp; Understory","52",IF(R857="Moist Open","50",IF(R857="Moist Shady","46",IF(R857="Sub-Alpine Slopes","40")))))))</f>
        <v>46</v>
      </c>
      <c r="V857" s="134" t="str">
        <f>IF(R857="Bogs Ponds Streams","84",IF(R857="Coastal Areas","76",IF(R857="Meadows Dry Open","96", IF(R857="Forest &amp; Understory","90", IF(R857="Moist Open","88", IF(R857="Moist Shady","82", IF(R857="Sub-Alpine Slopes","80")))))))</f>
        <v>82</v>
      </c>
      <c r="W857" s="67">
        <v>20</v>
      </c>
      <c r="X857" s="67">
        <v>0</v>
      </c>
      <c r="Y857" s="67">
        <v>3500</v>
      </c>
      <c r="Z857" s="67" t="s">
        <v>2519</v>
      </c>
      <c r="AA857" s="67" t="s">
        <v>2518</v>
      </c>
      <c r="AB857" s="67">
        <v>6.8</v>
      </c>
      <c r="AC857" s="85">
        <f>C857+AK857+(0.1)*AL857</f>
        <v>42</v>
      </c>
      <c r="AD857" s="78">
        <v>130</v>
      </c>
      <c r="AE857" s="67">
        <v>5</v>
      </c>
      <c r="AF857" s="67">
        <v>5</v>
      </c>
      <c r="AG857" s="67">
        <v>1900</v>
      </c>
      <c r="AH857" s="78">
        <v>0</v>
      </c>
      <c r="AI857" s="67">
        <f>AJ857</f>
        <v>2004</v>
      </c>
      <c r="AJ857" s="69">
        <v>2004</v>
      </c>
      <c r="AK857" s="69">
        <v>40</v>
      </c>
      <c r="AL857" s="69">
        <v>10</v>
      </c>
      <c r="AM857" s="70">
        <v>5</v>
      </c>
      <c r="AN857" s="70">
        <v>0</v>
      </c>
      <c r="AO857" s="86">
        <v>0</v>
      </c>
      <c r="AP857" s="70">
        <v>0</v>
      </c>
      <c r="AQ857" s="70">
        <v>0</v>
      </c>
      <c r="AR857" s="70">
        <v>0</v>
      </c>
      <c r="AS857" s="86">
        <v>0</v>
      </c>
      <c r="AT857" s="70">
        <v>0</v>
      </c>
      <c r="AU857" s="70">
        <v>0</v>
      </c>
      <c r="AV857" s="70">
        <v>0</v>
      </c>
      <c r="AW857" s="86">
        <v>0</v>
      </c>
      <c r="AX857" s="70">
        <v>0</v>
      </c>
      <c r="AY857" s="233"/>
      <c r="AZ857" s="4"/>
      <c r="BA857" s="35">
        <f ca="1">IF(OR(S857="North America",S857="Rocky Mountain"), "Widespread",BC857)</f>
        <v>2040.5379279857398</v>
      </c>
      <c r="BB857" s="4"/>
      <c r="BC857" s="35">
        <f ca="1">IF(BE857&gt;2046, "Abundant",BE857)</f>
        <v>2040.5379279857398</v>
      </c>
      <c r="BD857" s="4"/>
      <c r="BE857" s="81">
        <f ca="1">YEAR($C$13)+(BG857*80)</f>
        <v>2040.5379279857398</v>
      </c>
      <c r="BF857" s="4"/>
      <c r="BG857" s="137">
        <f ca="1">BH857*$BH$14</f>
        <v>0.26922409982174683</v>
      </c>
      <c r="BH857" s="137">
        <f ca="1">(((BJ857+BK857+BM857+BN857)/4)*$BM$11)+(((BP857+BQ857)/2)*$BQ$11)+(((BU857+BV857+BW857)/3)*$BU$11)+(((BY857+BZ857+CA857+CB857+CC857)/5)*$CA$11)</f>
        <v>0.26922409982174683</v>
      </c>
      <c r="BI857" s="4"/>
      <c r="BJ857" s="33">
        <f>AP857/(AM857+AO857)</f>
        <v>0</v>
      </c>
      <c r="BK857" s="33">
        <f>(AN857+AO857)/(AM857+AO857)</f>
        <v>0</v>
      </c>
      <c r="BL857" s="4"/>
      <c r="BM857" s="127">
        <f>CF857/102</f>
        <v>0.41176470588235292</v>
      </c>
      <c r="BN857" s="127">
        <f>C857/2</f>
        <v>0.5</v>
      </c>
      <c r="BO857" s="4"/>
      <c r="BP857" s="127">
        <f>(AK857)/($AW$6)</f>
        <v>0.40404040404040403</v>
      </c>
      <c r="BQ857" s="127">
        <f ca="1">(CH857-$AW$4)/((YEAR($C$13))-$AW$4)</f>
        <v>0</v>
      </c>
      <c r="BR857" s="127">
        <f>(AL857)/($AW$6)</f>
        <v>0.10101010101010101</v>
      </c>
      <c r="BS857" s="4"/>
      <c r="BT857" s="127"/>
      <c r="BU857" s="127">
        <f ca="1">(CG857-$AW$4)/((YEAR($C$13))-$AW$4)</f>
        <v>0</v>
      </c>
      <c r="BV857" s="127">
        <f>AE857/5</f>
        <v>1</v>
      </c>
      <c r="BW857" s="127">
        <f>AF857/5</f>
        <v>1</v>
      </c>
      <c r="BX857" s="4"/>
      <c r="BY857" s="148" t="str">
        <f>IF(E857="A",".98",IF(E857="B",".99",IF(E857="C","1.00",IF(E857="D","1.00" ))))</f>
        <v>1.00</v>
      </c>
      <c r="BZ857" s="127">
        <f>(CE857+7)/10</f>
        <v>1</v>
      </c>
      <c r="CA857" s="76" t="str">
        <f>IF(D857="Fern",".97",IF(D857="Grass",".99",IF(D857="Herb",".97",IF(D857="Shrub",".99",IF(D857="Tree","1.00",IF(D857="Vine",".98"))))))</f>
        <v>.97</v>
      </c>
      <c r="CB857" s="149" t="str">
        <f>IF(R857="Bogs Ponds Streams",".96", IF(R857="Coastal Areas",".97",IF(R857="Meadows Dry Open",".96",IF(R857="Forest &amp; Understory",".97",IF(R857="Moist Open",".98",IF(R857="Moist Shady",".96",IF(R857="Sub-Alpine","1.0")))))))</f>
        <v>.96</v>
      </c>
      <c r="CC857" s="76" t="str">
        <f>IF(S857="Local Endemic",".50",IF(S857="Regional Endemic",".70",IF(S857="Cascadia",".90",IF(S857="Rocky Mountain",".95",IF(S857="North America",".99")))))</f>
        <v>.70</v>
      </c>
      <c r="CD857" s="4"/>
      <c r="CE857" s="21">
        <f>IF(W857&gt;3,3,W857)</f>
        <v>3</v>
      </c>
      <c r="CF857" s="21">
        <f>IF(AC857&gt;102,102,AC857)</f>
        <v>42</v>
      </c>
      <c r="CG857" s="34">
        <f>IF(AI857&lt;$AW$4,$AW$4,AI857)</f>
        <v>2004</v>
      </c>
      <c r="CH857" s="34">
        <f>IF(AJ857&lt;$AW$4,$AW$4,AJ857)</f>
        <v>2004</v>
      </c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</row>
    <row r="858" spans="1:115" ht="15" customHeight="1" x14ac:dyDescent="0.3">
      <c r="A858" s="235"/>
      <c r="B858" s="218"/>
      <c r="C858" s="375">
        <v>1</v>
      </c>
      <c r="D858" s="95" t="s">
        <v>1155</v>
      </c>
      <c r="E858" s="67" t="s">
        <v>2501</v>
      </c>
      <c r="F858" s="403" t="str">
        <f ca="1">IF(BC858&lt;2025, "Extinct&lt; 6Yrs?",BA858)</f>
        <v>Widespread</v>
      </c>
      <c r="G858" s="376" t="s">
        <v>525</v>
      </c>
      <c r="H858" s="376" t="s">
        <v>4028</v>
      </c>
      <c r="I858" s="380" t="s">
        <v>3142</v>
      </c>
      <c r="J858" s="378" t="s">
        <v>3491</v>
      </c>
      <c r="K858" s="378" t="s">
        <v>1304</v>
      </c>
      <c r="L858" s="64" t="s">
        <v>2142</v>
      </c>
      <c r="M858" s="64" t="s">
        <v>4928</v>
      </c>
      <c r="N858" s="64" t="s">
        <v>5826</v>
      </c>
      <c r="O858" s="64" t="s">
        <v>6725</v>
      </c>
      <c r="P858" s="61" t="s">
        <v>403</v>
      </c>
      <c r="Q858" s="67" t="s">
        <v>2552</v>
      </c>
      <c r="R858" s="61" t="s">
        <v>2499</v>
      </c>
      <c r="S858" s="61" t="s">
        <v>2495</v>
      </c>
      <c r="T858" s="134" t="str">
        <f>IF(R858="Bogs Ponds Streams","20",IF(R858="Coastal Areas","26",IF(R858="Meadows Dry Open","10",IF(R858="Forest &amp; Understory","14",IF(R858="Moist Open","12",IF(R858="Moist Shady","10",IF(R858="Sub-Alpine Slopes","0")))))))</f>
        <v>20</v>
      </c>
      <c r="U858" s="134" t="str">
        <f>IF(R858="Bogs Ponds Streams","52",IF(R858="Coastal Areas","51",IF(R858="Meadows Dry Open","53",IF(R858="Forest &amp; Understory","52",IF(R858="Moist Open","50",IF(R858="Moist Shady","46",IF(R858="Sub-Alpine Slopes","40")))))))</f>
        <v>52</v>
      </c>
      <c r="V858" s="134" t="str">
        <f>IF(R858="Bogs Ponds Streams","84",IF(R858="Coastal Areas","76",IF(R858="Meadows Dry Open","96", IF(R858="Forest &amp; Understory","90", IF(R858="Moist Open","88", IF(R858="Moist Shady","82", IF(R858="Sub-Alpine Slopes","80")))))))</f>
        <v>84</v>
      </c>
      <c r="W858" s="67">
        <v>20</v>
      </c>
      <c r="X858" s="67">
        <v>0</v>
      </c>
      <c r="Y858" s="67">
        <v>3500</v>
      </c>
      <c r="Z858" s="67" t="s">
        <v>2519</v>
      </c>
      <c r="AA858" s="67" t="s">
        <v>2518</v>
      </c>
      <c r="AB858" s="67">
        <v>6.8</v>
      </c>
      <c r="AC858" s="85">
        <f>C858+AK858+(0.1)*AL858</f>
        <v>12</v>
      </c>
      <c r="AD858" s="78">
        <v>60</v>
      </c>
      <c r="AE858" s="67">
        <v>5</v>
      </c>
      <c r="AF858" s="67">
        <v>5</v>
      </c>
      <c r="AG858" s="67">
        <v>1900</v>
      </c>
      <c r="AH858" s="78">
        <v>0</v>
      </c>
      <c r="AI858" s="67">
        <f>AJ858</f>
        <v>2004</v>
      </c>
      <c r="AJ858" s="69">
        <v>2004</v>
      </c>
      <c r="AK858" s="69">
        <v>10</v>
      </c>
      <c r="AL858" s="69">
        <v>10</v>
      </c>
      <c r="AM858" s="70">
        <v>5</v>
      </c>
      <c r="AN858" s="70">
        <v>0</v>
      </c>
      <c r="AO858" s="86">
        <v>0</v>
      </c>
      <c r="AP858" s="70">
        <v>0</v>
      </c>
      <c r="AQ858" s="70">
        <v>0</v>
      </c>
      <c r="AR858" s="70">
        <v>0</v>
      </c>
      <c r="AS858" s="86">
        <v>0</v>
      </c>
      <c r="AT858" s="70">
        <v>0</v>
      </c>
      <c r="AU858" s="70">
        <v>0</v>
      </c>
      <c r="AV858" s="70">
        <v>0</v>
      </c>
      <c r="AW858" s="86">
        <v>0</v>
      </c>
      <c r="AX858" s="70">
        <v>0</v>
      </c>
      <c r="AY858" s="233"/>
      <c r="AZ858" s="4"/>
      <c r="BA858" s="35" t="str">
        <f>IF(OR(S858="North America",S858="Rocky Mountain"), "Widespread",BC858)</f>
        <v>Widespread</v>
      </c>
      <c r="BB858" s="4"/>
      <c r="BC858" s="35">
        <f ca="1">IF(BE858&gt;2046, "Abundant",BE858)</f>
        <v>2033.4713525846703</v>
      </c>
      <c r="BD858" s="4"/>
      <c r="BE858" s="81">
        <f ca="1">YEAR($C$13)+(BG858*80)</f>
        <v>2033.4713525846703</v>
      </c>
      <c r="BF858" s="4"/>
      <c r="BG858" s="137">
        <f ca="1">BH858*$BH$14</f>
        <v>0.1808919073083779</v>
      </c>
      <c r="BH858" s="137">
        <f ca="1">(((BJ858+BK858+BM858+BN858)/4)*$BM$11)+(((BP858+BQ858)/2)*$BQ$11)+(((BU858+BV858+BW858)/3)*$BU$11)+(((BY858+BZ858+CA858+CB858+CC858)/5)*$CA$11)</f>
        <v>0.1808919073083779</v>
      </c>
      <c r="BI858" s="4"/>
      <c r="BJ858" s="33">
        <f>AP858/(AM858+AO858)</f>
        <v>0</v>
      </c>
      <c r="BK858" s="33">
        <f>(AN858+AO858)/(AM858+AO858)</f>
        <v>0</v>
      </c>
      <c r="BL858" s="4"/>
      <c r="BM858" s="127">
        <f>CF858/102</f>
        <v>0.11764705882352941</v>
      </c>
      <c r="BN858" s="127">
        <f>C858/2</f>
        <v>0.5</v>
      </c>
      <c r="BO858" s="4"/>
      <c r="BP858" s="127">
        <f>(AK858)/($AW$6)</f>
        <v>0.10101010101010101</v>
      </c>
      <c r="BQ858" s="127">
        <f ca="1">(CH858-$AW$4)/((YEAR($C$13))-$AW$4)</f>
        <v>0</v>
      </c>
      <c r="BR858" s="127">
        <f>(AL858)/($AW$6)</f>
        <v>0.10101010101010101</v>
      </c>
      <c r="BS858" s="4"/>
      <c r="BT858" s="127"/>
      <c r="BU858" s="127">
        <f ca="1">(CG858-$AW$4)/((YEAR($C$13))-$AW$4)</f>
        <v>0</v>
      </c>
      <c r="BV858" s="127">
        <f>AE858/5</f>
        <v>1</v>
      </c>
      <c r="BW858" s="127">
        <f>AF858/5</f>
        <v>1</v>
      </c>
      <c r="BX858" s="4"/>
      <c r="BY858" s="148" t="str">
        <f>IF(E858="A",".98",IF(E858="B",".99",IF(E858="C","1.00",IF(E858="D","1.00" ))))</f>
        <v>1.00</v>
      </c>
      <c r="BZ858" s="127">
        <f>(CE858+7)/10</f>
        <v>1</v>
      </c>
      <c r="CA858" s="76" t="str">
        <f>IF(D858="Fern",".97",IF(D858="Grass",".99",IF(D858="Herb",".97",IF(D858="Shrub",".99",IF(D858="Tree","1.00",IF(D858="Vine",".98"))))))</f>
        <v>.99</v>
      </c>
      <c r="CB858" s="149" t="str">
        <f>IF(R858="Bogs Ponds Streams",".96", IF(R858="Coastal Areas",".97",IF(R858="Meadows Dry Open",".96",IF(R858="Forest &amp; Understory",".97",IF(R858="Moist Open",".98",IF(R858="Moist Shady",".96",IF(R858="Sub-Alpine","1.0")))))))</f>
        <v>.96</v>
      </c>
      <c r="CC858" s="76" t="str">
        <f>IF(S858="Local Endemic",".50",IF(S858="Regional Endemic",".70",IF(S858="Cascadia",".90",IF(S858="Rocky Mountain",".95",IF(S858="North America",".99")))))</f>
        <v>.99</v>
      </c>
      <c r="CD858" s="4"/>
      <c r="CE858" s="21">
        <f>IF(W858&gt;3,3,W858)</f>
        <v>3</v>
      </c>
      <c r="CF858" s="21">
        <f>IF(AC858&gt;102,102,AC858)</f>
        <v>12</v>
      </c>
      <c r="CG858" s="34">
        <f>IF(AI858&lt;$AW$4,$AW$4,AI858)</f>
        <v>2004</v>
      </c>
      <c r="CH858" s="34">
        <f>IF(AJ858&lt;$AW$4,$AW$4,AJ858)</f>
        <v>2004</v>
      </c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13"/>
    </row>
    <row r="859" spans="1:115" ht="15" customHeight="1" x14ac:dyDescent="0.3">
      <c r="A859" s="235"/>
      <c r="B859" s="218"/>
      <c r="C859" s="375">
        <v>1</v>
      </c>
      <c r="D859" s="67" t="s">
        <v>2505</v>
      </c>
      <c r="E859" s="67" t="s">
        <v>2501</v>
      </c>
      <c r="F859" s="403">
        <f ca="1">IF(BC859&lt;2025, "Extinct&lt; 6Yrs?",BA859)</f>
        <v>2031.1229376114081</v>
      </c>
      <c r="G859" s="376" t="s">
        <v>525</v>
      </c>
      <c r="H859" s="376" t="s">
        <v>4028</v>
      </c>
      <c r="I859" s="63" t="s">
        <v>2723</v>
      </c>
      <c r="J859" s="378" t="s">
        <v>3490</v>
      </c>
      <c r="K859" s="378" t="s">
        <v>1306</v>
      </c>
      <c r="L859" s="64" t="s">
        <v>2139</v>
      </c>
      <c r="M859" s="64" t="s">
        <v>4934</v>
      </c>
      <c r="N859" s="64" t="s">
        <v>5827</v>
      </c>
      <c r="O859" s="64" t="s">
        <v>6726</v>
      </c>
      <c r="P859" s="404" t="s">
        <v>576</v>
      </c>
      <c r="Q859" s="67" t="s">
        <v>2552</v>
      </c>
      <c r="R859" s="163" t="s">
        <v>2497</v>
      </c>
      <c r="S859" s="65" t="s">
        <v>2309</v>
      </c>
      <c r="T859" s="134" t="str">
        <f>IF(R859="Bogs Ponds Streams","20",IF(R859="Coastal Areas","26",IF(R859="Meadows Dry Open","10",IF(R859="Forest &amp; Understory","14",IF(R859="Moist Open","12",IF(R859="Moist Shady","10",IF(R859="Sub-Alpine Slopes","0")))))))</f>
        <v>12</v>
      </c>
      <c r="U859" s="134" t="str">
        <f>IF(R859="Bogs Ponds Streams","52",IF(R859="Coastal Areas","51",IF(R859="Meadows Dry Open","53",IF(R859="Forest &amp; Understory","52",IF(R859="Moist Open","50",IF(R859="Moist Shady","46",IF(R859="Sub-Alpine Slopes","40")))))))</f>
        <v>50</v>
      </c>
      <c r="V859" s="134" t="str">
        <f>IF(R859="Bogs Ponds Streams","84",IF(R859="Coastal Areas","76",IF(R859="Meadows Dry Open","96", IF(R859="Forest &amp; Understory","90", IF(R859="Moist Open","88", IF(R859="Moist Shady","82", IF(R859="Sub-Alpine Slopes","80")))))))</f>
        <v>88</v>
      </c>
      <c r="W859" s="67">
        <v>20</v>
      </c>
      <c r="X859" s="67">
        <v>0</v>
      </c>
      <c r="Y859" s="67">
        <v>3500</v>
      </c>
      <c r="Z859" s="67" t="s">
        <v>2519</v>
      </c>
      <c r="AA859" s="67" t="s">
        <v>2518</v>
      </c>
      <c r="AB859" s="67">
        <v>6.8</v>
      </c>
      <c r="AC859" s="85">
        <f>C859+AK859+(0.1)*AL859</f>
        <v>2.1</v>
      </c>
      <c r="AD859" s="78">
        <v>6</v>
      </c>
      <c r="AE859" s="67">
        <v>5</v>
      </c>
      <c r="AF859" s="67">
        <v>5</v>
      </c>
      <c r="AG859" s="67">
        <v>1900</v>
      </c>
      <c r="AH859" s="78">
        <v>0</v>
      </c>
      <c r="AI859" s="67">
        <f>AJ859</f>
        <v>2004</v>
      </c>
      <c r="AJ859" s="69">
        <v>2004</v>
      </c>
      <c r="AK859" s="69">
        <v>1</v>
      </c>
      <c r="AL859" s="69">
        <v>1</v>
      </c>
      <c r="AM859" s="70">
        <v>5</v>
      </c>
      <c r="AN859" s="70">
        <v>0</v>
      </c>
      <c r="AO859" s="86">
        <v>0</v>
      </c>
      <c r="AP859" s="70">
        <v>0</v>
      </c>
      <c r="AQ859" s="70">
        <v>0</v>
      </c>
      <c r="AR859" s="70">
        <v>0</v>
      </c>
      <c r="AS859" s="86">
        <v>0</v>
      </c>
      <c r="AT859" s="70">
        <v>0</v>
      </c>
      <c r="AU859" s="70">
        <v>0</v>
      </c>
      <c r="AV859" s="70">
        <v>0</v>
      </c>
      <c r="AW859" s="86">
        <v>0</v>
      </c>
      <c r="AX859" s="70">
        <v>0</v>
      </c>
      <c r="AY859" s="233"/>
      <c r="AZ859" s="4"/>
      <c r="BA859" s="35">
        <f ca="1">IF(OR(S859="North America",S859="Rocky Mountain"), "Widespread",BC859)</f>
        <v>2031.1229376114081</v>
      </c>
      <c r="BB859" s="4"/>
      <c r="BC859" s="35">
        <f ca="1">IF(BE859&gt;2046, "Abundant",BE859)</f>
        <v>2031.1229376114081</v>
      </c>
      <c r="BD859" s="4"/>
      <c r="BE859" s="81">
        <f ca="1">YEAR($C$13)+(BG859*80)</f>
        <v>2031.1229376114081</v>
      </c>
      <c r="BF859" s="4"/>
      <c r="BG859" s="137">
        <f ca="1">BH859*$BH$14</f>
        <v>0.1515367201426025</v>
      </c>
      <c r="BH859" s="137">
        <f ca="1">(((BJ859+BK859+BM859+BN859)/4)*$BM$11)+(((BP859+BQ859)/2)*$BQ$11)+(((BU859+BV859+BW859)/3)*$BU$11)+(((BY859+BZ859+CA859+CB859+CC859)/5)*$CA$11)</f>
        <v>0.1515367201426025</v>
      </c>
      <c r="BI859" s="4"/>
      <c r="BJ859" s="33">
        <f>AP859/(AM859+AO859)</f>
        <v>0</v>
      </c>
      <c r="BK859" s="33">
        <f>(AN859+AO859)/(AM859+AO859)</f>
        <v>0</v>
      </c>
      <c r="BL859" s="4"/>
      <c r="BM859" s="127">
        <f>CF859/102</f>
        <v>2.0588235294117647E-2</v>
      </c>
      <c r="BN859" s="127">
        <f>C859/2</f>
        <v>0.5</v>
      </c>
      <c r="BO859" s="4"/>
      <c r="BP859" s="127">
        <f>(AK859)/($AW$6)</f>
        <v>1.0101010101010102E-2</v>
      </c>
      <c r="BQ859" s="127">
        <f ca="1">(CH859-$AW$4)/((YEAR($C$13))-$AW$4)</f>
        <v>0</v>
      </c>
      <c r="BR859" s="127">
        <f>(AL859)/($AW$6)</f>
        <v>1.0101010101010102E-2</v>
      </c>
      <c r="BS859" s="4"/>
      <c r="BT859" s="127"/>
      <c r="BU859" s="127">
        <f ca="1">(CG859-$AW$4)/((YEAR($C$13))-$AW$4)</f>
        <v>0</v>
      </c>
      <c r="BV859" s="127">
        <f>AE859/5</f>
        <v>1</v>
      </c>
      <c r="BW859" s="127">
        <f>AF859/5</f>
        <v>1</v>
      </c>
      <c r="BX859" s="4"/>
      <c r="BY859" s="148" t="str">
        <f>IF(E859="A",".98",IF(E859="B",".99",IF(E859="C","1.00",IF(E859="D","1.00" ))))</f>
        <v>1.00</v>
      </c>
      <c r="BZ859" s="127">
        <f>(CE859+7)/10</f>
        <v>1</v>
      </c>
      <c r="CA859" s="76" t="str">
        <f>IF(D859="Fern",".97",IF(D859="Grass",".99",IF(D859="Herb",".97",IF(D859="Shrub",".99",IF(D859="Tree","1.00",IF(D859="Vine",".98"))))))</f>
        <v>.97</v>
      </c>
      <c r="CB859" s="149" t="str">
        <f>IF(R859="Bogs Ponds Streams",".96", IF(R859="Coastal Areas",".97",IF(R859="Meadows Dry Open",".96",IF(R859="Forest &amp; Understory",".97",IF(R859="Moist Open",".98",IF(R859="Moist Shady",".96",IF(R859="Sub-Alpine","1.0")))))))</f>
        <v>.98</v>
      </c>
      <c r="CC859" s="76" t="str">
        <f>IF(S859="Local Endemic",".50",IF(S859="Regional Endemic",".70",IF(S859="Cascadia",".90",IF(S859="Rocky Mountain",".95",IF(S859="North America",".99")))))</f>
        <v>.70</v>
      </c>
      <c r="CD859" s="4"/>
      <c r="CE859" s="21">
        <f>IF(W859&gt;3,3,W859)</f>
        <v>3</v>
      </c>
      <c r="CF859" s="21">
        <f>IF(AC859&gt;102,102,AC859)</f>
        <v>2.1</v>
      </c>
      <c r="CG859" s="34">
        <f>IF(AI859&lt;$AW$4,$AW$4,AI859)</f>
        <v>2004</v>
      </c>
      <c r="CH859" s="34">
        <f>IF(AJ859&lt;$AW$4,$AW$4,AJ859)</f>
        <v>2004</v>
      </c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</row>
    <row r="860" spans="1:115" ht="15" customHeight="1" x14ac:dyDescent="0.3">
      <c r="A860" s="235"/>
      <c r="B860" s="218"/>
      <c r="C860" s="375">
        <v>1</v>
      </c>
      <c r="D860" s="67" t="s">
        <v>2505</v>
      </c>
      <c r="E860" s="67" t="s">
        <v>2502</v>
      </c>
      <c r="F860" s="403">
        <f ca="1">IF(BC860&lt;2025, "Extinct&lt; 6Yrs?",BA860)</f>
        <v>2035.6719914438502</v>
      </c>
      <c r="G860" s="376" t="s">
        <v>525</v>
      </c>
      <c r="H860" s="376" t="s">
        <v>4028</v>
      </c>
      <c r="I860" s="379" t="s">
        <v>593</v>
      </c>
      <c r="J860" s="378" t="s">
        <v>3489</v>
      </c>
      <c r="K860" s="378" t="s">
        <v>592</v>
      </c>
      <c r="L860" s="64" t="s">
        <v>2138</v>
      </c>
      <c r="M860" s="64" t="s">
        <v>4929</v>
      </c>
      <c r="N860" s="64" t="s">
        <v>5828</v>
      </c>
      <c r="O860" s="64" t="s">
        <v>6727</v>
      </c>
      <c r="P860" s="61" t="s">
        <v>576</v>
      </c>
      <c r="Q860" s="67" t="s">
        <v>2552</v>
      </c>
      <c r="R860" s="61" t="s">
        <v>2500</v>
      </c>
      <c r="S860" s="61" t="s">
        <v>2459</v>
      </c>
      <c r="T860" s="134" t="str">
        <f>IF(R860="Bogs Ponds Streams","20",IF(R860="Coastal Areas","26",IF(R860="Meadows Dry Open","10",IF(R860="Forest &amp; Understory","14",IF(R860="Moist Open","12",IF(R860="Moist Shady","10",IF(R860="Sub-Alpine Slopes","0")))))))</f>
        <v>10</v>
      </c>
      <c r="U860" s="134" t="str">
        <f>IF(R860="Bogs Ponds Streams","52",IF(R860="Coastal Areas","51",IF(R860="Meadows Dry Open","53",IF(R860="Forest &amp; Understory","52",IF(R860="Moist Open","50",IF(R860="Moist Shady","46",IF(R860="Sub-Alpine Slopes","40")))))))</f>
        <v>53</v>
      </c>
      <c r="V860" s="134" t="str">
        <f>IF(R860="Bogs Ponds Streams","84",IF(R860="Coastal Areas","76",IF(R860="Meadows Dry Open","96", IF(R860="Forest &amp; Understory","90", IF(R860="Moist Open","88", IF(R860="Moist Shady","82", IF(R860="Sub-Alpine Slopes","80")))))))</f>
        <v>96</v>
      </c>
      <c r="W860" s="67">
        <v>1</v>
      </c>
      <c r="X860" s="67">
        <v>0</v>
      </c>
      <c r="Y860" s="67">
        <v>3500</v>
      </c>
      <c r="Z860" s="67" t="s">
        <v>2519</v>
      </c>
      <c r="AA860" s="67" t="s">
        <v>2518</v>
      </c>
      <c r="AB860" s="67">
        <v>6.8</v>
      </c>
      <c r="AC860" s="85">
        <f>C860+AK860+(0.1)*AL860</f>
        <v>21.3</v>
      </c>
      <c r="AD860" s="78">
        <v>43</v>
      </c>
      <c r="AE860" s="67">
        <v>5</v>
      </c>
      <c r="AF860" s="67">
        <v>5</v>
      </c>
      <c r="AG860" s="67">
        <v>1900</v>
      </c>
      <c r="AH860" s="78">
        <v>0</v>
      </c>
      <c r="AI860" s="67">
        <f>AJ860</f>
        <v>2004</v>
      </c>
      <c r="AJ860" s="69">
        <v>2004</v>
      </c>
      <c r="AK860" s="69">
        <v>20</v>
      </c>
      <c r="AL860" s="69">
        <v>3</v>
      </c>
      <c r="AM860" s="70">
        <v>5</v>
      </c>
      <c r="AN860" s="70">
        <v>0</v>
      </c>
      <c r="AO860" s="86">
        <v>0</v>
      </c>
      <c r="AP860" s="70">
        <v>0</v>
      </c>
      <c r="AQ860" s="70">
        <v>0</v>
      </c>
      <c r="AR860" s="70">
        <v>0</v>
      </c>
      <c r="AS860" s="86">
        <v>0</v>
      </c>
      <c r="AT860" s="70">
        <v>0</v>
      </c>
      <c r="AU860" s="70">
        <v>0</v>
      </c>
      <c r="AV860" s="70">
        <v>0</v>
      </c>
      <c r="AW860" s="86">
        <v>0</v>
      </c>
      <c r="AX860" s="70">
        <v>0</v>
      </c>
      <c r="AY860" s="233"/>
      <c r="AZ860" s="4"/>
      <c r="BA860" s="35">
        <f ca="1">IF(OR(S860="North America",S860="Rocky Mountain"), "Widespread",BC860)</f>
        <v>2035.6719914438502</v>
      </c>
      <c r="BB860" s="4"/>
      <c r="BC860" s="35">
        <f ca="1">IF(BE860&gt;2046, "Abundant",BE860)</f>
        <v>2035.6719914438502</v>
      </c>
      <c r="BD860" s="4"/>
      <c r="BE860" s="81">
        <f ca="1">YEAR($C$13)+(BG860*80)</f>
        <v>2035.6719914438502</v>
      </c>
      <c r="BF860" s="4"/>
      <c r="BG860" s="137">
        <f ca="1">BH860*$BH$14</f>
        <v>0.20839989304812834</v>
      </c>
      <c r="BH860" s="137">
        <f ca="1">(((BJ860+BK860+BM860+BN860)/4)*$BM$11)+(((BP860+BQ860)/2)*$BQ$11)+(((BU860+BV860+BW860)/3)*$BU$11)+(((BY860+BZ860+CA860+CB860+CC860)/5)*$CA$11)</f>
        <v>0.20839989304812834</v>
      </c>
      <c r="BI860" s="4"/>
      <c r="BJ860" s="33">
        <f>AP860/(AM860+AO860)</f>
        <v>0</v>
      </c>
      <c r="BK860" s="33">
        <f>(AN860+AO860)/(AM860+AO860)</f>
        <v>0</v>
      </c>
      <c r="BL860" s="4"/>
      <c r="BM860" s="127">
        <f>CF860/102</f>
        <v>0.20882352941176471</v>
      </c>
      <c r="BN860" s="127">
        <f>C860/2</f>
        <v>0.5</v>
      </c>
      <c r="BO860" s="4"/>
      <c r="BP860" s="127">
        <f>(AK860)/($AW$6)</f>
        <v>0.20202020202020202</v>
      </c>
      <c r="BQ860" s="127">
        <f ca="1">(CH860-$AW$4)/((YEAR($C$13))-$AW$4)</f>
        <v>0</v>
      </c>
      <c r="BR860" s="127">
        <f>(AL860)/($AW$6)</f>
        <v>3.0303030303030304E-2</v>
      </c>
      <c r="BS860" s="4"/>
      <c r="BT860" s="127"/>
      <c r="BU860" s="127">
        <f ca="1">(CG860-$AW$4)/((YEAR($C$13))-$AW$4)</f>
        <v>0</v>
      </c>
      <c r="BV860" s="127">
        <f>AE860/5</f>
        <v>1</v>
      </c>
      <c r="BW860" s="127">
        <f>AF860/5</f>
        <v>1</v>
      </c>
      <c r="BX860" s="4"/>
      <c r="BY860" s="148" t="str">
        <f>IF(E860="A",".98",IF(E860="B",".99",IF(E860="C","1.00",IF(E860="D","1.00" ))))</f>
        <v>.98</v>
      </c>
      <c r="BZ860" s="127">
        <f>(CE860+7)/10</f>
        <v>0.8</v>
      </c>
      <c r="CA860" s="76" t="str">
        <f>IF(D860="Fern",".97",IF(D860="Grass",".99",IF(D860="Herb",".97",IF(D860="Shrub",".99",IF(D860="Tree","1.00",IF(D860="Vine",".98"))))))</f>
        <v>.97</v>
      </c>
      <c r="CB860" s="149" t="str">
        <f>IF(R860="Bogs Ponds Streams",".96", IF(R860="Coastal Areas",".97",IF(R860="Meadows Dry Open",".96",IF(R860="Forest &amp; Understory",".97",IF(R860="Moist Open",".98",IF(R860="Moist Shady",".96",IF(R860="Sub-Alpine","1.0")))))))</f>
        <v>.96</v>
      </c>
      <c r="CC860" s="76" t="str">
        <f>IF(S860="Local Endemic",".50",IF(S860="Regional Endemic",".70",IF(S860="Cascadia",".90",IF(S860="Rocky Mountain",".95",IF(S860="North America",".99")))))</f>
        <v>.90</v>
      </c>
      <c r="CD860" s="4"/>
      <c r="CE860" s="21">
        <f>IF(W860&gt;3,3,W860)</f>
        <v>1</v>
      </c>
      <c r="CF860" s="21">
        <f>IF(AC860&gt;102,102,AC860)</f>
        <v>21.3</v>
      </c>
      <c r="CG860" s="34">
        <f>IF(AI860&lt;$AW$4,$AW$4,AI860)</f>
        <v>2004</v>
      </c>
      <c r="CH860" s="34">
        <f>IF(AJ860&lt;$AW$4,$AW$4,AJ860)</f>
        <v>2004</v>
      </c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</row>
    <row r="861" spans="1:115" ht="15" customHeight="1" x14ac:dyDescent="0.3">
      <c r="A861" s="235"/>
      <c r="B861" s="218"/>
      <c r="C861" s="375">
        <v>1</v>
      </c>
      <c r="D861" s="67" t="s">
        <v>2505</v>
      </c>
      <c r="E861" s="67" t="s">
        <v>2502</v>
      </c>
      <c r="F861" s="403">
        <f ca="1">IF(BC861&lt;2025, "Extinct&lt; 6Yrs?",BA861)</f>
        <v>2035.6602267379678</v>
      </c>
      <c r="G861" s="376" t="s">
        <v>525</v>
      </c>
      <c r="H861" s="376" t="s">
        <v>4028</v>
      </c>
      <c r="I861" s="379" t="s">
        <v>594</v>
      </c>
      <c r="J861" s="378" t="s">
        <v>3488</v>
      </c>
      <c r="K861" s="378" t="s">
        <v>2821</v>
      </c>
      <c r="L861" s="64" t="s">
        <v>2137</v>
      </c>
      <c r="M861" s="64" t="s">
        <v>4930</v>
      </c>
      <c r="N861" s="64" t="s">
        <v>5829</v>
      </c>
      <c r="O861" s="64" t="s">
        <v>6728</v>
      </c>
      <c r="P861" s="61" t="s">
        <v>576</v>
      </c>
      <c r="Q861" s="67" t="s">
        <v>2552</v>
      </c>
      <c r="R861" s="61" t="s">
        <v>2500</v>
      </c>
      <c r="S861" s="61" t="s">
        <v>2459</v>
      </c>
      <c r="T861" s="134" t="str">
        <f>IF(R861="Bogs Ponds Streams","20",IF(R861="Coastal Areas","26",IF(R861="Meadows Dry Open","10",IF(R861="Forest &amp; Understory","14",IF(R861="Moist Open","12",IF(R861="Moist Shady","10",IF(R861="Sub-Alpine Slopes","0")))))))</f>
        <v>10</v>
      </c>
      <c r="U861" s="134" t="str">
        <f>IF(R861="Bogs Ponds Streams","52",IF(R861="Coastal Areas","51",IF(R861="Meadows Dry Open","53",IF(R861="Forest &amp; Understory","52",IF(R861="Moist Open","50",IF(R861="Moist Shady","46",IF(R861="Sub-Alpine Slopes","40")))))))</f>
        <v>53</v>
      </c>
      <c r="V861" s="134" t="str">
        <f>IF(R861="Bogs Ponds Streams","84",IF(R861="Coastal Areas","76",IF(R861="Meadows Dry Open","96", IF(R861="Forest &amp; Understory","90", IF(R861="Moist Open","88", IF(R861="Moist Shady","82", IF(R861="Sub-Alpine Slopes","80")))))))</f>
        <v>96</v>
      </c>
      <c r="W861" s="67">
        <v>1</v>
      </c>
      <c r="X861" s="67">
        <v>0</v>
      </c>
      <c r="Y861" s="67">
        <v>3500</v>
      </c>
      <c r="Z861" s="67" t="s">
        <v>2519</v>
      </c>
      <c r="AA861" s="67" t="s">
        <v>2518</v>
      </c>
      <c r="AB861" s="67">
        <v>6.8</v>
      </c>
      <c r="AC861" s="85">
        <f>C861+AK861+(0.1)*AL861</f>
        <v>21.2</v>
      </c>
      <c r="AD861" s="78">
        <v>44</v>
      </c>
      <c r="AE861" s="67">
        <v>5</v>
      </c>
      <c r="AF861" s="67">
        <v>5</v>
      </c>
      <c r="AG861" s="67">
        <v>1900</v>
      </c>
      <c r="AH861" s="78">
        <v>0</v>
      </c>
      <c r="AI861" s="67">
        <f>AJ861</f>
        <v>2004</v>
      </c>
      <c r="AJ861" s="69">
        <v>2004</v>
      </c>
      <c r="AK861" s="69">
        <v>20</v>
      </c>
      <c r="AL861" s="69">
        <v>2</v>
      </c>
      <c r="AM861" s="70">
        <v>5</v>
      </c>
      <c r="AN861" s="70">
        <v>0</v>
      </c>
      <c r="AO861" s="86">
        <v>0</v>
      </c>
      <c r="AP861" s="70">
        <v>0</v>
      </c>
      <c r="AQ861" s="70">
        <v>0</v>
      </c>
      <c r="AR861" s="70">
        <v>0</v>
      </c>
      <c r="AS861" s="86">
        <v>0</v>
      </c>
      <c r="AT861" s="70">
        <v>0</v>
      </c>
      <c r="AU861" s="70">
        <v>0</v>
      </c>
      <c r="AV861" s="70">
        <v>0</v>
      </c>
      <c r="AW861" s="86">
        <v>0</v>
      </c>
      <c r="AX861" s="70">
        <v>0</v>
      </c>
      <c r="AY861" s="233"/>
      <c r="AZ861" s="4"/>
      <c r="BA861" s="35">
        <f ca="1">IF(OR(S861="North America",S861="Rocky Mountain"), "Widespread",BC861)</f>
        <v>2035.6602267379678</v>
      </c>
      <c r="BB861" s="4"/>
      <c r="BC861" s="35">
        <f ca="1">IF(BE861&gt;2046, "Abundant",BE861)</f>
        <v>2035.6602267379678</v>
      </c>
      <c r="BD861" s="4"/>
      <c r="BE861" s="81">
        <f ca="1">YEAR($C$13)+(BG861*80)</f>
        <v>2035.6602267379678</v>
      </c>
      <c r="BF861" s="4"/>
      <c r="BG861" s="137">
        <f ca="1">BH861*$BH$14</f>
        <v>0.20825283422459889</v>
      </c>
      <c r="BH861" s="137">
        <f ca="1">(((BJ861+BK861+BM861+BN861)/4)*$BM$11)+(((BP861+BQ861)/2)*$BQ$11)+(((BU861+BV861+BW861)/3)*$BU$11)+(((BY861+BZ861+CA861+CB861+CC861)/5)*$CA$11)</f>
        <v>0.20825283422459889</v>
      </c>
      <c r="BI861" s="4"/>
      <c r="BJ861" s="33">
        <f>AP861/(AM861+AO861)</f>
        <v>0</v>
      </c>
      <c r="BK861" s="33">
        <f>(AN861+AO861)/(AM861+AO861)</f>
        <v>0</v>
      </c>
      <c r="BL861" s="4"/>
      <c r="BM861" s="127">
        <f>CF861/102</f>
        <v>0.20784313725490194</v>
      </c>
      <c r="BN861" s="127">
        <f>C861/2</f>
        <v>0.5</v>
      </c>
      <c r="BO861" s="4"/>
      <c r="BP861" s="127">
        <f>(AK861)/($AW$6)</f>
        <v>0.20202020202020202</v>
      </c>
      <c r="BQ861" s="127">
        <f ca="1">(CH861-$AW$4)/((YEAR($C$13))-$AW$4)</f>
        <v>0</v>
      </c>
      <c r="BR861" s="127">
        <f>(AL861)/($AW$6)</f>
        <v>2.0202020202020204E-2</v>
      </c>
      <c r="BS861" s="4"/>
      <c r="BT861" s="127"/>
      <c r="BU861" s="127">
        <f ca="1">(CG861-$AW$4)/((YEAR($C$13))-$AW$4)</f>
        <v>0</v>
      </c>
      <c r="BV861" s="127">
        <f>AE861/5</f>
        <v>1</v>
      </c>
      <c r="BW861" s="127">
        <f>AF861/5</f>
        <v>1</v>
      </c>
      <c r="BX861" s="4"/>
      <c r="BY861" s="148" t="str">
        <f>IF(E861="A",".98",IF(E861="B",".99",IF(E861="C","1.00",IF(E861="D","1.00" ))))</f>
        <v>.98</v>
      </c>
      <c r="BZ861" s="127">
        <f>(CE861+7)/10</f>
        <v>0.8</v>
      </c>
      <c r="CA861" s="76" t="str">
        <f>IF(D861="Fern",".97",IF(D861="Grass",".99",IF(D861="Herb",".97",IF(D861="Shrub",".99",IF(D861="Tree","1.00",IF(D861="Vine",".98"))))))</f>
        <v>.97</v>
      </c>
      <c r="CB861" s="149" t="str">
        <f>IF(R861="Bogs Ponds Streams",".96", IF(R861="Coastal Areas",".97",IF(R861="Meadows Dry Open",".96",IF(R861="Forest &amp; Understory",".97",IF(R861="Moist Open",".98",IF(R861="Moist Shady",".96",IF(R861="Sub-Alpine","1.0")))))))</f>
        <v>.96</v>
      </c>
      <c r="CC861" s="76" t="str">
        <f>IF(S861="Local Endemic",".50",IF(S861="Regional Endemic",".70",IF(S861="Cascadia",".90",IF(S861="Rocky Mountain",".95",IF(S861="North America",".99")))))</f>
        <v>.90</v>
      </c>
      <c r="CD861" s="4"/>
      <c r="CE861" s="21">
        <f>IF(W861&gt;3,3,W861)</f>
        <v>1</v>
      </c>
      <c r="CF861" s="21">
        <f>IF(AC861&gt;102,102,AC861)</f>
        <v>21.2</v>
      </c>
      <c r="CG861" s="34">
        <f>IF(AI861&lt;$AW$4,$AW$4,AI861)</f>
        <v>2004</v>
      </c>
      <c r="CH861" s="34">
        <f>IF(AJ861&lt;$AW$4,$AW$4,AJ861)</f>
        <v>2004</v>
      </c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</row>
    <row r="862" spans="1:115" ht="15" customHeight="1" x14ac:dyDescent="0.3">
      <c r="A862" s="235"/>
      <c r="B862" s="218"/>
      <c r="C862" s="375">
        <v>1</v>
      </c>
      <c r="D862" s="67" t="s">
        <v>2505</v>
      </c>
      <c r="E862" s="67" t="s">
        <v>2502</v>
      </c>
      <c r="F862" s="403" t="str">
        <f ca="1">IF(BC862&lt;2025, "Extinct&lt; 6Yrs?",BA862)</f>
        <v>Widespread</v>
      </c>
      <c r="G862" s="376" t="s">
        <v>525</v>
      </c>
      <c r="H862" s="376" t="s">
        <v>4028</v>
      </c>
      <c r="I862" s="379" t="s">
        <v>596</v>
      </c>
      <c r="J862" s="378" t="s">
        <v>3487</v>
      </c>
      <c r="K862" s="378" t="s">
        <v>595</v>
      </c>
      <c r="L862" s="64" t="s">
        <v>2136</v>
      </c>
      <c r="M862" s="64" t="s">
        <v>4931</v>
      </c>
      <c r="N862" s="64" t="s">
        <v>5830</v>
      </c>
      <c r="O862" s="64" t="s">
        <v>6729</v>
      </c>
      <c r="P862" s="61" t="s">
        <v>576</v>
      </c>
      <c r="Q862" s="67" t="s">
        <v>2552</v>
      </c>
      <c r="R862" s="61" t="s">
        <v>2500</v>
      </c>
      <c r="S862" s="61" t="s">
        <v>2479</v>
      </c>
      <c r="T862" s="134" t="str">
        <f>IF(R862="Bogs Ponds Streams","20",IF(R862="Coastal Areas","26",IF(R862="Meadows Dry Open","10",IF(R862="Forest &amp; Understory","14",IF(R862="Moist Open","12",IF(R862="Moist Shady","10",IF(R862="Sub-Alpine Slopes","0")))))))</f>
        <v>10</v>
      </c>
      <c r="U862" s="134" t="str">
        <f>IF(R862="Bogs Ponds Streams","52",IF(R862="Coastal Areas","51",IF(R862="Meadows Dry Open","53",IF(R862="Forest &amp; Understory","52",IF(R862="Moist Open","50",IF(R862="Moist Shady","46",IF(R862="Sub-Alpine Slopes","40")))))))</f>
        <v>53</v>
      </c>
      <c r="V862" s="134" t="str">
        <f>IF(R862="Bogs Ponds Streams","84",IF(R862="Coastal Areas","76",IF(R862="Meadows Dry Open","96", IF(R862="Forest &amp; Understory","90", IF(R862="Moist Open","88", IF(R862="Moist Shady","82", IF(R862="Sub-Alpine Slopes","80")))))))</f>
        <v>96</v>
      </c>
      <c r="W862" s="67">
        <v>1</v>
      </c>
      <c r="X862" s="67">
        <v>0</v>
      </c>
      <c r="Y862" s="67">
        <v>3500</v>
      </c>
      <c r="Z862" s="67" t="s">
        <v>2519</v>
      </c>
      <c r="AA862" s="67" t="s">
        <v>2518</v>
      </c>
      <c r="AB862" s="67">
        <v>6.8</v>
      </c>
      <c r="AC862" s="85">
        <f>C862+AK862+(0.1)*AL862</f>
        <v>22.5</v>
      </c>
      <c r="AD862" s="78">
        <v>92</v>
      </c>
      <c r="AE862" s="67">
        <v>5</v>
      </c>
      <c r="AF862" s="67">
        <v>5</v>
      </c>
      <c r="AG862" s="67">
        <v>1900</v>
      </c>
      <c r="AH862" s="78">
        <v>0</v>
      </c>
      <c r="AI862" s="67">
        <f>AJ862</f>
        <v>2004</v>
      </c>
      <c r="AJ862" s="69">
        <v>2004</v>
      </c>
      <c r="AK862" s="69">
        <v>20</v>
      </c>
      <c r="AL862" s="69">
        <v>15</v>
      </c>
      <c r="AM862" s="70">
        <v>5</v>
      </c>
      <c r="AN862" s="70">
        <v>0</v>
      </c>
      <c r="AO862" s="86">
        <v>0</v>
      </c>
      <c r="AP862" s="70">
        <v>0</v>
      </c>
      <c r="AQ862" s="70">
        <v>0</v>
      </c>
      <c r="AR862" s="70">
        <v>0</v>
      </c>
      <c r="AS862" s="86">
        <v>0</v>
      </c>
      <c r="AT862" s="70">
        <v>0</v>
      </c>
      <c r="AU862" s="70">
        <v>0</v>
      </c>
      <c r="AV862" s="70">
        <v>0</v>
      </c>
      <c r="AW862" s="86">
        <v>0</v>
      </c>
      <c r="AX862" s="70">
        <v>0</v>
      </c>
      <c r="AY862" s="233"/>
      <c r="AZ862" s="4"/>
      <c r="BA862" s="35" t="str">
        <f>IF(OR(S862="North America",S862="Rocky Mountain"), "Widespread",BC862)</f>
        <v>Widespread</v>
      </c>
      <c r="BB862" s="4"/>
      <c r="BC862" s="35">
        <f ca="1">IF(BE862&gt;2046, "Abundant",BE862)</f>
        <v>2035.8291679144386</v>
      </c>
      <c r="BD862" s="4"/>
      <c r="BE862" s="81">
        <f ca="1">YEAR($C$13)+(BG862*80)</f>
        <v>2035.8291679144386</v>
      </c>
      <c r="BF862" s="4"/>
      <c r="BG862" s="137">
        <f ca="1">BH862*$BH$14</f>
        <v>0.21036459893048126</v>
      </c>
      <c r="BH862" s="137">
        <f ca="1">(((BJ862+BK862+BM862+BN862)/4)*$BM$11)+(((BP862+BQ862)/2)*$BQ$11)+(((BU862+BV862+BW862)/3)*$BU$11)+(((BY862+BZ862+CA862+CB862+CC862)/5)*$CA$11)</f>
        <v>0.21036459893048126</v>
      </c>
      <c r="BI862" s="4"/>
      <c r="BJ862" s="33">
        <f>AP862/(AM862+AO862)</f>
        <v>0</v>
      </c>
      <c r="BK862" s="33">
        <f>(AN862+AO862)/(AM862+AO862)</f>
        <v>0</v>
      </c>
      <c r="BL862" s="4"/>
      <c r="BM862" s="127">
        <f>CF862/102</f>
        <v>0.22058823529411764</v>
      </c>
      <c r="BN862" s="127">
        <f>C862/2</f>
        <v>0.5</v>
      </c>
      <c r="BO862" s="4"/>
      <c r="BP862" s="127">
        <f>(AK862)/($AW$6)</f>
        <v>0.20202020202020202</v>
      </c>
      <c r="BQ862" s="127">
        <f ca="1">(CH862-$AW$4)/((YEAR($C$13))-$AW$4)</f>
        <v>0</v>
      </c>
      <c r="BR862" s="127">
        <f>(AL862)/($AW$6)</f>
        <v>0.15151515151515152</v>
      </c>
      <c r="BS862" s="4"/>
      <c r="BT862" s="127"/>
      <c r="BU862" s="127">
        <f ca="1">(CG862-$AW$4)/((YEAR($C$13))-$AW$4)</f>
        <v>0</v>
      </c>
      <c r="BV862" s="127">
        <f>AE862/5</f>
        <v>1</v>
      </c>
      <c r="BW862" s="127">
        <f>AF862/5</f>
        <v>1</v>
      </c>
      <c r="BX862" s="4"/>
      <c r="BY862" s="148" t="str">
        <f>IF(E862="A",".98",IF(E862="B",".99",IF(E862="C","1.00",IF(E862="D","1.00" ))))</f>
        <v>.98</v>
      </c>
      <c r="BZ862" s="127">
        <f>(CE862+7)/10</f>
        <v>0.8</v>
      </c>
      <c r="CA862" s="76" t="str">
        <f>IF(D862="Fern",".97",IF(D862="Grass",".99",IF(D862="Herb",".97",IF(D862="Shrub",".99",IF(D862="Tree","1.00",IF(D862="Vine",".98"))))))</f>
        <v>.97</v>
      </c>
      <c r="CB862" s="149" t="str">
        <f>IF(R862="Bogs Ponds Streams",".96", IF(R862="Coastal Areas",".97",IF(R862="Meadows Dry Open",".96",IF(R862="Forest &amp; Understory",".97",IF(R862="Moist Open",".98",IF(R862="Moist Shady",".96",IF(R862="Sub-Alpine","1.0")))))))</f>
        <v>.96</v>
      </c>
      <c r="CC862" s="76" t="str">
        <f>IF(S862="Local Endemic",".50",IF(S862="Regional Endemic",".70",IF(S862="Cascadia",".90",IF(S862="Rocky Mountain",".95",IF(S862="North America",".99")))))</f>
        <v>.95</v>
      </c>
      <c r="CD862" s="4"/>
      <c r="CE862" s="21">
        <f>IF(W862&gt;3,3,W862)</f>
        <v>1</v>
      </c>
      <c r="CF862" s="21">
        <f>IF(AC862&gt;102,102,AC862)</f>
        <v>22.5</v>
      </c>
      <c r="CG862" s="34">
        <f>IF(AI862&lt;$AW$4,$AW$4,AI862)</f>
        <v>2004</v>
      </c>
      <c r="CH862" s="34">
        <f>IF(AJ862&lt;$AW$4,$AW$4,AJ862)</f>
        <v>2004</v>
      </c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</row>
    <row r="863" spans="1:115" ht="15" customHeight="1" x14ac:dyDescent="0.3">
      <c r="A863" s="235"/>
      <c r="B863" s="218"/>
      <c r="C863" s="375">
        <v>1</v>
      </c>
      <c r="D863" s="67" t="s">
        <v>2505</v>
      </c>
      <c r="E863" s="67" t="s">
        <v>2502</v>
      </c>
      <c r="F863" s="403">
        <f ca="1">IF(BC863&lt;2025, "Extinct&lt; 6Yrs?",BA863)</f>
        <v>2035.6366973262031</v>
      </c>
      <c r="G863" s="376" t="s">
        <v>525</v>
      </c>
      <c r="H863" s="376" t="s">
        <v>4028</v>
      </c>
      <c r="I863" s="379" t="s">
        <v>591</v>
      </c>
      <c r="J863" s="378" t="s">
        <v>3486</v>
      </c>
      <c r="K863" s="378" t="s">
        <v>590</v>
      </c>
      <c r="L863" s="64" t="s">
        <v>2135</v>
      </c>
      <c r="M863" s="64" t="s">
        <v>4932</v>
      </c>
      <c r="N863" s="64" t="s">
        <v>5831</v>
      </c>
      <c r="O863" s="64" t="s">
        <v>6730</v>
      </c>
      <c r="P863" s="61" t="s">
        <v>576</v>
      </c>
      <c r="Q863" s="67" t="s">
        <v>2552</v>
      </c>
      <c r="R863" s="61" t="s">
        <v>2500</v>
      </c>
      <c r="S863" s="61" t="s">
        <v>2459</v>
      </c>
      <c r="T863" s="134" t="str">
        <f>IF(R863="Bogs Ponds Streams","20",IF(R863="Coastal Areas","26",IF(R863="Meadows Dry Open","10",IF(R863="Forest &amp; Understory","14",IF(R863="Moist Open","12",IF(R863="Moist Shady","10",IF(R863="Sub-Alpine Slopes","0")))))))</f>
        <v>10</v>
      </c>
      <c r="U863" s="134" t="str">
        <f>IF(R863="Bogs Ponds Streams","52",IF(R863="Coastal Areas","51",IF(R863="Meadows Dry Open","53",IF(R863="Forest &amp; Understory","52",IF(R863="Moist Open","50",IF(R863="Moist Shady","46",IF(R863="Sub-Alpine Slopes","40")))))))</f>
        <v>53</v>
      </c>
      <c r="V863" s="134" t="str">
        <f>IF(R863="Bogs Ponds Streams","84",IF(R863="Coastal Areas","76",IF(R863="Meadows Dry Open","96", IF(R863="Forest &amp; Understory","90", IF(R863="Moist Open","88", IF(R863="Moist Shady","82", IF(R863="Sub-Alpine Slopes","80")))))))</f>
        <v>96</v>
      </c>
      <c r="W863" s="67">
        <v>1</v>
      </c>
      <c r="X863" s="67">
        <v>0</v>
      </c>
      <c r="Y863" s="67">
        <v>3500</v>
      </c>
      <c r="Z863" s="67" t="s">
        <v>2519</v>
      </c>
      <c r="AA863" s="67" t="s">
        <v>2518</v>
      </c>
      <c r="AB863" s="67">
        <v>6.8</v>
      </c>
      <c r="AC863" s="85">
        <f>C863+AK863+(0.1)*AL863</f>
        <v>21</v>
      </c>
      <c r="AD863" s="78">
        <v>132</v>
      </c>
      <c r="AE863" s="67">
        <v>5</v>
      </c>
      <c r="AF863" s="67">
        <v>5</v>
      </c>
      <c r="AG863" s="67">
        <v>1900</v>
      </c>
      <c r="AH863" s="78">
        <v>0</v>
      </c>
      <c r="AI863" s="67">
        <f>AJ863</f>
        <v>2004</v>
      </c>
      <c r="AJ863" s="69">
        <v>2004</v>
      </c>
      <c r="AK863" s="69">
        <v>20</v>
      </c>
      <c r="AL863" s="69">
        <v>0</v>
      </c>
      <c r="AM863" s="70">
        <v>5</v>
      </c>
      <c r="AN863" s="70">
        <v>0</v>
      </c>
      <c r="AO863" s="86">
        <v>0</v>
      </c>
      <c r="AP863" s="70">
        <v>0</v>
      </c>
      <c r="AQ863" s="70">
        <v>0</v>
      </c>
      <c r="AR863" s="70">
        <v>0</v>
      </c>
      <c r="AS863" s="86">
        <v>0</v>
      </c>
      <c r="AT863" s="70">
        <v>0</v>
      </c>
      <c r="AU863" s="70">
        <v>0</v>
      </c>
      <c r="AV863" s="70">
        <v>0</v>
      </c>
      <c r="AW863" s="86">
        <v>0</v>
      </c>
      <c r="AX863" s="70">
        <v>0</v>
      </c>
      <c r="AY863" s="233"/>
      <c r="AZ863" s="4"/>
      <c r="BA863" s="35">
        <f ca="1">IF(OR(S863="North America",S863="Rocky Mountain"), "Widespread",BC863)</f>
        <v>2035.6366973262031</v>
      </c>
      <c r="BB863" s="4"/>
      <c r="BC863" s="35">
        <f ca="1">IF(BE863&gt;2046, "Abundant",BE863)</f>
        <v>2035.6366973262031</v>
      </c>
      <c r="BD863" s="4"/>
      <c r="BE863" s="81">
        <f ca="1">YEAR($C$13)+(BG863*80)</f>
        <v>2035.6366973262031</v>
      </c>
      <c r="BF863" s="4"/>
      <c r="BG863" s="137">
        <f ca="1">BH863*$BH$14</f>
        <v>0.20795871657754011</v>
      </c>
      <c r="BH863" s="137">
        <f ca="1">(((BJ863+BK863+BM863+BN863)/4)*$BM$11)+(((BP863+BQ863)/2)*$BQ$11)+(((BU863+BV863+BW863)/3)*$BU$11)+(((BY863+BZ863+CA863+CB863+CC863)/5)*$CA$11)</f>
        <v>0.20795871657754011</v>
      </c>
      <c r="BI863" s="4"/>
      <c r="BJ863" s="33">
        <f>AP863/(AM863+AO863)</f>
        <v>0</v>
      </c>
      <c r="BK863" s="33">
        <f>(AN863+AO863)/(AM863+AO863)</f>
        <v>0</v>
      </c>
      <c r="BL863" s="4"/>
      <c r="BM863" s="127">
        <f>CF863/102</f>
        <v>0.20588235294117646</v>
      </c>
      <c r="BN863" s="127">
        <f>C863/2</f>
        <v>0.5</v>
      </c>
      <c r="BO863" s="4"/>
      <c r="BP863" s="127">
        <f>(AK863)/($AW$6)</f>
        <v>0.20202020202020202</v>
      </c>
      <c r="BQ863" s="127">
        <f ca="1">(CH863-$AW$4)/((YEAR($C$13))-$AW$4)</f>
        <v>0</v>
      </c>
      <c r="BR863" s="127">
        <f>(AL863)/($AW$6)</f>
        <v>0</v>
      </c>
      <c r="BS863" s="4"/>
      <c r="BT863" s="127"/>
      <c r="BU863" s="127">
        <f ca="1">(CG863-$AW$4)/((YEAR($C$13))-$AW$4)</f>
        <v>0</v>
      </c>
      <c r="BV863" s="127">
        <f>AE863/5</f>
        <v>1</v>
      </c>
      <c r="BW863" s="127">
        <f>AF863/5</f>
        <v>1</v>
      </c>
      <c r="BX863" s="4"/>
      <c r="BY863" s="148" t="str">
        <f>IF(E863="A",".98",IF(E863="B",".99",IF(E863="C","1.00",IF(E863="D","1.00" ))))</f>
        <v>.98</v>
      </c>
      <c r="BZ863" s="127">
        <f>(CE863+7)/10</f>
        <v>0.8</v>
      </c>
      <c r="CA863" s="76" t="str">
        <f>IF(D863="Fern",".97",IF(D863="Grass",".99",IF(D863="Herb",".97",IF(D863="Shrub",".99",IF(D863="Tree","1.00",IF(D863="Vine",".98"))))))</f>
        <v>.97</v>
      </c>
      <c r="CB863" s="149" t="str">
        <f>IF(R863="Bogs Ponds Streams",".96", IF(R863="Coastal Areas",".97",IF(R863="Meadows Dry Open",".96",IF(R863="Forest &amp; Understory",".97",IF(R863="Moist Open",".98",IF(R863="Moist Shady",".96",IF(R863="Sub-Alpine","1.0")))))))</f>
        <v>.96</v>
      </c>
      <c r="CC863" s="76" t="str">
        <f>IF(S863="Local Endemic",".50",IF(S863="Regional Endemic",".70",IF(S863="Cascadia",".90",IF(S863="Rocky Mountain",".95",IF(S863="North America",".99")))))</f>
        <v>.90</v>
      </c>
      <c r="CD863" s="4"/>
      <c r="CE863" s="21">
        <f>IF(W863&gt;3,3,W863)</f>
        <v>1</v>
      </c>
      <c r="CF863" s="21">
        <f>IF(AC863&gt;102,102,AC863)</f>
        <v>21</v>
      </c>
      <c r="CG863" s="34">
        <f>IF(AI863&lt;$AW$4,$AW$4,AI863)</f>
        <v>2004</v>
      </c>
      <c r="CH863" s="34">
        <f>IF(AJ863&lt;$AW$4,$AW$4,AJ863)</f>
        <v>2004</v>
      </c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</row>
    <row r="864" spans="1:115" ht="15" customHeight="1" x14ac:dyDescent="0.3">
      <c r="A864" s="235"/>
      <c r="B864" s="218"/>
      <c r="C864" s="226">
        <v>2</v>
      </c>
      <c r="D864" s="104" t="s">
        <v>2505</v>
      </c>
      <c r="E864" s="104" t="s">
        <v>2501</v>
      </c>
      <c r="F864" s="400" t="str">
        <f ca="1">IF(BC864&lt;2025, "Extinct&lt; 6Yrs?",BA864)</f>
        <v>Widespread</v>
      </c>
      <c r="G864" s="369" t="s">
        <v>525</v>
      </c>
      <c r="H864" s="369" t="s">
        <v>4028</v>
      </c>
      <c r="I864" s="372" t="s">
        <v>597</v>
      </c>
      <c r="J864" s="371" t="s">
        <v>3687</v>
      </c>
      <c r="K864" s="371" t="s">
        <v>802</v>
      </c>
      <c r="L864" s="111" t="s">
        <v>2134</v>
      </c>
      <c r="M864" s="111" t="s">
        <v>4933</v>
      </c>
      <c r="N864" s="111" t="s">
        <v>5832</v>
      </c>
      <c r="O864" s="111" t="s">
        <v>6731</v>
      </c>
      <c r="P864" s="105" t="s">
        <v>576</v>
      </c>
      <c r="Q864" s="104" t="s">
        <v>2552</v>
      </c>
      <c r="R864" s="105" t="s">
        <v>2453</v>
      </c>
      <c r="S864" s="105" t="s">
        <v>2479</v>
      </c>
      <c r="T864" s="133" t="str">
        <f>IF(R864="Bogs Ponds Streams","20",IF(R864="Coastal Areas","26",IF(R864="Meadows Dry Open","10",IF(R864="Forest &amp; Understory","14",IF(R864="Moist Open","12",IF(R864="Moist Shady","10",IF(R864="Sub-Alpine Slopes","0")))))))</f>
        <v>26</v>
      </c>
      <c r="U864" s="133" t="str">
        <f>IF(R864="Bogs Ponds Streams","52",IF(R864="Coastal Areas","51",IF(R864="Meadows Dry Open","53",IF(R864="Forest &amp; Understory","52",IF(R864="Moist Open","50",IF(R864="Moist Shady","46",IF(R864="Sub-Alpine Slopes","40")))))))</f>
        <v>51</v>
      </c>
      <c r="V864" s="133" t="str">
        <f>IF(R864="Bogs Ponds Streams","84",IF(R864="Coastal Areas","76",IF(R864="Meadows Dry Open","96", IF(R864="Forest &amp; Understory","90", IF(R864="Moist Open","88", IF(R864="Moist Shady","82", IF(R864="Sub-Alpine Slopes","80")))))))</f>
        <v>76</v>
      </c>
      <c r="W864" s="104">
        <v>20</v>
      </c>
      <c r="X864" s="104">
        <v>0</v>
      </c>
      <c r="Y864" s="104">
        <v>3500</v>
      </c>
      <c r="Z864" s="104" t="s">
        <v>2519</v>
      </c>
      <c r="AA864" s="104" t="s">
        <v>2518</v>
      </c>
      <c r="AB864" s="104">
        <v>6.8</v>
      </c>
      <c r="AC864" s="107">
        <f>C864+AK864+(0.1)*AL864</f>
        <v>22.4</v>
      </c>
      <c r="AD864" s="113">
        <v>49</v>
      </c>
      <c r="AE864" s="104">
        <v>5</v>
      </c>
      <c r="AF864" s="104">
        <v>5</v>
      </c>
      <c r="AG864" s="104">
        <v>1900</v>
      </c>
      <c r="AH864" s="113">
        <v>0</v>
      </c>
      <c r="AI864" s="104">
        <f>AJ864</f>
        <v>2004</v>
      </c>
      <c r="AJ864" s="108">
        <v>2004</v>
      </c>
      <c r="AK864" s="108">
        <v>20</v>
      </c>
      <c r="AL864" s="108">
        <v>4</v>
      </c>
      <c r="AM864" s="109">
        <v>5</v>
      </c>
      <c r="AN864" s="109">
        <v>1</v>
      </c>
      <c r="AO864" s="110">
        <v>0</v>
      </c>
      <c r="AP864" s="109">
        <v>0</v>
      </c>
      <c r="AQ864" s="109">
        <v>0</v>
      </c>
      <c r="AR864" s="109">
        <v>0</v>
      </c>
      <c r="AS864" s="110">
        <v>0</v>
      </c>
      <c r="AT864" s="109">
        <v>0</v>
      </c>
      <c r="AU864" s="109">
        <v>0</v>
      </c>
      <c r="AV864" s="109">
        <v>0</v>
      </c>
      <c r="AW864" s="110">
        <v>0</v>
      </c>
      <c r="AX864" s="109">
        <v>0</v>
      </c>
      <c r="AY864" s="233"/>
      <c r="AZ864" s="4"/>
      <c r="BA864" s="35" t="str">
        <f>IF(OR(S864="North America",S864="Rocky Mountain"), "Widespread",BC864)</f>
        <v>Widespread</v>
      </c>
      <c r="BB864" s="4"/>
      <c r="BC864" s="35">
        <f ca="1">IF(BE864&gt;2046, "Abundant",BE864)</f>
        <v>2044.291003208556</v>
      </c>
      <c r="BD864" s="4"/>
      <c r="BE864" s="81">
        <f ca="1">YEAR($C$13)+(BG864*80)</f>
        <v>2044.291003208556</v>
      </c>
      <c r="BF864" s="4"/>
      <c r="BG864" s="137">
        <f ca="1">BH864*$BH$14</f>
        <v>0.31613754010695189</v>
      </c>
      <c r="BH864" s="137">
        <f ca="1">(((BJ864+BK864+BM864+BN864)/4)*$BM$11)+(((BP864+BQ864)/2)*$BQ$11)+(((BU864+BV864+BW864)/3)*$BU$11)+(((BY864+BZ864+CA864+CB864+CC864)/5)*$CA$11)</f>
        <v>0.31613754010695189</v>
      </c>
      <c r="BI864" s="4"/>
      <c r="BJ864" s="33">
        <f>AP864/(AM864+AO864)</f>
        <v>0</v>
      </c>
      <c r="BK864" s="33">
        <f>(AN864+AO864)/(AM864+AO864)</f>
        <v>0.2</v>
      </c>
      <c r="BL864" s="4"/>
      <c r="BM864" s="127">
        <f>CF864/102</f>
        <v>0.2196078431372549</v>
      </c>
      <c r="BN864" s="127">
        <f>C864/2</f>
        <v>1</v>
      </c>
      <c r="BO864" s="4"/>
      <c r="BP864" s="127">
        <f>(AK864)/($AW$6)</f>
        <v>0.20202020202020202</v>
      </c>
      <c r="BQ864" s="127">
        <f ca="1">(CH864-$AW$4)/((YEAR($C$13))-$AW$4)</f>
        <v>0</v>
      </c>
      <c r="BR864" s="127">
        <f>(AL864)/($AW$6)</f>
        <v>4.0404040404040407E-2</v>
      </c>
      <c r="BS864" s="4"/>
      <c r="BT864" s="127"/>
      <c r="BU864" s="127">
        <f ca="1">(CG864-$AW$4)/((YEAR($C$13))-$AW$4)</f>
        <v>0</v>
      </c>
      <c r="BV864" s="127">
        <f>AE864/5</f>
        <v>1</v>
      </c>
      <c r="BW864" s="127">
        <f>AF864/5</f>
        <v>1</v>
      </c>
      <c r="BX864" s="4"/>
      <c r="BY864" s="148" t="str">
        <f>IF(E864="A",".98",IF(E864="B",".99",IF(E864="C","1.00",IF(E864="D","1.00" ))))</f>
        <v>1.00</v>
      </c>
      <c r="BZ864" s="127">
        <f>(CE864+7)/10</f>
        <v>1</v>
      </c>
      <c r="CA864" s="76" t="str">
        <f>IF(D864="Fern",".97",IF(D864="Grass",".99",IF(D864="Herb",".97",IF(D864="Shrub",".99",IF(D864="Tree","1.00",IF(D864="Vine",".98"))))))</f>
        <v>.97</v>
      </c>
      <c r="CB864" s="149" t="str">
        <f>IF(R864="Bogs Ponds Streams",".96", IF(R864="Coastal Areas",".97",IF(R864="Meadows Dry Open",".96",IF(R864="Forest &amp; Understory",".97",IF(R864="Moist Open",".98",IF(R864="Moist Shady",".96",IF(R864="Sub-Alpine","1.0")))))))</f>
        <v>.97</v>
      </c>
      <c r="CC864" s="76" t="str">
        <f>IF(S864="Local Endemic",".50",IF(S864="Regional Endemic",".70",IF(S864="Cascadia",".90",IF(S864="Rocky Mountain",".95",IF(S864="North America",".99")))))</f>
        <v>.95</v>
      </c>
      <c r="CD864" s="4"/>
      <c r="CE864" s="21">
        <f>IF(W864&gt;3,3,W864)</f>
        <v>3</v>
      </c>
      <c r="CF864" s="21">
        <f>IF(AC864&gt;102,102,AC864)</f>
        <v>22.4</v>
      </c>
      <c r="CG864" s="34">
        <f>IF(AI864&lt;$AW$4,$AW$4,AI864)</f>
        <v>2004</v>
      </c>
      <c r="CH864" s="34">
        <f>IF(AJ864&lt;$AW$4,$AW$4,AJ864)</f>
        <v>2004</v>
      </c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</row>
    <row r="865" spans="1:115" ht="15" customHeight="1" x14ac:dyDescent="0.3">
      <c r="A865" s="235"/>
      <c r="B865" s="218"/>
      <c r="C865" s="225">
        <v>8</v>
      </c>
      <c r="D865" s="96" t="s">
        <v>2505</v>
      </c>
      <c r="E865" s="59" t="s">
        <v>2501</v>
      </c>
      <c r="F865" s="397" t="str">
        <f ca="1">IF(BC865&lt;2025, "Extinct&lt; 6Yrs?",BA865)</f>
        <v>Widespread</v>
      </c>
      <c r="G865" s="363" t="s">
        <v>525</v>
      </c>
      <c r="H865" s="363" t="s">
        <v>683</v>
      </c>
      <c r="I865" s="364" t="s">
        <v>430</v>
      </c>
      <c r="J865" s="365" t="s">
        <v>2822</v>
      </c>
      <c r="K865" s="365" t="s">
        <v>342</v>
      </c>
      <c r="L865" s="8" t="s">
        <v>2112</v>
      </c>
      <c r="M865" s="8" t="s">
        <v>4935</v>
      </c>
      <c r="N865" s="8" t="s">
        <v>5833</v>
      </c>
      <c r="O865" s="8" t="s">
        <v>6732</v>
      </c>
      <c r="P865" s="9" t="s">
        <v>431</v>
      </c>
      <c r="Q865" s="59" t="s">
        <v>2552</v>
      </c>
      <c r="R865" s="9" t="s">
        <v>2499</v>
      </c>
      <c r="S865" s="9" t="s">
        <v>2495</v>
      </c>
      <c r="T865" s="123" t="str">
        <f>IF(R865="Bogs Ponds Streams","20",IF(R865="Coastal Areas","26",IF(R865="Meadows Dry Open","10",IF(R865="Forest &amp; Understory","14",IF(R865="Moist Open","12",IF(R865="Moist Shady","10",IF(R865="Sub-Alpine Slopes","0")))))))</f>
        <v>20</v>
      </c>
      <c r="U865" s="123" t="str">
        <f>IF(R865="Bogs Ponds Streams","52",IF(R865="Coastal Areas","51",IF(R865="Meadows Dry Open","53",IF(R865="Forest &amp; Understory","52",IF(R865="Moist Open","50",IF(R865="Moist Shady","46",IF(R865="Sub-Alpine Slopes","40")))))))</f>
        <v>52</v>
      </c>
      <c r="V865" s="123" t="str">
        <f>IF(R865="Bogs Ponds Streams","84",IF(R865="Coastal Areas","76",IF(R865="Meadows Dry Open","96", IF(R865="Forest &amp; Understory","90", IF(R865="Moist Open","88", IF(R865="Moist Shady","82", IF(R865="Sub-Alpine Slopes","80")))))))</f>
        <v>84</v>
      </c>
      <c r="W865" s="59">
        <v>20</v>
      </c>
      <c r="X865" s="59">
        <v>0</v>
      </c>
      <c r="Y865" s="59">
        <v>3500</v>
      </c>
      <c r="Z865" s="59" t="s">
        <v>2519</v>
      </c>
      <c r="AA865" s="59" t="s">
        <v>2518</v>
      </c>
      <c r="AB865" s="59">
        <v>6.8</v>
      </c>
      <c r="AC865" s="45">
        <f>C865+AK865+(0.1)*AL865</f>
        <v>34</v>
      </c>
      <c r="AD865" s="77">
        <v>121</v>
      </c>
      <c r="AE865" s="59">
        <v>5</v>
      </c>
      <c r="AF865" s="59">
        <v>5</v>
      </c>
      <c r="AG865" s="59">
        <v>1900</v>
      </c>
      <c r="AH865" s="77">
        <v>0</v>
      </c>
      <c r="AI865" s="59">
        <f>AJ865</f>
        <v>2004</v>
      </c>
      <c r="AJ865" s="18">
        <v>2004</v>
      </c>
      <c r="AK865" s="18">
        <v>25</v>
      </c>
      <c r="AL865" s="18">
        <v>10</v>
      </c>
      <c r="AM865" s="18">
        <v>1</v>
      </c>
      <c r="AN865" s="18">
        <v>1</v>
      </c>
      <c r="AO865" s="25">
        <v>0</v>
      </c>
      <c r="AP865" s="24">
        <v>0</v>
      </c>
      <c r="AQ865" s="18">
        <v>0</v>
      </c>
      <c r="AR865" s="18">
        <v>0</v>
      </c>
      <c r="AS865" s="18">
        <v>0</v>
      </c>
      <c r="AT865" s="18">
        <v>0</v>
      </c>
      <c r="AU865" s="18">
        <v>0</v>
      </c>
      <c r="AV865" s="18">
        <v>0</v>
      </c>
      <c r="AW865" s="18">
        <v>0</v>
      </c>
      <c r="AX865" s="18">
        <v>0</v>
      </c>
      <c r="AY865" s="233"/>
      <c r="AZ865" s="4"/>
      <c r="BA865" s="35" t="str">
        <f>IF(OR(S865="North America",S865="Rocky Mountain"), "Widespread",BC865)</f>
        <v>Widespread</v>
      </c>
      <c r="BB865" s="4"/>
      <c r="BC865" s="35" t="str">
        <f ca="1">IF(BE865&gt;2046, "Abundant",BE865)</f>
        <v>Abundant</v>
      </c>
      <c r="BD865" s="4"/>
      <c r="BE865" s="81">
        <f ca="1">YEAR($C$13)+(BG865*80)</f>
        <v>2091.8713696969699</v>
      </c>
      <c r="BF865" s="4"/>
      <c r="BG865" s="137">
        <f ca="1">BH865*$BH$14</f>
        <v>0.91089212121212115</v>
      </c>
      <c r="BH865" s="137">
        <f ca="1">(((BJ865+BK865+BM865+BN865)/4)*$BM$11)+(((BP865+BQ865)/2)*$BQ$11)+(((BU865+BV865+BW865)/3)*$BU$11)+(((BY865+BZ865+CA865+CB865+CC865)/5)*$CA$11)</f>
        <v>0.91089212121212115</v>
      </c>
      <c r="BI865" s="4"/>
      <c r="BJ865" s="33">
        <f>AP865/(AM865+AO865)</f>
        <v>0</v>
      </c>
      <c r="BK865" s="33">
        <f>(AN865+AO865)/(AM865+AO865)</f>
        <v>1</v>
      </c>
      <c r="BL865" s="4"/>
      <c r="BM865" s="127">
        <f>CF865/102</f>
        <v>0.33333333333333331</v>
      </c>
      <c r="BN865" s="127">
        <f>C865/2</f>
        <v>4</v>
      </c>
      <c r="BO865" s="4"/>
      <c r="BP865" s="127">
        <f>(AK865)/($AW$6)</f>
        <v>0.25252525252525254</v>
      </c>
      <c r="BQ865" s="127">
        <f ca="1">(CH865-$AW$4)/((YEAR($C$13))-$AW$4)</f>
        <v>0</v>
      </c>
      <c r="BR865" s="127">
        <f>(AL865)/($AW$6)</f>
        <v>0.10101010101010101</v>
      </c>
      <c r="BS865" s="4"/>
      <c r="BT865" s="127"/>
      <c r="BU865" s="127">
        <f ca="1">(CG865-$AW$4)/((YEAR($C$13))-$AW$4)</f>
        <v>0</v>
      </c>
      <c r="BV865" s="127">
        <f>AE865/5</f>
        <v>1</v>
      </c>
      <c r="BW865" s="127">
        <f>AF865/5</f>
        <v>1</v>
      </c>
      <c r="BX865" s="4"/>
      <c r="BY865" s="148" t="str">
        <f>IF(E865="A",".98",IF(E865="B",".99",IF(E865="C","1.00",IF(E865="D","1.00" ))))</f>
        <v>1.00</v>
      </c>
      <c r="BZ865" s="127">
        <f>(CE865+7)/10</f>
        <v>1</v>
      </c>
      <c r="CA865" s="76" t="str">
        <f>IF(D865="Fern",".97",IF(D865="Grass",".99",IF(D865="Herb",".97",IF(D865="Shrub",".99",IF(D865="Tree","1.00",IF(D865="Vine",".98"))))))</f>
        <v>.97</v>
      </c>
      <c r="CB865" s="149" t="str">
        <f>IF(R865="Bogs Ponds Streams",".96", IF(R865="Coastal Areas",".97",IF(R865="Meadows Dry Open",".96",IF(R865="Forest &amp; Understory",".97",IF(R865="Moist Open",".98",IF(R865="Moist Shady",".96",IF(R865="Sub-Alpine","1.0")))))))</f>
        <v>.96</v>
      </c>
      <c r="CC865" s="76" t="str">
        <f>IF(S865="Local Endemic",".50",IF(S865="Regional Endemic",".70",IF(S865="Cascadia",".90",IF(S865="Rocky Mountain",".95",IF(S865="North America",".99")))))</f>
        <v>.99</v>
      </c>
      <c r="CD865" s="4"/>
      <c r="CE865" s="21">
        <f>IF(W865&gt;3,3,W865)</f>
        <v>3</v>
      </c>
      <c r="CF865" s="21">
        <f>IF(AC865&gt;102,102,AC865)</f>
        <v>34</v>
      </c>
      <c r="CG865" s="34">
        <f>IF(AI865&lt;$AW$4,$AW$4,AI865)</f>
        <v>2004</v>
      </c>
      <c r="CH865" s="34">
        <f>IF(AJ865&lt;$AW$4,$AW$4,AJ865)</f>
        <v>2004</v>
      </c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13"/>
    </row>
    <row r="866" spans="1:115" ht="15" customHeight="1" x14ac:dyDescent="0.3">
      <c r="A866" s="235"/>
      <c r="B866" s="218"/>
      <c r="C866" s="225">
        <v>8</v>
      </c>
      <c r="D866" s="59" t="s">
        <v>2505</v>
      </c>
      <c r="E866" s="59" t="s">
        <v>2501</v>
      </c>
      <c r="F866" s="397" t="str">
        <f ca="1">IF(BC866&lt;2025, "Extinct&lt; 6Yrs?",BA866)</f>
        <v>Widespread</v>
      </c>
      <c r="G866" s="363" t="s">
        <v>525</v>
      </c>
      <c r="H866" s="363" t="s">
        <v>686</v>
      </c>
      <c r="I866" s="364" t="s">
        <v>452</v>
      </c>
      <c r="J866" s="365" t="s">
        <v>3890</v>
      </c>
      <c r="K866" s="365" t="s">
        <v>803</v>
      </c>
      <c r="L866" s="8" t="s">
        <v>2111</v>
      </c>
      <c r="M866" s="8" t="s">
        <v>4936</v>
      </c>
      <c r="N866" s="8" t="s">
        <v>5834</v>
      </c>
      <c r="O866" s="8" t="s">
        <v>6733</v>
      </c>
      <c r="P866" s="9" t="s">
        <v>751</v>
      </c>
      <c r="Q866" s="59" t="s">
        <v>2552</v>
      </c>
      <c r="R866" s="9" t="s">
        <v>2500</v>
      </c>
      <c r="S866" s="9" t="s">
        <v>2479</v>
      </c>
      <c r="T866" s="123" t="str">
        <f>IF(R866="Bogs Ponds Streams","20",IF(R866="Coastal Areas","26",IF(R866="Meadows Dry Open","10",IF(R866="Forest &amp; Understory","14",IF(R866="Moist Open","12",IF(R866="Moist Shady","10",IF(R866="Sub-Alpine Slopes","0")))))))</f>
        <v>10</v>
      </c>
      <c r="U866" s="123" t="str">
        <f>IF(R866="Bogs Ponds Streams","52",IF(R866="Coastal Areas","51",IF(R866="Meadows Dry Open","53",IF(R866="Forest &amp; Understory","52",IF(R866="Moist Open","50",IF(R866="Moist Shady","46",IF(R866="Sub-Alpine Slopes","40")))))))</f>
        <v>53</v>
      </c>
      <c r="V866" s="123" t="str">
        <f>IF(R866="Bogs Ponds Streams","84",IF(R866="Coastal Areas","76",IF(R866="Meadows Dry Open","96", IF(R866="Forest &amp; Understory","90", IF(R866="Moist Open","88", IF(R866="Moist Shady","82", IF(R866="Sub-Alpine Slopes","80")))))))</f>
        <v>96</v>
      </c>
      <c r="W866" s="59">
        <v>20</v>
      </c>
      <c r="X866" s="59">
        <v>0</v>
      </c>
      <c r="Y866" s="59">
        <v>3500</v>
      </c>
      <c r="Z866" s="59" t="s">
        <v>2519</v>
      </c>
      <c r="AA866" s="59" t="s">
        <v>2518</v>
      </c>
      <c r="AB866" s="59">
        <v>6.8</v>
      </c>
      <c r="AC866" s="45">
        <f>C866+AK866+(0.1)*AL866</f>
        <v>18</v>
      </c>
      <c r="AD866" s="77">
        <v>127</v>
      </c>
      <c r="AE866" s="59">
        <v>5</v>
      </c>
      <c r="AF866" s="59">
        <v>5</v>
      </c>
      <c r="AG866" s="59">
        <v>1900</v>
      </c>
      <c r="AH866" s="77">
        <v>0</v>
      </c>
      <c r="AI866" s="59">
        <f ca="1">AJ866</f>
        <v>2019</v>
      </c>
      <c r="AJ866" s="18">
        <f ca="1">YEAR(TODAY())</f>
        <v>2019</v>
      </c>
      <c r="AK866" s="18">
        <v>10</v>
      </c>
      <c r="AL866" s="18">
        <v>0</v>
      </c>
      <c r="AM866" s="18">
        <v>1</v>
      </c>
      <c r="AN866" s="18">
        <v>1</v>
      </c>
      <c r="AO866" s="24">
        <v>1</v>
      </c>
      <c r="AP866" s="24">
        <v>0</v>
      </c>
      <c r="AQ866" s="18">
        <v>0</v>
      </c>
      <c r="AR866" s="18">
        <v>0</v>
      </c>
      <c r="AS866" s="18">
        <v>0</v>
      </c>
      <c r="AT866" s="18">
        <v>0</v>
      </c>
      <c r="AU866" s="18">
        <v>0</v>
      </c>
      <c r="AV866" s="18">
        <v>0</v>
      </c>
      <c r="AW866" s="18">
        <v>0</v>
      </c>
      <c r="AX866" s="18">
        <v>0</v>
      </c>
      <c r="AY866" s="233"/>
      <c r="AZ866" s="4"/>
      <c r="BA866" s="35" t="str">
        <f>IF(OR(S866="North America",S866="Rocky Mountain"), "Widespread",BC866)</f>
        <v>Widespread</v>
      </c>
      <c r="BB866" s="4"/>
      <c r="BC866" s="35" t="str">
        <f ca="1">IF(BE866&gt;2046, "Abundant",BE866)</f>
        <v>Abundant</v>
      </c>
      <c r="BD866" s="4"/>
      <c r="BE866" s="81">
        <f ca="1">YEAR($C$13)+(BG866*80)</f>
        <v>2102.2913682709445</v>
      </c>
      <c r="BF866" s="4"/>
      <c r="BG866" s="137">
        <f ca="1">BH866*$BH$14</f>
        <v>1.0411421033868093</v>
      </c>
      <c r="BH866" s="137">
        <f ca="1">(((BJ866+BK866+BM866+BN866)/4)*$BM$11)+(((BP866+BQ866)/2)*$BQ$11)+(((BU866+BV866+BW866)/3)*$BU$11)+(((BY866+BZ866+CA866+CB866+CC866)/5)*$CA$11)</f>
        <v>1.0411421033868093</v>
      </c>
      <c r="BI866" s="4"/>
      <c r="BJ866" s="33">
        <f>AP866/(AM866+AO866)</f>
        <v>0</v>
      </c>
      <c r="BK866" s="33">
        <f>(AN866+AO866)/(AM866+AO866)</f>
        <v>1</v>
      </c>
      <c r="BL866" s="4"/>
      <c r="BM866" s="127">
        <f>CF866/102</f>
        <v>0.17647058823529413</v>
      </c>
      <c r="BN866" s="127">
        <f>C866/2</f>
        <v>4</v>
      </c>
      <c r="BO866" s="4"/>
      <c r="BP866" s="127">
        <f>(AK866)/($AW$6)</f>
        <v>0.10101010101010101</v>
      </c>
      <c r="BQ866" s="127">
        <f ca="1">(CH866-$AW$4)/((YEAR($C$13))-$AW$4)</f>
        <v>1</v>
      </c>
      <c r="BR866" s="127">
        <f>(AL866)/($AW$6)</f>
        <v>0</v>
      </c>
      <c r="BS866" s="4"/>
      <c r="BT866" s="127"/>
      <c r="BU866" s="127">
        <f ca="1">(CG866-$AW$4)/((YEAR($C$13))-$AW$4)</f>
        <v>1</v>
      </c>
      <c r="BV866" s="127">
        <f>AE866/5</f>
        <v>1</v>
      </c>
      <c r="BW866" s="127">
        <f>AF866/5</f>
        <v>1</v>
      </c>
      <c r="BX866" s="4"/>
      <c r="BY866" s="148" t="str">
        <f>IF(E866="A",".98",IF(E866="B",".99",IF(E866="C","1.00",IF(E866="D","1.00" ))))</f>
        <v>1.00</v>
      </c>
      <c r="BZ866" s="127">
        <f>(CE866+7)/10</f>
        <v>1</v>
      </c>
      <c r="CA866" s="76" t="str">
        <f>IF(D866="Fern",".97",IF(D866="Grass",".99",IF(D866="Herb",".97",IF(D866="Shrub",".99",IF(D866="Tree","1.00",IF(D866="Vine",".98"))))))</f>
        <v>.97</v>
      </c>
      <c r="CB866" s="149" t="str">
        <f>IF(R866="Bogs Ponds Streams",".96", IF(R866="Coastal Areas",".97",IF(R866="Meadows Dry Open",".96",IF(R866="Forest &amp; Understory",".97",IF(R866="Moist Open",".98",IF(R866="Moist Shady",".96",IF(R866="Sub-Alpine","1.0")))))))</f>
        <v>.96</v>
      </c>
      <c r="CC866" s="76" t="str">
        <f>IF(S866="Local Endemic",".50",IF(S866="Regional Endemic",".70",IF(S866="Cascadia",".90",IF(S866="Rocky Mountain",".95",IF(S866="North America",".99")))))</f>
        <v>.95</v>
      </c>
      <c r="CD866" s="4"/>
      <c r="CE866" s="21">
        <f>IF(W866&gt;3,3,W866)</f>
        <v>3</v>
      </c>
      <c r="CF866" s="21">
        <f>IF(AC866&gt;102,102,AC866)</f>
        <v>18</v>
      </c>
      <c r="CG866" s="34">
        <f ca="1">IF(AI866&lt;$AW$4,$AW$4,AI866)</f>
        <v>2019</v>
      </c>
      <c r="CH866" s="34">
        <f ca="1">IF(AJ866&lt;$AW$4,$AW$4,AJ866)</f>
        <v>2019</v>
      </c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13"/>
    </row>
    <row r="867" spans="1:115" ht="15" customHeight="1" x14ac:dyDescent="0.3">
      <c r="A867" s="235"/>
      <c r="B867" s="218"/>
      <c r="C867" s="375">
        <v>1</v>
      </c>
      <c r="D867" s="67" t="s">
        <v>2505</v>
      </c>
      <c r="E867" s="67" t="s">
        <v>2501</v>
      </c>
      <c r="F867" s="403">
        <f ca="1">IF(BC867&lt;2025, "Extinct&lt; 6Yrs?",BA867)</f>
        <v>2031.9532815210932</v>
      </c>
      <c r="G867" s="376" t="s">
        <v>525</v>
      </c>
      <c r="H867" s="376" t="s">
        <v>4028</v>
      </c>
      <c r="I867" s="379" t="s">
        <v>2724</v>
      </c>
      <c r="J867" s="378" t="s">
        <v>3485</v>
      </c>
      <c r="K867" s="378" t="s">
        <v>810</v>
      </c>
      <c r="L867" s="64" t="s">
        <v>4030</v>
      </c>
      <c r="M867" s="64" t="s">
        <v>4937</v>
      </c>
      <c r="N867" s="64" t="s">
        <v>5835</v>
      </c>
      <c r="O867" s="64" t="s">
        <v>6734</v>
      </c>
      <c r="P867" s="404" t="s">
        <v>751</v>
      </c>
      <c r="Q867" s="67" t="s">
        <v>2552</v>
      </c>
      <c r="R867" s="61" t="s">
        <v>2500</v>
      </c>
      <c r="S867" s="61" t="s">
        <v>2309</v>
      </c>
      <c r="T867" s="134" t="str">
        <f>IF(R867="Bogs Ponds Streams","20",IF(R867="Coastal Areas","26",IF(R867="Meadows Dry Open","10",IF(R867="Forest &amp; Understory","14",IF(R867="Moist Open","12",IF(R867="Moist Shady","10",IF(R867="Sub-Alpine Slopes","0")))))))</f>
        <v>10</v>
      </c>
      <c r="U867" s="134" t="str">
        <f>IF(R867="Bogs Ponds Streams","52",IF(R867="Coastal Areas","51",IF(R867="Meadows Dry Open","53",IF(R867="Forest &amp; Understory","52",IF(R867="Moist Open","50",IF(R867="Moist Shady","46",IF(R867="Sub-Alpine Slopes","40")))))))</f>
        <v>53</v>
      </c>
      <c r="V867" s="134" t="str">
        <f>IF(R867="Bogs Ponds Streams","84",IF(R867="Coastal Areas","76",IF(R867="Meadows Dry Open","96", IF(R867="Forest &amp; Understory","90", IF(R867="Moist Open","88", IF(R867="Moist Shady","82", IF(R867="Sub-Alpine Slopes","80")))))))</f>
        <v>96</v>
      </c>
      <c r="W867" s="67">
        <v>20</v>
      </c>
      <c r="X867" s="67">
        <v>0</v>
      </c>
      <c r="Y867" s="67">
        <v>3500</v>
      </c>
      <c r="Z867" s="67" t="s">
        <v>2519</v>
      </c>
      <c r="AA867" s="67" t="s">
        <v>2518</v>
      </c>
      <c r="AB867" s="67">
        <v>6.8</v>
      </c>
      <c r="AC867" s="85">
        <f>C867+AK867+(0.1)*AL867</f>
        <v>6.3</v>
      </c>
      <c r="AD867" s="78">
        <v>9</v>
      </c>
      <c r="AE867" s="68">
        <v>3</v>
      </c>
      <c r="AF867" s="68">
        <v>2</v>
      </c>
      <c r="AG867" s="78">
        <v>1925</v>
      </c>
      <c r="AH867" s="78">
        <v>0</v>
      </c>
      <c r="AI867" s="78">
        <v>2018</v>
      </c>
      <c r="AJ867" s="69">
        <v>2004</v>
      </c>
      <c r="AK867" s="69">
        <v>5</v>
      </c>
      <c r="AL867" s="69">
        <v>3</v>
      </c>
      <c r="AM867" s="70">
        <v>5</v>
      </c>
      <c r="AN867" s="70">
        <v>0</v>
      </c>
      <c r="AO867" s="86">
        <v>0</v>
      </c>
      <c r="AP867" s="70">
        <v>0</v>
      </c>
      <c r="AQ867" s="70">
        <v>0</v>
      </c>
      <c r="AR867" s="70">
        <v>0</v>
      </c>
      <c r="AS867" s="86">
        <v>0</v>
      </c>
      <c r="AT867" s="70">
        <v>0</v>
      </c>
      <c r="AU867" s="70">
        <v>0</v>
      </c>
      <c r="AV867" s="70">
        <v>0</v>
      </c>
      <c r="AW867" s="86">
        <v>0</v>
      </c>
      <c r="AX867" s="70">
        <v>0</v>
      </c>
      <c r="AY867" s="233"/>
      <c r="AZ867" s="4"/>
      <c r="BA867" s="35">
        <f ca="1">IF(OR(S867="North America",S867="Rocky Mountain"), "Widespread",BC867)</f>
        <v>2031.9532815210932</v>
      </c>
      <c r="BB867" s="4"/>
      <c r="BC867" s="35">
        <f ca="1">IF(BE867&gt;2046, "Abundant",BE867)</f>
        <v>2031.9532815210932</v>
      </c>
      <c r="BD867" s="4"/>
      <c r="BE867" s="81">
        <f ca="1">YEAR($C$13)+(BG867*80)</f>
        <v>2031.9532815210932</v>
      </c>
      <c r="BF867" s="4"/>
      <c r="BG867" s="137">
        <f ca="1">BH867*$BH$14</f>
        <v>0.16191601901366606</v>
      </c>
      <c r="BH867" s="137">
        <f ca="1">(((BJ867+BK867+BM867+BN867)/4)*$BM$11)+(((BP867+BQ867)/2)*$BQ$11)+(((BU867+BV867+BW867)/3)*$BU$11)+(((BY867+BZ867+CA867+CB867+CC867)/5)*$CA$11)</f>
        <v>0.16191601901366606</v>
      </c>
      <c r="BI867" s="4"/>
      <c r="BJ867" s="33">
        <f>AP867/(AM867+AO867)</f>
        <v>0</v>
      </c>
      <c r="BK867" s="33">
        <f>(AN867+AO867)/(AM867+AO867)</f>
        <v>0</v>
      </c>
      <c r="BL867" s="4"/>
      <c r="BM867" s="127">
        <f>CF867/102</f>
        <v>6.1764705882352937E-2</v>
      </c>
      <c r="BN867" s="127">
        <f>C867/2</f>
        <v>0.5</v>
      </c>
      <c r="BO867" s="4"/>
      <c r="BP867" s="127">
        <f>(AK867)/($AW$6)</f>
        <v>5.0505050505050504E-2</v>
      </c>
      <c r="BQ867" s="127">
        <f ca="1">(CH867-$AW$4)/((YEAR($C$13))-$AW$4)</f>
        <v>0</v>
      </c>
      <c r="BR867" s="127">
        <f>(AL867)/($AW$6)</f>
        <v>3.0303030303030304E-2</v>
      </c>
      <c r="BS867" s="4"/>
      <c r="BT867" s="127"/>
      <c r="BU867" s="127">
        <f ca="1">(CG867-$AW$4)/((YEAR($C$13))-$AW$4)</f>
        <v>0.93333333333333335</v>
      </c>
      <c r="BV867" s="127">
        <f>AE867/5</f>
        <v>0.6</v>
      </c>
      <c r="BW867" s="127">
        <f>AF867/5</f>
        <v>0.4</v>
      </c>
      <c r="BX867" s="4"/>
      <c r="BY867" s="148" t="str">
        <f>IF(E867="A",".98",IF(E867="B",".99",IF(E867="C","1.00",IF(E867="D","1.00" ))))</f>
        <v>1.00</v>
      </c>
      <c r="BZ867" s="127">
        <f>(CE867+7)/10</f>
        <v>1</v>
      </c>
      <c r="CA867" s="76" t="str">
        <f>IF(D867="Fern",".97",IF(D867="Grass",".99",IF(D867="Herb",".97",IF(D867="Shrub",".99",IF(D867="Tree","1.00",IF(D867="Vine",".98"))))))</f>
        <v>.97</v>
      </c>
      <c r="CB867" s="149" t="str">
        <f>IF(R867="Bogs Ponds Streams",".96", IF(R867="Coastal Areas",".97",IF(R867="Meadows Dry Open",".96",IF(R867="Forest &amp; Understory",".97",IF(R867="Moist Open",".98",IF(R867="Moist Shady",".96",IF(R867="Sub-Alpine","1.0")))))))</f>
        <v>.96</v>
      </c>
      <c r="CC867" s="76" t="str">
        <f>IF(S867="Local Endemic",".50",IF(S867="Regional Endemic",".70",IF(S867="Cascadia",".90",IF(S867="Rocky Mountain",".95",IF(S867="North America",".99")))))</f>
        <v>.70</v>
      </c>
      <c r="CD867" s="4"/>
      <c r="CE867" s="21">
        <f>IF(W867&gt;3,3,W867)</f>
        <v>3</v>
      </c>
      <c r="CF867" s="21">
        <f>IF(AC867&gt;102,102,AC867)</f>
        <v>6.3</v>
      </c>
      <c r="CG867" s="34">
        <f>IF(AI867&lt;$AW$4,$AW$4,AI867)</f>
        <v>2018</v>
      </c>
      <c r="CH867" s="34">
        <f>IF(AJ867&lt;$AW$4,$AW$4,AJ867)</f>
        <v>2004</v>
      </c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</row>
    <row r="868" spans="1:115" ht="15" customHeight="1" x14ac:dyDescent="0.3">
      <c r="A868" s="235"/>
      <c r="B868" s="218"/>
      <c r="C868" s="225">
        <v>9</v>
      </c>
      <c r="D868" s="59" t="s">
        <v>2505</v>
      </c>
      <c r="E868" s="59" t="s">
        <v>2502</v>
      </c>
      <c r="F868" s="397" t="str">
        <f ca="1">IF(BC868&lt;2025, "Extinct&lt; 6Yrs?",BA868)</f>
        <v>Abundant</v>
      </c>
      <c r="G868" s="363" t="s">
        <v>525</v>
      </c>
      <c r="H868" s="363" t="s">
        <v>682</v>
      </c>
      <c r="I868" s="365" t="s">
        <v>1308</v>
      </c>
      <c r="J868" s="365" t="s">
        <v>3889</v>
      </c>
      <c r="K868" s="365" t="s">
        <v>1307</v>
      </c>
      <c r="L868" s="17" t="s">
        <v>2110</v>
      </c>
      <c r="M868" s="8" t="s">
        <v>4938</v>
      </c>
      <c r="N868" s="8" t="s">
        <v>5836</v>
      </c>
      <c r="O868" s="8" t="s">
        <v>6735</v>
      </c>
      <c r="P868" s="398" t="s">
        <v>154</v>
      </c>
      <c r="Q868" s="59" t="s">
        <v>2552</v>
      </c>
      <c r="R868" s="9" t="s">
        <v>2498</v>
      </c>
      <c r="S868" s="17" t="s">
        <v>2309</v>
      </c>
      <c r="T868" s="123" t="str">
        <f>IF(R868="Bogs Ponds Streams","20",IF(R868="Coastal Areas","26",IF(R868="Meadows Dry Open","10",IF(R868="Forest &amp; Understory","14",IF(R868="Moist Open","12",IF(R868="Moist Shady","10",IF(R868="Sub-Alpine Slopes","0")))))))</f>
        <v>10</v>
      </c>
      <c r="U868" s="123" t="str">
        <f>IF(R868="Bogs Ponds Streams","52",IF(R868="Coastal Areas","51",IF(R868="Meadows Dry Open","53",IF(R868="Forest &amp; Understory","52",IF(R868="Moist Open","50",IF(R868="Moist Shady","46",IF(R868="Sub-Alpine Slopes","40")))))))</f>
        <v>46</v>
      </c>
      <c r="V868" s="123" t="str">
        <f>IF(R868="Bogs Ponds Streams","84",IF(R868="Coastal Areas","76",IF(R868="Meadows Dry Open","96", IF(R868="Forest &amp; Understory","90", IF(R868="Moist Open","88", IF(R868="Moist Shady","82", IF(R868="Sub-Alpine Slopes","80")))))))</f>
        <v>82</v>
      </c>
      <c r="W868" s="59">
        <v>1</v>
      </c>
      <c r="X868" s="59">
        <v>0</v>
      </c>
      <c r="Y868" s="59">
        <v>3500</v>
      </c>
      <c r="Z868" s="59" t="s">
        <v>2519</v>
      </c>
      <c r="AA868" s="59" t="s">
        <v>2518</v>
      </c>
      <c r="AB868" s="59">
        <v>6.8</v>
      </c>
      <c r="AC868" s="45">
        <f>C868+AK868+(0.1)*AL868</f>
        <v>10</v>
      </c>
      <c r="AD868" s="77">
        <v>1</v>
      </c>
      <c r="AE868" s="59">
        <v>5</v>
      </c>
      <c r="AF868" s="59">
        <v>5</v>
      </c>
      <c r="AG868" s="59">
        <v>1900</v>
      </c>
      <c r="AH868" s="77">
        <v>0</v>
      </c>
      <c r="AI868" s="59">
        <f ca="1">AJ868</f>
        <v>2019</v>
      </c>
      <c r="AJ868" s="18">
        <f ca="1">YEAR(TODAY())</f>
        <v>2019</v>
      </c>
      <c r="AK868" s="18">
        <v>1</v>
      </c>
      <c r="AL868" s="18">
        <v>0</v>
      </c>
      <c r="AM868" s="18">
        <v>1</v>
      </c>
      <c r="AN868" s="18">
        <v>1</v>
      </c>
      <c r="AO868" s="25">
        <v>0</v>
      </c>
      <c r="AP868" s="18">
        <v>1</v>
      </c>
      <c r="AQ868" s="18">
        <v>0</v>
      </c>
      <c r="AR868" s="18">
        <v>0</v>
      </c>
      <c r="AS868" s="18">
        <v>0</v>
      </c>
      <c r="AT868" s="18">
        <v>0</v>
      </c>
      <c r="AU868" s="18">
        <v>0</v>
      </c>
      <c r="AV868" s="18">
        <v>0</v>
      </c>
      <c r="AW868" s="18">
        <v>0</v>
      </c>
      <c r="AX868" s="18">
        <v>0</v>
      </c>
      <c r="AY868" s="233"/>
      <c r="AZ868" s="4"/>
      <c r="BA868" s="35" t="str">
        <f ca="1">IF(OR(S868="North America",S868="Rocky Mountain"), "Widespread",BC868)</f>
        <v>Abundant</v>
      </c>
      <c r="BB868" s="4"/>
      <c r="BC868" s="35" t="str">
        <f ca="1">IF(BE868&gt;2046, "Abundant",BE868)</f>
        <v>Abundant</v>
      </c>
      <c r="BD868" s="4"/>
      <c r="BE868" s="81">
        <f ca="1">YEAR($C$13)+(BG868*80)</f>
        <v>2118.1088827094472</v>
      </c>
      <c r="BF868" s="4"/>
      <c r="BG868" s="137">
        <f ca="1">BH868*$BH$14</f>
        <v>1.2388610338680928</v>
      </c>
      <c r="BH868" s="137">
        <f ca="1">(((BJ868+BK868+BM868+BN868)/4)*$BM$11)+(((BP868+BQ868)/2)*$BQ$11)+(((BU868+BV868+BW868)/3)*$BU$11)+(((BY868+BZ868+CA868+CB868+CC868)/5)*$CA$11)</f>
        <v>1.2388610338680928</v>
      </c>
      <c r="BI868" s="4"/>
      <c r="BJ868" s="33">
        <f>AP868/(AM868+AO868)</f>
        <v>1</v>
      </c>
      <c r="BK868" s="33">
        <f>(AN868+AO868)/(AM868+AO868)</f>
        <v>1</v>
      </c>
      <c r="BL868" s="4"/>
      <c r="BM868" s="127">
        <f>CF868/102</f>
        <v>9.8039215686274508E-2</v>
      </c>
      <c r="BN868" s="127">
        <f>C868/2</f>
        <v>4.5</v>
      </c>
      <c r="BO868" s="4"/>
      <c r="BP868" s="127">
        <f>(AK868)/($AW$6)</f>
        <v>1.0101010101010102E-2</v>
      </c>
      <c r="BQ868" s="127">
        <f ca="1">(CH868-$AW$4)/((YEAR($C$13))-$AW$4)</f>
        <v>1</v>
      </c>
      <c r="BR868" s="127">
        <f>(AL868)/($AW$6)</f>
        <v>0</v>
      </c>
      <c r="BS868" s="4"/>
      <c r="BT868" s="127"/>
      <c r="BU868" s="127">
        <f ca="1">(CG868-$AW$4)/((YEAR($C$13))-$AW$4)</f>
        <v>1</v>
      </c>
      <c r="BV868" s="127">
        <f>AE868/5</f>
        <v>1</v>
      </c>
      <c r="BW868" s="127">
        <f>AF868/5</f>
        <v>1</v>
      </c>
      <c r="BX868" s="4"/>
      <c r="BY868" s="148" t="str">
        <f>IF(E868="A",".98",IF(E868="B",".99",IF(E868="C","1.00",IF(E868="D","1.00" ))))</f>
        <v>.98</v>
      </c>
      <c r="BZ868" s="127">
        <f>(CE868+7)/10</f>
        <v>0.8</v>
      </c>
      <c r="CA868" s="76" t="str">
        <f>IF(D868="Fern",".97",IF(D868="Grass",".99",IF(D868="Herb",".97",IF(D868="Shrub",".99",IF(D868="Tree","1.00",IF(D868="Vine",".98"))))))</f>
        <v>.97</v>
      </c>
      <c r="CB868" s="149" t="str">
        <f>IF(R868="Bogs Ponds Streams",".96", IF(R868="Coastal Areas",".97",IF(R868="Meadows Dry Open",".96",IF(R868="Forest &amp; Understory",".97",IF(R868="Moist Open",".98",IF(R868="Moist Shady",".96",IF(R868="Sub-Alpine","1.0")))))))</f>
        <v>.96</v>
      </c>
      <c r="CC868" s="76" t="str">
        <f>IF(S868="Local Endemic",".50",IF(S868="Regional Endemic",".70",IF(S868="Cascadia",".90",IF(S868="Rocky Mountain",".95",IF(S868="North America",".99")))))</f>
        <v>.70</v>
      </c>
      <c r="CD868" s="4"/>
      <c r="CE868" s="21">
        <f>IF(W868&gt;3,3,W868)</f>
        <v>1</v>
      </c>
      <c r="CF868" s="21">
        <f>IF(AC868&gt;102,102,AC868)</f>
        <v>10</v>
      </c>
      <c r="CG868" s="34">
        <f ca="1">IF(AI868&lt;$AW$4,$AW$4,AI868)</f>
        <v>2019</v>
      </c>
      <c r="CH868" s="34">
        <f ca="1">IF(AJ868&lt;$AW$4,$AW$4,AJ868)</f>
        <v>2019</v>
      </c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13"/>
    </row>
    <row r="869" spans="1:115" ht="15" customHeight="1" x14ac:dyDescent="0.3">
      <c r="A869" s="235"/>
      <c r="B869" s="218"/>
      <c r="C869" s="375">
        <v>1</v>
      </c>
      <c r="D869" s="67" t="s">
        <v>2505</v>
      </c>
      <c r="E869" s="67" t="s">
        <v>2502</v>
      </c>
      <c r="F869" s="403" t="str">
        <f ca="1">IF(BC869&lt;2025, "Extinct&lt; 6Yrs?",BA869)</f>
        <v>Widespread</v>
      </c>
      <c r="G869" s="376" t="s">
        <v>525</v>
      </c>
      <c r="H869" s="376" t="s">
        <v>4028</v>
      </c>
      <c r="I869" s="379" t="s">
        <v>157</v>
      </c>
      <c r="J869" s="378" t="s">
        <v>4071</v>
      </c>
      <c r="K869" s="378" t="s">
        <v>804</v>
      </c>
      <c r="L869" s="64" t="s">
        <v>4029</v>
      </c>
      <c r="M869" s="64" t="s">
        <v>4939</v>
      </c>
      <c r="N869" s="64" t="s">
        <v>5837</v>
      </c>
      <c r="O869" s="64" t="s">
        <v>6736</v>
      </c>
      <c r="P869" s="61" t="s">
        <v>154</v>
      </c>
      <c r="Q869" s="67" t="s">
        <v>2552</v>
      </c>
      <c r="R869" s="61" t="s">
        <v>2500</v>
      </c>
      <c r="S869" s="61" t="s">
        <v>2495</v>
      </c>
      <c r="T869" s="134" t="str">
        <f>IF(R869="Bogs Ponds Streams","20",IF(R869="Coastal Areas","26",IF(R869="Meadows Dry Open","10",IF(R869="Forest &amp; Understory","14",IF(R869="Moist Open","12",IF(R869="Moist Shady","10",IF(R869="Sub-Alpine Slopes","0")))))))</f>
        <v>10</v>
      </c>
      <c r="U869" s="134" t="str">
        <f>IF(R869="Bogs Ponds Streams","52",IF(R869="Coastal Areas","51",IF(R869="Meadows Dry Open","53",IF(R869="Forest &amp; Understory","52",IF(R869="Moist Open","50",IF(R869="Moist Shady","46",IF(R869="Sub-Alpine Slopes","40")))))))</f>
        <v>53</v>
      </c>
      <c r="V869" s="134" t="str">
        <f>IF(R869="Bogs Ponds Streams","84",IF(R869="Coastal Areas","76",IF(R869="Meadows Dry Open","96", IF(R869="Forest &amp; Understory","90", IF(R869="Moist Open","88", IF(R869="Moist Shady","82", IF(R869="Sub-Alpine Slopes","80")))))))</f>
        <v>96</v>
      </c>
      <c r="W869" s="67">
        <v>1</v>
      </c>
      <c r="X869" s="67">
        <v>0</v>
      </c>
      <c r="Y869" s="67">
        <v>3500</v>
      </c>
      <c r="Z869" s="67" t="s">
        <v>2519</v>
      </c>
      <c r="AA869" s="67" t="s">
        <v>2518</v>
      </c>
      <c r="AB869" s="67">
        <v>6.8</v>
      </c>
      <c r="AC869" s="85">
        <f>C869+AK869+(0.1)*AL869</f>
        <v>10.4</v>
      </c>
      <c r="AD869" s="78">
        <v>34</v>
      </c>
      <c r="AE869" s="67">
        <v>5</v>
      </c>
      <c r="AF869" s="67">
        <v>5</v>
      </c>
      <c r="AG869" s="67">
        <v>1900</v>
      </c>
      <c r="AH869" s="78">
        <v>0</v>
      </c>
      <c r="AI869" s="67">
        <f>AJ869</f>
        <v>2004</v>
      </c>
      <c r="AJ869" s="69">
        <v>2004</v>
      </c>
      <c r="AK869" s="69">
        <v>8</v>
      </c>
      <c r="AL869" s="69">
        <v>14</v>
      </c>
      <c r="AM869" s="70">
        <v>5</v>
      </c>
      <c r="AN869" s="70">
        <v>0</v>
      </c>
      <c r="AO869" s="86">
        <v>0</v>
      </c>
      <c r="AP869" s="70">
        <v>0</v>
      </c>
      <c r="AQ869" s="70">
        <v>0</v>
      </c>
      <c r="AR869" s="70">
        <v>0</v>
      </c>
      <c r="AS869" s="86">
        <v>0</v>
      </c>
      <c r="AT869" s="70">
        <v>0</v>
      </c>
      <c r="AU869" s="70">
        <v>0</v>
      </c>
      <c r="AV869" s="70">
        <v>0</v>
      </c>
      <c r="AW869" s="86">
        <v>0</v>
      </c>
      <c r="AX869" s="70">
        <v>0</v>
      </c>
      <c r="AY869" s="233"/>
      <c r="AZ869" s="4"/>
      <c r="BA869" s="35" t="str">
        <f>IF(OR(S869="North America",S869="Rocky Mountain"), "Widespread",BC869)</f>
        <v>Widespread</v>
      </c>
      <c r="BB869" s="4"/>
      <c r="BC869" s="35">
        <f ca="1">IF(BE869&gt;2046, "Abundant",BE869)</f>
        <v>2032.9638930481283</v>
      </c>
      <c r="BD869" s="4"/>
      <c r="BE869" s="81">
        <f ca="1">YEAR($C$13)+(BG869*80)</f>
        <v>2032.9638930481283</v>
      </c>
      <c r="BF869" s="4"/>
      <c r="BG869" s="137">
        <f ca="1">BH869*$BH$14</f>
        <v>0.17454866310160427</v>
      </c>
      <c r="BH869" s="137">
        <f ca="1">(((BJ869+BK869+BM869+BN869)/4)*$BM$11)+(((BP869+BQ869)/2)*$BQ$11)+(((BU869+BV869+BW869)/3)*$BU$11)+(((BY869+BZ869+CA869+CB869+CC869)/5)*$CA$11)</f>
        <v>0.17454866310160427</v>
      </c>
      <c r="BI869" s="4"/>
      <c r="BJ869" s="33">
        <f>AP869/(AM869+AO869)</f>
        <v>0</v>
      </c>
      <c r="BK869" s="33">
        <f>(AN869+AO869)/(AM869+AO869)</f>
        <v>0</v>
      </c>
      <c r="BL869" s="4"/>
      <c r="BM869" s="127">
        <f>CF869/102</f>
        <v>0.10196078431372549</v>
      </c>
      <c r="BN869" s="127">
        <f>C869/2</f>
        <v>0.5</v>
      </c>
      <c r="BO869" s="4"/>
      <c r="BP869" s="127">
        <f>(AK869)/($AW$6)</f>
        <v>8.0808080808080815E-2</v>
      </c>
      <c r="BQ869" s="127">
        <f ca="1">(CH869-$AW$4)/((YEAR($C$13))-$AW$4)</f>
        <v>0</v>
      </c>
      <c r="BR869" s="127">
        <f>(AL869)/($AW$6)</f>
        <v>0.14141414141414141</v>
      </c>
      <c r="BS869" s="4"/>
      <c r="BT869" s="127"/>
      <c r="BU869" s="127">
        <f ca="1">(CG869-$AW$4)/((YEAR($C$13))-$AW$4)</f>
        <v>0</v>
      </c>
      <c r="BV869" s="127">
        <f>AE869/5</f>
        <v>1</v>
      </c>
      <c r="BW869" s="127">
        <f>AF869/5</f>
        <v>1</v>
      </c>
      <c r="BX869" s="4"/>
      <c r="BY869" s="148" t="str">
        <f>IF(E869="A",".98",IF(E869="B",".99",IF(E869="C","1.00",IF(E869="D","1.00" ))))</f>
        <v>.98</v>
      </c>
      <c r="BZ869" s="127">
        <f>(CE869+7)/10</f>
        <v>0.8</v>
      </c>
      <c r="CA869" s="76" t="str">
        <f>IF(D869="Fern",".97",IF(D869="Grass",".99",IF(D869="Herb",".97",IF(D869="Shrub",".99",IF(D869="Tree","1.00",IF(D869="Vine",".98"))))))</f>
        <v>.97</v>
      </c>
      <c r="CB869" s="149" t="str">
        <f>IF(R869="Bogs Ponds Streams",".96", IF(R869="Coastal Areas",".97",IF(R869="Meadows Dry Open",".96",IF(R869="Forest &amp; Understory",".97",IF(R869="Moist Open",".98",IF(R869="Moist Shady",".96",IF(R869="Sub-Alpine","1.0")))))))</f>
        <v>.96</v>
      </c>
      <c r="CC869" s="76" t="str">
        <f>IF(S869="Local Endemic",".50",IF(S869="Regional Endemic",".70",IF(S869="Cascadia",".90",IF(S869="Rocky Mountain",".95",IF(S869="North America",".99")))))</f>
        <v>.99</v>
      </c>
      <c r="CD869" s="4"/>
      <c r="CE869" s="21">
        <f>IF(W869&gt;3,3,W869)</f>
        <v>1</v>
      </c>
      <c r="CF869" s="21">
        <f>IF(AC869&gt;102,102,AC869)</f>
        <v>10.4</v>
      </c>
      <c r="CG869" s="34">
        <f>IF(AI869&lt;$AW$4,$AW$4,AI869)</f>
        <v>2004</v>
      </c>
      <c r="CH869" s="34">
        <f>IF(AJ869&lt;$AW$4,$AW$4,AJ869)</f>
        <v>2004</v>
      </c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</row>
    <row r="870" spans="1:115" ht="15" customHeight="1" x14ac:dyDescent="0.3">
      <c r="A870" s="235"/>
      <c r="B870" s="218"/>
      <c r="C870" s="375">
        <v>1</v>
      </c>
      <c r="D870" s="67" t="s">
        <v>2505</v>
      </c>
      <c r="E870" s="67" t="s">
        <v>2502</v>
      </c>
      <c r="F870" s="403">
        <f ca="1">IF(BC870&lt;2025, "Extinct&lt; 6Yrs?",BA870)</f>
        <v>2039.2195850267381</v>
      </c>
      <c r="G870" s="376" t="s">
        <v>525</v>
      </c>
      <c r="H870" s="376" t="s">
        <v>4028</v>
      </c>
      <c r="I870" s="379" t="s">
        <v>381</v>
      </c>
      <c r="J870" s="378" t="s">
        <v>3484</v>
      </c>
      <c r="K870" s="378" t="s">
        <v>380</v>
      </c>
      <c r="L870" s="64" t="s">
        <v>2109</v>
      </c>
      <c r="M870" s="64" t="s">
        <v>4940</v>
      </c>
      <c r="N870" s="64" t="s">
        <v>5838</v>
      </c>
      <c r="O870" s="64" t="s">
        <v>6737</v>
      </c>
      <c r="P870" s="61" t="s">
        <v>667</v>
      </c>
      <c r="Q870" s="67" t="s">
        <v>2552</v>
      </c>
      <c r="R870" s="61" t="s">
        <v>2498</v>
      </c>
      <c r="S870" s="61" t="s">
        <v>2459</v>
      </c>
      <c r="T870" s="134" t="str">
        <f>IF(R870="Bogs Ponds Streams","20",IF(R870="Coastal Areas","26",IF(R870="Meadows Dry Open","10",IF(R870="Forest &amp; Understory","14",IF(R870="Moist Open","12",IF(R870="Moist Shady","10",IF(R870="Sub-Alpine Slopes","0")))))))</f>
        <v>10</v>
      </c>
      <c r="U870" s="134" t="str">
        <f>IF(R870="Bogs Ponds Streams","52",IF(R870="Coastal Areas","51",IF(R870="Meadows Dry Open","53",IF(R870="Forest &amp; Understory","52",IF(R870="Moist Open","50",IF(R870="Moist Shady","46",IF(R870="Sub-Alpine Slopes","40")))))))</f>
        <v>46</v>
      </c>
      <c r="V870" s="134" t="str">
        <f>IF(R870="Bogs Ponds Streams","84",IF(R870="Coastal Areas","76",IF(R870="Meadows Dry Open","96", IF(R870="Forest &amp; Understory","90", IF(R870="Moist Open","88", IF(R870="Moist Shady","82", IF(R870="Sub-Alpine Slopes","80")))))))</f>
        <v>82</v>
      </c>
      <c r="W870" s="67">
        <v>1</v>
      </c>
      <c r="X870" s="67">
        <v>0</v>
      </c>
      <c r="Y870" s="67">
        <v>3500</v>
      </c>
      <c r="Z870" s="67" t="s">
        <v>2519</v>
      </c>
      <c r="AA870" s="67" t="s">
        <v>2518</v>
      </c>
      <c r="AB870" s="67">
        <v>6.8</v>
      </c>
      <c r="AC870" s="85">
        <f>C870+AK870+(0.1)*AL870</f>
        <v>36</v>
      </c>
      <c r="AD870" s="78">
        <v>85</v>
      </c>
      <c r="AE870" s="67">
        <v>5</v>
      </c>
      <c r="AF870" s="67">
        <v>5</v>
      </c>
      <c r="AG870" s="67">
        <v>1900</v>
      </c>
      <c r="AH870" s="78">
        <v>0</v>
      </c>
      <c r="AI870" s="67">
        <f>AJ870</f>
        <v>2004</v>
      </c>
      <c r="AJ870" s="69">
        <v>2004</v>
      </c>
      <c r="AK870" s="69">
        <v>35</v>
      </c>
      <c r="AL870" s="69">
        <v>0</v>
      </c>
      <c r="AM870" s="70">
        <v>5</v>
      </c>
      <c r="AN870" s="70">
        <v>0</v>
      </c>
      <c r="AO870" s="86">
        <v>0</v>
      </c>
      <c r="AP870" s="70">
        <v>0</v>
      </c>
      <c r="AQ870" s="70">
        <v>0</v>
      </c>
      <c r="AR870" s="70">
        <v>0</v>
      </c>
      <c r="AS870" s="86">
        <v>0</v>
      </c>
      <c r="AT870" s="70">
        <v>0</v>
      </c>
      <c r="AU870" s="70">
        <v>0</v>
      </c>
      <c r="AV870" s="70">
        <v>0</v>
      </c>
      <c r="AW870" s="86">
        <v>0</v>
      </c>
      <c r="AX870" s="70">
        <v>0</v>
      </c>
      <c r="AY870" s="233"/>
      <c r="AZ870" s="4"/>
      <c r="BA870" s="35">
        <f ca="1">IF(OR(S870="North America",S870="Rocky Mountain"), "Widespread",BC870)</f>
        <v>2039.2195850267381</v>
      </c>
      <c r="BB870" s="4"/>
      <c r="BC870" s="35">
        <f ca="1">IF(BE870&gt;2046, "Abundant",BE870)</f>
        <v>2039.2195850267381</v>
      </c>
      <c r="BD870" s="4"/>
      <c r="BE870" s="81">
        <f ca="1">YEAR($C$13)+(BG870*80)</f>
        <v>2039.2195850267381</v>
      </c>
      <c r="BF870" s="4"/>
      <c r="BG870" s="137">
        <f ca="1">BH870*$BH$14</f>
        <v>0.25274481283422462</v>
      </c>
      <c r="BH870" s="137">
        <f ca="1">(((BJ870+BK870+BM870+BN870)/4)*$BM$11)+(((BP870+BQ870)/2)*$BQ$11)+(((BU870+BV870+BW870)/3)*$BU$11)+(((BY870+BZ870+CA870+CB870+CC870)/5)*$CA$11)</f>
        <v>0.25274481283422462</v>
      </c>
      <c r="BI870" s="4"/>
      <c r="BJ870" s="33">
        <f>AP870/(AM870+AO870)</f>
        <v>0</v>
      </c>
      <c r="BK870" s="33">
        <f>(AN870+AO870)/(AM870+AO870)</f>
        <v>0</v>
      </c>
      <c r="BL870" s="4"/>
      <c r="BM870" s="127">
        <f>CF870/102</f>
        <v>0.35294117647058826</v>
      </c>
      <c r="BN870" s="127">
        <f>C870/2</f>
        <v>0.5</v>
      </c>
      <c r="BO870" s="4"/>
      <c r="BP870" s="127">
        <f>(AK870)/($AW$6)</f>
        <v>0.35353535353535354</v>
      </c>
      <c r="BQ870" s="127">
        <f ca="1">(CH870-$AW$4)/((YEAR($C$13))-$AW$4)</f>
        <v>0</v>
      </c>
      <c r="BR870" s="127">
        <f>(AL870)/($AW$6)</f>
        <v>0</v>
      </c>
      <c r="BS870" s="4"/>
      <c r="BT870" s="127"/>
      <c r="BU870" s="127">
        <f ca="1">(CG870-$AW$4)/((YEAR($C$13))-$AW$4)</f>
        <v>0</v>
      </c>
      <c r="BV870" s="127">
        <f>AE870/5</f>
        <v>1</v>
      </c>
      <c r="BW870" s="127">
        <f>AF870/5</f>
        <v>1</v>
      </c>
      <c r="BX870" s="4"/>
      <c r="BY870" s="148" t="str">
        <f>IF(E870="A",".98",IF(E870="B",".99",IF(E870="C","1.00",IF(E870="D","1.00" ))))</f>
        <v>.98</v>
      </c>
      <c r="BZ870" s="127">
        <f>(CE870+7)/10</f>
        <v>0.8</v>
      </c>
      <c r="CA870" s="76" t="str">
        <f>IF(D870="Fern",".97",IF(D870="Grass",".99",IF(D870="Herb",".97",IF(D870="Shrub",".99",IF(D870="Tree","1.00",IF(D870="Vine",".98"))))))</f>
        <v>.97</v>
      </c>
      <c r="CB870" s="149" t="str">
        <f>IF(R870="Bogs Ponds Streams",".96", IF(R870="Coastal Areas",".97",IF(R870="Meadows Dry Open",".96",IF(R870="Forest &amp; Understory",".97",IF(R870="Moist Open",".98",IF(R870="Moist Shady",".96",IF(R870="Sub-Alpine","1.0")))))))</f>
        <v>.96</v>
      </c>
      <c r="CC870" s="76" t="str">
        <f>IF(S870="Local Endemic",".50",IF(S870="Regional Endemic",".70",IF(S870="Cascadia",".90",IF(S870="Rocky Mountain",".95",IF(S870="North America",".99")))))</f>
        <v>.90</v>
      </c>
      <c r="CD870" s="4"/>
      <c r="CE870" s="21">
        <f>IF(W870&gt;3,3,W870)</f>
        <v>1</v>
      </c>
      <c r="CF870" s="21">
        <f>IF(AC870&gt;102,102,AC870)</f>
        <v>36</v>
      </c>
      <c r="CG870" s="34">
        <f>IF(AI870&lt;$AW$4,$AW$4,AI870)</f>
        <v>2004</v>
      </c>
      <c r="CH870" s="34">
        <f>IF(AJ870&lt;$AW$4,$AW$4,AJ870)</f>
        <v>2004</v>
      </c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</row>
    <row r="871" spans="1:115" ht="15" customHeight="1" x14ac:dyDescent="0.3">
      <c r="A871" s="235"/>
      <c r="B871" s="218"/>
      <c r="C871" s="375">
        <v>1</v>
      </c>
      <c r="D871" s="95" t="s">
        <v>1155</v>
      </c>
      <c r="E871" s="67" t="s">
        <v>2501</v>
      </c>
      <c r="F871" s="403" t="str">
        <f ca="1">IF(BC871&lt;2025, "Extinct&lt; 6Yrs?",BA871)</f>
        <v>Widespread</v>
      </c>
      <c r="G871" s="376" t="s">
        <v>525</v>
      </c>
      <c r="H871" s="376" t="s">
        <v>4028</v>
      </c>
      <c r="I871" s="379" t="s">
        <v>3143</v>
      </c>
      <c r="J871" s="378" t="s">
        <v>3483</v>
      </c>
      <c r="K871" s="378" t="s">
        <v>337</v>
      </c>
      <c r="L871" s="64" t="s">
        <v>2108</v>
      </c>
      <c r="M871" s="64" t="s">
        <v>4941</v>
      </c>
      <c r="N871" s="64" t="s">
        <v>5839</v>
      </c>
      <c r="O871" s="64" t="s">
        <v>6738</v>
      </c>
      <c r="P871" s="61" t="s">
        <v>468</v>
      </c>
      <c r="Q871" s="67" t="s">
        <v>2552</v>
      </c>
      <c r="R871" s="163" t="s">
        <v>2497</v>
      </c>
      <c r="S871" s="65" t="s">
        <v>2479</v>
      </c>
      <c r="T871" s="134" t="str">
        <f>IF(R871="Bogs Ponds Streams","20",IF(R871="Coastal Areas","26",IF(R871="Meadows Dry Open","10",IF(R871="Forest &amp; Understory","14",IF(R871="Moist Open","12",IF(R871="Moist Shady","10",IF(R871="Sub-Alpine Slopes","0")))))))</f>
        <v>12</v>
      </c>
      <c r="U871" s="134" t="str">
        <f>IF(R871="Bogs Ponds Streams","52",IF(R871="Coastal Areas","51",IF(R871="Meadows Dry Open","53",IF(R871="Forest &amp; Understory","52",IF(R871="Moist Open","50",IF(R871="Moist Shady","46",IF(R871="Sub-Alpine Slopes","40")))))))</f>
        <v>50</v>
      </c>
      <c r="V871" s="134" t="str">
        <f>IF(R871="Bogs Ponds Streams","84",IF(R871="Coastal Areas","76",IF(R871="Meadows Dry Open","96", IF(R871="Forest &amp; Understory","90", IF(R871="Moist Open","88", IF(R871="Moist Shady","82", IF(R871="Sub-Alpine Slopes","80")))))))</f>
        <v>88</v>
      </c>
      <c r="W871" s="67">
        <v>20</v>
      </c>
      <c r="X871" s="67">
        <v>0</v>
      </c>
      <c r="Y871" s="67">
        <v>3500</v>
      </c>
      <c r="Z871" s="67" t="s">
        <v>2519</v>
      </c>
      <c r="AA871" s="67" t="s">
        <v>2518</v>
      </c>
      <c r="AB871" s="67">
        <v>6.8</v>
      </c>
      <c r="AC871" s="85">
        <f>C871+AK871+(0.1)*AL871</f>
        <v>14.1</v>
      </c>
      <c r="AD871" s="78">
        <v>70</v>
      </c>
      <c r="AE871" s="67">
        <v>5</v>
      </c>
      <c r="AF871" s="67">
        <v>5</v>
      </c>
      <c r="AG871" s="67">
        <v>1900</v>
      </c>
      <c r="AH871" s="78">
        <v>0</v>
      </c>
      <c r="AI871" s="67">
        <f>AJ871</f>
        <v>2004</v>
      </c>
      <c r="AJ871" s="69">
        <v>2004</v>
      </c>
      <c r="AK871" s="69">
        <v>11</v>
      </c>
      <c r="AL871" s="69">
        <v>21</v>
      </c>
      <c r="AM871" s="70">
        <v>5</v>
      </c>
      <c r="AN871" s="70">
        <v>0</v>
      </c>
      <c r="AO871" s="86">
        <v>0</v>
      </c>
      <c r="AP871" s="70">
        <v>0</v>
      </c>
      <c r="AQ871" s="70">
        <v>0</v>
      </c>
      <c r="AR871" s="70">
        <v>0</v>
      </c>
      <c r="AS871" s="86">
        <v>0</v>
      </c>
      <c r="AT871" s="70">
        <v>0</v>
      </c>
      <c r="AU871" s="70">
        <v>0</v>
      </c>
      <c r="AV871" s="70">
        <v>0</v>
      </c>
      <c r="AW871" s="86">
        <v>0</v>
      </c>
      <c r="AX871" s="70">
        <v>0</v>
      </c>
      <c r="AY871" s="233"/>
      <c r="AZ871" s="4"/>
      <c r="BA871" s="35" t="str">
        <f>IF(OR(S871="North America",S871="Rocky Mountain"), "Widespread",BC871)</f>
        <v>Widespread</v>
      </c>
      <c r="BB871" s="4"/>
      <c r="BC871" s="35">
        <f ca="1">IF(BE871&gt;2046, "Abundant",BE871)</f>
        <v>2033.8332235294117</v>
      </c>
      <c r="BD871" s="4"/>
      <c r="BE871" s="81">
        <f ca="1">YEAR($C$13)+(BG871*80)</f>
        <v>2033.8332235294117</v>
      </c>
      <c r="BF871" s="4"/>
      <c r="BG871" s="137">
        <f ca="1">BH871*$BH$14</f>
        <v>0.18541529411764704</v>
      </c>
      <c r="BH871" s="137">
        <f ca="1">(((BJ871+BK871+BM871+BN871)/4)*$BM$11)+(((BP871+BQ871)/2)*$BQ$11)+(((BU871+BV871+BW871)/3)*$BU$11)+(((BY871+BZ871+CA871+CB871+CC871)/5)*$CA$11)</f>
        <v>0.18541529411764704</v>
      </c>
      <c r="BI871" s="4"/>
      <c r="BJ871" s="33">
        <f>AP871/(AM871+AO871)</f>
        <v>0</v>
      </c>
      <c r="BK871" s="33">
        <f>(AN871+AO871)/(AM871+AO871)</f>
        <v>0</v>
      </c>
      <c r="BL871" s="4"/>
      <c r="BM871" s="127">
        <f>CF871/102</f>
        <v>0.13823529411764707</v>
      </c>
      <c r="BN871" s="127">
        <f>C871/2</f>
        <v>0.5</v>
      </c>
      <c r="BO871" s="4"/>
      <c r="BP871" s="127">
        <f>(AK871)/($AW$6)</f>
        <v>0.1111111111111111</v>
      </c>
      <c r="BQ871" s="127">
        <f ca="1">(CH871-$AW$4)/((YEAR($C$13))-$AW$4)</f>
        <v>0</v>
      </c>
      <c r="BR871" s="127">
        <f>(AL871)/($AW$6)</f>
        <v>0.21212121212121213</v>
      </c>
      <c r="BS871" s="4"/>
      <c r="BT871" s="127"/>
      <c r="BU871" s="127">
        <f ca="1">(CG871-$AW$4)/((YEAR($C$13))-$AW$4)</f>
        <v>0</v>
      </c>
      <c r="BV871" s="127">
        <f>AE871/5</f>
        <v>1</v>
      </c>
      <c r="BW871" s="127">
        <f>AF871/5</f>
        <v>1</v>
      </c>
      <c r="BX871" s="4"/>
      <c r="BY871" s="148" t="str">
        <f>IF(E871="A",".98",IF(E871="B",".99",IF(E871="C","1.00",IF(E871="D","1.00" ))))</f>
        <v>1.00</v>
      </c>
      <c r="BZ871" s="127">
        <f>(CE871+7)/10</f>
        <v>1</v>
      </c>
      <c r="CA871" s="76" t="str">
        <f>IF(D871="Fern",".97",IF(D871="Grass",".99",IF(D871="Herb",".97",IF(D871="Shrub",".99",IF(D871="Tree","1.00",IF(D871="Vine",".98"))))))</f>
        <v>.99</v>
      </c>
      <c r="CB871" s="149" t="str">
        <f>IF(R871="Bogs Ponds Streams",".96", IF(R871="Coastal Areas",".97",IF(R871="Meadows Dry Open",".96",IF(R871="Forest &amp; Understory",".97",IF(R871="Moist Open",".98",IF(R871="Moist Shady",".96",IF(R871="Sub-Alpine","1.0")))))))</f>
        <v>.98</v>
      </c>
      <c r="CC871" s="76" t="str">
        <f>IF(S871="Local Endemic",".50",IF(S871="Regional Endemic",".70",IF(S871="Cascadia",".90",IF(S871="Rocky Mountain",".95",IF(S871="North America",".99")))))</f>
        <v>.95</v>
      </c>
      <c r="CD871" s="4"/>
      <c r="CE871" s="21">
        <f>IF(W871&gt;3,3,W871)</f>
        <v>3</v>
      </c>
      <c r="CF871" s="21">
        <f>IF(AC871&gt;102,102,AC871)</f>
        <v>14.1</v>
      </c>
      <c r="CG871" s="34">
        <f>IF(AI871&lt;$AW$4,$AW$4,AI871)</f>
        <v>2004</v>
      </c>
      <c r="CH871" s="34">
        <f>IF(AJ871&lt;$AW$4,$AW$4,AJ871)</f>
        <v>2004</v>
      </c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13"/>
    </row>
    <row r="872" spans="1:115" ht="15" customHeight="1" x14ac:dyDescent="0.3">
      <c r="A872" s="235"/>
      <c r="B872" s="218"/>
      <c r="C872" s="225">
        <v>8</v>
      </c>
      <c r="D872" s="59" t="s">
        <v>2505</v>
      </c>
      <c r="E872" s="59" t="s">
        <v>2501</v>
      </c>
      <c r="F872" s="397" t="str">
        <f ca="1">IF(BC872&lt;2025, "Extinct&lt; 6Yrs?",BA872)</f>
        <v>Abundant</v>
      </c>
      <c r="G872" s="363" t="s">
        <v>525</v>
      </c>
      <c r="H872" s="363" t="s">
        <v>685</v>
      </c>
      <c r="I872" s="364" t="s">
        <v>453</v>
      </c>
      <c r="J872" s="365" t="s">
        <v>3888</v>
      </c>
      <c r="K872" s="365" t="s">
        <v>805</v>
      </c>
      <c r="L872" s="8" t="s">
        <v>2107</v>
      </c>
      <c r="M872" s="8" t="s">
        <v>4942</v>
      </c>
      <c r="N872" s="8" t="s">
        <v>5840</v>
      </c>
      <c r="O872" s="8" t="s">
        <v>6739</v>
      </c>
      <c r="P872" s="9" t="s">
        <v>749</v>
      </c>
      <c r="Q872" s="59" t="s">
        <v>2552</v>
      </c>
      <c r="R872" s="9" t="s">
        <v>2500</v>
      </c>
      <c r="S872" s="9" t="s">
        <v>2459</v>
      </c>
      <c r="T872" s="123" t="str">
        <f>IF(R872="Bogs Ponds Streams","20",IF(R872="Coastal Areas","26",IF(R872="Meadows Dry Open","10",IF(R872="Forest &amp; Understory","14",IF(R872="Moist Open","12",IF(R872="Moist Shady","10",IF(R872="Sub-Alpine Slopes","0")))))))</f>
        <v>10</v>
      </c>
      <c r="U872" s="123" t="str">
        <f>IF(R872="Bogs Ponds Streams","52",IF(R872="Coastal Areas","51",IF(R872="Meadows Dry Open","53",IF(R872="Forest &amp; Understory","52",IF(R872="Moist Open","50",IF(R872="Moist Shady","46",IF(R872="Sub-Alpine Slopes","40")))))))</f>
        <v>53</v>
      </c>
      <c r="V872" s="123" t="str">
        <f>IF(R872="Bogs Ponds Streams","84",IF(R872="Coastal Areas","76",IF(R872="Meadows Dry Open","96", IF(R872="Forest &amp; Understory","90", IF(R872="Moist Open","88", IF(R872="Moist Shady","82", IF(R872="Sub-Alpine Slopes","80")))))))</f>
        <v>96</v>
      </c>
      <c r="W872" s="59">
        <v>20</v>
      </c>
      <c r="X872" s="59">
        <v>0</v>
      </c>
      <c r="Y872" s="59">
        <v>3500</v>
      </c>
      <c r="Z872" s="59" t="s">
        <v>2519</v>
      </c>
      <c r="AA872" s="59" t="s">
        <v>2518</v>
      </c>
      <c r="AB872" s="59">
        <v>6.8</v>
      </c>
      <c r="AC872" s="45">
        <f>C872+AK872+(0.1)*AL872</f>
        <v>21.5</v>
      </c>
      <c r="AD872" s="77">
        <v>79</v>
      </c>
      <c r="AE872" s="59">
        <v>5</v>
      </c>
      <c r="AF872" s="59">
        <v>5</v>
      </c>
      <c r="AG872" s="59">
        <v>1900</v>
      </c>
      <c r="AH872" s="77">
        <v>0</v>
      </c>
      <c r="AI872" s="59">
        <f ca="1">AJ872</f>
        <v>2019</v>
      </c>
      <c r="AJ872" s="18">
        <f ca="1">YEAR(TODAY())</f>
        <v>2019</v>
      </c>
      <c r="AK872" s="18">
        <v>12</v>
      </c>
      <c r="AL872" s="18">
        <v>15</v>
      </c>
      <c r="AM872" s="18">
        <v>1</v>
      </c>
      <c r="AN872" s="18">
        <v>1</v>
      </c>
      <c r="AO872" s="18">
        <v>5</v>
      </c>
      <c r="AP872" s="18">
        <v>1</v>
      </c>
      <c r="AQ872" s="18">
        <v>0</v>
      </c>
      <c r="AR872" s="18">
        <v>0</v>
      </c>
      <c r="AS872" s="18">
        <v>0</v>
      </c>
      <c r="AT872" s="18">
        <v>0</v>
      </c>
      <c r="AU872" s="18">
        <v>0</v>
      </c>
      <c r="AV872" s="18">
        <v>0</v>
      </c>
      <c r="AW872" s="18">
        <v>0</v>
      </c>
      <c r="AX872" s="18">
        <v>0</v>
      </c>
      <c r="AY872" s="233"/>
      <c r="AZ872" s="4"/>
      <c r="BA872" s="35" t="str">
        <f ca="1">IF(OR(S872="North America",S872="Rocky Mountain"), "Widespread",BC872)</f>
        <v>Abundant</v>
      </c>
      <c r="BB872" s="4"/>
      <c r="BC872" s="35" t="str">
        <f ca="1">IF(BE872&gt;2046, "Abundant",BE872)</f>
        <v>Abundant</v>
      </c>
      <c r="BD872" s="4"/>
      <c r="BE872" s="81">
        <f ca="1">YEAR($C$13)+(BG872*80)</f>
        <v>2104.9295572192514</v>
      </c>
      <c r="BF872" s="4"/>
      <c r="BG872" s="137">
        <f ca="1">BH872*$BH$14</f>
        <v>1.0741194652406416</v>
      </c>
      <c r="BH872" s="137">
        <f ca="1">(((BJ872+BK872+BM872+BN872)/4)*$BM$11)+(((BP872+BQ872)/2)*$BQ$11)+(((BU872+BV872+BW872)/3)*$BU$11)+(((BY872+BZ872+CA872+CB872+CC872)/5)*$CA$11)</f>
        <v>1.0741194652406416</v>
      </c>
      <c r="BI872" s="4"/>
      <c r="BJ872" s="33">
        <f>AP872/(AM872+AO872)</f>
        <v>0.16666666666666666</v>
      </c>
      <c r="BK872" s="33">
        <f>(AN872+AO872)/(AM872+AO872)</f>
        <v>1</v>
      </c>
      <c r="BL872" s="4"/>
      <c r="BM872" s="127">
        <f>CF872/102</f>
        <v>0.2107843137254902</v>
      </c>
      <c r="BN872" s="127">
        <f>C872/2</f>
        <v>4</v>
      </c>
      <c r="BO872" s="4"/>
      <c r="BP872" s="127">
        <f>(AK872)/($AW$6)</f>
        <v>0.12121212121212122</v>
      </c>
      <c r="BQ872" s="127">
        <f ca="1">(CH872-$AW$4)/((YEAR($C$13))-$AW$4)</f>
        <v>1</v>
      </c>
      <c r="BR872" s="127">
        <f>(AL872)/($AW$6)</f>
        <v>0.15151515151515152</v>
      </c>
      <c r="BS872" s="4"/>
      <c r="BT872" s="127"/>
      <c r="BU872" s="127">
        <f ca="1">(CG872-$AW$4)/((YEAR($C$13))-$AW$4)</f>
        <v>1</v>
      </c>
      <c r="BV872" s="127">
        <f>AE872/5</f>
        <v>1</v>
      </c>
      <c r="BW872" s="127">
        <f>AF872/5</f>
        <v>1</v>
      </c>
      <c r="BX872" s="4"/>
      <c r="BY872" s="148" t="str">
        <f>IF(E872="A",".98",IF(E872="B",".99",IF(E872="C","1.00",IF(E872="D","1.00" ))))</f>
        <v>1.00</v>
      </c>
      <c r="BZ872" s="127">
        <f>(CE872+7)/10</f>
        <v>1</v>
      </c>
      <c r="CA872" s="76" t="str">
        <f>IF(D872="Fern",".97",IF(D872="Grass",".99",IF(D872="Herb",".97",IF(D872="Shrub",".99",IF(D872="Tree","1.00",IF(D872="Vine",".98"))))))</f>
        <v>.97</v>
      </c>
      <c r="CB872" s="149" t="str">
        <f>IF(R872="Bogs Ponds Streams",".96", IF(R872="Coastal Areas",".97",IF(R872="Meadows Dry Open",".96",IF(R872="Forest &amp; Understory",".97",IF(R872="Moist Open",".98",IF(R872="Moist Shady",".96",IF(R872="Sub-Alpine","1.0")))))))</f>
        <v>.96</v>
      </c>
      <c r="CC872" s="76" t="str">
        <f>IF(S872="Local Endemic",".50",IF(S872="Regional Endemic",".70",IF(S872="Cascadia",".90",IF(S872="Rocky Mountain",".95",IF(S872="North America",".99")))))</f>
        <v>.90</v>
      </c>
      <c r="CD872" s="4"/>
      <c r="CE872" s="21">
        <f>IF(W872&gt;3,3,W872)</f>
        <v>3</v>
      </c>
      <c r="CF872" s="21">
        <f>IF(AC872&gt;102,102,AC872)</f>
        <v>21.5</v>
      </c>
      <c r="CG872" s="34">
        <f ca="1">IF(AI872&lt;$AW$4,$AW$4,AI872)</f>
        <v>2019</v>
      </c>
      <c r="CH872" s="34">
        <f ca="1">IF(AJ872&lt;$AW$4,$AW$4,AJ872)</f>
        <v>2019</v>
      </c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13"/>
    </row>
    <row r="873" spans="1:115" ht="15" customHeight="1" x14ac:dyDescent="0.3">
      <c r="A873" s="235"/>
      <c r="B873" s="218"/>
      <c r="C873" s="225">
        <v>8</v>
      </c>
      <c r="D873" s="59" t="s">
        <v>2507</v>
      </c>
      <c r="E873" s="59" t="s">
        <v>2504</v>
      </c>
      <c r="F873" s="397" t="str">
        <f ca="1">IF(BC873&lt;2025, "Extinct&lt; 6Yrs?",BA873)</f>
        <v>Abundant</v>
      </c>
      <c r="G873" s="363" t="s">
        <v>525</v>
      </c>
      <c r="H873" s="363" t="s">
        <v>683</v>
      </c>
      <c r="I873" s="364" t="s">
        <v>3144</v>
      </c>
      <c r="J873" s="365" t="s">
        <v>3887</v>
      </c>
      <c r="K873" s="365" t="s">
        <v>531</v>
      </c>
      <c r="L873" s="8" t="s">
        <v>2106</v>
      </c>
      <c r="M873" s="8" t="s">
        <v>4943</v>
      </c>
      <c r="N873" s="8" t="s">
        <v>5841</v>
      </c>
      <c r="O873" s="8" t="s">
        <v>6740</v>
      </c>
      <c r="P873" s="9" t="s">
        <v>520</v>
      </c>
      <c r="Q873" s="59" t="s">
        <v>2552</v>
      </c>
      <c r="R873" s="9" t="s">
        <v>2498</v>
      </c>
      <c r="S873" s="9" t="s">
        <v>2459</v>
      </c>
      <c r="T873" s="123" t="str">
        <f>IF(R873="Bogs Ponds Streams","20",IF(R873="Coastal Areas","26",IF(R873="Meadows Dry Open","10",IF(R873="Forest &amp; Understory","14",IF(R873="Moist Open","12",IF(R873="Moist Shady","10",IF(R873="Sub-Alpine Slopes","0")))))))</f>
        <v>10</v>
      </c>
      <c r="U873" s="123" t="str">
        <f>IF(R873="Bogs Ponds Streams","52",IF(R873="Coastal Areas","51",IF(R873="Meadows Dry Open","53",IF(R873="Forest &amp; Understory","52",IF(R873="Moist Open","50",IF(R873="Moist Shady","46",IF(R873="Sub-Alpine Slopes","40")))))))</f>
        <v>46</v>
      </c>
      <c r="V873" s="123" t="str">
        <f>IF(R873="Bogs Ponds Streams","84",IF(R873="Coastal Areas","76",IF(R873="Meadows Dry Open","96", IF(R873="Forest &amp; Understory","90", IF(R873="Moist Open","88", IF(R873="Moist Shady","82", IF(R873="Sub-Alpine Slopes","80")))))))</f>
        <v>82</v>
      </c>
      <c r="W873" s="59">
        <v>200</v>
      </c>
      <c r="X873" s="59">
        <v>0</v>
      </c>
      <c r="Y873" s="59">
        <v>3500</v>
      </c>
      <c r="Z873" s="59" t="s">
        <v>2519</v>
      </c>
      <c r="AA873" s="59" t="s">
        <v>2518</v>
      </c>
      <c r="AB873" s="59">
        <v>6.8</v>
      </c>
      <c r="AC873" s="45">
        <f>C873+AK873+(0.1)*AL873</f>
        <v>101</v>
      </c>
      <c r="AD873" s="77">
        <v>91</v>
      </c>
      <c r="AE873" s="59">
        <v>5</v>
      </c>
      <c r="AF873" s="59">
        <v>5</v>
      </c>
      <c r="AG873" s="59">
        <v>1900</v>
      </c>
      <c r="AH873" s="77">
        <v>0</v>
      </c>
      <c r="AI873" s="59">
        <f ca="1">AJ873</f>
        <v>2019</v>
      </c>
      <c r="AJ873" s="18">
        <f ca="1">YEAR(TODAY())</f>
        <v>2019</v>
      </c>
      <c r="AK873" s="18">
        <v>88</v>
      </c>
      <c r="AL873" s="18">
        <v>50</v>
      </c>
      <c r="AM873" s="18">
        <v>1</v>
      </c>
      <c r="AN873" s="18">
        <v>1</v>
      </c>
      <c r="AO873" s="18">
        <v>5</v>
      </c>
      <c r="AP873" s="18">
        <v>1</v>
      </c>
      <c r="AQ873" s="18">
        <v>0</v>
      </c>
      <c r="AR873" s="18">
        <v>0</v>
      </c>
      <c r="AS873" s="18">
        <v>0</v>
      </c>
      <c r="AT873" s="18">
        <v>0</v>
      </c>
      <c r="AU873" s="18">
        <v>0</v>
      </c>
      <c r="AV873" s="18">
        <v>0</v>
      </c>
      <c r="AW873" s="18">
        <v>0</v>
      </c>
      <c r="AX873" s="18">
        <v>0</v>
      </c>
      <c r="AY873" s="233"/>
      <c r="AZ873" s="4"/>
      <c r="BA873" s="35" t="str">
        <f ca="1">IF(OR(S873="North America",S873="Rocky Mountain"), "Widespread",BC873)</f>
        <v>Abundant</v>
      </c>
      <c r="BB873" s="4"/>
      <c r="BC873" s="35" t="str">
        <f ca="1">IF(BE873&gt;2046, "Abundant",BE873)</f>
        <v>Abundant</v>
      </c>
      <c r="BD873" s="4"/>
      <c r="BE873" s="81">
        <f ca="1">YEAR($C$13)+(BG873*80)</f>
        <v>2123.504219607843</v>
      </c>
      <c r="BF873" s="4"/>
      <c r="BG873" s="137">
        <f ca="1">BH873*$BH$14</f>
        <v>1.3063027450980393</v>
      </c>
      <c r="BH873" s="137">
        <f ca="1">(((BJ873+BK873+BM873+BN873)/4)*$BM$11)+(((BP873+BQ873)/2)*$BQ$11)+(((BU873+BV873+BW873)/3)*$BU$11)+(((BY873+BZ873+CA873+CB873+CC873)/5)*$CA$11)</f>
        <v>1.3063027450980393</v>
      </c>
      <c r="BI873" s="4"/>
      <c r="BJ873" s="33">
        <f>AP873/(AM873+AO873)</f>
        <v>0.16666666666666666</v>
      </c>
      <c r="BK873" s="33">
        <f>(AN873+AO873)/(AM873+AO873)</f>
        <v>1</v>
      </c>
      <c r="BL873" s="4"/>
      <c r="BM873" s="127">
        <f>CF873/102</f>
        <v>0.99019607843137258</v>
      </c>
      <c r="BN873" s="127">
        <f>C873/2</f>
        <v>4</v>
      </c>
      <c r="BO873" s="4"/>
      <c r="BP873" s="127">
        <f>(AK873)/($AW$6)</f>
        <v>0.88888888888888884</v>
      </c>
      <c r="BQ873" s="127">
        <f ca="1">(CH873-$AW$4)/((YEAR($C$13))-$AW$4)</f>
        <v>1</v>
      </c>
      <c r="BR873" s="127">
        <f>(AL873)/($AW$6)</f>
        <v>0.50505050505050508</v>
      </c>
      <c r="BS873" s="4"/>
      <c r="BT873" s="127"/>
      <c r="BU873" s="127">
        <f ca="1">(CG873-$AW$4)/((YEAR($C$13))-$AW$4)</f>
        <v>1</v>
      </c>
      <c r="BV873" s="127">
        <f>AE873/5</f>
        <v>1</v>
      </c>
      <c r="BW873" s="127">
        <f>AF873/5</f>
        <v>1</v>
      </c>
      <c r="BX873" s="4"/>
      <c r="BY873" s="148" t="str">
        <f>IF(E873="A",".98",IF(E873="B",".99",IF(E873="C","1.00",IF(E873="D","1.00" ))))</f>
        <v>1.00</v>
      </c>
      <c r="BZ873" s="127">
        <f>(CE873+7)/10</f>
        <v>1</v>
      </c>
      <c r="CA873" s="76" t="str">
        <f>IF(D873="Fern",".97",IF(D873="Grass",".99",IF(D873="Herb",".97",IF(D873="Shrub",".99",IF(D873="Tree","1.00",IF(D873="Vine",".98"))))))</f>
        <v>1.00</v>
      </c>
      <c r="CB873" s="149" t="str">
        <f>IF(R873="Bogs Ponds Streams",".96", IF(R873="Coastal Areas",".97",IF(R873="Meadows Dry Open",".96",IF(R873="Forest &amp; Understory",".97",IF(R873="Moist Open",".98",IF(R873="Moist Shady",".96",IF(R873="Sub-Alpine","1.0")))))))</f>
        <v>.96</v>
      </c>
      <c r="CC873" s="76" t="str">
        <f>IF(S873="Local Endemic",".50",IF(S873="Regional Endemic",".70",IF(S873="Cascadia",".90",IF(S873="Rocky Mountain",".95",IF(S873="North America",".99")))))</f>
        <v>.90</v>
      </c>
      <c r="CD873" s="4"/>
      <c r="CE873" s="21">
        <f>IF(W873&gt;3,3,W873)</f>
        <v>3</v>
      </c>
      <c r="CF873" s="21">
        <f>IF(AC873&gt;102,102,AC873)</f>
        <v>101</v>
      </c>
      <c r="CG873" s="34">
        <f ca="1">IF(AI873&lt;$AW$4,$AW$4,AI873)</f>
        <v>2019</v>
      </c>
      <c r="CH873" s="34">
        <f ca="1">IF(AJ873&lt;$AW$4,$AW$4,AJ873)</f>
        <v>2019</v>
      </c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</row>
    <row r="874" spans="1:115" ht="15" customHeight="1" x14ac:dyDescent="0.3">
      <c r="A874" s="235"/>
      <c r="B874" s="218"/>
      <c r="C874" s="225">
        <v>8</v>
      </c>
      <c r="D874" s="59" t="s">
        <v>2507</v>
      </c>
      <c r="E874" s="59" t="s">
        <v>2504</v>
      </c>
      <c r="F874" s="397" t="str">
        <f ca="1">IF(BC874&lt;2025, "Extinct&lt; 6Yrs?",BA874)</f>
        <v>Widespread</v>
      </c>
      <c r="G874" s="363" t="s">
        <v>525</v>
      </c>
      <c r="H874" s="363" t="s">
        <v>682</v>
      </c>
      <c r="I874" s="364" t="s">
        <v>3145</v>
      </c>
      <c r="J874" s="365" t="s">
        <v>3886</v>
      </c>
      <c r="K874" s="365" t="s">
        <v>532</v>
      </c>
      <c r="L874" s="8" t="s">
        <v>2133</v>
      </c>
      <c r="M874" s="8" t="s">
        <v>4944</v>
      </c>
      <c r="N874" s="8" t="s">
        <v>5842</v>
      </c>
      <c r="O874" s="8" t="s">
        <v>6741</v>
      </c>
      <c r="P874" s="9" t="s">
        <v>520</v>
      </c>
      <c r="Q874" s="59" t="s">
        <v>2552</v>
      </c>
      <c r="R874" s="9" t="s">
        <v>2500</v>
      </c>
      <c r="S874" s="9" t="s">
        <v>2479</v>
      </c>
      <c r="T874" s="123" t="str">
        <f>IF(R874="Bogs Ponds Streams","20",IF(R874="Coastal Areas","26",IF(R874="Meadows Dry Open","10",IF(R874="Forest &amp; Understory","14",IF(R874="Moist Open","12",IF(R874="Moist Shady","10",IF(R874="Sub-Alpine Slopes","0")))))))</f>
        <v>10</v>
      </c>
      <c r="U874" s="123" t="str">
        <f>IF(R874="Bogs Ponds Streams","52",IF(R874="Coastal Areas","51",IF(R874="Meadows Dry Open","53",IF(R874="Forest &amp; Understory","52",IF(R874="Moist Open","50",IF(R874="Moist Shady","46",IF(R874="Sub-Alpine Slopes","40")))))))</f>
        <v>53</v>
      </c>
      <c r="V874" s="123" t="str">
        <f>IF(R874="Bogs Ponds Streams","84",IF(R874="Coastal Areas","76",IF(R874="Meadows Dry Open","96", IF(R874="Forest &amp; Understory","90", IF(R874="Moist Open","88", IF(R874="Moist Shady","82", IF(R874="Sub-Alpine Slopes","80")))))))</f>
        <v>96</v>
      </c>
      <c r="W874" s="59">
        <v>200</v>
      </c>
      <c r="X874" s="59">
        <v>0</v>
      </c>
      <c r="Y874" s="59">
        <v>3500</v>
      </c>
      <c r="Z874" s="59" t="s">
        <v>2519</v>
      </c>
      <c r="AA874" s="59" t="s">
        <v>2518</v>
      </c>
      <c r="AB874" s="59">
        <v>6.8</v>
      </c>
      <c r="AC874" s="45">
        <f>C874+AK874+(0.1)*AL874</f>
        <v>62</v>
      </c>
      <c r="AD874" s="77">
        <v>53</v>
      </c>
      <c r="AE874" s="59">
        <v>5</v>
      </c>
      <c r="AF874" s="59">
        <v>5</v>
      </c>
      <c r="AG874" s="59">
        <v>1900</v>
      </c>
      <c r="AH874" s="77">
        <v>0</v>
      </c>
      <c r="AI874" s="59">
        <f ca="1">AJ874</f>
        <v>2019</v>
      </c>
      <c r="AJ874" s="18">
        <f ca="1">YEAR(TODAY())</f>
        <v>2019</v>
      </c>
      <c r="AK874" s="18">
        <v>50</v>
      </c>
      <c r="AL874" s="18">
        <v>40</v>
      </c>
      <c r="AM874" s="18">
        <v>1</v>
      </c>
      <c r="AN874" s="18">
        <v>1</v>
      </c>
      <c r="AO874" s="18">
        <v>5</v>
      </c>
      <c r="AP874" s="18">
        <v>1</v>
      </c>
      <c r="AQ874" s="18">
        <v>0</v>
      </c>
      <c r="AR874" s="18">
        <v>0</v>
      </c>
      <c r="AS874" s="18">
        <v>0</v>
      </c>
      <c r="AT874" s="18">
        <v>0</v>
      </c>
      <c r="AU874" s="18">
        <v>0</v>
      </c>
      <c r="AV874" s="18">
        <v>0</v>
      </c>
      <c r="AW874" s="18">
        <v>0</v>
      </c>
      <c r="AX874" s="18">
        <v>0</v>
      </c>
      <c r="AY874" s="233"/>
      <c r="AZ874" s="4"/>
      <c r="BA874" s="35" t="str">
        <f>IF(OR(S874="North America",S874="Rocky Mountain"), "Widespread",BC874)</f>
        <v>Widespread</v>
      </c>
      <c r="BB874" s="4"/>
      <c r="BC874" s="35" t="str">
        <f ca="1">IF(BE874&gt;2046, "Abundant",BE874)</f>
        <v>Abundant</v>
      </c>
      <c r="BD874" s="4"/>
      <c r="BE874" s="81">
        <f ca="1">YEAR($C$13)+(BG874*80)</f>
        <v>2114.325923707665</v>
      </c>
      <c r="BF874" s="4"/>
      <c r="BG874" s="137">
        <f ca="1">BH874*$BH$14</f>
        <v>1.1915740463458111</v>
      </c>
      <c r="BH874" s="137">
        <f ca="1">(((BJ874+BK874+BM874+BN874)/4)*$BM$11)+(((BP874+BQ874)/2)*$BQ$11)+(((BU874+BV874+BW874)/3)*$BU$11)+(((BY874+BZ874+CA874+CB874+CC874)/5)*$CA$11)</f>
        <v>1.1915740463458111</v>
      </c>
      <c r="BI874" s="4"/>
      <c r="BJ874" s="33">
        <f>AP874/(AM874+AO874)</f>
        <v>0.16666666666666666</v>
      </c>
      <c r="BK874" s="33">
        <f>(AN874+AO874)/(AM874+AO874)</f>
        <v>1</v>
      </c>
      <c r="BL874" s="4"/>
      <c r="BM874" s="127">
        <f>CF874/102</f>
        <v>0.60784313725490191</v>
      </c>
      <c r="BN874" s="127">
        <f>C874/2</f>
        <v>4</v>
      </c>
      <c r="BO874" s="4"/>
      <c r="BP874" s="127">
        <f>(AK874)/($AW$6)</f>
        <v>0.50505050505050508</v>
      </c>
      <c r="BQ874" s="127">
        <f ca="1">(CH874-$AW$4)/((YEAR($C$13))-$AW$4)</f>
        <v>1</v>
      </c>
      <c r="BR874" s="127">
        <f>(AL874)/($AW$6)</f>
        <v>0.40404040404040403</v>
      </c>
      <c r="BS874" s="4"/>
      <c r="BT874" s="127"/>
      <c r="BU874" s="127">
        <f ca="1">(CG874-$AW$4)/((YEAR($C$13))-$AW$4)</f>
        <v>1</v>
      </c>
      <c r="BV874" s="127">
        <f>AE874/5</f>
        <v>1</v>
      </c>
      <c r="BW874" s="127">
        <f>AF874/5</f>
        <v>1</v>
      </c>
      <c r="BX874" s="4"/>
      <c r="BY874" s="148" t="str">
        <f>IF(E874="A",".98",IF(E874="B",".99",IF(E874="C","1.00",IF(E874="D","1.00" ))))</f>
        <v>1.00</v>
      </c>
      <c r="BZ874" s="127">
        <f>(CE874+7)/10</f>
        <v>1</v>
      </c>
      <c r="CA874" s="76" t="str">
        <f>IF(D874="Fern",".97",IF(D874="Grass",".99",IF(D874="Herb",".97",IF(D874="Shrub",".99",IF(D874="Tree","1.00",IF(D874="Vine",".98"))))))</f>
        <v>1.00</v>
      </c>
      <c r="CB874" s="149" t="str">
        <f>IF(R874="Bogs Ponds Streams",".96", IF(R874="Coastal Areas",".97",IF(R874="Meadows Dry Open",".96",IF(R874="Forest &amp; Understory",".97",IF(R874="Moist Open",".98",IF(R874="Moist Shady",".96",IF(R874="Sub-Alpine","1.0")))))))</f>
        <v>.96</v>
      </c>
      <c r="CC874" s="76" t="str">
        <f>IF(S874="Local Endemic",".50",IF(S874="Regional Endemic",".70",IF(S874="Cascadia",".90",IF(S874="Rocky Mountain",".95",IF(S874="North America",".99")))))</f>
        <v>.95</v>
      </c>
      <c r="CD874" s="4"/>
      <c r="CE874" s="21">
        <f>IF(W874&gt;3,3,W874)</f>
        <v>3</v>
      </c>
      <c r="CF874" s="21">
        <f>IF(AC874&gt;102,102,AC874)</f>
        <v>62</v>
      </c>
      <c r="CG874" s="34">
        <f ca="1">IF(AI874&lt;$AW$4,$AW$4,AI874)</f>
        <v>2019</v>
      </c>
      <c r="CH874" s="34">
        <f ca="1">IF(AJ874&lt;$AW$4,$AW$4,AJ874)</f>
        <v>2019</v>
      </c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</row>
    <row r="875" spans="1:115" ht="15" customHeight="1" x14ac:dyDescent="0.3">
      <c r="A875" s="235"/>
      <c r="B875" s="218"/>
      <c r="C875" s="375">
        <v>1</v>
      </c>
      <c r="D875" s="67" t="s">
        <v>2505</v>
      </c>
      <c r="E875" s="67" t="s">
        <v>2503</v>
      </c>
      <c r="F875" s="403" t="str">
        <f ca="1">IF(BC875&lt;2025, "Extinct&lt; 6Yrs?",BA875)</f>
        <v>Widespread</v>
      </c>
      <c r="G875" s="376" t="s">
        <v>525</v>
      </c>
      <c r="H875" s="376" t="s">
        <v>4028</v>
      </c>
      <c r="I875" s="378" t="s">
        <v>2725</v>
      </c>
      <c r="J875" s="378" t="s">
        <v>3482</v>
      </c>
      <c r="K875" s="378" t="s">
        <v>807</v>
      </c>
      <c r="L875" s="65" t="s">
        <v>2104</v>
      </c>
      <c r="M875" s="64" t="s">
        <v>4945</v>
      </c>
      <c r="N875" s="64" t="s">
        <v>5843</v>
      </c>
      <c r="O875" s="64" t="s">
        <v>6742</v>
      </c>
      <c r="P875" s="404" t="s">
        <v>144</v>
      </c>
      <c r="Q875" s="67" t="s">
        <v>2552</v>
      </c>
      <c r="R875" s="61" t="s">
        <v>2498</v>
      </c>
      <c r="S875" s="61" t="s">
        <v>2495</v>
      </c>
      <c r="T875" s="134" t="str">
        <f>IF(R875="Bogs Ponds Streams","20",IF(R875="Coastal Areas","26",IF(R875="Meadows Dry Open","10",IF(R875="Forest &amp; Understory","14",IF(R875="Moist Open","12",IF(R875="Moist Shady","10",IF(R875="Sub-Alpine Slopes","0")))))))</f>
        <v>10</v>
      </c>
      <c r="U875" s="134" t="str">
        <f>IF(R875="Bogs Ponds Streams","52",IF(R875="Coastal Areas","51",IF(R875="Meadows Dry Open","53",IF(R875="Forest &amp; Understory","52",IF(R875="Moist Open","50",IF(R875="Moist Shady","46",IF(R875="Sub-Alpine Slopes","40")))))))</f>
        <v>46</v>
      </c>
      <c r="V875" s="134" t="str">
        <f>IF(R875="Bogs Ponds Streams","84",IF(R875="Coastal Areas","76",IF(R875="Meadows Dry Open","96", IF(R875="Forest &amp; Understory","90", IF(R875="Moist Open","88", IF(R875="Moist Shady","82", IF(R875="Sub-Alpine Slopes","80")))))))</f>
        <v>82</v>
      </c>
      <c r="W875" s="67">
        <v>2</v>
      </c>
      <c r="X875" s="67">
        <v>0</v>
      </c>
      <c r="Y875" s="67">
        <v>3500</v>
      </c>
      <c r="Z875" s="67" t="s">
        <v>2519</v>
      </c>
      <c r="AA875" s="67" t="s">
        <v>2518</v>
      </c>
      <c r="AB875" s="67">
        <v>6.8</v>
      </c>
      <c r="AC875" s="85">
        <f>C875+AK875+(0.1)*AL875</f>
        <v>15.2</v>
      </c>
      <c r="AD875" s="78">
        <v>128</v>
      </c>
      <c r="AE875" s="67">
        <v>5</v>
      </c>
      <c r="AF875" s="67">
        <v>5</v>
      </c>
      <c r="AG875" s="67">
        <v>1900</v>
      </c>
      <c r="AH875" s="78">
        <v>0</v>
      </c>
      <c r="AI875" s="67">
        <f>AJ875</f>
        <v>2004</v>
      </c>
      <c r="AJ875" s="69">
        <v>2004</v>
      </c>
      <c r="AK875" s="69">
        <v>12</v>
      </c>
      <c r="AL875" s="69">
        <v>22</v>
      </c>
      <c r="AM875" s="70">
        <v>5</v>
      </c>
      <c r="AN875" s="70">
        <v>0</v>
      </c>
      <c r="AO875" s="86">
        <v>0</v>
      </c>
      <c r="AP875" s="70">
        <v>0</v>
      </c>
      <c r="AQ875" s="70">
        <v>0</v>
      </c>
      <c r="AR875" s="70">
        <v>0</v>
      </c>
      <c r="AS875" s="86">
        <v>0</v>
      </c>
      <c r="AT875" s="70">
        <v>0</v>
      </c>
      <c r="AU875" s="70">
        <v>0</v>
      </c>
      <c r="AV875" s="70">
        <v>0</v>
      </c>
      <c r="AW875" s="86">
        <v>0</v>
      </c>
      <c r="AX875" s="70">
        <v>0</v>
      </c>
      <c r="AY875" s="233"/>
      <c r="AZ875" s="4"/>
      <c r="BA875" s="35" t="str">
        <f>IF(OR(S875="North America",S875="Rocky Mountain"), "Widespread",BC875)</f>
        <v>Widespread</v>
      </c>
      <c r="BB875" s="4"/>
      <c r="BC875" s="35">
        <f ca="1">IF(BE875&gt;2046, "Abundant",BE875)</f>
        <v>2034.0486474153297</v>
      </c>
      <c r="BD875" s="4"/>
      <c r="BE875" s="81">
        <f ca="1">YEAR($C$13)+(BG875*80)</f>
        <v>2034.0486474153297</v>
      </c>
      <c r="BF875" s="4"/>
      <c r="BG875" s="137">
        <f ca="1">BH875*$BH$14</f>
        <v>0.18810809269162213</v>
      </c>
      <c r="BH875" s="137">
        <f ca="1">(((BJ875+BK875+BM875+BN875)/4)*$BM$11)+(((BP875+BQ875)/2)*$BQ$11)+(((BU875+BV875+BW875)/3)*$BU$11)+(((BY875+BZ875+CA875+CB875+CC875)/5)*$CA$11)</f>
        <v>0.18810809269162213</v>
      </c>
      <c r="BI875" s="4"/>
      <c r="BJ875" s="33">
        <f>AP875/(AM875+AO875)</f>
        <v>0</v>
      </c>
      <c r="BK875" s="33">
        <f>(AN875+AO875)/(AM875+AO875)</f>
        <v>0</v>
      </c>
      <c r="BL875" s="4"/>
      <c r="BM875" s="127">
        <f>CF875/102</f>
        <v>0.14901960784313725</v>
      </c>
      <c r="BN875" s="127">
        <f>C875/2</f>
        <v>0.5</v>
      </c>
      <c r="BO875" s="4"/>
      <c r="BP875" s="127">
        <f>(AK875)/($AW$6)</f>
        <v>0.12121212121212122</v>
      </c>
      <c r="BQ875" s="127">
        <f ca="1">(CH875-$AW$4)/((YEAR($C$13))-$AW$4)</f>
        <v>0</v>
      </c>
      <c r="BR875" s="127">
        <f>(AL875)/($AW$6)</f>
        <v>0.22222222222222221</v>
      </c>
      <c r="BS875" s="4"/>
      <c r="BT875" s="127"/>
      <c r="BU875" s="127">
        <f ca="1">(CG875-$AW$4)/((YEAR($C$13))-$AW$4)</f>
        <v>0</v>
      </c>
      <c r="BV875" s="127">
        <f>AE875/5</f>
        <v>1</v>
      </c>
      <c r="BW875" s="127">
        <f>AF875/5</f>
        <v>1</v>
      </c>
      <c r="BX875" s="4"/>
      <c r="BY875" s="148" t="str">
        <f>IF(E875="A",".98",IF(E875="B",".99",IF(E875="C","1.00",IF(E875="D","1.00" ))))</f>
        <v>.99</v>
      </c>
      <c r="BZ875" s="127">
        <f>(CE875+7)/10</f>
        <v>0.9</v>
      </c>
      <c r="CA875" s="76" t="str">
        <f>IF(D875="Fern",".97",IF(D875="Grass",".99",IF(D875="Herb",".97",IF(D875="Shrub",".99",IF(D875="Tree","1.00",IF(D875="Vine",".98"))))))</f>
        <v>.97</v>
      </c>
      <c r="CB875" s="149" t="str">
        <f>IF(R875="Bogs Ponds Streams",".96", IF(R875="Coastal Areas",".97",IF(R875="Meadows Dry Open",".96",IF(R875="Forest &amp; Understory",".97",IF(R875="Moist Open",".98",IF(R875="Moist Shady",".96",IF(R875="Sub-Alpine","1.0")))))))</f>
        <v>.96</v>
      </c>
      <c r="CC875" s="76" t="str">
        <f>IF(S875="Local Endemic",".50",IF(S875="Regional Endemic",".70",IF(S875="Cascadia",".90",IF(S875="Rocky Mountain",".95",IF(S875="North America",".99")))))</f>
        <v>.99</v>
      </c>
      <c r="CD875" s="4"/>
      <c r="CE875" s="21">
        <f>IF(W875&gt;3,3,W875)</f>
        <v>2</v>
      </c>
      <c r="CF875" s="21">
        <f>IF(AC875&gt;102,102,AC875)</f>
        <v>15.2</v>
      </c>
      <c r="CG875" s="34">
        <f>IF(AI875&lt;$AW$4,$AW$4,AI875)</f>
        <v>2004</v>
      </c>
      <c r="CH875" s="34">
        <f>IF(AJ875&lt;$AW$4,$AW$4,AJ875)</f>
        <v>2004</v>
      </c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</row>
    <row r="876" spans="1:115" ht="15" customHeight="1" x14ac:dyDescent="0.3">
      <c r="A876" s="235"/>
      <c r="B876" s="218"/>
      <c r="C876" s="226">
        <v>2</v>
      </c>
      <c r="D876" s="104" t="s">
        <v>2505</v>
      </c>
      <c r="E876" s="104" t="s">
        <v>2501</v>
      </c>
      <c r="F876" s="400">
        <f ca="1">IF(BC876&lt;2025, "Extinct&lt; 6Yrs?",BA876)</f>
        <v>2042.1402352941177</v>
      </c>
      <c r="G876" s="369" t="s">
        <v>525</v>
      </c>
      <c r="H876" s="369" t="s">
        <v>4028</v>
      </c>
      <c r="I876" s="371" t="s">
        <v>60</v>
      </c>
      <c r="J876" s="371" t="s">
        <v>3686</v>
      </c>
      <c r="K876" s="371" t="s">
        <v>808</v>
      </c>
      <c r="L876" s="106" t="s">
        <v>2105</v>
      </c>
      <c r="M876" s="111" t="s">
        <v>4946</v>
      </c>
      <c r="N876" s="111" t="s">
        <v>5844</v>
      </c>
      <c r="O876" s="111" t="s">
        <v>6743</v>
      </c>
      <c r="P876" s="105" t="s">
        <v>248</v>
      </c>
      <c r="Q876" s="104" t="s">
        <v>2552</v>
      </c>
      <c r="R876" s="106" t="s">
        <v>2497</v>
      </c>
      <c r="S876" s="114" t="s">
        <v>2459</v>
      </c>
      <c r="T876" s="133" t="str">
        <f>IF(R876="Bogs Ponds Streams","20",IF(R876="Coastal Areas","26",IF(R876="Meadows Dry Open","10",IF(R876="Forest &amp; Understory","14",IF(R876="Moist Open","12",IF(R876="Moist Shady","10",IF(R876="Sub-Alpine Slopes","0")))))))</f>
        <v>12</v>
      </c>
      <c r="U876" s="133" t="str">
        <f>IF(R876="Bogs Ponds Streams","52",IF(R876="Coastal Areas","51",IF(R876="Meadows Dry Open","53",IF(R876="Forest &amp; Understory","52",IF(R876="Moist Open","50",IF(R876="Moist Shady","46",IF(R876="Sub-Alpine Slopes","40")))))))</f>
        <v>50</v>
      </c>
      <c r="V876" s="133" t="str">
        <f>IF(R876="Bogs Ponds Streams","84",IF(R876="Coastal Areas","76",IF(R876="Meadows Dry Open","96", IF(R876="Forest &amp; Understory","90", IF(R876="Moist Open","88", IF(R876="Moist Shady","82", IF(R876="Sub-Alpine Slopes","80")))))))</f>
        <v>88</v>
      </c>
      <c r="W876" s="104">
        <v>20</v>
      </c>
      <c r="X876" s="104">
        <v>0</v>
      </c>
      <c r="Y876" s="104">
        <v>3500</v>
      </c>
      <c r="Z876" s="104" t="s">
        <v>2519</v>
      </c>
      <c r="AA876" s="104" t="s">
        <v>2518</v>
      </c>
      <c r="AB876" s="104">
        <v>6.8</v>
      </c>
      <c r="AC876" s="107">
        <f>C876+AK876+(0.1)*AL876</f>
        <v>13.5</v>
      </c>
      <c r="AD876" s="113">
        <v>20</v>
      </c>
      <c r="AE876" s="104">
        <v>5</v>
      </c>
      <c r="AF876" s="104">
        <v>5</v>
      </c>
      <c r="AG876" s="104">
        <v>1900</v>
      </c>
      <c r="AH876" s="113">
        <v>0</v>
      </c>
      <c r="AI876" s="104">
        <f>AJ876</f>
        <v>2004</v>
      </c>
      <c r="AJ876" s="108">
        <v>2004</v>
      </c>
      <c r="AK876" s="108">
        <v>11</v>
      </c>
      <c r="AL876" s="108">
        <v>5</v>
      </c>
      <c r="AM876" s="109">
        <v>5</v>
      </c>
      <c r="AN876" s="109">
        <v>1</v>
      </c>
      <c r="AO876" s="110">
        <v>0</v>
      </c>
      <c r="AP876" s="109">
        <v>0</v>
      </c>
      <c r="AQ876" s="109">
        <v>0</v>
      </c>
      <c r="AR876" s="109">
        <v>0</v>
      </c>
      <c r="AS876" s="110">
        <v>0</v>
      </c>
      <c r="AT876" s="109">
        <v>0</v>
      </c>
      <c r="AU876" s="109">
        <v>0</v>
      </c>
      <c r="AV876" s="109">
        <v>0</v>
      </c>
      <c r="AW876" s="110">
        <v>0</v>
      </c>
      <c r="AX876" s="109">
        <v>0</v>
      </c>
      <c r="AY876" s="233"/>
      <c r="AZ876" s="4"/>
      <c r="BA876" s="35">
        <f ca="1">IF(OR(S876="North America",S876="Rocky Mountain"), "Widespread",BC876)</f>
        <v>2042.1402352941177</v>
      </c>
      <c r="BB876" s="4"/>
      <c r="BC876" s="35">
        <f ca="1">IF(BE876&gt;2046, "Abundant",BE876)</f>
        <v>2042.1402352941177</v>
      </c>
      <c r="BD876" s="4"/>
      <c r="BE876" s="81">
        <f ca="1">YEAR($C$13)+(BG876*80)</f>
        <v>2042.1402352941177</v>
      </c>
      <c r="BF876" s="4"/>
      <c r="BG876" s="137">
        <f ca="1">BH876*$BH$14</f>
        <v>0.2892529411764706</v>
      </c>
      <c r="BH876" s="137">
        <f ca="1">(((BJ876+BK876+BM876+BN876)/4)*$BM$11)+(((BP876+BQ876)/2)*$BQ$11)+(((BU876+BV876+BW876)/3)*$BU$11)+(((BY876+BZ876+CA876+CB876+CC876)/5)*$CA$11)</f>
        <v>0.2892529411764706</v>
      </c>
      <c r="BI876" s="4"/>
      <c r="BJ876" s="33">
        <f>AP876/(AM876+AO876)</f>
        <v>0</v>
      </c>
      <c r="BK876" s="33">
        <f>(AN876+AO876)/(AM876+AO876)</f>
        <v>0.2</v>
      </c>
      <c r="BL876" s="4"/>
      <c r="BM876" s="127">
        <f>CF876/102</f>
        <v>0.13235294117647059</v>
      </c>
      <c r="BN876" s="127">
        <f>C876/2</f>
        <v>1</v>
      </c>
      <c r="BO876" s="4"/>
      <c r="BP876" s="127">
        <f>(AK876)/($AW$6)</f>
        <v>0.1111111111111111</v>
      </c>
      <c r="BQ876" s="127">
        <f ca="1">(CH876-$AW$4)/((YEAR($C$13))-$AW$4)</f>
        <v>0</v>
      </c>
      <c r="BR876" s="127">
        <f>(AL876)/($AW$6)</f>
        <v>5.0505050505050504E-2</v>
      </c>
      <c r="BS876" s="4"/>
      <c r="BT876" s="127"/>
      <c r="BU876" s="127">
        <f ca="1">(CG876-$AW$4)/((YEAR($C$13))-$AW$4)</f>
        <v>0</v>
      </c>
      <c r="BV876" s="127">
        <f>AE876/5</f>
        <v>1</v>
      </c>
      <c r="BW876" s="127">
        <f>AF876/5</f>
        <v>1</v>
      </c>
      <c r="BX876" s="4"/>
      <c r="BY876" s="148" t="str">
        <f>IF(E876="A",".98",IF(E876="B",".99",IF(E876="C","1.00",IF(E876="D","1.00" ))))</f>
        <v>1.00</v>
      </c>
      <c r="BZ876" s="127">
        <f>(CE876+7)/10</f>
        <v>1</v>
      </c>
      <c r="CA876" s="76" t="str">
        <f>IF(D876="Fern",".97",IF(D876="Grass",".99",IF(D876="Herb",".97",IF(D876="Shrub",".99",IF(D876="Tree","1.00",IF(D876="Vine",".98"))))))</f>
        <v>.97</v>
      </c>
      <c r="CB876" s="149" t="str">
        <f>IF(R876="Bogs Ponds Streams",".96", IF(R876="Coastal Areas",".97",IF(R876="Meadows Dry Open",".96",IF(R876="Forest &amp; Understory",".97",IF(R876="Moist Open",".98",IF(R876="Moist Shady",".96",IF(R876="Sub-Alpine","1.0")))))))</f>
        <v>.98</v>
      </c>
      <c r="CC876" s="76" t="str">
        <f>IF(S876="Local Endemic",".50",IF(S876="Regional Endemic",".70",IF(S876="Cascadia",".90",IF(S876="Rocky Mountain",".95",IF(S876="North America",".99")))))</f>
        <v>.90</v>
      </c>
      <c r="CD876" s="4"/>
      <c r="CE876" s="21">
        <f>IF(W876&gt;3,3,W876)</f>
        <v>3</v>
      </c>
      <c r="CF876" s="21">
        <f>IF(AC876&gt;102,102,AC876)</f>
        <v>13.5</v>
      </c>
      <c r="CG876" s="34">
        <f>IF(AI876&lt;$AW$4,$AW$4,AI876)</f>
        <v>2004</v>
      </c>
      <c r="CH876" s="34">
        <f>IF(AJ876&lt;$AW$4,$AW$4,AJ876)</f>
        <v>2004</v>
      </c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</row>
    <row r="877" spans="1:115" ht="15" customHeight="1" x14ac:dyDescent="0.3">
      <c r="A877" s="235"/>
      <c r="B877" s="218"/>
      <c r="C877" s="225">
        <v>8</v>
      </c>
      <c r="D877" s="59" t="s">
        <v>2505</v>
      </c>
      <c r="E877" s="59" t="s">
        <v>2501</v>
      </c>
      <c r="F877" s="397" t="str">
        <f ca="1">IF(BC877&lt;2025, "Extinct&lt; 6Yrs?",BA877)</f>
        <v>Widespread</v>
      </c>
      <c r="G877" s="363" t="s">
        <v>525</v>
      </c>
      <c r="H877" s="363" t="s">
        <v>681</v>
      </c>
      <c r="I877" s="364" t="s">
        <v>249</v>
      </c>
      <c r="J877" s="365" t="s">
        <v>3885</v>
      </c>
      <c r="K877" s="365" t="s">
        <v>806</v>
      </c>
      <c r="L877" s="10" t="s">
        <v>4048</v>
      </c>
      <c r="M877" s="8" t="s">
        <v>4947</v>
      </c>
      <c r="N877" s="8" t="s">
        <v>5845</v>
      </c>
      <c r="O877" s="8" t="s">
        <v>6744</v>
      </c>
      <c r="P877" s="9" t="s">
        <v>248</v>
      </c>
      <c r="Q877" s="59" t="s">
        <v>2552</v>
      </c>
      <c r="R877" s="9" t="s">
        <v>2497</v>
      </c>
      <c r="S877" s="9" t="s">
        <v>2495</v>
      </c>
      <c r="T877" s="123" t="str">
        <f>IF(R877="Bogs Ponds Streams","20",IF(R877="Coastal Areas","26",IF(R877="Meadows Dry Open","10",IF(R877="Forest &amp; Understory","14",IF(R877="Moist Open","12",IF(R877="Moist Shady","10",IF(R877="Sub-Alpine Slopes","0")))))))</f>
        <v>12</v>
      </c>
      <c r="U877" s="123" t="str">
        <f>IF(R877="Bogs Ponds Streams","52",IF(R877="Coastal Areas","51",IF(R877="Meadows Dry Open","53",IF(R877="Forest &amp; Understory","52",IF(R877="Moist Open","50",IF(R877="Moist Shady","46",IF(R877="Sub-Alpine Slopes","40")))))))</f>
        <v>50</v>
      </c>
      <c r="V877" s="123" t="str">
        <f>IF(R877="Bogs Ponds Streams","84",IF(R877="Coastal Areas","76",IF(R877="Meadows Dry Open","96", IF(R877="Forest &amp; Understory","90", IF(R877="Moist Open","88", IF(R877="Moist Shady","82", IF(R877="Sub-Alpine Slopes","80")))))))</f>
        <v>88</v>
      </c>
      <c r="W877" s="59">
        <v>20</v>
      </c>
      <c r="X877" s="59">
        <v>0</v>
      </c>
      <c r="Y877" s="59">
        <v>3500</v>
      </c>
      <c r="Z877" s="59" t="s">
        <v>2519</v>
      </c>
      <c r="AA877" s="59" t="s">
        <v>2518</v>
      </c>
      <c r="AB877" s="59">
        <v>6.8</v>
      </c>
      <c r="AC877" s="45">
        <f>C877+AK877+(0.1)*AL877</f>
        <v>31</v>
      </c>
      <c r="AD877" s="77">
        <v>76</v>
      </c>
      <c r="AE877" s="59">
        <v>5</v>
      </c>
      <c r="AF877" s="59">
        <v>5</v>
      </c>
      <c r="AG877" s="59">
        <v>1900</v>
      </c>
      <c r="AH877" s="77">
        <v>0</v>
      </c>
      <c r="AI877" s="59">
        <f ca="1">AJ877</f>
        <v>2019</v>
      </c>
      <c r="AJ877" s="18">
        <f ca="1">YEAR(TODAY())</f>
        <v>2019</v>
      </c>
      <c r="AK877" s="18">
        <v>20</v>
      </c>
      <c r="AL877" s="18">
        <v>30</v>
      </c>
      <c r="AM877" s="18">
        <v>1</v>
      </c>
      <c r="AN877" s="18">
        <v>1</v>
      </c>
      <c r="AO877" s="18">
        <v>5</v>
      </c>
      <c r="AP877" s="18">
        <v>1</v>
      </c>
      <c r="AQ877" s="18">
        <v>0</v>
      </c>
      <c r="AR877" s="18">
        <v>0</v>
      </c>
      <c r="AS877" s="18">
        <v>0</v>
      </c>
      <c r="AT877" s="18">
        <v>0</v>
      </c>
      <c r="AU877" s="18">
        <v>0</v>
      </c>
      <c r="AV877" s="18">
        <v>0</v>
      </c>
      <c r="AW877" s="18">
        <v>0</v>
      </c>
      <c r="AX877" s="18">
        <v>0</v>
      </c>
      <c r="AY877" s="233"/>
      <c r="AZ877" s="4"/>
      <c r="BA877" s="35" t="str">
        <f>IF(OR(S877="North America",S877="Rocky Mountain"), "Widespread",BC877)</f>
        <v>Widespread</v>
      </c>
      <c r="BB877" s="4"/>
      <c r="BC877" s="35" t="str">
        <f ca="1">IF(BE877&gt;2046, "Abundant",BE877)</f>
        <v>Abundant</v>
      </c>
      <c r="BD877" s="4"/>
      <c r="BE877" s="81">
        <f ca="1">YEAR($C$13)+(BG877*80)</f>
        <v>2107.052101247772</v>
      </c>
      <c r="BF877" s="4"/>
      <c r="BG877" s="137">
        <f ca="1">BH877*$BH$14</f>
        <v>1.1006512655971481</v>
      </c>
      <c r="BH877" s="137">
        <f ca="1">(((BJ877+BK877+BM877+BN877)/4)*$BM$11)+(((BP877+BQ877)/2)*$BQ$11)+(((BU877+BV877+BW877)/3)*$BU$11)+(((BY877+BZ877+CA877+CB877+CC877)/5)*$CA$11)</f>
        <v>1.1006512655971481</v>
      </c>
      <c r="BI877" s="4"/>
      <c r="BJ877" s="33">
        <f>AP877/(AM877+AO877)</f>
        <v>0.16666666666666666</v>
      </c>
      <c r="BK877" s="33">
        <f>(AN877+AO877)/(AM877+AO877)</f>
        <v>1</v>
      </c>
      <c r="BL877" s="4"/>
      <c r="BM877" s="127">
        <f>CF877/102</f>
        <v>0.30392156862745096</v>
      </c>
      <c r="BN877" s="127">
        <f>C877/2</f>
        <v>4</v>
      </c>
      <c r="BO877" s="4"/>
      <c r="BP877" s="127">
        <f>(AK877)/($AW$6)</f>
        <v>0.20202020202020202</v>
      </c>
      <c r="BQ877" s="127">
        <f ca="1">(CH877-$AW$4)/((YEAR($C$13))-$AW$4)</f>
        <v>1</v>
      </c>
      <c r="BR877" s="127">
        <f>(AL877)/($AW$6)</f>
        <v>0.30303030303030304</v>
      </c>
      <c r="BS877" s="4"/>
      <c r="BT877" s="127"/>
      <c r="BU877" s="127">
        <f ca="1">(CG877-$AW$4)/((YEAR($C$13))-$AW$4)</f>
        <v>1</v>
      </c>
      <c r="BV877" s="127">
        <f>AE877/5</f>
        <v>1</v>
      </c>
      <c r="BW877" s="127">
        <f>AF877/5</f>
        <v>1</v>
      </c>
      <c r="BX877" s="4"/>
      <c r="BY877" s="148" t="str">
        <f>IF(E877="A",".98",IF(E877="B",".99",IF(E877="C","1.00",IF(E877="D","1.00" ))))</f>
        <v>1.00</v>
      </c>
      <c r="BZ877" s="127">
        <f>(CE877+7)/10</f>
        <v>1</v>
      </c>
      <c r="CA877" s="76" t="str">
        <f>IF(D877="Fern",".97",IF(D877="Grass",".99",IF(D877="Herb",".97",IF(D877="Shrub",".99",IF(D877="Tree","1.00",IF(D877="Vine",".98"))))))</f>
        <v>.97</v>
      </c>
      <c r="CB877" s="149" t="str">
        <f>IF(R877="Bogs Ponds Streams",".96", IF(R877="Coastal Areas",".97",IF(R877="Meadows Dry Open",".96",IF(R877="Forest &amp; Understory",".97",IF(R877="Moist Open",".98",IF(R877="Moist Shady",".96",IF(R877="Sub-Alpine","1.0")))))))</f>
        <v>.98</v>
      </c>
      <c r="CC877" s="76" t="str">
        <f>IF(S877="Local Endemic",".50",IF(S877="Regional Endemic",".70",IF(S877="Cascadia",".90",IF(S877="Rocky Mountain",".95",IF(S877="North America",".99")))))</f>
        <v>.99</v>
      </c>
      <c r="CD877" s="4"/>
      <c r="CE877" s="21">
        <f>IF(W877&gt;3,3,W877)</f>
        <v>3</v>
      </c>
      <c r="CF877" s="21">
        <f>IF(AC877&gt;102,102,AC877)</f>
        <v>31</v>
      </c>
      <c r="CG877" s="34">
        <f ca="1">IF(AI877&lt;$AW$4,$AW$4,AI877)</f>
        <v>2019</v>
      </c>
      <c r="CH877" s="34">
        <f ca="1">IF(AJ877&lt;$AW$4,$AW$4,AJ877)</f>
        <v>2019</v>
      </c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13"/>
    </row>
    <row r="878" spans="1:115" ht="15" customHeight="1" x14ac:dyDescent="0.3">
      <c r="A878" s="235"/>
      <c r="B878" s="218"/>
      <c r="C878" s="225">
        <v>8</v>
      </c>
      <c r="D878" s="59" t="s">
        <v>2505</v>
      </c>
      <c r="E878" s="59" t="s">
        <v>2501</v>
      </c>
      <c r="F878" s="397" t="str">
        <f ca="1">IF(BC878&lt;2025, "Extinct&lt; 6Yrs?",BA878)</f>
        <v>Widespread</v>
      </c>
      <c r="G878" s="363" t="s">
        <v>525</v>
      </c>
      <c r="H878" s="363" t="s">
        <v>686</v>
      </c>
      <c r="I878" s="364" t="s">
        <v>384</v>
      </c>
      <c r="J878" s="365" t="s">
        <v>3884</v>
      </c>
      <c r="K878" s="365" t="s">
        <v>1238</v>
      </c>
      <c r="L878" s="10" t="s">
        <v>2036</v>
      </c>
      <c r="M878" s="8" t="s">
        <v>4948</v>
      </c>
      <c r="N878" s="8" t="s">
        <v>5846</v>
      </c>
      <c r="O878" s="8" t="s">
        <v>6745</v>
      </c>
      <c r="P878" s="9" t="s">
        <v>385</v>
      </c>
      <c r="Q878" s="59" t="s">
        <v>2552</v>
      </c>
      <c r="R878" s="9" t="s">
        <v>2498</v>
      </c>
      <c r="S878" s="9" t="s">
        <v>2495</v>
      </c>
      <c r="T878" s="123" t="str">
        <f>IF(R878="Bogs Ponds Streams","20",IF(R878="Coastal Areas","26",IF(R878="Meadows Dry Open","10",IF(R878="Forest &amp; Understory","14",IF(R878="Moist Open","12",IF(R878="Moist Shady","10",IF(R878="Sub-Alpine Slopes","0")))))))</f>
        <v>10</v>
      </c>
      <c r="U878" s="123" t="str">
        <f>IF(R878="Bogs Ponds Streams","52",IF(R878="Coastal Areas","51",IF(R878="Meadows Dry Open","53",IF(R878="Forest &amp; Understory","52",IF(R878="Moist Open","50",IF(R878="Moist Shady","46",IF(R878="Sub-Alpine Slopes","40")))))))</f>
        <v>46</v>
      </c>
      <c r="V878" s="123" t="str">
        <f>IF(R878="Bogs Ponds Streams","84",IF(R878="Coastal Areas","76",IF(R878="Meadows Dry Open","96", IF(R878="Forest &amp; Understory","90", IF(R878="Moist Open","88", IF(R878="Moist Shady","82", IF(R878="Sub-Alpine Slopes","80")))))))</f>
        <v>82</v>
      </c>
      <c r="W878" s="59">
        <v>20</v>
      </c>
      <c r="X878" s="59">
        <v>0</v>
      </c>
      <c r="Y878" s="59">
        <v>3500</v>
      </c>
      <c r="Z878" s="59" t="s">
        <v>2519</v>
      </c>
      <c r="AA878" s="59" t="s">
        <v>2518</v>
      </c>
      <c r="AB878" s="59">
        <v>6.8</v>
      </c>
      <c r="AC878" s="45">
        <f>C878+AK878+(0.1)*AL878</f>
        <v>116.9</v>
      </c>
      <c r="AD878" s="77">
        <v>164</v>
      </c>
      <c r="AE878" s="59">
        <v>5</v>
      </c>
      <c r="AF878" s="59">
        <v>5</v>
      </c>
      <c r="AG878" s="59">
        <v>1900</v>
      </c>
      <c r="AH878" s="77">
        <v>0</v>
      </c>
      <c r="AI878" s="59">
        <f ca="1">AJ878</f>
        <v>2019</v>
      </c>
      <c r="AJ878" s="18">
        <f ca="1">YEAR(TODAY())</f>
        <v>2019</v>
      </c>
      <c r="AK878" s="18">
        <v>99</v>
      </c>
      <c r="AL878" s="18">
        <v>99</v>
      </c>
      <c r="AM878" s="18">
        <v>1</v>
      </c>
      <c r="AN878" s="18">
        <v>1</v>
      </c>
      <c r="AO878" s="18">
        <v>5</v>
      </c>
      <c r="AP878" s="18">
        <v>1</v>
      </c>
      <c r="AQ878" s="18">
        <v>0</v>
      </c>
      <c r="AR878" s="18">
        <v>0</v>
      </c>
      <c r="AS878" s="18">
        <v>0</v>
      </c>
      <c r="AT878" s="18">
        <v>0</v>
      </c>
      <c r="AU878" s="18">
        <v>0</v>
      </c>
      <c r="AV878" s="18">
        <v>0</v>
      </c>
      <c r="AW878" s="18">
        <v>0</v>
      </c>
      <c r="AX878" s="18">
        <v>0</v>
      </c>
      <c r="AY878" s="233"/>
      <c r="AZ878" s="4"/>
      <c r="BA878" s="35" t="str">
        <f>IF(OR(S878="North America",S878="Rocky Mountain"), "Widespread",BC878)</f>
        <v>Widespread</v>
      </c>
      <c r="BB878" s="4"/>
      <c r="BC878" s="35" t="str">
        <f ca="1">IF(BE878&gt;2046, "Abundant",BE878)</f>
        <v>Abundant</v>
      </c>
      <c r="BD878" s="4"/>
      <c r="BE878" s="81">
        <f ca="1">YEAR($C$13)+(BG878*80)</f>
        <v>2124.9744000000001</v>
      </c>
      <c r="BF878" s="4"/>
      <c r="BG878" s="137">
        <f ca="1">BH878*$BH$14</f>
        <v>1.3246800000000001</v>
      </c>
      <c r="BH878" s="137">
        <f ca="1">(((BJ878+BK878+BM878+BN878)/4)*$BM$11)+(((BP878+BQ878)/2)*$BQ$11)+(((BU878+BV878+BW878)/3)*$BU$11)+(((BY878+BZ878+CA878+CB878+CC878)/5)*$CA$11)</f>
        <v>1.3246800000000001</v>
      </c>
      <c r="BI878" s="4"/>
      <c r="BJ878" s="33">
        <f>AP878/(AM878+AO878)</f>
        <v>0.16666666666666666</v>
      </c>
      <c r="BK878" s="33">
        <f>(AN878+AO878)/(AM878+AO878)</f>
        <v>1</v>
      </c>
      <c r="BL878" s="4"/>
      <c r="BM878" s="127">
        <f>CF878/102</f>
        <v>1</v>
      </c>
      <c r="BN878" s="127">
        <f>C878/2</f>
        <v>4</v>
      </c>
      <c r="BO878" s="4"/>
      <c r="BP878" s="127">
        <f>(AK878)/($AW$6)</f>
        <v>1</v>
      </c>
      <c r="BQ878" s="127">
        <f ca="1">(CH878-$AW$4)/((YEAR($C$13))-$AW$4)</f>
        <v>1</v>
      </c>
      <c r="BR878" s="127">
        <f>(AL878)/($AW$6)</f>
        <v>1</v>
      </c>
      <c r="BS878" s="4"/>
      <c r="BT878" s="127"/>
      <c r="BU878" s="127">
        <f ca="1">(CG878-$AW$4)/((YEAR($C$13))-$AW$4)</f>
        <v>1</v>
      </c>
      <c r="BV878" s="127">
        <f>AE878/5</f>
        <v>1</v>
      </c>
      <c r="BW878" s="127">
        <f>AF878/5</f>
        <v>1</v>
      </c>
      <c r="BX878" s="4"/>
      <c r="BY878" s="148" t="str">
        <f>IF(E878="A",".98",IF(E878="B",".99",IF(E878="C","1.00",IF(E878="D","1.00" ))))</f>
        <v>1.00</v>
      </c>
      <c r="BZ878" s="127">
        <f>(CE878+7)/10</f>
        <v>1</v>
      </c>
      <c r="CA878" s="76" t="str">
        <f>IF(D878="Fern",".97",IF(D878="Grass",".99",IF(D878="Herb",".97",IF(D878="Shrub",".99",IF(D878="Tree","1.00",IF(D878="Vine",".98"))))))</f>
        <v>.97</v>
      </c>
      <c r="CB878" s="149" t="str">
        <f>IF(R878="Bogs Ponds Streams",".96", IF(R878="Coastal Areas",".97",IF(R878="Meadows Dry Open",".96",IF(R878="Forest &amp; Understory",".97",IF(R878="Moist Open",".98",IF(R878="Moist Shady",".96",IF(R878="Sub-Alpine","1.0")))))))</f>
        <v>.96</v>
      </c>
      <c r="CC878" s="76" t="str">
        <f>IF(S878="Local Endemic",".50",IF(S878="Regional Endemic",".70",IF(S878="Cascadia",".90",IF(S878="Rocky Mountain",".95",IF(S878="North America",".99")))))</f>
        <v>.99</v>
      </c>
      <c r="CD878" s="4"/>
      <c r="CE878" s="21">
        <f>IF(W878&gt;3,3,W878)</f>
        <v>3</v>
      </c>
      <c r="CF878" s="21">
        <f>IF(AC878&gt;102,102,AC878)</f>
        <v>102</v>
      </c>
      <c r="CG878" s="34">
        <f ca="1">IF(AI878&lt;$AW$4,$AW$4,AI878)</f>
        <v>2019</v>
      </c>
      <c r="CH878" s="34">
        <f ca="1">IF(AJ878&lt;$AW$4,$AW$4,AJ878)</f>
        <v>2019</v>
      </c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13"/>
    </row>
    <row r="879" spans="1:115" ht="15" customHeight="1" x14ac:dyDescent="0.3">
      <c r="A879" s="235"/>
      <c r="B879" s="218"/>
      <c r="C879" s="226">
        <v>2</v>
      </c>
      <c r="D879" s="104" t="s">
        <v>2505</v>
      </c>
      <c r="E879" s="104" t="s">
        <v>2501</v>
      </c>
      <c r="F879" s="400" t="str">
        <f ca="1">IF(BC879&lt;2025, "Extinct&lt; 6Yrs?",BA879)</f>
        <v>Abundant</v>
      </c>
      <c r="G879" s="369" t="s">
        <v>525</v>
      </c>
      <c r="H879" s="369" t="s">
        <v>4028</v>
      </c>
      <c r="I879" s="372" t="s">
        <v>2726</v>
      </c>
      <c r="J879" s="371" t="s">
        <v>4081</v>
      </c>
      <c r="K879" s="371" t="s">
        <v>809</v>
      </c>
      <c r="L879" s="114" t="s">
        <v>2037</v>
      </c>
      <c r="M879" s="111" t="s">
        <v>4949</v>
      </c>
      <c r="N879" s="111" t="s">
        <v>5847</v>
      </c>
      <c r="O879" s="111" t="s">
        <v>6746</v>
      </c>
      <c r="P879" s="401" t="s">
        <v>644</v>
      </c>
      <c r="Q879" s="104" t="s">
        <v>2552</v>
      </c>
      <c r="R879" s="105" t="s">
        <v>2497</v>
      </c>
      <c r="S879" s="103" t="s">
        <v>2309</v>
      </c>
      <c r="T879" s="133" t="str">
        <f>IF(R879="Bogs Ponds Streams","20",IF(R879="Coastal Areas","26",IF(R879="Meadows Dry Open","10",IF(R879="Forest &amp; Understory","14",IF(R879="Moist Open","12",IF(R879="Moist Shady","10",IF(R879="Sub-Alpine Slopes","0")))))))</f>
        <v>12</v>
      </c>
      <c r="U879" s="133" t="str">
        <f>IF(R879="Bogs Ponds Streams","52",IF(R879="Coastal Areas","51",IF(R879="Meadows Dry Open","53",IF(R879="Forest &amp; Understory","52",IF(R879="Moist Open","50",IF(R879="Moist Shady","46",IF(R879="Sub-Alpine Slopes","40")))))))</f>
        <v>50</v>
      </c>
      <c r="V879" s="133" t="str">
        <f>IF(R879="Bogs Ponds Streams","84",IF(R879="Coastal Areas","76",IF(R879="Meadows Dry Open","96", IF(R879="Forest &amp; Understory","90", IF(R879="Moist Open","88", IF(R879="Moist Shady","82", IF(R879="Sub-Alpine Slopes","80")))))))</f>
        <v>88</v>
      </c>
      <c r="W879" s="104">
        <v>20</v>
      </c>
      <c r="X879" s="104">
        <v>0</v>
      </c>
      <c r="Y879" s="104">
        <v>3500</v>
      </c>
      <c r="Z879" s="104" t="s">
        <v>2519</v>
      </c>
      <c r="AA879" s="104" t="s">
        <v>2518</v>
      </c>
      <c r="AB879" s="104">
        <v>6.8</v>
      </c>
      <c r="AC879" s="107">
        <f>C878+AK879+(0.1)*AL879</f>
        <v>14</v>
      </c>
      <c r="AD879" s="113">
        <v>22</v>
      </c>
      <c r="AE879" s="104">
        <v>5</v>
      </c>
      <c r="AF879" s="104">
        <v>5</v>
      </c>
      <c r="AG879" s="104">
        <v>1900</v>
      </c>
      <c r="AH879" s="113">
        <v>0</v>
      </c>
      <c r="AI879" s="104">
        <f>AJ879</f>
        <v>2018</v>
      </c>
      <c r="AJ879" s="108">
        <v>2018</v>
      </c>
      <c r="AK879" s="108">
        <v>6</v>
      </c>
      <c r="AL879" s="108">
        <v>0</v>
      </c>
      <c r="AM879" s="109">
        <v>5</v>
      </c>
      <c r="AN879" s="109">
        <v>1</v>
      </c>
      <c r="AO879" s="109">
        <v>10</v>
      </c>
      <c r="AP879" s="109">
        <v>1</v>
      </c>
      <c r="AQ879" s="109">
        <v>0</v>
      </c>
      <c r="AR879" s="109">
        <v>0</v>
      </c>
      <c r="AS879" s="110">
        <v>0</v>
      </c>
      <c r="AT879" s="109">
        <v>0</v>
      </c>
      <c r="AU879" s="109">
        <v>0</v>
      </c>
      <c r="AV879" s="109">
        <v>0</v>
      </c>
      <c r="AW879" s="110">
        <v>0</v>
      </c>
      <c r="AX879" s="109">
        <v>0</v>
      </c>
      <c r="AY879" s="233"/>
      <c r="AZ879" s="4"/>
      <c r="BA879" s="35" t="str">
        <f ca="1">IF(OR(S879="North America",S879="Rocky Mountain"), "Widespread",BC879)</f>
        <v>Abundant</v>
      </c>
      <c r="BB879" s="4"/>
      <c r="BC879" s="35" t="str">
        <f ca="1">IF(BE879&gt;2046, "Abundant",BE879)</f>
        <v>Abundant</v>
      </c>
      <c r="BD879" s="4"/>
      <c r="BE879" s="81">
        <f ca="1">YEAR($C$13)+(BG879*80)</f>
        <v>2097.9201093285801</v>
      </c>
      <c r="BF879" s="4"/>
      <c r="BG879" s="137">
        <f ca="1">BH879*$BH$14</f>
        <v>0.98650136660724885</v>
      </c>
      <c r="BH879" s="137">
        <f ca="1">(((BJ879+BK879+BM879+BN879)/4)*$BM$11)+(((BP879+BQ879)/2)*$BQ$11)+(((BU879+BV879+BW879)/3)*$BU$11)+(((BY879+BZ879+CA879+CB879+CC879)/5)*$CA$11)</f>
        <v>0.98650136660724885</v>
      </c>
      <c r="BI879" s="4"/>
      <c r="BJ879" s="33">
        <f>AP879/(AM879+AO879)</f>
        <v>6.6666666666666666E-2</v>
      </c>
      <c r="BK879" s="33">
        <f>(AN879+AO879)/(AM879+AO879)</f>
        <v>0.73333333333333328</v>
      </c>
      <c r="BL879" s="4"/>
      <c r="BM879" s="127">
        <f>CF879/102</f>
        <v>0.13725490196078433</v>
      </c>
      <c r="BN879" s="127">
        <f>C878/2</f>
        <v>4</v>
      </c>
      <c r="BO879" s="4"/>
      <c r="BP879" s="127">
        <f>(AK879)/($AW$6)</f>
        <v>6.0606060606060608E-2</v>
      </c>
      <c r="BQ879" s="127">
        <f ca="1">(CH879-$AW$4)/((YEAR($C$13))-$AW$4)</f>
        <v>0.93333333333333335</v>
      </c>
      <c r="BR879" s="127">
        <f>(AL879)/($AW$6)</f>
        <v>0</v>
      </c>
      <c r="BS879" s="4"/>
      <c r="BT879" s="127"/>
      <c r="BU879" s="127">
        <f ca="1">(CG879-$AW$4)/((YEAR($C$13))-$AW$4)</f>
        <v>0.93333333333333335</v>
      </c>
      <c r="BV879" s="127">
        <f>AE879/5</f>
        <v>1</v>
      </c>
      <c r="BW879" s="127">
        <f>AF879/5</f>
        <v>1</v>
      </c>
      <c r="BX879" s="4"/>
      <c r="BY879" s="148" t="str">
        <f>IF(E879="A",".98",IF(E879="B",".99",IF(E879="C","1.00",IF(E879="D","1.00" ))))</f>
        <v>1.00</v>
      </c>
      <c r="BZ879" s="127">
        <f>(CE879+7)/10</f>
        <v>1</v>
      </c>
      <c r="CA879" s="76" t="str">
        <f>IF(D879="Fern",".97",IF(D879="Grass",".99",IF(D879="Herb",".97",IF(D879="Shrub",".99",IF(D879="Tree","1.00",IF(D879="Vine",".98"))))))</f>
        <v>.97</v>
      </c>
      <c r="CB879" s="149" t="str">
        <f>IF(R879="Bogs Ponds Streams",".96", IF(R879="Coastal Areas",".97",IF(R879="Meadows Dry Open",".96",IF(R879="Forest &amp; Understory",".97",IF(R879="Moist Open",".98",IF(R879="Moist Shady",".96",IF(R879="Sub-Alpine","1.0")))))))</f>
        <v>.98</v>
      </c>
      <c r="CC879" s="76" t="str">
        <f>IF(S879="Local Endemic",".50",IF(S879="Regional Endemic",".70",IF(S879="Cascadia",".90",IF(S879="Rocky Mountain",".95",IF(S879="North America",".99")))))</f>
        <v>.70</v>
      </c>
      <c r="CD879" s="4"/>
      <c r="CE879" s="21">
        <f>IF(W879&gt;3,3,W879)</f>
        <v>3</v>
      </c>
      <c r="CF879" s="21">
        <f>IF(AC879&gt;102,102,AC879)</f>
        <v>14</v>
      </c>
      <c r="CG879" s="34">
        <f>IF(AI879&lt;$AW$4,$AW$4,AI879)</f>
        <v>2018</v>
      </c>
      <c r="CH879" s="34">
        <f>IF(AJ879&lt;$AW$4,$AW$4,AJ879)</f>
        <v>2018</v>
      </c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20"/>
    </row>
    <row r="880" spans="1:115" ht="15" customHeight="1" x14ac:dyDescent="0.3">
      <c r="A880" s="235"/>
      <c r="B880" s="218"/>
      <c r="C880" s="375">
        <v>1</v>
      </c>
      <c r="D880" s="67" t="s">
        <v>2505</v>
      </c>
      <c r="E880" s="67" t="s">
        <v>2501</v>
      </c>
      <c r="F880" s="403" t="str">
        <f ca="1">IF(BC880&lt;2025, "Extinct&lt; 6Yrs?",BA880)</f>
        <v>Widespread</v>
      </c>
      <c r="G880" s="376" t="s">
        <v>525</v>
      </c>
      <c r="H880" s="376" t="s">
        <v>4028</v>
      </c>
      <c r="I880" s="377" t="s">
        <v>2370</v>
      </c>
      <c r="J880" s="378" t="s">
        <v>3481</v>
      </c>
      <c r="K880" s="378" t="s">
        <v>2369</v>
      </c>
      <c r="L880" s="64" t="s">
        <v>2452</v>
      </c>
      <c r="M880" s="64" t="s">
        <v>4950</v>
      </c>
      <c r="N880" s="64" t="s">
        <v>5848</v>
      </c>
      <c r="O880" s="64" t="s">
        <v>6747</v>
      </c>
      <c r="P880" s="404" t="s">
        <v>644</v>
      </c>
      <c r="Q880" s="67" t="s">
        <v>2552</v>
      </c>
      <c r="R880" s="163" t="s">
        <v>2497</v>
      </c>
      <c r="S880" s="164" t="s">
        <v>2495</v>
      </c>
      <c r="T880" s="134" t="str">
        <f>IF(R880="Bogs Ponds Streams","20",IF(R880="Coastal Areas","26",IF(R880="Meadows Dry Open","10",IF(R880="Forest &amp; Understory","14",IF(R880="Moist Open","12",IF(R880="Moist Shady","10",IF(R880="Sub-Alpine Slopes","0")))))))</f>
        <v>12</v>
      </c>
      <c r="U880" s="134" t="str">
        <f>IF(R880="Bogs Ponds Streams","52",IF(R880="Coastal Areas","51",IF(R880="Meadows Dry Open","53",IF(R880="Forest &amp; Understory","52",IF(R880="Moist Open","50",IF(R880="Moist Shady","46",IF(R880="Sub-Alpine Slopes","40")))))))</f>
        <v>50</v>
      </c>
      <c r="V880" s="134" t="str">
        <f>IF(R880="Bogs Ponds Streams","84",IF(R880="Coastal Areas","76",IF(R880="Meadows Dry Open","96", IF(R880="Forest &amp; Understory","90", IF(R880="Moist Open","88", IF(R880="Moist Shady","82", IF(R880="Sub-Alpine Slopes","80")))))))</f>
        <v>88</v>
      </c>
      <c r="W880" s="67">
        <v>20</v>
      </c>
      <c r="X880" s="67">
        <v>0</v>
      </c>
      <c r="Y880" s="67">
        <v>3500</v>
      </c>
      <c r="Z880" s="67" t="s">
        <v>2519</v>
      </c>
      <c r="AA880" s="67" t="s">
        <v>2518</v>
      </c>
      <c r="AB880" s="67">
        <v>6.8</v>
      </c>
      <c r="AC880" s="85">
        <f>C880+AK880+(0.1)*AL880</f>
        <v>3.1</v>
      </c>
      <c r="AD880" s="78">
        <v>22</v>
      </c>
      <c r="AE880" s="68">
        <v>3</v>
      </c>
      <c r="AF880" s="68">
        <v>5</v>
      </c>
      <c r="AG880" s="78">
        <v>1925</v>
      </c>
      <c r="AH880" s="78">
        <v>0</v>
      </c>
      <c r="AI880" s="78">
        <v>2000</v>
      </c>
      <c r="AJ880" s="67">
        <v>2005</v>
      </c>
      <c r="AK880" s="67">
        <v>2</v>
      </c>
      <c r="AL880" s="67">
        <v>1</v>
      </c>
      <c r="AM880" s="70">
        <v>5</v>
      </c>
      <c r="AN880" s="70">
        <v>0</v>
      </c>
      <c r="AO880" s="86">
        <v>0</v>
      </c>
      <c r="AP880" s="70">
        <v>0</v>
      </c>
      <c r="AQ880" s="70">
        <v>0</v>
      </c>
      <c r="AR880" s="70">
        <v>0</v>
      </c>
      <c r="AS880" s="86">
        <v>0</v>
      </c>
      <c r="AT880" s="70">
        <v>0</v>
      </c>
      <c r="AU880" s="70">
        <v>0</v>
      </c>
      <c r="AV880" s="70">
        <v>0</v>
      </c>
      <c r="AW880" s="86">
        <v>0</v>
      </c>
      <c r="AX880" s="70">
        <v>0</v>
      </c>
      <c r="AY880" s="233"/>
      <c r="AZ880" s="11"/>
      <c r="BA880" s="35" t="str">
        <f>IF(OR(S880="North America",S880="Rocky Mountain"), "Widespread",BC880)</f>
        <v>Widespread</v>
      </c>
      <c r="BB880" s="11"/>
      <c r="BC880" s="35">
        <f ca="1">IF(BE880&gt;2046, "Abundant",BE880)</f>
        <v>2031.4012634581104</v>
      </c>
      <c r="BD880" s="11"/>
      <c r="BE880" s="81">
        <f ca="1">YEAR($C$13)+(BG880*80)</f>
        <v>2031.4012634581104</v>
      </c>
      <c r="BF880" s="11"/>
      <c r="BG880" s="137">
        <f ca="1">BH880*$BH$14</f>
        <v>0.15501579322638145</v>
      </c>
      <c r="BH880" s="137">
        <f ca="1">(((BJ880+BK880+BM880+BN880)/4)*$BM$11)+(((BP880+BQ880)/2)*$BQ$11)+(((BU880+BV880+BW880)/3)*$BU$11)+(((BY880+BZ880+CA880+CB880+CC880)/5)*$CA$11)</f>
        <v>0.15501579322638145</v>
      </c>
      <c r="BI880" s="11"/>
      <c r="BJ880" s="33">
        <f>AP880/(AM880+AO880)</f>
        <v>0</v>
      </c>
      <c r="BK880" s="33">
        <f>(AN880+AO880)/(AM880+AO880)</f>
        <v>0</v>
      </c>
      <c r="BL880" s="11"/>
      <c r="BM880" s="127">
        <f>CF880/102</f>
        <v>3.0392156862745098E-2</v>
      </c>
      <c r="BN880" s="127">
        <f>C880/2</f>
        <v>0.5</v>
      </c>
      <c r="BO880" s="11"/>
      <c r="BP880" s="127">
        <f>(AK880)/($AW$6)</f>
        <v>2.0202020202020204E-2</v>
      </c>
      <c r="BQ880" s="127">
        <f ca="1">(CH880-$AW$4)/((YEAR($C$13))-$AW$4)</f>
        <v>6.6666666666666666E-2</v>
      </c>
      <c r="BR880" s="127">
        <f>(AL880)/($AW$6)</f>
        <v>1.0101010101010102E-2</v>
      </c>
      <c r="BS880" s="11"/>
      <c r="BT880" s="127"/>
      <c r="BU880" s="127">
        <f ca="1">(CG880-$AW$4)/((YEAR($C$13))-$AW$4)</f>
        <v>0</v>
      </c>
      <c r="BV880" s="127">
        <f>AE880/5</f>
        <v>0.6</v>
      </c>
      <c r="BW880" s="127">
        <f>AF880/5</f>
        <v>1</v>
      </c>
      <c r="BX880" s="11"/>
      <c r="BY880" s="148" t="str">
        <f>IF(E880="A",".98",IF(E880="B",".99",IF(E880="C","1.00",IF(E880="D","1.00" ))))</f>
        <v>1.00</v>
      </c>
      <c r="BZ880" s="127">
        <f>(CE880+7)/10</f>
        <v>1</v>
      </c>
      <c r="CA880" s="76" t="str">
        <f>IF(D880="Fern",".97",IF(D880="Grass",".99",IF(D880="Herb",".97",IF(D880="Shrub",".99",IF(D880="Tree","1.00",IF(D880="Vine",".98"))))))</f>
        <v>.97</v>
      </c>
      <c r="CB880" s="149" t="str">
        <f>IF(R880="Bogs Ponds Streams",".96", IF(R880="Coastal Areas",".97",IF(R880="Meadows Dry Open",".96",IF(R880="Forest &amp; Understory",".97",IF(R880="Moist Open",".98",IF(R880="Moist Shady",".96",IF(R880="Sub-Alpine","1.0")))))))</f>
        <v>.98</v>
      </c>
      <c r="CC880" s="76" t="str">
        <f>IF(S880="Local Endemic",".50",IF(S880="Regional Endemic",".70",IF(S880="Cascadia",".90",IF(S880="Rocky Mountain",".95",IF(S880="North America",".99")))))</f>
        <v>.99</v>
      </c>
      <c r="CD880" s="11"/>
      <c r="CE880" s="21">
        <f>IF(W880&gt;3,3,W880)</f>
        <v>3</v>
      </c>
      <c r="CF880" s="21">
        <f>IF(AC880&gt;102,102,AC880)</f>
        <v>3.1</v>
      </c>
      <c r="CG880" s="34">
        <f>IF(AI880&lt;$AW$4,$AW$4,AI880)</f>
        <v>2004</v>
      </c>
      <c r="CH880" s="34">
        <f>IF(AJ880&lt;$AW$4,$AW$4,AJ880)</f>
        <v>2005</v>
      </c>
      <c r="CI880" s="11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11"/>
      <c r="DC880" s="11"/>
      <c r="DD880" s="11"/>
      <c r="DE880" s="11"/>
      <c r="DF880" s="11"/>
      <c r="DG880" s="11"/>
      <c r="DH880" s="11"/>
      <c r="DI880" s="11"/>
      <c r="DJ880" s="11"/>
    </row>
    <row r="881" spans="1:115" ht="15" customHeight="1" x14ac:dyDescent="0.3">
      <c r="A881" s="235"/>
      <c r="B881" s="218"/>
      <c r="C881" s="375">
        <v>1</v>
      </c>
      <c r="D881" s="67" t="s">
        <v>2505</v>
      </c>
      <c r="E881" s="67" t="s">
        <v>2501</v>
      </c>
      <c r="F881" s="403" t="str">
        <f ca="1">IF(BC881&lt;2025, "Extinct&lt; 6Yrs?",BA881)</f>
        <v>Widespread</v>
      </c>
      <c r="G881" s="376" t="s">
        <v>525</v>
      </c>
      <c r="H881" s="376" t="s">
        <v>4028</v>
      </c>
      <c r="I881" s="379" t="s">
        <v>646</v>
      </c>
      <c r="J881" s="378" t="s">
        <v>3480</v>
      </c>
      <c r="K881" s="378" t="s">
        <v>645</v>
      </c>
      <c r="L881" s="63" t="s">
        <v>2038</v>
      </c>
      <c r="M881" s="64" t="s">
        <v>4951</v>
      </c>
      <c r="N881" s="64" t="s">
        <v>5849</v>
      </c>
      <c r="O881" s="64" t="s">
        <v>6748</v>
      </c>
      <c r="P881" s="61" t="s">
        <v>644</v>
      </c>
      <c r="Q881" s="67" t="s">
        <v>2552</v>
      </c>
      <c r="R881" s="61" t="s">
        <v>2499</v>
      </c>
      <c r="S881" s="61" t="s">
        <v>2495</v>
      </c>
      <c r="T881" s="134" t="str">
        <f>IF(R881="Bogs Ponds Streams","20",IF(R881="Coastal Areas","26",IF(R881="Meadows Dry Open","10",IF(R881="Forest &amp; Understory","14",IF(R881="Moist Open","12",IF(R881="Moist Shady","10",IF(R881="Sub-Alpine Slopes","0")))))))</f>
        <v>20</v>
      </c>
      <c r="U881" s="134" t="str">
        <f>IF(R881="Bogs Ponds Streams","52",IF(R881="Coastal Areas","51",IF(R881="Meadows Dry Open","53",IF(R881="Forest &amp; Understory","52",IF(R881="Moist Open","50",IF(R881="Moist Shady","46",IF(R881="Sub-Alpine Slopes","40")))))))</f>
        <v>52</v>
      </c>
      <c r="V881" s="134" t="str">
        <f>IF(R881="Bogs Ponds Streams","84",IF(R881="Coastal Areas","76",IF(R881="Meadows Dry Open","96", IF(R881="Forest &amp; Understory","90", IF(R881="Moist Open","88", IF(R881="Moist Shady","82", IF(R881="Sub-Alpine Slopes","80")))))))</f>
        <v>84</v>
      </c>
      <c r="W881" s="67">
        <v>20</v>
      </c>
      <c r="X881" s="67">
        <v>0</v>
      </c>
      <c r="Y881" s="67">
        <v>3500</v>
      </c>
      <c r="Z881" s="67" t="s">
        <v>2519</v>
      </c>
      <c r="AA881" s="67" t="s">
        <v>2518</v>
      </c>
      <c r="AB881" s="67">
        <v>6.8</v>
      </c>
      <c r="AC881" s="85">
        <f>C881+AK881+(0.1)*AL881</f>
        <v>9.4</v>
      </c>
      <c r="AD881" s="78">
        <v>38</v>
      </c>
      <c r="AE881" s="67">
        <v>5</v>
      </c>
      <c r="AF881" s="67">
        <v>5</v>
      </c>
      <c r="AG881" s="67">
        <v>1900</v>
      </c>
      <c r="AH881" s="78">
        <v>0</v>
      </c>
      <c r="AI881" s="67">
        <f>AJ881</f>
        <v>2005</v>
      </c>
      <c r="AJ881" s="69">
        <v>2005</v>
      </c>
      <c r="AK881" s="69">
        <v>7</v>
      </c>
      <c r="AL881" s="69">
        <v>14</v>
      </c>
      <c r="AM881" s="70">
        <v>5</v>
      </c>
      <c r="AN881" s="70">
        <v>0</v>
      </c>
      <c r="AO881" s="86">
        <v>0</v>
      </c>
      <c r="AP881" s="70">
        <v>0</v>
      </c>
      <c r="AQ881" s="70">
        <v>0</v>
      </c>
      <c r="AR881" s="70">
        <v>0</v>
      </c>
      <c r="AS881" s="86">
        <v>0</v>
      </c>
      <c r="AT881" s="70">
        <v>0</v>
      </c>
      <c r="AU881" s="70">
        <v>0</v>
      </c>
      <c r="AV881" s="70">
        <v>0</v>
      </c>
      <c r="AW881" s="86">
        <v>0</v>
      </c>
      <c r="AX881" s="70">
        <v>0</v>
      </c>
      <c r="AY881" s="233"/>
      <c r="AZ881" s="4"/>
      <c r="BA881" s="35" t="str">
        <f>IF(OR(S881="North America",S881="Rocky Mountain"), "Widespread",BC881)</f>
        <v>Widespread</v>
      </c>
      <c r="BB881" s="4"/>
      <c r="BC881" s="35">
        <f ca="1">IF(BE881&gt;2046, "Abundant",BE881)</f>
        <v>2033.7376560903149</v>
      </c>
      <c r="BD881" s="4"/>
      <c r="BE881" s="81">
        <f ca="1">YEAR($C$13)+(BG881*80)</f>
        <v>2033.7376560903149</v>
      </c>
      <c r="BF881" s="4"/>
      <c r="BG881" s="137">
        <f ca="1">BH881*$BH$14</f>
        <v>0.1842207011289364</v>
      </c>
      <c r="BH881" s="137">
        <f ca="1">(((BJ881+BK881+BM881+BN881)/4)*$BM$11)+(((BP881+BQ881)/2)*$BQ$11)+(((BU881+BV881+BW881)/3)*$BU$11)+(((BY881+BZ881+CA881+CB881+CC881)/5)*$CA$11)</f>
        <v>0.1842207011289364</v>
      </c>
      <c r="BI881" s="4"/>
      <c r="BJ881" s="33">
        <f>AP881/(AM881+AO881)</f>
        <v>0</v>
      </c>
      <c r="BK881" s="33">
        <f>(AN881+AO881)/(AM881+AO881)</f>
        <v>0</v>
      </c>
      <c r="BL881" s="4"/>
      <c r="BM881" s="127">
        <f>CF881/102</f>
        <v>9.2156862745098045E-2</v>
      </c>
      <c r="BN881" s="127">
        <f>C881/2</f>
        <v>0.5</v>
      </c>
      <c r="BO881" s="4"/>
      <c r="BP881" s="127">
        <f>(AK881)/($AW$6)</f>
        <v>7.0707070707070704E-2</v>
      </c>
      <c r="BQ881" s="127">
        <f ca="1">(CH881-$AW$4)/((YEAR($C$13))-$AW$4)</f>
        <v>6.6666666666666666E-2</v>
      </c>
      <c r="BR881" s="127">
        <f>(AL881)/($AW$6)</f>
        <v>0.14141414141414141</v>
      </c>
      <c r="BS881" s="4"/>
      <c r="BT881" s="127"/>
      <c r="BU881" s="127">
        <f ca="1">(CG881-$AW$4)/((YEAR($C$13))-$AW$4)</f>
        <v>6.6666666666666666E-2</v>
      </c>
      <c r="BV881" s="127">
        <f>AE881/5</f>
        <v>1</v>
      </c>
      <c r="BW881" s="127">
        <f>AF881/5</f>
        <v>1</v>
      </c>
      <c r="BX881" s="4"/>
      <c r="BY881" s="148" t="str">
        <f>IF(E881="A",".98",IF(E881="B",".99",IF(E881="C","1.00",IF(E881="D","1.00" ))))</f>
        <v>1.00</v>
      </c>
      <c r="BZ881" s="127">
        <f>(CE881+7)/10</f>
        <v>1</v>
      </c>
      <c r="CA881" s="76" t="str">
        <f>IF(D881="Fern",".97",IF(D881="Grass",".99",IF(D881="Herb",".97",IF(D881="Shrub",".99",IF(D881="Tree","1.00",IF(D881="Vine",".98"))))))</f>
        <v>.97</v>
      </c>
      <c r="CB881" s="149" t="str">
        <f>IF(R881="Bogs Ponds Streams",".96", IF(R881="Coastal Areas",".97",IF(R881="Meadows Dry Open",".96",IF(R881="Forest &amp; Understory",".97",IF(R881="Moist Open",".98",IF(R881="Moist Shady",".96",IF(R881="Sub-Alpine","1.0")))))))</f>
        <v>.96</v>
      </c>
      <c r="CC881" s="76" t="str">
        <f>IF(S881="Local Endemic",".50",IF(S881="Regional Endemic",".70",IF(S881="Cascadia",".90",IF(S881="Rocky Mountain",".95",IF(S881="North America",".99")))))</f>
        <v>.99</v>
      </c>
      <c r="CD881" s="4"/>
      <c r="CE881" s="21">
        <f>IF(W881&gt;3,3,W881)</f>
        <v>3</v>
      </c>
      <c r="CF881" s="21">
        <f>IF(AC881&gt;102,102,AC881)</f>
        <v>9.4</v>
      </c>
      <c r="CG881" s="34">
        <f>IF(AI881&lt;$AW$4,$AW$4,AI881)</f>
        <v>2005</v>
      </c>
      <c r="CH881" s="34">
        <f>IF(AJ881&lt;$AW$4,$AW$4,AJ881)</f>
        <v>2005</v>
      </c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</row>
    <row r="882" spans="1:115" ht="15" customHeight="1" x14ac:dyDescent="0.3">
      <c r="A882" s="235"/>
      <c r="B882" s="218"/>
      <c r="C882" s="226">
        <v>2</v>
      </c>
      <c r="D882" s="104" t="s">
        <v>2505</v>
      </c>
      <c r="E882" s="104" t="s">
        <v>2501</v>
      </c>
      <c r="F882" s="400" t="str">
        <f ca="1">IF(BC882&lt;2025, "Extinct&lt; 6Yrs?",BA882)</f>
        <v>Widespread</v>
      </c>
      <c r="G882" s="369" t="s">
        <v>525</v>
      </c>
      <c r="H882" s="369" t="s">
        <v>4028</v>
      </c>
      <c r="I882" s="372" t="s">
        <v>2727</v>
      </c>
      <c r="J882" s="371" t="s">
        <v>3685</v>
      </c>
      <c r="K882" s="371" t="s">
        <v>2823</v>
      </c>
      <c r="L882" s="114" t="s">
        <v>2039</v>
      </c>
      <c r="M882" s="111" t="s">
        <v>4952</v>
      </c>
      <c r="N882" s="111" t="s">
        <v>5850</v>
      </c>
      <c r="O882" s="111" t="s">
        <v>6749</v>
      </c>
      <c r="P882" s="401" t="s">
        <v>644</v>
      </c>
      <c r="Q882" s="104" t="s">
        <v>2552</v>
      </c>
      <c r="R882" s="114" t="s">
        <v>2497</v>
      </c>
      <c r="S882" s="114" t="s">
        <v>2495</v>
      </c>
      <c r="T882" s="133" t="str">
        <f>IF(R882="Bogs Ponds Streams","20",IF(R882="Coastal Areas","26",IF(R882="Meadows Dry Open","10",IF(R882="Forest &amp; Understory","14",IF(R882="Moist Open","12",IF(R882="Moist Shady","10",IF(R882="Sub-Alpine Slopes","0")))))))</f>
        <v>12</v>
      </c>
      <c r="U882" s="133" t="str">
        <f>IF(R882="Bogs Ponds Streams","52",IF(R882="Coastal Areas","51",IF(R882="Meadows Dry Open","53",IF(R882="Forest &amp; Understory","52",IF(R882="Moist Open","50",IF(R882="Moist Shady","46",IF(R882="Sub-Alpine Slopes","40")))))))</f>
        <v>50</v>
      </c>
      <c r="V882" s="133" t="str">
        <f>IF(R882="Bogs Ponds Streams","84",IF(R882="Coastal Areas","76",IF(R882="Meadows Dry Open","96", IF(R882="Forest &amp; Understory","90", IF(R882="Moist Open","88", IF(R882="Moist Shady","82", IF(R882="Sub-Alpine Slopes","80")))))))</f>
        <v>88</v>
      </c>
      <c r="W882" s="104">
        <v>20</v>
      </c>
      <c r="X882" s="104">
        <v>0</v>
      </c>
      <c r="Y882" s="104">
        <v>3500</v>
      </c>
      <c r="Z882" s="104" t="s">
        <v>2519</v>
      </c>
      <c r="AA882" s="104" t="s">
        <v>2518</v>
      </c>
      <c r="AB882" s="104">
        <v>6.8</v>
      </c>
      <c r="AC882" s="107">
        <f>C882+AK882+(0.1)*AL882</f>
        <v>35</v>
      </c>
      <c r="AD882" s="113">
        <v>115</v>
      </c>
      <c r="AE882" s="104">
        <v>5</v>
      </c>
      <c r="AF882" s="104">
        <v>5</v>
      </c>
      <c r="AG882" s="104">
        <v>1900</v>
      </c>
      <c r="AH882" s="113">
        <v>0</v>
      </c>
      <c r="AI882" s="104">
        <f>AJ882</f>
        <v>1999</v>
      </c>
      <c r="AJ882" s="108">
        <v>1999</v>
      </c>
      <c r="AK882" s="108">
        <v>30</v>
      </c>
      <c r="AL882" s="108">
        <v>30</v>
      </c>
      <c r="AM882" s="109">
        <v>5</v>
      </c>
      <c r="AN882" s="109">
        <v>1</v>
      </c>
      <c r="AO882" s="110">
        <v>0</v>
      </c>
      <c r="AP882" s="109">
        <v>0</v>
      </c>
      <c r="AQ882" s="109">
        <v>0</v>
      </c>
      <c r="AR882" s="109">
        <v>0</v>
      </c>
      <c r="AS882" s="110">
        <v>0</v>
      </c>
      <c r="AT882" s="109">
        <v>0</v>
      </c>
      <c r="AU882" s="109">
        <v>0</v>
      </c>
      <c r="AV882" s="109">
        <v>0</v>
      </c>
      <c r="AW882" s="110">
        <v>0</v>
      </c>
      <c r="AX882" s="109">
        <v>0</v>
      </c>
      <c r="AY882" s="233"/>
      <c r="AZ882" s="4"/>
      <c r="BA882" s="35" t="str">
        <f>IF(OR(S882="North America",S882="Rocky Mountain"), "Widespread",BC882)</f>
        <v>Widespread</v>
      </c>
      <c r="BB882" s="4"/>
      <c r="BC882" s="35" t="str">
        <f ca="1">IF(BE882&gt;2046, "Abundant",BE882)</f>
        <v>Abundant</v>
      </c>
      <c r="BD882" s="4"/>
      <c r="BE882" s="81">
        <f ca="1">YEAR($C$13)+(BG882*80)</f>
        <v>2047.0014773618539</v>
      </c>
      <c r="BF882" s="4"/>
      <c r="BG882" s="137">
        <f ca="1">BH882*$BH$14</f>
        <v>0.35001846702317291</v>
      </c>
      <c r="BH882" s="137">
        <f ca="1">(((BJ882+BK882+BM882+BN882)/4)*$BM$11)+(((BP882+BQ882)/2)*$BQ$11)+(((BU882+BV882+BW882)/3)*$BU$11)+(((BY882+BZ882+CA882+CB882+CC882)/5)*$CA$11)</f>
        <v>0.35001846702317291</v>
      </c>
      <c r="BI882" s="4"/>
      <c r="BJ882" s="33">
        <f>AP882/(AM882+AO882)</f>
        <v>0</v>
      </c>
      <c r="BK882" s="33">
        <f>(AN882+AO882)/(AM882+AO882)</f>
        <v>0.2</v>
      </c>
      <c r="BL882" s="4"/>
      <c r="BM882" s="127">
        <f>CF882/102</f>
        <v>0.34313725490196079</v>
      </c>
      <c r="BN882" s="127">
        <f>C882/2</f>
        <v>1</v>
      </c>
      <c r="BO882" s="4"/>
      <c r="BP882" s="127">
        <f>(AK882)/($AW$6)</f>
        <v>0.30303030303030304</v>
      </c>
      <c r="BQ882" s="127">
        <f ca="1">(CH882-$AW$4)/((YEAR($C$13))-$AW$4)</f>
        <v>0</v>
      </c>
      <c r="BR882" s="127">
        <f>(AL882)/($AW$6)</f>
        <v>0.30303030303030304</v>
      </c>
      <c r="BS882" s="4"/>
      <c r="BT882" s="127"/>
      <c r="BU882" s="127">
        <f ca="1">(CG882-$AW$4)/((YEAR($C$13))-$AW$4)</f>
        <v>0</v>
      </c>
      <c r="BV882" s="127">
        <f>AE882/5</f>
        <v>1</v>
      </c>
      <c r="BW882" s="127">
        <f>AF882/5</f>
        <v>1</v>
      </c>
      <c r="BX882" s="4"/>
      <c r="BY882" s="148" t="str">
        <f>IF(E882="A",".98",IF(E882="B",".99",IF(E882="C","1.00",IF(E882="D","1.00" ))))</f>
        <v>1.00</v>
      </c>
      <c r="BZ882" s="127">
        <f>(CE882+7)/10</f>
        <v>1</v>
      </c>
      <c r="CA882" s="76" t="str">
        <f>IF(D882="Fern",".97",IF(D882="Grass",".99",IF(D882="Herb",".97",IF(D882="Shrub",".99",IF(D882="Tree","1.00",IF(D882="Vine",".98"))))))</f>
        <v>.97</v>
      </c>
      <c r="CB882" s="149" t="str">
        <f>IF(R882="Bogs Ponds Streams",".96", IF(R882="Coastal Areas",".97",IF(R882="Meadows Dry Open",".96",IF(R882="Forest &amp; Understory",".97",IF(R882="Moist Open",".98",IF(R882="Moist Shady",".96",IF(R882="Sub-Alpine","1.0")))))))</f>
        <v>.98</v>
      </c>
      <c r="CC882" s="76" t="str">
        <f>IF(S882="Local Endemic",".50",IF(S882="Regional Endemic",".70",IF(S882="Cascadia",".90",IF(S882="Rocky Mountain",".95",IF(S882="North America",".99")))))</f>
        <v>.99</v>
      </c>
      <c r="CD882" s="4"/>
      <c r="CE882" s="21">
        <f>IF(W882&gt;3,3,W882)</f>
        <v>3</v>
      </c>
      <c r="CF882" s="21">
        <f>IF(AC882&gt;102,102,AC882)</f>
        <v>35</v>
      </c>
      <c r="CG882" s="34">
        <f>IF(AI882&lt;$AW$4,$AW$4,AI882)</f>
        <v>2004</v>
      </c>
      <c r="CH882" s="34">
        <f>IF(AJ882&lt;$AW$4,$AW$4,AJ882)</f>
        <v>2004</v>
      </c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</row>
    <row r="883" spans="1:115" ht="15" customHeight="1" x14ac:dyDescent="0.3">
      <c r="A883" s="235"/>
      <c r="B883" s="218"/>
      <c r="C883" s="225">
        <v>8</v>
      </c>
      <c r="D883" s="59" t="s">
        <v>2506</v>
      </c>
      <c r="E883" s="60" t="s">
        <v>2501</v>
      </c>
      <c r="F883" s="397" t="str">
        <f ca="1">IF(BC883&lt;2025, "Extinct&lt; 6Yrs?",BA883)</f>
        <v>Abundant</v>
      </c>
      <c r="G883" s="363" t="s">
        <v>525</v>
      </c>
      <c r="H883" s="363" t="s">
        <v>681</v>
      </c>
      <c r="I883" s="364" t="s">
        <v>575</v>
      </c>
      <c r="J883" s="365" t="s">
        <v>3883</v>
      </c>
      <c r="K883" s="365" t="s">
        <v>790</v>
      </c>
      <c r="L883" s="10" t="s">
        <v>2040</v>
      </c>
      <c r="M883" s="8" t="s">
        <v>4953</v>
      </c>
      <c r="N883" s="8" t="s">
        <v>5851</v>
      </c>
      <c r="O883" s="8" t="s">
        <v>6750</v>
      </c>
      <c r="P883" s="9" t="s">
        <v>198</v>
      </c>
      <c r="Q883" s="59" t="s">
        <v>2552</v>
      </c>
      <c r="R883" s="9" t="s">
        <v>2497</v>
      </c>
      <c r="S883" s="9" t="s">
        <v>2459</v>
      </c>
      <c r="T883" s="123" t="str">
        <f>IF(R883="Bogs Ponds Streams","20",IF(R883="Coastal Areas","26",IF(R883="Meadows Dry Open","10",IF(R883="Forest &amp; Understory","14",IF(R883="Moist Open","12",IF(R883="Moist Shady","10",IF(R883="Sub-Alpine Slopes","0")))))))</f>
        <v>12</v>
      </c>
      <c r="U883" s="123" t="str">
        <f>IF(R883="Bogs Ponds Streams","52",IF(R883="Coastal Areas","51",IF(R883="Meadows Dry Open","53",IF(R883="Forest &amp; Understory","52",IF(R883="Moist Open","50",IF(R883="Moist Shady","46",IF(R883="Sub-Alpine Slopes","40")))))))</f>
        <v>50</v>
      </c>
      <c r="V883" s="123" t="str">
        <f>IF(R883="Bogs Ponds Streams","84",IF(R883="Coastal Areas","76",IF(R883="Meadows Dry Open","96", IF(R883="Forest &amp; Understory","90", IF(R883="Moist Open","88", IF(R883="Moist Shady","82", IF(R883="Sub-Alpine Slopes","80")))))))</f>
        <v>88</v>
      </c>
      <c r="W883" s="59">
        <v>20</v>
      </c>
      <c r="X883" s="59">
        <v>0</v>
      </c>
      <c r="Y883" s="59">
        <v>3500</v>
      </c>
      <c r="Z883" s="59" t="s">
        <v>2519</v>
      </c>
      <c r="AA883" s="59" t="s">
        <v>2518</v>
      </c>
      <c r="AB883" s="59">
        <v>6.8</v>
      </c>
      <c r="AC883" s="45">
        <f>C883+AK883+(0.1)*AL883</f>
        <v>15</v>
      </c>
      <c r="AD883" s="77">
        <v>59</v>
      </c>
      <c r="AE883" s="59">
        <v>5</v>
      </c>
      <c r="AF883" s="59">
        <v>5</v>
      </c>
      <c r="AG883" s="59">
        <v>1900</v>
      </c>
      <c r="AH883" s="77">
        <v>0</v>
      </c>
      <c r="AI883" s="59">
        <f ca="1">AJ883</f>
        <v>2019</v>
      </c>
      <c r="AJ883" s="18">
        <f ca="1">YEAR(TODAY())</f>
        <v>2019</v>
      </c>
      <c r="AK883" s="18">
        <v>5</v>
      </c>
      <c r="AL883" s="18">
        <v>20</v>
      </c>
      <c r="AM883" s="18">
        <v>1</v>
      </c>
      <c r="AN883" s="18">
        <v>1</v>
      </c>
      <c r="AO883" s="18">
        <v>5</v>
      </c>
      <c r="AP883" s="18">
        <v>1</v>
      </c>
      <c r="AQ883" s="18">
        <v>0</v>
      </c>
      <c r="AR883" s="18">
        <v>0</v>
      </c>
      <c r="AS883" s="18">
        <v>0</v>
      </c>
      <c r="AT883" s="18">
        <v>0</v>
      </c>
      <c r="AU883" s="18">
        <v>0</v>
      </c>
      <c r="AV883" s="18">
        <v>0</v>
      </c>
      <c r="AW883" s="18">
        <v>0</v>
      </c>
      <c r="AX883" s="18">
        <v>0</v>
      </c>
      <c r="AY883" s="233"/>
      <c r="AZ883" s="4"/>
      <c r="BA883" s="35" t="str">
        <f ca="1">IF(OR(S883="North America",S883="Rocky Mountain"), "Widespread",BC883)</f>
        <v>Abundant</v>
      </c>
      <c r="BB883" s="4"/>
      <c r="BC883" s="35" t="str">
        <f ca="1">IF(BE883&gt;2046, "Abundant",BE883)</f>
        <v>Abundant</v>
      </c>
      <c r="BD883" s="4"/>
      <c r="BE883" s="81">
        <f ca="1">YEAR($C$13)+(BG883*80)</f>
        <v>2103.3291664884136</v>
      </c>
      <c r="BF883" s="4"/>
      <c r="BG883" s="137">
        <f ca="1">BH883*$BH$14</f>
        <v>1.0541145811051693</v>
      </c>
      <c r="BH883" s="137">
        <f ca="1">(((BJ883+BK883+BM883+BN883)/4)*$BM$11)+(((BP883+BQ883)/2)*$BQ$11)+(((BU883+BV883+BW883)/3)*$BU$11)+(((BY883+BZ883+CA883+CB883+CC883)/5)*$CA$11)</f>
        <v>1.0541145811051693</v>
      </c>
      <c r="BI883" s="4"/>
      <c r="BJ883" s="33">
        <f>AP883/(AM883+AO883)</f>
        <v>0.16666666666666666</v>
      </c>
      <c r="BK883" s="33">
        <f>(AN883+AO883)/(AM883+AO883)</f>
        <v>1</v>
      </c>
      <c r="BL883" s="4"/>
      <c r="BM883" s="127">
        <f>CF883/102</f>
        <v>0.14705882352941177</v>
      </c>
      <c r="BN883" s="127">
        <f>C883/2</f>
        <v>4</v>
      </c>
      <c r="BO883" s="4"/>
      <c r="BP883" s="127">
        <f>(AK883)/($AW$6)</f>
        <v>5.0505050505050504E-2</v>
      </c>
      <c r="BQ883" s="127">
        <f ca="1">(CH883-$AW$4)/((YEAR($C$13))-$AW$4)</f>
        <v>1</v>
      </c>
      <c r="BR883" s="127">
        <f>(AL883)/($AW$6)</f>
        <v>0.20202020202020202</v>
      </c>
      <c r="BS883" s="4"/>
      <c r="BT883" s="127"/>
      <c r="BU883" s="127">
        <f ca="1">(CG883-$AW$4)/((YEAR($C$13))-$AW$4)</f>
        <v>1</v>
      </c>
      <c r="BV883" s="127">
        <f>AE883/5</f>
        <v>1</v>
      </c>
      <c r="BW883" s="127">
        <f>AF883/5</f>
        <v>1</v>
      </c>
      <c r="BX883" s="4"/>
      <c r="BY883" s="148" t="str">
        <f>IF(E883="A",".98",IF(E883="B",".99",IF(E883="C","1.00",IF(E883="D","1.00" ))))</f>
        <v>1.00</v>
      </c>
      <c r="BZ883" s="127">
        <f>(CE883+7)/10</f>
        <v>1</v>
      </c>
      <c r="CA883" s="76" t="str">
        <f>IF(D883="Fern",".97",IF(D883="Grass",".99",IF(D883="Herb",".97",IF(D883="Shrub",".99",IF(D883="Tree","1.00",IF(D883="Vine",".98"))))))</f>
        <v>.99</v>
      </c>
      <c r="CB883" s="149" t="str">
        <f>IF(R883="Bogs Ponds Streams",".96", IF(R883="Coastal Areas",".97",IF(R883="Meadows Dry Open",".96",IF(R883="Forest &amp; Understory",".97",IF(R883="Moist Open",".98",IF(R883="Moist Shady",".96",IF(R883="Sub-Alpine","1.0")))))))</f>
        <v>.98</v>
      </c>
      <c r="CC883" s="76" t="str">
        <f>IF(S883="Local Endemic",".50",IF(S883="Regional Endemic",".70",IF(S883="Cascadia",".90",IF(S883="Rocky Mountain",".95",IF(S883="North America",".99")))))</f>
        <v>.90</v>
      </c>
      <c r="CD883" s="4"/>
      <c r="CE883" s="21">
        <f>IF(W883&gt;3,3,W883)</f>
        <v>3</v>
      </c>
      <c r="CF883" s="21">
        <f>IF(AC883&gt;102,102,AC883)</f>
        <v>15</v>
      </c>
      <c r="CG883" s="34">
        <f ca="1">IF(AI883&lt;$AW$4,$AW$4,AI883)</f>
        <v>2019</v>
      </c>
      <c r="CH883" s="34">
        <f ca="1">IF(AJ883&lt;$AW$4,$AW$4,AJ883)</f>
        <v>2019</v>
      </c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</row>
    <row r="884" spans="1:115" ht="15" customHeight="1" x14ac:dyDescent="0.3">
      <c r="A884" s="235"/>
      <c r="B884" s="218"/>
      <c r="C884" s="225">
        <v>8</v>
      </c>
      <c r="D884" s="59" t="s">
        <v>2506</v>
      </c>
      <c r="E884" s="60" t="s">
        <v>2501</v>
      </c>
      <c r="F884" s="397" t="str">
        <f ca="1">IF(BC884&lt;2025, "Extinct&lt; 6Yrs?",BA884)</f>
        <v>Widespread</v>
      </c>
      <c r="G884" s="363" t="s">
        <v>525</v>
      </c>
      <c r="H884" s="363" t="s">
        <v>684</v>
      </c>
      <c r="I884" s="364" t="s">
        <v>573</v>
      </c>
      <c r="J884" s="365" t="s">
        <v>3882</v>
      </c>
      <c r="K884" s="365" t="s">
        <v>791</v>
      </c>
      <c r="L884" s="10" t="s">
        <v>2041</v>
      </c>
      <c r="M884" s="8" t="s">
        <v>4954</v>
      </c>
      <c r="N884" s="8" t="s">
        <v>5852</v>
      </c>
      <c r="O884" s="8" t="s">
        <v>6751</v>
      </c>
      <c r="P884" s="9" t="s">
        <v>198</v>
      </c>
      <c r="Q884" s="59" t="s">
        <v>2552</v>
      </c>
      <c r="R884" s="9" t="s">
        <v>2500</v>
      </c>
      <c r="S884" s="9" t="s">
        <v>2479</v>
      </c>
      <c r="T884" s="123" t="str">
        <f>IF(R884="Bogs Ponds Streams","20",IF(R884="Coastal Areas","26",IF(R884="Meadows Dry Open","10",IF(R884="Forest &amp; Understory","14",IF(R884="Moist Open","12",IF(R884="Moist Shady","10",IF(R884="Sub-Alpine Slopes","0")))))))</f>
        <v>10</v>
      </c>
      <c r="U884" s="123" t="str">
        <f>IF(R884="Bogs Ponds Streams","52",IF(R884="Coastal Areas","51",IF(R884="Meadows Dry Open","53",IF(R884="Forest &amp; Understory","52",IF(R884="Moist Open","50",IF(R884="Moist Shady","46",IF(R884="Sub-Alpine Slopes","40")))))))</f>
        <v>53</v>
      </c>
      <c r="V884" s="123" t="str">
        <f>IF(R884="Bogs Ponds Streams","84",IF(R884="Coastal Areas","76",IF(R884="Meadows Dry Open","96", IF(R884="Forest &amp; Understory","90", IF(R884="Moist Open","88", IF(R884="Moist Shady","82", IF(R884="Sub-Alpine Slopes","80")))))))</f>
        <v>96</v>
      </c>
      <c r="W884" s="59">
        <v>20</v>
      </c>
      <c r="X884" s="59">
        <v>0</v>
      </c>
      <c r="Y884" s="59">
        <v>3500</v>
      </c>
      <c r="Z884" s="59" t="s">
        <v>2519</v>
      </c>
      <c r="AA884" s="59" t="s">
        <v>2518</v>
      </c>
      <c r="AB884" s="59">
        <v>6.8</v>
      </c>
      <c r="AC884" s="45">
        <f>C884+AK884+(0.1)*AL884</f>
        <v>43</v>
      </c>
      <c r="AD884" s="77">
        <v>179</v>
      </c>
      <c r="AE884" s="59">
        <v>5</v>
      </c>
      <c r="AF884" s="59">
        <v>5</v>
      </c>
      <c r="AG884" s="59">
        <v>1900</v>
      </c>
      <c r="AH884" s="77">
        <v>0</v>
      </c>
      <c r="AI884" s="59">
        <f ca="1">AJ884</f>
        <v>2019</v>
      </c>
      <c r="AJ884" s="18">
        <f ca="1">YEAR(TODAY())</f>
        <v>2019</v>
      </c>
      <c r="AK884" s="18">
        <v>30</v>
      </c>
      <c r="AL884" s="18">
        <v>50</v>
      </c>
      <c r="AM884" s="18">
        <v>1</v>
      </c>
      <c r="AN884" s="18">
        <v>1</v>
      </c>
      <c r="AO884" s="24">
        <v>1</v>
      </c>
      <c r="AP884" s="24">
        <v>0</v>
      </c>
      <c r="AQ884" s="18">
        <v>0</v>
      </c>
      <c r="AR884" s="18">
        <v>0</v>
      </c>
      <c r="AS884" s="18">
        <v>0</v>
      </c>
      <c r="AT884" s="18">
        <v>0</v>
      </c>
      <c r="AU884" s="18">
        <v>0</v>
      </c>
      <c r="AV884" s="18">
        <v>0</v>
      </c>
      <c r="AW884" s="18">
        <v>0</v>
      </c>
      <c r="AX884" s="18">
        <v>0</v>
      </c>
      <c r="AY884" s="233"/>
      <c r="AZ884" s="4"/>
      <c r="BA884" s="35" t="str">
        <f>IF(OR(S884="North America",S884="Rocky Mountain"), "Widespread",BC884)</f>
        <v>Widespread</v>
      </c>
      <c r="BB884" s="4"/>
      <c r="BC884" s="35" t="str">
        <f ca="1">IF(BE884&gt;2046, "Abundant",BE884)</f>
        <v>Abundant</v>
      </c>
      <c r="BD884" s="4"/>
      <c r="BE884" s="81">
        <f ca="1">YEAR($C$13)+(BG884*80)</f>
        <v>2107.6631871657755</v>
      </c>
      <c r="BF884" s="4"/>
      <c r="BG884" s="137">
        <f ca="1">BH884*$BH$14</f>
        <v>1.1082898395721927</v>
      </c>
      <c r="BH884" s="137">
        <f ca="1">(((BJ884+BK884+BM884+BN884)/4)*$BM$11)+(((BP884+BQ884)/2)*$BQ$11)+(((BU884+BV884+BW884)/3)*$BU$11)+(((BY884+BZ884+CA884+CB884+CC884)/5)*$CA$11)</f>
        <v>1.1082898395721927</v>
      </c>
      <c r="BI884" s="4"/>
      <c r="BJ884" s="33">
        <f>AP884/(AM884+AO884)</f>
        <v>0</v>
      </c>
      <c r="BK884" s="33">
        <f>(AN884+AO884)/(AM884+AO884)</f>
        <v>1</v>
      </c>
      <c r="BL884" s="4"/>
      <c r="BM884" s="127">
        <f>CF884/102</f>
        <v>0.42156862745098039</v>
      </c>
      <c r="BN884" s="127">
        <f>C884/2</f>
        <v>4</v>
      </c>
      <c r="BO884" s="4"/>
      <c r="BP884" s="127">
        <f>(AK884)/($AW$6)</f>
        <v>0.30303030303030304</v>
      </c>
      <c r="BQ884" s="127">
        <f ca="1">(CH884-$AW$4)/((YEAR($C$13))-$AW$4)</f>
        <v>1</v>
      </c>
      <c r="BR884" s="127">
        <f>(AL884)/($AW$6)</f>
        <v>0.50505050505050508</v>
      </c>
      <c r="BS884" s="4"/>
      <c r="BT884" s="127"/>
      <c r="BU884" s="127">
        <f ca="1">(CG884-$AW$4)/((YEAR($C$13))-$AW$4)</f>
        <v>1</v>
      </c>
      <c r="BV884" s="127">
        <f>AE884/5</f>
        <v>1</v>
      </c>
      <c r="BW884" s="127">
        <f>AF884/5</f>
        <v>1</v>
      </c>
      <c r="BX884" s="4"/>
      <c r="BY884" s="148" t="str">
        <f>IF(E884="A",".98",IF(E884="B",".99",IF(E884="C","1.00",IF(E884="D","1.00" ))))</f>
        <v>1.00</v>
      </c>
      <c r="BZ884" s="127">
        <f>(CE884+7)/10</f>
        <v>1</v>
      </c>
      <c r="CA884" s="76" t="str">
        <f>IF(D884="Fern",".97",IF(D884="Grass",".99",IF(D884="Herb",".97",IF(D884="Shrub",".99",IF(D884="Tree","1.00",IF(D884="Vine",".98"))))))</f>
        <v>.99</v>
      </c>
      <c r="CB884" s="149" t="str">
        <f>IF(R884="Bogs Ponds Streams",".96", IF(R884="Coastal Areas",".97",IF(R884="Meadows Dry Open",".96",IF(R884="Forest &amp; Understory",".97",IF(R884="Moist Open",".98",IF(R884="Moist Shady",".96",IF(R884="Sub-Alpine","1.0")))))))</f>
        <v>.96</v>
      </c>
      <c r="CC884" s="76" t="str">
        <f>IF(S884="Local Endemic",".50",IF(S884="Regional Endemic",".70",IF(S884="Cascadia",".90",IF(S884="Rocky Mountain",".95",IF(S884="North America",".99")))))</f>
        <v>.95</v>
      </c>
      <c r="CD884" s="4"/>
      <c r="CE884" s="21">
        <f>IF(W884&gt;3,3,W884)</f>
        <v>3</v>
      </c>
      <c r="CF884" s="21">
        <f>IF(AC884&gt;102,102,AC884)</f>
        <v>43</v>
      </c>
      <c r="CG884" s="34">
        <f ca="1">IF(AI884&lt;$AW$4,$AW$4,AI884)</f>
        <v>2019</v>
      </c>
      <c r="CH884" s="34">
        <f ca="1">IF(AJ884&lt;$AW$4,$AW$4,AJ884)</f>
        <v>2019</v>
      </c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</row>
    <row r="885" spans="1:115" ht="15" customHeight="1" x14ac:dyDescent="0.3">
      <c r="A885" s="235"/>
      <c r="B885" s="218"/>
      <c r="C885" s="225">
        <v>8</v>
      </c>
      <c r="D885" s="59" t="s">
        <v>2506</v>
      </c>
      <c r="E885" s="60" t="s">
        <v>2501</v>
      </c>
      <c r="F885" s="397" t="str">
        <f ca="1">IF(BC885&lt;2025, "Extinct&lt; 6Yrs?",BA885)</f>
        <v>Abundant</v>
      </c>
      <c r="G885" s="363" t="s">
        <v>525</v>
      </c>
      <c r="H885" s="363" t="s">
        <v>681</v>
      </c>
      <c r="I885" s="364" t="s">
        <v>574</v>
      </c>
      <c r="J885" s="365" t="s">
        <v>3881</v>
      </c>
      <c r="K885" s="365" t="s">
        <v>792</v>
      </c>
      <c r="L885" s="10" t="s">
        <v>2042</v>
      </c>
      <c r="M885" s="8" t="s">
        <v>4955</v>
      </c>
      <c r="N885" s="8" t="s">
        <v>5853</v>
      </c>
      <c r="O885" s="8" t="s">
        <v>6752</v>
      </c>
      <c r="P885" s="9" t="s">
        <v>198</v>
      </c>
      <c r="Q885" s="59" t="s">
        <v>2552</v>
      </c>
      <c r="R885" s="9" t="s">
        <v>2500</v>
      </c>
      <c r="S885" s="9" t="s">
        <v>2309</v>
      </c>
      <c r="T885" s="123" t="str">
        <f>IF(R885="Bogs Ponds Streams","20",IF(R885="Coastal Areas","26",IF(R885="Meadows Dry Open","10",IF(R885="Forest &amp; Understory","14",IF(R885="Moist Open","12",IF(R885="Moist Shady","10",IF(R885="Sub-Alpine Slopes","0")))))))</f>
        <v>10</v>
      </c>
      <c r="U885" s="123" t="str">
        <f>IF(R885="Bogs Ponds Streams","52",IF(R885="Coastal Areas","51",IF(R885="Meadows Dry Open","53",IF(R885="Forest &amp; Understory","52",IF(R885="Moist Open","50",IF(R885="Moist Shady","46",IF(R885="Sub-Alpine Slopes","40")))))))</f>
        <v>53</v>
      </c>
      <c r="V885" s="123" t="str">
        <f>IF(R885="Bogs Ponds Streams","84",IF(R885="Coastal Areas","76",IF(R885="Meadows Dry Open","96", IF(R885="Forest &amp; Understory","90", IF(R885="Moist Open","88", IF(R885="Moist Shady","82", IF(R885="Sub-Alpine Slopes","80")))))))</f>
        <v>96</v>
      </c>
      <c r="W885" s="59">
        <v>20</v>
      </c>
      <c r="X885" s="59">
        <v>0</v>
      </c>
      <c r="Y885" s="59">
        <v>3500</v>
      </c>
      <c r="Z885" s="59" t="s">
        <v>2519</v>
      </c>
      <c r="AA885" s="59" t="s">
        <v>2518</v>
      </c>
      <c r="AB885" s="59">
        <v>6.8</v>
      </c>
      <c r="AC885" s="45">
        <f>C885+AK885+(0.1)*AL885</f>
        <v>78.3</v>
      </c>
      <c r="AD885" s="77">
        <v>142</v>
      </c>
      <c r="AE885" s="59">
        <v>5</v>
      </c>
      <c r="AF885" s="59">
        <v>5</v>
      </c>
      <c r="AG885" s="59">
        <v>1900</v>
      </c>
      <c r="AH885" s="77">
        <v>0</v>
      </c>
      <c r="AI885" s="59">
        <f ca="1">AJ885</f>
        <v>2019</v>
      </c>
      <c r="AJ885" s="18">
        <f ca="1">YEAR(TODAY())</f>
        <v>2019</v>
      </c>
      <c r="AK885" s="18">
        <v>70</v>
      </c>
      <c r="AL885" s="18">
        <v>3</v>
      </c>
      <c r="AM885" s="18">
        <v>1</v>
      </c>
      <c r="AN885" s="18">
        <v>1</v>
      </c>
      <c r="AO885" s="24">
        <v>1</v>
      </c>
      <c r="AP885" s="24">
        <v>1</v>
      </c>
      <c r="AQ885" s="18">
        <v>0</v>
      </c>
      <c r="AR885" s="18">
        <v>0</v>
      </c>
      <c r="AS885" s="18">
        <v>0</v>
      </c>
      <c r="AT885" s="18">
        <v>0</v>
      </c>
      <c r="AU885" s="18">
        <v>0</v>
      </c>
      <c r="AV885" s="18">
        <v>0</v>
      </c>
      <c r="AW885" s="18">
        <v>0</v>
      </c>
      <c r="AX885" s="18">
        <v>0</v>
      </c>
      <c r="AY885" s="233"/>
      <c r="AZ885" s="4"/>
      <c r="BA885" s="35" t="str">
        <f ca="1">IF(OR(S885="North America",S885="Rocky Mountain"), "Widespread",BC885)</f>
        <v>Abundant</v>
      </c>
      <c r="BB885" s="4"/>
      <c r="BC885" s="35" t="str">
        <f ca="1">IF(BE885&gt;2046, "Abundant",BE885)</f>
        <v>Abundant</v>
      </c>
      <c r="BD885" s="4"/>
      <c r="BE885" s="81">
        <f ca="1">YEAR($C$13)+(BG885*80)</f>
        <v>2122.584613190731</v>
      </c>
      <c r="BF885" s="4"/>
      <c r="BG885" s="137">
        <f ca="1">BH885*$BH$14</f>
        <v>1.2948076648841353</v>
      </c>
      <c r="BH885" s="137">
        <f ca="1">(((BJ885+BK885+BM885+BN885)/4)*$BM$11)+(((BP885+BQ885)/2)*$BQ$11)+(((BU885+BV885+BW885)/3)*$BU$11)+(((BY885+BZ885+CA885+CB885+CC885)/5)*$CA$11)</f>
        <v>1.2948076648841353</v>
      </c>
      <c r="BI885" s="4"/>
      <c r="BJ885" s="33">
        <f>AP885/(AM885+AO885)</f>
        <v>0.5</v>
      </c>
      <c r="BK885" s="33">
        <f>(AN885+AO885)/(AM885+AO885)</f>
        <v>1</v>
      </c>
      <c r="BL885" s="4"/>
      <c r="BM885" s="127">
        <f>CF885/102</f>
        <v>0.76764705882352935</v>
      </c>
      <c r="BN885" s="127">
        <f>C885/2</f>
        <v>4</v>
      </c>
      <c r="BO885" s="4"/>
      <c r="BP885" s="127">
        <f>(AK885)/($AW$6)</f>
        <v>0.70707070707070707</v>
      </c>
      <c r="BQ885" s="127">
        <f ca="1">(CH885-$AW$4)/((YEAR($C$13))-$AW$4)</f>
        <v>1</v>
      </c>
      <c r="BR885" s="127">
        <f>(AL885)/($AW$6)</f>
        <v>3.0303030303030304E-2</v>
      </c>
      <c r="BS885" s="4"/>
      <c r="BT885" s="127"/>
      <c r="BU885" s="127">
        <f ca="1">(CG885-$AW$4)/((YEAR($C$13))-$AW$4)</f>
        <v>1</v>
      </c>
      <c r="BV885" s="127">
        <f>AE885/5</f>
        <v>1</v>
      </c>
      <c r="BW885" s="127">
        <f>AF885/5</f>
        <v>1</v>
      </c>
      <c r="BX885" s="4"/>
      <c r="BY885" s="148" t="str">
        <f>IF(E885="A",".98",IF(E885="B",".99",IF(E885="C","1.00",IF(E885="D","1.00" ))))</f>
        <v>1.00</v>
      </c>
      <c r="BZ885" s="127">
        <f>(CE885+7)/10</f>
        <v>1</v>
      </c>
      <c r="CA885" s="76" t="str">
        <f>IF(D885="Fern",".97",IF(D885="Grass",".99",IF(D885="Herb",".97",IF(D885="Shrub",".99",IF(D885="Tree","1.00",IF(D885="Vine",".98"))))))</f>
        <v>.99</v>
      </c>
      <c r="CB885" s="149" t="str">
        <f>IF(R885="Bogs Ponds Streams",".96", IF(R885="Coastal Areas",".97",IF(R885="Meadows Dry Open",".96",IF(R885="Forest &amp; Understory",".97",IF(R885="Moist Open",".98",IF(R885="Moist Shady",".96",IF(R885="Sub-Alpine","1.0")))))))</f>
        <v>.96</v>
      </c>
      <c r="CC885" s="76" t="str">
        <f>IF(S885="Local Endemic",".50",IF(S885="Regional Endemic",".70",IF(S885="Cascadia",".90",IF(S885="Rocky Mountain",".95",IF(S885="North America",".99")))))</f>
        <v>.70</v>
      </c>
      <c r="CD885" s="4"/>
      <c r="CE885" s="21">
        <f>IF(W885&gt;3,3,W885)</f>
        <v>3</v>
      </c>
      <c r="CF885" s="21">
        <f>IF(AC885&gt;102,102,AC885)</f>
        <v>78.3</v>
      </c>
      <c r="CG885" s="34">
        <f ca="1">IF(AI885&lt;$AW$4,$AW$4,AI885)</f>
        <v>2019</v>
      </c>
      <c r="CH885" s="34">
        <f ca="1">IF(AJ885&lt;$AW$4,$AW$4,AJ885)</f>
        <v>2019</v>
      </c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</row>
    <row r="886" spans="1:115" ht="15" customHeight="1" x14ac:dyDescent="0.3">
      <c r="A886" s="235"/>
      <c r="B886" s="218"/>
      <c r="C886" s="225">
        <v>8</v>
      </c>
      <c r="D886" s="59" t="s">
        <v>2506</v>
      </c>
      <c r="E886" s="59" t="s">
        <v>2504</v>
      </c>
      <c r="F886" s="397" t="str">
        <f ca="1">IF(BC886&lt;2025, "Extinct&lt; 6Yrs?",BA886)</f>
        <v>Abundant</v>
      </c>
      <c r="G886" s="363" t="s">
        <v>525</v>
      </c>
      <c r="H886" s="363" t="s">
        <v>684</v>
      </c>
      <c r="I886" s="364" t="s">
        <v>568</v>
      </c>
      <c r="J886" s="365" t="s">
        <v>3880</v>
      </c>
      <c r="K886" s="365" t="s">
        <v>793</v>
      </c>
      <c r="L886" s="10" t="s">
        <v>2043</v>
      </c>
      <c r="M886" s="8" t="s">
        <v>4956</v>
      </c>
      <c r="N886" s="8" t="s">
        <v>5854</v>
      </c>
      <c r="O886" s="8" t="s">
        <v>6753</v>
      </c>
      <c r="P886" s="9" t="s">
        <v>198</v>
      </c>
      <c r="Q886" s="59" t="s">
        <v>2552</v>
      </c>
      <c r="R886" s="9" t="s">
        <v>2530</v>
      </c>
      <c r="S886" s="9" t="s">
        <v>2459</v>
      </c>
      <c r="T886" s="123" t="str">
        <f>IF(R886="Bogs Ponds Streams","20",IF(R886="Coastal Areas","26",IF(R886="Meadows Dry Open","10",IF(R886="Forest &amp; Understory","14",IF(R886="Moist Open","12",IF(R886="Moist Shady","10",IF(R886="Sub-Alpine Slopes","0")))))))</f>
        <v>14</v>
      </c>
      <c r="U886" s="123" t="str">
        <f>IF(R886="Bogs Ponds Streams","52",IF(R886="Coastal Areas","51",IF(R886="Meadows Dry Open","53",IF(R886="Forest &amp; Understory","52",IF(R886="Moist Open","50",IF(R886="Moist Shady","46",IF(R886="Sub-Alpine Slopes","40")))))))</f>
        <v>52</v>
      </c>
      <c r="V886" s="123" t="str">
        <f>IF(R886="Bogs Ponds Streams","84",IF(R886="Coastal Areas","76",IF(R886="Meadows Dry Open","96", IF(R886="Forest &amp; Understory","90", IF(R886="Moist Open","88", IF(R886="Moist Shady","82", IF(R886="Sub-Alpine Slopes","80")))))))</f>
        <v>90</v>
      </c>
      <c r="W886" s="59">
        <v>20</v>
      </c>
      <c r="X886" s="59">
        <v>0</v>
      </c>
      <c r="Y886" s="59">
        <v>3500</v>
      </c>
      <c r="Z886" s="59" t="s">
        <v>2519</v>
      </c>
      <c r="AA886" s="59" t="s">
        <v>2518</v>
      </c>
      <c r="AB886" s="59">
        <v>6.8</v>
      </c>
      <c r="AC886" s="45">
        <f>C886+AK886+(0.1)*AL886</f>
        <v>43</v>
      </c>
      <c r="AD886" s="77">
        <v>70</v>
      </c>
      <c r="AE886" s="59">
        <v>5</v>
      </c>
      <c r="AF886" s="59">
        <v>5</v>
      </c>
      <c r="AG886" s="59">
        <v>1900</v>
      </c>
      <c r="AH886" s="77">
        <v>0</v>
      </c>
      <c r="AI886" s="59">
        <f ca="1">AJ886</f>
        <v>2019</v>
      </c>
      <c r="AJ886" s="18">
        <f ca="1">YEAR(TODAY())</f>
        <v>2019</v>
      </c>
      <c r="AK886" s="18">
        <v>35</v>
      </c>
      <c r="AL886" s="18">
        <v>0</v>
      </c>
      <c r="AM886" s="18">
        <v>1</v>
      </c>
      <c r="AN886" s="18">
        <v>1</v>
      </c>
      <c r="AO886" s="18">
        <v>5</v>
      </c>
      <c r="AP886" s="18">
        <v>1</v>
      </c>
      <c r="AQ886" s="18">
        <v>0</v>
      </c>
      <c r="AR886" s="18">
        <v>0</v>
      </c>
      <c r="AS886" s="18">
        <v>0</v>
      </c>
      <c r="AT886" s="18">
        <v>0</v>
      </c>
      <c r="AU886" s="18">
        <v>0</v>
      </c>
      <c r="AV886" s="18">
        <v>0</v>
      </c>
      <c r="AW886" s="18">
        <v>0</v>
      </c>
      <c r="AX886" s="18">
        <v>0</v>
      </c>
      <c r="AY886" s="233"/>
      <c r="AZ886" s="4"/>
      <c r="BA886" s="35" t="str">
        <f ca="1">IF(OR(S886="North America",S886="Rocky Mountain"), "Widespread",BC886)</f>
        <v>Abundant</v>
      </c>
      <c r="BB886" s="4"/>
      <c r="BC886" s="35" t="str">
        <f ca="1">IF(BE886&gt;2046, "Abundant",BE886)</f>
        <v>Abundant</v>
      </c>
      <c r="BD886" s="4"/>
      <c r="BE886" s="81">
        <f ca="1">YEAR($C$13)+(BG886*80)</f>
        <v>2110.2564477718361</v>
      </c>
      <c r="BF886" s="4"/>
      <c r="BG886" s="137">
        <f ca="1">BH886*$BH$14</f>
        <v>1.1407055971479501</v>
      </c>
      <c r="BH886" s="137">
        <f ca="1">(((BJ886+BK886+BM886+BN886)/4)*$BM$11)+(((BP886+BQ886)/2)*$BQ$11)+(((BU886+BV886+BW886)/3)*$BU$11)+(((BY886+BZ886+CA886+CB886+CC886)/5)*$CA$11)</f>
        <v>1.1407055971479501</v>
      </c>
      <c r="BI886" s="4"/>
      <c r="BJ886" s="33">
        <f>AP886/(AM886+AO886)</f>
        <v>0.16666666666666666</v>
      </c>
      <c r="BK886" s="33">
        <f>(AN886+AO886)/(AM886+AO886)</f>
        <v>1</v>
      </c>
      <c r="BL886" s="4"/>
      <c r="BM886" s="127">
        <f>CF886/102</f>
        <v>0.42156862745098039</v>
      </c>
      <c r="BN886" s="127">
        <f>C886/2</f>
        <v>4</v>
      </c>
      <c r="BO886" s="4"/>
      <c r="BP886" s="127">
        <f>(AK886)/($AW$6)</f>
        <v>0.35353535353535354</v>
      </c>
      <c r="BQ886" s="127">
        <f ca="1">(CH886-$AW$4)/((YEAR($C$13))-$AW$4)</f>
        <v>1</v>
      </c>
      <c r="BR886" s="127">
        <f>(AL886)/($AW$6)</f>
        <v>0</v>
      </c>
      <c r="BS886" s="4"/>
      <c r="BT886" s="127"/>
      <c r="BU886" s="127">
        <f ca="1">(CG886-$AW$4)/((YEAR($C$13))-$AW$4)</f>
        <v>1</v>
      </c>
      <c r="BV886" s="127">
        <f>AE886/5</f>
        <v>1</v>
      </c>
      <c r="BW886" s="127">
        <f>AF886/5</f>
        <v>1</v>
      </c>
      <c r="BX886" s="4"/>
      <c r="BY886" s="148" t="str">
        <f>IF(E886="A",".98",IF(E886="B",".99",IF(E886="C","1.00",IF(E886="D","1.00" ))))</f>
        <v>1.00</v>
      </c>
      <c r="BZ886" s="127">
        <f>(CE886+7)/10</f>
        <v>1</v>
      </c>
      <c r="CA886" s="76" t="str">
        <f>IF(D886="Fern",".97",IF(D886="Grass",".99",IF(D886="Herb",".97",IF(D886="Shrub",".99",IF(D886="Tree","1.00",IF(D886="Vine",".98"))))))</f>
        <v>.99</v>
      </c>
      <c r="CB886" s="149" t="str">
        <f>IF(R886="Bogs Ponds Streams",".96", IF(R886="Coastal Areas",".97",IF(R886="Meadows Dry Open",".96",IF(R886="Forest &amp; Understory",".97",IF(R886="Moist Open",".98",IF(R886="Moist Shady",".96",IF(R886="Sub-Alpine","1.0")))))))</f>
        <v>.97</v>
      </c>
      <c r="CC886" s="76" t="str">
        <f>IF(S886="Local Endemic",".50",IF(S886="Regional Endemic",".70",IF(S886="Cascadia",".90",IF(S886="Rocky Mountain",".95",IF(S886="North America",".99")))))</f>
        <v>.90</v>
      </c>
      <c r="CD886" s="4"/>
      <c r="CE886" s="21">
        <f>IF(W886&gt;3,3,W886)</f>
        <v>3</v>
      </c>
      <c r="CF886" s="21">
        <f>IF(AC886&gt;102,102,AC886)</f>
        <v>43</v>
      </c>
      <c r="CG886" s="34">
        <f ca="1">IF(AI886&lt;$AW$4,$AW$4,AI886)</f>
        <v>2019</v>
      </c>
      <c r="CH886" s="34">
        <f ca="1">IF(AJ886&lt;$AW$4,$AW$4,AJ886)</f>
        <v>2019</v>
      </c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</row>
    <row r="887" spans="1:115" ht="15" customHeight="1" x14ac:dyDescent="0.3">
      <c r="A887" s="235"/>
      <c r="B887" s="218"/>
      <c r="C887" s="225">
        <v>8</v>
      </c>
      <c r="D887" s="59" t="s">
        <v>2506</v>
      </c>
      <c r="E887" s="59" t="s">
        <v>2504</v>
      </c>
      <c r="F887" s="397" t="str">
        <f ca="1">IF(BC887&lt;2025, "Extinct&lt; 6Yrs?",BA887)</f>
        <v>Widespread</v>
      </c>
      <c r="G887" s="363" t="s">
        <v>525</v>
      </c>
      <c r="H887" s="363" t="s">
        <v>682</v>
      </c>
      <c r="I887" s="364" t="s">
        <v>761</v>
      </c>
      <c r="J887" s="365" t="s">
        <v>3879</v>
      </c>
      <c r="K887" s="365" t="s">
        <v>760</v>
      </c>
      <c r="L887" s="17" t="s">
        <v>2044</v>
      </c>
      <c r="M887" s="8" t="s">
        <v>4957</v>
      </c>
      <c r="N887" s="8" t="s">
        <v>5855</v>
      </c>
      <c r="O887" s="8" t="s">
        <v>6754</v>
      </c>
      <c r="P887" s="398" t="s">
        <v>198</v>
      </c>
      <c r="Q887" s="59" t="s">
        <v>2552</v>
      </c>
      <c r="R887" s="9" t="s">
        <v>2498</v>
      </c>
      <c r="S887" s="9" t="s">
        <v>2495</v>
      </c>
      <c r="T887" s="123" t="str">
        <f>IF(R887="Bogs Ponds Streams","20",IF(R887="Coastal Areas","26",IF(R887="Meadows Dry Open","10",IF(R887="Forest &amp; Understory","14",IF(R887="Moist Open","12",IF(R887="Moist Shady","10",IF(R887="Sub-Alpine Slopes","0")))))))</f>
        <v>10</v>
      </c>
      <c r="U887" s="123" t="str">
        <f>IF(R887="Bogs Ponds Streams","52",IF(R887="Coastal Areas","51",IF(R887="Meadows Dry Open","53",IF(R887="Forest &amp; Understory","52",IF(R887="Moist Open","50",IF(R887="Moist Shady","46",IF(R887="Sub-Alpine Slopes","40")))))))</f>
        <v>46</v>
      </c>
      <c r="V887" s="123" t="str">
        <f>IF(R887="Bogs Ponds Streams","84",IF(R887="Coastal Areas","76",IF(R887="Meadows Dry Open","96", IF(R887="Forest &amp; Understory","90", IF(R887="Moist Open","88", IF(R887="Moist Shady","82", IF(R887="Sub-Alpine Slopes","80")))))))</f>
        <v>82</v>
      </c>
      <c r="W887" s="59">
        <v>20</v>
      </c>
      <c r="X887" s="59">
        <v>0</v>
      </c>
      <c r="Y887" s="59">
        <v>3500</v>
      </c>
      <c r="Z887" s="59" t="s">
        <v>2519</v>
      </c>
      <c r="AA887" s="59" t="s">
        <v>2518</v>
      </c>
      <c r="AB887" s="59">
        <v>6.8</v>
      </c>
      <c r="AC887" s="45">
        <f>C887+AK887+(0.1)*AL887</f>
        <v>38</v>
      </c>
      <c r="AD887" s="77">
        <v>86</v>
      </c>
      <c r="AE887" s="59">
        <v>5</v>
      </c>
      <c r="AF887" s="59">
        <v>5</v>
      </c>
      <c r="AG887" s="59">
        <v>1900</v>
      </c>
      <c r="AH887" s="77">
        <v>0</v>
      </c>
      <c r="AI887" s="59">
        <f ca="1">AJ887</f>
        <v>2019</v>
      </c>
      <c r="AJ887" s="18">
        <f ca="1">YEAR(TODAY())</f>
        <v>2019</v>
      </c>
      <c r="AK887" s="18">
        <v>30</v>
      </c>
      <c r="AL887" s="18">
        <v>0</v>
      </c>
      <c r="AM887" s="18">
        <v>1</v>
      </c>
      <c r="AN887" s="18">
        <v>1</v>
      </c>
      <c r="AO887" s="24">
        <v>1</v>
      </c>
      <c r="AP887" s="24">
        <v>0</v>
      </c>
      <c r="AQ887" s="18">
        <v>0</v>
      </c>
      <c r="AR887" s="18">
        <v>0</v>
      </c>
      <c r="AS887" s="18">
        <v>0</v>
      </c>
      <c r="AT887" s="18">
        <v>0</v>
      </c>
      <c r="AU887" s="18">
        <v>0</v>
      </c>
      <c r="AV887" s="18">
        <v>0</v>
      </c>
      <c r="AW887" s="18">
        <v>0</v>
      </c>
      <c r="AX887" s="18">
        <v>0</v>
      </c>
      <c r="AY887" s="233"/>
      <c r="AZ887" s="4"/>
      <c r="BA887" s="35" t="str">
        <f>IF(OR(S887="North America",S887="Rocky Mountain"), "Widespread",BC887)</f>
        <v>Widespread</v>
      </c>
      <c r="BB887" s="4"/>
      <c r="BC887" s="35" t="str">
        <f ca="1">IF(BE887&gt;2046, "Abundant",BE887)</f>
        <v>Abundant</v>
      </c>
      <c r="BD887" s="4"/>
      <c r="BE887" s="81">
        <f ca="1">YEAR($C$13)+(BG887*80)</f>
        <v>2107.0877518716579</v>
      </c>
      <c r="BF887" s="4"/>
      <c r="BG887" s="137">
        <f ca="1">BH887*$BH$14</f>
        <v>1.1010968983957221</v>
      </c>
      <c r="BH887" s="137">
        <f ca="1">(((BJ887+BK887+BM887+BN887)/4)*$BM$11)+(((BP887+BQ887)/2)*$BQ$11)+(((BU887+BV887+BW887)/3)*$BU$11)+(((BY887+BZ887+CA887+CB887+CC887)/5)*$CA$11)</f>
        <v>1.1010968983957221</v>
      </c>
      <c r="BI887" s="4"/>
      <c r="BJ887" s="33">
        <f>AP887/(AM887+AO887)</f>
        <v>0</v>
      </c>
      <c r="BK887" s="33">
        <f>(AN887+AO887)/(AM887+AO887)</f>
        <v>1</v>
      </c>
      <c r="BL887" s="4"/>
      <c r="BM887" s="127">
        <f>CF887/102</f>
        <v>0.37254901960784315</v>
      </c>
      <c r="BN887" s="127">
        <f>C887/2</f>
        <v>4</v>
      </c>
      <c r="BO887" s="4"/>
      <c r="BP887" s="127">
        <f>(AK887)/($AW$6)</f>
        <v>0.30303030303030304</v>
      </c>
      <c r="BQ887" s="127">
        <f ca="1">(CH887-$AW$4)/((YEAR($C$13))-$AW$4)</f>
        <v>1</v>
      </c>
      <c r="BR887" s="127">
        <f>(AL887)/($AW$6)</f>
        <v>0</v>
      </c>
      <c r="BS887" s="4"/>
      <c r="BT887" s="127"/>
      <c r="BU887" s="127">
        <f ca="1">(CG887-$AW$4)/((YEAR($C$13))-$AW$4)</f>
        <v>1</v>
      </c>
      <c r="BV887" s="127">
        <f>AE887/5</f>
        <v>1</v>
      </c>
      <c r="BW887" s="127">
        <f>AF887/5</f>
        <v>1</v>
      </c>
      <c r="BX887" s="4"/>
      <c r="BY887" s="148" t="str">
        <f>IF(E887="A",".98",IF(E887="B",".99",IF(E887="C","1.00",IF(E887="D","1.00" ))))</f>
        <v>1.00</v>
      </c>
      <c r="BZ887" s="127">
        <f>(CE887+7)/10</f>
        <v>1</v>
      </c>
      <c r="CA887" s="76" t="str">
        <f>IF(D887="Fern",".97",IF(D887="Grass",".99",IF(D887="Herb",".97",IF(D887="Shrub",".99",IF(D887="Tree","1.00",IF(D887="Vine",".98"))))))</f>
        <v>.99</v>
      </c>
      <c r="CB887" s="149" t="str">
        <f>IF(R887="Bogs Ponds Streams",".96", IF(R887="Coastal Areas",".97",IF(R887="Meadows Dry Open",".96",IF(R887="Forest &amp; Understory",".97",IF(R887="Moist Open",".98",IF(R887="Moist Shady",".96",IF(R887="Sub-Alpine","1.0")))))))</f>
        <v>.96</v>
      </c>
      <c r="CC887" s="76" t="str">
        <f>IF(S887="Local Endemic",".50",IF(S887="Regional Endemic",".70",IF(S887="Cascadia",".90",IF(S887="Rocky Mountain",".95",IF(S887="North America",".99")))))</f>
        <v>.99</v>
      </c>
      <c r="CD887" s="4"/>
      <c r="CE887" s="21">
        <f>IF(W887&gt;3,3,W887)</f>
        <v>3</v>
      </c>
      <c r="CF887" s="21">
        <f>IF(AC887&gt;102,102,AC887)</f>
        <v>38</v>
      </c>
      <c r="CG887" s="34">
        <f ca="1">IF(AI887&lt;$AW$4,$AW$4,AI887)</f>
        <v>2019</v>
      </c>
      <c r="CH887" s="34">
        <f ca="1">IF(AJ887&lt;$AW$4,$AW$4,AJ887)</f>
        <v>2019</v>
      </c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</row>
    <row r="888" spans="1:115" ht="15" customHeight="1" x14ac:dyDescent="0.3">
      <c r="A888" s="235"/>
      <c r="B888" s="218"/>
      <c r="C888" s="225">
        <v>8</v>
      </c>
      <c r="D888" s="59" t="s">
        <v>2506</v>
      </c>
      <c r="E888" s="60" t="s">
        <v>2501</v>
      </c>
      <c r="F888" s="397" t="str">
        <f ca="1">IF(BC888&lt;2025, "Extinct&lt; 6Yrs?",BA888)</f>
        <v>Abundant</v>
      </c>
      <c r="G888" s="363" t="s">
        <v>525</v>
      </c>
      <c r="H888" s="363" t="s">
        <v>684</v>
      </c>
      <c r="I888" s="364" t="s">
        <v>570</v>
      </c>
      <c r="J888" s="365" t="s">
        <v>3878</v>
      </c>
      <c r="K888" s="365" t="s">
        <v>569</v>
      </c>
      <c r="L888" s="10" t="s">
        <v>2045</v>
      </c>
      <c r="M888" s="8" t="s">
        <v>4958</v>
      </c>
      <c r="N888" s="8" t="s">
        <v>5856</v>
      </c>
      <c r="O888" s="8" t="s">
        <v>6755</v>
      </c>
      <c r="P888" s="9" t="s">
        <v>198</v>
      </c>
      <c r="Q888" s="59" t="s">
        <v>2552</v>
      </c>
      <c r="R888" s="9" t="s">
        <v>2498</v>
      </c>
      <c r="S888" s="9" t="s">
        <v>2459</v>
      </c>
      <c r="T888" s="123" t="str">
        <f>IF(R888="Bogs Ponds Streams","20",IF(R888="Coastal Areas","26",IF(R888="Meadows Dry Open","10",IF(R888="Forest &amp; Understory","14",IF(R888="Moist Open","12",IF(R888="Moist Shady","10",IF(R888="Sub-Alpine Slopes","0")))))))</f>
        <v>10</v>
      </c>
      <c r="U888" s="123" t="str">
        <f>IF(R888="Bogs Ponds Streams","52",IF(R888="Coastal Areas","51",IF(R888="Meadows Dry Open","53",IF(R888="Forest &amp; Understory","52",IF(R888="Moist Open","50",IF(R888="Moist Shady","46",IF(R888="Sub-Alpine Slopes","40")))))))</f>
        <v>46</v>
      </c>
      <c r="V888" s="123" t="str">
        <f>IF(R888="Bogs Ponds Streams","84",IF(R888="Coastal Areas","76",IF(R888="Meadows Dry Open","96", IF(R888="Forest &amp; Understory","90", IF(R888="Moist Open","88", IF(R888="Moist Shady","82", IF(R888="Sub-Alpine Slopes","80")))))))</f>
        <v>82</v>
      </c>
      <c r="W888" s="59">
        <v>20</v>
      </c>
      <c r="X888" s="59">
        <v>0</v>
      </c>
      <c r="Y888" s="59">
        <v>3500</v>
      </c>
      <c r="Z888" s="59" t="s">
        <v>2519</v>
      </c>
      <c r="AA888" s="59" t="s">
        <v>2518</v>
      </c>
      <c r="AB888" s="59">
        <v>6.8</v>
      </c>
      <c r="AC888" s="45">
        <f>C888+AK888+(0.1)*AL888</f>
        <v>107.1</v>
      </c>
      <c r="AD888" s="77">
        <v>100</v>
      </c>
      <c r="AE888" s="59">
        <v>5</v>
      </c>
      <c r="AF888" s="59">
        <v>5</v>
      </c>
      <c r="AG888" s="59">
        <v>1900</v>
      </c>
      <c r="AH888" s="77">
        <v>0</v>
      </c>
      <c r="AI888" s="59">
        <f ca="1">AJ888</f>
        <v>2019</v>
      </c>
      <c r="AJ888" s="18">
        <f ca="1">YEAR(TODAY())</f>
        <v>2019</v>
      </c>
      <c r="AK888" s="18">
        <v>99</v>
      </c>
      <c r="AL888" s="18">
        <v>1</v>
      </c>
      <c r="AM888" s="18">
        <v>1</v>
      </c>
      <c r="AN888" s="18">
        <v>1</v>
      </c>
      <c r="AO888" s="18">
        <v>5</v>
      </c>
      <c r="AP888" s="18">
        <v>1</v>
      </c>
      <c r="AQ888" s="18">
        <v>0</v>
      </c>
      <c r="AR888" s="18">
        <v>0</v>
      </c>
      <c r="AS888" s="18">
        <v>0</v>
      </c>
      <c r="AT888" s="18">
        <v>0</v>
      </c>
      <c r="AU888" s="18">
        <v>0</v>
      </c>
      <c r="AV888" s="18">
        <v>0</v>
      </c>
      <c r="AW888" s="18">
        <v>0</v>
      </c>
      <c r="AX888" s="18">
        <v>0</v>
      </c>
      <c r="AY888" s="233"/>
      <c r="AZ888" s="4"/>
      <c r="BA888" s="35" t="str">
        <f ca="1">IF(OR(S888="North America",S888="Rocky Mountain"), "Widespread",BC888)</f>
        <v>Abundant</v>
      </c>
      <c r="BB888" s="4"/>
      <c r="BC888" s="35" t="str">
        <f ca="1">IF(BE888&gt;2046, "Abundant",BE888)</f>
        <v>Abundant</v>
      </c>
      <c r="BD888" s="4"/>
      <c r="BE888" s="81">
        <f ca="1">YEAR($C$13)+(BG888*80)</f>
        <v>2124.9520000000002</v>
      </c>
      <c r="BF888" s="4"/>
      <c r="BG888" s="137">
        <f ca="1">BH888*$BH$14</f>
        <v>1.3244000000000002</v>
      </c>
      <c r="BH888" s="137">
        <f ca="1">(((BJ888+BK888+BM888+BN888)/4)*$BM$11)+(((BP888+BQ888)/2)*$BQ$11)+(((BU888+BV888+BW888)/3)*$BU$11)+(((BY888+BZ888+CA888+CB888+CC888)/5)*$CA$11)</f>
        <v>1.3244000000000002</v>
      </c>
      <c r="BI888" s="4"/>
      <c r="BJ888" s="33">
        <f>AP888/(AM888+AO888)</f>
        <v>0.16666666666666666</v>
      </c>
      <c r="BK888" s="33">
        <f>(AN888+AO888)/(AM888+AO888)</f>
        <v>1</v>
      </c>
      <c r="BL888" s="4"/>
      <c r="BM888" s="127">
        <f>CF888/102</f>
        <v>1</v>
      </c>
      <c r="BN888" s="127">
        <f>C888/2</f>
        <v>4</v>
      </c>
      <c r="BO888" s="4"/>
      <c r="BP888" s="127">
        <f>(AK888)/($AW$6)</f>
        <v>1</v>
      </c>
      <c r="BQ888" s="127">
        <f ca="1">(CH888-$AW$4)/((YEAR($C$13))-$AW$4)</f>
        <v>1</v>
      </c>
      <c r="BR888" s="127">
        <f>(AL888)/($AW$6)</f>
        <v>1.0101010101010102E-2</v>
      </c>
      <c r="BS888" s="4"/>
      <c r="BT888" s="127"/>
      <c r="BU888" s="127">
        <f ca="1">(CG888-$AW$4)/((YEAR($C$13))-$AW$4)</f>
        <v>1</v>
      </c>
      <c r="BV888" s="127">
        <f>AE888/5</f>
        <v>1</v>
      </c>
      <c r="BW888" s="127">
        <f>AF888/5</f>
        <v>1</v>
      </c>
      <c r="BX888" s="4"/>
      <c r="BY888" s="148" t="str">
        <f>IF(E888="A",".98",IF(E888="B",".99",IF(E888="C","1.00",IF(E888="D","1.00" ))))</f>
        <v>1.00</v>
      </c>
      <c r="BZ888" s="127">
        <f>(CE888+7)/10</f>
        <v>1</v>
      </c>
      <c r="CA888" s="76" t="str">
        <f>IF(D888="Fern",".97",IF(D888="Grass",".99",IF(D888="Herb",".97",IF(D888="Shrub",".99",IF(D888="Tree","1.00",IF(D888="Vine",".98"))))))</f>
        <v>.99</v>
      </c>
      <c r="CB888" s="149" t="str">
        <f>IF(R888="Bogs Ponds Streams",".96", IF(R888="Coastal Areas",".97",IF(R888="Meadows Dry Open",".96",IF(R888="Forest &amp; Understory",".97",IF(R888="Moist Open",".98",IF(R888="Moist Shady",".96",IF(R888="Sub-Alpine","1.0")))))))</f>
        <v>.96</v>
      </c>
      <c r="CC888" s="76" t="str">
        <f>IF(S888="Local Endemic",".50",IF(S888="Regional Endemic",".70",IF(S888="Cascadia",".90",IF(S888="Rocky Mountain",".95",IF(S888="North America",".99")))))</f>
        <v>.90</v>
      </c>
      <c r="CD888" s="4"/>
      <c r="CE888" s="21">
        <f>IF(W888&gt;3,3,W888)</f>
        <v>3</v>
      </c>
      <c r="CF888" s="21">
        <f>IF(AC888&gt;102,102,AC888)</f>
        <v>102</v>
      </c>
      <c r="CG888" s="34">
        <f ca="1">IF(AI888&lt;$AW$4,$AW$4,AI888)</f>
        <v>2019</v>
      </c>
      <c r="CH888" s="34">
        <f ca="1">IF(AJ888&lt;$AW$4,$AW$4,AJ888)</f>
        <v>2019</v>
      </c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</row>
    <row r="889" spans="1:115" ht="15" customHeight="1" x14ac:dyDescent="0.3">
      <c r="A889" s="235"/>
      <c r="B889" s="218"/>
      <c r="C889" s="225">
        <v>8</v>
      </c>
      <c r="D889" s="59" t="s">
        <v>2506</v>
      </c>
      <c r="E889" s="60" t="s">
        <v>2501</v>
      </c>
      <c r="F889" s="397" t="str">
        <f ca="1">IF(BC889&lt;2025, "Extinct&lt; 6Yrs?",BA889)</f>
        <v>Widespread</v>
      </c>
      <c r="G889" s="363" t="s">
        <v>525</v>
      </c>
      <c r="H889" s="363" t="s">
        <v>683</v>
      </c>
      <c r="I889" s="364" t="s">
        <v>572</v>
      </c>
      <c r="J889" s="365" t="s">
        <v>3877</v>
      </c>
      <c r="K889" s="365" t="s">
        <v>571</v>
      </c>
      <c r="L889" s="10" t="s">
        <v>2046</v>
      </c>
      <c r="M889" s="8" t="s">
        <v>4959</v>
      </c>
      <c r="N889" s="8" t="s">
        <v>5857</v>
      </c>
      <c r="O889" s="8" t="s">
        <v>6756</v>
      </c>
      <c r="P889" s="9" t="s">
        <v>198</v>
      </c>
      <c r="Q889" s="59" t="s">
        <v>2552</v>
      </c>
      <c r="R889" s="9" t="s">
        <v>2498</v>
      </c>
      <c r="S889" s="9" t="s">
        <v>2495</v>
      </c>
      <c r="T889" s="123" t="str">
        <f>IF(R889="Bogs Ponds Streams","20",IF(R889="Coastal Areas","26",IF(R889="Meadows Dry Open","10",IF(R889="Forest &amp; Understory","14",IF(R889="Moist Open","12",IF(R889="Moist Shady","10",IF(R889="Sub-Alpine Slopes","0")))))))</f>
        <v>10</v>
      </c>
      <c r="U889" s="123" t="str">
        <f>IF(R889="Bogs Ponds Streams","52",IF(R889="Coastal Areas","51",IF(R889="Meadows Dry Open","53",IF(R889="Forest &amp; Understory","52",IF(R889="Moist Open","50",IF(R889="Moist Shady","46",IF(R889="Sub-Alpine Slopes","40")))))))</f>
        <v>46</v>
      </c>
      <c r="V889" s="123" t="str">
        <f>IF(R889="Bogs Ponds Streams","84",IF(R889="Coastal Areas","76",IF(R889="Meadows Dry Open","96", IF(R889="Forest &amp; Understory","90", IF(R889="Moist Open","88", IF(R889="Moist Shady","82", IF(R889="Sub-Alpine Slopes","80")))))))</f>
        <v>82</v>
      </c>
      <c r="W889" s="59">
        <v>20</v>
      </c>
      <c r="X889" s="59">
        <v>0</v>
      </c>
      <c r="Y889" s="59">
        <v>3500</v>
      </c>
      <c r="Z889" s="59" t="s">
        <v>2519</v>
      </c>
      <c r="AA889" s="59" t="s">
        <v>2518</v>
      </c>
      <c r="AB889" s="59">
        <v>6.8</v>
      </c>
      <c r="AC889" s="45">
        <f>C889+AK889+(0.1)*AL889</f>
        <v>17</v>
      </c>
      <c r="AD889" s="77">
        <v>104</v>
      </c>
      <c r="AE889" s="59">
        <v>5</v>
      </c>
      <c r="AF889" s="59">
        <v>5</v>
      </c>
      <c r="AG889" s="59">
        <v>1900</v>
      </c>
      <c r="AH889" s="77">
        <v>0</v>
      </c>
      <c r="AI889" s="59">
        <f ca="1">AJ889</f>
        <v>2019</v>
      </c>
      <c r="AJ889" s="18">
        <f ca="1">YEAR(TODAY())</f>
        <v>2019</v>
      </c>
      <c r="AK889" s="18">
        <v>8</v>
      </c>
      <c r="AL889" s="18">
        <v>10</v>
      </c>
      <c r="AM889" s="18">
        <v>1</v>
      </c>
      <c r="AN889" s="18">
        <v>1</v>
      </c>
      <c r="AO889" s="18">
        <v>5</v>
      </c>
      <c r="AP889" s="18">
        <v>1</v>
      </c>
      <c r="AQ889" s="18">
        <v>0</v>
      </c>
      <c r="AR889" s="18">
        <v>0</v>
      </c>
      <c r="AS889" s="18">
        <v>0</v>
      </c>
      <c r="AT889" s="18">
        <v>0</v>
      </c>
      <c r="AU889" s="18">
        <v>0</v>
      </c>
      <c r="AV889" s="18">
        <v>0</v>
      </c>
      <c r="AW889" s="18">
        <v>0</v>
      </c>
      <c r="AX889" s="18">
        <v>0</v>
      </c>
      <c r="AY889" s="233"/>
      <c r="AZ889" s="4"/>
      <c r="BA889" s="35" t="str">
        <f>IF(OR(S889="North America",S889="Rocky Mountain"), "Widespread",BC889)</f>
        <v>Widespread</v>
      </c>
      <c r="BB889" s="4"/>
      <c r="BC889" s="35" t="str">
        <f ca="1">IF(BE889&gt;2046, "Abundant",BE889)</f>
        <v>Abundant</v>
      </c>
      <c r="BD889" s="4"/>
      <c r="BE889" s="81">
        <f ca="1">YEAR($C$13)+(BG889*80)</f>
        <v>2103.9504969696968</v>
      </c>
      <c r="BF889" s="4"/>
      <c r="BG889" s="137">
        <f ca="1">BH889*$BH$14</f>
        <v>1.0618812121212122</v>
      </c>
      <c r="BH889" s="137">
        <f ca="1">(((BJ889+BK889+BM889+BN889)/4)*$BM$11)+(((BP889+BQ889)/2)*$BQ$11)+(((BU889+BV889+BW889)/3)*$BU$11)+(((BY889+BZ889+CA889+CB889+CC889)/5)*$CA$11)</f>
        <v>1.0618812121212122</v>
      </c>
      <c r="BI889" s="4"/>
      <c r="BJ889" s="33">
        <f>AP889/(AM889+AO889)</f>
        <v>0.16666666666666666</v>
      </c>
      <c r="BK889" s="33">
        <f>(AN889+AO889)/(AM889+AO889)</f>
        <v>1</v>
      </c>
      <c r="BL889" s="4"/>
      <c r="BM889" s="127">
        <f>CF889/102</f>
        <v>0.16666666666666666</v>
      </c>
      <c r="BN889" s="127">
        <f>C889/2</f>
        <v>4</v>
      </c>
      <c r="BO889" s="4"/>
      <c r="BP889" s="127">
        <f>(AK889)/($AW$6)</f>
        <v>8.0808080808080815E-2</v>
      </c>
      <c r="BQ889" s="127">
        <f ca="1">(CH889-$AW$4)/((YEAR($C$13))-$AW$4)</f>
        <v>1</v>
      </c>
      <c r="BR889" s="127">
        <f>(AL889)/($AW$6)</f>
        <v>0.10101010101010101</v>
      </c>
      <c r="BS889" s="4"/>
      <c r="BT889" s="127"/>
      <c r="BU889" s="127">
        <f ca="1">(CG889-$AW$4)/((YEAR($C$13))-$AW$4)</f>
        <v>1</v>
      </c>
      <c r="BV889" s="127">
        <f>AE889/5</f>
        <v>1</v>
      </c>
      <c r="BW889" s="127">
        <f>AF889/5</f>
        <v>1</v>
      </c>
      <c r="BX889" s="4"/>
      <c r="BY889" s="148" t="str">
        <f>IF(E889="A",".98",IF(E889="B",".99",IF(E889="C","1.00",IF(E889="D","1.00" ))))</f>
        <v>1.00</v>
      </c>
      <c r="BZ889" s="127">
        <f>(CE889+7)/10</f>
        <v>1</v>
      </c>
      <c r="CA889" s="76" t="str">
        <f>IF(D889="Fern",".97",IF(D889="Grass",".99",IF(D889="Herb",".97",IF(D889="Shrub",".99",IF(D889="Tree","1.00",IF(D889="Vine",".98"))))))</f>
        <v>.99</v>
      </c>
      <c r="CB889" s="149" t="str">
        <f>IF(R889="Bogs Ponds Streams",".96", IF(R889="Coastal Areas",".97",IF(R889="Meadows Dry Open",".96",IF(R889="Forest &amp; Understory",".97",IF(R889="Moist Open",".98",IF(R889="Moist Shady",".96",IF(R889="Sub-Alpine","1.0")))))))</f>
        <v>.96</v>
      </c>
      <c r="CC889" s="76" t="str">
        <f>IF(S889="Local Endemic",".50",IF(S889="Regional Endemic",".70",IF(S889="Cascadia",".90",IF(S889="Rocky Mountain",".95",IF(S889="North America",".99")))))</f>
        <v>.99</v>
      </c>
      <c r="CD889" s="4"/>
      <c r="CE889" s="21">
        <f>IF(W889&gt;3,3,W889)</f>
        <v>3</v>
      </c>
      <c r="CF889" s="21">
        <f>IF(AC889&gt;102,102,AC889)</f>
        <v>17</v>
      </c>
      <c r="CG889" s="34">
        <f ca="1">IF(AI889&lt;$AW$4,$AW$4,AI889)</f>
        <v>2019</v>
      </c>
      <c r="CH889" s="34">
        <f ca="1">IF(AJ889&lt;$AW$4,$AW$4,AJ889)</f>
        <v>2019</v>
      </c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</row>
    <row r="890" spans="1:115" ht="15" customHeight="1" x14ac:dyDescent="0.3">
      <c r="A890" s="235"/>
      <c r="B890" s="218"/>
      <c r="C890" s="226">
        <v>2</v>
      </c>
      <c r="D890" s="104" t="s">
        <v>2505</v>
      </c>
      <c r="E890" s="104" t="s">
        <v>2501</v>
      </c>
      <c r="F890" s="400">
        <f ca="1">IF(BC890&lt;2025, "Extinct&lt; 6Yrs?",BA890)</f>
        <v>2045.4308049910874</v>
      </c>
      <c r="G890" s="369" t="s">
        <v>525</v>
      </c>
      <c r="H890" s="369" t="s">
        <v>4028</v>
      </c>
      <c r="I890" s="372" t="s">
        <v>2728</v>
      </c>
      <c r="J890" s="371" t="s">
        <v>3684</v>
      </c>
      <c r="K890" s="371" t="s">
        <v>2824</v>
      </c>
      <c r="L890" s="114" t="s">
        <v>2047</v>
      </c>
      <c r="M890" s="111" t="s">
        <v>4960</v>
      </c>
      <c r="N890" s="111" t="s">
        <v>5858</v>
      </c>
      <c r="O890" s="111" t="s">
        <v>6757</v>
      </c>
      <c r="P890" s="401" t="s">
        <v>387</v>
      </c>
      <c r="Q890" s="104" t="s">
        <v>2552</v>
      </c>
      <c r="R890" s="105" t="s">
        <v>2498</v>
      </c>
      <c r="S890" s="105" t="s">
        <v>2459</v>
      </c>
      <c r="T890" s="133" t="str">
        <f>IF(R890="Bogs Ponds Streams","20",IF(R890="Coastal Areas","26",IF(R890="Meadows Dry Open","10",IF(R890="Forest &amp; Understory","14",IF(R890="Moist Open","12",IF(R890="Moist Shady","10",IF(R890="Sub-Alpine Slopes","0")))))))</f>
        <v>10</v>
      </c>
      <c r="U890" s="133" t="str">
        <f>IF(R890="Bogs Ponds Streams","52",IF(R890="Coastal Areas","51",IF(R890="Meadows Dry Open","53",IF(R890="Forest &amp; Understory","52",IF(R890="Moist Open","50",IF(R890="Moist Shady","46",IF(R890="Sub-Alpine Slopes","40")))))))</f>
        <v>46</v>
      </c>
      <c r="V890" s="133" t="str">
        <f>IF(R890="Bogs Ponds Streams","84",IF(R890="Coastal Areas","76",IF(R890="Meadows Dry Open","96", IF(R890="Forest &amp; Understory","90", IF(R890="Moist Open","88", IF(R890="Moist Shady","82", IF(R890="Sub-Alpine Slopes","80")))))))</f>
        <v>82</v>
      </c>
      <c r="W890" s="104">
        <v>20</v>
      </c>
      <c r="X890" s="104">
        <v>0</v>
      </c>
      <c r="Y890" s="104">
        <v>3500</v>
      </c>
      <c r="Z890" s="104" t="s">
        <v>2519</v>
      </c>
      <c r="AA890" s="104" t="s">
        <v>2518</v>
      </c>
      <c r="AB890" s="104">
        <v>6.8</v>
      </c>
      <c r="AC890" s="107">
        <f>C890+AK890+(0.1)*AL890</f>
        <v>27.1</v>
      </c>
      <c r="AD890" s="113">
        <v>43</v>
      </c>
      <c r="AE890" s="104">
        <v>5</v>
      </c>
      <c r="AF890" s="104">
        <v>5</v>
      </c>
      <c r="AG890" s="104">
        <v>1900</v>
      </c>
      <c r="AH890" s="113">
        <v>0</v>
      </c>
      <c r="AI890" s="104">
        <f>AJ890</f>
        <v>1998</v>
      </c>
      <c r="AJ890" s="108">
        <v>1998</v>
      </c>
      <c r="AK890" s="108">
        <v>25</v>
      </c>
      <c r="AL890" s="108">
        <v>1</v>
      </c>
      <c r="AM890" s="109">
        <v>5</v>
      </c>
      <c r="AN890" s="109">
        <v>1</v>
      </c>
      <c r="AO890" s="110">
        <v>0</v>
      </c>
      <c r="AP890" s="109">
        <v>0</v>
      </c>
      <c r="AQ890" s="109">
        <v>0</v>
      </c>
      <c r="AR890" s="109">
        <v>0</v>
      </c>
      <c r="AS890" s="110">
        <v>0</v>
      </c>
      <c r="AT890" s="109">
        <v>0</v>
      </c>
      <c r="AU890" s="109">
        <v>0</v>
      </c>
      <c r="AV890" s="109">
        <v>0</v>
      </c>
      <c r="AW890" s="110">
        <v>0</v>
      </c>
      <c r="AX890" s="109">
        <v>0</v>
      </c>
      <c r="AY890" s="233"/>
      <c r="AZ890" s="4"/>
      <c r="BA890" s="35">
        <f ca="1">IF(OR(S890="North America",S890="Rocky Mountain"), "Widespread",BC890)</f>
        <v>2045.4308049910874</v>
      </c>
      <c r="BB890" s="4"/>
      <c r="BC890" s="35">
        <f ca="1">IF(BE890&gt;2046, "Abundant",BE890)</f>
        <v>2045.4308049910874</v>
      </c>
      <c r="BD890" s="4"/>
      <c r="BE890" s="81">
        <f ca="1">YEAR($C$13)+(BG890*80)</f>
        <v>2045.4308049910874</v>
      </c>
      <c r="BF890" s="4"/>
      <c r="BG890" s="137">
        <f ca="1">BH890*$BH$14</f>
        <v>0.33038506238859183</v>
      </c>
      <c r="BH890" s="137">
        <f ca="1">(((BJ890+BK890+BM890+BN890)/4)*$BM$11)+(((BP890+BQ890)/2)*$BQ$11)+(((BU890+BV890+BW890)/3)*$BU$11)+(((BY890+BZ890+CA890+CB890+CC890)/5)*$CA$11)</f>
        <v>0.33038506238859183</v>
      </c>
      <c r="BI890" s="4"/>
      <c r="BJ890" s="33">
        <f>AP890/(AM890+AO890)</f>
        <v>0</v>
      </c>
      <c r="BK890" s="33">
        <f>(AN890+AO890)/(AM890+AO890)</f>
        <v>0.2</v>
      </c>
      <c r="BL890" s="4"/>
      <c r="BM890" s="127">
        <f>CF890/102</f>
        <v>0.26568627450980392</v>
      </c>
      <c r="BN890" s="127">
        <f>C890/2</f>
        <v>1</v>
      </c>
      <c r="BO890" s="4"/>
      <c r="BP890" s="127">
        <f>(AK890)/($AW$6)</f>
        <v>0.25252525252525254</v>
      </c>
      <c r="BQ890" s="127">
        <f ca="1">(CH890-$AW$4)/((YEAR($C$13))-$AW$4)</f>
        <v>0</v>
      </c>
      <c r="BR890" s="127">
        <f>(AL890)/($AW$6)</f>
        <v>1.0101010101010102E-2</v>
      </c>
      <c r="BS890" s="4"/>
      <c r="BT890" s="127"/>
      <c r="BU890" s="127">
        <f ca="1">(CG890-$AW$4)/((YEAR($C$13))-$AW$4)</f>
        <v>0</v>
      </c>
      <c r="BV890" s="127">
        <f>AE890/5</f>
        <v>1</v>
      </c>
      <c r="BW890" s="127">
        <f>AF890/5</f>
        <v>1</v>
      </c>
      <c r="BX890" s="4"/>
      <c r="BY890" s="148" t="str">
        <f>IF(E890="A",".98",IF(E890="B",".99",IF(E890="C","1.00",IF(E890="D","1.00" ))))</f>
        <v>1.00</v>
      </c>
      <c r="BZ890" s="127">
        <f>(CE890+7)/10</f>
        <v>1</v>
      </c>
      <c r="CA890" s="76" t="str">
        <f>IF(D890="Fern",".97",IF(D890="Grass",".99",IF(D890="Herb",".97",IF(D890="Shrub",".99",IF(D890="Tree","1.00",IF(D890="Vine",".98"))))))</f>
        <v>.97</v>
      </c>
      <c r="CB890" s="149" t="str">
        <f>IF(R890="Bogs Ponds Streams",".96", IF(R890="Coastal Areas",".97",IF(R890="Meadows Dry Open",".96",IF(R890="Forest &amp; Understory",".97",IF(R890="Moist Open",".98",IF(R890="Moist Shady",".96",IF(R890="Sub-Alpine","1.0")))))))</f>
        <v>.96</v>
      </c>
      <c r="CC890" s="76" t="str">
        <f>IF(S890="Local Endemic",".50",IF(S890="Regional Endemic",".70",IF(S890="Cascadia",".90",IF(S890="Rocky Mountain",".95",IF(S890="North America",".99")))))</f>
        <v>.90</v>
      </c>
      <c r="CD890" s="4"/>
      <c r="CE890" s="21">
        <f>IF(W890&gt;3,3,W890)</f>
        <v>3</v>
      </c>
      <c r="CF890" s="21">
        <f>IF(AC890&gt;102,102,AC890)</f>
        <v>27.1</v>
      </c>
      <c r="CG890" s="34">
        <f>IF(AI890&lt;$AW$4,$AW$4,AI890)</f>
        <v>2004</v>
      </c>
      <c r="CH890" s="34">
        <f>IF(AJ890&lt;$AW$4,$AW$4,AJ890)</f>
        <v>2004</v>
      </c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</row>
    <row r="891" spans="1:115" ht="15" customHeight="1" x14ac:dyDescent="0.3">
      <c r="A891" s="235"/>
      <c r="B891" s="218"/>
      <c r="C891" s="226">
        <v>2</v>
      </c>
      <c r="D891" s="104" t="s">
        <v>2505</v>
      </c>
      <c r="E891" s="104" t="s">
        <v>2501</v>
      </c>
      <c r="F891" s="400" t="str">
        <f ca="1">IF(BC891&lt;2025, "Extinct&lt; 6Yrs?",BA891)</f>
        <v>Abundant</v>
      </c>
      <c r="G891" s="369" t="s">
        <v>525</v>
      </c>
      <c r="H891" s="369" t="s">
        <v>4028</v>
      </c>
      <c r="I891" s="372" t="s">
        <v>3146</v>
      </c>
      <c r="J891" s="371" t="s">
        <v>3683</v>
      </c>
      <c r="K891" s="371" t="s">
        <v>1225</v>
      </c>
      <c r="L891" s="106" t="s">
        <v>2048</v>
      </c>
      <c r="M891" s="111" t="s">
        <v>4961</v>
      </c>
      <c r="N891" s="111" t="s">
        <v>5859</v>
      </c>
      <c r="O891" s="111" t="s">
        <v>6758</v>
      </c>
      <c r="P891" s="105" t="s">
        <v>387</v>
      </c>
      <c r="Q891" s="104" t="s">
        <v>2552</v>
      </c>
      <c r="R891" s="105" t="s">
        <v>2500</v>
      </c>
      <c r="S891" s="105" t="s">
        <v>2459</v>
      </c>
      <c r="T891" s="133" t="str">
        <f>IF(R891="Bogs Ponds Streams","20",IF(R891="Coastal Areas","26",IF(R891="Meadows Dry Open","10",IF(R891="Forest &amp; Understory","14",IF(R891="Moist Open","12",IF(R891="Moist Shady","10",IF(R891="Sub-Alpine Slopes","0")))))))</f>
        <v>10</v>
      </c>
      <c r="U891" s="133" t="str">
        <f>IF(R891="Bogs Ponds Streams","52",IF(R891="Coastal Areas","51",IF(R891="Meadows Dry Open","53",IF(R891="Forest &amp; Understory","52",IF(R891="Moist Open","50",IF(R891="Moist Shady","46",IF(R891="Sub-Alpine Slopes","40")))))))</f>
        <v>53</v>
      </c>
      <c r="V891" s="133" t="str">
        <f>IF(R891="Bogs Ponds Streams","84",IF(R891="Coastal Areas","76",IF(R891="Meadows Dry Open","96", IF(R891="Forest &amp; Understory","90", IF(R891="Moist Open","88", IF(R891="Moist Shady","82", IF(R891="Sub-Alpine Slopes","80")))))))</f>
        <v>96</v>
      </c>
      <c r="W891" s="104">
        <v>20</v>
      </c>
      <c r="X891" s="104">
        <v>0</v>
      </c>
      <c r="Y891" s="104">
        <v>3500</v>
      </c>
      <c r="Z891" s="104" t="s">
        <v>2519</v>
      </c>
      <c r="AA891" s="104" t="s">
        <v>2518</v>
      </c>
      <c r="AB891" s="104">
        <v>6.8</v>
      </c>
      <c r="AC891" s="107">
        <f>C890+AK891+(0.1)*AL891</f>
        <v>26.2</v>
      </c>
      <c r="AD891" s="113">
        <v>301</v>
      </c>
      <c r="AE891" s="104">
        <v>5</v>
      </c>
      <c r="AF891" s="104">
        <v>5</v>
      </c>
      <c r="AG891" s="104">
        <v>1900</v>
      </c>
      <c r="AH891" s="113">
        <v>0</v>
      </c>
      <c r="AI891" s="104">
        <f>AJ891</f>
        <v>2018</v>
      </c>
      <c r="AJ891" s="108">
        <v>2018</v>
      </c>
      <c r="AK891" s="108">
        <v>22</v>
      </c>
      <c r="AL891" s="108">
        <v>22</v>
      </c>
      <c r="AM891" s="109">
        <v>5</v>
      </c>
      <c r="AN891" s="109">
        <v>1</v>
      </c>
      <c r="AO891" s="110">
        <v>0</v>
      </c>
      <c r="AP891" s="109">
        <v>1</v>
      </c>
      <c r="AQ891" s="109">
        <v>0</v>
      </c>
      <c r="AR891" s="109">
        <v>0</v>
      </c>
      <c r="AS891" s="110">
        <v>0</v>
      </c>
      <c r="AT891" s="109">
        <v>0</v>
      </c>
      <c r="AU891" s="109">
        <v>0</v>
      </c>
      <c r="AV891" s="109">
        <v>0</v>
      </c>
      <c r="AW891" s="110">
        <v>0</v>
      </c>
      <c r="AX891" s="109">
        <v>0</v>
      </c>
      <c r="AY891" s="233"/>
      <c r="AZ891" s="4"/>
      <c r="BA891" s="35" t="str">
        <f ca="1">IF(OR(S891="North America",S891="Rocky Mountain"), "Widespread",BC891)</f>
        <v>Abundant</v>
      </c>
      <c r="BB891" s="4"/>
      <c r="BC891" s="35" t="str">
        <f ca="1">IF(BE891&gt;2046, "Abundant",BE891)</f>
        <v>Abundant</v>
      </c>
      <c r="BD891" s="4"/>
      <c r="BE891" s="81">
        <f ca="1">YEAR($C$13)+(BG891*80)</f>
        <v>2060.5523973856211</v>
      </c>
      <c r="BF891" s="4"/>
      <c r="BG891" s="137">
        <f ca="1">BH891*$BH$14</f>
        <v>0.51940496732026142</v>
      </c>
      <c r="BH891" s="137">
        <f ca="1">(((BJ891+BK891+BM891+BN891)/4)*$BM$11)+(((BP891+BQ891)/2)*$BQ$11)+(((BU891+BV891+BW891)/3)*$BU$11)+(((BY891+BZ891+CA891+CB891+CC891)/5)*$CA$11)</f>
        <v>0.51940496732026142</v>
      </c>
      <c r="BI891" s="4"/>
      <c r="BJ891" s="33">
        <f>AP891/(AM891+AO891)</f>
        <v>0.2</v>
      </c>
      <c r="BK891" s="33">
        <f>(AN891+AO891)/(AM891+AO891)</f>
        <v>0.2</v>
      </c>
      <c r="BL891" s="4"/>
      <c r="BM891" s="127">
        <f>CF891/102</f>
        <v>0.25686274509803919</v>
      </c>
      <c r="BN891" s="127">
        <f>C890/2</f>
        <v>1</v>
      </c>
      <c r="BO891" s="4"/>
      <c r="BP891" s="127">
        <f>(AK891)/($AW$6)</f>
        <v>0.22222222222222221</v>
      </c>
      <c r="BQ891" s="127">
        <f ca="1">(CH891-$AW$4)/((YEAR($C$13))-$AW$4)</f>
        <v>0.93333333333333335</v>
      </c>
      <c r="BR891" s="127">
        <f>(AL891)/($AW$6)</f>
        <v>0.22222222222222221</v>
      </c>
      <c r="BS891" s="4"/>
      <c r="BT891" s="127"/>
      <c r="BU891" s="127">
        <f ca="1">(CG891-$AW$4)/((YEAR($C$13))-$AW$4)</f>
        <v>0.93333333333333335</v>
      </c>
      <c r="BV891" s="127">
        <f>AE891/5</f>
        <v>1</v>
      </c>
      <c r="BW891" s="127">
        <f>AF891/5</f>
        <v>1</v>
      </c>
      <c r="BX891" s="4"/>
      <c r="BY891" s="148" t="str">
        <f>IF(E891="A",".98",IF(E891="B",".99",IF(E891="C","1.00",IF(E891="D","1.00" ))))</f>
        <v>1.00</v>
      </c>
      <c r="BZ891" s="127">
        <f>(CE891+7)/10</f>
        <v>1</v>
      </c>
      <c r="CA891" s="76" t="str">
        <f>IF(D891="Fern",".97",IF(D891="Grass",".99",IF(D891="Herb",".97",IF(D891="Shrub",".99",IF(D891="Tree","1.00",IF(D891="Vine",".98"))))))</f>
        <v>.97</v>
      </c>
      <c r="CB891" s="149" t="str">
        <f>IF(R891="Bogs Ponds Streams",".96", IF(R891="Coastal Areas",".97",IF(R891="Meadows Dry Open",".96",IF(R891="Forest &amp; Understory",".97",IF(R891="Moist Open",".98",IF(R891="Moist Shady",".96",IF(R891="Sub-Alpine","1.0")))))))</f>
        <v>.96</v>
      </c>
      <c r="CC891" s="76" t="str">
        <f>IF(S891="Local Endemic",".50",IF(S891="Regional Endemic",".70",IF(S891="Cascadia",".90",IF(S891="Rocky Mountain",".95",IF(S891="North America",".99")))))</f>
        <v>.90</v>
      </c>
      <c r="CD891" s="4"/>
      <c r="CE891" s="21">
        <f>IF(W891&gt;3,3,W891)</f>
        <v>3</v>
      </c>
      <c r="CF891" s="21">
        <f>IF(AC891&gt;102,102,AC891)</f>
        <v>26.2</v>
      </c>
      <c r="CG891" s="34">
        <f>IF(AI891&lt;$AW$4,$AW$4,AI891)</f>
        <v>2018</v>
      </c>
      <c r="CH891" s="34">
        <f>IF(AJ891&lt;$AW$4,$AW$4,AJ891)</f>
        <v>2018</v>
      </c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</row>
    <row r="892" spans="1:115" ht="15" customHeight="1" x14ac:dyDescent="0.3">
      <c r="A892" s="235"/>
      <c r="B892" s="218"/>
      <c r="C892" s="225">
        <v>8</v>
      </c>
      <c r="D892" s="59" t="s">
        <v>2505</v>
      </c>
      <c r="E892" s="59" t="s">
        <v>2501</v>
      </c>
      <c r="F892" s="397" t="str">
        <f ca="1">IF(BC892&lt;2025, "Extinct&lt; 6Yrs?",BA892)</f>
        <v>Abundant</v>
      </c>
      <c r="G892" s="363" t="s">
        <v>525</v>
      </c>
      <c r="H892" s="363" t="s">
        <v>682</v>
      </c>
      <c r="I892" s="364" t="s">
        <v>49</v>
      </c>
      <c r="J892" s="365" t="s">
        <v>2825</v>
      </c>
      <c r="K892" s="365" t="s">
        <v>784</v>
      </c>
      <c r="L892" s="10" t="s">
        <v>2049</v>
      </c>
      <c r="M892" s="8" t="s">
        <v>4962</v>
      </c>
      <c r="N892" s="8" t="s">
        <v>5860</v>
      </c>
      <c r="O892" s="8" t="s">
        <v>6759</v>
      </c>
      <c r="P892" s="9" t="s">
        <v>50</v>
      </c>
      <c r="Q892" s="59" t="s">
        <v>2552</v>
      </c>
      <c r="R892" s="9" t="s">
        <v>2498</v>
      </c>
      <c r="S892" s="9" t="s">
        <v>2459</v>
      </c>
      <c r="T892" s="123" t="str">
        <f>IF(R892="Bogs Ponds Streams","20",IF(R892="Coastal Areas","26",IF(R892="Meadows Dry Open","10",IF(R892="Forest &amp; Understory","14",IF(R892="Moist Open","12",IF(R892="Moist Shady","10",IF(R892="Sub-Alpine Slopes","0")))))))</f>
        <v>10</v>
      </c>
      <c r="U892" s="123" t="str">
        <f>IF(R892="Bogs Ponds Streams","52",IF(R892="Coastal Areas","51",IF(R892="Meadows Dry Open","53",IF(R892="Forest &amp; Understory","52",IF(R892="Moist Open","50",IF(R892="Moist Shady","46",IF(R892="Sub-Alpine Slopes","40")))))))</f>
        <v>46</v>
      </c>
      <c r="V892" s="123" t="str">
        <f>IF(R892="Bogs Ponds Streams","84",IF(R892="Coastal Areas","76",IF(R892="Meadows Dry Open","96", IF(R892="Forest &amp; Understory","90", IF(R892="Moist Open","88", IF(R892="Moist Shady","82", IF(R892="Sub-Alpine Slopes","80")))))))</f>
        <v>82</v>
      </c>
      <c r="W892" s="59">
        <v>20</v>
      </c>
      <c r="X892" s="59">
        <v>0</v>
      </c>
      <c r="Y892" s="59">
        <v>3500</v>
      </c>
      <c r="Z892" s="59" t="s">
        <v>2519</v>
      </c>
      <c r="AA892" s="59" t="s">
        <v>2518</v>
      </c>
      <c r="AB892" s="59">
        <v>6.8</v>
      </c>
      <c r="AC892" s="45">
        <f>C892+AK892+(0.1)*AL892</f>
        <v>28</v>
      </c>
      <c r="AD892" s="77">
        <v>53</v>
      </c>
      <c r="AE892" s="59">
        <v>5</v>
      </c>
      <c r="AF892" s="59">
        <v>5</v>
      </c>
      <c r="AG892" s="59">
        <v>1900</v>
      </c>
      <c r="AH892" s="77">
        <v>0</v>
      </c>
      <c r="AI892" s="59">
        <f ca="1">AJ892</f>
        <v>2019</v>
      </c>
      <c r="AJ892" s="18">
        <f ca="1">YEAR(TODAY())</f>
        <v>2019</v>
      </c>
      <c r="AK892" s="18">
        <v>20</v>
      </c>
      <c r="AL892" s="18">
        <v>0</v>
      </c>
      <c r="AM892" s="18">
        <v>1</v>
      </c>
      <c r="AN892" s="18">
        <v>1</v>
      </c>
      <c r="AO892" s="18">
        <v>5</v>
      </c>
      <c r="AP892" s="18">
        <v>1</v>
      </c>
      <c r="AQ892" s="18">
        <v>0</v>
      </c>
      <c r="AR892" s="18">
        <v>0</v>
      </c>
      <c r="AS892" s="18">
        <v>0</v>
      </c>
      <c r="AT892" s="18">
        <v>0</v>
      </c>
      <c r="AU892" s="18">
        <v>0</v>
      </c>
      <c r="AV892" s="18">
        <v>0</v>
      </c>
      <c r="AW892" s="18">
        <v>0</v>
      </c>
      <c r="AX892" s="18">
        <v>0</v>
      </c>
      <c r="AY892" s="233"/>
      <c r="AZ892" s="4"/>
      <c r="BA892" s="35" t="str">
        <f ca="1">IF(OR(S892="North America",S892="Rocky Mountain"), "Widespread",BC892)</f>
        <v>Abundant</v>
      </c>
      <c r="BB892" s="4"/>
      <c r="BC892" s="35" t="str">
        <f ca="1">IF(BE892&gt;2046, "Abundant",BE892)</f>
        <v>Abundant</v>
      </c>
      <c r="BD892" s="4"/>
      <c r="BE892" s="81">
        <f ca="1">YEAR($C$13)+(BG892*80)</f>
        <v>2106.6639600713011</v>
      </c>
      <c r="BF892" s="4"/>
      <c r="BG892" s="137">
        <f ca="1">BH892*$BH$14</f>
        <v>1.0957995008912655</v>
      </c>
      <c r="BH892" s="137">
        <f ca="1">(((BJ892+BK892+BM892+BN892)/4)*$BM$11)+(((BP892+BQ892)/2)*$BQ$11)+(((BU892+BV892+BW892)/3)*$BU$11)+(((BY892+BZ892+CA892+CB892+CC892)/5)*$CA$11)</f>
        <v>1.0957995008912655</v>
      </c>
      <c r="BI892" s="4"/>
      <c r="BJ892" s="33">
        <f>AP892/(AM892+AO892)</f>
        <v>0.16666666666666666</v>
      </c>
      <c r="BK892" s="33">
        <f>(AN892+AO892)/(AM892+AO892)</f>
        <v>1</v>
      </c>
      <c r="BL892" s="4"/>
      <c r="BM892" s="127">
        <f>CF892/102</f>
        <v>0.27450980392156865</v>
      </c>
      <c r="BN892" s="127">
        <f>C892/2</f>
        <v>4</v>
      </c>
      <c r="BO892" s="4"/>
      <c r="BP892" s="127">
        <f>(AK892)/($AW$6)</f>
        <v>0.20202020202020202</v>
      </c>
      <c r="BQ892" s="127">
        <f ca="1">(CH892-$AW$4)/((YEAR($C$13))-$AW$4)</f>
        <v>1</v>
      </c>
      <c r="BR892" s="127">
        <f>(AL892)/($AW$6)</f>
        <v>0</v>
      </c>
      <c r="BS892" s="4"/>
      <c r="BT892" s="127"/>
      <c r="BU892" s="127">
        <f ca="1">(CG892-$AW$4)/((YEAR($C$13))-$AW$4)</f>
        <v>1</v>
      </c>
      <c r="BV892" s="127">
        <f>AE892/5</f>
        <v>1</v>
      </c>
      <c r="BW892" s="127">
        <f>AF892/5</f>
        <v>1</v>
      </c>
      <c r="BX892" s="4"/>
      <c r="BY892" s="148" t="str">
        <f>IF(E892="A",".98",IF(E892="B",".99",IF(E892="C","1.00",IF(E892="D","1.00" ))))</f>
        <v>1.00</v>
      </c>
      <c r="BZ892" s="127">
        <f>(CE892+7)/10</f>
        <v>1</v>
      </c>
      <c r="CA892" s="76" t="str">
        <f>IF(D892="Fern",".97",IF(D892="Grass",".99",IF(D892="Herb",".97",IF(D892="Shrub",".99",IF(D892="Tree","1.00",IF(D892="Vine",".98"))))))</f>
        <v>.97</v>
      </c>
      <c r="CB892" s="149" t="str">
        <f>IF(R892="Bogs Ponds Streams",".96", IF(R892="Coastal Areas",".97",IF(R892="Meadows Dry Open",".96",IF(R892="Forest &amp; Understory",".97",IF(R892="Moist Open",".98",IF(R892="Moist Shady",".96",IF(R892="Sub-Alpine","1.0")))))))</f>
        <v>.96</v>
      </c>
      <c r="CC892" s="76" t="str">
        <f>IF(S892="Local Endemic",".50",IF(S892="Regional Endemic",".70",IF(S892="Cascadia",".90",IF(S892="Rocky Mountain",".95",IF(S892="North America",".99")))))</f>
        <v>.90</v>
      </c>
      <c r="CD892" s="4"/>
      <c r="CE892" s="21">
        <f>IF(W892&gt;3,3,W892)</f>
        <v>3</v>
      </c>
      <c r="CF892" s="21">
        <f>IF(AC892&gt;102,102,AC892)</f>
        <v>28</v>
      </c>
      <c r="CG892" s="34">
        <f ca="1">IF(AI892&lt;$AW$4,$AW$4,AI892)</f>
        <v>2019</v>
      </c>
      <c r="CH892" s="34">
        <f ca="1">IF(AJ892&lt;$AW$4,$AW$4,AJ892)</f>
        <v>2019</v>
      </c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13"/>
    </row>
    <row r="893" spans="1:115" ht="15" customHeight="1" x14ac:dyDescent="0.3">
      <c r="A893" s="235"/>
      <c r="B893" s="218"/>
      <c r="C893" s="225">
        <v>8</v>
      </c>
      <c r="D893" s="59" t="s">
        <v>2505</v>
      </c>
      <c r="E893" s="59" t="s">
        <v>2501</v>
      </c>
      <c r="F893" s="397" t="str">
        <f ca="1">IF(BC893&lt;2025, "Extinct&lt; 6Yrs?",BA893)</f>
        <v>Widespread</v>
      </c>
      <c r="G893" s="363" t="s">
        <v>525</v>
      </c>
      <c r="H893" s="363" t="s">
        <v>685</v>
      </c>
      <c r="I893" s="364" t="s">
        <v>455</v>
      </c>
      <c r="J893" s="365" t="s">
        <v>3876</v>
      </c>
      <c r="K893" s="365" t="s">
        <v>454</v>
      </c>
      <c r="L893" s="10" t="s">
        <v>2050</v>
      </c>
      <c r="M893" s="8" t="s">
        <v>4963</v>
      </c>
      <c r="N893" s="8" t="s">
        <v>5861</v>
      </c>
      <c r="O893" s="8" t="s">
        <v>6760</v>
      </c>
      <c r="P893" s="9" t="s">
        <v>751</v>
      </c>
      <c r="Q893" s="59" t="s">
        <v>2552</v>
      </c>
      <c r="R893" s="9" t="s">
        <v>2498</v>
      </c>
      <c r="S893" s="9" t="s">
        <v>2479</v>
      </c>
      <c r="T893" s="123" t="str">
        <f>IF(R893="Bogs Ponds Streams","20",IF(R893="Coastal Areas","26",IF(R893="Meadows Dry Open","10",IF(R893="Forest &amp; Understory","14",IF(R893="Moist Open","12",IF(R893="Moist Shady","10",IF(R893="Sub-Alpine Slopes","0")))))))</f>
        <v>10</v>
      </c>
      <c r="U893" s="123" t="str">
        <f>IF(R893="Bogs Ponds Streams","52",IF(R893="Coastal Areas","51",IF(R893="Meadows Dry Open","53",IF(R893="Forest &amp; Understory","52",IF(R893="Moist Open","50",IF(R893="Moist Shady","46",IF(R893="Sub-Alpine Slopes","40")))))))</f>
        <v>46</v>
      </c>
      <c r="V893" s="123" t="str">
        <f>IF(R893="Bogs Ponds Streams","84",IF(R893="Coastal Areas","76",IF(R893="Meadows Dry Open","96", IF(R893="Forest &amp; Understory","90", IF(R893="Moist Open","88", IF(R893="Moist Shady","82", IF(R893="Sub-Alpine Slopes","80")))))))</f>
        <v>82</v>
      </c>
      <c r="W893" s="59">
        <v>20</v>
      </c>
      <c r="X893" s="59">
        <v>0</v>
      </c>
      <c r="Y893" s="59">
        <v>3500</v>
      </c>
      <c r="Z893" s="59" t="s">
        <v>2519</v>
      </c>
      <c r="AA893" s="59" t="s">
        <v>2518</v>
      </c>
      <c r="AB893" s="59">
        <v>6.8</v>
      </c>
      <c r="AC893" s="45">
        <f>C893+AK893+(0.1)*AL893</f>
        <v>24.4</v>
      </c>
      <c r="AD893" s="77">
        <v>66</v>
      </c>
      <c r="AE893" s="59">
        <v>5</v>
      </c>
      <c r="AF893" s="59">
        <v>5</v>
      </c>
      <c r="AG893" s="59">
        <v>1900</v>
      </c>
      <c r="AH893" s="77">
        <v>0</v>
      </c>
      <c r="AI893" s="59">
        <f ca="1">AJ893</f>
        <v>2019</v>
      </c>
      <c r="AJ893" s="18">
        <f ca="1">YEAR(TODAY())</f>
        <v>2019</v>
      </c>
      <c r="AK893" s="18">
        <v>14</v>
      </c>
      <c r="AL893" s="18">
        <v>24</v>
      </c>
      <c r="AM893" s="18">
        <v>1</v>
      </c>
      <c r="AN893" s="18">
        <v>1</v>
      </c>
      <c r="AO893" s="18">
        <v>5</v>
      </c>
      <c r="AP893" s="18">
        <v>1</v>
      </c>
      <c r="AQ893" s="18">
        <v>0</v>
      </c>
      <c r="AR893" s="18">
        <v>0</v>
      </c>
      <c r="AS893" s="18">
        <v>0</v>
      </c>
      <c r="AT893" s="18">
        <v>0</v>
      </c>
      <c r="AU893" s="18">
        <v>0</v>
      </c>
      <c r="AV893" s="18">
        <v>0</v>
      </c>
      <c r="AW893" s="18">
        <v>0</v>
      </c>
      <c r="AX893" s="18">
        <v>0</v>
      </c>
      <c r="AY893" s="233"/>
      <c r="AZ893" s="4"/>
      <c r="BA893" s="35" t="str">
        <f>IF(OR(S893="North America",S893="Rocky Mountain"), "Widespread",BC893)</f>
        <v>Widespread</v>
      </c>
      <c r="BB893" s="4"/>
      <c r="BC893" s="35" t="str">
        <f ca="1">IF(BE893&gt;2046, "Abundant",BE893)</f>
        <v>Abundant</v>
      </c>
      <c r="BD893" s="4"/>
      <c r="BE893" s="81">
        <f ca="1">YEAR($C$13)+(BG893*80)</f>
        <v>2105.5291579322638</v>
      </c>
      <c r="BF893" s="4"/>
      <c r="BG893" s="137">
        <f ca="1">BH893*$BH$14</f>
        <v>1.0816144741532978</v>
      </c>
      <c r="BH893" s="137">
        <f ca="1">(((BJ893+BK893+BM893+BN893)/4)*$BM$11)+(((BP893+BQ893)/2)*$BQ$11)+(((BU893+BV893+BW893)/3)*$BU$11)+(((BY893+BZ893+CA893+CB893+CC893)/5)*$CA$11)</f>
        <v>1.0816144741532978</v>
      </c>
      <c r="BI893" s="4"/>
      <c r="BJ893" s="33">
        <f>AP893/(AM893+AO893)</f>
        <v>0.16666666666666666</v>
      </c>
      <c r="BK893" s="33">
        <f>(AN893+AO893)/(AM893+AO893)</f>
        <v>1</v>
      </c>
      <c r="BL893" s="4"/>
      <c r="BM893" s="127">
        <f>CF893/102</f>
        <v>0.23921568627450979</v>
      </c>
      <c r="BN893" s="127">
        <f>C893/2</f>
        <v>4</v>
      </c>
      <c r="BO893" s="4"/>
      <c r="BP893" s="127">
        <f>(AK893)/($AW$6)</f>
        <v>0.14141414141414141</v>
      </c>
      <c r="BQ893" s="127">
        <f ca="1">(CH893-$AW$4)/((YEAR($C$13))-$AW$4)</f>
        <v>1</v>
      </c>
      <c r="BR893" s="127">
        <f>(AL893)/($AW$6)</f>
        <v>0.24242424242424243</v>
      </c>
      <c r="BS893" s="4"/>
      <c r="BT893" s="127"/>
      <c r="BU893" s="127">
        <f ca="1">(CG893-$AW$4)/((YEAR($C$13))-$AW$4)</f>
        <v>1</v>
      </c>
      <c r="BV893" s="127">
        <f>AE893/5</f>
        <v>1</v>
      </c>
      <c r="BW893" s="127">
        <f>AF893/5</f>
        <v>1</v>
      </c>
      <c r="BX893" s="4"/>
      <c r="BY893" s="148" t="str">
        <f>IF(E893="A",".98",IF(E893="B",".99",IF(E893="C","1.00",IF(E893="D","1.00" ))))</f>
        <v>1.00</v>
      </c>
      <c r="BZ893" s="127">
        <f>(CE893+7)/10</f>
        <v>1</v>
      </c>
      <c r="CA893" s="76" t="str">
        <f>IF(D893="Fern",".97",IF(D893="Grass",".99",IF(D893="Herb",".97",IF(D893="Shrub",".99",IF(D893="Tree","1.00",IF(D893="Vine",".98"))))))</f>
        <v>.97</v>
      </c>
      <c r="CB893" s="149" t="str">
        <f>IF(R893="Bogs Ponds Streams",".96", IF(R893="Coastal Areas",".97",IF(R893="Meadows Dry Open",".96",IF(R893="Forest &amp; Understory",".97",IF(R893="Moist Open",".98",IF(R893="Moist Shady",".96",IF(R893="Sub-Alpine","1.0")))))))</f>
        <v>.96</v>
      </c>
      <c r="CC893" s="76" t="str">
        <f>IF(S893="Local Endemic",".50",IF(S893="Regional Endemic",".70",IF(S893="Cascadia",".90",IF(S893="Rocky Mountain",".95",IF(S893="North America",".99")))))</f>
        <v>.95</v>
      </c>
      <c r="CD893" s="4"/>
      <c r="CE893" s="21">
        <f>IF(W893&gt;3,3,W893)</f>
        <v>3</v>
      </c>
      <c r="CF893" s="21">
        <f>IF(AC893&gt;102,102,AC893)</f>
        <v>24.4</v>
      </c>
      <c r="CG893" s="34">
        <f ca="1">IF(AI893&lt;$AW$4,$AW$4,AI893)</f>
        <v>2019</v>
      </c>
      <c r="CH893" s="34">
        <f ca="1">IF(AJ893&lt;$AW$4,$AW$4,AJ893)</f>
        <v>2019</v>
      </c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13"/>
    </row>
    <row r="894" spans="1:115" ht="15" customHeight="1" x14ac:dyDescent="0.3">
      <c r="A894" s="235"/>
      <c r="B894" s="218"/>
      <c r="C894" s="225">
        <v>8</v>
      </c>
      <c r="D894" s="59" t="s">
        <v>2505</v>
      </c>
      <c r="E894" s="59" t="s">
        <v>2501</v>
      </c>
      <c r="F894" s="397" t="str">
        <f ca="1">IF(BC894&lt;2025, "Extinct&lt; 6Yrs?",BA894)</f>
        <v>Widespread</v>
      </c>
      <c r="G894" s="363" t="s">
        <v>525</v>
      </c>
      <c r="H894" s="363" t="s">
        <v>681</v>
      </c>
      <c r="I894" s="364" t="s">
        <v>3163</v>
      </c>
      <c r="J894" s="365" t="s">
        <v>3875</v>
      </c>
      <c r="K894" s="365" t="s">
        <v>25</v>
      </c>
      <c r="L894" s="10" t="s">
        <v>2051</v>
      </c>
      <c r="M894" s="8" t="s">
        <v>4964</v>
      </c>
      <c r="N894" s="8" t="s">
        <v>5862</v>
      </c>
      <c r="O894" s="8" t="s">
        <v>6761</v>
      </c>
      <c r="P894" s="9" t="s">
        <v>751</v>
      </c>
      <c r="Q894" s="59" t="s">
        <v>2552</v>
      </c>
      <c r="R894" s="9" t="s">
        <v>2498</v>
      </c>
      <c r="S894" s="9" t="s">
        <v>2495</v>
      </c>
      <c r="T894" s="123" t="str">
        <f>IF(R894="Bogs Ponds Streams","20",IF(R894="Coastal Areas","26",IF(R894="Meadows Dry Open","10",IF(R894="Forest &amp; Understory","14",IF(R894="Moist Open","12",IF(R894="Moist Shady","10",IF(R894="Sub-Alpine Slopes","0")))))))</f>
        <v>10</v>
      </c>
      <c r="U894" s="123" t="str">
        <f>IF(R894="Bogs Ponds Streams","52",IF(R894="Coastal Areas","51",IF(R894="Meadows Dry Open","53",IF(R894="Forest &amp; Understory","52",IF(R894="Moist Open","50",IF(R894="Moist Shady","46",IF(R894="Sub-Alpine Slopes","40")))))))</f>
        <v>46</v>
      </c>
      <c r="V894" s="123" t="str">
        <f>IF(R894="Bogs Ponds Streams","84",IF(R894="Coastal Areas","76",IF(R894="Meadows Dry Open","96", IF(R894="Forest &amp; Understory","90", IF(R894="Moist Open","88", IF(R894="Moist Shady","82", IF(R894="Sub-Alpine Slopes","80")))))))</f>
        <v>82</v>
      </c>
      <c r="W894" s="59">
        <v>20</v>
      </c>
      <c r="X894" s="59">
        <v>0</v>
      </c>
      <c r="Y894" s="59">
        <v>3500</v>
      </c>
      <c r="Z894" s="59" t="s">
        <v>2519</v>
      </c>
      <c r="AA894" s="59" t="s">
        <v>2518</v>
      </c>
      <c r="AB894" s="59">
        <v>6.8</v>
      </c>
      <c r="AC894" s="45">
        <f>C894+AK894+(0.1)*AL894</f>
        <v>25.8</v>
      </c>
      <c r="AD894" s="77">
        <v>97</v>
      </c>
      <c r="AE894" s="59">
        <v>5</v>
      </c>
      <c r="AF894" s="59">
        <v>5</v>
      </c>
      <c r="AG894" s="59">
        <v>1900</v>
      </c>
      <c r="AH894" s="77">
        <v>0</v>
      </c>
      <c r="AI894" s="59">
        <f ca="1">AJ894</f>
        <v>2019</v>
      </c>
      <c r="AJ894" s="18">
        <f ca="1">YEAR(TODAY())</f>
        <v>2019</v>
      </c>
      <c r="AK894" s="18">
        <v>16</v>
      </c>
      <c r="AL894" s="18">
        <v>18</v>
      </c>
      <c r="AM894" s="18">
        <v>1</v>
      </c>
      <c r="AN894" s="18">
        <v>1</v>
      </c>
      <c r="AO894" s="25">
        <v>0</v>
      </c>
      <c r="AP894" s="24">
        <v>0</v>
      </c>
      <c r="AQ894" s="18">
        <v>0</v>
      </c>
      <c r="AR894" s="18">
        <v>0</v>
      </c>
      <c r="AS894" s="18">
        <v>0</v>
      </c>
      <c r="AT894" s="18">
        <v>0</v>
      </c>
      <c r="AU894" s="18">
        <v>0</v>
      </c>
      <c r="AV894" s="18">
        <v>0</v>
      </c>
      <c r="AW894" s="18">
        <v>0</v>
      </c>
      <c r="AX894" s="18">
        <v>0</v>
      </c>
      <c r="AY894" s="233"/>
      <c r="AZ894" s="4"/>
      <c r="BA894" s="35" t="str">
        <f>IF(OR(S894="North America",S894="Rocky Mountain"), "Widespread",BC894)</f>
        <v>Widespread</v>
      </c>
      <c r="BB894" s="4"/>
      <c r="BC894" s="35" t="str">
        <f ca="1">IF(BE894&gt;2046, "Abundant",BE894)</f>
        <v>Abundant</v>
      </c>
      <c r="BD894" s="4"/>
      <c r="BE894" s="81">
        <f ca="1">YEAR($C$13)+(BG894*80)</f>
        <v>2103.9490880570411</v>
      </c>
      <c r="BF894" s="4"/>
      <c r="BG894" s="137">
        <f ca="1">BH894*$BH$14</f>
        <v>1.0618636007130124</v>
      </c>
      <c r="BH894" s="137">
        <f ca="1">(((BJ894+BK894+BM894+BN894)/4)*$BM$11)+(((BP894+BQ894)/2)*$BQ$11)+(((BU894+BV894+BW894)/3)*$BU$11)+(((BY894+BZ894+CA894+CB894+CC894)/5)*$CA$11)</f>
        <v>1.0618636007130124</v>
      </c>
      <c r="BI894" s="4"/>
      <c r="BJ894" s="33">
        <f>AP894/(AM894+AO894)</f>
        <v>0</v>
      </c>
      <c r="BK894" s="33">
        <f>(AN894+AO894)/(AM894+AO894)</f>
        <v>1</v>
      </c>
      <c r="BL894" s="4"/>
      <c r="BM894" s="127">
        <f>CF894/102</f>
        <v>0.25294117647058822</v>
      </c>
      <c r="BN894" s="127">
        <f>C894/2</f>
        <v>4</v>
      </c>
      <c r="BO894" s="4"/>
      <c r="BP894" s="127">
        <f>(AK894)/($AW$6)</f>
        <v>0.16161616161616163</v>
      </c>
      <c r="BQ894" s="127">
        <f ca="1">(CH894-$AW$4)/((YEAR($C$13))-$AW$4)</f>
        <v>1</v>
      </c>
      <c r="BR894" s="127">
        <f>(AL894)/($AW$6)</f>
        <v>0.18181818181818182</v>
      </c>
      <c r="BS894" s="4"/>
      <c r="BT894" s="127"/>
      <c r="BU894" s="127">
        <f ca="1">(CG894-$AW$4)/((YEAR($C$13))-$AW$4)</f>
        <v>1</v>
      </c>
      <c r="BV894" s="127">
        <f>AE894/5</f>
        <v>1</v>
      </c>
      <c r="BW894" s="127">
        <f>AF894/5</f>
        <v>1</v>
      </c>
      <c r="BX894" s="4"/>
      <c r="BY894" s="148" t="str">
        <f>IF(E894="A",".98",IF(E894="B",".99",IF(E894="C","1.00",IF(E894="D","1.00" ))))</f>
        <v>1.00</v>
      </c>
      <c r="BZ894" s="127">
        <f>(CE894+7)/10</f>
        <v>1</v>
      </c>
      <c r="CA894" s="76" t="str">
        <f>IF(D894="Fern",".97",IF(D894="Grass",".99",IF(D894="Herb",".97",IF(D894="Shrub",".99",IF(D894="Tree","1.00",IF(D894="Vine",".98"))))))</f>
        <v>.97</v>
      </c>
      <c r="CB894" s="149" t="str">
        <f>IF(R894="Bogs Ponds Streams",".96", IF(R894="Coastal Areas",".97",IF(R894="Meadows Dry Open",".96",IF(R894="Forest &amp; Understory",".97",IF(R894="Moist Open",".98",IF(R894="Moist Shady",".96",IF(R894="Sub-Alpine","1.0")))))))</f>
        <v>.96</v>
      </c>
      <c r="CC894" s="76" t="str">
        <f>IF(S894="Local Endemic",".50",IF(S894="Regional Endemic",".70",IF(S894="Cascadia",".90",IF(S894="Rocky Mountain",".95",IF(S894="North America",".99")))))</f>
        <v>.99</v>
      </c>
      <c r="CD894" s="4"/>
      <c r="CE894" s="21">
        <f>IF(W894&gt;3,3,W894)</f>
        <v>3</v>
      </c>
      <c r="CF894" s="21">
        <f>IF(AC894&gt;102,102,AC894)</f>
        <v>25.8</v>
      </c>
      <c r="CG894" s="34">
        <f ca="1">IF(AI894&lt;$AW$4,$AW$4,AI894)</f>
        <v>2019</v>
      </c>
      <c r="CH894" s="34">
        <f ca="1">IF(AJ894&lt;$AW$4,$AW$4,AJ894)</f>
        <v>2019</v>
      </c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13"/>
    </row>
    <row r="895" spans="1:115" ht="15" customHeight="1" x14ac:dyDescent="0.3">
      <c r="A895" s="235"/>
      <c r="B895" s="218"/>
      <c r="C895" s="375">
        <v>1</v>
      </c>
      <c r="D895" s="67" t="s">
        <v>2505</v>
      </c>
      <c r="E895" s="67" t="s">
        <v>2501</v>
      </c>
      <c r="F895" s="403" t="str">
        <f ca="1">IF(BC895&lt;2025, "Extinct&lt; 6Yrs?",BA895)</f>
        <v>Widespread</v>
      </c>
      <c r="G895" s="376" t="s">
        <v>525</v>
      </c>
      <c r="H895" s="376" t="s">
        <v>4028</v>
      </c>
      <c r="I895" s="379" t="s">
        <v>388</v>
      </c>
      <c r="J895" s="378" t="s">
        <v>3479</v>
      </c>
      <c r="K895" s="378" t="s">
        <v>785</v>
      </c>
      <c r="L895" s="63" t="s">
        <v>2052</v>
      </c>
      <c r="M895" s="64" t="s">
        <v>4965</v>
      </c>
      <c r="N895" s="64" t="s">
        <v>5863</v>
      </c>
      <c r="O895" s="64" t="s">
        <v>6762</v>
      </c>
      <c r="P895" s="61" t="s">
        <v>389</v>
      </c>
      <c r="Q895" s="67" t="s">
        <v>2552</v>
      </c>
      <c r="R895" s="61" t="s">
        <v>2499</v>
      </c>
      <c r="S895" s="61" t="s">
        <v>2495</v>
      </c>
      <c r="T895" s="134" t="str">
        <f>IF(R895="Bogs Ponds Streams","20",IF(R895="Coastal Areas","26",IF(R895="Meadows Dry Open","10",IF(R895="Forest &amp; Understory","14",IF(R895="Moist Open","12",IF(R895="Moist Shady","10",IF(R895="Sub-Alpine Slopes","0")))))))</f>
        <v>20</v>
      </c>
      <c r="U895" s="134" t="str">
        <f>IF(R895="Bogs Ponds Streams","52",IF(R895="Coastal Areas","51",IF(R895="Meadows Dry Open","53",IF(R895="Forest &amp; Understory","52",IF(R895="Moist Open","50",IF(R895="Moist Shady","46",IF(R895="Sub-Alpine Slopes","40")))))))</f>
        <v>52</v>
      </c>
      <c r="V895" s="134" t="str">
        <f>IF(R895="Bogs Ponds Streams","84",IF(R895="Coastal Areas","76",IF(R895="Meadows Dry Open","96", IF(R895="Forest &amp; Understory","90", IF(R895="Moist Open","88", IF(R895="Moist Shady","82", IF(R895="Sub-Alpine Slopes","80")))))))</f>
        <v>84</v>
      </c>
      <c r="W895" s="67">
        <v>20</v>
      </c>
      <c r="X895" s="67">
        <v>0</v>
      </c>
      <c r="Y895" s="67">
        <v>3500</v>
      </c>
      <c r="Z895" s="67" t="s">
        <v>2519</v>
      </c>
      <c r="AA895" s="67" t="s">
        <v>2518</v>
      </c>
      <c r="AB895" s="67">
        <v>6.8</v>
      </c>
      <c r="AC895" s="85">
        <f>C895+AK895+(0.1)*AL895</f>
        <v>3.5</v>
      </c>
      <c r="AD895" s="78">
        <v>28</v>
      </c>
      <c r="AE895" s="67">
        <v>5</v>
      </c>
      <c r="AF895" s="67">
        <v>5</v>
      </c>
      <c r="AG895" s="67">
        <v>1900</v>
      </c>
      <c r="AH895" s="78">
        <v>0</v>
      </c>
      <c r="AI895" s="67">
        <f>AJ895</f>
        <v>2004</v>
      </c>
      <c r="AJ895" s="69">
        <v>2004</v>
      </c>
      <c r="AK895" s="69">
        <v>1</v>
      </c>
      <c r="AL895" s="69">
        <v>15</v>
      </c>
      <c r="AM895" s="70">
        <v>5</v>
      </c>
      <c r="AN895" s="70">
        <v>0</v>
      </c>
      <c r="AO895" s="86">
        <v>0</v>
      </c>
      <c r="AP895" s="70">
        <v>0</v>
      </c>
      <c r="AQ895" s="70">
        <v>0</v>
      </c>
      <c r="AR895" s="70">
        <v>0</v>
      </c>
      <c r="AS895" s="86">
        <v>0</v>
      </c>
      <c r="AT895" s="70">
        <v>0</v>
      </c>
      <c r="AU895" s="70">
        <v>0</v>
      </c>
      <c r="AV895" s="70">
        <v>0</v>
      </c>
      <c r="AW895" s="86">
        <v>0</v>
      </c>
      <c r="AX895" s="70">
        <v>0</v>
      </c>
      <c r="AY895" s="233"/>
      <c r="AZ895" s="4"/>
      <c r="BA895" s="35" t="str">
        <f>IF(OR(S895="North America",S895="Rocky Mountain"), "Widespread",BC895)</f>
        <v>Widespread</v>
      </c>
      <c r="BB895" s="4"/>
      <c r="BC895" s="35">
        <f ca="1">IF(BE895&gt;2046, "Abundant",BE895)</f>
        <v>2031.3740434937611</v>
      </c>
      <c r="BD895" s="4"/>
      <c r="BE895" s="81">
        <f ca="1">YEAR($C$13)+(BG895*80)</f>
        <v>2031.3740434937611</v>
      </c>
      <c r="BF895" s="4"/>
      <c r="BG895" s="137">
        <f ca="1">BH895*$BH$14</f>
        <v>0.15467554367201425</v>
      </c>
      <c r="BH895" s="137">
        <f ca="1">(((BJ895+BK895+BM895+BN895)/4)*$BM$11)+(((BP895+BQ895)/2)*$BQ$11)+(((BU895+BV895+BW895)/3)*$BU$11)+(((BY895+BZ895+CA895+CB895+CC895)/5)*$CA$11)</f>
        <v>0.15467554367201425</v>
      </c>
      <c r="BI895" s="4"/>
      <c r="BJ895" s="33">
        <f>AP895/(AM895+AO895)</f>
        <v>0</v>
      </c>
      <c r="BK895" s="33">
        <f>(AN895+AO895)/(AM895+AO895)</f>
        <v>0</v>
      </c>
      <c r="BL895" s="4"/>
      <c r="BM895" s="127">
        <f>CF895/102</f>
        <v>3.4313725490196081E-2</v>
      </c>
      <c r="BN895" s="127">
        <f>C895/2</f>
        <v>0.5</v>
      </c>
      <c r="BO895" s="4"/>
      <c r="BP895" s="127">
        <f>(AK895)/($AW$6)</f>
        <v>1.0101010101010102E-2</v>
      </c>
      <c r="BQ895" s="127">
        <f ca="1">(CH895-$AW$4)/((YEAR($C$13))-$AW$4)</f>
        <v>0</v>
      </c>
      <c r="BR895" s="127">
        <f>(AL895)/($AW$6)</f>
        <v>0.15151515151515152</v>
      </c>
      <c r="BS895" s="4"/>
      <c r="BT895" s="127"/>
      <c r="BU895" s="127">
        <f ca="1">(CG895-$AW$4)/((YEAR($C$13))-$AW$4)</f>
        <v>0</v>
      </c>
      <c r="BV895" s="127">
        <f>AE895/5</f>
        <v>1</v>
      </c>
      <c r="BW895" s="127">
        <f>AF895/5</f>
        <v>1</v>
      </c>
      <c r="BX895" s="4"/>
      <c r="BY895" s="148" t="str">
        <f>IF(E895="A",".98",IF(E895="B",".99",IF(E895="C","1.00",IF(E895="D","1.00" ))))</f>
        <v>1.00</v>
      </c>
      <c r="BZ895" s="127">
        <f>(CE895+7)/10</f>
        <v>1</v>
      </c>
      <c r="CA895" s="76" t="str">
        <f>IF(D895="Fern",".97",IF(D895="Grass",".99",IF(D895="Herb",".97",IF(D895="Shrub",".99",IF(D895="Tree","1.00",IF(D895="Vine",".98"))))))</f>
        <v>.97</v>
      </c>
      <c r="CB895" s="149" t="str">
        <f>IF(R895="Bogs Ponds Streams",".96", IF(R895="Coastal Areas",".97",IF(R895="Meadows Dry Open",".96",IF(R895="Forest &amp; Understory",".97",IF(R895="Moist Open",".98",IF(R895="Moist Shady",".96",IF(R895="Sub-Alpine","1.0")))))))</f>
        <v>.96</v>
      </c>
      <c r="CC895" s="76" t="str">
        <f>IF(S895="Local Endemic",".50",IF(S895="Regional Endemic",".70",IF(S895="Cascadia",".90",IF(S895="Rocky Mountain",".95",IF(S895="North America",".99")))))</f>
        <v>.99</v>
      </c>
      <c r="CD895" s="4"/>
      <c r="CE895" s="21">
        <f>IF(W895&gt;3,3,W895)</f>
        <v>3</v>
      </c>
      <c r="CF895" s="21">
        <f>IF(AC895&gt;102,102,AC895)</f>
        <v>3.5</v>
      </c>
      <c r="CG895" s="34">
        <f>IF(AI895&lt;$AW$4,$AW$4,AI895)</f>
        <v>2004</v>
      </c>
      <c r="CH895" s="34">
        <f>IF(AJ895&lt;$AW$4,$AW$4,AJ895)</f>
        <v>2004</v>
      </c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</row>
    <row r="896" spans="1:115" ht="15" customHeight="1" x14ac:dyDescent="0.3">
      <c r="A896" s="235"/>
      <c r="B896" s="218"/>
      <c r="C896" s="225">
        <v>8</v>
      </c>
      <c r="D896" s="59" t="s">
        <v>2505</v>
      </c>
      <c r="E896" s="59" t="s">
        <v>2501</v>
      </c>
      <c r="F896" s="397" t="str">
        <f ca="1">IF(BC896&lt;2025, "Extinct&lt; 6Yrs?",BA896)</f>
        <v>Widespread</v>
      </c>
      <c r="G896" s="363" t="s">
        <v>525</v>
      </c>
      <c r="H896" s="363" t="s">
        <v>683</v>
      </c>
      <c r="I896" s="364" t="s">
        <v>3147</v>
      </c>
      <c r="J896" s="365" t="s">
        <v>3874</v>
      </c>
      <c r="K896" s="365" t="s">
        <v>786</v>
      </c>
      <c r="L896" s="10" t="s">
        <v>2053</v>
      </c>
      <c r="M896" s="8" t="s">
        <v>4966</v>
      </c>
      <c r="N896" s="8" t="s">
        <v>5864</v>
      </c>
      <c r="O896" s="8" t="s">
        <v>6763</v>
      </c>
      <c r="P896" s="9" t="s">
        <v>672</v>
      </c>
      <c r="Q896" s="59" t="s">
        <v>2552</v>
      </c>
      <c r="R896" s="9" t="s">
        <v>2498</v>
      </c>
      <c r="S896" s="9" t="s">
        <v>2495</v>
      </c>
      <c r="T896" s="123" t="str">
        <f>IF(R896="Bogs Ponds Streams","20",IF(R896="Coastal Areas","26",IF(R896="Meadows Dry Open","10",IF(R896="Forest &amp; Understory","14",IF(R896="Moist Open","12",IF(R896="Moist Shady","10",IF(R896="Sub-Alpine Slopes","0")))))))</f>
        <v>10</v>
      </c>
      <c r="U896" s="123" t="str">
        <f>IF(R896="Bogs Ponds Streams","52",IF(R896="Coastal Areas","51",IF(R896="Meadows Dry Open","53",IF(R896="Forest &amp; Understory","52",IF(R896="Moist Open","50",IF(R896="Moist Shady","46",IF(R896="Sub-Alpine Slopes","40")))))))</f>
        <v>46</v>
      </c>
      <c r="V896" s="123" t="str">
        <f>IF(R896="Bogs Ponds Streams","84",IF(R896="Coastal Areas","76",IF(R896="Meadows Dry Open","96", IF(R896="Forest &amp; Understory","90", IF(R896="Moist Open","88", IF(R896="Moist Shady","82", IF(R896="Sub-Alpine Slopes","80")))))))</f>
        <v>82</v>
      </c>
      <c r="W896" s="59">
        <v>20</v>
      </c>
      <c r="X896" s="59">
        <v>0</v>
      </c>
      <c r="Y896" s="59">
        <v>3500</v>
      </c>
      <c r="Z896" s="59" t="s">
        <v>2519</v>
      </c>
      <c r="AA896" s="59" t="s">
        <v>2518</v>
      </c>
      <c r="AB896" s="59">
        <v>6.8</v>
      </c>
      <c r="AC896" s="45">
        <f>C896+AK896+(0.1)*AL896</f>
        <v>43</v>
      </c>
      <c r="AD896" s="77">
        <v>226</v>
      </c>
      <c r="AE896" s="59">
        <v>5</v>
      </c>
      <c r="AF896" s="59">
        <v>5</v>
      </c>
      <c r="AG896" s="59">
        <v>1900</v>
      </c>
      <c r="AH896" s="77">
        <v>0</v>
      </c>
      <c r="AI896" s="59">
        <f ca="1">AJ896</f>
        <v>2019</v>
      </c>
      <c r="AJ896" s="18">
        <f ca="1">YEAR(TODAY())</f>
        <v>2019</v>
      </c>
      <c r="AK896" s="18">
        <v>30</v>
      </c>
      <c r="AL896" s="18">
        <v>50</v>
      </c>
      <c r="AM896" s="18">
        <v>1</v>
      </c>
      <c r="AN896" s="18">
        <v>1</v>
      </c>
      <c r="AO896" s="25">
        <v>0</v>
      </c>
      <c r="AP896" s="24">
        <v>0</v>
      </c>
      <c r="AQ896" s="18">
        <v>0</v>
      </c>
      <c r="AR896" s="18">
        <v>0</v>
      </c>
      <c r="AS896" s="18">
        <v>0</v>
      </c>
      <c r="AT896" s="18">
        <v>0</v>
      </c>
      <c r="AU896" s="18">
        <v>0</v>
      </c>
      <c r="AV896" s="18">
        <v>0</v>
      </c>
      <c r="AW896" s="18">
        <v>0</v>
      </c>
      <c r="AX896" s="18">
        <v>0</v>
      </c>
      <c r="AY896" s="233"/>
      <c r="AZ896" s="4"/>
      <c r="BA896" s="35" t="str">
        <f>IF(OR(S896="North America",S896="Rocky Mountain"), "Widespread",BC896)</f>
        <v>Widespread</v>
      </c>
      <c r="BB896" s="4"/>
      <c r="BC896" s="35" t="str">
        <f ca="1">IF(BE896&gt;2046, "Abundant",BE896)</f>
        <v>Abundant</v>
      </c>
      <c r="BD896" s="4"/>
      <c r="BE896" s="81">
        <f ca="1">YEAR($C$13)+(BG896*80)</f>
        <v>2107.6695871657753</v>
      </c>
      <c r="BF896" s="4"/>
      <c r="BG896" s="137">
        <f ca="1">BH896*$BH$14</f>
        <v>1.1083698395721926</v>
      </c>
      <c r="BH896" s="137">
        <f ca="1">(((BJ896+BK896+BM896+BN896)/4)*$BM$11)+(((BP896+BQ896)/2)*$BQ$11)+(((BU896+BV896+BW896)/3)*$BU$11)+(((BY896+BZ896+CA896+CB896+CC896)/5)*$CA$11)</f>
        <v>1.1083698395721926</v>
      </c>
      <c r="BI896" s="4"/>
      <c r="BJ896" s="33">
        <f>AP896/(AM896+AO896)</f>
        <v>0</v>
      </c>
      <c r="BK896" s="33">
        <f>(AN896+AO896)/(AM896+AO896)</f>
        <v>1</v>
      </c>
      <c r="BL896" s="4"/>
      <c r="BM896" s="127">
        <f>CF896/102</f>
        <v>0.42156862745098039</v>
      </c>
      <c r="BN896" s="127">
        <f>C896/2</f>
        <v>4</v>
      </c>
      <c r="BO896" s="4"/>
      <c r="BP896" s="127">
        <f>(AK896)/($AW$6)</f>
        <v>0.30303030303030304</v>
      </c>
      <c r="BQ896" s="127">
        <f ca="1">(CH896-$AW$4)/((YEAR($C$13))-$AW$4)</f>
        <v>1</v>
      </c>
      <c r="BR896" s="127">
        <f>(AL896)/($AW$6)</f>
        <v>0.50505050505050508</v>
      </c>
      <c r="BS896" s="4"/>
      <c r="BT896" s="127"/>
      <c r="BU896" s="127">
        <f ca="1">(CG896-$AW$4)/((YEAR($C$13))-$AW$4)</f>
        <v>1</v>
      </c>
      <c r="BV896" s="127">
        <f>AE896/5</f>
        <v>1</v>
      </c>
      <c r="BW896" s="127">
        <f>AF896/5</f>
        <v>1</v>
      </c>
      <c r="BX896" s="4"/>
      <c r="BY896" s="148" t="str">
        <f>IF(E896="A",".98",IF(E896="B",".99",IF(E896="C","1.00",IF(E896="D","1.00" ))))</f>
        <v>1.00</v>
      </c>
      <c r="BZ896" s="127">
        <f>(CE896+7)/10</f>
        <v>1</v>
      </c>
      <c r="CA896" s="76" t="str">
        <f>IF(D896="Fern",".97",IF(D896="Grass",".99",IF(D896="Herb",".97",IF(D896="Shrub",".99",IF(D896="Tree","1.00",IF(D896="Vine",".98"))))))</f>
        <v>.97</v>
      </c>
      <c r="CB896" s="149" t="str">
        <f>IF(R896="Bogs Ponds Streams",".96", IF(R896="Coastal Areas",".97",IF(R896="Meadows Dry Open",".96",IF(R896="Forest &amp; Understory",".97",IF(R896="Moist Open",".98",IF(R896="Moist Shady",".96",IF(R896="Sub-Alpine","1.0")))))))</f>
        <v>.96</v>
      </c>
      <c r="CC896" s="76" t="str">
        <f>IF(S896="Local Endemic",".50",IF(S896="Regional Endemic",".70",IF(S896="Cascadia",".90",IF(S896="Rocky Mountain",".95",IF(S896="North America",".99")))))</f>
        <v>.99</v>
      </c>
      <c r="CD896" s="4"/>
      <c r="CE896" s="21">
        <f>IF(W896&gt;3,3,W896)</f>
        <v>3</v>
      </c>
      <c r="CF896" s="21">
        <f>IF(AC896&gt;102,102,AC896)</f>
        <v>43</v>
      </c>
      <c r="CG896" s="34">
        <f ca="1">IF(AI896&lt;$AW$4,$AW$4,AI896)</f>
        <v>2019</v>
      </c>
      <c r="CH896" s="34">
        <f ca="1">IF(AJ896&lt;$AW$4,$AW$4,AJ896)</f>
        <v>2019</v>
      </c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13"/>
    </row>
    <row r="897" spans="1:115" ht="15" customHeight="1" x14ac:dyDescent="0.3">
      <c r="A897" s="235"/>
      <c r="B897" s="218"/>
      <c r="C897" s="375">
        <v>1</v>
      </c>
      <c r="D897" s="67" t="s">
        <v>2505</v>
      </c>
      <c r="E897" s="67" t="s">
        <v>2501</v>
      </c>
      <c r="F897" s="403" t="str">
        <f ca="1">IF(BC897&lt;2025, "Extinct&lt; 6Yrs?",BA897)</f>
        <v>Widespread</v>
      </c>
      <c r="G897" s="376" t="s">
        <v>525</v>
      </c>
      <c r="H897" s="376" t="s">
        <v>4028</v>
      </c>
      <c r="I897" s="379" t="s">
        <v>382</v>
      </c>
      <c r="J897" s="378" t="s">
        <v>3478</v>
      </c>
      <c r="K897" s="378" t="s">
        <v>1228</v>
      </c>
      <c r="L897" s="63" t="s">
        <v>2054</v>
      </c>
      <c r="M897" s="64" t="s">
        <v>4967</v>
      </c>
      <c r="N897" s="64" t="s">
        <v>5865</v>
      </c>
      <c r="O897" s="64" t="s">
        <v>6764</v>
      </c>
      <c r="P897" s="61" t="s">
        <v>672</v>
      </c>
      <c r="Q897" s="67" t="s">
        <v>2552</v>
      </c>
      <c r="R897" s="61" t="s">
        <v>2500</v>
      </c>
      <c r="S897" s="65" t="s">
        <v>2495</v>
      </c>
      <c r="T897" s="134" t="str">
        <f>IF(R897="Bogs Ponds Streams","20",IF(R897="Coastal Areas","26",IF(R897="Meadows Dry Open","10",IF(R897="Forest &amp; Understory","14",IF(R897="Moist Open","12",IF(R897="Moist Shady","10",IF(R897="Sub-Alpine Slopes","0")))))))</f>
        <v>10</v>
      </c>
      <c r="U897" s="134" t="str">
        <f>IF(R897="Bogs Ponds Streams","52",IF(R897="Coastal Areas","51",IF(R897="Meadows Dry Open","53",IF(R897="Forest &amp; Understory","52",IF(R897="Moist Open","50",IF(R897="Moist Shady","46",IF(R897="Sub-Alpine Slopes","40")))))))</f>
        <v>53</v>
      </c>
      <c r="V897" s="134" t="str">
        <f>IF(R897="Bogs Ponds Streams","84",IF(R897="Coastal Areas","76",IF(R897="Meadows Dry Open","96", IF(R897="Forest &amp; Understory","90", IF(R897="Moist Open","88", IF(R897="Moist Shady","82", IF(R897="Sub-Alpine Slopes","80")))))))</f>
        <v>96</v>
      </c>
      <c r="W897" s="67">
        <v>20</v>
      </c>
      <c r="X897" s="67">
        <v>0</v>
      </c>
      <c r="Y897" s="67">
        <v>3500</v>
      </c>
      <c r="Z897" s="67" t="s">
        <v>2519</v>
      </c>
      <c r="AA897" s="67" t="s">
        <v>2518</v>
      </c>
      <c r="AB897" s="67">
        <v>6.8</v>
      </c>
      <c r="AC897" s="85">
        <f>C897+AK897+(0.1)*AL897</f>
        <v>18</v>
      </c>
      <c r="AD897" s="78">
        <v>101</v>
      </c>
      <c r="AE897" s="67">
        <v>5</v>
      </c>
      <c r="AF897" s="67">
        <v>5</v>
      </c>
      <c r="AG897" s="67">
        <v>1900</v>
      </c>
      <c r="AH897" s="78">
        <v>0</v>
      </c>
      <c r="AI897" s="67">
        <f>AJ897</f>
        <v>2005</v>
      </c>
      <c r="AJ897" s="69">
        <v>2005</v>
      </c>
      <c r="AK897" s="69">
        <v>14</v>
      </c>
      <c r="AL897" s="69">
        <v>30</v>
      </c>
      <c r="AM897" s="70">
        <v>5</v>
      </c>
      <c r="AN897" s="70">
        <v>0</v>
      </c>
      <c r="AO897" s="86">
        <v>0</v>
      </c>
      <c r="AP897" s="70">
        <v>0</v>
      </c>
      <c r="AQ897" s="70">
        <v>0</v>
      </c>
      <c r="AR897" s="70">
        <v>0</v>
      </c>
      <c r="AS897" s="86">
        <v>0</v>
      </c>
      <c r="AT897" s="70">
        <v>0</v>
      </c>
      <c r="AU897" s="70">
        <v>0</v>
      </c>
      <c r="AV897" s="70">
        <v>0</v>
      </c>
      <c r="AW897" s="86">
        <v>0</v>
      </c>
      <c r="AX897" s="70">
        <v>0</v>
      </c>
      <c r="AY897" s="233"/>
      <c r="AZ897" s="4"/>
      <c r="BA897" s="35" t="str">
        <f>IF(OR(S897="North America",S897="Rocky Mountain"), "Widespread",BC897)</f>
        <v>Widespread</v>
      </c>
      <c r="BB897" s="4"/>
      <c r="BC897" s="35">
        <f ca="1">IF(BE897&gt;2046, "Abundant",BE897)</f>
        <v>2035.5979056446822</v>
      </c>
      <c r="BD897" s="4"/>
      <c r="BE897" s="81">
        <f ca="1">YEAR($C$13)+(BG897*80)</f>
        <v>2035.5979056446822</v>
      </c>
      <c r="BF897" s="4"/>
      <c r="BG897" s="137">
        <f ca="1">BH897*$BH$14</f>
        <v>0.20747382055852645</v>
      </c>
      <c r="BH897" s="137">
        <f ca="1">(((BJ897+BK897+BM897+BN897)/4)*$BM$11)+(((BP897+BQ897)/2)*$BQ$11)+(((BU897+BV897+BW897)/3)*$BU$11)+(((BY897+BZ897+CA897+CB897+CC897)/5)*$CA$11)</f>
        <v>0.20747382055852645</v>
      </c>
      <c r="BI897" s="4"/>
      <c r="BJ897" s="33">
        <f>AP897/(AM897+AO897)</f>
        <v>0</v>
      </c>
      <c r="BK897" s="33">
        <f>(AN897+AO897)/(AM897+AO897)</f>
        <v>0</v>
      </c>
      <c r="BL897" s="4"/>
      <c r="BM897" s="127">
        <f>CF897/102</f>
        <v>0.17647058823529413</v>
      </c>
      <c r="BN897" s="127">
        <f>C897/2</f>
        <v>0.5</v>
      </c>
      <c r="BO897" s="4"/>
      <c r="BP897" s="127">
        <f>(AK897)/($AW$6)</f>
        <v>0.14141414141414141</v>
      </c>
      <c r="BQ897" s="127">
        <f ca="1">(CH897-$AW$4)/((YEAR($C$13))-$AW$4)</f>
        <v>6.6666666666666666E-2</v>
      </c>
      <c r="BR897" s="127">
        <f>(AL897)/($AW$6)</f>
        <v>0.30303030303030304</v>
      </c>
      <c r="BS897" s="4"/>
      <c r="BT897" s="127"/>
      <c r="BU897" s="127">
        <f ca="1">(CG897-$AW$4)/((YEAR($C$13))-$AW$4)</f>
        <v>6.6666666666666666E-2</v>
      </c>
      <c r="BV897" s="127">
        <f>AE897/5</f>
        <v>1</v>
      </c>
      <c r="BW897" s="127">
        <f>AF897/5</f>
        <v>1</v>
      </c>
      <c r="BX897" s="4"/>
      <c r="BY897" s="148" t="str">
        <f>IF(E897="A",".98",IF(E897="B",".99",IF(E897="C","1.00",IF(E897="D","1.00" ))))</f>
        <v>1.00</v>
      </c>
      <c r="BZ897" s="127">
        <f>(CE897+7)/10</f>
        <v>1</v>
      </c>
      <c r="CA897" s="76" t="str">
        <f>IF(D897="Fern",".97",IF(D897="Grass",".99",IF(D897="Herb",".97",IF(D897="Shrub",".99",IF(D897="Tree","1.00",IF(D897="Vine",".98"))))))</f>
        <v>.97</v>
      </c>
      <c r="CB897" s="149" t="str">
        <f>IF(R897="Bogs Ponds Streams",".96", IF(R897="Coastal Areas",".97",IF(R897="Meadows Dry Open",".96",IF(R897="Forest &amp; Understory",".97",IF(R897="Moist Open",".98",IF(R897="Moist Shady",".96",IF(R897="Sub-Alpine","1.0")))))))</f>
        <v>.96</v>
      </c>
      <c r="CC897" s="76" t="str">
        <f>IF(S897="Local Endemic",".50",IF(S897="Regional Endemic",".70",IF(S897="Cascadia",".90",IF(S897="Rocky Mountain",".95",IF(S897="North America",".99")))))</f>
        <v>.99</v>
      </c>
      <c r="CD897" s="4"/>
      <c r="CE897" s="21">
        <f>IF(W897&gt;3,3,W897)</f>
        <v>3</v>
      </c>
      <c r="CF897" s="21">
        <f>IF(AC897&gt;102,102,AC897)</f>
        <v>18</v>
      </c>
      <c r="CG897" s="34">
        <f>IF(AI897&lt;$AW$4,$AW$4,AI897)</f>
        <v>2005</v>
      </c>
      <c r="CH897" s="34">
        <f>IF(AJ897&lt;$AW$4,$AW$4,AJ897)</f>
        <v>2005</v>
      </c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</row>
    <row r="898" spans="1:115" ht="15" customHeight="1" x14ac:dyDescent="0.3">
      <c r="A898" s="235"/>
      <c r="B898" s="218"/>
      <c r="C898" s="375">
        <v>1</v>
      </c>
      <c r="D898" s="67" t="s">
        <v>2505</v>
      </c>
      <c r="E898" s="67" t="s">
        <v>2501</v>
      </c>
      <c r="F898" s="403" t="str">
        <f ca="1">IF(BC898&lt;2025, "Extinct&lt; 6Yrs?",BA898)</f>
        <v>Widespread</v>
      </c>
      <c r="G898" s="376" t="s">
        <v>525</v>
      </c>
      <c r="H898" s="376" t="s">
        <v>4028</v>
      </c>
      <c r="I898" s="379" t="s">
        <v>383</v>
      </c>
      <c r="J898" s="378" t="s">
        <v>3477</v>
      </c>
      <c r="K898" s="378" t="s">
        <v>787</v>
      </c>
      <c r="L898" s="63" t="s">
        <v>2055</v>
      </c>
      <c r="M898" s="64" t="s">
        <v>4968</v>
      </c>
      <c r="N898" s="64" t="s">
        <v>5866</v>
      </c>
      <c r="O898" s="64" t="s">
        <v>6765</v>
      </c>
      <c r="P898" s="61" t="s">
        <v>672</v>
      </c>
      <c r="Q898" s="67" t="s">
        <v>2552</v>
      </c>
      <c r="R898" s="61" t="s">
        <v>2498</v>
      </c>
      <c r="S898" s="61" t="s">
        <v>2495</v>
      </c>
      <c r="T898" s="134" t="str">
        <f>IF(R898="Bogs Ponds Streams","20",IF(R898="Coastal Areas","26",IF(R898="Meadows Dry Open","10",IF(R898="Forest &amp; Understory","14",IF(R898="Moist Open","12",IF(R898="Moist Shady","10",IF(R898="Sub-Alpine Slopes","0")))))))</f>
        <v>10</v>
      </c>
      <c r="U898" s="134" t="str">
        <f>IF(R898="Bogs Ponds Streams","52",IF(R898="Coastal Areas","51",IF(R898="Meadows Dry Open","53",IF(R898="Forest &amp; Understory","52",IF(R898="Moist Open","50",IF(R898="Moist Shady","46",IF(R898="Sub-Alpine Slopes","40")))))))</f>
        <v>46</v>
      </c>
      <c r="V898" s="134" t="str">
        <f>IF(R898="Bogs Ponds Streams","84",IF(R898="Coastal Areas","76",IF(R898="Meadows Dry Open","96", IF(R898="Forest &amp; Understory","90", IF(R898="Moist Open","88", IF(R898="Moist Shady","82", IF(R898="Sub-Alpine Slopes","80")))))))</f>
        <v>82</v>
      </c>
      <c r="W898" s="67">
        <v>20</v>
      </c>
      <c r="X898" s="67">
        <v>0</v>
      </c>
      <c r="Y898" s="67">
        <v>3500</v>
      </c>
      <c r="Z898" s="67" t="s">
        <v>2519</v>
      </c>
      <c r="AA898" s="67" t="s">
        <v>2518</v>
      </c>
      <c r="AB898" s="67">
        <v>6.8</v>
      </c>
      <c r="AC898" s="85">
        <f>C898+AK898+(0.1)*AL898</f>
        <v>35</v>
      </c>
      <c r="AD898" s="78">
        <v>66</v>
      </c>
      <c r="AE898" s="67">
        <v>5</v>
      </c>
      <c r="AF898" s="67">
        <v>5</v>
      </c>
      <c r="AG898" s="67">
        <v>1900</v>
      </c>
      <c r="AH898" s="78">
        <v>0</v>
      </c>
      <c r="AI898" s="67">
        <f>AJ898</f>
        <v>2005</v>
      </c>
      <c r="AJ898" s="69">
        <v>2005</v>
      </c>
      <c r="AK898" s="69">
        <v>30</v>
      </c>
      <c r="AL898" s="69">
        <v>40</v>
      </c>
      <c r="AM898" s="70">
        <v>5</v>
      </c>
      <c r="AN898" s="70">
        <v>0</v>
      </c>
      <c r="AO898" s="86">
        <v>0</v>
      </c>
      <c r="AP898" s="70">
        <v>0</v>
      </c>
      <c r="AQ898" s="70">
        <v>0</v>
      </c>
      <c r="AR898" s="70">
        <v>0</v>
      </c>
      <c r="AS898" s="86">
        <v>0</v>
      </c>
      <c r="AT898" s="70">
        <v>0</v>
      </c>
      <c r="AU898" s="70">
        <v>0</v>
      </c>
      <c r="AV898" s="70">
        <v>0</v>
      </c>
      <c r="AW898" s="86">
        <v>0</v>
      </c>
      <c r="AX898" s="70">
        <v>0</v>
      </c>
      <c r="AY898" s="233"/>
      <c r="AZ898" s="4"/>
      <c r="BA898" s="35" t="str">
        <f>IF(OR(S898="North America",S898="Rocky Mountain"), "Widespread",BC898)</f>
        <v>Widespread</v>
      </c>
      <c r="BB898" s="4"/>
      <c r="BC898" s="35">
        <f ca="1">IF(BE898&gt;2046, "Abundant",BE898)</f>
        <v>2039.537299584076</v>
      </c>
      <c r="BD898" s="4"/>
      <c r="BE898" s="81">
        <f ca="1">YEAR($C$13)+(BG898*80)</f>
        <v>2039.537299584076</v>
      </c>
      <c r="BF898" s="4"/>
      <c r="BG898" s="137">
        <f ca="1">BH898*$BH$14</f>
        <v>0.25671624480095068</v>
      </c>
      <c r="BH898" s="137">
        <f ca="1">(((BJ898+BK898+BM898+BN898)/4)*$BM$11)+(((BP898+BQ898)/2)*$BQ$11)+(((BU898+BV898+BW898)/3)*$BU$11)+(((BY898+BZ898+CA898+CB898+CC898)/5)*$CA$11)</f>
        <v>0.25671624480095068</v>
      </c>
      <c r="BI898" s="4"/>
      <c r="BJ898" s="33">
        <f>AP898/(AM898+AO898)</f>
        <v>0</v>
      </c>
      <c r="BK898" s="33">
        <f>(AN898+AO898)/(AM898+AO898)</f>
        <v>0</v>
      </c>
      <c r="BL898" s="4"/>
      <c r="BM898" s="127">
        <f>CF898/102</f>
        <v>0.34313725490196079</v>
      </c>
      <c r="BN898" s="127">
        <f>C898/2</f>
        <v>0.5</v>
      </c>
      <c r="BO898" s="4"/>
      <c r="BP898" s="127">
        <f>(AK898)/($AW$6)</f>
        <v>0.30303030303030304</v>
      </c>
      <c r="BQ898" s="127">
        <f ca="1">(CH898-$AW$4)/((YEAR($C$13))-$AW$4)</f>
        <v>6.6666666666666666E-2</v>
      </c>
      <c r="BR898" s="127">
        <f>(AL898)/($AW$6)</f>
        <v>0.40404040404040403</v>
      </c>
      <c r="BS898" s="4"/>
      <c r="BT898" s="127"/>
      <c r="BU898" s="127">
        <f ca="1">(CG898-$AW$4)/((YEAR($C$13))-$AW$4)</f>
        <v>6.6666666666666666E-2</v>
      </c>
      <c r="BV898" s="127">
        <f>AE898/5</f>
        <v>1</v>
      </c>
      <c r="BW898" s="127">
        <f>AF898/5</f>
        <v>1</v>
      </c>
      <c r="BX898" s="4"/>
      <c r="BY898" s="148" t="str">
        <f>IF(E898="A",".98",IF(E898="B",".99",IF(E898="C","1.00",IF(E898="D","1.00" ))))</f>
        <v>1.00</v>
      </c>
      <c r="BZ898" s="127">
        <f>(CE898+7)/10</f>
        <v>1</v>
      </c>
      <c r="CA898" s="76" t="str">
        <f>IF(D898="Fern",".97",IF(D898="Grass",".99",IF(D898="Herb",".97",IF(D898="Shrub",".99",IF(D898="Tree","1.00",IF(D898="Vine",".98"))))))</f>
        <v>.97</v>
      </c>
      <c r="CB898" s="149" t="str">
        <f>IF(R898="Bogs Ponds Streams",".96", IF(R898="Coastal Areas",".97",IF(R898="Meadows Dry Open",".96",IF(R898="Forest &amp; Understory",".97",IF(R898="Moist Open",".98",IF(R898="Moist Shady",".96",IF(R898="Sub-Alpine","1.0")))))))</f>
        <v>.96</v>
      </c>
      <c r="CC898" s="76" t="str">
        <f>IF(S898="Local Endemic",".50",IF(S898="Regional Endemic",".70",IF(S898="Cascadia",".90",IF(S898="Rocky Mountain",".95",IF(S898="North America",".99")))))</f>
        <v>.99</v>
      </c>
      <c r="CD898" s="4"/>
      <c r="CE898" s="21">
        <f>IF(W898&gt;3,3,W898)</f>
        <v>3</v>
      </c>
      <c r="CF898" s="21">
        <f>IF(AC898&gt;102,102,AC898)</f>
        <v>35</v>
      </c>
      <c r="CG898" s="34">
        <f>IF(AI898&lt;$AW$4,$AW$4,AI898)</f>
        <v>2005</v>
      </c>
      <c r="CH898" s="34">
        <f>IF(AJ898&lt;$AW$4,$AW$4,AJ898)</f>
        <v>2005</v>
      </c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</row>
    <row r="899" spans="1:115" ht="15" customHeight="1" x14ac:dyDescent="0.3">
      <c r="A899" s="235"/>
      <c r="B899" s="218"/>
      <c r="C899" s="225">
        <v>8</v>
      </c>
      <c r="D899" s="59" t="s">
        <v>2506</v>
      </c>
      <c r="E899" s="60" t="s">
        <v>2501</v>
      </c>
      <c r="F899" s="397" t="str">
        <f ca="1">IF(BC899&lt;2025, "Extinct&lt; 6Yrs?",BA899)</f>
        <v>Widespread</v>
      </c>
      <c r="G899" s="363" t="s">
        <v>525</v>
      </c>
      <c r="H899" s="363" t="s">
        <v>680</v>
      </c>
      <c r="I899" s="364" t="s">
        <v>167</v>
      </c>
      <c r="J899" s="365" t="s">
        <v>3873</v>
      </c>
      <c r="K899" s="365" t="s">
        <v>788</v>
      </c>
      <c r="L899" s="10" t="s">
        <v>2056</v>
      </c>
      <c r="M899" s="8" t="s">
        <v>4969</v>
      </c>
      <c r="N899" s="8" t="s">
        <v>5867</v>
      </c>
      <c r="O899" s="8" t="s">
        <v>6766</v>
      </c>
      <c r="P899" s="9" t="s">
        <v>735</v>
      </c>
      <c r="Q899" s="59" t="s">
        <v>2552</v>
      </c>
      <c r="R899" s="9" t="s">
        <v>2498</v>
      </c>
      <c r="S899" s="9" t="s">
        <v>2495</v>
      </c>
      <c r="T899" s="123" t="str">
        <f>IF(R899="Bogs Ponds Streams","20",IF(R899="Coastal Areas","26",IF(R899="Meadows Dry Open","10",IF(R899="Forest &amp; Understory","14",IF(R899="Moist Open","12",IF(R899="Moist Shady","10",IF(R899="Sub-Alpine Slopes","0")))))))</f>
        <v>10</v>
      </c>
      <c r="U899" s="123" t="str">
        <f>IF(R899="Bogs Ponds Streams","52",IF(R899="Coastal Areas","51",IF(R899="Meadows Dry Open","53",IF(R899="Forest &amp; Understory","52",IF(R899="Moist Open","50",IF(R899="Moist Shady","46",IF(R899="Sub-Alpine Slopes","40")))))))</f>
        <v>46</v>
      </c>
      <c r="V899" s="123" t="str">
        <f>IF(R899="Bogs Ponds Streams","84",IF(R899="Coastal Areas","76",IF(R899="Meadows Dry Open","96", IF(R899="Forest &amp; Understory","90", IF(R899="Moist Open","88", IF(R899="Moist Shady","82", IF(R899="Sub-Alpine Slopes","80")))))))</f>
        <v>82</v>
      </c>
      <c r="W899" s="59">
        <v>20</v>
      </c>
      <c r="X899" s="59">
        <v>0</v>
      </c>
      <c r="Y899" s="59">
        <v>3500</v>
      </c>
      <c r="Z899" s="59" t="s">
        <v>2519</v>
      </c>
      <c r="AA899" s="59" t="s">
        <v>2518</v>
      </c>
      <c r="AB899" s="59">
        <v>6.8</v>
      </c>
      <c r="AC899" s="45">
        <f>C899+AK899+(0.1)*AL899</f>
        <v>18</v>
      </c>
      <c r="AD899" s="77">
        <v>84</v>
      </c>
      <c r="AE899" s="59">
        <v>5</v>
      </c>
      <c r="AF899" s="59">
        <v>5</v>
      </c>
      <c r="AG899" s="59">
        <v>1900</v>
      </c>
      <c r="AH899" s="77">
        <v>0</v>
      </c>
      <c r="AI899" s="59">
        <f ca="1">AJ899</f>
        <v>2019</v>
      </c>
      <c r="AJ899" s="18">
        <f ca="1">YEAR(TODAY())</f>
        <v>2019</v>
      </c>
      <c r="AK899" s="18">
        <v>8</v>
      </c>
      <c r="AL899" s="18">
        <v>20</v>
      </c>
      <c r="AM899" s="18">
        <v>1</v>
      </c>
      <c r="AN899" s="18">
        <v>1</v>
      </c>
      <c r="AO899" s="18">
        <v>5</v>
      </c>
      <c r="AP899" s="18">
        <v>1</v>
      </c>
      <c r="AQ899" s="18">
        <v>0</v>
      </c>
      <c r="AR899" s="18">
        <v>0</v>
      </c>
      <c r="AS899" s="18">
        <v>0</v>
      </c>
      <c r="AT899" s="18">
        <v>0</v>
      </c>
      <c r="AU899" s="18">
        <v>0</v>
      </c>
      <c r="AV899" s="18">
        <v>0</v>
      </c>
      <c r="AW899" s="18">
        <v>0</v>
      </c>
      <c r="AX899" s="18">
        <v>0</v>
      </c>
      <c r="AY899" s="233"/>
      <c r="AZ899" s="4"/>
      <c r="BA899" s="35" t="str">
        <f>IF(OR(S899="North America",S899="Rocky Mountain"), "Widespread",BC899)</f>
        <v>Widespread</v>
      </c>
      <c r="BB899" s="4"/>
      <c r="BC899" s="35" t="str">
        <f ca="1">IF(BE899&gt;2046, "Abundant",BE899)</f>
        <v>Abundant</v>
      </c>
      <c r="BD899" s="4"/>
      <c r="BE899" s="81">
        <f ca="1">YEAR($C$13)+(BG899*80)</f>
        <v>2104.0681440285207</v>
      </c>
      <c r="BF899" s="4"/>
      <c r="BG899" s="137">
        <f ca="1">BH899*$BH$14</f>
        <v>1.0633518003565063</v>
      </c>
      <c r="BH899" s="137">
        <f ca="1">(((BJ899+BK899+BM899+BN899)/4)*$BM$11)+(((BP899+BQ899)/2)*$BQ$11)+(((BU899+BV899+BW899)/3)*$BU$11)+(((BY899+BZ899+CA899+CB899+CC899)/5)*$CA$11)</f>
        <v>1.0633518003565063</v>
      </c>
      <c r="BI899" s="4"/>
      <c r="BJ899" s="33">
        <f>AP899/(AM899+AO899)</f>
        <v>0.16666666666666666</v>
      </c>
      <c r="BK899" s="33">
        <f>(AN899+AO899)/(AM899+AO899)</f>
        <v>1</v>
      </c>
      <c r="BL899" s="4"/>
      <c r="BM899" s="127">
        <f>CF899/102</f>
        <v>0.17647058823529413</v>
      </c>
      <c r="BN899" s="127">
        <f>C899/2</f>
        <v>4</v>
      </c>
      <c r="BO899" s="4"/>
      <c r="BP899" s="127">
        <f>(AK899)/($AW$6)</f>
        <v>8.0808080808080815E-2</v>
      </c>
      <c r="BQ899" s="127">
        <f ca="1">(CH899-$AW$4)/((YEAR($C$13))-$AW$4)</f>
        <v>1</v>
      </c>
      <c r="BR899" s="127">
        <f>(AL899)/($AW$6)</f>
        <v>0.20202020202020202</v>
      </c>
      <c r="BS899" s="4"/>
      <c r="BT899" s="127"/>
      <c r="BU899" s="127">
        <f ca="1">(CG899-$AW$4)/((YEAR($C$13))-$AW$4)</f>
        <v>1</v>
      </c>
      <c r="BV899" s="127">
        <f>AE899/5</f>
        <v>1</v>
      </c>
      <c r="BW899" s="127">
        <f>AF899/5</f>
        <v>1</v>
      </c>
      <c r="BX899" s="4"/>
      <c r="BY899" s="148" t="str">
        <f>IF(E899="A",".98",IF(E899="B",".99",IF(E899="C","1.00",IF(E899="D","1.00" ))))</f>
        <v>1.00</v>
      </c>
      <c r="BZ899" s="127">
        <f>(CE899+7)/10</f>
        <v>1</v>
      </c>
      <c r="CA899" s="76" t="str">
        <f>IF(D899="Fern",".97",IF(D899="Grass",".99",IF(D899="Herb",".97",IF(D899="Shrub",".99",IF(D899="Tree","1.00",IF(D899="Vine",".98"))))))</f>
        <v>.99</v>
      </c>
      <c r="CB899" s="149" t="str">
        <f>IF(R899="Bogs Ponds Streams",".96", IF(R899="Coastal Areas",".97",IF(R899="Meadows Dry Open",".96",IF(R899="Forest &amp; Understory",".97",IF(R899="Moist Open",".98",IF(R899="Moist Shady",".96",IF(R899="Sub-Alpine","1.0")))))))</f>
        <v>.96</v>
      </c>
      <c r="CC899" s="76" t="str">
        <f>IF(S899="Local Endemic",".50",IF(S899="Regional Endemic",".70",IF(S899="Cascadia",".90",IF(S899="Rocky Mountain",".95",IF(S899="North America",".99")))))</f>
        <v>.99</v>
      </c>
      <c r="CD899" s="4"/>
      <c r="CE899" s="21">
        <f>IF(W899&gt;3,3,W899)</f>
        <v>3</v>
      </c>
      <c r="CF899" s="21">
        <f>IF(AC899&gt;102,102,AC899)</f>
        <v>18</v>
      </c>
      <c r="CG899" s="34">
        <f ca="1">IF(AI899&lt;$AW$4,$AW$4,AI899)</f>
        <v>2019</v>
      </c>
      <c r="CH899" s="34">
        <f ca="1">IF(AJ899&lt;$AW$4,$AW$4,AJ899)</f>
        <v>2019</v>
      </c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</row>
    <row r="900" spans="1:115" ht="15" customHeight="1" x14ac:dyDescent="0.3">
      <c r="A900" s="235"/>
      <c r="B900" s="218"/>
      <c r="C900" s="225">
        <v>8</v>
      </c>
      <c r="D900" s="59" t="s">
        <v>2506</v>
      </c>
      <c r="E900" s="60" t="s">
        <v>2501</v>
      </c>
      <c r="F900" s="397" t="str">
        <f ca="1">IF(BC900&lt;2025, "Extinct&lt; 6Yrs?",BA900)</f>
        <v>Widespread</v>
      </c>
      <c r="G900" s="363" t="s">
        <v>525</v>
      </c>
      <c r="H900" s="363" t="s">
        <v>681</v>
      </c>
      <c r="I900" s="364" t="s">
        <v>2729</v>
      </c>
      <c r="J900" s="365" t="s">
        <v>3872</v>
      </c>
      <c r="K900" s="365" t="s">
        <v>794</v>
      </c>
      <c r="L900" s="17" t="s">
        <v>2057</v>
      </c>
      <c r="M900" s="8" t="s">
        <v>4970</v>
      </c>
      <c r="N900" s="8" t="s">
        <v>5868</v>
      </c>
      <c r="O900" s="8" t="s">
        <v>6767</v>
      </c>
      <c r="P900" s="398" t="s">
        <v>735</v>
      </c>
      <c r="Q900" s="59" t="s">
        <v>2552</v>
      </c>
      <c r="R900" s="9" t="s">
        <v>2500</v>
      </c>
      <c r="S900" s="9" t="s">
        <v>2495</v>
      </c>
      <c r="T900" s="123" t="str">
        <f>IF(R900="Bogs Ponds Streams","20",IF(R900="Coastal Areas","26",IF(R900="Meadows Dry Open","10",IF(R900="Forest &amp; Understory","14",IF(R900="Moist Open","12",IF(R900="Moist Shady","10",IF(R900="Sub-Alpine Slopes","0")))))))</f>
        <v>10</v>
      </c>
      <c r="U900" s="123" t="str">
        <f>IF(R900="Bogs Ponds Streams","52",IF(R900="Coastal Areas","51",IF(R900="Meadows Dry Open","53",IF(R900="Forest &amp; Understory","52",IF(R900="Moist Open","50",IF(R900="Moist Shady","46",IF(R900="Sub-Alpine Slopes","40")))))))</f>
        <v>53</v>
      </c>
      <c r="V900" s="123" t="str">
        <f>IF(R900="Bogs Ponds Streams","84",IF(R900="Coastal Areas","76",IF(R900="Meadows Dry Open","96", IF(R900="Forest &amp; Understory","90", IF(R900="Moist Open","88", IF(R900="Moist Shady","82", IF(R900="Sub-Alpine Slopes","80")))))))</f>
        <v>96</v>
      </c>
      <c r="W900" s="59">
        <v>20</v>
      </c>
      <c r="X900" s="59">
        <v>0</v>
      </c>
      <c r="Y900" s="59">
        <v>3500</v>
      </c>
      <c r="Z900" s="59" t="s">
        <v>2519</v>
      </c>
      <c r="AA900" s="59" t="s">
        <v>2518</v>
      </c>
      <c r="AB900" s="59">
        <v>6.8</v>
      </c>
      <c r="AC900" s="45">
        <f>C900+AK900+(0.1)*AL900</f>
        <v>14.2</v>
      </c>
      <c r="AD900" s="77">
        <v>22</v>
      </c>
      <c r="AE900" s="59">
        <v>5</v>
      </c>
      <c r="AF900" s="59">
        <v>5</v>
      </c>
      <c r="AG900" s="59">
        <v>1900</v>
      </c>
      <c r="AH900" s="77">
        <v>0</v>
      </c>
      <c r="AI900" s="59">
        <f ca="1">AJ900</f>
        <v>2019</v>
      </c>
      <c r="AJ900" s="18">
        <f ca="1">YEAR(TODAY())</f>
        <v>2019</v>
      </c>
      <c r="AK900" s="18">
        <v>6</v>
      </c>
      <c r="AL900" s="18">
        <v>2</v>
      </c>
      <c r="AM900" s="18">
        <v>1</v>
      </c>
      <c r="AN900" s="18">
        <v>1</v>
      </c>
      <c r="AO900" s="18">
        <v>5</v>
      </c>
      <c r="AP900" s="18">
        <v>1</v>
      </c>
      <c r="AQ900" s="18">
        <v>0</v>
      </c>
      <c r="AR900" s="18">
        <v>0</v>
      </c>
      <c r="AS900" s="18">
        <v>0</v>
      </c>
      <c r="AT900" s="18">
        <v>0</v>
      </c>
      <c r="AU900" s="18">
        <v>0</v>
      </c>
      <c r="AV900" s="18">
        <v>0</v>
      </c>
      <c r="AW900" s="18">
        <v>0</v>
      </c>
      <c r="AX900" s="18">
        <v>0</v>
      </c>
      <c r="AY900" s="233"/>
      <c r="AZ900" s="4"/>
      <c r="BA900" s="35" t="str">
        <f>IF(OR(S900="North America",S900="Rocky Mountain"), "Widespread",BC900)</f>
        <v>Widespread</v>
      </c>
      <c r="BB900" s="4"/>
      <c r="BC900" s="35" t="str">
        <f ca="1">IF(BE900&gt;2046, "Abundant",BE900)</f>
        <v>Abundant</v>
      </c>
      <c r="BD900" s="4"/>
      <c r="BE900" s="81">
        <f ca="1">YEAR($C$13)+(BG900*80)</f>
        <v>2103.3786609625668</v>
      </c>
      <c r="BF900" s="4"/>
      <c r="BG900" s="137">
        <f ca="1">BH900*$BH$14</f>
        <v>1.0547332620320855</v>
      </c>
      <c r="BH900" s="137">
        <f ca="1">(((BJ900+BK900+BM900+BN900)/4)*$BM$11)+(((BP900+BQ900)/2)*$BQ$11)+(((BU900+BV900+BW900)/3)*$BU$11)+(((BY900+BZ900+CA900+CB900+CC900)/5)*$CA$11)</f>
        <v>1.0547332620320855</v>
      </c>
      <c r="BI900" s="4"/>
      <c r="BJ900" s="33">
        <f>AP900/(AM900+AO900)</f>
        <v>0.16666666666666666</v>
      </c>
      <c r="BK900" s="33">
        <f>(AN900+AO900)/(AM900+AO900)</f>
        <v>1</v>
      </c>
      <c r="BL900" s="4"/>
      <c r="BM900" s="127">
        <f>CF900/102</f>
        <v>0.13921568627450981</v>
      </c>
      <c r="BN900" s="127">
        <f>C900/2</f>
        <v>4</v>
      </c>
      <c r="BO900" s="4"/>
      <c r="BP900" s="127">
        <f>(AK900)/($AW$6)</f>
        <v>6.0606060606060608E-2</v>
      </c>
      <c r="BQ900" s="127">
        <f ca="1">(CH900-$AW$4)/((YEAR($C$13))-$AW$4)</f>
        <v>1</v>
      </c>
      <c r="BR900" s="127">
        <f>(AL900)/($AW$6)</f>
        <v>2.0202020202020204E-2</v>
      </c>
      <c r="BS900" s="4"/>
      <c r="BT900" s="127"/>
      <c r="BU900" s="127">
        <f ca="1">(CG900-$AW$4)/((YEAR($C$13))-$AW$4)</f>
        <v>1</v>
      </c>
      <c r="BV900" s="127">
        <f>AE900/5</f>
        <v>1</v>
      </c>
      <c r="BW900" s="127">
        <f>AF900/5</f>
        <v>1</v>
      </c>
      <c r="BX900" s="4"/>
      <c r="BY900" s="148" t="str">
        <f>IF(E900="A",".98",IF(E900="B",".99",IF(E900="C","1.00",IF(E900="D","1.00" ))))</f>
        <v>1.00</v>
      </c>
      <c r="BZ900" s="127">
        <f>(CE900+7)/10</f>
        <v>1</v>
      </c>
      <c r="CA900" s="76" t="str">
        <f>IF(D900="Fern",".97",IF(D900="Grass",".99",IF(D900="Herb",".97",IF(D900="Shrub",".99",IF(D900="Tree","1.00",IF(D900="Vine",".98"))))))</f>
        <v>.99</v>
      </c>
      <c r="CB900" s="149" t="str">
        <f>IF(R900="Bogs Ponds Streams",".96", IF(R900="Coastal Areas",".97",IF(R900="Meadows Dry Open",".96",IF(R900="Forest &amp; Understory",".97",IF(R900="Moist Open",".98",IF(R900="Moist Shady",".96",IF(R900="Sub-Alpine","1.0")))))))</f>
        <v>.96</v>
      </c>
      <c r="CC900" s="76" t="str">
        <f>IF(S900="Local Endemic",".50",IF(S900="Regional Endemic",".70",IF(S900="Cascadia",".90",IF(S900="Rocky Mountain",".95",IF(S900="North America",".99")))))</f>
        <v>.99</v>
      </c>
      <c r="CD900" s="4"/>
      <c r="CE900" s="21">
        <f>IF(W900&gt;3,3,W900)</f>
        <v>3</v>
      </c>
      <c r="CF900" s="21">
        <f>IF(AC900&gt;102,102,AC900)</f>
        <v>14.2</v>
      </c>
      <c r="CG900" s="34">
        <f ca="1">IF(AI900&lt;$AW$4,$AW$4,AI900)</f>
        <v>2019</v>
      </c>
      <c r="CH900" s="34">
        <f ca="1">IF(AJ900&lt;$AW$4,$AW$4,AJ900)</f>
        <v>2019</v>
      </c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</row>
    <row r="901" spans="1:115" ht="15" customHeight="1" x14ac:dyDescent="0.3">
      <c r="A901" s="235"/>
      <c r="B901" s="218"/>
      <c r="C901" s="225">
        <v>8</v>
      </c>
      <c r="D901" s="59" t="s">
        <v>2506</v>
      </c>
      <c r="E901" s="60" t="s">
        <v>2501</v>
      </c>
      <c r="F901" s="397" t="str">
        <f ca="1">IF(BC901&lt;2025, "Extinct&lt; 6Yrs?",BA901)</f>
        <v>Widespread</v>
      </c>
      <c r="G901" s="363" t="s">
        <v>525</v>
      </c>
      <c r="H901" s="363" t="s">
        <v>679</v>
      </c>
      <c r="I901" s="364" t="s">
        <v>417</v>
      </c>
      <c r="J901" s="365" t="s">
        <v>3871</v>
      </c>
      <c r="K901" s="365" t="s">
        <v>1145</v>
      </c>
      <c r="L901" s="10" t="s">
        <v>2058</v>
      </c>
      <c r="M901" s="8" t="s">
        <v>4971</v>
      </c>
      <c r="N901" s="8" t="s">
        <v>5869</v>
      </c>
      <c r="O901" s="8" t="s">
        <v>6768</v>
      </c>
      <c r="P901" s="9" t="s">
        <v>735</v>
      </c>
      <c r="Q901" s="59" t="s">
        <v>2552</v>
      </c>
      <c r="R901" s="9" t="s">
        <v>2498</v>
      </c>
      <c r="S901" s="9" t="s">
        <v>2495</v>
      </c>
      <c r="T901" s="123" t="str">
        <f>IF(R901="Bogs Ponds Streams","20",IF(R901="Coastal Areas","26",IF(R901="Meadows Dry Open","10",IF(R901="Forest &amp; Understory","14",IF(R901="Moist Open","12",IF(R901="Moist Shady","10",IF(R901="Sub-Alpine Slopes","0")))))))</f>
        <v>10</v>
      </c>
      <c r="U901" s="123" t="str">
        <f>IF(R901="Bogs Ponds Streams","52",IF(R901="Coastal Areas","51",IF(R901="Meadows Dry Open","53",IF(R901="Forest &amp; Understory","52",IF(R901="Moist Open","50",IF(R901="Moist Shady","46",IF(R901="Sub-Alpine Slopes","40")))))))</f>
        <v>46</v>
      </c>
      <c r="V901" s="123" t="str">
        <f>IF(R901="Bogs Ponds Streams","84",IF(R901="Coastal Areas","76",IF(R901="Meadows Dry Open","96", IF(R901="Forest &amp; Understory","90", IF(R901="Moist Open","88", IF(R901="Moist Shady","82", IF(R901="Sub-Alpine Slopes","80")))))))</f>
        <v>82</v>
      </c>
      <c r="W901" s="59">
        <v>20</v>
      </c>
      <c r="X901" s="59">
        <v>0</v>
      </c>
      <c r="Y901" s="59">
        <v>3500</v>
      </c>
      <c r="Z901" s="59" t="s">
        <v>2519</v>
      </c>
      <c r="AA901" s="59" t="s">
        <v>2518</v>
      </c>
      <c r="AB901" s="59">
        <v>6.8</v>
      </c>
      <c r="AC901" s="45">
        <f>C901+AK901+(0.1)*AL901</f>
        <v>15.6</v>
      </c>
      <c r="AD901" s="77">
        <v>27</v>
      </c>
      <c r="AE901" s="59">
        <v>5</v>
      </c>
      <c r="AF901" s="59">
        <v>5</v>
      </c>
      <c r="AG901" s="59">
        <v>1900</v>
      </c>
      <c r="AH901" s="77">
        <v>0</v>
      </c>
      <c r="AI901" s="59">
        <f ca="1">AJ901</f>
        <v>2019</v>
      </c>
      <c r="AJ901" s="18">
        <f ca="1">YEAR(TODAY())</f>
        <v>2019</v>
      </c>
      <c r="AK901" s="18">
        <v>7</v>
      </c>
      <c r="AL901" s="18">
        <v>6</v>
      </c>
      <c r="AM901" s="18">
        <v>1</v>
      </c>
      <c r="AN901" s="18">
        <v>1</v>
      </c>
      <c r="AO901" s="18">
        <v>5</v>
      </c>
      <c r="AP901" s="18">
        <v>1</v>
      </c>
      <c r="AQ901" s="18">
        <v>0</v>
      </c>
      <c r="AR901" s="18">
        <v>0</v>
      </c>
      <c r="AS901" s="18">
        <v>0</v>
      </c>
      <c r="AT901" s="18">
        <v>0</v>
      </c>
      <c r="AU901" s="18">
        <v>0</v>
      </c>
      <c r="AV901" s="18">
        <v>0</v>
      </c>
      <c r="AW901" s="18">
        <v>0</v>
      </c>
      <c r="AX901" s="18">
        <v>0</v>
      </c>
      <c r="AY901" s="233"/>
      <c r="AZ901" s="4"/>
      <c r="BA901" s="35" t="str">
        <f>IF(OR(S901="North America",S901="Rocky Mountain"), "Widespread",BC901)</f>
        <v>Widespread</v>
      </c>
      <c r="BB901" s="4"/>
      <c r="BC901" s="35" t="str">
        <f ca="1">IF(BE901&gt;2046, "Abundant",BE901)</f>
        <v>Abundant</v>
      </c>
      <c r="BD901" s="4"/>
      <c r="BE901" s="81">
        <f ca="1">YEAR($C$13)+(BG901*80)</f>
        <v>2103.664578966132</v>
      </c>
      <c r="BF901" s="4"/>
      <c r="BG901" s="137">
        <f ca="1">BH901*$BH$14</f>
        <v>1.0583072370766489</v>
      </c>
      <c r="BH901" s="137">
        <f ca="1">(((BJ901+BK901+BM901+BN901)/4)*$BM$11)+(((BP901+BQ901)/2)*$BQ$11)+(((BU901+BV901+BW901)/3)*$BU$11)+(((BY901+BZ901+CA901+CB901+CC901)/5)*$CA$11)</f>
        <v>1.0583072370766489</v>
      </c>
      <c r="BI901" s="4"/>
      <c r="BJ901" s="33">
        <f>AP901/(AM901+AO901)</f>
        <v>0.16666666666666666</v>
      </c>
      <c r="BK901" s="33">
        <f>(AN901+AO901)/(AM901+AO901)</f>
        <v>1</v>
      </c>
      <c r="BL901" s="4"/>
      <c r="BM901" s="127">
        <f>CF901/102</f>
        <v>0.15294117647058822</v>
      </c>
      <c r="BN901" s="127">
        <f>C901/2</f>
        <v>4</v>
      </c>
      <c r="BO901" s="4"/>
      <c r="BP901" s="127">
        <f>(AK901)/($AW$6)</f>
        <v>7.0707070707070704E-2</v>
      </c>
      <c r="BQ901" s="127">
        <f ca="1">(CH901-$AW$4)/((YEAR($C$13))-$AW$4)</f>
        <v>1</v>
      </c>
      <c r="BR901" s="127">
        <f>(AL901)/($AW$6)</f>
        <v>6.0606060606060608E-2</v>
      </c>
      <c r="BS901" s="4"/>
      <c r="BT901" s="127"/>
      <c r="BU901" s="127">
        <f ca="1">(CG901-$AW$4)/((YEAR($C$13))-$AW$4)</f>
        <v>1</v>
      </c>
      <c r="BV901" s="127">
        <f>AE901/5</f>
        <v>1</v>
      </c>
      <c r="BW901" s="127">
        <f>AF901/5</f>
        <v>1</v>
      </c>
      <c r="BX901" s="4"/>
      <c r="BY901" s="148" t="str">
        <f>IF(E901="A",".98",IF(E901="B",".99",IF(E901="C","1.00",IF(E901="D","1.00" ))))</f>
        <v>1.00</v>
      </c>
      <c r="BZ901" s="127">
        <f>(CE901+7)/10</f>
        <v>1</v>
      </c>
      <c r="CA901" s="76" t="str">
        <f>IF(D901="Fern",".97",IF(D901="Grass",".99",IF(D901="Herb",".97",IF(D901="Shrub",".99",IF(D901="Tree","1.00",IF(D901="Vine",".98"))))))</f>
        <v>.99</v>
      </c>
      <c r="CB901" s="149" t="str">
        <f>IF(R901="Bogs Ponds Streams",".96", IF(R901="Coastal Areas",".97",IF(R901="Meadows Dry Open",".96",IF(R901="Forest &amp; Understory",".97",IF(R901="Moist Open",".98",IF(R901="Moist Shady",".96",IF(R901="Sub-Alpine","1.0")))))))</f>
        <v>.96</v>
      </c>
      <c r="CC901" s="76" t="str">
        <f>IF(S901="Local Endemic",".50",IF(S901="Regional Endemic",".70",IF(S901="Cascadia",".90",IF(S901="Rocky Mountain",".95",IF(S901="North America",".99")))))</f>
        <v>.99</v>
      </c>
      <c r="CD901" s="4"/>
      <c r="CE901" s="21">
        <f>IF(W901&gt;3,3,W901)</f>
        <v>3</v>
      </c>
      <c r="CF901" s="21">
        <f>IF(AC901&gt;102,102,AC901)</f>
        <v>15.6</v>
      </c>
      <c r="CG901" s="34">
        <f ca="1">IF(AI901&lt;$AW$4,$AW$4,AI901)</f>
        <v>2019</v>
      </c>
      <c r="CH901" s="34">
        <f ca="1">IF(AJ901&lt;$AW$4,$AW$4,AJ901)</f>
        <v>2019</v>
      </c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</row>
    <row r="902" spans="1:115" ht="15" customHeight="1" x14ac:dyDescent="0.3">
      <c r="A902" s="235"/>
      <c r="B902" s="218"/>
      <c r="C902" s="225">
        <v>8</v>
      </c>
      <c r="D902" s="59" t="s">
        <v>2505</v>
      </c>
      <c r="E902" s="59" t="s">
        <v>2501</v>
      </c>
      <c r="F902" s="397" t="str">
        <f ca="1">IF(BC902&lt;2025, "Extinct&lt; 6Yrs?",BA902)</f>
        <v>Widespread</v>
      </c>
      <c r="G902" s="363" t="s">
        <v>525</v>
      </c>
      <c r="H902" s="363" t="s">
        <v>691</v>
      </c>
      <c r="I902" s="364" t="s">
        <v>599</v>
      </c>
      <c r="J902" s="365" t="s">
        <v>3870</v>
      </c>
      <c r="K902" s="365" t="s">
        <v>598</v>
      </c>
      <c r="L902" s="10" t="s">
        <v>2059</v>
      </c>
      <c r="M902" s="8" t="s">
        <v>4972</v>
      </c>
      <c r="N902" s="8" t="s">
        <v>5870</v>
      </c>
      <c r="O902" s="8" t="s">
        <v>6769</v>
      </c>
      <c r="P902" s="9" t="s">
        <v>576</v>
      </c>
      <c r="Q902" s="59" t="s">
        <v>2552</v>
      </c>
      <c r="R902" s="9" t="s">
        <v>2497</v>
      </c>
      <c r="S902" s="9" t="s">
        <v>2495</v>
      </c>
      <c r="T902" s="123" t="str">
        <f>IF(R902="Bogs Ponds Streams","20",IF(R902="Coastal Areas","26",IF(R902="Meadows Dry Open","10",IF(R902="Forest &amp; Understory","14",IF(R902="Moist Open","12",IF(R902="Moist Shady","10",IF(R902="Sub-Alpine Slopes","0")))))))</f>
        <v>12</v>
      </c>
      <c r="U902" s="123" t="str">
        <f>IF(R902="Bogs Ponds Streams","52",IF(R902="Coastal Areas","51",IF(R902="Meadows Dry Open","53",IF(R902="Forest &amp; Understory","52",IF(R902="Moist Open","50",IF(R902="Moist Shady","46",IF(R902="Sub-Alpine Slopes","40")))))))</f>
        <v>50</v>
      </c>
      <c r="V902" s="123" t="str">
        <f>IF(R902="Bogs Ponds Streams","84",IF(R902="Coastal Areas","76",IF(R902="Meadows Dry Open","96", IF(R902="Forest &amp; Understory","90", IF(R902="Moist Open","88", IF(R902="Moist Shady","82", IF(R902="Sub-Alpine Slopes","80")))))))</f>
        <v>88</v>
      </c>
      <c r="W902" s="59">
        <v>20</v>
      </c>
      <c r="X902" s="59">
        <v>0</v>
      </c>
      <c r="Y902" s="59">
        <v>3500</v>
      </c>
      <c r="Z902" s="59" t="s">
        <v>2519</v>
      </c>
      <c r="AA902" s="59" t="s">
        <v>2518</v>
      </c>
      <c r="AB902" s="59">
        <v>6.8</v>
      </c>
      <c r="AC902" s="45">
        <f>C902+AK902+(0.1)*AL902</f>
        <v>42</v>
      </c>
      <c r="AD902" s="77">
        <v>309</v>
      </c>
      <c r="AE902" s="59">
        <v>5</v>
      </c>
      <c r="AF902" s="59">
        <v>5</v>
      </c>
      <c r="AG902" s="59">
        <v>1900</v>
      </c>
      <c r="AH902" s="77">
        <v>0</v>
      </c>
      <c r="AI902" s="59">
        <f ca="1">AJ902</f>
        <v>2019</v>
      </c>
      <c r="AJ902" s="18">
        <f ca="1">YEAR(TODAY())</f>
        <v>2019</v>
      </c>
      <c r="AK902" s="18">
        <v>30</v>
      </c>
      <c r="AL902" s="18">
        <v>40</v>
      </c>
      <c r="AM902" s="18">
        <v>1</v>
      </c>
      <c r="AN902" s="18">
        <v>1</v>
      </c>
      <c r="AO902" s="18">
        <v>5</v>
      </c>
      <c r="AP902" s="18">
        <v>1</v>
      </c>
      <c r="AQ902" s="18">
        <v>0</v>
      </c>
      <c r="AR902" s="18">
        <v>0</v>
      </c>
      <c r="AS902" s="18">
        <v>0</v>
      </c>
      <c r="AT902" s="18">
        <v>0</v>
      </c>
      <c r="AU902" s="18">
        <v>0</v>
      </c>
      <c r="AV902" s="18">
        <v>0</v>
      </c>
      <c r="AW902" s="18">
        <v>0</v>
      </c>
      <c r="AX902" s="18">
        <v>0</v>
      </c>
      <c r="AY902" s="233"/>
      <c r="AZ902" s="4"/>
      <c r="BA902" s="35" t="str">
        <f>IF(OR(S902="North America",S902="Rocky Mountain"), "Widespread",BC902)</f>
        <v>Widespread</v>
      </c>
      <c r="BB902" s="4"/>
      <c r="BC902" s="35" t="str">
        <f ca="1">IF(BE902&gt;2046, "Abundant",BE902)</f>
        <v>Abundant</v>
      </c>
      <c r="BD902" s="4"/>
      <c r="BE902" s="81">
        <f ca="1">YEAR($C$13)+(BG902*80)</f>
        <v>2109.5583401069521</v>
      </c>
      <c r="BF902" s="4"/>
      <c r="BG902" s="137">
        <f ca="1">BH902*$BH$14</f>
        <v>1.1319792513368985</v>
      </c>
      <c r="BH902" s="137">
        <f ca="1">(((BJ902+BK902+BM902+BN902)/4)*$BM$11)+(((BP902+BQ902)/2)*$BQ$11)+(((BU902+BV902+BW902)/3)*$BU$11)+(((BY902+BZ902+CA902+CB902+CC902)/5)*$CA$11)</f>
        <v>1.1319792513368985</v>
      </c>
      <c r="BI902" s="4"/>
      <c r="BJ902" s="33">
        <f>AP902/(AM902+AO902)</f>
        <v>0.16666666666666666</v>
      </c>
      <c r="BK902" s="33">
        <f>(AN902+AO902)/(AM902+AO902)</f>
        <v>1</v>
      </c>
      <c r="BL902" s="4"/>
      <c r="BM902" s="127">
        <f>CF902/102</f>
        <v>0.41176470588235292</v>
      </c>
      <c r="BN902" s="127">
        <f>C902/2</f>
        <v>4</v>
      </c>
      <c r="BO902" s="4"/>
      <c r="BP902" s="127">
        <f>(AK902)/($AW$6)</f>
        <v>0.30303030303030304</v>
      </c>
      <c r="BQ902" s="127">
        <f ca="1">(CH902-$AW$4)/((YEAR($C$13))-$AW$4)</f>
        <v>1</v>
      </c>
      <c r="BR902" s="127">
        <f>(AL902)/($AW$6)</f>
        <v>0.40404040404040403</v>
      </c>
      <c r="BS902" s="4"/>
      <c r="BT902" s="127"/>
      <c r="BU902" s="127">
        <f ca="1">(CG902-$AW$4)/((YEAR($C$13))-$AW$4)</f>
        <v>1</v>
      </c>
      <c r="BV902" s="127">
        <f>AE902/5</f>
        <v>1</v>
      </c>
      <c r="BW902" s="127">
        <f>AF902/5</f>
        <v>1</v>
      </c>
      <c r="BX902" s="4"/>
      <c r="BY902" s="148" t="str">
        <f>IF(E902="A",".98",IF(E902="B",".99",IF(E902="C","1.00",IF(E902="D","1.00" ))))</f>
        <v>1.00</v>
      </c>
      <c r="BZ902" s="127">
        <f>(CE902+7)/10</f>
        <v>1</v>
      </c>
      <c r="CA902" s="76" t="str">
        <f>IF(D902="Fern",".97",IF(D902="Grass",".99",IF(D902="Herb",".97",IF(D902="Shrub",".99",IF(D902="Tree","1.00",IF(D902="Vine",".98"))))))</f>
        <v>.97</v>
      </c>
      <c r="CB902" s="149" t="str">
        <f>IF(R902="Bogs Ponds Streams",".96", IF(R902="Coastal Areas",".97",IF(R902="Meadows Dry Open",".96",IF(R902="Forest &amp; Understory",".97",IF(R902="Moist Open",".98",IF(R902="Moist Shady",".96",IF(R902="Sub-Alpine","1.0")))))))</f>
        <v>.98</v>
      </c>
      <c r="CC902" s="76" t="str">
        <f>IF(S902="Local Endemic",".50",IF(S902="Regional Endemic",".70",IF(S902="Cascadia",".90",IF(S902="Rocky Mountain",".95",IF(S902="North America",".99")))))</f>
        <v>.99</v>
      </c>
      <c r="CD902" s="4"/>
      <c r="CE902" s="21">
        <f>IF(W902&gt;3,3,W902)</f>
        <v>3</v>
      </c>
      <c r="CF902" s="21">
        <f>IF(AC902&gt;102,102,AC902)</f>
        <v>42</v>
      </c>
      <c r="CG902" s="34">
        <f ca="1">IF(AI902&lt;$AW$4,$AW$4,AI902)</f>
        <v>2019</v>
      </c>
      <c r="CH902" s="34">
        <f ca="1">IF(AJ902&lt;$AW$4,$AW$4,AJ902)</f>
        <v>2019</v>
      </c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13"/>
    </row>
    <row r="903" spans="1:115" ht="15" customHeight="1" x14ac:dyDescent="0.3">
      <c r="A903" s="235"/>
      <c r="B903" s="218"/>
      <c r="C903" s="225">
        <v>8</v>
      </c>
      <c r="D903" s="59" t="s">
        <v>2505</v>
      </c>
      <c r="E903" s="59" t="s">
        <v>2501</v>
      </c>
      <c r="F903" s="397" t="str">
        <f ca="1">IF(BC903&lt;2025, "Extinct&lt; 6Yrs?",BA903)</f>
        <v>Abundant</v>
      </c>
      <c r="G903" s="363" t="s">
        <v>525</v>
      </c>
      <c r="H903" s="363" t="s">
        <v>678</v>
      </c>
      <c r="I903" s="364" t="s">
        <v>600</v>
      </c>
      <c r="J903" s="365" t="s">
        <v>3869</v>
      </c>
      <c r="K903" s="365" t="s">
        <v>1208</v>
      </c>
      <c r="L903" s="17" t="s">
        <v>2060</v>
      </c>
      <c r="M903" s="8" t="s">
        <v>4973</v>
      </c>
      <c r="N903" s="8" t="s">
        <v>5871</v>
      </c>
      <c r="O903" s="8" t="s">
        <v>6770</v>
      </c>
      <c r="P903" s="398" t="s">
        <v>576</v>
      </c>
      <c r="Q903" s="59" t="s">
        <v>2552</v>
      </c>
      <c r="R903" s="9" t="s">
        <v>2497</v>
      </c>
      <c r="S903" s="9" t="s">
        <v>2459</v>
      </c>
      <c r="T903" s="123" t="str">
        <f>IF(R903="Bogs Ponds Streams","20",IF(R903="Coastal Areas","26",IF(R903="Meadows Dry Open","10",IF(R903="Forest &amp; Understory","14",IF(R903="Moist Open","12",IF(R903="Moist Shady","10",IF(R903="Sub-Alpine Slopes","0")))))))</f>
        <v>12</v>
      </c>
      <c r="U903" s="123" t="str">
        <f>IF(R903="Bogs Ponds Streams","52",IF(R903="Coastal Areas","51",IF(R903="Meadows Dry Open","53",IF(R903="Forest &amp; Understory","52",IF(R903="Moist Open","50",IF(R903="Moist Shady","46",IF(R903="Sub-Alpine Slopes","40")))))))</f>
        <v>50</v>
      </c>
      <c r="V903" s="123" t="str">
        <f>IF(R903="Bogs Ponds Streams","84",IF(R903="Coastal Areas","76",IF(R903="Meadows Dry Open","96", IF(R903="Forest &amp; Understory","90", IF(R903="Moist Open","88", IF(R903="Moist Shady","82", IF(R903="Sub-Alpine Slopes","80")))))))</f>
        <v>88</v>
      </c>
      <c r="W903" s="59">
        <v>20</v>
      </c>
      <c r="X903" s="59">
        <v>0</v>
      </c>
      <c r="Y903" s="59">
        <v>3500</v>
      </c>
      <c r="Z903" s="59" t="s">
        <v>2519</v>
      </c>
      <c r="AA903" s="59" t="s">
        <v>2518</v>
      </c>
      <c r="AB903" s="59">
        <v>6.8</v>
      </c>
      <c r="AC903" s="45">
        <f>C903+AK903+(0.1)*AL903</f>
        <v>58.2</v>
      </c>
      <c r="AD903" s="77">
        <v>80</v>
      </c>
      <c r="AE903" s="59">
        <v>5</v>
      </c>
      <c r="AF903" s="59">
        <v>5</v>
      </c>
      <c r="AG903" s="59">
        <v>1900</v>
      </c>
      <c r="AH903" s="77">
        <v>0</v>
      </c>
      <c r="AI903" s="59">
        <f ca="1">AJ903</f>
        <v>2019</v>
      </c>
      <c r="AJ903" s="18">
        <f ca="1">YEAR(TODAY())</f>
        <v>2019</v>
      </c>
      <c r="AK903" s="18">
        <v>50</v>
      </c>
      <c r="AL903" s="18">
        <v>2</v>
      </c>
      <c r="AM903" s="18">
        <v>1</v>
      </c>
      <c r="AN903" s="18">
        <v>1</v>
      </c>
      <c r="AO903" s="25">
        <v>0</v>
      </c>
      <c r="AP903" s="24">
        <v>0</v>
      </c>
      <c r="AQ903" s="18">
        <v>0</v>
      </c>
      <c r="AR903" s="18">
        <v>0</v>
      </c>
      <c r="AS903" s="18">
        <v>0</v>
      </c>
      <c r="AT903" s="18">
        <v>0</v>
      </c>
      <c r="AU903" s="18">
        <v>0</v>
      </c>
      <c r="AV903" s="18">
        <v>0</v>
      </c>
      <c r="AW903" s="18">
        <v>0</v>
      </c>
      <c r="AX903" s="18">
        <v>0</v>
      </c>
      <c r="AY903" s="233"/>
      <c r="AZ903" s="4"/>
      <c r="BA903" s="35" t="str">
        <f ca="1">IF(OR(S903="North America",S903="Rocky Mountain"), "Widespread",BC903)</f>
        <v>Abundant</v>
      </c>
      <c r="BB903" s="4"/>
      <c r="BC903" s="35" t="str">
        <f ca="1">IF(BE903&gt;2046, "Abundant",BE903)</f>
        <v>Abundant</v>
      </c>
      <c r="BD903" s="4"/>
      <c r="BE903" s="81">
        <f ca="1">YEAR($C$13)+(BG903*80)</f>
        <v>2111.8596648841353</v>
      </c>
      <c r="BF903" s="4"/>
      <c r="BG903" s="137">
        <f ca="1">BH903*$BH$14</f>
        <v>1.1607458110516935</v>
      </c>
      <c r="BH903" s="137">
        <f ca="1">(((BJ903+BK903+BM903+BN903)/4)*$BM$11)+(((BP903+BQ903)/2)*$BQ$11)+(((BU903+BV903+BW903)/3)*$BU$11)+(((BY903+BZ903+CA903+CB903+CC903)/5)*$CA$11)</f>
        <v>1.1607458110516935</v>
      </c>
      <c r="BI903" s="4"/>
      <c r="BJ903" s="33">
        <f>AP903/(AM903+AO903)</f>
        <v>0</v>
      </c>
      <c r="BK903" s="33">
        <f>(AN903+AO903)/(AM903+AO903)</f>
        <v>1</v>
      </c>
      <c r="BL903" s="4"/>
      <c r="BM903" s="127">
        <f>CF903/102</f>
        <v>0.57058823529411773</v>
      </c>
      <c r="BN903" s="127">
        <f>C903/2</f>
        <v>4</v>
      </c>
      <c r="BO903" s="4"/>
      <c r="BP903" s="127">
        <f>(AK903)/($AW$6)</f>
        <v>0.50505050505050508</v>
      </c>
      <c r="BQ903" s="127">
        <f ca="1">(CH903-$AW$4)/((YEAR($C$13))-$AW$4)</f>
        <v>1</v>
      </c>
      <c r="BR903" s="127">
        <f>(AL903)/($AW$6)</f>
        <v>2.0202020202020204E-2</v>
      </c>
      <c r="BS903" s="4"/>
      <c r="BT903" s="127"/>
      <c r="BU903" s="127">
        <f ca="1">(CG903-$AW$4)/((YEAR($C$13))-$AW$4)</f>
        <v>1</v>
      </c>
      <c r="BV903" s="127">
        <f>AE903/5</f>
        <v>1</v>
      </c>
      <c r="BW903" s="127">
        <f>AF903/5</f>
        <v>1</v>
      </c>
      <c r="BX903" s="4"/>
      <c r="BY903" s="148" t="str">
        <f>IF(E903="A",".98",IF(E903="B",".99",IF(E903="C","1.00",IF(E903="D","1.00" ))))</f>
        <v>1.00</v>
      </c>
      <c r="BZ903" s="127">
        <f>(CE903+7)/10</f>
        <v>1</v>
      </c>
      <c r="CA903" s="76" t="str">
        <f>IF(D903="Fern",".97",IF(D903="Grass",".99",IF(D903="Herb",".97",IF(D903="Shrub",".99",IF(D903="Tree","1.00",IF(D903="Vine",".98"))))))</f>
        <v>.97</v>
      </c>
      <c r="CB903" s="149" t="str">
        <f>IF(R903="Bogs Ponds Streams",".96", IF(R903="Coastal Areas",".97",IF(R903="Meadows Dry Open",".96",IF(R903="Forest &amp; Understory",".97",IF(R903="Moist Open",".98",IF(R903="Moist Shady",".96",IF(R903="Sub-Alpine","1.0")))))))</f>
        <v>.98</v>
      </c>
      <c r="CC903" s="76" t="str">
        <f>IF(S903="Local Endemic",".50",IF(S903="Regional Endemic",".70",IF(S903="Cascadia",".90",IF(S903="Rocky Mountain",".95",IF(S903="North America",".99")))))</f>
        <v>.90</v>
      </c>
      <c r="CD903" s="4"/>
      <c r="CE903" s="21">
        <f>IF(W903&gt;3,3,W903)</f>
        <v>3</v>
      </c>
      <c r="CF903" s="21">
        <f>IF(AC903&gt;102,102,AC903)</f>
        <v>58.2</v>
      </c>
      <c r="CG903" s="34">
        <f ca="1">IF(AI903&lt;$AW$4,$AW$4,AI903)</f>
        <v>2019</v>
      </c>
      <c r="CH903" s="34">
        <f ca="1">IF(AJ903&lt;$AW$4,$AW$4,AJ903)</f>
        <v>2019</v>
      </c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13"/>
    </row>
    <row r="904" spans="1:115" ht="15" customHeight="1" x14ac:dyDescent="0.3">
      <c r="A904" s="235"/>
      <c r="B904" s="218"/>
      <c r="C904" s="225">
        <v>8</v>
      </c>
      <c r="D904" s="59" t="s">
        <v>2505</v>
      </c>
      <c r="E904" s="59" t="s">
        <v>2501</v>
      </c>
      <c r="F904" s="397" t="str">
        <f ca="1">IF(BC904&lt;2025, "Extinct&lt; 6Yrs?",BA904)</f>
        <v>Widespread</v>
      </c>
      <c r="G904" s="363" t="s">
        <v>525</v>
      </c>
      <c r="H904" s="363" t="s">
        <v>687</v>
      </c>
      <c r="I904" s="364" t="s">
        <v>393</v>
      </c>
      <c r="J904" s="365" t="s">
        <v>3868</v>
      </c>
      <c r="K904" s="365" t="s">
        <v>789</v>
      </c>
      <c r="L904" s="10" t="s">
        <v>2061</v>
      </c>
      <c r="M904" s="8" t="s">
        <v>4974</v>
      </c>
      <c r="N904" s="8" t="s">
        <v>5872</v>
      </c>
      <c r="O904" s="8" t="s">
        <v>6771</v>
      </c>
      <c r="P904" s="9" t="s">
        <v>391</v>
      </c>
      <c r="Q904" s="59" t="s">
        <v>2552</v>
      </c>
      <c r="R904" s="9" t="s">
        <v>2500</v>
      </c>
      <c r="S904" s="9" t="s">
        <v>2495</v>
      </c>
      <c r="T904" s="123" t="str">
        <f>IF(R904="Bogs Ponds Streams","20",IF(R904="Coastal Areas","26",IF(R904="Meadows Dry Open","10",IF(R904="Forest &amp; Understory","14",IF(R904="Moist Open","12",IF(R904="Moist Shady","10",IF(R904="Sub-Alpine Slopes","0")))))))</f>
        <v>10</v>
      </c>
      <c r="U904" s="123" t="str">
        <f>IF(R904="Bogs Ponds Streams","52",IF(R904="Coastal Areas","51",IF(R904="Meadows Dry Open","53",IF(R904="Forest &amp; Understory","52",IF(R904="Moist Open","50",IF(R904="Moist Shady","46",IF(R904="Sub-Alpine Slopes","40")))))))</f>
        <v>53</v>
      </c>
      <c r="V904" s="123" t="str">
        <f>IF(R904="Bogs Ponds Streams","84",IF(R904="Coastal Areas","76",IF(R904="Meadows Dry Open","96", IF(R904="Forest &amp; Understory","90", IF(R904="Moist Open","88", IF(R904="Moist Shady","82", IF(R904="Sub-Alpine Slopes","80")))))))</f>
        <v>96</v>
      </c>
      <c r="W904" s="59">
        <v>20</v>
      </c>
      <c r="X904" s="59">
        <v>0</v>
      </c>
      <c r="Y904" s="59">
        <v>3500</v>
      </c>
      <c r="Z904" s="59" t="s">
        <v>2519</v>
      </c>
      <c r="AA904" s="59" t="s">
        <v>2518</v>
      </c>
      <c r="AB904" s="59">
        <v>6.8</v>
      </c>
      <c r="AC904" s="45">
        <f>C904+AK904+(0.1)*AL904</f>
        <v>43</v>
      </c>
      <c r="AD904" s="77">
        <v>341</v>
      </c>
      <c r="AE904" s="59">
        <v>5</v>
      </c>
      <c r="AF904" s="59">
        <v>5</v>
      </c>
      <c r="AG904" s="59">
        <v>1900</v>
      </c>
      <c r="AH904" s="77">
        <v>0</v>
      </c>
      <c r="AI904" s="59">
        <f ca="1">AJ904</f>
        <v>2019</v>
      </c>
      <c r="AJ904" s="18">
        <f ca="1">YEAR(TODAY())</f>
        <v>2019</v>
      </c>
      <c r="AK904" s="18">
        <v>30</v>
      </c>
      <c r="AL904" s="18">
        <v>50</v>
      </c>
      <c r="AM904" s="18">
        <v>1</v>
      </c>
      <c r="AN904" s="18">
        <v>1</v>
      </c>
      <c r="AO904" s="24">
        <v>1</v>
      </c>
      <c r="AP904" s="24">
        <v>0</v>
      </c>
      <c r="AQ904" s="18">
        <v>0</v>
      </c>
      <c r="AR904" s="18">
        <v>0</v>
      </c>
      <c r="AS904" s="18">
        <v>0</v>
      </c>
      <c r="AT904" s="18">
        <v>0</v>
      </c>
      <c r="AU904" s="18">
        <v>0</v>
      </c>
      <c r="AV904" s="18">
        <v>0</v>
      </c>
      <c r="AW904" s="18">
        <v>0</v>
      </c>
      <c r="AX904" s="18">
        <v>0</v>
      </c>
      <c r="AY904" s="233"/>
      <c r="AZ904" s="4"/>
      <c r="BA904" s="35" t="str">
        <f>IF(OR(S904="North America",S904="Rocky Mountain"), "Widespread",BC904)</f>
        <v>Widespread</v>
      </c>
      <c r="BB904" s="4"/>
      <c r="BC904" s="35" t="str">
        <f ca="1">IF(BE904&gt;2046, "Abundant",BE904)</f>
        <v>Abundant</v>
      </c>
      <c r="BD904" s="4"/>
      <c r="BE904" s="81">
        <f ca="1">YEAR($C$13)+(BG904*80)</f>
        <v>2107.6695871657753</v>
      </c>
      <c r="BF904" s="4"/>
      <c r="BG904" s="137">
        <f ca="1">BH904*$BH$14</f>
        <v>1.1083698395721926</v>
      </c>
      <c r="BH904" s="137">
        <f ca="1">(((BJ904+BK904+BM904+BN904)/4)*$BM$11)+(((BP904+BQ904)/2)*$BQ$11)+(((BU904+BV904+BW904)/3)*$BU$11)+(((BY904+BZ904+CA904+CB904+CC904)/5)*$CA$11)</f>
        <v>1.1083698395721926</v>
      </c>
      <c r="BI904" s="4"/>
      <c r="BJ904" s="33">
        <f>AP904/(AM904+AO904)</f>
        <v>0</v>
      </c>
      <c r="BK904" s="33">
        <f>(AN904+AO904)/(AM904+AO904)</f>
        <v>1</v>
      </c>
      <c r="BL904" s="4"/>
      <c r="BM904" s="127">
        <f>CF904/102</f>
        <v>0.42156862745098039</v>
      </c>
      <c r="BN904" s="127">
        <f>C904/2</f>
        <v>4</v>
      </c>
      <c r="BO904" s="4"/>
      <c r="BP904" s="127">
        <f>(AK904)/($AW$6)</f>
        <v>0.30303030303030304</v>
      </c>
      <c r="BQ904" s="127">
        <f ca="1">(CH904-$AW$4)/((YEAR($C$13))-$AW$4)</f>
        <v>1</v>
      </c>
      <c r="BR904" s="127">
        <f>(AL904)/($AW$6)</f>
        <v>0.50505050505050508</v>
      </c>
      <c r="BS904" s="4"/>
      <c r="BT904" s="127"/>
      <c r="BU904" s="127">
        <f ca="1">(CG904-$AW$4)/((YEAR($C$13))-$AW$4)</f>
        <v>1</v>
      </c>
      <c r="BV904" s="127">
        <f>AE904/5</f>
        <v>1</v>
      </c>
      <c r="BW904" s="127">
        <f>AF904/5</f>
        <v>1</v>
      </c>
      <c r="BX904" s="4"/>
      <c r="BY904" s="148" t="str">
        <f>IF(E904="A",".98",IF(E904="B",".99",IF(E904="C","1.00",IF(E904="D","1.00" ))))</f>
        <v>1.00</v>
      </c>
      <c r="BZ904" s="127">
        <f>(CE904+7)/10</f>
        <v>1</v>
      </c>
      <c r="CA904" s="76" t="str">
        <f>IF(D904="Fern",".97",IF(D904="Grass",".99",IF(D904="Herb",".97",IF(D904="Shrub",".99",IF(D904="Tree","1.00",IF(D904="Vine",".98"))))))</f>
        <v>.97</v>
      </c>
      <c r="CB904" s="149" t="str">
        <f>IF(R904="Bogs Ponds Streams",".96", IF(R904="Coastal Areas",".97",IF(R904="Meadows Dry Open",".96",IF(R904="Forest &amp; Understory",".97",IF(R904="Moist Open",".98",IF(R904="Moist Shady",".96",IF(R904="Sub-Alpine","1.0")))))))</f>
        <v>.96</v>
      </c>
      <c r="CC904" s="76" t="str">
        <f>IF(S904="Local Endemic",".50",IF(S904="Regional Endemic",".70",IF(S904="Cascadia",".90",IF(S904="Rocky Mountain",".95",IF(S904="North America",".99")))))</f>
        <v>.99</v>
      </c>
      <c r="CD904" s="4"/>
      <c r="CE904" s="21">
        <f>IF(W904&gt;3,3,W904)</f>
        <v>3</v>
      </c>
      <c r="CF904" s="21">
        <f>IF(AC904&gt;102,102,AC904)</f>
        <v>43</v>
      </c>
      <c r="CG904" s="34">
        <f ca="1">IF(AI904&lt;$AW$4,$AW$4,AI904)</f>
        <v>2019</v>
      </c>
      <c r="CH904" s="34">
        <f ca="1">IF(AJ904&lt;$AW$4,$AW$4,AJ904)</f>
        <v>2019</v>
      </c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13"/>
    </row>
    <row r="905" spans="1:115" ht="15" customHeight="1" x14ac:dyDescent="0.3">
      <c r="A905" s="235"/>
      <c r="B905" s="218"/>
      <c r="C905" s="226">
        <v>2</v>
      </c>
      <c r="D905" s="104" t="s">
        <v>2505</v>
      </c>
      <c r="E905" s="104" t="s">
        <v>2501</v>
      </c>
      <c r="F905" s="400" t="str">
        <f ca="1">IF(BC905&lt;2025, "Extinct&lt; 6Yrs?",BA905)</f>
        <v>Widespread</v>
      </c>
      <c r="G905" s="369" t="s">
        <v>525</v>
      </c>
      <c r="H905" s="369" t="s">
        <v>4028</v>
      </c>
      <c r="I905" s="372" t="s">
        <v>1321</v>
      </c>
      <c r="J905" s="371" t="s">
        <v>3682</v>
      </c>
      <c r="K905" s="371" t="s">
        <v>1224</v>
      </c>
      <c r="L905" s="106" t="s">
        <v>2062</v>
      </c>
      <c r="M905" s="111" t="s">
        <v>4975</v>
      </c>
      <c r="N905" s="111" t="s">
        <v>5873</v>
      </c>
      <c r="O905" s="111" t="s">
        <v>6772</v>
      </c>
      <c r="P905" s="105" t="s">
        <v>391</v>
      </c>
      <c r="Q905" s="104" t="s">
        <v>2552</v>
      </c>
      <c r="R905" s="105" t="s">
        <v>2500</v>
      </c>
      <c r="S905" s="105" t="s">
        <v>2479</v>
      </c>
      <c r="T905" s="133" t="str">
        <f>IF(R905="Bogs Ponds Streams","20",IF(R905="Coastal Areas","26",IF(R905="Meadows Dry Open","10",IF(R905="Forest &amp; Understory","14",IF(R905="Moist Open","12",IF(R905="Moist Shady","10",IF(R905="Sub-Alpine Slopes","0")))))))</f>
        <v>10</v>
      </c>
      <c r="U905" s="133" t="str">
        <f>IF(R905="Bogs Ponds Streams","52",IF(R905="Coastal Areas","51",IF(R905="Meadows Dry Open","53",IF(R905="Forest &amp; Understory","52",IF(R905="Moist Open","50",IF(R905="Moist Shady","46",IF(R905="Sub-Alpine Slopes","40")))))))</f>
        <v>53</v>
      </c>
      <c r="V905" s="133" t="str">
        <f>IF(R905="Bogs Ponds Streams","84",IF(R905="Coastal Areas","76",IF(R905="Meadows Dry Open","96", IF(R905="Forest &amp; Understory","90", IF(R905="Moist Open","88", IF(R905="Moist Shady","82", IF(R905="Sub-Alpine Slopes","80")))))))</f>
        <v>96</v>
      </c>
      <c r="W905" s="104">
        <v>20</v>
      </c>
      <c r="X905" s="104">
        <v>0</v>
      </c>
      <c r="Y905" s="104">
        <v>3500</v>
      </c>
      <c r="Z905" s="104" t="s">
        <v>2519</v>
      </c>
      <c r="AA905" s="104" t="s">
        <v>2518</v>
      </c>
      <c r="AB905" s="104">
        <v>6.8</v>
      </c>
      <c r="AC905" s="107">
        <f>C905+AK905+(0.1)*AL905</f>
        <v>9</v>
      </c>
      <c r="AD905" s="113">
        <v>69</v>
      </c>
      <c r="AE905" s="104">
        <v>5</v>
      </c>
      <c r="AF905" s="104">
        <v>5</v>
      </c>
      <c r="AG905" s="104">
        <v>1900</v>
      </c>
      <c r="AH905" s="113">
        <v>0</v>
      </c>
      <c r="AI905" s="104">
        <f>AJ905</f>
        <v>2004</v>
      </c>
      <c r="AJ905" s="108">
        <v>2004</v>
      </c>
      <c r="AK905" s="108">
        <v>5</v>
      </c>
      <c r="AL905" s="108">
        <v>20</v>
      </c>
      <c r="AM905" s="109">
        <v>5</v>
      </c>
      <c r="AN905" s="109">
        <v>1</v>
      </c>
      <c r="AO905" s="110">
        <v>0</v>
      </c>
      <c r="AP905" s="109">
        <v>0</v>
      </c>
      <c r="AQ905" s="109">
        <v>0</v>
      </c>
      <c r="AR905" s="109">
        <v>0</v>
      </c>
      <c r="AS905" s="110">
        <v>0</v>
      </c>
      <c r="AT905" s="109">
        <v>0</v>
      </c>
      <c r="AU905" s="109">
        <v>0</v>
      </c>
      <c r="AV905" s="109">
        <v>0</v>
      </c>
      <c r="AW905" s="110">
        <v>0</v>
      </c>
      <c r="AX905" s="109">
        <v>0</v>
      </c>
      <c r="AY905" s="233"/>
      <c r="AZ905" s="4"/>
      <c r="BA905" s="35" t="str">
        <f>IF(OR(S905="North America",S905="Rocky Mountain"), "Widespread",BC905)</f>
        <v>Widespread</v>
      </c>
      <c r="BB905" s="4"/>
      <c r="BC905" s="35">
        <f ca="1">IF(BE905&gt;2046, "Abundant",BE905)</f>
        <v>2040.893150802139</v>
      </c>
      <c r="BD905" s="4"/>
      <c r="BE905" s="81">
        <f ca="1">YEAR($C$13)+(BG905*80)</f>
        <v>2040.893150802139</v>
      </c>
      <c r="BF905" s="4"/>
      <c r="BG905" s="137">
        <f ca="1">BH905*$BH$14</f>
        <v>0.27366438502673796</v>
      </c>
      <c r="BH905" s="137">
        <f ca="1">(((BJ905+BK905+BM905+BN905)/4)*$BM$11)+(((BP905+BQ905)/2)*$BQ$11)+(((BU905+BV905+BW905)/3)*$BU$11)+(((BY905+BZ905+CA905+CB905+CC905)/5)*$CA$11)</f>
        <v>0.27366438502673796</v>
      </c>
      <c r="BI905" s="4"/>
      <c r="BJ905" s="33">
        <f>AP905/(AM905+AO905)</f>
        <v>0</v>
      </c>
      <c r="BK905" s="33">
        <f>(AN905+AO905)/(AM905+AO905)</f>
        <v>0.2</v>
      </c>
      <c r="BL905" s="4"/>
      <c r="BM905" s="127">
        <f>CF905/102</f>
        <v>8.8235294117647065E-2</v>
      </c>
      <c r="BN905" s="127">
        <f>C905/2</f>
        <v>1</v>
      </c>
      <c r="BO905" s="4"/>
      <c r="BP905" s="127">
        <f>(AK905)/($AW$6)</f>
        <v>5.0505050505050504E-2</v>
      </c>
      <c r="BQ905" s="127">
        <f ca="1">(CH905-$AW$4)/((YEAR($C$13))-$AW$4)</f>
        <v>0</v>
      </c>
      <c r="BR905" s="127">
        <f>(AL905)/($AW$6)</f>
        <v>0.20202020202020202</v>
      </c>
      <c r="BS905" s="4"/>
      <c r="BT905" s="127"/>
      <c r="BU905" s="127">
        <f ca="1">(CG905-$AW$4)/((YEAR($C$13))-$AW$4)</f>
        <v>0</v>
      </c>
      <c r="BV905" s="127">
        <f>AE905/5</f>
        <v>1</v>
      </c>
      <c r="BW905" s="127">
        <f>AF905/5</f>
        <v>1</v>
      </c>
      <c r="BX905" s="4"/>
      <c r="BY905" s="148" t="str">
        <f>IF(E905="A",".98",IF(E905="B",".99",IF(E905="C","1.00",IF(E905="D","1.00" ))))</f>
        <v>1.00</v>
      </c>
      <c r="BZ905" s="127">
        <f>(CE905+7)/10</f>
        <v>1</v>
      </c>
      <c r="CA905" s="76" t="str">
        <f>IF(D905="Fern",".97",IF(D905="Grass",".99",IF(D905="Herb",".97",IF(D905="Shrub",".99",IF(D905="Tree","1.00",IF(D905="Vine",".98"))))))</f>
        <v>.97</v>
      </c>
      <c r="CB905" s="149" t="str">
        <f>IF(R905="Bogs Ponds Streams",".96", IF(R905="Coastal Areas",".97",IF(R905="Meadows Dry Open",".96",IF(R905="Forest &amp; Understory",".97",IF(R905="Moist Open",".98",IF(R905="Moist Shady",".96",IF(R905="Sub-Alpine","1.0")))))))</f>
        <v>.96</v>
      </c>
      <c r="CC905" s="76" t="str">
        <f>IF(S905="Local Endemic",".50",IF(S905="Regional Endemic",".70",IF(S905="Cascadia",".90",IF(S905="Rocky Mountain",".95",IF(S905="North America",".99")))))</f>
        <v>.95</v>
      </c>
      <c r="CD905" s="4"/>
      <c r="CE905" s="21">
        <f>IF(W905&gt;3,3,W905)</f>
        <v>3</v>
      </c>
      <c r="CF905" s="21">
        <f>IF(AC905&gt;102,102,AC905)</f>
        <v>9</v>
      </c>
      <c r="CG905" s="34">
        <f>IF(AI905&lt;$AW$4,$AW$4,AI905)</f>
        <v>2004</v>
      </c>
      <c r="CH905" s="34">
        <f>IF(AJ905&lt;$AW$4,$AW$4,AJ905)</f>
        <v>2004</v>
      </c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</row>
    <row r="906" spans="1:115" ht="15" customHeight="1" x14ac:dyDescent="0.3">
      <c r="A906" s="235"/>
      <c r="B906" s="218"/>
      <c r="C906" s="225">
        <v>8</v>
      </c>
      <c r="D906" s="59" t="s">
        <v>2505</v>
      </c>
      <c r="E906" s="59" t="s">
        <v>2501</v>
      </c>
      <c r="F906" s="397" t="str">
        <f ca="1">IF(BC906&lt;2025, "Extinct&lt; 6Yrs?",BA906)</f>
        <v>Abundant</v>
      </c>
      <c r="G906" s="363" t="s">
        <v>525</v>
      </c>
      <c r="H906" s="363" t="s">
        <v>687</v>
      </c>
      <c r="I906" s="364" t="s">
        <v>390</v>
      </c>
      <c r="J906" s="365" t="s">
        <v>3867</v>
      </c>
      <c r="K906" s="365" t="s">
        <v>2826</v>
      </c>
      <c r="L906" s="10" t="s">
        <v>2063</v>
      </c>
      <c r="M906" s="8" t="s">
        <v>4976</v>
      </c>
      <c r="N906" s="8" t="s">
        <v>5874</v>
      </c>
      <c r="O906" s="8" t="s">
        <v>6773</v>
      </c>
      <c r="P906" s="9" t="s">
        <v>391</v>
      </c>
      <c r="Q906" s="59" t="s">
        <v>2552</v>
      </c>
      <c r="R906" s="9" t="s">
        <v>2498</v>
      </c>
      <c r="S906" s="9" t="s">
        <v>2459</v>
      </c>
      <c r="T906" s="123" t="str">
        <f>IF(R906="Bogs Ponds Streams","20",IF(R906="Coastal Areas","26",IF(R906="Meadows Dry Open","10",IF(R906="Forest &amp; Understory","14",IF(R906="Moist Open","12",IF(R906="Moist Shady","10",IF(R906="Sub-Alpine Slopes","0")))))))</f>
        <v>10</v>
      </c>
      <c r="U906" s="123" t="str">
        <f>IF(R906="Bogs Ponds Streams","52",IF(R906="Coastal Areas","51",IF(R906="Meadows Dry Open","53",IF(R906="Forest &amp; Understory","52",IF(R906="Moist Open","50",IF(R906="Moist Shady","46",IF(R906="Sub-Alpine Slopes","40")))))))</f>
        <v>46</v>
      </c>
      <c r="V906" s="123" t="str">
        <f>IF(R906="Bogs Ponds Streams","84",IF(R906="Coastal Areas","76",IF(R906="Meadows Dry Open","96", IF(R906="Forest &amp; Understory","90", IF(R906="Moist Open","88", IF(R906="Moist Shady","82", IF(R906="Sub-Alpine Slopes","80")))))))</f>
        <v>82</v>
      </c>
      <c r="W906" s="59">
        <v>20</v>
      </c>
      <c r="X906" s="59">
        <v>0</v>
      </c>
      <c r="Y906" s="59">
        <v>3500</v>
      </c>
      <c r="Z906" s="59" t="s">
        <v>2519</v>
      </c>
      <c r="AA906" s="59" t="s">
        <v>2518</v>
      </c>
      <c r="AB906" s="59">
        <v>6.8</v>
      </c>
      <c r="AC906" s="45">
        <f>C906+AK906+(0.1)*AL906</f>
        <v>54</v>
      </c>
      <c r="AD906" s="77">
        <v>232</v>
      </c>
      <c r="AE906" s="59">
        <v>5</v>
      </c>
      <c r="AF906" s="59">
        <v>5</v>
      </c>
      <c r="AG906" s="59">
        <v>1900</v>
      </c>
      <c r="AH906" s="77">
        <v>0</v>
      </c>
      <c r="AI906" s="59">
        <f ca="1">AJ906</f>
        <v>2019</v>
      </c>
      <c r="AJ906" s="18">
        <f ca="1">YEAR(TODAY())</f>
        <v>2019</v>
      </c>
      <c r="AK906" s="18">
        <v>40</v>
      </c>
      <c r="AL906" s="18">
        <v>60</v>
      </c>
      <c r="AM906" s="18">
        <v>1</v>
      </c>
      <c r="AN906" s="18">
        <v>1</v>
      </c>
      <c r="AO906" s="24">
        <v>1</v>
      </c>
      <c r="AP906" s="24">
        <v>0</v>
      </c>
      <c r="AQ906" s="18">
        <v>0</v>
      </c>
      <c r="AR906" s="18">
        <v>0</v>
      </c>
      <c r="AS906" s="18">
        <v>0</v>
      </c>
      <c r="AT906" s="18">
        <v>0</v>
      </c>
      <c r="AU906" s="18">
        <v>0</v>
      </c>
      <c r="AV906" s="18">
        <v>0</v>
      </c>
      <c r="AW906" s="18">
        <v>0</v>
      </c>
      <c r="AX906" s="18">
        <v>0</v>
      </c>
      <c r="AY906" s="233"/>
      <c r="AZ906" s="4"/>
      <c r="BA906" s="35" t="str">
        <f ca="1">IF(OR(S906="North America",S906="Rocky Mountain"), "Widespread",BC906)</f>
        <v>Abundant</v>
      </c>
      <c r="BB906" s="4"/>
      <c r="BC906" s="35" t="str">
        <f ca="1">IF(BE906&gt;2046, "Abundant",BE906)</f>
        <v>Abundant</v>
      </c>
      <c r="BD906" s="4"/>
      <c r="BE906" s="81">
        <f ca="1">YEAR($C$13)+(BG906*80)</f>
        <v>2110.1470260249553</v>
      </c>
      <c r="BF906" s="4"/>
      <c r="BG906" s="137">
        <f ca="1">BH906*$BH$14</f>
        <v>1.1393378253119431</v>
      </c>
      <c r="BH906" s="137">
        <f ca="1">(((BJ906+BK906+BM906+BN906)/4)*$BM$11)+(((BP906+BQ906)/2)*$BQ$11)+(((BU906+BV906+BW906)/3)*$BU$11)+(((BY906+BZ906+CA906+CB906+CC906)/5)*$CA$11)</f>
        <v>1.1393378253119431</v>
      </c>
      <c r="BI906" s="4"/>
      <c r="BJ906" s="33">
        <f>AP906/(AM906+AO906)</f>
        <v>0</v>
      </c>
      <c r="BK906" s="33">
        <f>(AN906+AO906)/(AM906+AO906)</f>
        <v>1</v>
      </c>
      <c r="BL906" s="4"/>
      <c r="BM906" s="127">
        <f>CF906/102</f>
        <v>0.52941176470588236</v>
      </c>
      <c r="BN906" s="127">
        <f>C906/2</f>
        <v>4</v>
      </c>
      <c r="BO906" s="4"/>
      <c r="BP906" s="127">
        <f>(AK906)/($AW$6)</f>
        <v>0.40404040404040403</v>
      </c>
      <c r="BQ906" s="127">
        <f ca="1">(CH906-$AW$4)/((YEAR($C$13))-$AW$4)</f>
        <v>1</v>
      </c>
      <c r="BR906" s="127">
        <f>(AL906)/($AW$6)</f>
        <v>0.60606060606060608</v>
      </c>
      <c r="BS906" s="4"/>
      <c r="BT906" s="127"/>
      <c r="BU906" s="127">
        <f ca="1">(CG906-$AW$4)/((YEAR($C$13))-$AW$4)</f>
        <v>1</v>
      </c>
      <c r="BV906" s="127">
        <f>AE906/5</f>
        <v>1</v>
      </c>
      <c r="BW906" s="127">
        <f>AF906/5</f>
        <v>1</v>
      </c>
      <c r="BX906" s="4"/>
      <c r="BY906" s="148" t="str">
        <f>IF(E906="A",".98",IF(E906="B",".99",IF(E906="C","1.00",IF(E906="D","1.00" ))))</f>
        <v>1.00</v>
      </c>
      <c r="BZ906" s="127">
        <f>(CE906+7)/10</f>
        <v>1</v>
      </c>
      <c r="CA906" s="76" t="str">
        <f>IF(D906="Fern",".97",IF(D906="Grass",".99",IF(D906="Herb",".97",IF(D906="Shrub",".99",IF(D906="Tree","1.00",IF(D906="Vine",".98"))))))</f>
        <v>.97</v>
      </c>
      <c r="CB906" s="149" t="str">
        <f>IF(R906="Bogs Ponds Streams",".96", IF(R906="Coastal Areas",".97",IF(R906="Meadows Dry Open",".96",IF(R906="Forest &amp; Understory",".97",IF(R906="Moist Open",".98",IF(R906="Moist Shady",".96",IF(R906="Sub-Alpine","1.0")))))))</f>
        <v>.96</v>
      </c>
      <c r="CC906" s="76" t="str">
        <f>IF(S906="Local Endemic",".50",IF(S906="Regional Endemic",".70",IF(S906="Cascadia",".90",IF(S906="Rocky Mountain",".95",IF(S906="North America",".99")))))</f>
        <v>.90</v>
      </c>
      <c r="CD906" s="4"/>
      <c r="CE906" s="21">
        <f>IF(W906&gt;3,3,W906)</f>
        <v>3</v>
      </c>
      <c r="CF906" s="21">
        <f>IF(AC906&gt;102,102,AC906)</f>
        <v>54</v>
      </c>
      <c r="CG906" s="34">
        <f ca="1">IF(AI906&lt;$AW$4,$AW$4,AI906)</f>
        <v>2019</v>
      </c>
      <c r="CH906" s="34">
        <f ca="1">IF(AJ906&lt;$AW$4,$AW$4,AJ906)</f>
        <v>2019</v>
      </c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13"/>
    </row>
    <row r="907" spans="1:115" ht="15" customHeight="1" x14ac:dyDescent="0.3">
      <c r="A907" s="235"/>
      <c r="B907" s="218"/>
      <c r="C907" s="225">
        <v>8</v>
      </c>
      <c r="D907" s="59" t="s">
        <v>2505</v>
      </c>
      <c r="E907" s="59" t="s">
        <v>2502</v>
      </c>
      <c r="F907" s="397" t="str">
        <f ca="1">IF(BC907&lt;2025, "Extinct&lt; 6Yrs?",BA907)</f>
        <v>Abundant</v>
      </c>
      <c r="G907" s="363" t="s">
        <v>525</v>
      </c>
      <c r="H907" s="363" t="s">
        <v>687</v>
      </c>
      <c r="I907" s="364" t="s">
        <v>3160</v>
      </c>
      <c r="J907" s="365" t="s">
        <v>3866</v>
      </c>
      <c r="K907" s="365" t="s">
        <v>394</v>
      </c>
      <c r="L907" s="10" t="s">
        <v>2064</v>
      </c>
      <c r="M907" s="8" t="s">
        <v>4977</v>
      </c>
      <c r="N907" s="8" t="s">
        <v>5875</v>
      </c>
      <c r="O907" s="8" t="s">
        <v>6774</v>
      </c>
      <c r="P907" s="9" t="s">
        <v>391</v>
      </c>
      <c r="Q907" s="59" t="s">
        <v>2552</v>
      </c>
      <c r="R907" s="9" t="s">
        <v>2498</v>
      </c>
      <c r="S907" s="9" t="s">
        <v>2459</v>
      </c>
      <c r="T907" s="123" t="str">
        <f>IF(R907="Bogs Ponds Streams","20",IF(R907="Coastal Areas","26",IF(R907="Meadows Dry Open","10",IF(R907="Forest &amp; Understory","14",IF(R907="Moist Open","12",IF(R907="Moist Shady","10",IF(R907="Sub-Alpine Slopes","0")))))))</f>
        <v>10</v>
      </c>
      <c r="U907" s="123" t="str">
        <f>IF(R907="Bogs Ponds Streams","52",IF(R907="Coastal Areas","51",IF(R907="Meadows Dry Open","53",IF(R907="Forest &amp; Understory","52",IF(R907="Moist Open","50",IF(R907="Moist Shady","46",IF(R907="Sub-Alpine Slopes","40")))))))</f>
        <v>46</v>
      </c>
      <c r="V907" s="123" t="str">
        <f>IF(R907="Bogs Ponds Streams","84",IF(R907="Coastal Areas","76",IF(R907="Meadows Dry Open","96", IF(R907="Forest &amp; Understory","90", IF(R907="Moist Open","88", IF(R907="Moist Shady","82", IF(R907="Sub-Alpine Slopes","80")))))))</f>
        <v>82</v>
      </c>
      <c r="W907" s="59">
        <v>1</v>
      </c>
      <c r="X907" s="59">
        <v>0</v>
      </c>
      <c r="Y907" s="59">
        <v>3500</v>
      </c>
      <c r="Z907" s="59" t="s">
        <v>2519</v>
      </c>
      <c r="AA907" s="59" t="s">
        <v>2518</v>
      </c>
      <c r="AB907" s="59">
        <v>6.8</v>
      </c>
      <c r="AC907" s="45">
        <f>C907+AK907+(0.1)*AL907</f>
        <v>23.5</v>
      </c>
      <c r="AD907" s="77">
        <v>17</v>
      </c>
      <c r="AE907" s="59">
        <v>5</v>
      </c>
      <c r="AF907" s="59">
        <v>5</v>
      </c>
      <c r="AG907" s="59">
        <v>1900</v>
      </c>
      <c r="AH907" s="77">
        <v>0</v>
      </c>
      <c r="AI907" s="59">
        <f ca="1">AJ907</f>
        <v>2019</v>
      </c>
      <c r="AJ907" s="18">
        <f ca="1">YEAR(TODAY())</f>
        <v>2019</v>
      </c>
      <c r="AK907" s="18">
        <v>15</v>
      </c>
      <c r="AL907" s="18">
        <v>5</v>
      </c>
      <c r="AM907" s="18">
        <v>1</v>
      </c>
      <c r="AN907" s="18">
        <v>1</v>
      </c>
      <c r="AO907" s="18">
        <v>5</v>
      </c>
      <c r="AP907" s="18">
        <v>1</v>
      </c>
      <c r="AQ907" s="18">
        <v>0</v>
      </c>
      <c r="AR907" s="18">
        <v>0</v>
      </c>
      <c r="AS907" s="18">
        <v>0</v>
      </c>
      <c r="AT907" s="18">
        <v>0</v>
      </c>
      <c r="AU907" s="18">
        <v>0</v>
      </c>
      <c r="AV907" s="18">
        <v>0</v>
      </c>
      <c r="AW907" s="18">
        <v>0</v>
      </c>
      <c r="AX907" s="18">
        <v>0</v>
      </c>
      <c r="AY907" s="233"/>
      <c r="AZ907" s="4"/>
      <c r="BA907" s="35" t="str">
        <f ca="1">IF(OR(S907="North America",S907="Rocky Mountain"), "Widespread",BC907)</f>
        <v>Abundant</v>
      </c>
      <c r="BB907" s="4"/>
      <c r="BC907" s="35" t="str">
        <f ca="1">IF(BE907&gt;2046, "Abundant",BE907)</f>
        <v>Abundant</v>
      </c>
      <c r="BD907" s="4"/>
      <c r="BE907" s="81">
        <f ca="1">YEAR($C$13)+(BG907*80)</f>
        <v>2105.4580877005346</v>
      </c>
      <c r="BF907" s="4"/>
      <c r="BG907" s="137">
        <f ca="1">BH907*$BH$14</f>
        <v>1.0807260962566845</v>
      </c>
      <c r="BH907" s="137">
        <f ca="1">(((BJ907+BK907+BM907+BN907)/4)*$BM$11)+(((BP907+BQ907)/2)*$BQ$11)+(((BU907+BV907+BW907)/3)*$BU$11)+(((BY907+BZ907+CA907+CB907+CC907)/5)*$CA$11)</f>
        <v>1.0807260962566845</v>
      </c>
      <c r="BI907" s="4"/>
      <c r="BJ907" s="33">
        <f>AP907/(AM907+AO907)</f>
        <v>0.16666666666666666</v>
      </c>
      <c r="BK907" s="33">
        <f>(AN907+AO907)/(AM907+AO907)</f>
        <v>1</v>
      </c>
      <c r="BL907" s="4"/>
      <c r="BM907" s="127">
        <f>CF907/102</f>
        <v>0.23039215686274508</v>
      </c>
      <c r="BN907" s="127">
        <f>C907/2</f>
        <v>4</v>
      </c>
      <c r="BO907" s="4"/>
      <c r="BP907" s="127">
        <f>(AK907)/($AW$6)</f>
        <v>0.15151515151515152</v>
      </c>
      <c r="BQ907" s="127">
        <f ca="1">(CH907-$AW$4)/((YEAR($C$13))-$AW$4)</f>
        <v>1</v>
      </c>
      <c r="BR907" s="127">
        <f>(AL907)/($AW$6)</f>
        <v>5.0505050505050504E-2</v>
      </c>
      <c r="BS907" s="4"/>
      <c r="BT907" s="127"/>
      <c r="BU907" s="127">
        <f ca="1">(CG907-$AW$4)/((YEAR($C$13))-$AW$4)</f>
        <v>1</v>
      </c>
      <c r="BV907" s="127">
        <f>AE907/5</f>
        <v>1</v>
      </c>
      <c r="BW907" s="127">
        <f>AF907/5</f>
        <v>1</v>
      </c>
      <c r="BX907" s="4"/>
      <c r="BY907" s="148" t="str">
        <f>IF(E907="A",".98",IF(E907="B",".99",IF(E907="C","1.00",IF(E907="D","1.00" ))))</f>
        <v>.98</v>
      </c>
      <c r="BZ907" s="127">
        <f>(CE907+7)/10</f>
        <v>0.8</v>
      </c>
      <c r="CA907" s="76" t="str">
        <f>IF(D907="Fern",".97",IF(D907="Grass",".99",IF(D907="Herb",".97",IF(D907="Shrub",".99",IF(D907="Tree","1.00",IF(D907="Vine",".98"))))))</f>
        <v>.97</v>
      </c>
      <c r="CB907" s="149" t="str">
        <f>IF(R907="Bogs Ponds Streams",".96", IF(R907="Coastal Areas",".97",IF(R907="Meadows Dry Open",".96",IF(R907="Forest &amp; Understory",".97",IF(R907="Moist Open",".98",IF(R907="Moist Shady",".96",IF(R907="Sub-Alpine","1.0")))))))</f>
        <v>.96</v>
      </c>
      <c r="CC907" s="76" t="str">
        <f>IF(S907="Local Endemic",".50",IF(S907="Regional Endemic",".70",IF(S907="Cascadia",".90",IF(S907="Rocky Mountain",".95",IF(S907="North America",".99")))))</f>
        <v>.90</v>
      </c>
      <c r="CD907" s="4"/>
      <c r="CE907" s="21">
        <f>IF(W907&gt;3,3,W907)</f>
        <v>1</v>
      </c>
      <c r="CF907" s="21">
        <f>IF(AC907&gt;102,102,AC907)</f>
        <v>23.5</v>
      </c>
      <c r="CG907" s="34">
        <f ca="1">IF(AI907&lt;$AW$4,$AW$4,AI907)</f>
        <v>2019</v>
      </c>
      <c r="CH907" s="34">
        <f ca="1">IF(AJ907&lt;$AW$4,$AW$4,AJ907)</f>
        <v>2019</v>
      </c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13"/>
    </row>
    <row r="908" spans="1:115" ht="15" customHeight="1" x14ac:dyDescent="0.3">
      <c r="A908" s="235"/>
      <c r="B908" s="218"/>
      <c r="C908" s="226">
        <v>2</v>
      </c>
      <c r="D908" s="104" t="s">
        <v>2505</v>
      </c>
      <c r="E908" s="104" t="s">
        <v>2501</v>
      </c>
      <c r="F908" s="400">
        <f ca="1">IF(BC908&lt;2025, "Extinct&lt; 6Yrs?",BA908)</f>
        <v>2042.2536213903743</v>
      </c>
      <c r="G908" s="369" t="s">
        <v>525</v>
      </c>
      <c r="H908" s="369" t="s">
        <v>4028</v>
      </c>
      <c r="I908" s="371" t="s">
        <v>1374</v>
      </c>
      <c r="J908" s="371" t="s">
        <v>3681</v>
      </c>
      <c r="K908" s="371" t="s">
        <v>1390</v>
      </c>
      <c r="L908" s="106" t="s">
        <v>2065</v>
      </c>
      <c r="M908" s="111" t="s">
        <v>4978</v>
      </c>
      <c r="N908" s="111" t="s">
        <v>5876</v>
      </c>
      <c r="O908" s="111" t="s">
        <v>6775</v>
      </c>
      <c r="P908" s="401" t="s">
        <v>391</v>
      </c>
      <c r="Q908" s="104" t="s">
        <v>2552</v>
      </c>
      <c r="R908" s="105" t="s">
        <v>2498</v>
      </c>
      <c r="S908" s="114" t="s">
        <v>2459</v>
      </c>
      <c r="T908" s="133" t="str">
        <f>IF(R908="Bogs Ponds Streams","20",IF(R908="Coastal Areas","26",IF(R908="Meadows Dry Open","10",IF(R908="Forest &amp; Understory","14",IF(R908="Moist Open","12",IF(R908="Moist Shady","10",IF(R908="Sub-Alpine Slopes","0")))))))</f>
        <v>10</v>
      </c>
      <c r="U908" s="133" t="str">
        <f>IF(R908="Bogs Ponds Streams","52",IF(R908="Coastal Areas","51",IF(R908="Meadows Dry Open","53",IF(R908="Forest &amp; Understory","52",IF(R908="Moist Open","50",IF(R908="Moist Shady","46",IF(R908="Sub-Alpine Slopes","40")))))))</f>
        <v>46</v>
      </c>
      <c r="V908" s="133" t="str">
        <f>IF(R908="Bogs Ponds Streams","84",IF(R908="Coastal Areas","76",IF(R908="Meadows Dry Open","96", IF(R908="Forest &amp; Understory","90", IF(R908="Moist Open","88", IF(R908="Moist Shady","82", IF(R908="Sub-Alpine Slopes","80")))))))</f>
        <v>82</v>
      </c>
      <c r="W908" s="104">
        <v>20</v>
      </c>
      <c r="X908" s="104">
        <v>0</v>
      </c>
      <c r="Y908" s="104">
        <v>3500</v>
      </c>
      <c r="Z908" s="104" t="s">
        <v>2519</v>
      </c>
      <c r="AA908" s="104" t="s">
        <v>2518</v>
      </c>
      <c r="AB908" s="104">
        <v>6.8</v>
      </c>
      <c r="AC908" s="107">
        <f>C908+AK908+(0.1)*AL908</f>
        <v>7.1</v>
      </c>
      <c r="AD908" s="113">
        <v>49</v>
      </c>
      <c r="AE908" s="104">
        <v>5</v>
      </c>
      <c r="AF908" s="104">
        <v>5</v>
      </c>
      <c r="AG908" s="104">
        <v>1900</v>
      </c>
      <c r="AH908" s="113">
        <v>0</v>
      </c>
      <c r="AI908" s="104">
        <f>AJ908</f>
        <v>2004</v>
      </c>
      <c r="AJ908" s="108">
        <v>2004</v>
      </c>
      <c r="AK908" s="108">
        <v>5</v>
      </c>
      <c r="AL908" s="108">
        <v>1</v>
      </c>
      <c r="AM908" s="109">
        <v>5</v>
      </c>
      <c r="AN908" s="109">
        <v>1</v>
      </c>
      <c r="AO908" s="109">
        <v>1</v>
      </c>
      <c r="AP908" s="109">
        <v>0</v>
      </c>
      <c r="AQ908" s="109">
        <v>0</v>
      </c>
      <c r="AR908" s="109">
        <v>0</v>
      </c>
      <c r="AS908" s="110">
        <v>0</v>
      </c>
      <c r="AT908" s="109">
        <v>0</v>
      </c>
      <c r="AU908" s="109">
        <v>0</v>
      </c>
      <c r="AV908" s="109">
        <v>0</v>
      </c>
      <c r="AW908" s="110">
        <v>0</v>
      </c>
      <c r="AX908" s="109">
        <v>0</v>
      </c>
      <c r="AY908" s="233"/>
      <c r="AZ908" s="4"/>
      <c r="BA908" s="35">
        <f ca="1">IF(OR(S908="North America",S908="Rocky Mountain"), "Widespread",BC908)</f>
        <v>2042.2536213903743</v>
      </c>
      <c r="BB908" s="4"/>
      <c r="BC908" s="35">
        <f ca="1">IF(BE908&gt;2046, "Abundant",BE908)</f>
        <v>2042.2536213903743</v>
      </c>
      <c r="BD908" s="4"/>
      <c r="BE908" s="81">
        <f ca="1">YEAR($C$13)+(BG908*80)</f>
        <v>2042.2536213903743</v>
      </c>
      <c r="BF908" s="4"/>
      <c r="BG908" s="137">
        <f ca="1">BH908*$BH$14</f>
        <v>0.2906702673796791</v>
      </c>
      <c r="BH908" s="137">
        <f ca="1">(((BJ908+BK908+BM908+BN908)/4)*$BM$11)+(((BP908+BQ908)/2)*$BQ$11)+(((BU908+BV908+BW908)/3)*$BU$11)+(((BY908+BZ908+CA908+CB908+CC908)/5)*$CA$11)</f>
        <v>0.2906702673796791</v>
      </c>
      <c r="BI908" s="4"/>
      <c r="BJ908" s="33">
        <f>AP908/(AM908+AO908)</f>
        <v>0</v>
      </c>
      <c r="BK908" s="33">
        <f>(AN908+AO908)/(AM908+AO908)</f>
        <v>0.33333333333333331</v>
      </c>
      <c r="BL908" s="4"/>
      <c r="BM908" s="127">
        <f>CF908/102</f>
        <v>6.9607843137254904E-2</v>
      </c>
      <c r="BN908" s="127">
        <f>C908/2</f>
        <v>1</v>
      </c>
      <c r="BO908" s="4"/>
      <c r="BP908" s="127">
        <f>(AK908)/($AW$6)</f>
        <v>5.0505050505050504E-2</v>
      </c>
      <c r="BQ908" s="127">
        <f ca="1">(CH908-$AW$4)/((YEAR($C$13))-$AW$4)</f>
        <v>0</v>
      </c>
      <c r="BR908" s="127">
        <f>(AL908)/($AW$6)</f>
        <v>1.0101010101010102E-2</v>
      </c>
      <c r="BS908" s="4"/>
      <c r="BT908" s="127"/>
      <c r="BU908" s="127">
        <f ca="1">(CG908-$AW$4)/((YEAR($C$13))-$AW$4)</f>
        <v>0</v>
      </c>
      <c r="BV908" s="127">
        <f>AE908/5</f>
        <v>1</v>
      </c>
      <c r="BW908" s="127">
        <f>AF908/5</f>
        <v>1</v>
      </c>
      <c r="BX908" s="4"/>
      <c r="BY908" s="148" t="str">
        <f>IF(E908="A",".98",IF(E908="B",".99",IF(E908="C","1.00",IF(E908="D","1.00" ))))</f>
        <v>1.00</v>
      </c>
      <c r="BZ908" s="127">
        <f>(CE908+7)/10</f>
        <v>1</v>
      </c>
      <c r="CA908" s="76" t="str">
        <f>IF(D908="Fern",".97",IF(D908="Grass",".99",IF(D908="Herb",".97",IF(D908="Shrub",".99",IF(D908="Tree","1.00",IF(D908="Vine",".98"))))))</f>
        <v>.97</v>
      </c>
      <c r="CB908" s="149" t="str">
        <f>IF(R908="Bogs Ponds Streams",".96", IF(R908="Coastal Areas",".97",IF(R908="Meadows Dry Open",".96",IF(R908="Forest &amp; Understory",".97",IF(R908="Moist Open",".98",IF(R908="Moist Shady",".96",IF(R908="Sub-Alpine","1.0")))))))</f>
        <v>.96</v>
      </c>
      <c r="CC908" s="76" t="str">
        <f>IF(S908="Local Endemic",".50",IF(S908="Regional Endemic",".70",IF(S908="Cascadia",".90",IF(S908="Rocky Mountain",".95",IF(S908="North America",".99")))))</f>
        <v>.90</v>
      </c>
      <c r="CD908" s="4"/>
      <c r="CE908" s="21">
        <f>IF(W908&gt;3,3,W908)</f>
        <v>3</v>
      </c>
      <c r="CF908" s="21">
        <f>IF(AC908&gt;102,102,AC908)</f>
        <v>7.1</v>
      </c>
      <c r="CG908" s="34">
        <f>IF(AI908&lt;$AW$4,$AW$4,AI908)</f>
        <v>2004</v>
      </c>
      <c r="CH908" s="34">
        <f>IF(AJ908&lt;$AW$4,$AW$4,AJ908)</f>
        <v>2004</v>
      </c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</row>
    <row r="909" spans="1:115" ht="15" customHeight="1" x14ac:dyDescent="0.3">
      <c r="A909" s="235"/>
      <c r="B909" s="218"/>
      <c r="C909" s="225">
        <v>8</v>
      </c>
      <c r="D909" s="59" t="s">
        <v>2505</v>
      </c>
      <c r="E909" s="59" t="s">
        <v>2501</v>
      </c>
      <c r="F909" s="397" t="str">
        <f ca="1">IF(BC909&lt;2025, "Extinct&lt; 6Yrs?",BA909)</f>
        <v>Abundant</v>
      </c>
      <c r="G909" s="363" t="s">
        <v>525</v>
      </c>
      <c r="H909" s="363" t="s">
        <v>687</v>
      </c>
      <c r="I909" s="364" t="s">
        <v>2730</v>
      </c>
      <c r="J909" s="365" t="s">
        <v>3865</v>
      </c>
      <c r="K909" s="365" t="s">
        <v>783</v>
      </c>
      <c r="L909" s="17" t="s">
        <v>2066</v>
      </c>
      <c r="M909" s="8" t="s">
        <v>4979</v>
      </c>
      <c r="N909" s="8" t="s">
        <v>5877</v>
      </c>
      <c r="O909" s="8" t="s">
        <v>6776</v>
      </c>
      <c r="P909" s="398" t="s">
        <v>391</v>
      </c>
      <c r="Q909" s="59" t="s">
        <v>2552</v>
      </c>
      <c r="R909" s="9" t="s">
        <v>2498</v>
      </c>
      <c r="S909" s="17" t="s">
        <v>2309</v>
      </c>
      <c r="T909" s="123" t="str">
        <f>IF(R909="Bogs Ponds Streams","20",IF(R909="Coastal Areas","26",IF(R909="Meadows Dry Open","10",IF(R909="Forest &amp; Understory","14",IF(R909="Moist Open","12",IF(R909="Moist Shady","10",IF(R909="Sub-Alpine Slopes","0")))))))</f>
        <v>10</v>
      </c>
      <c r="U909" s="123" t="str">
        <f>IF(R909="Bogs Ponds Streams","52",IF(R909="Coastal Areas","51",IF(R909="Meadows Dry Open","53",IF(R909="Forest &amp; Understory","52",IF(R909="Moist Open","50",IF(R909="Moist Shady","46",IF(R909="Sub-Alpine Slopes","40")))))))</f>
        <v>46</v>
      </c>
      <c r="V909" s="123" t="str">
        <f>IF(R909="Bogs Ponds Streams","84",IF(R909="Coastal Areas","76",IF(R909="Meadows Dry Open","96", IF(R909="Forest &amp; Understory","90", IF(R909="Moist Open","88", IF(R909="Moist Shady","82", IF(R909="Sub-Alpine Slopes","80")))))))</f>
        <v>82</v>
      </c>
      <c r="W909" s="59">
        <v>20</v>
      </c>
      <c r="X909" s="59">
        <v>0</v>
      </c>
      <c r="Y909" s="59">
        <v>3500</v>
      </c>
      <c r="Z909" s="59" t="s">
        <v>2519</v>
      </c>
      <c r="AA909" s="59" t="s">
        <v>2518</v>
      </c>
      <c r="AB909" s="59">
        <v>6.8</v>
      </c>
      <c r="AC909" s="45">
        <f>C909+AK909+(0.1)*AL909</f>
        <v>19.5</v>
      </c>
      <c r="AD909" s="77">
        <v>83</v>
      </c>
      <c r="AE909" s="59">
        <v>5</v>
      </c>
      <c r="AF909" s="59">
        <v>5</v>
      </c>
      <c r="AG909" s="59">
        <v>1900</v>
      </c>
      <c r="AH909" s="77">
        <v>0</v>
      </c>
      <c r="AI909" s="59">
        <f ca="1">AJ909</f>
        <v>2019</v>
      </c>
      <c r="AJ909" s="18">
        <f ca="1">YEAR(TODAY())</f>
        <v>2019</v>
      </c>
      <c r="AK909" s="18">
        <v>10</v>
      </c>
      <c r="AL909" s="18">
        <v>15</v>
      </c>
      <c r="AM909" s="18">
        <v>1</v>
      </c>
      <c r="AN909" s="18">
        <v>1</v>
      </c>
      <c r="AO909" s="18">
        <v>5</v>
      </c>
      <c r="AP909" s="18">
        <v>1</v>
      </c>
      <c r="AQ909" s="18">
        <v>0</v>
      </c>
      <c r="AR909" s="18">
        <v>0</v>
      </c>
      <c r="AS909" s="18">
        <v>0</v>
      </c>
      <c r="AT909" s="18">
        <v>0</v>
      </c>
      <c r="AU909" s="18">
        <v>0</v>
      </c>
      <c r="AV909" s="18">
        <v>0</v>
      </c>
      <c r="AW909" s="18">
        <v>0</v>
      </c>
      <c r="AX909" s="18">
        <v>0</v>
      </c>
      <c r="AY909" s="233"/>
      <c r="AZ909" s="4"/>
      <c r="BA909" s="35" t="str">
        <f ca="1">IF(OR(S909="North America",S909="Rocky Mountain"), "Widespread",BC909)</f>
        <v>Abundant</v>
      </c>
      <c r="BB909" s="4"/>
      <c r="BC909" s="35" t="str">
        <f ca="1">IF(BE909&gt;2046, "Abundant",BE909)</f>
        <v>Abundant</v>
      </c>
      <c r="BD909" s="4"/>
      <c r="BE909" s="81">
        <f ca="1">YEAR($C$13)+(BG909*80)</f>
        <v>2104.3878388591802</v>
      </c>
      <c r="BF909" s="4"/>
      <c r="BG909" s="137">
        <f ca="1">BH909*$BH$14</f>
        <v>1.0673479857397505</v>
      </c>
      <c r="BH909" s="137">
        <f ca="1">(((BJ909+BK909+BM909+BN909)/4)*$BM$11)+(((BP909+BQ909)/2)*$BQ$11)+(((BU909+BV909+BW909)/3)*$BU$11)+(((BY909+BZ909+CA909+CB909+CC909)/5)*$CA$11)</f>
        <v>1.0673479857397505</v>
      </c>
      <c r="BI909" s="4"/>
      <c r="BJ909" s="33">
        <f>AP909/(AM909+AO909)</f>
        <v>0.16666666666666666</v>
      </c>
      <c r="BK909" s="33">
        <f>(AN909+AO909)/(AM909+AO909)</f>
        <v>1</v>
      </c>
      <c r="BL909" s="4"/>
      <c r="BM909" s="127">
        <f>CF909/102</f>
        <v>0.19117647058823528</v>
      </c>
      <c r="BN909" s="127">
        <f>C909/2</f>
        <v>4</v>
      </c>
      <c r="BO909" s="4"/>
      <c r="BP909" s="127">
        <f>(AK909)/($AW$6)</f>
        <v>0.10101010101010101</v>
      </c>
      <c r="BQ909" s="127">
        <f ca="1">(CH909-$AW$4)/((YEAR($C$13))-$AW$4)</f>
        <v>1</v>
      </c>
      <c r="BR909" s="127">
        <f>(AL909)/($AW$6)</f>
        <v>0.15151515151515152</v>
      </c>
      <c r="BS909" s="4"/>
      <c r="BT909" s="127"/>
      <c r="BU909" s="127">
        <f ca="1">(CG909-$AW$4)/((YEAR($C$13))-$AW$4)</f>
        <v>1</v>
      </c>
      <c r="BV909" s="127">
        <f>AE909/5</f>
        <v>1</v>
      </c>
      <c r="BW909" s="127">
        <f>AF909/5</f>
        <v>1</v>
      </c>
      <c r="BX909" s="4"/>
      <c r="BY909" s="148" t="str">
        <f>IF(E909="A",".98",IF(E909="B",".99",IF(E909="C","1.00",IF(E909="D","1.00" ))))</f>
        <v>1.00</v>
      </c>
      <c r="BZ909" s="127">
        <f>(CE909+7)/10</f>
        <v>1</v>
      </c>
      <c r="CA909" s="76" t="str">
        <f>IF(D909="Fern",".97",IF(D909="Grass",".99",IF(D909="Herb",".97",IF(D909="Shrub",".99",IF(D909="Tree","1.00",IF(D909="Vine",".98"))))))</f>
        <v>.97</v>
      </c>
      <c r="CB909" s="149" t="str">
        <f>IF(R909="Bogs Ponds Streams",".96", IF(R909="Coastal Areas",".97",IF(R909="Meadows Dry Open",".96",IF(R909="Forest &amp; Understory",".97",IF(R909="Moist Open",".98",IF(R909="Moist Shady",".96",IF(R909="Sub-Alpine","1.0")))))))</f>
        <v>.96</v>
      </c>
      <c r="CC909" s="76" t="str">
        <f>IF(S909="Local Endemic",".50",IF(S909="Regional Endemic",".70",IF(S909="Cascadia",".90",IF(S909="Rocky Mountain",".95",IF(S909="North America",".99")))))</f>
        <v>.70</v>
      </c>
      <c r="CD909" s="4"/>
      <c r="CE909" s="21">
        <f>IF(W909&gt;3,3,W909)</f>
        <v>3</v>
      </c>
      <c r="CF909" s="21">
        <f>IF(AC909&gt;102,102,AC909)</f>
        <v>19.5</v>
      </c>
      <c r="CG909" s="34">
        <f ca="1">IF(AI909&lt;$AW$4,$AW$4,AI909)</f>
        <v>2019</v>
      </c>
      <c r="CH909" s="34">
        <f ca="1">IF(AJ909&lt;$AW$4,$AW$4,AJ909)</f>
        <v>2019</v>
      </c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13"/>
    </row>
    <row r="910" spans="1:115" ht="15" customHeight="1" x14ac:dyDescent="0.3">
      <c r="A910" s="235"/>
      <c r="B910" s="218"/>
      <c r="C910" s="225">
        <v>8</v>
      </c>
      <c r="D910" s="59" t="s">
        <v>2505</v>
      </c>
      <c r="E910" s="59" t="s">
        <v>2501</v>
      </c>
      <c r="F910" s="397" t="str">
        <f ca="1">IF(BC910&lt;2025, "Extinct&lt; 6Yrs?",BA910)</f>
        <v>Widespread</v>
      </c>
      <c r="G910" s="363" t="s">
        <v>525</v>
      </c>
      <c r="H910" s="363" t="s">
        <v>687</v>
      </c>
      <c r="I910" s="364" t="s">
        <v>395</v>
      </c>
      <c r="J910" s="365" t="s">
        <v>3864</v>
      </c>
      <c r="K910" s="365" t="s">
        <v>83</v>
      </c>
      <c r="L910" s="10" t="s">
        <v>2067</v>
      </c>
      <c r="M910" s="8" t="s">
        <v>4980</v>
      </c>
      <c r="N910" s="8" t="s">
        <v>5878</v>
      </c>
      <c r="O910" s="8" t="s">
        <v>6777</v>
      </c>
      <c r="P910" s="9" t="s">
        <v>391</v>
      </c>
      <c r="Q910" s="59" t="s">
        <v>2552</v>
      </c>
      <c r="R910" s="9" t="s">
        <v>2500</v>
      </c>
      <c r="S910" s="9" t="s">
        <v>2495</v>
      </c>
      <c r="T910" s="123" t="str">
        <f>IF(R910="Bogs Ponds Streams","20",IF(R910="Coastal Areas","26",IF(R910="Meadows Dry Open","10",IF(R910="Forest &amp; Understory","14",IF(R910="Moist Open","12",IF(R910="Moist Shady","10",IF(R910="Sub-Alpine Slopes","0")))))))</f>
        <v>10</v>
      </c>
      <c r="U910" s="123" t="str">
        <f>IF(R910="Bogs Ponds Streams","52",IF(R910="Coastal Areas","51",IF(R910="Meadows Dry Open","53",IF(R910="Forest &amp; Understory","52",IF(R910="Moist Open","50",IF(R910="Moist Shady","46",IF(R910="Sub-Alpine Slopes","40")))))))</f>
        <v>53</v>
      </c>
      <c r="V910" s="123" t="str">
        <f>IF(R910="Bogs Ponds Streams","84",IF(R910="Coastal Areas","76",IF(R910="Meadows Dry Open","96", IF(R910="Forest &amp; Understory","90", IF(R910="Moist Open","88", IF(R910="Moist Shady","82", IF(R910="Sub-Alpine Slopes","80")))))))</f>
        <v>96</v>
      </c>
      <c r="W910" s="59">
        <v>20</v>
      </c>
      <c r="X910" s="59">
        <v>0</v>
      </c>
      <c r="Y910" s="59">
        <v>3500</v>
      </c>
      <c r="Z910" s="59" t="s">
        <v>2519</v>
      </c>
      <c r="AA910" s="59" t="s">
        <v>2518</v>
      </c>
      <c r="AB910" s="59">
        <v>6.8</v>
      </c>
      <c r="AC910" s="45">
        <f>C910+AK910+(0.1)*AL910</f>
        <v>41</v>
      </c>
      <c r="AD910" s="77">
        <v>104</v>
      </c>
      <c r="AE910" s="59">
        <v>5</v>
      </c>
      <c r="AF910" s="59">
        <v>5</v>
      </c>
      <c r="AG910" s="59">
        <v>1900</v>
      </c>
      <c r="AH910" s="77">
        <v>0</v>
      </c>
      <c r="AI910" s="59">
        <f ca="1">AJ910</f>
        <v>2019</v>
      </c>
      <c r="AJ910" s="18">
        <f ca="1">YEAR(TODAY())</f>
        <v>2019</v>
      </c>
      <c r="AK910" s="18">
        <v>30</v>
      </c>
      <c r="AL910" s="18">
        <v>30</v>
      </c>
      <c r="AM910" s="18">
        <v>1</v>
      </c>
      <c r="AN910" s="18">
        <v>1</v>
      </c>
      <c r="AO910" s="18">
        <v>5</v>
      </c>
      <c r="AP910" s="18">
        <v>1</v>
      </c>
      <c r="AQ910" s="18">
        <v>0</v>
      </c>
      <c r="AR910" s="18">
        <v>0</v>
      </c>
      <c r="AS910" s="18">
        <v>0</v>
      </c>
      <c r="AT910" s="18">
        <v>0</v>
      </c>
      <c r="AU910" s="18">
        <v>0</v>
      </c>
      <c r="AV910" s="18">
        <v>0</v>
      </c>
      <c r="AW910" s="18">
        <v>0</v>
      </c>
      <c r="AX910" s="18">
        <v>0</v>
      </c>
      <c r="AY910" s="233"/>
      <c r="AZ910" s="4"/>
      <c r="BA910" s="35" t="str">
        <f>IF(OR(S910="North America",S910="Rocky Mountain"), "Widespread",BC910)</f>
        <v>Widespread</v>
      </c>
      <c r="BB910" s="4"/>
      <c r="BC910" s="35" t="str">
        <f ca="1">IF(BE910&gt;2046, "Abundant",BE910)</f>
        <v>Abundant</v>
      </c>
      <c r="BD910" s="4"/>
      <c r="BE910" s="81">
        <f ca="1">YEAR($C$13)+(BG910*80)</f>
        <v>2109.4342930481284</v>
      </c>
      <c r="BF910" s="4"/>
      <c r="BG910" s="137">
        <f ca="1">BH910*$BH$14</f>
        <v>1.1304286631016043</v>
      </c>
      <c r="BH910" s="137">
        <f ca="1">(((BJ910+BK910+BM910+BN910)/4)*$BM$11)+(((BP910+BQ910)/2)*$BQ$11)+(((BU910+BV910+BW910)/3)*$BU$11)+(((BY910+BZ910+CA910+CB910+CC910)/5)*$CA$11)</f>
        <v>1.1304286631016043</v>
      </c>
      <c r="BI910" s="4"/>
      <c r="BJ910" s="33">
        <f>AP910/(AM910+AO910)</f>
        <v>0.16666666666666666</v>
      </c>
      <c r="BK910" s="33">
        <f>(AN910+AO910)/(AM910+AO910)</f>
        <v>1</v>
      </c>
      <c r="BL910" s="4"/>
      <c r="BM910" s="127">
        <f>CF910/102</f>
        <v>0.40196078431372551</v>
      </c>
      <c r="BN910" s="127">
        <f>C910/2</f>
        <v>4</v>
      </c>
      <c r="BO910" s="4"/>
      <c r="BP910" s="127">
        <f>(AK910)/($AW$6)</f>
        <v>0.30303030303030304</v>
      </c>
      <c r="BQ910" s="127">
        <f ca="1">(CH910-$AW$4)/((YEAR($C$13))-$AW$4)</f>
        <v>1</v>
      </c>
      <c r="BR910" s="127">
        <f>(AL910)/($AW$6)</f>
        <v>0.30303030303030304</v>
      </c>
      <c r="BS910" s="4"/>
      <c r="BT910" s="127"/>
      <c r="BU910" s="127">
        <f ca="1">(CG910-$AW$4)/((YEAR($C$13))-$AW$4)</f>
        <v>1</v>
      </c>
      <c r="BV910" s="127">
        <f>AE910/5</f>
        <v>1</v>
      </c>
      <c r="BW910" s="127">
        <f>AF910/5</f>
        <v>1</v>
      </c>
      <c r="BX910" s="4"/>
      <c r="BY910" s="148" t="str">
        <f>IF(E910="A",".98",IF(E910="B",".99",IF(E910="C","1.00",IF(E910="D","1.00" ))))</f>
        <v>1.00</v>
      </c>
      <c r="BZ910" s="127">
        <f>(CE910+7)/10</f>
        <v>1</v>
      </c>
      <c r="CA910" s="76" t="str">
        <f>IF(D910="Fern",".97",IF(D910="Grass",".99",IF(D910="Herb",".97",IF(D910="Shrub",".99",IF(D910="Tree","1.00",IF(D910="Vine",".98"))))))</f>
        <v>.97</v>
      </c>
      <c r="CB910" s="149" t="str">
        <f>IF(R910="Bogs Ponds Streams",".96", IF(R910="Coastal Areas",".97",IF(R910="Meadows Dry Open",".96",IF(R910="Forest &amp; Understory",".97",IF(R910="Moist Open",".98",IF(R910="Moist Shady",".96",IF(R910="Sub-Alpine","1.0")))))))</f>
        <v>.96</v>
      </c>
      <c r="CC910" s="76" t="str">
        <f>IF(S910="Local Endemic",".50",IF(S910="Regional Endemic",".70",IF(S910="Cascadia",".90",IF(S910="Rocky Mountain",".95",IF(S910="North America",".99")))))</f>
        <v>.99</v>
      </c>
      <c r="CD910" s="4"/>
      <c r="CE910" s="21">
        <f>IF(W910&gt;3,3,W910)</f>
        <v>3</v>
      </c>
      <c r="CF910" s="21">
        <f>IF(AC910&gt;102,102,AC910)</f>
        <v>41</v>
      </c>
      <c r="CG910" s="34">
        <f ca="1">IF(AI910&lt;$AW$4,$AW$4,AI910)</f>
        <v>2019</v>
      </c>
      <c r="CH910" s="34">
        <f ca="1">IF(AJ910&lt;$AW$4,$AW$4,AJ910)</f>
        <v>2019</v>
      </c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13"/>
    </row>
    <row r="911" spans="1:115" ht="15" customHeight="1" x14ac:dyDescent="0.3">
      <c r="A911" s="235"/>
      <c r="B911" s="218"/>
      <c r="C911" s="225">
        <v>8</v>
      </c>
      <c r="D911" s="59" t="s">
        <v>2505</v>
      </c>
      <c r="E911" s="59" t="s">
        <v>2501</v>
      </c>
      <c r="F911" s="397" t="str">
        <f ca="1">IF(BC911&lt;2025, "Extinct&lt; 6Yrs?",BA911)</f>
        <v>Abundant</v>
      </c>
      <c r="G911" s="363" t="s">
        <v>525</v>
      </c>
      <c r="H911" s="363" t="s">
        <v>687</v>
      </c>
      <c r="I911" s="364" t="s">
        <v>1322</v>
      </c>
      <c r="J911" s="365" t="s">
        <v>3863</v>
      </c>
      <c r="K911" s="365" t="s">
        <v>2827</v>
      </c>
      <c r="L911" s="10" t="s">
        <v>2069</v>
      </c>
      <c r="M911" s="8" t="s">
        <v>4981</v>
      </c>
      <c r="N911" s="8" t="s">
        <v>5879</v>
      </c>
      <c r="O911" s="8" t="s">
        <v>6778</v>
      </c>
      <c r="P911" s="9" t="s">
        <v>391</v>
      </c>
      <c r="Q911" s="59" t="s">
        <v>2552</v>
      </c>
      <c r="R911" s="9" t="s">
        <v>2500</v>
      </c>
      <c r="S911" s="9" t="s">
        <v>2459</v>
      </c>
      <c r="T911" s="123" t="str">
        <f>IF(R911="Bogs Ponds Streams","20",IF(R911="Coastal Areas","26",IF(R911="Meadows Dry Open","10",IF(R911="Forest &amp; Understory","14",IF(R911="Moist Open","12",IF(R911="Moist Shady","10",IF(R911="Sub-Alpine Slopes","0")))))))</f>
        <v>10</v>
      </c>
      <c r="U911" s="123" t="str">
        <f>IF(R911="Bogs Ponds Streams","52",IF(R911="Coastal Areas","51",IF(R911="Meadows Dry Open","53",IF(R911="Forest &amp; Understory","52",IF(R911="Moist Open","50",IF(R911="Moist Shady","46",IF(R911="Sub-Alpine Slopes","40")))))))</f>
        <v>53</v>
      </c>
      <c r="V911" s="123" t="str">
        <f>IF(R911="Bogs Ponds Streams","84",IF(R911="Coastal Areas","76",IF(R911="Meadows Dry Open","96", IF(R911="Forest &amp; Understory","90", IF(R911="Moist Open","88", IF(R911="Moist Shady","82", IF(R911="Sub-Alpine Slopes","80")))))))</f>
        <v>96</v>
      </c>
      <c r="W911" s="59">
        <v>20</v>
      </c>
      <c r="X911" s="59">
        <v>0</v>
      </c>
      <c r="Y911" s="59">
        <v>3500</v>
      </c>
      <c r="Z911" s="59" t="s">
        <v>2519</v>
      </c>
      <c r="AA911" s="59" t="s">
        <v>2518</v>
      </c>
      <c r="AB911" s="59">
        <v>6.8</v>
      </c>
      <c r="AC911" s="45">
        <f>C911+AK911+(0.1)*AL911</f>
        <v>20</v>
      </c>
      <c r="AD911" s="77">
        <v>107</v>
      </c>
      <c r="AE911" s="59">
        <v>5</v>
      </c>
      <c r="AF911" s="59">
        <v>5</v>
      </c>
      <c r="AG911" s="59">
        <v>1900</v>
      </c>
      <c r="AH911" s="77">
        <v>0</v>
      </c>
      <c r="AI911" s="59">
        <f ca="1">AJ911</f>
        <v>2019</v>
      </c>
      <c r="AJ911" s="18">
        <f ca="1">YEAR(TODAY())</f>
        <v>2019</v>
      </c>
      <c r="AK911" s="18">
        <v>8</v>
      </c>
      <c r="AL911" s="18">
        <v>40</v>
      </c>
      <c r="AM911" s="18">
        <v>1</v>
      </c>
      <c r="AN911" s="18">
        <v>1</v>
      </c>
      <c r="AO911" s="18">
        <v>5</v>
      </c>
      <c r="AP911" s="18">
        <v>1</v>
      </c>
      <c r="AQ911" s="18">
        <v>0</v>
      </c>
      <c r="AR911" s="18">
        <v>0</v>
      </c>
      <c r="AS911" s="18">
        <v>0</v>
      </c>
      <c r="AT911" s="18">
        <v>0</v>
      </c>
      <c r="AU911" s="18">
        <v>0</v>
      </c>
      <c r="AV911" s="18">
        <v>0</v>
      </c>
      <c r="AW911" s="18">
        <v>0</v>
      </c>
      <c r="AX911" s="18">
        <v>0</v>
      </c>
      <c r="AY911" s="233"/>
      <c r="AZ911" s="4"/>
      <c r="BA911" s="35" t="str">
        <f ca="1">IF(OR(S911="North America",S911="Rocky Mountain"), "Widespread",BC911)</f>
        <v>Abundant</v>
      </c>
      <c r="BB911" s="4"/>
      <c r="BC911" s="35" t="str">
        <f ca="1">IF(BE911&gt;2046, "Abundant",BE911)</f>
        <v>Abundant</v>
      </c>
      <c r="BD911" s="4"/>
      <c r="BE911" s="81">
        <f ca="1">YEAR($C$13)+(BG911*80)</f>
        <v>2104.2682381461677</v>
      </c>
      <c r="BF911" s="4"/>
      <c r="BG911" s="137">
        <f ca="1">BH911*$BH$14</f>
        <v>1.0658529768270946</v>
      </c>
      <c r="BH911" s="137">
        <f ca="1">(((BJ911+BK911+BM911+BN911)/4)*$BM$11)+(((BP911+BQ911)/2)*$BQ$11)+(((BU911+BV911+BW911)/3)*$BU$11)+(((BY911+BZ911+CA911+CB911+CC911)/5)*$CA$11)</f>
        <v>1.0658529768270946</v>
      </c>
      <c r="BI911" s="4"/>
      <c r="BJ911" s="33">
        <f>AP911/(AM911+AO911)</f>
        <v>0.16666666666666666</v>
      </c>
      <c r="BK911" s="33">
        <f>(AN911+AO911)/(AM911+AO911)</f>
        <v>1</v>
      </c>
      <c r="BL911" s="4"/>
      <c r="BM911" s="127">
        <f>CF911/102</f>
        <v>0.19607843137254902</v>
      </c>
      <c r="BN911" s="127">
        <f>C911/2</f>
        <v>4</v>
      </c>
      <c r="BO911" s="4"/>
      <c r="BP911" s="127">
        <f>(AK911)/($AW$6)</f>
        <v>8.0808080808080815E-2</v>
      </c>
      <c r="BQ911" s="127">
        <f ca="1">(CH911-$AW$4)/((YEAR($C$13))-$AW$4)</f>
        <v>1</v>
      </c>
      <c r="BR911" s="127">
        <f>(AL911)/($AW$6)</f>
        <v>0.40404040404040403</v>
      </c>
      <c r="BS911" s="4"/>
      <c r="BT911" s="127"/>
      <c r="BU911" s="127">
        <f ca="1">(CG911-$AW$4)/((YEAR($C$13))-$AW$4)</f>
        <v>1</v>
      </c>
      <c r="BV911" s="127">
        <f>AE911/5</f>
        <v>1</v>
      </c>
      <c r="BW911" s="127">
        <f>AF911/5</f>
        <v>1</v>
      </c>
      <c r="BX911" s="4"/>
      <c r="BY911" s="148" t="str">
        <f>IF(E911="A",".98",IF(E911="B",".99",IF(E911="C","1.00",IF(E911="D","1.00" ))))</f>
        <v>1.00</v>
      </c>
      <c r="BZ911" s="127">
        <f>(CE911+7)/10</f>
        <v>1</v>
      </c>
      <c r="CA911" s="76" t="str">
        <f>IF(D911="Fern",".97",IF(D911="Grass",".99",IF(D911="Herb",".97",IF(D911="Shrub",".99",IF(D911="Tree","1.00",IF(D911="Vine",".98"))))))</f>
        <v>.97</v>
      </c>
      <c r="CB911" s="149" t="str">
        <f>IF(R911="Bogs Ponds Streams",".96", IF(R911="Coastal Areas",".97",IF(R911="Meadows Dry Open",".96",IF(R911="Forest &amp; Understory",".97",IF(R911="Moist Open",".98",IF(R911="Moist Shady",".96",IF(R911="Sub-Alpine","1.0")))))))</f>
        <v>.96</v>
      </c>
      <c r="CC911" s="76" t="str">
        <f>IF(S911="Local Endemic",".50",IF(S911="Regional Endemic",".70",IF(S911="Cascadia",".90",IF(S911="Rocky Mountain",".95",IF(S911="North America",".99")))))</f>
        <v>.90</v>
      </c>
      <c r="CD911" s="4"/>
      <c r="CE911" s="21">
        <f>IF(W911&gt;3,3,W911)</f>
        <v>3</v>
      </c>
      <c r="CF911" s="21">
        <f>IF(AC911&gt;102,102,AC911)</f>
        <v>20</v>
      </c>
      <c r="CG911" s="34">
        <f ca="1">IF(AI911&lt;$AW$4,$AW$4,AI911)</f>
        <v>2019</v>
      </c>
      <c r="CH911" s="34">
        <f ca="1">IF(AJ911&lt;$AW$4,$AW$4,AJ911)</f>
        <v>2019</v>
      </c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13"/>
    </row>
    <row r="912" spans="1:115" ht="15" customHeight="1" x14ac:dyDescent="0.3">
      <c r="A912" s="235"/>
      <c r="B912" s="218"/>
      <c r="C912" s="225">
        <v>8</v>
      </c>
      <c r="D912" s="59" t="s">
        <v>2505</v>
      </c>
      <c r="E912" s="59" t="s">
        <v>2501</v>
      </c>
      <c r="F912" s="397" t="str">
        <f ca="1">IF(BC912&lt;2025, "Extinct&lt; 6Yrs?",BA912)</f>
        <v>Abundant</v>
      </c>
      <c r="G912" s="363" t="s">
        <v>525</v>
      </c>
      <c r="H912" s="363" t="s">
        <v>687</v>
      </c>
      <c r="I912" s="364" t="s">
        <v>392</v>
      </c>
      <c r="J912" s="365" t="s">
        <v>3862</v>
      </c>
      <c r="K912" s="365" t="s">
        <v>782</v>
      </c>
      <c r="L912" s="10" t="s">
        <v>2068</v>
      </c>
      <c r="M912" s="8" t="s">
        <v>4982</v>
      </c>
      <c r="N912" s="8" t="s">
        <v>5880</v>
      </c>
      <c r="O912" s="8" t="s">
        <v>6779</v>
      </c>
      <c r="P912" s="9" t="s">
        <v>391</v>
      </c>
      <c r="Q912" s="59" t="s">
        <v>2552</v>
      </c>
      <c r="R912" s="9" t="s">
        <v>2498</v>
      </c>
      <c r="S912" s="17" t="s">
        <v>2459</v>
      </c>
      <c r="T912" s="123" t="str">
        <f>IF(R912="Bogs Ponds Streams","20",IF(R912="Coastal Areas","26",IF(R912="Meadows Dry Open","10",IF(R912="Forest &amp; Understory","14",IF(R912="Moist Open","12",IF(R912="Moist Shady","10",IF(R912="Sub-Alpine Slopes","0")))))))</f>
        <v>10</v>
      </c>
      <c r="U912" s="123" t="str">
        <f>IF(R912="Bogs Ponds Streams","52",IF(R912="Coastal Areas","51",IF(R912="Meadows Dry Open","53",IF(R912="Forest &amp; Understory","52",IF(R912="Moist Open","50",IF(R912="Moist Shady","46",IF(R912="Sub-Alpine Slopes","40")))))))</f>
        <v>46</v>
      </c>
      <c r="V912" s="123" t="str">
        <f>IF(R912="Bogs Ponds Streams","84",IF(R912="Coastal Areas","76",IF(R912="Meadows Dry Open","96", IF(R912="Forest &amp; Understory","90", IF(R912="Moist Open","88", IF(R912="Moist Shady","82", IF(R912="Sub-Alpine Slopes","80")))))))</f>
        <v>82</v>
      </c>
      <c r="W912" s="59">
        <v>20</v>
      </c>
      <c r="X912" s="59">
        <v>0</v>
      </c>
      <c r="Y912" s="59">
        <v>3500</v>
      </c>
      <c r="Z912" s="59" t="s">
        <v>2519</v>
      </c>
      <c r="AA912" s="59" t="s">
        <v>2518</v>
      </c>
      <c r="AB912" s="59">
        <v>6.8</v>
      </c>
      <c r="AC912" s="45">
        <f>C912+AK912+(0.1)*AL912</f>
        <v>48.2</v>
      </c>
      <c r="AD912" s="77">
        <v>63</v>
      </c>
      <c r="AE912" s="59">
        <v>5</v>
      </c>
      <c r="AF912" s="59">
        <v>5</v>
      </c>
      <c r="AG912" s="59">
        <v>1900</v>
      </c>
      <c r="AH912" s="77">
        <v>0</v>
      </c>
      <c r="AI912" s="59">
        <f ca="1">AJ912</f>
        <v>2019</v>
      </c>
      <c r="AJ912" s="18">
        <f ca="1">YEAR(TODAY())</f>
        <v>2019</v>
      </c>
      <c r="AK912" s="18">
        <v>40</v>
      </c>
      <c r="AL912" s="18">
        <v>2</v>
      </c>
      <c r="AM912" s="18">
        <v>1</v>
      </c>
      <c r="AN912" s="18">
        <v>1</v>
      </c>
      <c r="AO912" s="18">
        <v>5</v>
      </c>
      <c r="AP912" s="18">
        <v>1</v>
      </c>
      <c r="AQ912" s="18">
        <v>0</v>
      </c>
      <c r="AR912" s="18">
        <v>0</v>
      </c>
      <c r="AS912" s="18">
        <v>0</v>
      </c>
      <c r="AT912" s="18">
        <v>0</v>
      </c>
      <c r="AU912" s="18">
        <v>0</v>
      </c>
      <c r="AV912" s="18">
        <v>0</v>
      </c>
      <c r="AW912" s="18">
        <v>0</v>
      </c>
      <c r="AX912" s="18">
        <v>0</v>
      </c>
      <c r="AY912" s="233"/>
      <c r="AZ912" s="4"/>
      <c r="BA912" s="35" t="str">
        <f ca="1">IF(OR(S912="North America",S912="Rocky Mountain"), "Widespread",BC912)</f>
        <v>Abundant</v>
      </c>
      <c r="BB912" s="4"/>
      <c r="BC912" s="35" t="str">
        <f ca="1">IF(BE912&gt;2046, "Abundant",BE912)</f>
        <v>Abundant</v>
      </c>
      <c r="BD912" s="4"/>
      <c r="BE912" s="81">
        <f ca="1">YEAR($C$13)+(BG912*80)</f>
        <v>2111.464673083779</v>
      </c>
      <c r="BF912" s="4"/>
      <c r="BG912" s="137">
        <f ca="1">BH912*$BH$14</f>
        <v>1.1558084135472373</v>
      </c>
      <c r="BH912" s="137">
        <f ca="1">(((BJ912+BK912+BM912+BN912)/4)*$BM$11)+(((BP912+BQ912)/2)*$BQ$11)+(((BU912+BV912+BW912)/3)*$BU$11)+(((BY912+BZ912+CA912+CB912+CC912)/5)*$CA$11)</f>
        <v>1.1558084135472373</v>
      </c>
      <c r="BI912" s="4"/>
      <c r="BJ912" s="33">
        <f>AP912/(AM912+AO912)</f>
        <v>0.16666666666666666</v>
      </c>
      <c r="BK912" s="33">
        <f>(AN912+AO912)/(AM912+AO912)</f>
        <v>1</v>
      </c>
      <c r="BL912" s="4"/>
      <c r="BM912" s="127">
        <f>CF912/102</f>
        <v>0.47254901960784318</v>
      </c>
      <c r="BN912" s="127">
        <f>C912/2</f>
        <v>4</v>
      </c>
      <c r="BO912" s="4"/>
      <c r="BP912" s="127">
        <f>(AK912)/($AW$6)</f>
        <v>0.40404040404040403</v>
      </c>
      <c r="BQ912" s="127">
        <f ca="1">(CH912-$AW$4)/((YEAR($C$13))-$AW$4)</f>
        <v>1</v>
      </c>
      <c r="BR912" s="127">
        <f>(AL912)/($AW$6)</f>
        <v>2.0202020202020204E-2</v>
      </c>
      <c r="BS912" s="4"/>
      <c r="BT912" s="127"/>
      <c r="BU912" s="127">
        <f ca="1">(CG912-$AW$4)/((YEAR($C$13))-$AW$4)</f>
        <v>1</v>
      </c>
      <c r="BV912" s="127">
        <f>AE912/5</f>
        <v>1</v>
      </c>
      <c r="BW912" s="127">
        <f>AF912/5</f>
        <v>1</v>
      </c>
      <c r="BX912" s="4"/>
      <c r="BY912" s="148" t="str">
        <f>IF(E912="A",".98",IF(E912="B",".99",IF(E912="C","1.00",IF(E912="D","1.00" ))))</f>
        <v>1.00</v>
      </c>
      <c r="BZ912" s="127">
        <f>(CE912+7)/10</f>
        <v>1</v>
      </c>
      <c r="CA912" s="76" t="str">
        <f>IF(D912="Fern",".97",IF(D912="Grass",".99",IF(D912="Herb",".97",IF(D912="Shrub",".99",IF(D912="Tree","1.00",IF(D912="Vine",".98"))))))</f>
        <v>.97</v>
      </c>
      <c r="CB912" s="149" t="str">
        <f>IF(R912="Bogs Ponds Streams",".96", IF(R912="Coastal Areas",".97",IF(R912="Meadows Dry Open",".96",IF(R912="Forest &amp; Understory",".97",IF(R912="Moist Open",".98",IF(R912="Moist Shady",".96",IF(R912="Sub-Alpine","1.0")))))))</f>
        <v>.96</v>
      </c>
      <c r="CC912" s="76" t="str">
        <f>IF(S912="Local Endemic",".50",IF(S912="Regional Endemic",".70",IF(S912="Cascadia",".90",IF(S912="Rocky Mountain",".95",IF(S912="North America",".99")))))</f>
        <v>.90</v>
      </c>
      <c r="CD912" s="4"/>
      <c r="CE912" s="21">
        <f>IF(W912&gt;3,3,W912)</f>
        <v>3</v>
      </c>
      <c r="CF912" s="21">
        <f>IF(AC912&gt;102,102,AC912)</f>
        <v>48.2</v>
      </c>
      <c r="CG912" s="34">
        <f ca="1">IF(AI912&lt;$AW$4,$AW$4,AI912)</f>
        <v>2019</v>
      </c>
      <c r="CH912" s="34">
        <f ca="1">IF(AJ912&lt;$AW$4,$AW$4,AJ912)</f>
        <v>2019</v>
      </c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13"/>
    </row>
    <row r="913" spans="1:115" ht="15" customHeight="1" x14ac:dyDescent="0.3">
      <c r="A913" s="235"/>
      <c r="B913" s="218"/>
      <c r="C913" s="375">
        <v>1</v>
      </c>
      <c r="D913" s="95" t="s">
        <v>1155</v>
      </c>
      <c r="E913" s="67" t="s">
        <v>2501</v>
      </c>
      <c r="F913" s="403" t="str">
        <f ca="1">IF(BC913&lt;2025, "Extinct&lt; 6Yrs?",BA913)</f>
        <v>Widespread</v>
      </c>
      <c r="G913" s="376" t="s">
        <v>525</v>
      </c>
      <c r="H913" s="376" t="s">
        <v>4028</v>
      </c>
      <c r="I913" s="379" t="s">
        <v>221</v>
      </c>
      <c r="J913" s="378" t="s">
        <v>3476</v>
      </c>
      <c r="K913" s="378" t="s">
        <v>220</v>
      </c>
      <c r="L913" s="63" t="s">
        <v>2070</v>
      </c>
      <c r="M913" s="64" t="s">
        <v>4983</v>
      </c>
      <c r="N913" s="64" t="s">
        <v>5881</v>
      </c>
      <c r="O913" s="64" t="s">
        <v>6780</v>
      </c>
      <c r="P913" s="61" t="s">
        <v>468</v>
      </c>
      <c r="Q913" s="67" t="s">
        <v>2552</v>
      </c>
      <c r="R913" s="163" t="s">
        <v>2497</v>
      </c>
      <c r="S913" s="65" t="s">
        <v>2479</v>
      </c>
      <c r="T913" s="134" t="str">
        <f>IF(R913="Bogs Ponds Streams","20",IF(R913="Coastal Areas","26",IF(R913="Meadows Dry Open","10",IF(R913="Forest &amp; Understory","14",IF(R913="Moist Open","12",IF(R913="Moist Shady","10",IF(R913="Sub-Alpine Slopes","0")))))))</f>
        <v>12</v>
      </c>
      <c r="U913" s="134" t="str">
        <f>IF(R913="Bogs Ponds Streams","52",IF(R913="Coastal Areas","51",IF(R913="Meadows Dry Open","53",IF(R913="Forest &amp; Understory","52",IF(R913="Moist Open","50",IF(R913="Moist Shady","46",IF(R913="Sub-Alpine Slopes","40")))))))</f>
        <v>50</v>
      </c>
      <c r="V913" s="134" t="str">
        <f>IF(R913="Bogs Ponds Streams","84",IF(R913="Coastal Areas","76",IF(R913="Meadows Dry Open","96", IF(R913="Forest &amp; Understory","90", IF(R913="Moist Open","88", IF(R913="Moist Shady","82", IF(R913="Sub-Alpine Slopes","80")))))))</f>
        <v>88</v>
      </c>
      <c r="W913" s="67">
        <v>20</v>
      </c>
      <c r="X913" s="67">
        <v>0</v>
      </c>
      <c r="Y913" s="67">
        <v>3500</v>
      </c>
      <c r="Z913" s="67" t="s">
        <v>2519</v>
      </c>
      <c r="AA913" s="67" t="s">
        <v>2518</v>
      </c>
      <c r="AB913" s="67">
        <v>6.8</v>
      </c>
      <c r="AC913" s="85">
        <f>C913+AK913+(0.1)*AL913</f>
        <v>12</v>
      </c>
      <c r="AD913" s="78">
        <v>126</v>
      </c>
      <c r="AE913" s="67">
        <v>5</v>
      </c>
      <c r="AF913" s="67">
        <v>5</v>
      </c>
      <c r="AG913" s="67">
        <v>1900</v>
      </c>
      <c r="AH913" s="78">
        <v>0</v>
      </c>
      <c r="AI913" s="67">
        <f>AJ913</f>
        <v>2004</v>
      </c>
      <c r="AJ913" s="69">
        <v>2004</v>
      </c>
      <c r="AK913" s="69">
        <v>5</v>
      </c>
      <c r="AL913" s="69">
        <v>60</v>
      </c>
      <c r="AM913" s="70">
        <v>5</v>
      </c>
      <c r="AN913" s="70">
        <v>0</v>
      </c>
      <c r="AO913" s="86">
        <v>0</v>
      </c>
      <c r="AP913" s="70">
        <v>0</v>
      </c>
      <c r="AQ913" s="70">
        <v>0</v>
      </c>
      <c r="AR913" s="70">
        <v>0</v>
      </c>
      <c r="AS913" s="86">
        <v>0</v>
      </c>
      <c r="AT913" s="70">
        <v>0</v>
      </c>
      <c r="AU913" s="70">
        <v>0</v>
      </c>
      <c r="AV913" s="70">
        <v>0</v>
      </c>
      <c r="AW913" s="86">
        <v>0</v>
      </c>
      <c r="AX913" s="70">
        <v>0</v>
      </c>
      <c r="AY913" s="233"/>
      <c r="AZ913" s="4"/>
      <c r="BA913" s="35" t="str">
        <f>IF(OR(S913="North America",S913="Rocky Mountain"), "Widespread",BC913)</f>
        <v>Widespread</v>
      </c>
      <c r="BB913" s="4"/>
      <c r="BC913" s="35">
        <f ca="1">IF(BE913&gt;2046, "Abundant",BE913)</f>
        <v>2032.8588919786096</v>
      </c>
      <c r="BD913" s="4"/>
      <c r="BE913" s="81">
        <f ca="1">YEAR($C$13)+(BG913*80)</f>
        <v>2032.8588919786096</v>
      </c>
      <c r="BF913" s="4"/>
      <c r="BG913" s="137">
        <f ca="1">BH913*$BH$14</f>
        <v>0.17323614973262033</v>
      </c>
      <c r="BH913" s="137">
        <f ca="1">(((BJ913+BK913+BM913+BN913)/4)*$BM$11)+(((BP913+BQ913)/2)*$BQ$11)+(((BU913+BV913+BW913)/3)*$BU$11)+(((BY913+BZ913+CA913+CB913+CC913)/5)*$CA$11)</f>
        <v>0.17323614973262033</v>
      </c>
      <c r="BI913" s="4"/>
      <c r="BJ913" s="33">
        <f>AP913/(AM913+AO913)</f>
        <v>0</v>
      </c>
      <c r="BK913" s="33">
        <f>(AN913+AO913)/(AM913+AO913)</f>
        <v>0</v>
      </c>
      <c r="BL913" s="4"/>
      <c r="BM913" s="127">
        <f>CF913/102</f>
        <v>0.11764705882352941</v>
      </c>
      <c r="BN913" s="127">
        <f>C913/2</f>
        <v>0.5</v>
      </c>
      <c r="BO913" s="4"/>
      <c r="BP913" s="127">
        <f>(AK913)/($AW$6)</f>
        <v>5.0505050505050504E-2</v>
      </c>
      <c r="BQ913" s="127">
        <f ca="1">(CH913-$AW$4)/((YEAR($C$13))-$AW$4)</f>
        <v>0</v>
      </c>
      <c r="BR913" s="127">
        <f>(AL913)/($AW$6)</f>
        <v>0.60606060606060608</v>
      </c>
      <c r="BS913" s="4"/>
      <c r="BT913" s="127"/>
      <c r="BU913" s="127">
        <f ca="1">(CG913-$AW$4)/((YEAR($C$13))-$AW$4)</f>
        <v>0</v>
      </c>
      <c r="BV913" s="127">
        <f>AE913/5</f>
        <v>1</v>
      </c>
      <c r="BW913" s="127">
        <f>AF913/5</f>
        <v>1</v>
      </c>
      <c r="BX913" s="4"/>
      <c r="BY913" s="148" t="str">
        <f>IF(E913="A",".98",IF(E913="B",".99",IF(E913="C","1.00",IF(E913="D","1.00" ))))</f>
        <v>1.00</v>
      </c>
      <c r="BZ913" s="127">
        <f>(CE913+7)/10</f>
        <v>1</v>
      </c>
      <c r="CA913" s="76" t="str">
        <f>IF(D913="Fern",".97",IF(D913="Grass",".99",IF(D913="Herb",".97",IF(D913="Shrub",".99",IF(D913="Tree","1.00",IF(D913="Vine",".98"))))))</f>
        <v>.99</v>
      </c>
      <c r="CB913" s="149" t="str">
        <f>IF(R913="Bogs Ponds Streams",".96", IF(R913="Coastal Areas",".97",IF(R913="Meadows Dry Open",".96",IF(R913="Forest &amp; Understory",".97",IF(R913="Moist Open",".98",IF(R913="Moist Shady",".96",IF(R913="Sub-Alpine","1.0")))))))</f>
        <v>.98</v>
      </c>
      <c r="CC913" s="76" t="str">
        <f>IF(S913="Local Endemic",".50",IF(S913="Regional Endemic",".70",IF(S913="Cascadia",".90",IF(S913="Rocky Mountain",".95",IF(S913="North America",".99")))))</f>
        <v>.95</v>
      </c>
      <c r="CD913" s="4"/>
      <c r="CE913" s="21">
        <f>IF(W913&gt;3,3,W913)</f>
        <v>3</v>
      </c>
      <c r="CF913" s="21">
        <f>IF(AC913&gt;102,102,AC913)</f>
        <v>12</v>
      </c>
      <c r="CG913" s="34">
        <f>IF(AI913&lt;$AW$4,$AW$4,AI913)</f>
        <v>2004</v>
      </c>
      <c r="CH913" s="34">
        <f>IF(AJ913&lt;$AW$4,$AW$4,AJ913)</f>
        <v>2004</v>
      </c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13"/>
    </row>
    <row r="914" spans="1:115" ht="15" customHeight="1" x14ac:dyDescent="0.3">
      <c r="A914" s="235"/>
      <c r="B914" s="218"/>
      <c r="C914" s="225">
        <v>8</v>
      </c>
      <c r="D914" s="59" t="s">
        <v>1154</v>
      </c>
      <c r="E914" s="59" t="s">
        <v>2501</v>
      </c>
      <c r="F914" s="397" t="str">
        <f ca="1">IF(BC914&lt;2025, "Extinct&lt; 6Yrs?",BA914)</f>
        <v>Widespread</v>
      </c>
      <c r="G914" s="363" t="s">
        <v>525</v>
      </c>
      <c r="H914" s="363" t="s">
        <v>688</v>
      </c>
      <c r="I914" s="364" t="s">
        <v>3032</v>
      </c>
      <c r="J914" s="365" t="s">
        <v>3861</v>
      </c>
      <c r="K914" s="365" t="s">
        <v>1309</v>
      </c>
      <c r="L914" s="10" t="s">
        <v>2071</v>
      </c>
      <c r="M914" s="8" t="s">
        <v>4984</v>
      </c>
      <c r="N914" s="8" t="s">
        <v>5882</v>
      </c>
      <c r="O914" s="8" t="s">
        <v>6781</v>
      </c>
      <c r="P914" s="9" t="s">
        <v>4047</v>
      </c>
      <c r="Q914" s="59" t="s">
        <v>2552</v>
      </c>
      <c r="R914" s="160" t="s">
        <v>2497</v>
      </c>
      <c r="S914" s="17" t="s">
        <v>2495</v>
      </c>
      <c r="T914" s="123" t="str">
        <f>IF(R914="Bogs Ponds Streams","20",IF(R914="Coastal Areas","26",IF(R914="Meadows Dry Open","10",IF(R914="Forest &amp; Understory","14",IF(R914="Moist Open","12",IF(R914="Moist Shady","10",IF(R914="Sub-Alpine Slopes","0")))))))</f>
        <v>12</v>
      </c>
      <c r="U914" s="123" t="str">
        <f>IF(R914="Bogs Ponds Streams","52",IF(R914="Coastal Areas","51",IF(R914="Meadows Dry Open","53",IF(R914="Forest &amp; Understory","52",IF(R914="Moist Open","50",IF(R914="Moist Shady","46",IF(R914="Sub-Alpine Slopes","40")))))))</f>
        <v>50</v>
      </c>
      <c r="V914" s="123" t="str">
        <f>IF(R914="Bogs Ponds Streams","84",IF(R914="Coastal Areas","76",IF(R914="Meadows Dry Open","96", IF(R914="Forest &amp; Understory","90", IF(R914="Moist Open","88", IF(R914="Moist Shady","82", IF(R914="Sub-Alpine Slopes","80")))))))</f>
        <v>88</v>
      </c>
      <c r="W914" s="59">
        <v>20</v>
      </c>
      <c r="X914" s="59">
        <v>0</v>
      </c>
      <c r="Y914" s="59">
        <v>3500</v>
      </c>
      <c r="Z914" s="59" t="s">
        <v>2519</v>
      </c>
      <c r="AA914" s="59" t="s">
        <v>2518</v>
      </c>
      <c r="AB914" s="59">
        <v>6.8</v>
      </c>
      <c r="AC914" s="45">
        <f>C914+AK914+(0.1)*AL914</f>
        <v>16</v>
      </c>
      <c r="AD914" s="77">
        <v>102</v>
      </c>
      <c r="AE914" s="59">
        <v>5</v>
      </c>
      <c r="AF914" s="59">
        <v>5</v>
      </c>
      <c r="AG914" s="59">
        <v>1900</v>
      </c>
      <c r="AH914" s="77">
        <v>0</v>
      </c>
      <c r="AI914" s="59">
        <f ca="1">AJ914</f>
        <v>2019</v>
      </c>
      <c r="AJ914" s="18">
        <f ca="1">YEAR(TODAY())</f>
        <v>2019</v>
      </c>
      <c r="AK914" s="18">
        <v>3</v>
      </c>
      <c r="AL914" s="18">
        <v>50</v>
      </c>
      <c r="AM914" s="18">
        <v>1</v>
      </c>
      <c r="AN914" s="18">
        <v>1</v>
      </c>
      <c r="AO914" s="25">
        <v>0</v>
      </c>
      <c r="AP914" s="24">
        <v>0</v>
      </c>
      <c r="AQ914" s="18">
        <v>0</v>
      </c>
      <c r="AR914" s="18">
        <v>0</v>
      </c>
      <c r="AS914" s="18">
        <v>0</v>
      </c>
      <c r="AT914" s="18">
        <v>0</v>
      </c>
      <c r="AU914" s="18">
        <v>0</v>
      </c>
      <c r="AV914" s="18">
        <v>0</v>
      </c>
      <c r="AW914" s="18">
        <v>0</v>
      </c>
      <c r="AX914" s="18">
        <v>0</v>
      </c>
      <c r="AY914" s="233"/>
      <c r="AZ914" s="4"/>
      <c r="BA914" s="35" t="str">
        <f>IF(OR(S914="North America",S914="Rocky Mountain"), "Widespread",BC914)</f>
        <v>Widespread</v>
      </c>
      <c r="BB914" s="4"/>
      <c r="BC914" s="35" t="str">
        <f ca="1">IF(BE914&gt;2046, "Abundant",BE914)</f>
        <v>Abundant</v>
      </c>
      <c r="BD914" s="4"/>
      <c r="BE914" s="81">
        <f ca="1">YEAR($C$13)+(BG914*80)</f>
        <v>2101.2267893048129</v>
      </c>
      <c r="BF914" s="4"/>
      <c r="BG914" s="137">
        <f ca="1">BH914*$BH$14</f>
        <v>1.0278348663101604</v>
      </c>
      <c r="BH914" s="137">
        <f ca="1">(((BJ914+BK914+BM914+BN914)/4)*$BM$11)+(((BP914+BQ914)/2)*$BQ$11)+(((BU914+BV914+BW914)/3)*$BU$11)+(((BY914+BZ914+CA914+CB914+CC914)/5)*$CA$11)</f>
        <v>1.0278348663101604</v>
      </c>
      <c r="BI914" s="4"/>
      <c r="BJ914" s="33">
        <f>AP914/(AM914+AO914)</f>
        <v>0</v>
      </c>
      <c r="BK914" s="33">
        <f>(AN914+AO914)/(AM914+AO914)</f>
        <v>1</v>
      </c>
      <c r="BL914" s="4"/>
      <c r="BM914" s="127">
        <f>CF914/102</f>
        <v>0.15686274509803921</v>
      </c>
      <c r="BN914" s="127">
        <f>C914/2</f>
        <v>4</v>
      </c>
      <c r="BO914" s="4"/>
      <c r="BP914" s="127">
        <f>(AK914)/($AW$6)</f>
        <v>3.0303030303030304E-2</v>
      </c>
      <c r="BQ914" s="127">
        <f ca="1">(CH914-$AW$4)/((YEAR($C$13))-$AW$4)</f>
        <v>1</v>
      </c>
      <c r="BR914" s="127">
        <f>(AL914)/($AW$6)</f>
        <v>0.50505050505050508</v>
      </c>
      <c r="BS914" s="4"/>
      <c r="BT914" s="127"/>
      <c r="BU914" s="127">
        <f ca="1">(CG914-$AW$4)/((YEAR($C$13))-$AW$4)</f>
        <v>1</v>
      </c>
      <c r="BV914" s="127">
        <f>AE914/5</f>
        <v>1</v>
      </c>
      <c r="BW914" s="127">
        <f>AF914/5</f>
        <v>1</v>
      </c>
      <c r="BX914" s="4"/>
      <c r="BY914" s="148" t="str">
        <f>IF(E914="A",".98",IF(E914="B",".99",IF(E914="C","1.00",IF(E914="D","1.00" ))))</f>
        <v>1.00</v>
      </c>
      <c r="BZ914" s="127">
        <f>(CE914+7)/10</f>
        <v>1</v>
      </c>
      <c r="CA914" s="76" t="str">
        <f>IF(D914="Fern",".97",IF(D914="Grass",".99",IF(D914="Herb",".97",IF(D914="Shrub",".99",IF(D914="Tree","1.00",IF(D914="Vine",".98"))))))</f>
        <v>.97</v>
      </c>
      <c r="CB914" s="149" t="str">
        <f>IF(R914="Bogs Ponds Streams",".96", IF(R914="Coastal Areas",".97",IF(R914="Meadows Dry Open",".96",IF(R914="Forest &amp; Understory",".97",IF(R914="Moist Open",".98",IF(R914="Moist Shady",".96",IF(R914="Sub-Alpine","1.0")))))))</f>
        <v>.98</v>
      </c>
      <c r="CC914" s="76" t="str">
        <f>IF(S914="Local Endemic",".50",IF(S914="Regional Endemic",".70",IF(S914="Cascadia",".90",IF(S914="Rocky Mountain",".95",IF(S914="North America",".99")))))</f>
        <v>.99</v>
      </c>
      <c r="CD914" s="4"/>
      <c r="CE914" s="21">
        <f>IF(W914&gt;3,3,W914)</f>
        <v>3</v>
      </c>
      <c r="CF914" s="21">
        <f>IF(AC914&gt;102,102,AC914)</f>
        <v>16</v>
      </c>
      <c r="CG914" s="34">
        <f ca="1">IF(AI914&lt;$AW$4,$AW$4,AI914)</f>
        <v>2019</v>
      </c>
      <c r="CH914" s="34">
        <f ca="1">IF(AJ914&lt;$AW$4,$AW$4,AJ914)</f>
        <v>2019</v>
      </c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13"/>
    </row>
    <row r="915" spans="1:115" ht="15" customHeight="1" x14ac:dyDescent="0.3">
      <c r="A915" s="235"/>
      <c r="B915" s="218"/>
      <c r="C915" s="225">
        <v>8</v>
      </c>
      <c r="D915" s="59" t="s">
        <v>1154</v>
      </c>
      <c r="E915" s="59" t="s">
        <v>2501</v>
      </c>
      <c r="F915" s="397" t="str">
        <f ca="1">IF(BC915&lt;2025, "Extinct&lt; 6Yrs?",BA915)</f>
        <v>Abundant</v>
      </c>
      <c r="G915" s="363" t="s">
        <v>525</v>
      </c>
      <c r="H915" s="363" t="s">
        <v>680</v>
      </c>
      <c r="I915" s="364" t="s">
        <v>497</v>
      </c>
      <c r="J915" s="365" t="s">
        <v>3860</v>
      </c>
      <c r="K915" s="365" t="s">
        <v>496</v>
      </c>
      <c r="L915" s="10" t="s">
        <v>2072</v>
      </c>
      <c r="M915" s="8" t="s">
        <v>4985</v>
      </c>
      <c r="N915" s="8" t="s">
        <v>5883</v>
      </c>
      <c r="O915" s="8" t="s">
        <v>6782</v>
      </c>
      <c r="P915" s="9" t="s">
        <v>742</v>
      </c>
      <c r="Q915" s="59" t="s">
        <v>2552</v>
      </c>
      <c r="R915" s="9" t="s">
        <v>2498</v>
      </c>
      <c r="S915" s="159" t="s">
        <v>2459</v>
      </c>
      <c r="T915" s="123" t="str">
        <f>IF(R915="Bogs Ponds Streams","20",IF(R915="Coastal Areas","26",IF(R915="Meadows Dry Open","10",IF(R915="Forest &amp; Understory","14",IF(R915="Moist Open","12",IF(R915="Moist Shady","10",IF(R915="Sub-Alpine Slopes","0")))))))</f>
        <v>10</v>
      </c>
      <c r="U915" s="123" t="str">
        <f>IF(R915="Bogs Ponds Streams","52",IF(R915="Coastal Areas","51",IF(R915="Meadows Dry Open","53",IF(R915="Forest &amp; Understory","52",IF(R915="Moist Open","50",IF(R915="Moist Shady","46",IF(R915="Sub-Alpine Slopes","40")))))))</f>
        <v>46</v>
      </c>
      <c r="V915" s="123" t="str">
        <f>IF(R915="Bogs Ponds Streams","84",IF(R915="Coastal Areas","76",IF(R915="Meadows Dry Open","96", IF(R915="Forest &amp; Understory","90", IF(R915="Moist Open","88", IF(R915="Moist Shady","82", IF(R915="Sub-Alpine Slopes","80")))))))</f>
        <v>82</v>
      </c>
      <c r="W915" s="59">
        <v>20</v>
      </c>
      <c r="X915" s="59">
        <v>0</v>
      </c>
      <c r="Y915" s="59">
        <v>3500</v>
      </c>
      <c r="Z915" s="59" t="s">
        <v>2519</v>
      </c>
      <c r="AA915" s="59" t="s">
        <v>2518</v>
      </c>
      <c r="AB915" s="59">
        <v>6.8</v>
      </c>
      <c r="AC915" s="45">
        <f>C915+AK915+(0.1)*AL915</f>
        <v>15</v>
      </c>
      <c r="AD915" s="77">
        <v>27</v>
      </c>
      <c r="AE915" s="60">
        <v>3</v>
      </c>
      <c r="AF915" s="60">
        <v>5</v>
      </c>
      <c r="AG915" s="77">
        <v>1925</v>
      </c>
      <c r="AH915" s="77">
        <v>0</v>
      </c>
      <c r="AI915" s="77">
        <v>2000</v>
      </c>
      <c r="AJ915" s="18">
        <f ca="1">YEAR(TODAY())</f>
        <v>2019</v>
      </c>
      <c r="AK915" s="18">
        <v>7</v>
      </c>
      <c r="AL915" s="18">
        <v>0</v>
      </c>
      <c r="AM915" s="18">
        <v>1</v>
      </c>
      <c r="AN915" s="18">
        <v>1</v>
      </c>
      <c r="AO915" s="18">
        <v>5</v>
      </c>
      <c r="AP915" s="18">
        <v>1</v>
      </c>
      <c r="AQ915" s="18">
        <v>0</v>
      </c>
      <c r="AR915" s="18">
        <v>0</v>
      </c>
      <c r="AS915" s="18">
        <v>0</v>
      </c>
      <c r="AT915" s="18">
        <v>0</v>
      </c>
      <c r="AU915" s="18">
        <v>0</v>
      </c>
      <c r="AV915" s="18">
        <v>0</v>
      </c>
      <c r="AW915" s="18">
        <v>0</v>
      </c>
      <c r="AX915" s="18">
        <v>0</v>
      </c>
      <c r="AY915" s="233"/>
      <c r="AZ915" s="4"/>
      <c r="BA915" s="35" t="str">
        <f ca="1">IF(OR(S915="North America",S915="Rocky Mountain"), "Widespread",BC915)</f>
        <v>Abundant</v>
      </c>
      <c r="BB915" s="4"/>
      <c r="BC915" s="35" t="str">
        <f ca="1">IF(BE915&gt;2046, "Abundant",BE915)</f>
        <v>Abundant</v>
      </c>
      <c r="BD915" s="4"/>
      <c r="BE915" s="81">
        <f ca="1">YEAR($C$13)+(BG915*80)</f>
        <v>2100.572124064171</v>
      </c>
      <c r="BF915" s="4"/>
      <c r="BG915" s="137">
        <f ca="1">BH915*$BH$14</f>
        <v>1.0196515508021391</v>
      </c>
      <c r="BH915" s="137">
        <f ca="1">(((BJ915+BK915+BM915+BN915)/4)*$BM$11)+(((BP915+BQ915)/2)*$BQ$11)+(((BU915+BV915+BW915)/3)*$BU$11)+(((BY915+BZ915+CA915+CB915+CC915)/5)*$CA$11)</f>
        <v>1.0196515508021391</v>
      </c>
      <c r="BI915" s="4"/>
      <c r="BJ915" s="33">
        <f>AP915/(AM915+AO915)</f>
        <v>0.16666666666666666</v>
      </c>
      <c r="BK915" s="33">
        <f>(AN915+AO915)/(AM915+AO915)</f>
        <v>1</v>
      </c>
      <c r="BL915" s="4"/>
      <c r="BM915" s="127">
        <f>CF915/102</f>
        <v>0.14705882352941177</v>
      </c>
      <c r="BN915" s="127">
        <f>C915/2</f>
        <v>4</v>
      </c>
      <c r="BO915" s="4"/>
      <c r="BP915" s="127">
        <f>(AK915)/($AW$6)</f>
        <v>7.0707070707070704E-2</v>
      </c>
      <c r="BQ915" s="127">
        <f ca="1">(CH915-$AW$4)/((YEAR($C$13))-$AW$4)</f>
        <v>1</v>
      </c>
      <c r="BR915" s="127">
        <f>(AL915)/($AW$6)</f>
        <v>0</v>
      </c>
      <c r="BS915" s="4"/>
      <c r="BT915" s="127"/>
      <c r="BU915" s="127">
        <f ca="1">(CG915-$AW$4)/((YEAR($C$13))-$AW$4)</f>
        <v>0</v>
      </c>
      <c r="BV915" s="127">
        <f>AE915/5</f>
        <v>0.6</v>
      </c>
      <c r="BW915" s="127">
        <f>AF915/5</f>
        <v>1</v>
      </c>
      <c r="BX915" s="4"/>
      <c r="BY915" s="148" t="str">
        <f>IF(E915="A",".98",IF(E915="B",".99",IF(E915="C","1.00",IF(E915="D","1.00" ))))</f>
        <v>1.00</v>
      </c>
      <c r="BZ915" s="127">
        <f>(CE915+7)/10</f>
        <v>1</v>
      </c>
      <c r="CA915" s="76" t="str">
        <f>IF(D915="Fern",".97",IF(D915="Grass",".99",IF(D915="Herb",".97",IF(D915="Shrub",".99",IF(D915="Tree","1.00",IF(D915="Vine",".98"))))))</f>
        <v>.97</v>
      </c>
      <c r="CB915" s="149" t="str">
        <f>IF(R915="Bogs Ponds Streams",".96", IF(R915="Coastal Areas",".97",IF(R915="Meadows Dry Open",".96",IF(R915="Forest &amp; Understory",".97",IF(R915="Moist Open",".98",IF(R915="Moist Shady",".96",IF(R915="Sub-Alpine","1.0")))))))</f>
        <v>.96</v>
      </c>
      <c r="CC915" s="76" t="str">
        <f>IF(S915="Local Endemic",".50",IF(S915="Regional Endemic",".70",IF(S915="Cascadia",".90",IF(S915="Rocky Mountain",".95",IF(S915="North America",".99")))))</f>
        <v>.90</v>
      </c>
      <c r="CD915" s="4"/>
      <c r="CE915" s="21">
        <f>IF(W915&gt;3,3,W915)</f>
        <v>3</v>
      </c>
      <c r="CF915" s="21">
        <f>IF(AC915&gt;102,102,AC915)</f>
        <v>15</v>
      </c>
      <c r="CG915" s="34">
        <f>IF(AI915&lt;$AW$4,$AW$4,AI915)</f>
        <v>2004</v>
      </c>
      <c r="CH915" s="34">
        <f ca="1">IF(AJ915&lt;$AW$4,$AW$4,AJ915)</f>
        <v>2019</v>
      </c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13"/>
    </row>
    <row r="916" spans="1:115" ht="15" customHeight="1" x14ac:dyDescent="0.3">
      <c r="A916" s="235"/>
      <c r="B916" s="218"/>
      <c r="C916" s="375">
        <v>1</v>
      </c>
      <c r="D916" s="67" t="s">
        <v>2505</v>
      </c>
      <c r="E916" s="67" t="s">
        <v>2501</v>
      </c>
      <c r="F916" s="403">
        <f ca="1">IF(BC916&lt;2025, "Extinct&lt; 6Yrs?",BA916)</f>
        <v>2031.3671614973262</v>
      </c>
      <c r="G916" s="376" t="s">
        <v>525</v>
      </c>
      <c r="H916" s="376" t="s">
        <v>4028</v>
      </c>
      <c r="I916" s="377" t="s">
        <v>2363</v>
      </c>
      <c r="J916" s="378" t="s">
        <v>2376</v>
      </c>
      <c r="K916" s="378" t="s">
        <v>2362</v>
      </c>
      <c r="L916" s="64" t="s">
        <v>2375</v>
      </c>
      <c r="M916" s="64" t="s">
        <v>4986</v>
      </c>
      <c r="N916" s="64" t="s">
        <v>5884</v>
      </c>
      <c r="O916" s="64" t="s">
        <v>6783</v>
      </c>
      <c r="P916" s="61" t="s">
        <v>51</v>
      </c>
      <c r="Q916" s="67" t="s">
        <v>2552</v>
      </c>
      <c r="R916" s="61" t="s">
        <v>2500</v>
      </c>
      <c r="S916" s="65" t="s">
        <v>2309</v>
      </c>
      <c r="T916" s="134" t="str">
        <f>IF(R916="Bogs Ponds Streams","20",IF(R916="Coastal Areas","26",IF(R916="Meadows Dry Open","10",IF(R916="Forest &amp; Understory","14",IF(R916="Moist Open","12",IF(R916="Moist Shady","10",IF(R916="Sub-Alpine Slopes","0")))))))</f>
        <v>10</v>
      </c>
      <c r="U916" s="134" t="str">
        <f>IF(R916="Bogs Ponds Streams","52",IF(R916="Coastal Areas","51",IF(R916="Meadows Dry Open","53",IF(R916="Forest &amp; Understory","52",IF(R916="Moist Open","50",IF(R916="Moist Shady","46",IF(R916="Sub-Alpine Slopes","40")))))))</f>
        <v>53</v>
      </c>
      <c r="V916" s="134" t="str">
        <f>IF(R916="Bogs Ponds Streams","84",IF(R916="Coastal Areas","76",IF(R916="Meadows Dry Open","96", IF(R916="Forest &amp; Understory","90", IF(R916="Moist Open","88", IF(R916="Moist Shady","82", IF(R916="Sub-Alpine Slopes","80")))))))</f>
        <v>96</v>
      </c>
      <c r="W916" s="67">
        <v>20</v>
      </c>
      <c r="X916" s="67">
        <v>0</v>
      </c>
      <c r="Y916" s="67">
        <v>3500</v>
      </c>
      <c r="Z916" s="67" t="s">
        <v>2519</v>
      </c>
      <c r="AA916" s="67" t="s">
        <v>2518</v>
      </c>
      <c r="AB916" s="67">
        <v>6.8</v>
      </c>
      <c r="AC916" s="85">
        <f>C916+AK916+(0.1)*AL916</f>
        <v>3.2</v>
      </c>
      <c r="AD916" s="78">
        <v>17</v>
      </c>
      <c r="AE916" s="67">
        <v>5</v>
      </c>
      <c r="AF916" s="67">
        <v>5</v>
      </c>
      <c r="AG916" s="67">
        <v>1900</v>
      </c>
      <c r="AH916" s="78">
        <v>0</v>
      </c>
      <c r="AI916" s="67">
        <f>AJ916</f>
        <v>2004</v>
      </c>
      <c r="AJ916" s="67">
        <v>2004</v>
      </c>
      <c r="AK916" s="67">
        <v>2</v>
      </c>
      <c r="AL916" s="69">
        <v>2</v>
      </c>
      <c r="AM916" s="70">
        <v>5</v>
      </c>
      <c r="AN916" s="70">
        <v>0</v>
      </c>
      <c r="AO916" s="86">
        <v>0</v>
      </c>
      <c r="AP916" s="70">
        <v>0</v>
      </c>
      <c r="AQ916" s="70">
        <v>0</v>
      </c>
      <c r="AR916" s="70">
        <v>0</v>
      </c>
      <c r="AS916" s="86">
        <v>0</v>
      </c>
      <c r="AT916" s="70">
        <v>0</v>
      </c>
      <c r="AU916" s="70">
        <v>0</v>
      </c>
      <c r="AV916" s="70">
        <v>0</v>
      </c>
      <c r="AW916" s="86">
        <v>0</v>
      </c>
      <c r="AX916" s="70">
        <v>0</v>
      </c>
      <c r="AY916" s="233"/>
      <c r="AZ916" s="11"/>
      <c r="BA916" s="35">
        <f ca="1">IF(OR(S916="North America",S916="Rocky Mountain"), "Widespread",BC916)</f>
        <v>2031.3671614973262</v>
      </c>
      <c r="BB916" s="11"/>
      <c r="BC916" s="35">
        <f ca="1">IF(BE916&gt;2046, "Abundant",BE916)</f>
        <v>2031.3671614973262</v>
      </c>
      <c r="BD916" s="11"/>
      <c r="BE916" s="81">
        <f ca="1">YEAR($C$13)+(BG916*80)</f>
        <v>2031.3671614973262</v>
      </c>
      <c r="BF916" s="4"/>
      <c r="BG916" s="137">
        <f ca="1">BH916*$BH$14</f>
        <v>0.15458951871657753</v>
      </c>
      <c r="BH916" s="137">
        <f ca="1">(((BJ916+BK916+BM916+BN916)/4)*$BM$11)+(((BP916+BQ916)/2)*$BQ$11)+(((BU916+BV916+BW916)/3)*$BU$11)+(((BY916+BZ916+CA916+CB916+CC916)/5)*$CA$11)</f>
        <v>0.15458951871657753</v>
      </c>
      <c r="BI916" s="11"/>
      <c r="BJ916" s="33">
        <f>AP916/(AM916+AO916)</f>
        <v>0</v>
      </c>
      <c r="BK916" s="33">
        <f>(AN916+AO916)/(AM916+AO916)</f>
        <v>0</v>
      </c>
      <c r="BL916" s="11"/>
      <c r="BM916" s="127">
        <f>CF916/102</f>
        <v>3.1372549019607843E-2</v>
      </c>
      <c r="BN916" s="127">
        <f>C916/2</f>
        <v>0.5</v>
      </c>
      <c r="BO916" s="11"/>
      <c r="BP916" s="127">
        <f>(AK916)/($AW$6)</f>
        <v>2.0202020202020204E-2</v>
      </c>
      <c r="BQ916" s="127">
        <f ca="1">(CH916-$AW$4)/((YEAR($C$13))-$AW$4)</f>
        <v>0</v>
      </c>
      <c r="BR916" s="127">
        <f>(AL916)/($AW$6)</f>
        <v>2.0202020202020204E-2</v>
      </c>
      <c r="BS916" s="11"/>
      <c r="BT916" s="127"/>
      <c r="BU916" s="127">
        <f ca="1">(CG916-$AW$4)/((YEAR($C$13))-$AW$4)</f>
        <v>0</v>
      </c>
      <c r="BV916" s="127">
        <f>AE916/5</f>
        <v>1</v>
      </c>
      <c r="BW916" s="127">
        <f>AF916/5</f>
        <v>1</v>
      </c>
      <c r="BX916" s="11"/>
      <c r="BY916" s="148" t="str">
        <f>IF(E916="A",".98",IF(E916="B",".99",IF(E916="C","1.00",IF(E916="D","1.00" ))))</f>
        <v>1.00</v>
      </c>
      <c r="BZ916" s="127">
        <f>(CE916+7)/10</f>
        <v>1</v>
      </c>
      <c r="CA916" s="76" t="str">
        <f>IF(D916="Fern",".97",IF(D916="Grass",".99",IF(D916="Herb",".97",IF(D916="Shrub",".99",IF(D916="Tree","1.00",IF(D916="Vine",".98"))))))</f>
        <v>.97</v>
      </c>
      <c r="CB916" s="149" t="str">
        <f>IF(R916="Bogs Ponds Streams",".96", IF(R916="Coastal Areas",".97",IF(R916="Meadows Dry Open",".96",IF(R916="Forest &amp; Understory",".97",IF(R916="Moist Open",".98",IF(R916="Moist Shady",".96",IF(R916="Sub-Alpine","1.0")))))))</f>
        <v>.96</v>
      </c>
      <c r="CC916" s="76" t="str">
        <f>IF(S916="Local Endemic",".50",IF(S916="Regional Endemic",".70",IF(S916="Cascadia",".90",IF(S916="Rocky Mountain",".95",IF(S916="North America",".99")))))</f>
        <v>.70</v>
      </c>
      <c r="CD916" s="11"/>
      <c r="CE916" s="21">
        <f>IF(W916&gt;3,3,W916)</f>
        <v>3</v>
      </c>
      <c r="CF916" s="21">
        <f>IF(AC916&gt;102,102,AC916)</f>
        <v>3.2</v>
      </c>
      <c r="CG916" s="34">
        <f>IF(AI916&lt;$AW$4,$AW$4,AI916)</f>
        <v>2004</v>
      </c>
      <c r="CH916" s="34">
        <f>IF(AJ916&lt;$AW$4,$AW$4,AJ916)</f>
        <v>2004</v>
      </c>
      <c r="CI916" s="11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11"/>
      <c r="DC916" s="11"/>
      <c r="DD916" s="11"/>
      <c r="DE916" s="11"/>
      <c r="DF916" s="11"/>
      <c r="DG916" s="11"/>
      <c r="DH916" s="11"/>
      <c r="DI916" s="11"/>
      <c r="DJ916" s="11"/>
    </row>
    <row r="917" spans="1:115" ht="15" customHeight="1" x14ac:dyDescent="0.3">
      <c r="A917" s="235"/>
      <c r="B917" s="218"/>
      <c r="C917" s="375">
        <v>1</v>
      </c>
      <c r="D917" s="67" t="s">
        <v>2505</v>
      </c>
      <c r="E917" s="67" t="s">
        <v>2501</v>
      </c>
      <c r="F917" s="403" t="str">
        <f ca="1">IF(BC917&lt;2025, "Extinct&lt; 6Yrs?",BA917)</f>
        <v>Widespread</v>
      </c>
      <c r="G917" s="376" t="s">
        <v>525</v>
      </c>
      <c r="H917" s="376" t="s">
        <v>4028</v>
      </c>
      <c r="I917" s="379" t="s">
        <v>1311</v>
      </c>
      <c r="J917" s="378" t="s">
        <v>3475</v>
      </c>
      <c r="K917" s="378" t="s">
        <v>1310</v>
      </c>
      <c r="L917" s="63" t="s">
        <v>2073</v>
      </c>
      <c r="M917" s="64" t="s">
        <v>4987</v>
      </c>
      <c r="N917" s="64" t="s">
        <v>5885</v>
      </c>
      <c r="O917" s="64" t="s">
        <v>6784</v>
      </c>
      <c r="P917" s="61" t="s">
        <v>51</v>
      </c>
      <c r="Q917" s="67" t="s">
        <v>2552</v>
      </c>
      <c r="R917" s="61" t="s">
        <v>2500</v>
      </c>
      <c r="S917" s="65" t="s">
        <v>2495</v>
      </c>
      <c r="T917" s="134" t="str">
        <f>IF(R917="Bogs Ponds Streams","20",IF(R917="Coastal Areas","26",IF(R917="Meadows Dry Open","10",IF(R917="Forest &amp; Understory","14",IF(R917="Moist Open","12",IF(R917="Moist Shady","10",IF(R917="Sub-Alpine Slopes","0")))))))</f>
        <v>10</v>
      </c>
      <c r="U917" s="134" t="str">
        <f>IF(R917="Bogs Ponds Streams","52",IF(R917="Coastal Areas","51",IF(R917="Meadows Dry Open","53",IF(R917="Forest &amp; Understory","52",IF(R917="Moist Open","50",IF(R917="Moist Shady","46",IF(R917="Sub-Alpine Slopes","40")))))))</f>
        <v>53</v>
      </c>
      <c r="V917" s="134" t="str">
        <f>IF(R917="Bogs Ponds Streams","84",IF(R917="Coastal Areas","76",IF(R917="Meadows Dry Open","96", IF(R917="Forest &amp; Understory","90", IF(R917="Moist Open","88", IF(R917="Moist Shady","82", IF(R917="Sub-Alpine Slopes","80")))))))</f>
        <v>96</v>
      </c>
      <c r="W917" s="67">
        <v>20</v>
      </c>
      <c r="X917" s="67">
        <v>0</v>
      </c>
      <c r="Y917" s="67">
        <v>3500</v>
      </c>
      <c r="Z917" s="67" t="s">
        <v>2519</v>
      </c>
      <c r="AA917" s="67" t="s">
        <v>2518</v>
      </c>
      <c r="AB917" s="67">
        <v>6.8</v>
      </c>
      <c r="AC917" s="85">
        <f>C917+AK917+(0.1)*AL917</f>
        <v>7</v>
      </c>
      <c r="AD917" s="78">
        <v>54</v>
      </c>
      <c r="AE917" s="67">
        <v>5</v>
      </c>
      <c r="AF917" s="67">
        <v>5</v>
      </c>
      <c r="AG917" s="67">
        <v>1900</v>
      </c>
      <c r="AH917" s="78">
        <v>0</v>
      </c>
      <c r="AI917" s="67">
        <f>AJ917</f>
        <v>2011</v>
      </c>
      <c r="AJ917" s="69">
        <v>2011</v>
      </c>
      <c r="AK917" s="69">
        <v>4</v>
      </c>
      <c r="AL917" s="69">
        <v>20</v>
      </c>
      <c r="AM917" s="70">
        <v>5</v>
      </c>
      <c r="AN917" s="70">
        <v>0</v>
      </c>
      <c r="AO917" s="86">
        <v>0</v>
      </c>
      <c r="AP917" s="70">
        <v>0</v>
      </c>
      <c r="AQ917" s="70">
        <v>0</v>
      </c>
      <c r="AR917" s="70">
        <v>0</v>
      </c>
      <c r="AS917" s="86">
        <v>0</v>
      </c>
      <c r="AT917" s="70">
        <v>0</v>
      </c>
      <c r="AU917" s="70">
        <v>0</v>
      </c>
      <c r="AV917" s="70">
        <v>0</v>
      </c>
      <c r="AW917" s="86">
        <v>0</v>
      </c>
      <c r="AX917" s="70">
        <v>0</v>
      </c>
      <c r="AY917" s="233"/>
      <c r="AZ917" s="4"/>
      <c r="BA917" s="35" t="str">
        <f>IF(OR(S917="North America",S917="Rocky Mountain"), "Widespread",BC917)</f>
        <v>Widespread</v>
      </c>
      <c r="BB917" s="4"/>
      <c r="BC917" s="35">
        <f ca="1">IF(BE917&gt;2046, "Abundant",BE917)</f>
        <v>2038.7450001188354</v>
      </c>
      <c r="BD917" s="4"/>
      <c r="BE917" s="81">
        <f ca="1">YEAR($C$13)+(BG917*80)</f>
        <v>2038.7450001188354</v>
      </c>
      <c r="BF917" s="4"/>
      <c r="BG917" s="137">
        <f ca="1">BH917*$BH$14</f>
        <v>0.24681250148544268</v>
      </c>
      <c r="BH917" s="137">
        <f ca="1">(((BJ917+BK917+BM917+BN917)/4)*$BM$11)+(((BP917+BQ917)/2)*$BQ$11)+(((BU917+BV917+BW917)/3)*$BU$11)+(((BY917+BZ917+CA917+CB917+CC917)/5)*$CA$11)</f>
        <v>0.24681250148544268</v>
      </c>
      <c r="BI917" s="4"/>
      <c r="BJ917" s="33">
        <f>AP917/(AM917+AO917)</f>
        <v>0</v>
      </c>
      <c r="BK917" s="33">
        <f>(AN917+AO917)/(AM917+AO917)</f>
        <v>0</v>
      </c>
      <c r="BL917" s="4"/>
      <c r="BM917" s="127">
        <f>CF917/102</f>
        <v>6.8627450980392163E-2</v>
      </c>
      <c r="BN917" s="127">
        <f>C917/2</f>
        <v>0.5</v>
      </c>
      <c r="BO917" s="4"/>
      <c r="BP917" s="127">
        <f>(AK917)/($AW$6)</f>
        <v>4.0404040404040407E-2</v>
      </c>
      <c r="BQ917" s="127">
        <f ca="1">(CH917-$AW$4)/((YEAR($C$13))-$AW$4)</f>
        <v>0.46666666666666667</v>
      </c>
      <c r="BR917" s="127">
        <f>(AL917)/($AW$6)</f>
        <v>0.20202020202020202</v>
      </c>
      <c r="BS917" s="4"/>
      <c r="BT917" s="127"/>
      <c r="BU917" s="127">
        <f ca="1">(CG917-$AW$4)/((YEAR($C$13))-$AW$4)</f>
        <v>0.46666666666666667</v>
      </c>
      <c r="BV917" s="127">
        <f>AE917/5</f>
        <v>1</v>
      </c>
      <c r="BW917" s="127">
        <f>AF917/5</f>
        <v>1</v>
      </c>
      <c r="BX917" s="4"/>
      <c r="BY917" s="148" t="str">
        <f>IF(E917="A",".98",IF(E917="B",".99",IF(E917="C","1.00",IF(E917="D","1.00" ))))</f>
        <v>1.00</v>
      </c>
      <c r="BZ917" s="127">
        <f>(CE917+7)/10</f>
        <v>1</v>
      </c>
      <c r="CA917" s="76" t="str">
        <f>IF(D917="Fern",".97",IF(D917="Grass",".99",IF(D917="Herb",".97",IF(D917="Shrub",".99",IF(D917="Tree","1.00",IF(D917="Vine",".98"))))))</f>
        <v>.97</v>
      </c>
      <c r="CB917" s="149" t="str">
        <f>IF(R917="Bogs Ponds Streams",".96", IF(R917="Coastal Areas",".97",IF(R917="Meadows Dry Open",".96",IF(R917="Forest &amp; Understory",".97",IF(R917="Moist Open",".98",IF(R917="Moist Shady",".96",IF(R917="Sub-Alpine","1.0")))))))</f>
        <v>.96</v>
      </c>
      <c r="CC917" s="76" t="str">
        <f>IF(S917="Local Endemic",".50",IF(S917="Regional Endemic",".70",IF(S917="Cascadia",".90",IF(S917="Rocky Mountain",".95",IF(S917="North America",".99")))))</f>
        <v>.99</v>
      </c>
      <c r="CD917" s="4"/>
      <c r="CE917" s="21">
        <f>IF(W917&gt;3,3,W917)</f>
        <v>3</v>
      </c>
      <c r="CF917" s="21">
        <f>IF(AC917&gt;102,102,AC917)</f>
        <v>7</v>
      </c>
      <c r="CG917" s="34">
        <f>IF(AI917&lt;$AW$4,$AW$4,AI917)</f>
        <v>2011</v>
      </c>
      <c r="CH917" s="34">
        <f>IF(AJ917&lt;$AW$4,$AW$4,AJ917)</f>
        <v>2011</v>
      </c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</row>
    <row r="918" spans="1:115" ht="15" customHeight="1" x14ac:dyDescent="0.3">
      <c r="A918" s="235"/>
      <c r="B918" s="218"/>
      <c r="C918" s="225">
        <v>8</v>
      </c>
      <c r="D918" s="59" t="s">
        <v>2505</v>
      </c>
      <c r="E918" s="59" t="s">
        <v>2501</v>
      </c>
      <c r="F918" s="397" t="str">
        <f ca="1">IF(BC918&lt;2025, "Extinct&lt; 6Yrs?",BA918)</f>
        <v>Widespread</v>
      </c>
      <c r="G918" s="363" t="s">
        <v>525</v>
      </c>
      <c r="H918" s="363" t="s">
        <v>685</v>
      </c>
      <c r="I918" s="364" t="s">
        <v>436</v>
      </c>
      <c r="J918" s="365" t="s">
        <v>435</v>
      </c>
      <c r="K918" s="365" t="s">
        <v>3859</v>
      </c>
      <c r="L918" s="10" t="s">
        <v>2074</v>
      </c>
      <c r="M918" s="8" t="s">
        <v>4988</v>
      </c>
      <c r="N918" s="8" t="s">
        <v>5886</v>
      </c>
      <c r="O918" s="8" t="s">
        <v>6785</v>
      </c>
      <c r="P918" s="9" t="s">
        <v>751</v>
      </c>
      <c r="Q918" s="59" t="s">
        <v>2552</v>
      </c>
      <c r="R918" s="9" t="s">
        <v>2500</v>
      </c>
      <c r="S918" s="9" t="s">
        <v>2479</v>
      </c>
      <c r="T918" s="123" t="str">
        <f>IF(R918="Bogs Ponds Streams","20",IF(R918="Coastal Areas","26",IF(R918="Meadows Dry Open","10",IF(R918="Forest &amp; Understory","14",IF(R918="Moist Open","12",IF(R918="Moist Shady","10",IF(R918="Sub-Alpine Slopes","0")))))))</f>
        <v>10</v>
      </c>
      <c r="U918" s="123" t="str">
        <f>IF(R918="Bogs Ponds Streams","52",IF(R918="Coastal Areas","51",IF(R918="Meadows Dry Open","53",IF(R918="Forest &amp; Understory","52",IF(R918="Moist Open","50",IF(R918="Moist Shady","46",IF(R918="Sub-Alpine Slopes","40")))))))</f>
        <v>53</v>
      </c>
      <c r="V918" s="123" t="str">
        <f>IF(R918="Bogs Ponds Streams","84",IF(R918="Coastal Areas","76",IF(R918="Meadows Dry Open","96", IF(R918="Forest &amp; Understory","90", IF(R918="Moist Open","88", IF(R918="Moist Shady","82", IF(R918="Sub-Alpine Slopes","80")))))))</f>
        <v>96</v>
      </c>
      <c r="W918" s="59">
        <v>20</v>
      </c>
      <c r="X918" s="59">
        <v>0</v>
      </c>
      <c r="Y918" s="59">
        <v>3500</v>
      </c>
      <c r="Z918" s="59" t="s">
        <v>2519</v>
      </c>
      <c r="AA918" s="59" t="s">
        <v>2518</v>
      </c>
      <c r="AB918" s="59">
        <v>6.8</v>
      </c>
      <c r="AC918" s="45">
        <f>C918+AK918+(0.1)*AL918</f>
        <v>30</v>
      </c>
      <c r="AD918" s="77">
        <v>97</v>
      </c>
      <c r="AE918" s="59">
        <v>5</v>
      </c>
      <c r="AF918" s="59">
        <v>5</v>
      </c>
      <c r="AG918" s="59">
        <v>1900</v>
      </c>
      <c r="AH918" s="77">
        <v>0</v>
      </c>
      <c r="AI918" s="59">
        <f ca="1">AJ918</f>
        <v>2019</v>
      </c>
      <c r="AJ918" s="18">
        <f ca="1">YEAR(TODAY())</f>
        <v>2019</v>
      </c>
      <c r="AK918" s="18">
        <v>20</v>
      </c>
      <c r="AL918" s="18">
        <v>20</v>
      </c>
      <c r="AM918" s="18">
        <v>1</v>
      </c>
      <c r="AN918" s="18">
        <v>1</v>
      </c>
      <c r="AO918" s="24">
        <v>3</v>
      </c>
      <c r="AP918" s="24">
        <v>3</v>
      </c>
      <c r="AQ918" s="18">
        <v>0</v>
      </c>
      <c r="AR918" s="18">
        <v>0</v>
      </c>
      <c r="AS918" s="18">
        <v>0</v>
      </c>
      <c r="AT918" s="18">
        <v>0</v>
      </c>
      <c r="AU918" s="18">
        <v>0</v>
      </c>
      <c r="AV918" s="18">
        <v>0</v>
      </c>
      <c r="AW918" s="18">
        <v>0</v>
      </c>
      <c r="AX918" s="18">
        <v>0</v>
      </c>
      <c r="AY918" s="233"/>
      <c r="AZ918" s="4"/>
      <c r="BA918" s="35" t="str">
        <f>IF(OR(S918="North America",S918="Rocky Mountain"), "Widespread",BC918)</f>
        <v>Widespread</v>
      </c>
      <c r="BB918" s="4"/>
      <c r="BC918" s="35" t="str">
        <f ca="1">IF(BE918&gt;2046, "Abundant",BE918)</f>
        <v>Abundant</v>
      </c>
      <c r="BD918" s="4"/>
      <c r="BE918" s="81">
        <f ca="1">YEAR($C$13)+(BG918*80)</f>
        <v>2113.9152541889484</v>
      </c>
      <c r="BF918" s="4"/>
      <c r="BG918" s="137">
        <f ca="1">BH918*$BH$14</f>
        <v>1.1864406773618539</v>
      </c>
      <c r="BH918" s="137">
        <f ca="1">(((BJ918+BK918+BM918+BN918)/4)*$BM$11)+(((BP918+BQ918)/2)*$BQ$11)+(((BU918+BV918+BW918)/3)*$BU$11)+(((BY918+BZ918+CA918+CB918+CC918)/5)*$CA$11)</f>
        <v>1.1864406773618539</v>
      </c>
      <c r="BI918" s="4"/>
      <c r="BJ918" s="33">
        <f>AP918/(AM918+AO918)</f>
        <v>0.75</v>
      </c>
      <c r="BK918" s="33">
        <f>(AN918+AO918)/(AM918+AO918)</f>
        <v>1</v>
      </c>
      <c r="BL918" s="4"/>
      <c r="BM918" s="127">
        <f>CF918/102</f>
        <v>0.29411764705882354</v>
      </c>
      <c r="BN918" s="127">
        <f>C918/2</f>
        <v>4</v>
      </c>
      <c r="BO918" s="4"/>
      <c r="BP918" s="127">
        <f>(AK918)/($AW$6)</f>
        <v>0.20202020202020202</v>
      </c>
      <c r="BQ918" s="127">
        <f ca="1">(CH918-$AW$4)/((YEAR($C$13))-$AW$4)</f>
        <v>1</v>
      </c>
      <c r="BR918" s="127">
        <f>(AL918)/($AW$6)</f>
        <v>0.20202020202020202</v>
      </c>
      <c r="BS918" s="4"/>
      <c r="BT918" s="127"/>
      <c r="BU918" s="127">
        <f ca="1">(CG918-$AW$4)/((YEAR($C$13))-$AW$4)</f>
        <v>1</v>
      </c>
      <c r="BV918" s="127">
        <f>AE918/5</f>
        <v>1</v>
      </c>
      <c r="BW918" s="127">
        <f>AF918/5</f>
        <v>1</v>
      </c>
      <c r="BX918" s="4"/>
      <c r="BY918" s="148" t="str">
        <f>IF(E918="A",".98",IF(E918="B",".99",IF(E918="C","1.00",IF(E918="D","1.00" ))))</f>
        <v>1.00</v>
      </c>
      <c r="BZ918" s="127">
        <f>(CE918+7)/10</f>
        <v>1</v>
      </c>
      <c r="CA918" s="76" t="str">
        <f>IF(D918="Fern",".97",IF(D918="Grass",".99",IF(D918="Herb",".97",IF(D918="Shrub",".99",IF(D918="Tree","1.00",IF(D918="Vine",".98"))))))</f>
        <v>.97</v>
      </c>
      <c r="CB918" s="149" t="str">
        <f>IF(R918="Bogs Ponds Streams",".96", IF(R918="Coastal Areas",".97",IF(R918="Meadows Dry Open",".96",IF(R918="Forest &amp; Understory",".97",IF(R918="Moist Open",".98",IF(R918="Moist Shady",".96",IF(R918="Sub-Alpine","1.0")))))))</f>
        <v>.96</v>
      </c>
      <c r="CC918" s="76" t="str">
        <f>IF(S918="Local Endemic",".50",IF(S918="Regional Endemic",".70",IF(S918="Cascadia",".90",IF(S918="Rocky Mountain",".95",IF(S918="North America",".99")))))</f>
        <v>.95</v>
      </c>
      <c r="CD918" s="4"/>
      <c r="CE918" s="21">
        <f>IF(W918&gt;3,3,W918)</f>
        <v>3</v>
      </c>
      <c r="CF918" s="21">
        <f>IF(AC918&gt;102,102,AC918)</f>
        <v>30</v>
      </c>
      <c r="CG918" s="34">
        <f ca="1">IF(AI918&lt;$AW$4,$AW$4,AI918)</f>
        <v>2019</v>
      </c>
      <c r="CH918" s="34">
        <f ca="1">IF(AJ918&lt;$AW$4,$AW$4,AJ918)</f>
        <v>2019</v>
      </c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13"/>
    </row>
    <row r="919" spans="1:115" ht="15" customHeight="1" x14ac:dyDescent="0.3">
      <c r="A919" s="235"/>
      <c r="B919" s="218"/>
      <c r="C919" s="375">
        <v>1</v>
      </c>
      <c r="D919" s="67" t="s">
        <v>2505</v>
      </c>
      <c r="E919" s="67" t="s">
        <v>2502</v>
      </c>
      <c r="F919" s="403">
        <f ca="1">IF(BC919&lt;2025, "Extinct&lt; 6Yrs?",BA919)</f>
        <v>2039.226151396316</v>
      </c>
      <c r="G919" s="376" t="s">
        <v>525</v>
      </c>
      <c r="H919" s="376" t="s">
        <v>4028</v>
      </c>
      <c r="I919" s="379" t="s">
        <v>560</v>
      </c>
      <c r="J919" s="378" t="s">
        <v>3474</v>
      </c>
      <c r="K919" s="378" t="s">
        <v>781</v>
      </c>
      <c r="L919" s="63" t="s">
        <v>2075</v>
      </c>
      <c r="M919" s="64" t="s">
        <v>4989</v>
      </c>
      <c r="N919" s="64" t="s">
        <v>5887</v>
      </c>
      <c r="O919" s="64" t="s">
        <v>6786</v>
      </c>
      <c r="P919" s="61" t="s">
        <v>558</v>
      </c>
      <c r="Q919" s="67" t="s">
        <v>2552</v>
      </c>
      <c r="R919" s="61" t="s">
        <v>2497</v>
      </c>
      <c r="S919" s="61" t="s">
        <v>2459</v>
      </c>
      <c r="T919" s="134" t="str">
        <f>IF(R919="Bogs Ponds Streams","20",IF(R919="Coastal Areas","26",IF(R919="Meadows Dry Open","10",IF(R919="Forest &amp; Understory","14",IF(R919="Moist Open","12",IF(R919="Moist Shady","10",IF(R919="Sub-Alpine Slopes","0")))))))</f>
        <v>12</v>
      </c>
      <c r="U919" s="134" t="str">
        <f>IF(R919="Bogs Ponds Streams","52",IF(R919="Coastal Areas","51",IF(R919="Meadows Dry Open","53",IF(R919="Forest &amp; Understory","52",IF(R919="Moist Open","50",IF(R919="Moist Shady","46",IF(R919="Sub-Alpine Slopes","40")))))))</f>
        <v>50</v>
      </c>
      <c r="V919" s="134" t="str">
        <f>IF(R919="Bogs Ponds Streams","84",IF(R919="Coastal Areas","76",IF(R919="Meadows Dry Open","96", IF(R919="Forest &amp; Understory","90", IF(R919="Moist Open","88", IF(R919="Moist Shady","82", IF(R919="Sub-Alpine Slopes","80")))))))</f>
        <v>88</v>
      </c>
      <c r="W919" s="67">
        <v>1</v>
      </c>
      <c r="X919" s="67">
        <v>0</v>
      </c>
      <c r="Y919" s="67">
        <v>3500</v>
      </c>
      <c r="Z919" s="67" t="s">
        <v>2519</v>
      </c>
      <c r="AA919" s="67" t="s">
        <v>2518</v>
      </c>
      <c r="AB919" s="67">
        <v>6.8</v>
      </c>
      <c r="AC919" s="85">
        <f>C919+AK919+(0.1)*AL919</f>
        <v>4.9000000000000004</v>
      </c>
      <c r="AD919" s="78">
        <v>26</v>
      </c>
      <c r="AE919" s="67">
        <v>5</v>
      </c>
      <c r="AF919" s="67">
        <v>5</v>
      </c>
      <c r="AG919" s="67">
        <v>1900</v>
      </c>
      <c r="AH919" s="78">
        <v>0</v>
      </c>
      <c r="AI919" s="67">
        <f>AJ919</f>
        <v>2012</v>
      </c>
      <c r="AJ919" s="69">
        <v>2012</v>
      </c>
      <c r="AK919" s="69">
        <v>3</v>
      </c>
      <c r="AL919" s="69">
        <v>9</v>
      </c>
      <c r="AM919" s="70">
        <v>5</v>
      </c>
      <c r="AN919" s="70">
        <v>0</v>
      </c>
      <c r="AO919" s="86">
        <v>0</v>
      </c>
      <c r="AP919" s="70">
        <v>0</v>
      </c>
      <c r="AQ919" s="70">
        <v>5</v>
      </c>
      <c r="AR919" s="69">
        <v>0</v>
      </c>
      <c r="AS919" s="69">
        <v>0</v>
      </c>
      <c r="AT919" s="69">
        <v>0</v>
      </c>
      <c r="AU919" s="70">
        <v>5</v>
      </c>
      <c r="AV919" s="69">
        <v>0</v>
      </c>
      <c r="AW919" s="69">
        <v>0</v>
      </c>
      <c r="AX919" s="69">
        <v>0</v>
      </c>
      <c r="AY919" s="233"/>
      <c r="AZ919" s="4"/>
      <c r="BA919" s="35">
        <f ca="1">IF(OR(S919="North America",S919="Rocky Mountain"), "Widespread",BC919)</f>
        <v>2039.226151396316</v>
      </c>
      <c r="BB919" s="4"/>
      <c r="BC919" s="35">
        <f ca="1">IF(BE919&gt;2046, "Abundant",BE919)</f>
        <v>2039.226151396316</v>
      </c>
      <c r="BD919" s="4"/>
      <c r="BE919" s="81">
        <f ca="1">YEAR($C$13)+(BG919*80)</f>
        <v>2039.226151396316</v>
      </c>
      <c r="BF919" s="4"/>
      <c r="BG919" s="137">
        <f ca="1">BH919*$BH$14</f>
        <v>0.25282689245395129</v>
      </c>
      <c r="BH919" s="137">
        <f ca="1">(((BJ919+BK919+BM919+BN919)/4)*$BM$11)+(((BP919+BQ919)/2)*$BQ$11)+(((BU919+BV919+BW919)/3)*$BU$11)+(((BY919+BZ919+CA919+CB919+CC919)/5)*$CA$11)</f>
        <v>0.25282689245395129</v>
      </c>
      <c r="BI919" s="4"/>
      <c r="BJ919" s="33">
        <f>AP919/(AM919+AO919)</f>
        <v>0</v>
      </c>
      <c r="BK919" s="33">
        <f>(AN919+AO919)/(AM919+AO919)</f>
        <v>0</v>
      </c>
      <c r="BL919" s="4"/>
      <c r="BM919" s="127">
        <f>CF919/102</f>
        <v>4.8039215686274513E-2</v>
      </c>
      <c r="BN919" s="127">
        <f>C919/2</f>
        <v>0.5</v>
      </c>
      <c r="BO919" s="4"/>
      <c r="BP919" s="127">
        <f>(AK919)/($AW$6)</f>
        <v>3.0303030303030304E-2</v>
      </c>
      <c r="BQ919" s="127">
        <f ca="1">(CH919-$AW$4)/((YEAR($C$13))-$AW$4)</f>
        <v>0.53333333333333333</v>
      </c>
      <c r="BR919" s="127">
        <f>(AL919)/($AW$6)</f>
        <v>9.0909090909090912E-2</v>
      </c>
      <c r="BS919" s="4"/>
      <c r="BT919" s="127"/>
      <c r="BU919" s="127">
        <f ca="1">(CG919-$AW$4)/((YEAR($C$13))-$AW$4)</f>
        <v>0.53333333333333333</v>
      </c>
      <c r="BV919" s="127">
        <f>AE919/5</f>
        <v>1</v>
      </c>
      <c r="BW919" s="127">
        <f>AF919/5</f>
        <v>1</v>
      </c>
      <c r="BX919" s="4"/>
      <c r="BY919" s="148" t="str">
        <f>IF(E919="A",".98",IF(E919="B",".99",IF(E919="C","1.00",IF(E919="D","1.00" ))))</f>
        <v>.98</v>
      </c>
      <c r="BZ919" s="127">
        <f>(CE919+7)/10</f>
        <v>0.8</v>
      </c>
      <c r="CA919" s="76" t="str">
        <f>IF(D919="Fern",".97",IF(D919="Grass",".99",IF(D919="Herb",".97",IF(D919="Shrub",".99",IF(D919="Tree","1.00",IF(D919="Vine",".98"))))))</f>
        <v>.97</v>
      </c>
      <c r="CB919" s="149" t="str">
        <f>IF(R919="Bogs Ponds Streams",".96", IF(R919="Coastal Areas",".97",IF(R919="Meadows Dry Open",".96",IF(R919="Forest &amp; Understory",".97",IF(R919="Moist Open",".98",IF(R919="Moist Shady",".96",IF(R919="Sub-Alpine","1.0")))))))</f>
        <v>.98</v>
      </c>
      <c r="CC919" s="76" t="str">
        <f>IF(S919="Local Endemic",".50",IF(S919="Regional Endemic",".70",IF(S919="Cascadia",".90",IF(S919="Rocky Mountain",".95",IF(S919="North America",".99")))))</f>
        <v>.90</v>
      </c>
      <c r="CD919" s="4"/>
      <c r="CE919" s="21">
        <f>IF(W919&gt;3,3,W919)</f>
        <v>1</v>
      </c>
      <c r="CF919" s="21">
        <f>IF(AC919&gt;102,102,AC919)</f>
        <v>4.9000000000000004</v>
      </c>
      <c r="CG919" s="34">
        <f>IF(AI919&lt;$AW$4,$AW$4,AI919)</f>
        <v>2012</v>
      </c>
      <c r="CH919" s="34">
        <f>IF(AJ919&lt;$AW$4,$AW$4,AJ919)</f>
        <v>2012</v>
      </c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</row>
    <row r="920" spans="1:115" ht="15" customHeight="1" x14ac:dyDescent="0.3">
      <c r="A920" s="235"/>
      <c r="B920" s="218"/>
      <c r="C920" s="226">
        <v>2</v>
      </c>
      <c r="D920" s="104" t="s">
        <v>2505</v>
      </c>
      <c r="E920" s="104" t="s">
        <v>2501</v>
      </c>
      <c r="F920" s="400" t="str">
        <f ca="1">IF(BC920&lt;2025, "Extinct&lt; 6Yrs?",BA920)</f>
        <v>Widespread</v>
      </c>
      <c r="G920" s="369" t="s">
        <v>525</v>
      </c>
      <c r="H920" s="369" t="s">
        <v>4028</v>
      </c>
      <c r="I920" s="372" t="s">
        <v>251</v>
      </c>
      <c r="J920" s="371" t="s">
        <v>3680</v>
      </c>
      <c r="K920" s="371" t="s">
        <v>250</v>
      </c>
      <c r="L920" s="106" t="s">
        <v>2076</v>
      </c>
      <c r="M920" s="111" t="s">
        <v>4990</v>
      </c>
      <c r="N920" s="111" t="s">
        <v>5888</v>
      </c>
      <c r="O920" s="111" t="s">
        <v>6787</v>
      </c>
      <c r="P920" s="402" t="s">
        <v>235</v>
      </c>
      <c r="Q920" s="104" t="s">
        <v>2552</v>
      </c>
      <c r="R920" s="105" t="s">
        <v>2497</v>
      </c>
      <c r="S920" s="105" t="s">
        <v>2495</v>
      </c>
      <c r="T920" s="133" t="str">
        <f>IF(R920="Bogs Ponds Streams","20",IF(R920="Coastal Areas","26",IF(R920="Meadows Dry Open","10",IF(R920="Forest &amp; Understory","14",IF(R920="Moist Open","12",IF(R920="Moist Shady","10",IF(R920="Sub-Alpine Slopes","0")))))))</f>
        <v>12</v>
      </c>
      <c r="U920" s="133" t="str">
        <f>IF(R920="Bogs Ponds Streams","52",IF(R920="Coastal Areas","51",IF(R920="Meadows Dry Open","53",IF(R920="Forest &amp; Understory","52",IF(R920="Moist Open","50",IF(R920="Moist Shady","46",IF(R920="Sub-Alpine Slopes","40")))))))</f>
        <v>50</v>
      </c>
      <c r="V920" s="133" t="str">
        <f>IF(R920="Bogs Ponds Streams","84",IF(R920="Coastal Areas","76",IF(R920="Meadows Dry Open","96", IF(R920="Forest &amp; Understory","90", IF(R920="Moist Open","88", IF(R920="Moist Shady","82", IF(R920="Sub-Alpine Slopes","80")))))))</f>
        <v>88</v>
      </c>
      <c r="W920" s="104">
        <v>20</v>
      </c>
      <c r="X920" s="104">
        <v>0</v>
      </c>
      <c r="Y920" s="104">
        <v>3500</v>
      </c>
      <c r="Z920" s="104" t="s">
        <v>2519</v>
      </c>
      <c r="AA920" s="104" t="s">
        <v>2518</v>
      </c>
      <c r="AB920" s="104">
        <v>6.8</v>
      </c>
      <c r="AC920" s="107">
        <f>C920+AK920+(0.1)*AL920</f>
        <v>9.9</v>
      </c>
      <c r="AD920" s="113">
        <v>43</v>
      </c>
      <c r="AE920" s="104">
        <v>5</v>
      </c>
      <c r="AF920" s="104">
        <v>5</v>
      </c>
      <c r="AG920" s="104">
        <v>1900</v>
      </c>
      <c r="AH920" s="113">
        <v>0</v>
      </c>
      <c r="AI920" s="104">
        <f>AJ920</f>
        <v>2004</v>
      </c>
      <c r="AJ920" s="108">
        <v>2004</v>
      </c>
      <c r="AK920" s="108">
        <v>7</v>
      </c>
      <c r="AL920" s="108">
        <v>9</v>
      </c>
      <c r="AM920" s="109">
        <v>5</v>
      </c>
      <c r="AN920" s="109">
        <v>1</v>
      </c>
      <c r="AO920" s="110">
        <v>0</v>
      </c>
      <c r="AP920" s="109">
        <v>0</v>
      </c>
      <c r="AQ920" s="109">
        <v>0</v>
      </c>
      <c r="AR920" s="109">
        <v>0</v>
      </c>
      <c r="AS920" s="110">
        <v>0</v>
      </c>
      <c r="AT920" s="109">
        <v>0</v>
      </c>
      <c r="AU920" s="109">
        <v>0</v>
      </c>
      <c r="AV920" s="109">
        <v>0</v>
      </c>
      <c r="AW920" s="110">
        <v>0</v>
      </c>
      <c r="AX920" s="109">
        <v>0</v>
      </c>
      <c r="AY920" s="233"/>
      <c r="AZ920" s="4"/>
      <c r="BA920" s="35" t="str">
        <f>IF(OR(S920="North America",S920="Rocky Mountain"), "Widespread",BC920)</f>
        <v>Widespread</v>
      </c>
      <c r="BB920" s="4"/>
      <c r="BC920" s="35">
        <f ca="1">IF(BE920&gt;2046, "Abundant",BE920)</f>
        <v>2041.2606573975045</v>
      </c>
      <c r="BD920" s="4"/>
      <c r="BE920" s="81">
        <f ca="1">YEAR($C$13)+(BG920*80)</f>
        <v>2041.2606573975045</v>
      </c>
      <c r="BF920" s="4"/>
      <c r="BG920" s="137">
        <f ca="1">BH920*$BH$14</f>
        <v>0.27825821746880569</v>
      </c>
      <c r="BH920" s="137">
        <f ca="1">(((BJ920+BK920+BM920+BN920)/4)*$BM$11)+(((BP920+BQ920)/2)*$BQ$11)+(((BU920+BV920+BW920)/3)*$BU$11)+(((BY920+BZ920+CA920+CB920+CC920)/5)*$CA$11)</f>
        <v>0.27825821746880569</v>
      </c>
      <c r="BI920" s="4"/>
      <c r="BJ920" s="33">
        <f>AP920/(AM920+AO920)</f>
        <v>0</v>
      </c>
      <c r="BK920" s="33">
        <f>(AN920+AO920)/(AM920+AO920)</f>
        <v>0.2</v>
      </c>
      <c r="BL920" s="4"/>
      <c r="BM920" s="127">
        <f>CF920/102</f>
        <v>9.7058823529411767E-2</v>
      </c>
      <c r="BN920" s="127">
        <f>C920/2</f>
        <v>1</v>
      </c>
      <c r="BO920" s="4"/>
      <c r="BP920" s="127">
        <f>(AK920)/($AW$6)</f>
        <v>7.0707070707070704E-2</v>
      </c>
      <c r="BQ920" s="127">
        <f ca="1">(CH920-$AW$4)/((YEAR($C$13))-$AW$4)</f>
        <v>0</v>
      </c>
      <c r="BR920" s="127">
        <f>(AL920)/($AW$6)</f>
        <v>9.0909090909090912E-2</v>
      </c>
      <c r="BS920" s="4"/>
      <c r="BT920" s="127"/>
      <c r="BU920" s="127">
        <f ca="1">(CG920-$AW$4)/((YEAR($C$13))-$AW$4)</f>
        <v>0</v>
      </c>
      <c r="BV920" s="127">
        <f>AE920/5</f>
        <v>1</v>
      </c>
      <c r="BW920" s="127">
        <f>AF920/5</f>
        <v>1</v>
      </c>
      <c r="BX920" s="4"/>
      <c r="BY920" s="148" t="str">
        <f>IF(E920="A",".98",IF(E920="B",".99",IF(E920="C","1.00",IF(E920="D","1.00" ))))</f>
        <v>1.00</v>
      </c>
      <c r="BZ920" s="127">
        <f>(CE920+7)/10</f>
        <v>1</v>
      </c>
      <c r="CA920" s="76" t="str">
        <f>IF(D920="Fern",".97",IF(D920="Grass",".99",IF(D920="Herb",".97",IF(D920="Shrub",".99",IF(D920="Tree","1.00",IF(D920="Vine",".98"))))))</f>
        <v>.97</v>
      </c>
      <c r="CB920" s="149" t="str">
        <f>IF(R920="Bogs Ponds Streams",".96", IF(R920="Coastal Areas",".97",IF(R920="Meadows Dry Open",".96",IF(R920="Forest &amp; Understory",".97",IF(R920="Moist Open",".98",IF(R920="Moist Shady",".96",IF(R920="Sub-Alpine","1.0")))))))</f>
        <v>.98</v>
      </c>
      <c r="CC920" s="76" t="str">
        <f>IF(S920="Local Endemic",".50",IF(S920="Regional Endemic",".70",IF(S920="Cascadia",".90",IF(S920="Rocky Mountain",".95",IF(S920="North America",".99")))))</f>
        <v>.99</v>
      </c>
      <c r="CD920" s="4"/>
      <c r="CE920" s="21">
        <f>IF(W920&gt;3,3,W920)</f>
        <v>3</v>
      </c>
      <c r="CF920" s="21">
        <f>IF(AC920&gt;102,102,AC920)</f>
        <v>9.9</v>
      </c>
      <c r="CG920" s="34">
        <f>IF(AI920&lt;$AW$4,$AW$4,AI920)</f>
        <v>2004</v>
      </c>
      <c r="CH920" s="34">
        <f>IF(AJ920&lt;$AW$4,$AW$4,AJ920)</f>
        <v>2004</v>
      </c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</row>
    <row r="921" spans="1:115" ht="15" customHeight="1" x14ac:dyDescent="0.3">
      <c r="A921" s="235"/>
      <c r="B921" s="218"/>
      <c r="C921" s="226">
        <v>2</v>
      </c>
      <c r="D921" s="104" t="s">
        <v>2505</v>
      </c>
      <c r="E921" s="104" t="s">
        <v>2502</v>
      </c>
      <c r="F921" s="400" t="str">
        <f ca="1">IF(BC921&lt;2025, "Extinct&lt; 6Yrs?",BA921)</f>
        <v>Abundant</v>
      </c>
      <c r="G921" s="369" t="s">
        <v>525</v>
      </c>
      <c r="H921" s="369" t="s">
        <v>4028</v>
      </c>
      <c r="I921" s="372" t="s">
        <v>2731</v>
      </c>
      <c r="J921" s="371" t="s">
        <v>3679</v>
      </c>
      <c r="K921" s="371" t="s">
        <v>2828</v>
      </c>
      <c r="L921" s="114" t="s">
        <v>2081</v>
      </c>
      <c r="M921" s="111" t="s">
        <v>4991</v>
      </c>
      <c r="N921" s="111" t="s">
        <v>5889</v>
      </c>
      <c r="O921" s="111" t="s">
        <v>6788</v>
      </c>
      <c r="P921" s="401" t="s">
        <v>603</v>
      </c>
      <c r="Q921" s="104" t="s">
        <v>2552</v>
      </c>
      <c r="R921" s="105" t="s">
        <v>2497</v>
      </c>
      <c r="S921" s="105" t="s">
        <v>2459</v>
      </c>
      <c r="T921" s="133" t="str">
        <f>IF(R921="Bogs Ponds Streams","20",IF(R921="Coastal Areas","26",IF(R921="Meadows Dry Open","10",IF(R921="Forest &amp; Understory","14",IF(R921="Moist Open","12",IF(R921="Moist Shady","10",IF(R921="Sub-Alpine Slopes","0")))))))</f>
        <v>12</v>
      </c>
      <c r="U921" s="133" t="str">
        <f>IF(R921="Bogs Ponds Streams","52",IF(R921="Coastal Areas","51",IF(R921="Meadows Dry Open","53",IF(R921="Forest &amp; Understory","52",IF(R921="Moist Open","50",IF(R921="Moist Shady","46",IF(R921="Sub-Alpine Slopes","40")))))))</f>
        <v>50</v>
      </c>
      <c r="V921" s="133" t="str">
        <f>IF(R921="Bogs Ponds Streams","84",IF(R921="Coastal Areas","76",IF(R921="Meadows Dry Open","96", IF(R921="Forest &amp; Understory","90", IF(R921="Moist Open","88", IF(R921="Moist Shady","82", IF(R921="Sub-Alpine Slopes","80")))))))</f>
        <v>88</v>
      </c>
      <c r="W921" s="104">
        <v>1</v>
      </c>
      <c r="X921" s="104">
        <v>0</v>
      </c>
      <c r="Y921" s="104">
        <v>3500</v>
      </c>
      <c r="Z921" s="104" t="s">
        <v>2519</v>
      </c>
      <c r="AA921" s="104" t="s">
        <v>2518</v>
      </c>
      <c r="AB921" s="104">
        <v>6.8</v>
      </c>
      <c r="AC921" s="107">
        <f>C921+AK921+(0.1)*AL921</f>
        <v>12</v>
      </c>
      <c r="AD921" s="113">
        <v>11</v>
      </c>
      <c r="AE921" s="112">
        <v>2</v>
      </c>
      <c r="AF921" s="112">
        <v>5</v>
      </c>
      <c r="AG921" s="113">
        <v>1925</v>
      </c>
      <c r="AH921" s="113">
        <v>0</v>
      </c>
      <c r="AI921" s="113">
        <v>2000</v>
      </c>
      <c r="AJ921" s="108">
        <v>2018</v>
      </c>
      <c r="AK921" s="108">
        <v>10</v>
      </c>
      <c r="AL921" s="108">
        <v>0</v>
      </c>
      <c r="AM921" s="108">
        <v>1</v>
      </c>
      <c r="AN921" s="108">
        <v>1</v>
      </c>
      <c r="AO921" s="109">
        <v>1</v>
      </c>
      <c r="AP921" s="109">
        <v>1</v>
      </c>
      <c r="AQ921" s="108">
        <v>0</v>
      </c>
      <c r="AR921" s="108">
        <v>0</v>
      </c>
      <c r="AS921" s="108">
        <v>0</v>
      </c>
      <c r="AT921" s="108">
        <v>0</v>
      </c>
      <c r="AU921" s="108">
        <v>0</v>
      </c>
      <c r="AV921" s="108">
        <v>0</v>
      </c>
      <c r="AW921" s="108">
        <v>0</v>
      </c>
      <c r="AX921" s="108">
        <v>0</v>
      </c>
      <c r="AY921" s="233"/>
      <c r="AZ921" s="4"/>
      <c r="BA921" s="35" t="str">
        <f ca="1">IF(OR(S921="North America",S921="Rocky Mountain"), "Widespread",BC921)</f>
        <v>Abundant</v>
      </c>
      <c r="BB921" s="4"/>
      <c r="BC921" s="35" t="str">
        <f ca="1">IF(BE921&gt;2046, "Abundant",BE921)</f>
        <v>Abundant</v>
      </c>
      <c r="BD921" s="4"/>
      <c r="BE921" s="81">
        <f ca="1">YEAR($C$13)+(BG921*80)</f>
        <v>2067.29215258467</v>
      </c>
      <c r="BF921" s="4"/>
      <c r="BG921" s="137">
        <f ca="1">BH921*$BH$14</f>
        <v>0.60365190730837792</v>
      </c>
      <c r="BH921" s="137">
        <f ca="1">(((BJ921+BK921+BM921+BN921)/4)*$BM$11)+(((BP921+BQ921)/2)*$BQ$11)+(((BU921+BV921+BW921)/3)*$BU$11)+(((BY921+BZ921+CA921+CB921+CC921)/5)*$CA$11)</f>
        <v>0.60365190730837792</v>
      </c>
      <c r="BI921" s="4"/>
      <c r="BJ921" s="33">
        <f>AP921/(AM921+AO921)</f>
        <v>0.5</v>
      </c>
      <c r="BK921" s="33">
        <f>(AN921+AO921)/(AM921+AO921)</f>
        <v>1</v>
      </c>
      <c r="BL921" s="4"/>
      <c r="BM921" s="127">
        <f>CF921/102</f>
        <v>0.11764705882352941</v>
      </c>
      <c r="BN921" s="127">
        <f>C921/2</f>
        <v>1</v>
      </c>
      <c r="BO921" s="4"/>
      <c r="BP921" s="127">
        <f>(AK921)/($AW$6)</f>
        <v>0.10101010101010101</v>
      </c>
      <c r="BQ921" s="127">
        <f ca="1">(CH921-$AW$4)/((YEAR($C$13))-$AW$4)</f>
        <v>0.93333333333333335</v>
      </c>
      <c r="BR921" s="127">
        <f>(AL921)/($AW$6)</f>
        <v>0</v>
      </c>
      <c r="BS921" s="4"/>
      <c r="BT921" s="127"/>
      <c r="BU921" s="127">
        <f ca="1">(CG921-$AW$4)/((YEAR($C$13))-$AW$4)</f>
        <v>0</v>
      </c>
      <c r="BV921" s="127">
        <f>AE921/5</f>
        <v>0.4</v>
      </c>
      <c r="BW921" s="127">
        <f>AF921/5</f>
        <v>1</v>
      </c>
      <c r="BX921" s="4"/>
      <c r="BY921" s="148" t="str">
        <f>IF(E921="A",".98",IF(E921="B",".99",IF(E921="C","1.00",IF(E921="D","1.00" ))))</f>
        <v>.98</v>
      </c>
      <c r="BZ921" s="127">
        <f>(CE921+7)/10</f>
        <v>0.8</v>
      </c>
      <c r="CA921" s="76" t="str">
        <f>IF(D921="Fern",".97",IF(D921="Grass",".99",IF(D921="Herb",".97",IF(D921="Shrub",".99",IF(D921="Tree","1.00",IF(D921="Vine",".98"))))))</f>
        <v>.97</v>
      </c>
      <c r="CB921" s="149" t="str">
        <f>IF(R921="Bogs Ponds Streams",".96", IF(R921="Coastal Areas",".97",IF(R921="Meadows Dry Open",".96",IF(R921="Forest &amp; Understory",".97",IF(R921="Moist Open",".98",IF(R921="Moist Shady",".96",IF(R921="Sub-Alpine","1.0")))))))</f>
        <v>.98</v>
      </c>
      <c r="CC921" s="76" t="str">
        <f>IF(S921="Local Endemic",".50",IF(S921="Regional Endemic",".70",IF(S921="Cascadia",".90",IF(S921="Rocky Mountain",".95",IF(S921="North America",".99")))))</f>
        <v>.90</v>
      </c>
      <c r="CD921" s="4"/>
      <c r="CE921" s="21">
        <f>IF(W921&gt;3,3,W921)</f>
        <v>1</v>
      </c>
      <c r="CF921" s="21">
        <f>IF(AC921&gt;102,102,AC921)</f>
        <v>12</v>
      </c>
      <c r="CG921" s="34">
        <f>IF(AI921&lt;$AW$4,$AW$4,AI921)</f>
        <v>2004</v>
      </c>
      <c r="CH921" s="34">
        <f>IF(AJ921&lt;$AW$4,$AW$4,AJ921)</f>
        <v>2018</v>
      </c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13"/>
    </row>
    <row r="922" spans="1:115" ht="15" customHeight="1" x14ac:dyDescent="0.3">
      <c r="A922" s="235"/>
      <c r="B922" s="218"/>
      <c r="C922" s="225">
        <v>8</v>
      </c>
      <c r="D922" s="59" t="s">
        <v>2505</v>
      </c>
      <c r="E922" s="59" t="s">
        <v>2502</v>
      </c>
      <c r="F922" s="397" t="str">
        <f ca="1">IF(BC922&lt;2025, "Extinct&lt; 6Yrs?",BA922)</f>
        <v>Widespread</v>
      </c>
      <c r="G922" s="363" t="s">
        <v>525</v>
      </c>
      <c r="H922" s="363" t="s">
        <v>696</v>
      </c>
      <c r="I922" s="364" t="s">
        <v>1243</v>
      </c>
      <c r="J922" s="365" t="s">
        <v>3858</v>
      </c>
      <c r="K922" s="365" t="s">
        <v>1244</v>
      </c>
      <c r="L922" s="17" t="s">
        <v>2082</v>
      </c>
      <c r="M922" s="8" t="s">
        <v>4992</v>
      </c>
      <c r="N922" s="8" t="s">
        <v>5890</v>
      </c>
      <c r="O922" s="8" t="s">
        <v>6789</v>
      </c>
      <c r="P922" s="398" t="s">
        <v>751</v>
      </c>
      <c r="Q922" s="59" t="s">
        <v>2552</v>
      </c>
      <c r="R922" s="160" t="s">
        <v>2497</v>
      </c>
      <c r="S922" s="17" t="s">
        <v>2479</v>
      </c>
      <c r="T922" s="123" t="str">
        <f>IF(R922="Bogs Ponds Streams","20",IF(R922="Coastal Areas","26",IF(R922="Meadows Dry Open","10",IF(R922="Forest &amp; Understory","14",IF(R922="Moist Open","12",IF(R922="Moist Shady","10",IF(R922="Sub-Alpine Slopes","0")))))))</f>
        <v>12</v>
      </c>
      <c r="U922" s="123" t="str">
        <f>IF(R922="Bogs Ponds Streams","52",IF(R922="Coastal Areas","51",IF(R922="Meadows Dry Open","53",IF(R922="Forest &amp; Understory","52",IF(R922="Moist Open","50",IF(R922="Moist Shady","46",IF(R922="Sub-Alpine Slopes","40")))))))</f>
        <v>50</v>
      </c>
      <c r="V922" s="123" t="str">
        <f>IF(R922="Bogs Ponds Streams","84",IF(R922="Coastal Areas","76",IF(R922="Meadows Dry Open","96", IF(R922="Forest &amp; Understory","90", IF(R922="Moist Open","88", IF(R922="Moist Shady","82", IF(R922="Sub-Alpine Slopes","80")))))))</f>
        <v>88</v>
      </c>
      <c r="W922" s="59">
        <v>1</v>
      </c>
      <c r="X922" s="59">
        <v>0</v>
      </c>
      <c r="Y922" s="59">
        <v>3500</v>
      </c>
      <c r="Z922" s="59" t="s">
        <v>2519</v>
      </c>
      <c r="AA922" s="59" t="s">
        <v>2518</v>
      </c>
      <c r="AB922" s="59">
        <v>6.8</v>
      </c>
      <c r="AC922" s="45">
        <f>C922+AK922+(0.1)*AL922</f>
        <v>18</v>
      </c>
      <c r="AD922" s="45">
        <v>225</v>
      </c>
      <c r="AE922" s="59">
        <v>5</v>
      </c>
      <c r="AF922" s="59">
        <v>5</v>
      </c>
      <c r="AG922" s="59">
        <v>1900</v>
      </c>
      <c r="AH922" s="77">
        <v>0</v>
      </c>
      <c r="AI922" s="59">
        <f ca="1">AJ922</f>
        <v>2019</v>
      </c>
      <c r="AJ922" s="18">
        <f ca="1">YEAR(TODAY())</f>
        <v>2019</v>
      </c>
      <c r="AK922" s="18">
        <v>10</v>
      </c>
      <c r="AL922" s="18">
        <v>0</v>
      </c>
      <c r="AM922" s="18">
        <v>1</v>
      </c>
      <c r="AN922" s="18">
        <v>1</v>
      </c>
      <c r="AO922" s="25">
        <v>0</v>
      </c>
      <c r="AP922" s="24">
        <v>0</v>
      </c>
      <c r="AQ922" s="18">
        <v>0</v>
      </c>
      <c r="AR922" s="18">
        <v>0</v>
      </c>
      <c r="AS922" s="18">
        <v>0</v>
      </c>
      <c r="AT922" s="18">
        <v>0</v>
      </c>
      <c r="AU922" s="18">
        <v>0</v>
      </c>
      <c r="AV922" s="18">
        <v>0</v>
      </c>
      <c r="AW922" s="18">
        <v>0</v>
      </c>
      <c r="AX922" s="18">
        <v>0</v>
      </c>
      <c r="AY922" s="233"/>
      <c r="AZ922" s="4"/>
      <c r="BA922" s="35" t="str">
        <f>IF(OR(S922="North America",S922="Rocky Mountain"), "Widespread",BC922)</f>
        <v>Widespread</v>
      </c>
      <c r="BB922" s="4"/>
      <c r="BC922" s="35" t="str">
        <f ca="1">IF(BE922&gt;2046, "Abundant",BE922)</f>
        <v>Abundant</v>
      </c>
      <c r="BD922" s="4"/>
      <c r="BE922" s="81">
        <f ca="1">YEAR($C$13)+(BG922*80)</f>
        <v>2102.2273682709447</v>
      </c>
      <c r="BF922" s="4"/>
      <c r="BG922" s="137">
        <f ca="1">BH922*$BH$14</f>
        <v>1.0403421033868094</v>
      </c>
      <c r="BH922" s="137">
        <f ca="1">(((BJ922+BK922+BM922+BN922)/4)*$BM$11)+(((BP922+BQ922)/2)*$BQ$11)+(((BU922+BV922+BW922)/3)*$BU$11)+(((BY922+BZ922+CA922+CB922+CC922)/5)*$CA$11)</f>
        <v>1.0403421033868094</v>
      </c>
      <c r="BI922" s="4"/>
      <c r="BJ922" s="33">
        <f>AP922/(AM922+AO922)</f>
        <v>0</v>
      </c>
      <c r="BK922" s="33">
        <f>(AN922+AO922)/(AM922+AO922)</f>
        <v>1</v>
      </c>
      <c r="BL922" s="4"/>
      <c r="BM922" s="127">
        <f>CF922/102</f>
        <v>0.17647058823529413</v>
      </c>
      <c r="BN922" s="127">
        <f>C922/2</f>
        <v>4</v>
      </c>
      <c r="BO922" s="4"/>
      <c r="BP922" s="127">
        <f>(AK922)/($AW$6)</f>
        <v>0.10101010101010101</v>
      </c>
      <c r="BQ922" s="127">
        <f ca="1">(CH922-$AW$4)/((YEAR($C$13))-$AW$4)</f>
        <v>1</v>
      </c>
      <c r="BR922" s="127">
        <f>(AL922)/($AW$6)</f>
        <v>0</v>
      </c>
      <c r="BS922" s="4"/>
      <c r="BT922" s="127"/>
      <c r="BU922" s="127">
        <f ca="1">(CG922-$AW$4)/((YEAR($C$13))-$AW$4)</f>
        <v>1</v>
      </c>
      <c r="BV922" s="127">
        <f>AE922/5</f>
        <v>1</v>
      </c>
      <c r="BW922" s="127">
        <f>AF922/5</f>
        <v>1</v>
      </c>
      <c r="BX922" s="4"/>
      <c r="BY922" s="148" t="str">
        <f>IF(E922="A",".98",IF(E922="B",".99",IF(E922="C","1.00",IF(E922="D","1.00" ))))</f>
        <v>.98</v>
      </c>
      <c r="BZ922" s="127">
        <f>(CE922+7)/10</f>
        <v>0.8</v>
      </c>
      <c r="CA922" s="76" t="str">
        <f>IF(D922="Fern",".97",IF(D922="Grass",".99",IF(D922="Herb",".97",IF(D922="Shrub",".99",IF(D922="Tree","1.00",IF(D922="Vine",".98"))))))</f>
        <v>.97</v>
      </c>
      <c r="CB922" s="149" t="str">
        <f>IF(R922="Bogs Ponds Streams",".96", IF(R922="Coastal Areas",".97",IF(R922="Meadows Dry Open",".96",IF(R922="Forest &amp; Understory",".97",IF(R922="Moist Open",".98",IF(R922="Moist Shady",".96",IF(R922="Sub-Alpine","1.0")))))))</f>
        <v>.98</v>
      </c>
      <c r="CC922" s="76" t="str">
        <f>IF(S922="Local Endemic",".50",IF(S922="Regional Endemic",".70",IF(S922="Cascadia",".90",IF(S922="Rocky Mountain",".95",IF(S922="North America",".99")))))</f>
        <v>.95</v>
      </c>
      <c r="CD922" s="4"/>
      <c r="CE922" s="21">
        <f>IF(W922&gt;3,3,W922)</f>
        <v>1</v>
      </c>
      <c r="CF922" s="21">
        <f>IF(AC922&gt;102,102,AC922)</f>
        <v>18</v>
      </c>
      <c r="CG922" s="34">
        <f ca="1">IF(AI922&lt;$AW$4,$AW$4,AI922)</f>
        <v>2019</v>
      </c>
      <c r="CH922" s="34">
        <f ca="1">IF(AJ922&lt;$AW$4,$AW$4,AJ922)</f>
        <v>2019</v>
      </c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13"/>
    </row>
    <row r="923" spans="1:115" ht="15" customHeight="1" x14ac:dyDescent="0.3">
      <c r="A923" s="89" t="s">
        <v>525</v>
      </c>
      <c r="B923" s="52"/>
      <c r="C923" s="55"/>
      <c r="D923" s="53"/>
      <c r="E923" s="53"/>
      <c r="F923" s="53"/>
      <c r="G923" s="53"/>
      <c r="H923" s="53"/>
      <c r="I923" s="53"/>
      <c r="J923" s="53"/>
      <c r="K923" s="53"/>
      <c r="L923" s="56"/>
      <c r="M923" s="56"/>
      <c r="N923" s="56" t="s">
        <v>5891</v>
      </c>
      <c r="O923" s="56"/>
      <c r="P923" s="54"/>
      <c r="Q923" s="55"/>
      <c r="R923" s="124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82"/>
      <c r="AD923" s="82"/>
      <c r="AE923" s="53"/>
      <c r="AF923" s="53"/>
      <c r="AG923" s="52"/>
      <c r="AH923" s="52"/>
      <c r="AI923" s="52"/>
      <c r="AJ923" s="52"/>
      <c r="AK923" s="52"/>
      <c r="AL923" s="52"/>
      <c r="AM923" s="55"/>
      <c r="AN923" s="55"/>
      <c r="AO923" s="57"/>
      <c r="AP923" s="80"/>
      <c r="AQ923" s="80"/>
      <c r="AR923" s="80"/>
      <c r="AS923" s="80"/>
      <c r="AT923" s="80"/>
      <c r="AU923" s="80"/>
      <c r="AV923" s="80"/>
      <c r="AW923" s="80"/>
      <c r="AX923" s="80"/>
      <c r="AY923" s="232" t="s">
        <v>525</v>
      </c>
      <c r="AZ923" s="11"/>
      <c r="BA923" s="48"/>
      <c r="BB923" s="11"/>
      <c r="BC923" s="48"/>
      <c r="BD923" s="11"/>
      <c r="BE923" s="48"/>
      <c r="BF923" s="11"/>
      <c r="BG923" s="11"/>
      <c r="BH923" s="11"/>
      <c r="BI923" s="11"/>
      <c r="BJ923" s="27"/>
      <c r="BK923" s="27"/>
      <c r="BL923" s="11"/>
      <c r="BM923" s="11"/>
      <c r="BN923" s="11"/>
      <c r="BO923" s="11"/>
      <c r="BP923" s="27"/>
      <c r="BQ923" s="27"/>
      <c r="BR923" s="27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27"/>
      <c r="CF923" s="27"/>
      <c r="CG923" s="48"/>
      <c r="CH923" s="27"/>
      <c r="CI923" s="11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11"/>
      <c r="DC923" s="11"/>
      <c r="DD923" s="11"/>
      <c r="DE923" s="11"/>
      <c r="DF923" s="11"/>
      <c r="DG923" s="11"/>
      <c r="DH923" s="11"/>
      <c r="DI923" s="11"/>
      <c r="DJ923" s="11"/>
    </row>
    <row r="924" spans="1:115" ht="15" customHeight="1" x14ac:dyDescent="0.25">
      <c r="G924" s="91"/>
      <c r="H924" s="91"/>
      <c r="I924" s="11"/>
      <c r="J924" s="11"/>
      <c r="K924" s="11"/>
      <c r="L924" s="4"/>
    </row>
  </sheetData>
  <sortState xmlns:xlrd2="http://schemas.microsoft.com/office/spreadsheetml/2017/richdata2" ref="A17:DL922">
    <sortCondition ref="I17:I922"/>
  </sortState>
  <mergeCells count="47">
    <mergeCell ref="X15:Y15"/>
    <mergeCell ref="AQ15:AT15"/>
    <mergeCell ref="AU15:AX15"/>
    <mergeCell ref="AJ15:AL15"/>
    <mergeCell ref="AE15:AI15"/>
    <mergeCell ref="AC15:AD15"/>
    <mergeCell ref="BM15:BN15"/>
    <mergeCell ref="BJ10:CE10"/>
    <mergeCell ref="BJ12:BN12"/>
    <mergeCell ref="BP12:BR12"/>
    <mergeCell ref="CE15:CH15"/>
    <mergeCell ref="BJ15:BK15"/>
    <mergeCell ref="BP15:BR15"/>
    <mergeCell ref="BT15:BW15"/>
    <mergeCell ref="AE14:AI14"/>
    <mergeCell ref="AQ14:AT14"/>
    <mergeCell ref="AU14:AX14"/>
    <mergeCell ref="BY12:CC12"/>
    <mergeCell ref="AM14:AP14"/>
    <mergeCell ref="AJ14:AL14"/>
    <mergeCell ref="BT12:BW12"/>
    <mergeCell ref="E7:G7"/>
    <mergeCell ref="E8:G8"/>
    <mergeCell ref="F11:G11"/>
    <mergeCell ref="P13:R13"/>
    <mergeCell ref="T15:V15"/>
    <mergeCell ref="AA15:AB15"/>
    <mergeCell ref="AM15:AP15"/>
    <mergeCell ref="L3:AT3"/>
    <mergeCell ref="AM13:AX13"/>
    <mergeCell ref="AJ13:AL13"/>
    <mergeCell ref="J7:AR7"/>
    <mergeCell ref="J8:AR8"/>
    <mergeCell ref="J9:AR9"/>
    <mergeCell ref="J10:AR10"/>
    <mergeCell ref="J11:AR11"/>
    <mergeCell ref="J12:AR12"/>
    <mergeCell ref="T13:AB13"/>
    <mergeCell ref="AC14:AD14"/>
    <mergeCell ref="P14:S14"/>
    <mergeCell ref="T14:AB14"/>
    <mergeCell ref="C4:G4"/>
    <mergeCell ref="C5:G5"/>
    <mergeCell ref="J4:AR4"/>
    <mergeCell ref="J5:AR5"/>
    <mergeCell ref="J6:AR6"/>
    <mergeCell ref="E6:G6"/>
  </mergeCells>
  <phoneticPr fontId="0" type="noConversion"/>
  <hyperlinks>
    <hyperlink ref="L739" r:id="rId1" xr:uid="{00000000-0004-0000-0000-000000000000}"/>
    <hyperlink ref="L834" r:id="rId2" xr:uid="{00000000-0004-0000-0000-000001000000}"/>
    <hyperlink ref="L570" r:id="rId3" xr:uid="{00000000-0004-0000-0000-000002000000}"/>
    <hyperlink ref="L502" r:id="rId4" xr:uid="{00000000-0004-0000-0000-000003000000}"/>
    <hyperlink ref="L512" r:id="rId5" xr:uid="{00000000-0004-0000-0000-000004000000}"/>
    <hyperlink ref="CX1" r:id="rId6" display="http://en.wikipedia.org/wiki/Asclepias_fascicularis " xr:uid="{00000000-0004-0000-0000-000005000000}"/>
    <hyperlink ref="L513" r:id="rId7" xr:uid="{00000000-0004-0000-0000-000006000000}"/>
    <hyperlink ref="L831" r:id="rId8" xr:uid="{00000000-0004-0000-0000-000007000000}"/>
    <hyperlink ref="L574" r:id="rId9" xr:uid="{00000000-0004-0000-0000-000008000000}"/>
    <hyperlink ref="L475" r:id="rId10" xr:uid="{00000000-0004-0000-0000-000009000000}"/>
    <hyperlink ref="L466" r:id="rId11" xr:uid="{00000000-0004-0000-0000-00000A000000}"/>
    <hyperlink ref="L412" r:id="rId12" xr:uid="{00000000-0004-0000-0000-00000B000000}"/>
    <hyperlink ref="L575" r:id="rId13" xr:uid="{00000000-0004-0000-0000-00000C000000}"/>
    <hyperlink ref="L647" r:id="rId14" xr:uid="{00000000-0004-0000-0000-00000D000000}"/>
    <hyperlink ref="L26" r:id="rId15" xr:uid="{00000000-0004-0000-0000-00000E000000}"/>
    <hyperlink ref="L327" r:id="rId16" xr:uid="{00000000-0004-0000-0000-00000F000000}"/>
    <hyperlink ref="L321" r:id="rId17" xr:uid="{00000000-0004-0000-0000-000010000000}"/>
    <hyperlink ref="L323" r:id="rId18" xr:uid="{00000000-0004-0000-0000-000011000000}"/>
    <hyperlink ref="L383" r:id="rId19" xr:uid="{00000000-0004-0000-0000-000012000000}"/>
    <hyperlink ref="L732" r:id="rId20" xr:uid="{00000000-0004-0000-0000-000013000000}"/>
    <hyperlink ref="P72" r:id="rId21" tooltip="Asteraceae" display="https://en.wikipedia.org/wiki/Asteraceae" xr:uid="{00000000-0004-0000-0000-000014000000}"/>
    <hyperlink ref="L31" r:id="rId22" xr:uid="{00000000-0004-0000-0000-000015000000}"/>
    <hyperlink ref="L386" r:id="rId23" xr:uid="{00000000-0004-0000-0000-000016000000}"/>
    <hyperlink ref="L392" r:id="rId24" xr:uid="{00000000-0004-0000-0000-000017000000}"/>
    <hyperlink ref="L356" r:id="rId25" xr:uid="{00000000-0004-0000-0000-000018000000}"/>
    <hyperlink ref="L510" r:id="rId26" xr:uid="{00000000-0004-0000-0000-000019000000}"/>
    <hyperlink ref="L679" r:id="rId27" xr:uid="{00000000-0004-0000-0000-00001A000000}"/>
    <hyperlink ref="L35" r:id="rId28" xr:uid="{00000000-0004-0000-0000-00001B000000}"/>
    <hyperlink ref="L37" r:id="rId29" xr:uid="{00000000-0004-0000-0000-00001C000000}"/>
    <hyperlink ref="L38" r:id="rId30" xr:uid="{00000000-0004-0000-0000-00001D000000}"/>
    <hyperlink ref="L320" r:id="rId31" xr:uid="{00000000-0004-0000-0000-00001E000000}"/>
    <hyperlink ref="L387" r:id="rId32" xr:uid="{00000000-0004-0000-0000-00001F000000}"/>
    <hyperlink ref="L389" r:id="rId33" xr:uid="{00000000-0004-0000-0000-000020000000}"/>
    <hyperlink ref="L391" r:id="rId34" xr:uid="{00000000-0004-0000-0000-000021000000}"/>
    <hyperlink ref="L397" r:id="rId35" xr:uid="{00000000-0004-0000-0000-000022000000}"/>
    <hyperlink ref="L425" r:id="rId36" xr:uid="{00000000-0004-0000-0000-000023000000}"/>
    <hyperlink ref="L443" r:id="rId37" xr:uid="{00000000-0004-0000-0000-000024000000}"/>
    <hyperlink ref="L446" r:id="rId38" xr:uid="{00000000-0004-0000-0000-000025000000}"/>
    <hyperlink ref="L507" r:id="rId39" xr:uid="{00000000-0004-0000-0000-000026000000}"/>
    <hyperlink ref="L508" r:id="rId40" xr:uid="{00000000-0004-0000-0000-000027000000}"/>
    <hyperlink ref="L509" r:id="rId41" xr:uid="{00000000-0004-0000-0000-000028000000}"/>
    <hyperlink ref="L523" r:id="rId42" xr:uid="{00000000-0004-0000-0000-000029000000}"/>
    <hyperlink ref="L619" r:id="rId43" xr:uid="{00000000-0004-0000-0000-00002A000000}"/>
    <hyperlink ref="L618" r:id="rId44" xr:uid="{00000000-0004-0000-0000-00002B000000}"/>
    <hyperlink ref="L545" r:id="rId45" xr:uid="{00000000-0004-0000-0000-00002C000000}"/>
    <hyperlink ref="L718" r:id="rId46" xr:uid="{00000000-0004-0000-0000-00002D000000}"/>
    <hyperlink ref="L329" r:id="rId47" xr:uid="{00000000-0004-0000-0000-00002E000000}"/>
    <hyperlink ref="L719" r:id="rId48" xr:uid="{00000000-0004-0000-0000-00002F000000}"/>
    <hyperlink ref="L571" r:id="rId49" xr:uid="{00000000-0004-0000-0000-000030000000}"/>
    <hyperlink ref="L481" r:id="rId50" xr:uid="{00000000-0004-0000-0000-000031000000}"/>
    <hyperlink ref="L836" r:id="rId51" xr:uid="{00000000-0004-0000-0000-000032000000}"/>
    <hyperlink ref="L478" r:id="rId52" xr:uid="{00000000-0004-0000-0000-000033000000}"/>
    <hyperlink ref="L473" r:id="rId53" xr:uid="{00000000-0004-0000-0000-000034000000}"/>
    <hyperlink ref="L482" r:id="rId54" xr:uid="{00000000-0004-0000-0000-000035000000}"/>
    <hyperlink ref="L374" r:id="rId55" xr:uid="{00000000-0004-0000-0000-000036000000}"/>
    <hyperlink ref="L587" r:id="rId56" xr:uid="{00000000-0004-0000-0000-000037000000}"/>
    <hyperlink ref="L585" r:id="rId57" xr:uid="{00000000-0004-0000-0000-000038000000}"/>
    <hyperlink ref="L737" r:id="rId58" xr:uid="{00000000-0004-0000-0000-000039000000}"/>
    <hyperlink ref="L738" r:id="rId59" xr:uid="{00000000-0004-0000-0000-00003A000000}"/>
    <hyperlink ref="L384" r:id="rId60" xr:uid="{00000000-0004-0000-0000-00003B000000}"/>
    <hyperlink ref="L650" r:id="rId61" xr:uid="{00000000-0004-0000-0000-00003C000000}"/>
    <hyperlink ref="L680" r:id="rId62" xr:uid="{00000000-0004-0000-0000-00003D000000}"/>
    <hyperlink ref="L325" r:id="rId63" xr:uid="{00000000-0004-0000-0000-00003E000000}"/>
    <hyperlink ref="L326" r:id="rId64" xr:uid="{00000000-0004-0000-0000-00003F000000}"/>
    <hyperlink ref="L297" r:id="rId65" xr:uid="{00000000-0004-0000-0000-000040000000}"/>
    <hyperlink ref="L706" r:id="rId66" xr:uid="{00000000-0004-0000-0000-000041000000}"/>
    <hyperlink ref="L316" r:id="rId67" xr:uid="{00000000-0004-0000-0000-000042000000}"/>
    <hyperlink ref="L315" r:id="rId68" xr:uid="{00000000-0004-0000-0000-000043000000}"/>
    <hyperlink ref="L314" r:id="rId69" xr:uid="{00000000-0004-0000-0000-000044000000}"/>
    <hyperlink ref="L317" r:id="rId70" xr:uid="{00000000-0004-0000-0000-000045000000}"/>
    <hyperlink ref="L704" r:id="rId71" xr:uid="{00000000-0004-0000-0000-000046000000}"/>
    <hyperlink ref="L343" r:id="rId72" xr:uid="{00000000-0004-0000-0000-000047000000}"/>
    <hyperlink ref="L493" r:id="rId73" xr:uid="{00000000-0004-0000-0000-000048000000}"/>
    <hyperlink ref="L489" r:id="rId74" xr:uid="{00000000-0004-0000-0000-000049000000}"/>
    <hyperlink ref="L487" r:id="rId75" xr:uid="{00000000-0004-0000-0000-00004A000000}"/>
    <hyperlink ref="L450" r:id="rId76" xr:uid="{00000000-0004-0000-0000-00004B000000}"/>
    <hyperlink ref="L451" r:id="rId77" xr:uid="{00000000-0004-0000-0000-00004C000000}"/>
    <hyperlink ref="L453" r:id="rId78" xr:uid="{00000000-0004-0000-0000-00004D000000}"/>
    <hyperlink ref="L448" r:id="rId79" xr:uid="{00000000-0004-0000-0000-00004E000000}"/>
    <hyperlink ref="L717" r:id="rId80" xr:uid="{00000000-0004-0000-0000-00004F000000}"/>
    <hyperlink ref="L707" r:id="rId81" xr:uid="{00000000-0004-0000-0000-000050000000}"/>
    <hyperlink ref="L712" r:id="rId82" xr:uid="{00000000-0004-0000-0000-000051000000}"/>
    <hyperlink ref="L713" r:id="rId83" xr:uid="{00000000-0004-0000-0000-000052000000}"/>
    <hyperlink ref="L370" r:id="rId84" xr:uid="{00000000-0004-0000-0000-000053000000}"/>
    <hyperlink ref="L400" r:id="rId85" xr:uid="{00000000-0004-0000-0000-000054000000}"/>
    <hyperlink ref="L708" r:id="rId86" xr:uid="{00000000-0004-0000-0000-000055000000}"/>
    <hyperlink ref="L551" r:id="rId87" xr:uid="{00000000-0004-0000-0000-000056000000}"/>
    <hyperlink ref="L549" r:id="rId88" xr:uid="{00000000-0004-0000-0000-000057000000}"/>
    <hyperlink ref="L550" r:id="rId89" xr:uid="{00000000-0004-0000-0000-000058000000}"/>
    <hyperlink ref="L552" r:id="rId90" xr:uid="{00000000-0004-0000-0000-000059000000}"/>
    <hyperlink ref="L368" r:id="rId91" xr:uid="{00000000-0004-0000-0000-00005A000000}"/>
    <hyperlink ref="L369" r:id="rId92" xr:uid="{00000000-0004-0000-0000-00005B000000}"/>
    <hyperlink ref="L367" r:id="rId93" xr:uid="{00000000-0004-0000-0000-00005C000000}"/>
    <hyperlink ref="L721" r:id="rId94" xr:uid="{00000000-0004-0000-0000-00005D000000}"/>
    <hyperlink ref="L726" r:id="rId95" xr:uid="{00000000-0004-0000-0000-00005E000000}"/>
    <hyperlink ref="L728" r:id="rId96" xr:uid="{00000000-0004-0000-0000-00005F000000}"/>
    <hyperlink ref="L645" r:id="rId97" xr:uid="{00000000-0004-0000-0000-000060000000}"/>
    <hyperlink ref="L419" r:id="rId98" xr:uid="{00000000-0004-0000-0000-000061000000}"/>
    <hyperlink ref="L607" r:id="rId99" xr:uid="{00000000-0004-0000-0000-000062000000}"/>
    <hyperlink ref="L569" r:id="rId100" xr:uid="{00000000-0004-0000-0000-000063000000}"/>
    <hyperlink ref="L648" r:id="rId101" xr:uid="{00000000-0004-0000-0000-000064000000}"/>
    <hyperlink ref="L499" r:id="rId102" xr:uid="{00000000-0004-0000-0000-000065000000}"/>
    <hyperlink ref="L422" r:id="rId103" xr:uid="{00000000-0004-0000-0000-000066000000}"/>
    <hyperlink ref="L498" r:id="rId104" xr:uid="{00000000-0004-0000-0000-000067000000}"/>
    <hyperlink ref="L423" r:id="rId105" xr:uid="{00000000-0004-0000-0000-000068000000}"/>
    <hyperlink ref="L416" r:id="rId106" xr:uid="{00000000-0004-0000-0000-000069000000}"/>
    <hyperlink ref="L415" r:id="rId107" xr:uid="{00000000-0004-0000-0000-00006A000000}"/>
    <hyperlink ref="L558" r:id="rId108" xr:uid="{00000000-0004-0000-0000-00006B000000}"/>
    <hyperlink ref="L559" r:id="rId109" xr:uid="{00000000-0004-0000-0000-00006C000000}"/>
    <hyperlink ref="L414" r:id="rId110" xr:uid="{00000000-0004-0000-0000-00006D000000}"/>
    <hyperlink ref="L437" r:id="rId111" xr:uid="{00000000-0004-0000-0000-00006E000000}"/>
    <hyperlink ref="L743" r:id="rId112" xr:uid="{00000000-0004-0000-0000-00006F000000}"/>
    <hyperlink ref="L401" r:id="rId113" xr:uid="{00000000-0004-0000-0000-000070000000}"/>
    <hyperlink ref="L742" r:id="rId114" xr:uid="{00000000-0004-0000-0000-000071000000}"/>
    <hyperlink ref="L440" r:id="rId115" xr:uid="{00000000-0004-0000-0000-000072000000}"/>
    <hyperlink ref="L615" r:id="rId116" xr:uid="{00000000-0004-0000-0000-000073000000}"/>
    <hyperlink ref="L616" r:id="rId117" xr:uid="{00000000-0004-0000-0000-000074000000}"/>
    <hyperlink ref="L613" r:id="rId118" xr:uid="{00000000-0004-0000-0000-000075000000}"/>
    <hyperlink ref="L444" r:id="rId119" xr:uid="{00000000-0004-0000-0000-000076000000}"/>
    <hyperlink ref="L611" r:id="rId120" xr:uid="{00000000-0004-0000-0000-000077000000}"/>
    <hyperlink ref="L677" r:id="rId121" xr:uid="{00000000-0004-0000-0000-000078000000}"/>
    <hyperlink ref="L19" r:id="rId122" xr:uid="{00000000-0004-0000-0000-000079000000}"/>
    <hyperlink ref="L25" r:id="rId123" xr:uid="{00000000-0004-0000-0000-00007A000000}"/>
    <hyperlink ref="L24" r:id="rId124" xr:uid="{00000000-0004-0000-0000-00007B000000}"/>
    <hyperlink ref="L653" r:id="rId125" xr:uid="{00000000-0004-0000-0000-00007C000000}"/>
    <hyperlink ref="L652" r:id="rId126" xr:uid="{00000000-0004-0000-0000-00007D000000}"/>
    <hyperlink ref="L673" r:id="rId127" xr:uid="{00000000-0004-0000-0000-00007E000000}"/>
    <hyperlink ref="L790" r:id="rId128" xr:uid="{00000000-0004-0000-0000-00007F000000}"/>
    <hyperlink ref="L379" r:id="rId129" xr:uid="{00000000-0004-0000-0000-000080000000}"/>
    <hyperlink ref="L624" r:id="rId130" xr:uid="{00000000-0004-0000-0000-000081000000}"/>
    <hyperlink ref="L313" r:id="rId131" xr:uid="{00000000-0004-0000-0000-000082000000}"/>
    <hyperlink ref="L626" r:id="rId132" xr:uid="{00000000-0004-0000-0000-000083000000}"/>
    <hyperlink ref="L431" r:id="rId133" xr:uid="{00000000-0004-0000-0000-000084000000}"/>
    <hyperlink ref="L672" r:id="rId134" xr:uid="{00000000-0004-0000-0000-000085000000}"/>
    <hyperlink ref="L426" r:id="rId135" xr:uid="{00000000-0004-0000-0000-000086000000}"/>
    <hyperlink ref="L436" r:id="rId136" xr:uid="{00000000-0004-0000-0000-000087000000}"/>
    <hyperlink ref="L302" r:id="rId137" xr:uid="{00000000-0004-0000-0000-000088000000}"/>
    <hyperlink ref="L457" r:id="rId138" xr:uid="{00000000-0004-0000-0000-000089000000}"/>
    <hyperlink ref="L432" r:id="rId139" xr:uid="{00000000-0004-0000-0000-00008A000000}"/>
    <hyperlink ref="L433" r:id="rId140" xr:uid="{00000000-0004-0000-0000-00008B000000}"/>
    <hyperlink ref="L435" r:id="rId141" xr:uid="{00000000-0004-0000-0000-00008C000000}"/>
    <hyperlink ref="L495" r:id="rId142" xr:uid="{00000000-0004-0000-0000-00008D000000}"/>
    <hyperlink ref="L496" r:id="rId143" xr:uid="{00000000-0004-0000-0000-00008E000000}"/>
    <hyperlink ref="L427" r:id="rId144" xr:uid="{00000000-0004-0000-0000-00008F000000}"/>
    <hyperlink ref="L428" r:id="rId145" xr:uid="{00000000-0004-0000-0000-000090000000}"/>
    <hyperlink ref="L339" r:id="rId146" xr:uid="{00000000-0004-0000-0000-000091000000}"/>
    <hyperlink ref="L670" r:id="rId147" xr:uid="{00000000-0004-0000-0000-000092000000}"/>
    <hyperlink ref="L471" r:id="rId148" xr:uid="{00000000-0004-0000-0000-000093000000}"/>
    <hyperlink ref="L354" r:id="rId149" xr:uid="{00000000-0004-0000-0000-000094000000}"/>
    <hyperlink ref="L470" r:id="rId150" xr:uid="{00000000-0004-0000-0000-000095000000}"/>
    <hyperlink ref="L500" r:id="rId151" xr:uid="{00000000-0004-0000-0000-000096000000}"/>
    <hyperlink ref="L501" r:id="rId152" xr:uid="{00000000-0004-0000-0000-000097000000}"/>
    <hyperlink ref="L21" r:id="rId153" xr:uid="{00000000-0004-0000-0000-000098000000}"/>
    <hyperlink ref="L562" r:id="rId154" xr:uid="{00000000-0004-0000-0000-000099000000}"/>
    <hyperlink ref="L22" r:id="rId155" xr:uid="{00000000-0004-0000-0000-00009A000000}"/>
    <hyperlink ref="L463" r:id="rId156" xr:uid="{00000000-0004-0000-0000-00009B000000}"/>
    <hyperlink ref="L555" r:id="rId157" xr:uid="{00000000-0004-0000-0000-00009C000000}"/>
    <hyperlink ref="L591" r:id="rId158" xr:uid="{00000000-0004-0000-0000-00009D000000}"/>
    <hyperlink ref="L484" r:id="rId159" xr:uid="{00000000-0004-0000-0000-00009E000000}"/>
    <hyperlink ref="L518" r:id="rId160" xr:uid="{00000000-0004-0000-0000-00009F000000}"/>
    <hyperlink ref="L311" r:id="rId161" xr:uid="{00000000-0004-0000-0000-0000A0000000}"/>
    <hyperlink ref="L309" r:id="rId162" xr:uid="{00000000-0004-0000-0000-0000A1000000}"/>
    <hyperlink ref="L310" r:id="rId163" xr:uid="{00000000-0004-0000-0000-0000A2000000}"/>
    <hyperlink ref="L307" r:id="rId164" xr:uid="{00000000-0004-0000-0000-0000A3000000}"/>
    <hyperlink ref="L308" r:id="rId165" xr:uid="{00000000-0004-0000-0000-0000A4000000}"/>
    <hyperlink ref="L563" r:id="rId166" xr:uid="{00000000-0004-0000-0000-0000A5000000}"/>
    <hyperlink ref="L622" r:id="rId167" xr:uid="{00000000-0004-0000-0000-0000A6000000}"/>
    <hyperlink ref="L620" r:id="rId168" xr:uid="{00000000-0004-0000-0000-0000A7000000}"/>
    <hyperlink ref="L344" r:id="rId169" xr:uid="{00000000-0004-0000-0000-0000A8000000}"/>
    <hyperlink ref="L305" r:id="rId170" xr:uid="{00000000-0004-0000-0000-0000A9000000}"/>
    <hyperlink ref="L347" r:id="rId171" xr:uid="{00000000-0004-0000-0000-0000AA000000}"/>
    <hyperlink ref="L377" r:id="rId172" xr:uid="{00000000-0004-0000-0000-0000AB000000}"/>
    <hyperlink ref="L441" r:id="rId173" xr:uid="{00000000-0004-0000-0000-0000AC000000}"/>
    <hyperlink ref="L376" r:id="rId174" xr:uid="{00000000-0004-0000-0000-0000AD000000}"/>
    <hyperlink ref="L464" r:id="rId175" xr:uid="{00000000-0004-0000-0000-0000AE000000}"/>
    <hyperlink ref="L633" r:id="rId176" xr:uid="{00000000-0004-0000-0000-0000AF000000}"/>
    <hyperlink ref="L455" r:id="rId177" xr:uid="{00000000-0004-0000-0000-0000B0000000}"/>
    <hyperlink ref="L519" r:id="rId178" xr:uid="{00000000-0004-0000-0000-0000B1000000}"/>
    <hyperlink ref="L520" r:id="rId179" xr:uid="{00000000-0004-0000-0000-0000B2000000}"/>
    <hyperlink ref="L403" r:id="rId180" xr:uid="{00000000-0004-0000-0000-0000B3000000}"/>
    <hyperlink ref="L405" r:id="rId181" xr:uid="{00000000-0004-0000-0000-0000B4000000}"/>
    <hyperlink ref="L345" r:id="rId182" xr:uid="{00000000-0004-0000-0000-0000B5000000}"/>
    <hyperlink ref="L304" r:id="rId183" xr:uid="{00000000-0004-0000-0000-0000B6000000}"/>
    <hyperlink ref="L609" r:id="rId184" xr:uid="{00000000-0004-0000-0000-0000B7000000}"/>
    <hyperlink ref="L640" r:id="rId185" xr:uid="{00000000-0004-0000-0000-0000B8000000}"/>
    <hyperlink ref="L557" r:id="rId186" xr:uid="{00000000-0004-0000-0000-0000B9000000}"/>
    <hyperlink ref="L390" r:id="rId187" xr:uid="{00000000-0004-0000-0000-0000BA000000}"/>
    <hyperlink ref="L461" r:id="rId188" xr:uid="{00000000-0004-0000-0000-0000BB000000}"/>
    <hyperlink ref="L556" r:id="rId189" xr:uid="{00000000-0004-0000-0000-0000BC000000}"/>
    <hyperlink ref="L654" r:id="rId190" xr:uid="{00000000-0004-0000-0000-0000BD000000}"/>
    <hyperlink ref="L655" r:id="rId191" xr:uid="{00000000-0004-0000-0000-0000BE000000}"/>
    <hyperlink ref="L656" r:id="rId192" xr:uid="{00000000-0004-0000-0000-0000BF000000}"/>
    <hyperlink ref="L542" r:id="rId193" xr:uid="{00000000-0004-0000-0000-0000C0000000}"/>
    <hyperlink ref="L540" r:id="rId194" xr:uid="{00000000-0004-0000-0000-0000C1000000}"/>
    <hyperlink ref="L541" r:id="rId195" xr:uid="{00000000-0004-0000-0000-0000C2000000}"/>
    <hyperlink ref="L734" r:id="rId196" xr:uid="{00000000-0004-0000-0000-0000C3000000}"/>
    <hyperlink ref="L603" r:id="rId197" xr:uid="{00000000-0004-0000-0000-0000C4000000}"/>
    <hyperlink ref="L505" r:id="rId198" xr:uid="{00000000-0004-0000-0000-0000C5000000}"/>
    <hyperlink ref="L30" r:id="rId199" xr:uid="{00000000-0004-0000-0000-0000C6000000}"/>
    <hyperlink ref="L546" r:id="rId200" xr:uid="{00000000-0004-0000-0000-0000C7000000}"/>
    <hyperlink ref="L350" r:id="rId201" xr:uid="{00000000-0004-0000-0000-0000C8000000}"/>
    <hyperlink ref="L351" r:id="rId202" xr:uid="{00000000-0004-0000-0000-0000C9000000}"/>
    <hyperlink ref="L349" r:id="rId203" xr:uid="{00000000-0004-0000-0000-0000CA000000}"/>
    <hyperlink ref="L666" r:id="rId204" xr:uid="{00000000-0004-0000-0000-0000CB000000}"/>
    <hyperlink ref="L668" r:id="rId205" xr:uid="{00000000-0004-0000-0000-0000CC000000}"/>
    <hyperlink ref="L669" r:id="rId206" xr:uid="{00000000-0004-0000-0000-0000CD000000}"/>
    <hyperlink ref="L362" r:id="rId207" xr:uid="{00000000-0004-0000-0000-0000CE000000}"/>
    <hyperlink ref="L360" r:id="rId208" xr:uid="{00000000-0004-0000-0000-0000CF000000}"/>
    <hyperlink ref="L359" r:id="rId209" xr:uid="{00000000-0004-0000-0000-0000D0000000}"/>
    <hyperlink ref="L358" r:id="rId210" xr:uid="{00000000-0004-0000-0000-0000D1000000}"/>
    <hyperlink ref="L357" r:id="rId211" xr:uid="{00000000-0004-0000-0000-0000D2000000}"/>
    <hyperlink ref="L667" r:id="rId212" xr:uid="{00000000-0004-0000-0000-0000D3000000}"/>
    <hyperlink ref="L472" r:id="rId213" xr:uid="{00000000-0004-0000-0000-0000D4000000}"/>
    <hyperlink ref="L269" r:id="rId214" xr:uid="{00000000-0004-0000-0000-0000D5000000}"/>
    <hyperlink ref="L333" r:id="rId215" xr:uid="{00000000-0004-0000-0000-0000D6000000}"/>
    <hyperlink ref="L698" r:id="rId216" xr:uid="{00000000-0004-0000-0000-0000D7000000}"/>
    <hyperlink ref="L380" r:id="rId217" xr:uid="{00000000-0004-0000-0000-0000D8000000}"/>
    <hyperlink ref="L381" r:id="rId218" xr:uid="{00000000-0004-0000-0000-0000D9000000}"/>
    <hyperlink ref="L469" r:id="rId219" xr:uid="{00000000-0004-0000-0000-0000DA000000}"/>
    <hyperlink ref="L573" r:id="rId220" xr:uid="{00000000-0004-0000-0000-0000DB000000}"/>
    <hyperlink ref="L468" r:id="rId221" xr:uid="{00000000-0004-0000-0000-0000DC000000}"/>
    <hyperlink ref="L689" r:id="rId222" xr:uid="{00000000-0004-0000-0000-0000DD000000}"/>
    <hyperlink ref="L735" r:id="rId223" xr:uid="{00000000-0004-0000-0000-0000DE000000}"/>
    <hyperlink ref="L696" r:id="rId224" xr:uid="{00000000-0004-0000-0000-0000DF000000}"/>
    <hyperlink ref="L695" r:id="rId225" xr:uid="{00000000-0004-0000-0000-0000E0000000}"/>
    <hyperlink ref="L694" r:id="rId226" xr:uid="{00000000-0004-0000-0000-0000E1000000}"/>
    <hyperlink ref="L692" r:id="rId227" xr:uid="{00000000-0004-0000-0000-0000E2000000}"/>
    <hyperlink ref="L691" r:id="rId228" xr:uid="{00000000-0004-0000-0000-0000E3000000}"/>
    <hyperlink ref="L690" r:id="rId229" xr:uid="{00000000-0004-0000-0000-0000E4000000}"/>
    <hyperlink ref="L832" r:id="rId230" xr:uid="{00000000-0004-0000-0000-0000E5000000}"/>
    <hyperlink ref="L833" r:id="rId231" xr:uid="{00000000-0004-0000-0000-0000E6000000}"/>
    <hyperlink ref="L665" r:id="rId232" display="http://biology.burke.washington.edu/herbarium/imagecollection/taxon.php?Taxon=Potamogeton zosteriformis  " xr:uid="{00000000-0004-0000-0000-0000E7000000}"/>
    <hyperlink ref="L657" r:id="rId233" xr:uid="{00000000-0004-0000-0000-0000E8000000}"/>
    <hyperlink ref="L658" r:id="rId234" xr:uid="{00000000-0004-0000-0000-0000E9000000}"/>
    <hyperlink ref="L659" r:id="rId235" xr:uid="{00000000-0004-0000-0000-0000EA000000}"/>
    <hyperlink ref="L660" r:id="rId236" xr:uid="{00000000-0004-0000-0000-0000EB000000}"/>
    <hyperlink ref="L662" r:id="rId237" xr:uid="{00000000-0004-0000-0000-0000EC000000}"/>
    <hyperlink ref="L663" r:id="rId238" xr:uid="{00000000-0004-0000-0000-0000ED000000}"/>
    <hyperlink ref="L664" r:id="rId239" xr:uid="{00000000-0004-0000-0000-0000EE000000}"/>
    <hyperlink ref="L731" r:id="rId240" xr:uid="{00000000-0004-0000-0000-0000EF000000}"/>
    <hyperlink ref="L388" r:id="rId241" xr:uid="{00000000-0004-0000-0000-0000F0000000}"/>
    <hyperlink ref="L631" r:id="rId242" xr:uid="{00000000-0004-0000-0000-0000F1000000}"/>
    <hyperlink ref="L685" r:id="rId243" xr:uid="{00000000-0004-0000-0000-0000F2000000}"/>
    <hyperlink ref="L538" r:id="rId244" xr:uid="{00000000-0004-0000-0000-0000F3000000}"/>
    <hyperlink ref="L34" r:id="rId245" xr:uid="{00000000-0004-0000-0000-0000F4000000}"/>
    <hyperlink ref="L684" r:id="rId246" xr:uid="{00000000-0004-0000-0000-0000F5000000}"/>
    <hyperlink ref="L209" r:id="rId247" xr:uid="{00000000-0004-0000-0000-0000F6000000}"/>
    <hyperlink ref="L361" r:id="rId248" xr:uid="{00000000-0004-0000-0000-0000F7000000}"/>
    <hyperlink ref="L686" r:id="rId249" xr:uid="{00000000-0004-0000-0000-0000F8000000}"/>
    <hyperlink ref="L536" r:id="rId250" xr:uid="{00000000-0004-0000-0000-0000F9000000}"/>
    <hyperlink ref="AC13" r:id="rId251" display="E-Flora BC" xr:uid="{00000000-0004-0000-0000-0000FA000000}"/>
    <hyperlink ref="L740" r:id="rId252" xr:uid="{00000000-0004-0000-0000-0000FB000000}"/>
    <hyperlink ref="L372" r:id="rId253" xr:uid="{00000000-0004-0000-0000-0000FC000000}"/>
    <hyperlink ref="L342" r:id="rId254" xr:uid="{00000000-0004-0000-0000-0000FD000000}"/>
    <hyperlink ref="L710" r:id="rId255" xr:uid="{00000000-0004-0000-0000-0000FE000000}"/>
    <hyperlink ref="L29" r:id="rId256" xr:uid="{00000000-0004-0000-0000-0000FF000000}"/>
    <hyperlink ref="L332" r:id="rId257" xr:uid="{00000000-0004-0000-0000-000000010000}"/>
    <hyperlink ref="L460" r:id="rId258" xr:uid="{00000000-0004-0000-0000-000001010000}"/>
    <hyperlink ref="L683" r:id="rId259" xr:uid="{00000000-0004-0000-0000-000002010000}"/>
    <hyperlink ref="L340" r:id="rId260" xr:uid="{00000000-0004-0000-0000-000003010000}"/>
    <hyperlink ref="L398" r:id="rId261" xr:uid="{00000000-0004-0000-0000-000004010000}"/>
    <hyperlink ref="L506" r:id="rId262" xr:uid="{00000000-0004-0000-0000-000005010000}"/>
    <hyperlink ref="L418" r:id="rId263" xr:uid="{00000000-0004-0000-0000-000006010000}"/>
    <hyperlink ref="L688" r:id="rId264" xr:uid="{00000000-0004-0000-0000-000007010000}"/>
    <hyperlink ref="L661" r:id="rId265" xr:uid="{00000000-0004-0000-0000-000008010000}"/>
    <hyperlink ref="L539" r:id="rId266" xr:uid="{00000000-0004-0000-0000-000009010000}"/>
    <hyperlink ref="L639" r:id="rId267" xr:uid="{00000000-0004-0000-0000-00000A010000}"/>
    <hyperlink ref="L682" r:id="rId268" xr:uid="{00000000-0004-0000-0000-00000B010000}"/>
    <hyperlink ref="L404" r:id="rId269" xr:uid="{00000000-0004-0000-0000-00000C010000}"/>
    <hyperlink ref="L378" r:id="rId270" xr:uid="{00000000-0004-0000-0000-00000D010000}"/>
    <hyperlink ref="L301" r:id="rId271" xr:uid="{00000000-0004-0000-0000-00000E010000}"/>
    <hyperlink ref="L462" r:id="rId272" xr:uid="{00000000-0004-0000-0000-00000F010000}"/>
    <hyperlink ref="L454" r:id="rId273" xr:uid="{00000000-0004-0000-0000-000010010000}"/>
    <hyperlink ref="L681" r:id="rId274" xr:uid="{00000000-0004-0000-0000-000011010000}"/>
    <hyperlink ref="L409" r:id="rId275" xr:uid="{00000000-0004-0000-0000-000012010000}"/>
    <hyperlink ref="P517" r:id="rId276" tooltip="Onocleaceae" display="https://en.wikipedia.org/wiki/Onocleaceae" xr:uid="{00000000-0004-0000-0000-000013010000}"/>
    <hyperlink ref="L497" r:id="rId277" xr:uid="{00000000-0004-0000-0000-000014010000}"/>
    <hyperlink ref="L592" r:id="rId278" xr:uid="{00000000-0004-0000-0000-000015010000}"/>
    <hyperlink ref="L336" r:id="rId279" xr:uid="{00000000-0004-0000-0000-000016010000}"/>
    <hyperlink ref="J96" r:id="rId280" display="Wild Ginger" xr:uid="{00000000-0004-0000-0000-000017010000}"/>
    <hyperlink ref="L355" r:id="rId281" xr:uid="{00000000-0004-0000-0000-000018010000}"/>
    <hyperlink ref="J21" r:id="rId282" display="Coastal Sand Verbena, Yellow Sand-Verbena  " xr:uid="{00000000-0004-0000-0000-000019010000}"/>
    <hyperlink ref="L28" r:id="rId283" xr:uid="{00000000-0004-0000-0000-00001A010000}"/>
    <hyperlink ref="L32" r:id="rId284" xr:uid="{00000000-0004-0000-0000-00001B010000}"/>
    <hyperlink ref="L33" r:id="rId285" xr:uid="{00000000-0004-0000-0000-00001C010000}"/>
    <hyperlink ref="L39" r:id="rId286" xr:uid="{00000000-0004-0000-0000-00001D010000}"/>
    <hyperlink ref="L40" r:id="rId287" xr:uid="{00000000-0004-0000-0000-00001E010000}"/>
    <hyperlink ref="J40" r:id="rId288" display="Oregon Bentgrass" xr:uid="{00000000-0004-0000-0000-00001F010000}"/>
    <hyperlink ref="L41" r:id="rId289" xr:uid="{00000000-0004-0000-0000-000020010000}"/>
    <hyperlink ref="L42" r:id="rId290" xr:uid="{00000000-0004-0000-0000-000021010000}"/>
    <hyperlink ref="L61" r:id="rId291" xr:uid="{00000000-0004-0000-0000-000022010000}"/>
    <hyperlink ref="L64" r:id="rId292" xr:uid="{00000000-0004-0000-0000-000023010000}"/>
    <hyperlink ref="L66" r:id="rId293" xr:uid="{00000000-0004-0000-0000-000024010000}"/>
    <hyperlink ref="L68" r:id="rId294" xr:uid="{00000000-0004-0000-0000-000025010000}"/>
    <hyperlink ref="J70" r:id="rId295" display="Howell's Pussytoes  " xr:uid="{00000000-0004-0000-0000-000026010000}"/>
    <hyperlink ref="L72" r:id="rId296" xr:uid="{00000000-0004-0000-0000-000027010000}"/>
    <hyperlink ref="L77" r:id="rId297" xr:uid="{00000000-0004-0000-0000-000028010000}"/>
    <hyperlink ref="L78" r:id="rId298" xr:uid="{00000000-0004-0000-0000-000029010000}"/>
    <hyperlink ref="L79" r:id="rId299" xr:uid="{00000000-0004-0000-0000-00002A010000}"/>
    <hyperlink ref="L81" r:id="rId300" xr:uid="{00000000-0004-0000-0000-00002B010000}"/>
    <hyperlink ref="L82" r:id="rId301" xr:uid="{00000000-0004-0000-0000-00002C010000}"/>
    <hyperlink ref="L83" r:id="rId302" xr:uid="{00000000-0004-0000-0000-00002D010000}"/>
    <hyperlink ref="L85" r:id="rId303" xr:uid="{00000000-0004-0000-0000-00002E010000}"/>
    <hyperlink ref="L86" r:id="rId304" xr:uid="{00000000-0004-0000-0000-00002F010000}"/>
    <hyperlink ref="L88" r:id="rId305" xr:uid="{00000000-0004-0000-0000-000030010000}"/>
    <hyperlink ref="L791" r:id="rId306" xr:uid="{00000000-0004-0000-0000-000031010000}"/>
    <hyperlink ref="L87" r:id="rId307" xr:uid="{00000000-0004-0000-0000-000032010000}"/>
    <hyperlink ref="L101" r:id="rId308" xr:uid="{00000000-0004-0000-0000-000033010000}"/>
    <hyperlink ref="L103" r:id="rId309" xr:uid="{00000000-0004-0000-0000-000034010000}"/>
    <hyperlink ref="L104" r:id="rId310" xr:uid="{00000000-0004-0000-0000-000035010000}"/>
    <hyperlink ref="L106" r:id="rId311" xr:uid="{00000000-0004-0000-0000-000036010000}"/>
    <hyperlink ref="L108" r:id="rId312" xr:uid="{00000000-0004-0000-0000-000037010000}"/>
    <hyperlink ref="L109" r:id="rId313" xr:uid="{00000000-0004-0000-0000-000038010000}"/>
    <hyperlink ref="L111" r:id="rId314" xr:uid="{00000000-0004-0000-0000-000039010000}"/>
    <hyperlink ref="L113" r:id="rId315" xr:uid="{00000000-0004-0000-0000-00003A010000}"/>
    <hyperlink ref="L115" r:id="rId316" xr:uid="{00000000-0004-0000-0000-00003B010000}"/>
    <hyperlink ref="L116" r:id="rId317" xr:uid="{00000000-0004-0000-0000-00003C010000}"/>
    <hyperlink ref="L117" r:id="rId318" xr:uid="{00000000-0004-0000-0000-00003D010000}"/>
    <hyperlink ref="L118" r:id="rId319" xr:uid="{00000000-0004-0000-0000-00003E010000}"/>
    <hyperlink ref="L119" r:id="rId320" xr:uid="{00000000-0004-0000-0000-00003F010000}"/>
    <hyperlink ref="L130" r:id="rId321" xr:uid="{00000000-0004-0000-0000-000040010000}"/>
    <hyperlink ref="L128" r:id="rId322" xr:uid="{00000000-0004-0000-0000-000041010000}"/>
    <hyperlink ref="L125" r:id="rId323" xr:uid="{00000000-0004-0000-0000-000042010000}"/>
    <hyperlink ref="L124" r:id="rId324" xr:uid="{00000000-0004-0000-0000-000043010000}"/>
    <hyperlink ref="L123" r:id="rId325" xr:uid="{00000000-0004-0000-0000-000044010000}"/>
    <hyperlink ref="L122" r:id="rId326" xr:uid="{00000000-0004-0000-0000-000045010000}"/>
    <hyperlink ref="L121" r:id="rId327" xr:uid="{00000000-0004-0000-0000-000046010000}"/>
    <hyperlink ref="L154" r:id="rId328" xr:uid="{00000000-0004-0000-0000-000047010000}"/>
    <hyperlink ref="L153" r:id="rId329" xr:uid="{00000000-0004-0000-0000-000048010000}"/>
    <hyperlink ref="L152" r:id="rId330" xr:uid="{00000000-0004-0000-0000-000049010000}"/>
    <hyperlink ref="L151" r:id="rId331" xr:uid="{00000000-0004-0000-0000-00004A010000}"/>
    <hyperlink ref="L150" r:id="rId332" xr:uid="{00000000-0004-0000-0000-00004B010000}"/>
    <hyperlink ref="L149" r:id="rId333" xr:uid="{00000000-0004-0000-0000-00004C010000}"/>
    <hyperlink ref="L148" r:id="rId334" xr:uid="{00000000-0004-0000-0000-00004D010000}"/>
    <hyperlink ref="L147" r:id="rId335" xr:uid="{00000000-0004-0000-0000-00004E010000}"/>
    <hyperlink ref="L146" r:id="rId336" xr:uid="{00000000-0004-0000-0000-00004F010000}"/>
    <hyperlink ref="L145" r:id="rId337" xr:uid="{00000000-0004-0000-0000-000050010000}"/>
    <hyperlink ref="L144" r:id="rId338" xr:uid="{00000000-0004-0000-0000-000051010000}"/>
    <hyperlink ref="L141" r:id="rId339" xr:uid="{00000000-0004-0000-0000-000052010000}"/>
    <hyperlink ref="L139" r:id="rId340" xr:uid="{00000000-0004-0000-0000-000053010000}"/>
    <hyperlink ref="L137" r:id="rId341" xr:uid="{00000000-0004-0000-0000-000054010000}"/>
    <hyperlink ref="L136" r:id="rId342" xr:uid="{00000000-0004-0000-0000-000055010000}"/>
    <hyperlink ref="L135" r:id="rId343" xr:uid="{00000000-0004-0000-0000-000056010000}"/>
    <hyperlink ref="L132" r:id="rId344" xr:uid="{00000000-0004-0000-0000-000057010000}"/>
    <hyperlink ref="L131" r:id="rId345" xr:uid="{00000000-0004-0000-0000-000058010000}"/>
    <hyperlink ref="L134" r:id="rId346" xr:uid="{00000000-0004-0000-0000-000059010000}"/>
    <hyperlink ref="L140" r:id="rId347" xr:uid="{00000000-0004-0000-0000-00005A010000}"/>
    <hyperlink ref="L155" r:id="rId348" xr:uid="{00000000-0004-0000-0000-00005B010000}"/>
    <hyperlink ref="L157" r:id="rId349" xr:uid="{00000000-0004-0000-0000-00005C010000}"/>
    <hyperlink ref="L158" r:id="rId350" xr:uid="{00000000-0004-0000-0000-00005D010000}"/>
    <hyperlink ref="L159" r:id="rId351" xr:uid="{00000000-0004-0000-0000-00005E010000}"/>
    <hyperlink ref="L161" r:id="rId352" xr:uid="{00000000-0004-0000-0000-00005F010000}"/>
    <hyperlink ref="L162" r:id="rId353" xr:uid="{00000000-0004-0000-0000-000060010000}"/>
    <hyperlink ref="L163" r:id="rId354" xr:uid="{00000000-0004-0000-0000-000061010000}"/>
    <hyperlink ref="L164" r:id="rId355" xr:uid="{00000000-0004-0000-0000-000062010000}"/>
    <hyperlink ref="L165" r:id="rId356" xr:uid="{00000000-0004-0000-0000-000063010000}"/>
    <hyperlink ref="L167" r:id="rId357" xr:uid="{00000000-0004-0000-0000-000064010000}"/>
    <hyperlink ref="L168" r:id="rId358" xr:uid="{00000000-0004-0000-0000-000065010000}"/>
    <hyperlink ref="L169" r:id="rId359" xr:uid="{00000000-0004-0000-0000-000066010000}"/>
    <hyperlink ref="L170" r:id="rId360" xr:uid="{00000000-0004-0000-0000-000067010000}"/>
    <hyperlink ref="L171" r:id="rId361" xr:uid="{00000000-0004-0000-0000-000068010000}"/>
    <hyperlink ref="L172" r:id="rId362" xr:uid="{00000000-0004-0000-0000-000069010000}"/>
    <hyperlink ref="L174" r:id="rId363" xr:uid="{00000000-0004-0000-0000-00006A010000}"/>
    <hyperlink ref="L178" r:id="rId364" xr:uid="{00000000-0004-0000-0000-00006B010000}"/>
    <hyperlink ref="L180" r:id="rId365" xr:uid="{00000000-0004-0000-0000-00006C010000}"/>
    <hyperlink ref="L181" r:id="rId366" xr:uid="{00000000-0004-0000-0000-00006D010000}"/>
    <hyperlink ref="L182" r:id="rId367" xr:uid="{00000000-0004-0000-0000-00006E010000}"/>
    <hyperlink ref="L183" r:id="rId368" xr:uid="{00000000-0004-0000-0000-00006F010000}"/>
    <hyperlink ref="L184" r:id="rId369" xr:uid="{00000000-0004-0000-0000-000070010000}"/>
    <hyperlink ref="L186" r:id="rId370" xr:uid="{00000000-0004-0000-0000-000071010000}"/>
    <hyperlink ref="L187" r:id="rId371" xr:uid="{00000000-0004-0000-0000-000072010000}"/>
    <hyperlink ref="L190" r:id="rId372" xr:uid="{00000000-0004-0000-0000-000073010000}"/>
    <hyperlink ref="L191" r:id="rId373" xr:uid="{00000000-0004-0000-0000-000074010000}"/>
    <hyperlink ref="L192" r:id="rId374" xr:uid="{00000000-0004-0000-0000-000075010000}"/>
    <hyperlink ref="L193" r:id="rId375" xr:uid="{00000000-0004-0000-0000-000076010000}"/>
    <hyperlink ref="L264" r:id="rId376" xr:uid="{00000000-0004-0000-0000-000077010000}"/>
    <hyperlink ref="L261" r:id="rId377" xr:uid="{00000000-0004-0000-0000-000078010000}"/>
    <hyperlink ref="L260" r:id="rId378" xr:uid="{00000000-0004-0000-0000-000079010000}"/>
    <hyperlink ref="L259" r:id="rId379" xr:uid="{00000000-0004-0000-0000-00007A010000}"/>
    <hyperlink ref="L258" r:id="rId380" xr:uid="{00000000-0004-0000-0000-00007B010000}"/>
    <hyperlink ref="L257" r:id="rId381" xr:uid="{00000000-0004-0000-0000-00007C010000}"/>
    <hyperlink ref="L256" r:id="rId382" xr:uid="{00000000-0004-0000-0000-00007D010000}"/>
    <hyperlink ref="L255" r:id="rId383" xr:uid="{00000000-0004-0000-0000-00007E010000}"/>
    <hyperlink ref="L254" r:id="rId384" xr:uid="{00000000-0004-0000-0000-00007F010000}"/>
    <hyperlink ref="L253" r:id="rId385" xr:uid="{00000000-0004-0000-0000-000080010000}"/>
    <hyperlink ref="L252" r:id="rId386" xr:uid="{00000000-0004-0000-0000-000081010000}"/>
    <hyperlink ref="L251" r:id="rId387" xr:uid="{00000000-0004-0000-0000-000082010000}"/>
    <hyperlink ref="L248" r:id="rId388" xr:uid="{00000000-0004-0000-0000-000083010000}"/>
    <hyperlink ref="L246" r:id="rId389" xr:uid="{00000000-0004-0000-0000-000084010000}"/>
    <hyperlink ref="L245" r:id="rId390" xr:uid="{00000000-0004-0000-0000-000085010000}"/>
    <hyperlink ref="L244" r:id="rId391" xr:uid="{00000000-0004-0000-0000-000086010000}"/>
    <hyperlink ref="L243" r:id="rId392" xr:uid="{00000000-0004-0000-0000-000087010000}"/>
    <hyperlink ref="L242" r:id="rId393" xr:uid="{00000000-0004-0000-0000-000088010000}"/>
    <hyperlink ref="L241" r:id="rId394" xr:uid="{00000000-0004-0000-0000-000089010000}"/>
    <hyperlink ref="L142" r:id="rId395" xr:uid="{00000000-0004-0000-0000-00008A010000}"/>
    <hyperlink ref="L240" r:id="rId396" xr:uid="{00000000-0004-0000-0000-00008B010000}"/>
    <hyperlink ref="L239" r:id="rId397" xr:uid="{00000000-0004-0000-0000-00008C010000}"/>
    <hyperlink ref="L238" r:id="rId398" xr:uid="{00000000-0004-0000-0000-00008D010000}"/>
    <hyperlink ref="L236" r:id="rId399" xr:uid="{00000000-0004-0000-0000-00008E010000}"/>
    <hyperlink ref="L234" r:id="rId400" xr:uid="{00000000-0004-0000-0000-00008F010000}"/>
    <hyperlink ref="L233" r:id="rId401" xr:uid="{00000000-0004-0000-0000-000090010000}"/>
    <hyperlink ref="L232" r:id="rId402" xr:uid="{00000000-0004-0000-0000-000091010000}"/>
    <hyperlink ref="L231" r:id="rId403" xr:uid="{00000000-0004-0000-0000-000092010000}"/>
    <hyperlink ref="L229" r:id="rId404" xr:uid="{00000000-0004-0000-0000-000093010000}"/>
    <hyperlink ref="L228" r:id="rId405" xr:uid="{00000000-0004-0000-0000-000094010000}"/>
    <hyperlink ref="L227" r:id="rId406" xr:uid="{00000000-0004-0000-0000-000095010000}"/>
    <hyperlink ref="L226" r:id="rId407" xr:uid="{00000000-0004-0000-0000-000096010000}"/>
    <hyperlink ref="L225" r:id="rId408" xr:uid="{00000000-0004-0000-0000-000097010000}"/>
    <hyperlink ref="L224" r:id="rId409" xr:uid="{00000000-0004-0000-0000-000098010000}"/>
    <hyperlink ref="L223" r:id="rId410" xr:uid="{00000000-0004-0000-0000-000099010000}"/>
    <hyperlink ref="L222" r:id="rId411" xr:uid="{00000000-0004-0000-0000-00009A010000}"/>
    <hyperlink ref="L221" r:id="rId412" xr:uid="{00000000-0004-0000-0000-00009B010000}"/>
    <hyperlink ref="L220" r:id="rId413" xr:uid="{00000000-0004-0000-0000-00009C010000}"/>
    <hyperlink ref="L219" r:id="rId414" xr:uid="{00000000-0004-0000-0000-00009D010000}"/>
    <hyperlink ref="L218" r:id="rId415" xr:uid="{00000000-0004-0000-0000-00009E010000}"/>
    <hyperlink ref="L217" r:id="rId416" xr:uid="{00000000-0004-0000-0000-00009F010000}"/>
    <hyperlink ref="L216" r:id="rId417" xr:uid="{00000000-0004-0000-0000-0000A0010000}"/>
    <hyperlink ref="L215" r:id="rId418" xr:uid="{00000000-0004-0000-0000-0000A1010000}"/>
    <hyperlink ref="L214" r:id="rId419" xr:uid="{00000000-0004-0000-0000-0000A2010000}"/>
    <hyperlink ref="L213" r:id="rId420" xr:uid="{00000000-0004-0000-0000-0000A3010000}"/>
    <hyperlink ref="L212" r:id="rId421" xr:uid="{00000000-0004-0000-0000-0000A4010000}"/>
    <hyperlink ref="L579" r:id="rId422" xr:uid="{00000000-0004-0000-0000-0000A5010000}"/>
    <hyperlink ref="L211" r:id="rId423" xr:uid="{00000000-0004-0000-0000-0000A6010000}"/>
    <hyperlink ref="L553" r:id="rId424" xr:uid="{00000000-0004-0000-0000-0000A7010000}"/>
    <hyperlink ref="L210" r:id="rId425" xr:uid="{00000000-0004-0000-0000-0000A8010000}"/>
    <hyperlink ref="L208" r:id="rId426" xr:uid="{00000000-0004-0000-0000-0000A9010000}"/>
    <hyperlink ref="L207" r:id="rId427" xr:uid="{00000000-0004-0000-0000-0000AA010000}"/>
    <hyperlink ref="L206" r:id="rId428" xr:uid="{00000000-0004-0000-0000-0000AB010000}"/>
    <hyperlink ref="L205" r:id="rId429" xr:uid="{00000000-0004-0000-0000-0000AC010000}"/>
    <hyperlink ref="L204" r:id="rId430" xr:uid="{00000000-0004-0000-0000-0000AD010000}"/>
    <hyperlink ref="L203" r:id="rId431" xr:uid="{00000000-0004-0000-0000-0000AE010000}"/>
    <hyperlink ref="L199" r:id="rId432" xr:uid="{00000000-0004-0000-0000-0000AF010000}"/>
    <hyperlink ref="L198" r:id="rId433" xr:uid="{00000000-0004-0000-0000-0000B0010000}"/>
    <hyperlink ref="L197" r:id="rId434" xr:uid="{00000000-0004-0000-0000-0000B1010000}"/>
    <hyperlink ref="L195" r:id="rId435" xr:uid="{00000000-0004-0000-0000-0000B2010000}"/>
    <hyperlink ref="L194" r:id="rId436" xr:uid="{00000000-0004-0000-0000-0000B3010000}"/>
    <hyperlink ref="L265" r:id="rId437" xr:uid="{00000000-0004-0000-0000-0000B4010000}"/>
    <hyperlink ref="L295" r:id="rId438" xr:uid="{00000000-0004-0000-0000-0000B5010000}"/>
    <hyperlink ref="L294" r:id="rId439" xr:uid="{00000000-0004-0000-0000-0000B6010000}"/>
    <hyperlink ref="L293" r:id="rId440" xr:uid="{00000000-0004-0000-0000-0000B7010000}"/>
    <hyperlink ref="L292" r:id="rId441" xr:uid="{00000000-0004-0000-0000-0000B8010000}"/>
    <hyperlink ref="L289" r:id="rId442" xr:uid="{00000000-0004-0000-0000-0000B9010000}"/>
    <hyperlink ref="L287" r:id="rId443" xr:uid="{00000000-0004-0000-0000-0000BA010000}"/>
    <hyperlink ref="L286" r:id="rId444" xr:uid="{00000000-0004-0000-0000-0000BB010000}"/>
    <hyperlink ref="L284" r:id="rId445" xr:uid="{00000000-0004-0000-0000-0000BC010000}"/>
    <hyperlink ref="L283" r:id="rId446" xr:uid="{00000000-0004-0000-0000-0000BD010000}"/>
    <hyperlink ref="L281" r:id="rId447" xr:uid="{00000000-0004-0000-0000-0000BE010000}"/>
    <hyperlink ref="L279" r:id="rId448" xr:uid="{00000000-0004-0000-0000-0000BF010000}"/>
    <hyperlink ref="L278" r:id="rId449" xr:uid="{00000000-0004-0000-0000-0000C0010000}"/>
    <hyperlink ref="L276" r:id="rId450" xr:uid="{00000000-0004-0000-0000-0000C1010000}"/>
    <hyperlink ref="L274" r:id="rId451" xr:uid="{00000000-0004-0000-0000-0000C2010000}"/>
    <hyperlink ref="L273" r:id="rId452" xr:uid="{00000000-0004-0000-0000-0000C3010000}"/>
    <hyperlink ref="L272" r:id="rId453" xr:uid="{00000000-0004-0000-0000-0000C4010000}"/>
    <hyperlink ref="L271" r:id="rId454" xr:uid="{00000000-0004-0000-0000-0000C5010000}"/>
    <hyperlink ref="L270" r:id="rId455" xr:uid="{00000000-0004-0000-0000-0000C6010000}"/>
    <hyperlink ref="L267" r:id="rId456" xr:uid="{00000000-0004-0000-0000-0000C7010000}"/>
    <hyperlink ref="L266" r:id="rId457" xr:uid="{00000000-0004-0000-0000-0000C8010000}"/>
    <hyperlink ref="L878" r:id="rId458" xr:uid="{00000000-0004-0000-0000-0000C9010000}"/>
    <hyperlink ref="L879" r:id="rId459" xr:uid="{00000000-0004-0000-0000-0000CA010000}"/>
    <hyperlink ref="L881" r:id="rId460" xr:uid="{00000000-0004-0000-0000-0000CB010000}"/>
    <hyperlink ref="L882" r:id="rId461" xr:uid="{00000000-0004-0000-0000-0000CC010000}"/>
    <hyperlink ref="L884" r:id="rId462" xr:uid="{00000000-0004-0000-0000-0000CD010000}"/>
    <hyperlink ref="L885" r:id="rId463" xr:uid="{00000000-0004-0000-0000-0000CE010000}"/>
    <hyperlink ref="L887" r:id="rId464" xr:uid="{00000000-0004-0000-0000-0000CF010000}"/>
    <hyperlink ref="L889" r:id="rId465" xr:uid="{00000000-0004-0000-0000-0000D0010000}"/>
    <hyperlink ref="L890" r:id="rId466" xr:uid="{00000000-0004-0000-0000-0000D1010000}"/>
    <hyperlink ref="L891" r:id="rId467" xr:uid="{00000000-0004-0000-0000-0000D2010000}"/>
    <hyperlink ref="L893" r:id="rId468" xr:uid="{00000000-0004-0000-0000-0000D3010000}"/>
    <hyperlink ref="L894" r:id="rId469" xr:uid="{00000000-0004-0000-0000-0000D4010000}"/>
    <hyperlink ref="L895" r:id="rId470" xr:uid="{00000000-0004-0000-0000-0000D5010000}"/>
    <hyperlink ref="L896" r:id="rId471" xr:uid="{00000000-0004-0000-0000-0000D6010000}"/>
    <hyperlink ref="L897" r:id="rId472" xr:uid="{00000000-0004-0000-0000-0000D7010000}"/>
    <hyperlink ref="L898" r:id="rId473" xr:uid="{00000000-0004-0000-0000-0000D8010000}"/>
    <hyperlink ref="L899" r:id="rId474" xr:uid="{00000000-0004-0000-0000-0000D9010000}"/>
    <hyperlink ref="L900" r:id="rId475" xr:uid="{00000000-0004-0000-0000-0000DA010000}"/>
    <hyperlink ref="L901" r:id="rId476" xr:uid="{00000000-0004-0000-0000-0000DB010000}"/>
    <hyperlink ref="L902" r:id="rId477" xr:uid="{00000000-0004-0000-0000-0000DC010000}"/>
    <hyperlink ref="L904" r:id="rId478" xr:uid="{00000000-0004-0000-0000-0000DD010000}"/>
    <hyperlink ref="L905" r:id="rId479" xr:uid="{00000000-0004-0000-0000-0000DE010000}"/>
    <hyperlink ref="L908" r:id="rId480" xr:uid="{00000000-0004-0000-0000-0000DF010000}"/>
    <hyperlink ref="L909" r:id="rId481" xr:uid="{00000000-0004-0000-0000-0000E0010000}"/>
    <hyperlink ref="L910" r:id="rId482" xr:uid="{00000000-0004-0000-0000-0000E1010000}"/>
    <hyperlink ref="L913" r:id="rId483" xr:uid="{00000000-0004-0000-0000-0000E2010000}"/>
    <hyperlink ref="L914" r:id="rId484" xr:uid="{00000000-0004-0000-0000-0000E3010000}"/>
    <hyperlink ref="L917" r:id="rId485" xr:uid="{00000000-0004-0000-0000-0000E4010000}"/>
    <hyperlink ref="L918" r:id="rId486" xr:uid="{00000000-0004-0000-0000-0000E5010000}"/>
    <hyperlink ref="L919" r:id="rId487" xr:uid="{00000000-0004-0000-0000-0000E6010000}"/>
    <hyperlink ref="L920" r:id="rId488" xr:uid="{00000000-0004-0000-0000-0000E7010000}"/>
    <hyperlink ref="L319" r:id="rId489" xr:uid="{00000000-0004-0000-0000-0000E8010000}"/>
    <hyperlink ref="L312" r:id="rId490" xr:uid="{00000000-0004-0000-0000-0000E9010000}"/>
    <hyperlink ref="L299" r:id="rId491" xr:uid="{00000000-0004-0000-0000-0000EA010000}"/>
    <hyperlink ref="L298" r:id="rId492" xr:uid="{00000000-0004-0000-0000-0000EB010000}"/>
    <hyperlink ref="L263" r:id="rId493" xr:uid="{00000000-0004-0000-0000-0000EC010000}"/>
    <hyperlink ref="L262" r:id="rId494" xr:uid="{00000000-0004-0000-0000-0000ED010000}"/>
    <hyperlink ref="J922" r:id="rId495" display="Grassy Death Camus" xr:uid="{00000000-0004-0000-0000-0000EE010000}"/>
    <hyperlink ref="J920" r:id="rId496" display="Horned Pondweed  " xr:uid="{00000000-0004-0000-0000-0000EF010000}"/>
    <hyperlink ref="T13" r:id="rId497" xr:uid="{00000000-0004-0000-0000-0000F0010000}"/>
    <hyperlink ref="L922" r:id="rId498" xr:uid="{00000000-0004-0000-0000-0000F1010000}"/>
    <hyperlink ref="CK923" r:id="rId499" display="http://en.wikipedia.org/wiki/Asclepias_fascicularis " xr:uid="{00000000-0004-0000-0000-0000F2010000}"/>
    <hyperlink ref="J918" r:id="rId500" display="Common Beargrass, Western Turkeybeard  " xr:uid="{00000000-0004-0000-0000-0000F3010000}"/>
    <hyperlink ref="J917" r:id="rId501" display="Rough Cocklebur" xr:uid="{00000000-0004-0000-0000-0000F4010000}"/>
    <hyperlink ref="J919" r:id="rId502" display="False Hedge-Parsley, California Hedge-Parsley, False Carrot  " xr:uid="{00000000-0004-0000-0000-0000F5010000}"/>
    <hyperlink ref="J914" r:id="rId503" display="Oregon Woodsia, Oregon Cliff Fern" xr:uid="{00000000-0004-0000-0000-0000F6010000}"/>
    <hyperlink ref="J913" r:id="rId504" display="Small Fescue, Nuttall's Fescue  " xr:uid="{00000000-0004-0000-0000-0000F7010000}"/>
    <hyperlink ref="J910" r:id="rId505" display="Marsh Violet  " xr:uid="{00000000-0004-0000-0000-0000F8010000}"/>
    <hyperlink ref="J909" r:id="rId506" display="Darkwoods Violet, Round-Leaved Violet, Evergreen Yellow Violet  " xr:uid="{00000000-0004-0000-0000-0000F9010000}"/>
    <hyperlink ref="J908" r:id="rId507" display="Aleutian Violet" xr:uid="{00000000-0004-0000-0000-0000FA010000}"/>
    <hyperlink ref="J905" r:id="rId508" display="Canadian White Violet, Canada Violet  " xr:uid="{00000000-0004-0000-0000-0000FB010000}"/>
    <hyperlink ref="J904" r:id="rId509" display="Early Blue Violet, Prairie Violet, Hookedspur Violet, Western Blue Verbena" xr:uid="{00000000-0004-0000-0000-0000FC010000}"/>
    <hyperlink ref="J902" r:id="rId510" display="American Vetch  " xr:uid="{00000000-0004-0000-0000-0000FD010000}"/>
    <hyperlink ref="J901" r:id="rId511" display="Cranberry-Tree, Snowball  " xr:uid="{00000000-0004-0000-0000-0000FE010000}"/>
    <hyperlink ref="J900" r:id="rId512" display="Common Viburnum, Western Blackhaw, Oval-Leaved Viburnum  " xr:uid="{00000000-0004-0000-0000-0000FF010000}"/>
    <hyperlink ref="J899" r:id="rId513" display="Squashberry, High-Bush Cranberry, Mosseberry" xr:uid="{00000000-0004-0000-0000-000000020000}"/>
    <hyperlink ref="J898" r:id="rId514" display="Marsh Speedwell, Skullcap Speedwell" xr:uid="{00000000-0004-0000-0000-000001020000}"/>
    <hyperlink ref="J897" r:id="rId515" display="Neckweed, Purslane Speedwell" xr:uid="{00000000-0004-0000-0000-000002020000}"/>
    <hyperlink ref="J896" r:id="rId516" display="American Speedwell, American-Brooklime  " xr:uid="{00000000-0004-0000-0000-000003020000}"/>
    <hyperlink ref="J895" r:id="rId517" display="Swamp Verbena, Blue Verbena, Wild Hyssop  " xr:uid="{00000000-0004-0000-0000-000004020000}"/>
    <hyperlink ref="J894" r:id="rId518" display="Green False Hellebore, American Wild Hellebore  " xr:uid="{00000000-0004-0000-0000-000005020000}"/>
    <hyperlink ref="J893" r:id="rId519" display="California False Hellebore, California Wild Hellebore, Skunk Cabbage  " xr:uid="{00000000-0004-0000-0000-000006020000}"/>
    <hyperlink ref="J891" r:id="rId520" display="Sitka Valeriana, Northern Valeriana" xr:uid="{00000000-0004-0000-0000-000007020000}"/>
    <hyperlink ref="J890" r:id="rId521" display="Scouler's Valerian  " xr:uid="{00000000-0004-0000-0000-000008020000}"/>
    <hyperlink ref="J889" r:id="rId522" display="Bog Blueberry, Bog Bilberry  " xr:uid="{00000000-0004-0000-0000-000009020000}"/>
    <hyperlink ref="J887" r:id="rId523" display="Small Cranberry  " xr:uid="{00000000-0004-0000-0000-00000A020000}"/>
    <hyperlink ref="J885" r:id="rId524" display="Oval-Leaf Blueberry, Alaska Blueberry  " xr:uid="{00000000-0004-0000-0000-00000B020000}"/>
    <hyperlink ref="J884" r:id="rId525" display="Thin-Leaved Huckleberry, Tall Huckleberry, Square-Twig Blueberry  " xr:uid="{00000000-0004-0000-0000-00000C020000}"/>
    <hyperlink ref="J882" r:id="rId526" display="Common Bladderwort, Greater Bladderwort  " xr:uid="{00000000-0004-0000-0000-00000D020000}"/>
    <hyperlink ref="J881" r:id="rId527" display="Lesser Bladderwort  " xr:uid="{00000000-0004-0000-0000-00000E020000}"/>
    <hyperlink ref="J879" r:id="rId528" display="Humped Bladderwort, Swollen-Spurred Bladderwort  " xr:uid="{00000000-0004-0000-0000-00000F020000}"/>
    <hyperlink ref="J878" r:id="rId529" display="Stinging Nettle, Nettle" xr:uid="{00000000-0004-0000-0000-000010020000}"/>
    <hyperlink ref="J877" r:id="rId530" display="Broad-Leaf Cattail, Common Cattail  " xr:uid="{00000000-0004-0000-0000-000011020000}"/>
    <hyperlink ref="J875" r:id="rId531" display="Tower Rockcress, Tower Mustard  " xr:uid="{00000000-0004-0000-0000-000012020000}"/>
    <hyperlink ref="J876" r:id="rId532" display="Lesser Reedmace, Narrowleaf Cattail" xr:uid="{00000000-0004-0000-0000-000013020000}"/>
    <hyperlink ref="J874" r:id="rId533" display="Mountain Hemlock, Black Hemlock  " xr:uid="{00000000-0004-0000-0000-000014020000}"/>
    <hyperlink ref="J871" r:id="rId534" display="Tall Trisetum, Tall False Oat  " xr:uid="{00000000-0004-0000-0000-000015020000}"/>
    <hyperlink ref="J870" r:id="rId535" display="Dwarf Owl-Clover  " xr:uid="{00000000-0004-0000-0000-000016020000}"/>
    <hyperlink ref="J869" r:id="rId536" display="Clasping Venus' Looking-Glass, Clasping-Leaf Venus'-Looking-Glass  " xr:uid="{00000000-0004-0000-0000-000017020000}"/>
    <hyperlink ref="J868" r:id="rId537" display="Small Venus Looking-Glass" xr:uid="{00000000-0004-0000-0000-000018020000}"/>
    <hyperlink ref="J866" r:id="rId538" display="Pacific Trillium, Wakerobin  " xr:uid="{00000000-0004-0000-0000-000019020000}"/>
    <hyperlink ref="J867" r:id="rId539" display="Smallflower Trillium, Small-Flowered Wakerobin  " xr:uid="{00000000-0004-0000-0000-00001A020000}"/>
    <hyperlink ref="J865" r:id="rId540" display="Seaside Arrow-Grass  " xr:uid="{00000000-0004-0000-0000-00001B020000}"/>
    <hyperlink ref="J864" r:id="rId541" display="Cows Clover, Salt Marsh Clover , Springbank Clover, Cow's Clover" xr:uid="{00000000-0004-0000-0000-00001C020000}"/>
    <hyperlink ref="J863" r:id="rId542" display="Tomcat Clover, Springbank Clover  " xr:uid="{00000000-0004-0000-0000-00001D020000}"/>
    <hyperlink ref="J862" r:id="rId543" display="Whitetip Clover" xr:uid="{00000000-0004-0000-0000-00001E020000}"/>
    <hyperlink ref="J861" r:id="rId544" display="Fewflower Clover, Valparaiso" xr:uid="{00000000-0004-0000-0000-00001F020000}"/>
    <hyperlink ref="J503" r:id="rId545" display="Arctic Starflower, Northern Starflower  " xr:uid="{00000000-0004-0000-0000-000020020000}"/>
    <hyperlink ref="J858" r:id="rId546" display="Tufted Bulrush, Tufted Club Rush" xr:uid="{00000000-0004-0000-0000-000021020000}"/>
    <hyperlink ref="J857" r:id="rId547" display="Carolina Bugbane, Wild Bugbane, False Bugbane  " xr:uid="{00000000-0004-0000-0000-000022020000}"/>
    <hyperlink ref="J856" r:id="rId548" xr:uid="{00000000-0004-0000-0000-000023020000}"/>
    <hyperlink ref="J854" r:id="rId549" display="Pale False Mannagrass, Weak Alkaligrass  " xr:uid="{00000000-0004-0000-0000-000024020000}"/>
    <hyperlink ref="J850" r:id="rId550" display="Mountain Golden Banner" xr:uid="{00000000-0004-0000-0000-000025020000}"/>
    <hyperlink ref="J849" r:id="rId551" display="Queen's-Veil Maiden Fern, Mountain Fern  " xr:uid="{00000000-0004-0000-0000-000026020000}"/>
    <hyperlink ref="J848" r:id="rId552" display="Western Meadow-Rue  " xr:uid="{00000000-0004-0000-0000-000027020000}"/>
    <hyperlink ref="J847" r:id="rId553" display="Bigflower Tellima, Fringecup, Fragrant Fringecup  " xr:uid="{00000000-0004-0000-0000-000028020000}"/>
    <hyperlink ref="J846" r:id="rId554" display="Pacific Yew, Western Yew  " xr:uid="{00000000-0004-0000-0000-000029020000}"/>
    <hyperlink ref="J845" r:id="rId555" display="Dune Tansy" xr:uid="{00000000-0004-0000-0000-00002A020000}"/>
    <hyperlink ref="J844" r:id="rId556" display="Round-Leaved Kittentails, Snow Queen  " xr:uid="{00000000-0004-0000-0000-00002B020000}"/>
    <hyperlink ref="J842" r:id="rId557" display="Calico Aster" xr:uid="{00000000-0004-0000-0000-00002C020000}"/>
    <hyperlink ref="J841" r:id="rId558" display="Hall's Aster  " xr:uid="{00000000-0004-0000-0000-00002D020000}"/>
    <hyperlink ref="J839" r:id="rId559" display="Eaton's Aster" xr:uid="{00000000-0004-0000-0000-00002E020000}"/>
    <hyperlink ref="J838" r:id="rId560" display="Northern Bog Aster, Rush Aster  " xr:uid="{00000000-0004-0000-0000-00002F020000}"/>
    <hyperlink ref="J836" r:id="rId561" display="Snowberry, Common Snowberry" xr:uid="{00000000-0004-0000-0000-000030020000}"/>
    <hyperlink ref="J835" r:id="rId562" display="Awlwort" xr:uid="{00000000-0004-0000-0000-000031020000}"/>
    <hyperlink ref="J834" r:id="rId563" display="Pursh Seepweed, Horned Seablite, Pahute Weed, Paiuteweed, Common Seablite  " xr:uid="{00000000-0004-0000-0000-000032020000}"/>
    <hyperlink ref="J833" r:id="rId564" display="Fennel-Leaved Pondweed" xr:uid="{00000000-0004-0000-0000-000033020000}"/>
    <hyperlink ref="J832" r:id="rId565" display="Fine Leaved Pondweed" xr:uid="{00000000-0004-0000-0000-000034020000}"/>
    <hyperlink ref="J831" r:id="rId566" display="Clasping-Leaved Twisted-Stalk, Claspleaf Twistedstalk" xr:uid="{00000000-0004-0000-0000-000035020000}"/>
    <hyperlink ref="J830" r:id="rId567" display="Rocky Mountain Chickweed, Blunt-Sepaled Starwort  " xr:uid="{00000000-0004-0000-0000-000036020000}"/>
    <hyperlink ref="J829" r:id="rId568" display="Shiny Chickweed, Shiny Starwort  " xr:uid="{00000000-0004-0000-0000-000037020000}"/>
    <hyperlink ref="J828" r:id="rId569" display="Long-Stalk Starwort  " xr:uid="{00000000-0004-0000-0000-000038020000}"/>
    <hyperlink ref="J827" r:id="rId570" display="Longleaf Starwort" xr:uid="{00000000-0004-0000-0000-000039020000}"/>
    <hyperlink ref="J826" r:id="rId571" display="Crisped Starwort, Curled Starwort" xr:uid="{00000000-0004-0000-0000-00003A020000}"/>
    <hyperlink ref="J825" r:id="rId572" display="Boreal Starwort" xr:uid="{00000000-0004-0000-0000-00003B020000}"/>
    <hyperlink ref="J823" r:id="rId573" display="Mexican Hedge-Nettle  " xr:uid="{00000000-0004-0000-0000-00003C020000}"/>
    <hyperlink ref="J821" r:id="rId574" display="Hooded Ladies-Tresses, Lady's Tresses" xr:uid="{00000000-0004-0000-0000-00003D020000}"/>
    <hyperlink ref="J819" r:id="rId575" xr:uid="{00000000-0004-0000-0000-00003E020000}"/>
    <hyperlink ref="J818" r:id="rId576" display="White Spirea, Shinyleaf Spirea  " xr:uid="{00000000-0004-0000-0000-00003F020000}"/>
    <hyperlink ref="J816" r:id="rId577" display="Subalpine Spire, Rosy Spirea, Mountain Spirea" xr:uid="{00000000-0004-0000-0000-000040020000}"/>
    <hyperlink ref="J815" r:id="rId578" display="Salt Sandspurry, Saltmarsh Sandspurry  " xr:uid="{00000000-0004-0000-0000-000041020000}"/>
    <hyperlink ref="J813" r:id="rId579" display="Small Bur-Reed" xr:uid="{00000000-0004-0000-0000-000042020000}"/>
    <hyperlink ref="J814" r:id="rId580" display="Winged Sandspurs, Northern Sand Sperry, Canadian Sandspurry  " xr:uid="{00000000-0004-0000-0000-000043020000}"/>
    <hyperlink ref="J811" r:id="rId581" display="Breadfruit Bur-Reed, Broad Bur-Reed" xr:uid="{00000000-0004-0000-0000-000044020000}"/>
    <hyperlink ref="J810" r:id="rId582" xr:uid="{00000000-0004-0000-0000-000045020000}"/>
    <hyperlink ref="J809" r:id="rId583" display="Floating Bur-Reed, Narrowleaf Bur-Reed, Narrow-Leaved Bur-Reed, Floating Bur-Reed " xr:uid="{00000000-0004-0000-0000-000046020000}"/>
    <hyperlink ref="J808" r:id="rId584" display="Western Mountain Ash, Sitka Mountain Ash  " xr:uid="{00000000-0004-0000-0000-000047020000}"/>
    <hyperlink ref="J806" r:id="rId585" display="Mt. Albert Goldenrod" xr:uid="{00000000-0004-0000-0000-000048020000}"/>
    <hyperlink ref="J805" r:id="rId586" display="Rocky Mountain Goldenrod, Canada Goldenrod" xr:uid="{00000000-0004-0000-0000-000049020000}"/>
    <hyperlink ref="J804" r:id="rId587" display="Water-Parsnip, Hemlock Water parsnip" xr:uid="{00000000-0004-0000-0000-00004A020000}"/>
    <hyperlink ref="J803" r:id="rId588" display="Blue-Eyed Grass, Western Blue Eyed Grass, Idaho Blue-Eyed Grass" xr:uid="{00000000-0004-0000-0000-00004B020000}"/>
    <hyperlink ref="J801" r:id="rId589" display="Simple Campion" xr:uid="{00000000-0004-0000-0000-00004C020000}"/>
    <hyperlink ref="J800" r:id="rId590" display="Menzies' Campion" xr:uid="{00000000-0004-0000-0000-00004D020000}"/>
    <hyperlink ref="J799" r:id="rId591" display="Sleepy Selene, Sleepy Catchfly" xr:uid="{00000000-0004-0000-0000-00004E020000}"/>
    <hyperlink ref="J794" r:id="rId592" display="Henderson's Checker Mallow, Henderson's Sidalacea" xr:uid="{00000000-0004-0000-0000-00004F020000}"/>
    <hyperlink ref="J793" r:id="rId593" display="Meadow Checkermallow, Meadow Sidalcea" xr:uid="{00000000-0004-0000-0000-000050020000}"/>
    <hyperlink ref="J792" r:id="rId594" display="Russet Buffaloberry, Soopolallie, Soapberry  " xr:uid="{00000000-0004-0000-0000-000051020000}"/>
    <hyperlink ref="J791" r:id="rId595" display="Columbian White-Topped Aster, Rigid White-Topped Aster  " xr:uid="{00000000-0004-0000-0000-000052020000}"/>
    <hyperlink ref="J790" r:id="rId596" display="Giant Sequoia (non native)" xr:uid="{00000000-0004-0000-0000-000053020000}"/>
    <hyperlink ref="J789" r:id="rId597" display="Redwood (non native)" xr:uid="{00000000-0004-0000-0000-000054020000}"/>
    <hyperlink ref="J788" r:id="rId598" display="Wallace's Selaginella, Wallace's Spikemoss" xr:uid="{00000000-0004-0000-0000-000055020000}"/>
    <hyperlink ref="J784" r:id="rId599" display="Island Stonecrop, Spearleaf Stonecrop" xr:uid="{00000000-0004-0000-0000-000056020000}"/>
    <hyperlink ref="J782" r:id="rId600" display="Blue Skullcap, Mad-Dog Skullcap, Madweed  " xr:uid="{00000000-0004-0000-0000-000057020000}"/>
    <hyperlink ref="J781" r:id="rId601" display="Marsh Skullcap, Hooded Skullcap  " xr:uid="{00000000-0004-0000-0000-000058020000}"/>
    <hyperlink ref="J780" r:id="rId602" display="Lanceleaf Figwort" xr:uid="{00000000-0004-0000-0000-000059020000}"/>
    <hyperlink ref="J779" r:id="rId603" display="Small-Fruited Bulrush, Panicled Bulrush" xr:uid="{00000000-0004-0000-0000-00005A020000}"/>
    <hyperlink ref="J778" r:id="rId604" display="Blackgirdle Bulrush  " xr:uid="{00000000-0004-0000-0000-00005B020000}"/>
    <hyperlink ref="J777" r:id="rId605" display="Softstem Bulrush, Soft-Stem Bulrush, Great Bulrush  " xr:uid="{00000000-0004-0000-0000-00005C020000}"/>
    <hyperlink ref="J776" r:id="rId606" display="Swaying Bulrush, Water Clubrush, Swaying Clubrush  " xr:uid="{00000000-0004-0000-0000-00005D020000}"/>
    <hyperlink ref="J775" r:id="rId607" display="Common Bulrush, Common Threesquare  " xr:uid="{00000000-0004-0000-0000-00005E020000}"/>
    <hyperlink ref="J774" r:id="rId608" display="Tule, Hardstem Bulrush, Water Bull Rush, Common Tule" xr:uid="{00000000-0004-0000-0000-00005F020000}"/>
    <hyperlink ref="J773" r:id="rId609" display="Rannoch-Rush, Scheuchzeria  " xr:uid="{00000000-0004-0000-0000-000060020000}"/>
    <hyperlink ref="J771" r:id="rId610" display="Tufted Saxifrage" xr:uid="{00000000-0004-0000-0000-000061020000}"/>
    <hyperlink ref="J770" r:id="rId611" xr:uid="{00000000-0004-0000-0000-000062020000}"/>
    <hyperlink ref="J769" r:id="rId612" display="Woody Glasswort, Woody Saltwort, Chickenclaws  " xr:uid="{00000000-0004-0000-0000-000063020000}"/>
    <hyperlink ref="J768" r:id="rId613" display="Sierra Sanicle, Northern Sanicle, Sierra Snakeroot. Northern Sanicle, Sierran Black-Snakeroot  " xr:uid="{00000000-0004-0000-0000-000064020000}"/>
    <hyperlink ref="J765" r:id="rId614" display="Footsteps Of Spring, Footsteps-Of-Spring, Bear's-Foot Sanicle  " xr:uid="{00000000-0004-0000-0000-000065020000}"/>
    <hyperlink ref="J764" r:id="rId615" display="Official Burnet, Red Burnet, Great Burnet" xr:uid="{00000000-0004-0000-0000-000066020000}"/>
    <hyperlink ref="J763" r:id="rId616" display="Menzies' Burnet " xr:uid="{00000000-0004-0000-0000-000067020000}"/>
    <hyperlink ref="J761" r:id="rId617" display="Red Elderberry" xr:uid="{00000000-0004-0000-0000-000068020000}"/>
    <hyperlink ref="J760" r:id="rId618" display="Blue Elderberry, Blue Elder" xr:uid="{00000000-0004-0000-0000-000069020000}"/>
    <hyperlink ref="J757" r:id="rId619" display="Scouler's Willow" xr:uid="{00000000-0004-0000-0000-00006A020000}"/>
    <hyperlink ref="J756" r:id="rId620" display="Mackenzie's Willow, Heartleaf Willow" xr:uid="{00000000-0004-0000-0000-00006B020000}"/>
    <hyperlink ref="J755" r:id="rId621" display="Diamond-Leaf Willow, Tea-Leaved Willow, Plane-Leaf Willow  " xr:uid="{00000000-0004-0000-0000-00006C020000}"/>
    <hyperlink ref="J754" r:id="rId622" display="Bog Willow" xr:uid="{00000000-0004-0000-0000-00006D020000}"/>
    <hyperlink ref="J753" r:id="rId623" display="Dusky Willow, River Willow" xr:uid="{00000000-0004-0000-0000-00006E020000}"/>
    <hyperlink ref="J752" r:id="rId624" display="Lemmon's Willow  " xr:uid="{00000000-0004-0000-0000-00006F020000}"/>
    <hyperlink ref="J750" r:id="rId625" display="Pacific Willow, Red Willow, Shining Willow" xr:uid="{00000000-0004-0000-0000-000070020000}"/>
    <hyperlink ref="J748" r:id="rId626" display="Gooding's Willow" xr:uid="{00000000-0004-0000-0000-000071020000}"/>
    <hyperlink ref="J747" r:id="rId627" display="Geyer's Willow" xr:uid="{00000000-0004-0000-0000-000072020000}"/>
    <hyperlink ref="J746" r:id="rId628" display="Narrow Leafed Coyote Willow, Slender Sandbar Willow" xr:uid="{00000000-0004-0000-0000-000073020000}"/>
    <hyperlink ref="J745" r:id="rId629" display="Under-Green Willow, Variable Willow  " xr:uid="{00000000-0004-0000-0000-000074020000}"/>
    <hyperlink ref="J744" r:id="rId630" display="Cascade Willow  " xr:uid="{00000000-0004-0000-0000-000075020000}"/>
    <hyperlink ref="J743" r:id="rId631" display="Bebb's Willow, Gray Willow, Long-Beak Willow  " xr:uid="{00000000-0004-0000-0000-000076020000}"/>
    <hyperlink ref="J741" r:id="rId632" display="Peach-leaf Willow" xr:uid="{00000000-0004-0000-0000-000077020000}"/>
    <hyperlink ref="J742" r:id="rId633" display="Barclay's Willow  " xr:uid="{00000000-0004-0000-0000-000078020000}"/>
    <hyperlink ref="J740" r:id="rId634" display="Pickleweed, Low Saltwort" xr:uid="{00000000-0004-0000-0000-000079020000}"/>
    <hyperlink ref="J739" r:id="rId635" display="Broadleaf Arrowhead, Common Arrowhead, Wapato, Duck Potato  " xr:uid="{00000000-0004-0000-0000-00007A020000}"/>
    <hyperlink ref="J738" r:id="rId636" display="Stickystem Pearlwort, Thick Stemmed Pearlwort" xr:uid="{00000000-0004-0000-0000-00007B020000}"/>
    <hyperlink ref="J737" r:id="rId637" display="Trailing Pearlwort, Western Pearlwort" xr:uid="{00000000-0004-0000-0000-00007C020000}"/>
    <hyperlink ref="J727" r:id="rId638" display="Thimbleberry" xr:uid="{00000000-0004-0000-0000-00007D020000}"/>
    <hyperlink ref="J735" r:id="rId639" display="Widgeongrass, Ditch Grass, Beaked Ditch-Grass  " xr:uid="{00000000-0004-0000-0000-00007E020000}"/>
    <hyperlink ref="J733" r:id="rId640" display="Western Dock  " xr:uid="{00000000-0004-0000-0000-00007F020000}"/>
    <hyperlink ref="J734" r:id="rId641" display="Yellow Dock, Seashore Dock  " xr:uid="{00000000-0004-0000-0000-000080020000}"/>
    <hyperlink ref="J732" r:id="rId642" display="Western Coneflower" xr:uid="{00000000-0004-0000-0000-000081020000}"/>
    <hyperlink ref="J731" r:id="rId643" display="Blackeyed Susan" xr:uid="{00000000-0004-0000-0000-000082020000}"/>
    <hyperlink ref="J726" r:id="rId644" display="Black Cap Raspberry, Blackcap, Black Raspberry, Whitebark Raspberry" xr:uid="{00000000-0004-0000-0000-000083020000}"/>
    <hyperlink ref="J724" r:id="rId645" display="American Red Raspberry  " xr:uid="{00000000-0004-0000-0000-000084020000}"/>
    <hyperlink ref="J721" r:id="rId646" display="Nootka Rose, Bristly Rose  " xr:uid="{00000000-0004-0000-0000-000085020000}"/>
    <hyperlink ref="J719" r:id="rId647" display="Bog Yellowcress, Marsh Yellow Cress" xr:uid="{00000000-0004-0000-0000-000086020000}"/>
    <hyperlink ref="J718" r:id="rId648" display="Curvepod Yellowcress, Western Yellowcress  " xr:uid="{00000000-0004-0000-0000-000087020000}"/>
    <hyperlink ref="J717" r:id="rId649" display="Red Currant, Wild Red Currant" xr:uid="{00000000-0004-0000-0000-000088020000}"/>
    <hyperlink ref="J713" r:id="rId650" display="Trailing Black Currant" xr:uid="{00000000-0004-0000-0000-000089020000}"/>
    <hyperlink ref="J712" r:id="rId651" display="Swamp Gooseberry, Prickly Currant" xr:uid="{00000000-0004-0000-0000-00008A020000}"/>
    <hyperlink ref="J710" r:id="rId652" display="Wax Currant" xr:uid="{00000000-0004-0000-0000-00008B020000}"/>
    <hyperlink ref="J707" r:id="rId653" display="Mapleleaf Currant" xr:uid="{00000000-0004-0000-0000-00008C020000}"/>
    <hyperlink ref="J708" r:id="rId654" display="Golden Currant" xr:uid="{00000000-0004-0000-0000-00008D020000}"/>
    <hyperlink ref="J706" r:id="rId655" display="White Beaksedge, White Beakrush  " xr:uid="{00000000-0004-0000-0000-00008E020000}"/>
    <hyperlink ref="J705" r:id="rId656" display="Sumac" xr:uid="{00000000-0004-0000-0000-00008F020000}"/>
    <hyperlink ref="J704" r:id="rId657" display="Western Azalea" xr:uid="{00000000-0004-0000-0000-000090020000}"/>
    <hyperlink ref="J701" r:id="rId658" display="Labrador Tea, Bog Labrador Tea, Pacific Labrador Tea" xr:uid="{00000000-0004-0000-0000-000091020000}"/>
    <hyperlink ref="J698" r:id="rId659" display="Yellow Rattle" xr:uid="{00000000-0004-0000-0000-000092020000}"/>
    <hyperlink ref="J696" r:id="rId660" display="Little Buttercup, Woodland Buttercup" xr:uid="{00000000-0004-0000-0000-000093020000}"/>
    <hyperlink ref="J695" r:id="rId661" display="Cursed Buttercup, Celery-Leaved Buttercup  " xr:uid="{00000000-0004-0000-0000-000094020000}"/>
    <hyperlink ref="J692" r:id="rId662" display="Macoun's Buttercup" xr:uid="{00000000-0004-0000-0000-000095020000}"/>
    <hyperlink ref="J691" r:id="rId663" display="Lesser Spearwort, Greater Creeping Spearwort" xr:uid="{00000000-0004-0000-0000-000096020000}"/>
    <hyperlink ref="J385" r:id="rId664" display="Shore Buttercup, Alkali Buttercup, Alkali Buttercup, Seaside Buttercup  " xr:uid="{00000000-0004-0000-0000-000097020000}"/>
    <hyperlink ref="J689" r:id="rId665" display="Water Buttercup, White Water Crowfoot" xr:uid="{00000000-0004-0000-0000-000098020000}"/>
    <hyperlink ref="J688" r:id="rId666" display="Plantain-Leaf Buttercup, Dwarf Plantain-Leaved Buttercup  " xr:uid="{00000000-0004-0000-0000-000099020000}"/>
    <hyperlink ref="J686" r:id="rId667" display="White-Veined Wintergreen" xr:uid="{00000000-0004-0000-0000-00009A020000}"/>
    <hyperlink ref="J685" r:id="rId668" display="Greenflowered Wintergreen, Greenish Wintergreen" xr:uid="{00000000-0004-0000-0000-00009B020000}"/>
    <hyperlink ref="J684" r:id="rId669" display="Pink Wintergreen, Liverleaf Wintergreen, Large Pyrola" xr:uid="{00000000-0004-0000-0000-00009C020000}"/>
    <hyperlink ref="J683" r:id="rId670" display="Firethorn, Scarlet Firethorn  " xr:uid="{00000000-0004-0000-0000-00009D020000}"/>
    <hyperlink ref="J682" r:id="rId671" display="Nuttall's Alkaligrass  " xr:uid="{00000000-0004-0000-0000-00009E020000}"/>
    <hyperlink ref="J681" r:id="rId672" display="Pinedrops, Woodland Pinedrops" xr:uid="{00000000-0004-0000-0000-00009F020000}"/>
    <hyperlink ref="J680" r:id="rId673" display="Western Brackenfern, Bracken, Northern Bracken  " xr:uid="{00000000-0004-0000-0000-0000A0020000}"/>
    <hyperlink ref="J679" r:id="rId674" display="Slender Woollyheads" xr:uid="{00000000-0004-0000-0000-0000A1020000}"/>
    <hyperlink ref="J678" r:id="rId675" display="Meadow Woollyheads, Tall Woollyheads  " xr:uid="{00000000-0004-0000-0000-0000A2020000}"/>
    <hyperlink ref="J677" r:id="rId676" display="Douglas-Fir" xr:uid="{00000000-0004-0000-0000-0000A3020000}"/>
    <hyperlink ref="J676" r:id="rId677" display="Northwestern Rabbit-Tobacco  " xr:uid="{00000000-0004-0000-0000-0000A4020000}"/>
    <hyperlink ref="J675" r:id="rId678" display="Cotton-Batting Plant, Cotton Batting Cudweed  " xr:uid="{00000000-0004-0000-0000-0000A5020000}"/>
    <hyperlink ref="J673" r:id="rId679" display="Bitter Cherry" xr:uid="{00000000-0004-0000-0000-0000A6020000}"/>
    <hyperlink ref="J672" r:id="rId680" display="Self Heal, Narrow Leaved Mint" xr:uid="{00000000-0004-0000-0000-0000A7020000}"/>
    <hyperlink ref="J670" r:id="rId681" display="Drops-Of-Gold, Fairybells, Hooker Fairy-Bell  " xr:uid="{00000000-0004-0000-0000-0000A8020000}"/>
    <hyperlink ref="J554" r:id="rId682" display="Western Rattlesnake-Root" xr:uid="{00000000-0004-0000-0000-0000A9020000}"/>
    <hyperlink ref="J354" r:id="rId683" display="Black Lily, Kamchatka Fritillary, Chocolate Lily" xr:uid="{00000000-0004-0000-0000-0000AA020000}"/>
    <hyperlink ref="J351" r:id="rId684" display="Virginia Strawberry, Wild Strawberry, Western Strawberry" xr:uid="{00000000-0004-0000-0000-0000AB020000}"/>
    <hyperlink ref="J350" r:id="rId685" display="Woodland Strawberry, Wild Strawberry, Wood Strawberry" xr:uid="{00000000-0004-0000-0000-0000AC020000}"/>
    <hyperlink ref="J349" r:id="rId686" display="Beach Strawberry; Sand Strawberry, Coast Strawberry" xr:uid="{00000000-0004-0000-0000-0000AD020000}"/>
    <hyperlink ref="J347" r:id="rId687" display="Red Fescue" xr:uid="{00000000-0004-0000-0000-0000AE020000}"/>
    <hyperlink ref="J345" r:id="rId688" display="Western Fescue" xr:uid="{00000000-0004-0000-0000-0000AF020000}"/>
    <hyperlink ref="J344" r:id="rId689" display="Idaho Fescue" xr:uid="{00000000-0004-0000-0000-0000B0020000}"/>
    <hyperlink ref="J343" r:id="rId690" display="Joepyeweed  " xr:uid="{00000000-0004-0000-0000-0000B1020000}"/>
    <hyperlink ref="J342" r:id="rId691" display="Western Golden top" xr:uid="{00000000-0004-0000-0000-0000B2020000}"/>
    <hyperlink ref="J340" r:id="rId692" display="Engelmann's Aster  " xr:uid="{00000000-0004-0000-0000-0000B3020000}"/>
    <hyperlink ref="J339" r:id="rId693" display="Pink Fawn-Lily, Coast Fawn-Lily, Mahogany Fawn-Lily  " xr:uid="{00000000-0004-0000-0000-0000B4020000}"/>
    <hyperlink ref="J336" r:id="rId694" display="Glacier Lily, Yellow Avalanche-Lily, Yellow Fawn Lilly" xr:uid="{00000000-0004-0000-0000-0000B5020000}"/>
    <hyperlink ref="J335" r:id="rId695" display="Sticky Monkey-Flower, Musk-Flower, Musk-Flower, Mask Musk Flower" xr:uid="{00000000-0004-0000-0000-0000B6020000}"/>
    <hyperlink ref="J334" r:id="rId696" display="Purple Monkey-Flower  " xr:uid="{00000000-0004-0000-0000-0000B7020000}"/>
    <hyperlink ref="J333" r:id="rId697" display="Yellow Monkey-Flower, Common Monkey-Flower, Seep Monkeyflower" xr:uid="{00000000-0004-0000-0000-0000B8020000}"/>
    <hyperlink ref="J332" r:id="rId698" display="Coastal Monkeyflower" xr:uid="{00000000-0004-0000-0000-0000B9020000}"/>
    <hyperlink ref="J330" r:id="rId699" display="Wing-Stem Monkey-Flower, Chickweed Monkey-Flower  " xr:uid="{00000000-0004-0000-0000-0000BA020000}"/>
    <hyperlink ref="J329" r:id="rId700" display="Sanddune Wallflower, Western Wallflower" xr:uid="{00000000-0004-0000-0000-0000BB020000}"/>
    <hyperlink ref="J327" r:id="rId701" display="Woolly Sunflower, Oregon Sunshine" xr:uid="{00000000-0004-0000-0000-0000BC020000}"/>
    <hyperlink ref="J326" r:id="rId702" display="Slender Cottongrass" xr:uid="{00000000-0004-0000-0000-0000BD020000}"/>
    <hyperlink ref="J325" r:id="rId703" display="Chamisso's Cottongrass, Russet Cottongrass  " xr:uid="{00000000-0004-0000-0000-0000BE020000}"/>
    <hyperlink ref="J324" r:id="rId704" xr:uid="{00000000-0004-0000-0000-0000BF020000}"/>
    <hyperlink ref="J323" r:id="rId705" display="Prairie Fleabane, Daisy Fleabane" xr:uid="{00000000-0004-0000-0000-0000C0020000}"/>
    <hyperlink ref="J322" r:id="rId706" display="Showy Fleabane, Aspen Showbane, Splendid Fleabane" xr:uid="{00000000-0004-0000-0000-0000C1020000}"/>
    <hyperlink ref="J321" r:id="rId707" display="Philadelphia Fleabane, Philadelphia Daisy" xr:uid="{00000000-0004-0000-0000-0000C2020000}"/>
    <hyperlink ref="J320" r:id="rId708" display="Cutleaf Daisy, Trifid Mountain Fleabane  " xr:uid="{00000000-0004-0000-0000-0000C3020000}"/>
    <hyperlink ref="J319" r:id="rId709" display="Variegated Scouring-Rush, Alaskan Scouring-Rush  " xr:uid="{00000000-0004-0000-0000-0000C4020000}"/>
    <hyperlink ref="J317" r:id="rId710" display="Marsh Horsetail" xr:uid="{00000000-0004-0000-0000-0000C5020000}"/>
    <hyperlink ref="J316" r:id="rId711" display="Scouring-Rush Horsetail, Common Scouring-Rush, Dutch Rush, Prairie Scouring-Rush  " xr:uid="{00000000-0004-0000-0000-0000C6020000}"/>
    <hyperlink ref="J315" r:id="rId712" display="Swamp Horsetail, Water Horsetail, River Horsetail" xr:uid="{00000000-0004-0000-0000-0000C7020000}"/>
    <hyperlink ref="J314" r:id="rId713" display="Common Horsetail, Field Horsetail" xr:uid="{00000000-0004-0000-0000-0000C8020000}"/>
    <hyperlink ref="J313" r:id="rId714" display="Stream Orchid, Giant Hellebore" xr:uid="{00000000-0004-0000-0000-0000C9020000}"/>
    <hyperlink ref="J312" r:id="rId715" xr:uid="{00000000-0004-0000-0000-0000CA020000}"/>
    <hyperlink ref="J311" r:id="rId716" display="Chaparral Willowherb  " xr:uid="{00000000-0004-0000-0000-0000CB020000}"/>
    <hyperlink ref="J310" r:id="rId717" display="Glaucus Willowherb, Smooth Willowherb  " xr:uid="{00000000-0004-0000-0000-0000CC020000}"/>
    <hyperlink ref="J308" r:id="rId718" display="Fringed Willowherb, Ciliate Willowherb  " xr:uid="{00000000-0004-0000-0000-0000CD020000}"/>
    <hyperlink ref="J309" r:id="rId719" display="Denseflower Willowherb, Dense Flowered Willowherb" xr:uid="{00000000-0004-0000-0000-0000CE020000}"/>
    <hyperlink ref="J307" r:id="rId720" display="Tall Annual Willowherb, Autumn Willowherb  " xr:uid="{00000000-0004-0000-0000-0000CF020000}"/>
    <hyperlink ref="J306" r:id="rId721" display="Black Crowberry  " xr:uid="{00000000-0004-0000-0000-0000D0020000}"/>
    <hyperlink ref="J305" r:id="rId722" display="Western Ryegrass, Blue Wildrye" xr:uid="{00000000-0004-0000-0000-0000D1020000}"/>
    <hyperlink ref="J304" r:id="rId723" display="Squirreltail" xr:uid="{00000000-0004-0000-0000-0000D2020000}"/>
    <hyperlink ref="J303" r:id="rId724" display="Nuttall's Waterweed, Western Waterweed" xr:uid="{00000000-0004-0000-0000-0000D3020000}"/>
    <hyperlink ref="J302" r:id="rId725" display="Canadian Waterweed, Rocky Mountain Waterweed, Common Waterweed  " xr:uid="{00000000-0004-0000-0000-0000D4020000}"/>
    <hyperlink ref="J301" r:id="rId726" display="Small Spike-Rush, Dwarf Spikerush" xr:uid="{00000000-0004-0000-0000-0000D5020000}"/>
    <hyperlink ref="J300" r:id="rId727" display="Common Spikerush, Creeping Spikerush  " xr:uid="{00000000-0004-0000-0000-0000D6020000}"/>
    <hyperlink ref="J299" r:id="rId728" display="Ovoid Spike-Rush, Ovate Spikerush" xr:uid="{00000000-0004-0000-0000-0000D7020000}"/>
    <hyperlink ref="J298" r:id="rId729" display="Engelmann's Spikerush  " xr:uid="{00000000-0004-0000-0000-0000D8020000}"/>
    <hyperlink ref="J297" r:id="rId730" display="Spikerush, Needle Spikerush" xr:uid="{00000000-0004-0000-0000-0000D9020000}"/>
    <hyperlink ref="J295" r:id="rId731" display="Dulichium, Three-Way Sedge" xr:uid="{00000000-0004-0000-0000-0000DA020000}"/>
    <hyperlink ref="J294" r:id="rId732" display="Male Fern" xr:uid="{00000000-0004-0000-0000-0000DB020000}"/>
    <hyperlink ref="J293" r:id="rId733" display="Spreading Wood-Fern, Shield Fern, Wood Fern, Spiny Wood Fern" xr:uid="{00000000-0004-0000-0000-0000DC020000}"/>
    <hyperlink ref="J292" r:id="rId734" display="Spinulose Woodfern, Toothed Wood Fern  " xr:uid="{00000000-0004-0000-0000-0000DD020000}"/>
    <hyperlink ref="J289" r:id="rId735" display="Round-Leaf Sundew, Round Leaved Sundew" xr:uid="{00000000-0004-0000-0000-0000DE020000}"/>
    <hyperlink ref="J287" r:id="rId736" display="Darkthroat Shootingstar, Few Flowered Shooting Star" xr:uid="{00000000-0004-0000-0000-0000DF020000}"/>
    <hyperlink ref="J286" r:id="rId737" display="Sierrra Shooting Star, Tall Mountain Shooting Star, Jeffrey's Shooting Star  " xr:uid="{00000000-0004-0000-0000-0000E0020000}"/>
    <hyperlink ref="J284" r:id="rId738" display="Tundra Shooting Star, Tundra Shooting Star  " xr:uid="{00000000-0004-0000-0000-0000E1020000}"/>
    <hyperlink ref="J283" r:id="rId739" display="Inland Saltgrass, Coastal Saltgrass  " xr:uid="{00000000-0004-0000-0000-0000E2020000}"/>
    <hyperlink ref="J281" r:id="rId740" display="Tapered Rosette Grass  " xr:uid="{00000000-0004-0000-0000-0000E3020000}"/>
    <hyperlink ref="J279" r:id="rId741" display="Slender Hairgrass" xr:uid="{00000000-0004-0000-0000-0000E4020000}"/>
    <hyperlink ref="J278" r:id="rId742" display="Tufted Hairgrass, Beringian Hairgrass   " xr:uid="{00000000-0004-0000-0000-0000E5020000}"/>
    <hyperlink ref="J276" r:id="rId743" display="Cow-Poison, Poison Larkspur  " xr:uid="{00000000-0004-0000-0000-0000E6020000}"/>
    <hyperlink ref="J274" r:id="rId744" display="Menzies' Larkspur, Pale Larkspur" xr:uid="{00000000-0004-0000-0000-0000E7020000}"/>
    <hyperlink ref="J273" r:id="rId745" display="Sierra Larkspur, Grayish https://en.wikipedia.org/wiki/Delphinium_glaucumLarkspur" xr:uid="{00000000-0004-0000-0000-0000E8020000}"/>
    <hyperlink ref="J272" r:id="rId746" display="American Wild Carrot, Rattlesnake Weed" xr:uid="{00000000-0004-0000-0000-0000E9020000}"/>
    <hyperlink ref="J271" r:id="rId747" display="Sacred Thorn Apple, Jimson Weed, Sacred Datura" xr:uid="{00000000-0004-0000-0000-0000EA020000}"/>
    <hyperlink ref="J270" r:id="rId748" display="Shrubby Cinquefoil, Potentilla" xr:uid="{00000000-0004-0000-0000-0000EB020000}"/>
    <hyperlink ref="J269" r:id="rId749" display="Indian Rhubarb" xr:uid="{00000000-0004-0000-0000-0000EC020000}"/>
    <hyperlink ref="J267" r:id="rId750" display="Poverty Oat-Grass, Poverty Wild Oat-Grass  " xr:uid="{00000000-0004-0000-0000-0000ED020000}"/>
    <hyperlink ref="J266" r:id="rId751" display="Timber Oat-Grass, Timber Wild Oat-Grass  " xr:uid="{00000000-0004-0000-0000-0000EE020000}"/>
    <hyperlink ref="J265" r:id="rId752" display="California Oat-Grass, California Wild Oat-Grass  " xr:uid="{00000000-0004-0000-0000-0000EF020000}"/>
    <hyperlink ref="J264" r:id="rId753" display="Fragile Fern, Brittle Bladderfern, Brittle Fern, Bladder Fern  " xr:uid="{00000000-0004-0000-0000-0000F0020000}"/>
    <hyperlink ref="J263" r:id="rId754" display="Moutain Lady's Slipper" xr:uid="{00000000-0004-0000-0000-0000F1020000}"/>
    <hyperlink ref="J262" r:id="rId755" display="Bearded Flatsedge, Awned Cyperus" xr:uid="{00000000-0004-0000-0000-0000F2020000}"/>
    <hyperlink ref="J261" r:id="rId756" display="Redroot Flatsedge" xr:uid="{00000000-0004-0000-0000-0000F3020000}"/>
    <hyperlink ref="J259" r:id="rId757" display="Buttonbush Dodder" xr:uid="{00000000-0004-0000-0000-0000F4020000}"/>
    <hyperlink ref="J260" r:id="rId758" display="Slender Flatsedge, Shining Flatsedge  " xr:uid="{00000000-0004-0000-0000-0000F5020000}"/>
    <hyperlink ref="J257" r:id="rId759" display="Clearwater Cryptantha, Large Flowered Cryptantha, Common Cryptantha, Clearwater Cat's Eye  " xr:uid="{00000000-0004-0000-0000-0000F6020000}"/>
    <hyperlink ref="J256" r:id="rId760" display="Common Spring-Gold, Gold Star" xr:uid="{00000000-0004-0000-0000-0000F7020000}"/>
    <hyperlink ref="J255" r:id="rId761" display="Black Hawthorn, Douglas' Hawthorn  " xr:uid="{00000000-0004-0000-0000-0000F8020000}"/>
    <hyperlink ref="J669" r:id="rId762" display="Purple Cinquefoil, Marsh Cinquefoil" xr:uid="{00000000-0004-0000-0000-0000F9020000}"/>
    <hyperlink ref="J668" r:id="rId763" display="Graceful Cinquefoil, Slender Cinquefoil" xr:uid="{00000000-0004-0000-0000-0000FA020000}"/>
    <hyperlink ref="J666" r:id="rId764" display="Silverweed, Common Silverweed, Pacific Cinquefoil" xr:uid="{00000000-0004-0000-0000-0000FB020000}"/>
    <hyperlink ref="J664" r:id="rId765" display="Robbins' Pondweed" xr:uid="{00000000-0004-0000-0000-0000FC020000}"/>
    <hyperlink ref="J663" r:id="rId766" display="Richardson's Pondweed" xr:uid="{00000000-0004-0000-0000-0000FD020000}"/>
    <hyperlink ref="J662" r:id="rId767" display="Small Pondweed" xr:uid="{00000000-0004-0000-0000-0000FE020000}"/>
    <hyperlink ref="J661" r:id="rId768" display="Bluntleaf Pondweed, Blunt-Leaved Pondweed" xr:uid="{00000000-0004-0000-0000-0000FF020000}"/>
    <hyperlink ref="J665" r:id="rId769" display="Flatstem Pondweed, Eelgrass Pondweed" xr:uid="{00000000-0004-0000-0000-000000030000}"/>
    <hyperlink ref="J660" r:id="rId770" display="Longleaf Pondweed" xr:uid="{00000000-0004-0000-0000-000001030000}"/>
    <hyperlink ref="J659" r:id="rId771" display="Floating Pondweed" xr:uid="{00000000-0004-0000-0000-000002030000}"/>
    <hyperlink ref="J658" r:id="rId772" display="Illinois Pondweed" xr:uid="{00000000-0004-0000-0000-000003030000}"/>
    <hyperlink ref="J657" r:id="rId773" display="Variableleaf Pondweed" xr:uid="{00000000-0004-0000-0000-000004030000}"/>
    <hyperlink ref="J656" r:id="rId774" display="Leafy Pondweed" xr:uid="{00000000-0004-0000-0000-000005030000}"/>
    <hyperlink ref="J655" r:id="rId775" display="Ribbon-Leaf Pondweed" xr:uid="{00000000-0004-0000-0000-000006030000}"/>
    <hyperlink ref="J654" r:id="rId776" display="Large-Flowered Pondweed, Largeleaf Pondweed" xr:uid="{00000000-0004-0000-0000-000007030000}"/>
    <hyperlink ref="J653" r:id="rId777" display="Black Cottonwood, Northern Black Cottonwood" xr:uid="{00000000-0004-0000-0000-000008030000}"/>
    <hyperlink ref="J652" r:id="rId778" display="Quaking Aspen, Trembling Aspen" xr:uid="{00000000-0004-0000-0000-000009030000}"/>
    <hyperlink ref="J650" r:id="rId779" display="Sword Fern; Western Sword Fern" xr:uid="{00000000-0004-0000-0000-00000A030000}"/>
    <hyperlink ref="J651" r:id="rId780" display="Alaskan Fern" xr:uid="{00000000-0004-0000-0000-00000B030000}"/>
    <hyperlink ref="J648" r:id="rId781" display="California Swordfern" xr:uid="{00000000-0004-0000-0000-00000C030000}"/>
    <hyperlink ref="J647" r:id="rId782" display="Anderson's Holly-Fern, Anderson's Sword Fern, Vancouver Holly Fern  " xr:uid="{00000000-0004-0000-0000-00000D030000}"/>
    <hyperlink ref="J645" r:id="rId783" display="Western Polypody" xr:uid="{00000000-0004-0000-0000-00000E030000}"/>
    <hyperlink ref="J643" r:id="rId784" display="Spurry Knotweed, Fall Knotweed  " xr:uid="{00000000-0004-0000-0000-00000F030000}"/>
    <hyperlink ref="J641" r:id="rId785" display="Douglas' Knotweed, Austin's Knotweed  " xr:uid="{00000000-0004-0000-0000-000010030000}"/>
    <hyperlink ref="J601" r:id="rId786" display="Longroot Smartweed, Swamp Knotweed" xr:uid="{00000000-0004-0000-0000-000011030000}"/>
    <hyperlink ref="J640" r:id="rId787" xr:uid="{00000000-0004-0000-0000-000012030000}"/>
    <hyperlink ref="J639" r:id="rId788" display="Royal Jacob's-Ladder, Great Polemonium" xr:uid="{00000000-0004-0000-0000-000013030000}"/>
    <hyperlink ref="J637" r:id="rId789" display="Alaska Bluegrass" xr:uid="{00000000-0004-0000-0000-000014030000}"/>
    <hyperlink ref="J636" r:id="rId790" display="Seashore Bluegrass, Large Flowered Bluegrass" xr:uid="{00000000-0004-0000-0000-000015030000}"/>
    <hyperlink ref="J633" r:id="rId791" display="Coastline Bluegrass, Beach Bluegrass" xr:uid="{00000000-0004-0000-0000-000016030000}"/>
    <hyperlink ref="J631" r:id="rId792" display="Fringed Pinesap" xr:uid="{00000000-0004-0000-0000-000017030000}"/>
    <hyperlink ref="J626" r:id="rId793" display="Lesser Round-Leaved Orchid, Large Round-Leaf Orchid  " xr:uid="{00000000-0004-0000-0000-000018030000}"/>
    <hyperlink ref="J624" r:id="rId794" display="Scentbottle, White Flowered Bog Orchid" xr:uid="{00000000-0004-0000-0000-000019030000}"/>
    <hyperlink ref="J621" r:id="rId795" display="Seashore Plantain, Alaska Plantain  " xr:uid="{00000000-0004-0000-0000-00001A030000}"/>
    <hyperlink ref="J622" r:id="rId796" display="Seaside Plantain, Goose Tongue, Salt Marsh Plantain  " xr:uid="{00000000-0004-0000-0000-00001B030000}"/>
    <hyperlink ref="J620" r:id="rId797" display="Prairie Plantain, Annual Plantain" xr:uid="{00000000-0004-0000-0000-00001C030000}"/>
    <hyperlink ref="J619" r:id="rId798" display="Scouler's Popcorn Flower" xr:uid="{00000000-0004-0000-0000-00001D030000}"/>
    <hyperlink ref="J618" r:id="rId799" display="Fragrant Popcornflower" xr:uid="{00000000-0004-0000-0000-00001E030000}"/>
    <hyperlink ref="J629" r:id="rId800" display="Slender-Spire Orchid, Short Spiral Rein Orchid" xr:uid="{00000000-0004-0000-0000-00001F030000}"/>
    <hyperlink ref="J628" r:id="rId801" display="Royal Rein Orchid, Suffolk's Rein Orchid, Horizontal Spur Rein Orchid" xr:uid="{00000000-0004-0000-0000-000020030000}"/>
    <hyperlink ref="J625" r:id="rId802" display="Denseflower Rein Orchid, Tall Rein Orchid" xr:uid="{00000000-0004-0000-0000-000021030000}"/>
    <hyperlink ref="J616" r:id="rId803" display="Ponderosa Pine, Western Yellow Pine" xr:uid="{00000000-0004-0000-0000-000022030000}"/>
    <hyperlink ref="J615" r:id="rId804" display="Western White Pine" xr:uid="{00000000-0004-0000-0000-000023030000}"/>
    <hyperlink ref="J613" r:id="rId805" display="Whitebark Pine" xr:uid="{00000000-0004-0000-0000-000024030000}"/>
    <hyperlink ref="J611" r:id="rId806" display="Engelmann Spruce" xr:uid="{00000000-0004-0000-0000-000025030000}"/>
    <hyperlink ref="J609" r:id="rId807" display="Spreading Phlox" xr:uid="{00000000-0004-0000-0000-000026030000}"/>
    <hyperlink ref="J607" r:id="rId808" display="Long Beech Fern, Northern Beechfern" xr:uid="{00000000-0004-0000-0000-000027030000}"/>
    <hyperlink ref="J605" r:id="rId809" display="Varileaf Phacelia" xr:uid="{00000000-0004-0000-0000-000028030000}"/>
    <hyperlink ref="J603" r:id="rId810" display="Pale Smartweed  " xr:uid="{00000000-0004-0000-0000-000029030000}"/>
    <hyperlink ref="J604" r:id="rId811" display="Palmate Coltsfoot, Sweet Coltsfoot, Arctic Sweet Coltsfoot, Coltsfoot, Butterbur" xr:uid="{00000000-0004-0000-0000-00002A030000}"/>
    <hyperlink ref="J602" r:id="rId812" display="Swamp Smartweed  " xr:uid="{00000000-0004-0000-0000-00002B030000}"/>
    <hyperlink ref="J599" r:id="rId813" display="Gardner's Yampah, Gairdner's Yampah  " xr:uid="{00000000-0004-0000-0000-00002C030000}"/>
    <hyperlink ref="J592" r:id="rId814" display="Cardwell's Penstemon" xr:uid="{00000000-0004-0000-0000-00002D030000}"/>
    <hyperlink ref="J591" r:id="rId815" display="Sulfur Penstemon, Taper Leaved Penstemon" xr:uid="{00000000-0004-0000-0000-00002E030000}"/>
    <hyperlink ref="J588" r:id="rId816" display="Brewer's Mitrewort,Feathery Bishop's-Cap  " xr:uid="{00000000-0004-0000-0000-00002F030000}"/>
    <hyperlink ref="J587" r:id="rId817" display="Oregon Box, Oregon Boxleaf" xr:uid="{00000000-0004-0000-0000-000030030000}"/>
    <hyperlink ref="J585" r:id="rId818" display="Fringed Grass-Of-Parnassus  " xr:uid="{00000000-0004-0000-0000-000031030000}"/>
    <hyperlink ref="J583" r:id="rId819" xr:uid="{00000000-0004-0000-0000-000032030000}"/>
    <hyperlink ref="J581" r:id="rId820" display="Field Locoweed" xr:uid="{00000000-0004-0000-0000-000033030000}"/>
    <hyperlink ref="J574" r:id="rId821" display="Sweetcicely, Sweet Cicely" xr:uid="{00000000-0004-0000-0000-000034030000}"/>
    <hyperlink ref="J575" r:id="rId822" display="Purple Sweetroot, Purple Sweet Cicely" xr:uid="{00000000-0004-0000-0000-000035030000}"/>
    <hyperlink ref="J573" r:id="rId823" display="Rosy Owl's-Clover" xr:uid="{00000000-0004-0000-0000-000036030000}"/>
    <hyperlink ref="J572" r:id="rId824" display="Sidebells Wintergreen, One-Sided Pyrola, Sidebells  " xr:uid="{00000000-0004-0000-0000-000037030000}"/>
    <hyperlink ref="J74" r:id="rId825" display="Clustered Broomrape" xr:uid="{00000000-0004-0000-0000-000038030000}"/>
    <hyperlink ref="J73" r:id="rId826" xr:uid="{00000000-0004-0000-0000-000039030000}"/>
    <hyperlink ref="J75" r:id="rId827" display="Conifer Broomrape, Pine Forest Broomrape" xr:uid="{00000000-0004-0000-0000-00003A030000}"/>
    <hyperlink ref="J571" r:id="rId828" display="Brittle Prickly Pear" xr:uid="{00000000-0004-0000-0000-00003B030000}"/>
    <hyperlink ref="J570" r:id="rId829" display="Devil's Club" xr:uid="{00000000-0004-0000-0000-00003C030000}"/>
    <hyperlink ref="J569" r:id="rId830" display="Northern Adderstongue, Adder's Tongue" xr:uid="{00000000-0004-0000-0000-00003D030000}"/>
    <hyperlink ref="J563" r:id="rId831" display="Blue Toadflax,Texas Toadflax  " xr:uid="{00000000-0004-0000-0000-00003E030000}"/>
    <hyperlink ref="J562" r:id="rId832" display="Pond Lily, Rocky Mountain Pond-Lily, Yellow Pond Lily" xr:uid="{00000000-0004-0000-0000-00003F030000}"/>
    <hyperlink ref="J559" r:id="rId833" display="Littlefoot Nemophila, Meadow Nemophila" xr:uid="{00000000-0004-0000-0000-000040030000}"/>
    <hyperlink ref="J558" r:id="rId834" display="Small-Flowered Nemophila, Smallflower Nemophila" xr:uid="{00000000-0004-0000-0000-000041030000}"/>
    <hyperlink ref="J557" r:id="rId835" display="Skunkbush, Skunkweed" xr:uid="{00000000-0004-0000-0000-000042030000}"/>
    <hyperlink ref="J556" r:id="rId836" display="Needleleaf Navarretia" xr:uid="{00000000-0004-0000-0000-000043030000}"/>
    <hyperlink ref="J555" r:id="rId837" xr:uid="{00000000-0004-0000-0000-000044030000}"/>
    <hyperlink ref="J553" r:id="rId838" display="Lace Fern, Lace Lipfern" xr:uid="{00000000-0004-0000-0000-000045030000}"/>
    <hyperlink ref="J552" r:id="rId839" display="Whorl-Leaf Water-Milfoil, Verticillate Water-Milfoil  " xr:uid="{00000000-0004-0000-0000-000046030000}"/>
    <hyperlink ref="J551" r:id="rId840" display="Shortspike Water-Milfoil, Northern or Siberian Water-Milfoil, American Milfoil  " xr:uid="{00000000-0004-0000-0000-000047030000}"/>
    <hyperlink ref="J549" r:id="rId841" display="Western Milfoil, Western Watermilfoil" xr:uid="{00000000-0004-0000-0000-000048030000}"/>
    <hyperlink ref="J550" r:id="rId842" display="Andean Watermilfoil, Quito Watermilfoil" xr:uid="{00000000-0004-0000-0000-000049030000}"/>
    <hyperlink ref="J548" r:id="rId843" display="Sweet Gale" xr:uid="{00000000-0004-0000-0000-00004A030000}"/>
    <hyperlink ref="J546" r:id="rId844" display="Tiny Mousetail, Least Mousetail" xr:uid="{00000000-0004-0000-0000-00004B030000}"/>
    <hyperlink ref="J545" r:id="rId845" display="Small-Flowered Forget-Me-Not, Bay Forget-Me-Not" xr:uid="{00000000-0004-0000-0000-00004C030000}"/>
    <hyperlink ref="J543" r:id="rId846" display="Narrowleaf Miner's-Lettuce, Narrow-Leaved Montia  " xr:uid="{00000000-0004-0000-0000-00004D030000}"/>
    <hyperlink ref="J542" r:id="rId847" display="Howell's Minerslettuce, Howell's Montia" xr:uid="{00000000-0004-0000-0000-00004E030000}"/>
    <hyperlink ref="J541" r:id="rId848" display="Annual Water Miner's-Lettuce, Blinks, Water Chickweed  " xr:uid="{00000000-0004-0000-0000-00004F030000}"/>
    <hyperlink ref="J540" r:id="rId849" display="Spreading Minerslettuce, Branching Montia, Defuse Montia" xr:uid="{00000000-0004-0000-0000-000050030000}"/>
    <hyperlink ref="J538" r:id="rId850" display="Single-Flowered Indian Pipe, Indianpipe" xr:uid="{00000000-0004-0000-0000-000051030000}"/>
    <hyperlink ref="J537" r:id="rId851" display="Pinesap, Many-Flower Indian-Pipe  " xr:uid="{00000000-0004-0000-0000-000052030000}"/>
    <hyperlink ref="J535" r:id="rId852" display="Big-Leaf Sandwort, Large Leaved Sandwort" xr:uid="{00000000-0004-0000-0000-000053030000}"/>
    <hyperlink ref="J534" r:id="rId853" display="Blunt-Leaf Sandwort  " xr:uid="{00000000-0004-0000-0000-000054030000}"/>
    <hyperlink ref="J736" r:id="rId854" display="Slender Stitchwort  " xr:uid="{00000000-0004-0000-0000-000055030000}"/>
    <hyperlink ref="J532" r:id="rId855" display="Slender Phlox  " xr:uid="{00000000-0004-0000-0000-000056030000}"/>
    <hyperlink ref="J531" r:id="rId856" display="Cut-Leaf Silverpuffs, Cut-Leaf Microseris, Cut-Leaved Scorzonella  " xr:uid="{00000000-0004-0000-0000-000057030000}"/>
    <hyperlink ref="J528" r:id="rId857" display="Oregon Saxifrage, Bog Saxifrage  " xr:uid="{00000000-0004-0000-0000-000058030000}"/>
    <hyperlink ref="J527" r:id="rId858" display="Western Saxifrage, Redwool Saxifrage  " xr:uid="{00000000-0004-0000-0000-000059030000}"/>
    <hyperlink ref="J526" r:id="rId859" display="Wholeleaf Saxifrage  " xr:uid="{00000000-0004-0000-0000-00005A030000}"/>
    <hyperlink ref="J525" r:id="rId860" display="Russethair Saxifrage, Rusty Saxifrage  " xr:uid="{00000000-0004-0000-0000-00005B030000}"/>
    <hyperlink ref="J523" r:id="rId861" display="Broadleaf Bluebells, Western Lungwort" xr:uid="{00000000-0004-0000-0000-00005C030000}"/>
    <hyperlink ref="J522" r:id="rId862" display="Buckbean, Bog Bean" xr:uid="{00000000-0004-0000-0000-00005D030000}"/>
    <hyperlink ref="J520" r:id="rId863" display="Alaska Oniongrass" xr:uid="{00000000-0004-0000-0000-00005E030000}"/>
    <hyperlink ref="J519" r:id="rId864" display="Smith's Melica Grass" xr:uid="{00000000-0004-0000-0000-00005F030000}"/>
    <hyperlink ref="J518" r:id="rId865" display="White Fairypoppy, White Meconella" xr:uid="{00000000-0004-0000-0000-000060030000}"/>
    <hyperlink ref="J517" r:id="rId866" display="Ostrich Fern, Fiddlehead Fern,Shuttlecock Fern" xr:uid="{00000000-0004-0000-0000-000061030000}"/>
    <hyperlink ref="J513" r:id="rId867" display="Starry False Lily of the Valleyhttp://en.wikipedia.org/wiki/Maianthemum_stellatum" xr:uid="{00000000-0004-0000-0000-000062030000}"/>
    <hyperlink ref="J512" r:id="rId868" display="Feathery False Lily-Of-The-Valley, Plumed Solomon's Seal, Plumed Spikenard  " xr:uid="{00000000-0004-0000-0000-000063030000}"/>
    <hyperlink ref="J510" r:id="rId869" display="Coast Tarweed, Chilean Tarplant  " xr:uid="{00000000-0004-0000-0000-000064030000}"/>
    <hyperlink ref="J509" r:id="rId870" display="Grassy Tarweed, Common Tarweed" xr:uid="{00000000-0004-0000-0000-000065030000}"/>
    <hyperlink ref="J507" r:id="rId871" display="Small Tarweed, Little Tarweed" xr:uid="{00000000-0004-0000-0000-000066030000}"/>
    <hyperlink ref="J506" r:id="rId872" display="Common Madia, Autumn Showy Tarweed  " xr:uid="{00000000-0004-0000-0000-000067030000}"/>
    <hyperlink ref="J502" r:id="rId873" display="Swamp Lantern; Skunk Cabbage, Yellow Skunk Cabbage" xr:uid="{00000000-0004-0000-0000-000068030000}"/>
    <hyperlink ref="J505" r:id="rId874" display="Tufted Loosestrife, Tufted Yellow Loosestrife  " xr:uid="{00000000-0004-0000-0000-000069030000}"/>
    <hyperlink ref="J501" r:id="rId875" xr:uid="{00000000-0004-0000-0000-00006A030000}"/>
    <hyperlink ref="J251" r:id="rId876" display="Scouler's Corydalis, Western Corydalis" xr:uid="{00000000-0004-0000-0000-00006B030000}"/>
    <hyperlink ref="J248" r:id="rId877" display="Red-Osier Dogwood, Redosier Dogwood, Western Dogwood" xr:uid="{00000000-0004-0000-0000-00006C030000}"/>
    <hyperlink ref="J246" r:id="rId878" display="Yellow Coralroot  " xr:uid="{00000000-0004-0000-0000-00006D030000}"/>
    <hyperlink ref="J244" r:id="rId879" display="Spotted Coral-Root, Summer Coralroot" xr:uid="{00000000-0004-0000-0000-00006E030000}"/>
    <hyperlink ref="J243" r:id="rId880" display="Oregon Goldthread, Three-Leaflet Goldthread" xr:uid="{00000000-0004-0000-0000-00006F030000}"/>
    <hyperlink ref="J242" r:id="rId881" display="Spleenwort-Leaved Goldthread, Fernleaf Goldthread" xr:uid="{00000000-0004-0000-0000-000070030000}"/>
    <hyperlink ref="J241" r:id="rId882" display="Horseweed, Canadian Horseweed" xr:uid="{00000000-0004-0000-0000-000071030000}"/>
    <hyperlink ref="J142" r:id="rId883" display="Beach Morning-Glory, Seaside Morning-Glory  " xr:uid="{00000000-0004-0000-0000-000072030000}"/>
    <hyperlink ref="J240" r:id="rId884" display="Tiny Trumpet, Narrow-Leaf Mountain-Trumpet, Narrow-Leaf Collomia  " xr:uid="{00000000-0004-0000-0000-000073030000}"/>
    <hyperlink ref="J239" r:id="rId885" display="Varied-Leaf Collomia, Variableleaf Collomia" xr:uid="{00000000-0004-0000-0000-000074030000}"/>
    <hyperlink ref="J238" r:id="rId886" display="Large-Flowered Collomia, Grand Collomia" xr:uid="{00000000-0004-0000-0000-000075030000}"/>
    <hyperlink ref="J236" r:id="rId887" display="Small-Flowered Blue-Eyed Mary, Maiden Blue Eyed Mary" xr:uid="{00000000-0004-0000-0000-000076030000}"/>
    <hyperlink ref="J234" r:id="rId888" xr:uid="{00000000-0004-0000-0000-000077030000}"/>
    <hyperlink ref="J233" r:id="rId889" display="Queen's Cup" xr:uid="{00000000-0004-0000-0000-000078030000}"/>
    <hyperlink ref="J232" r:id="rId890" display="Yerba Buena, Oregon-Tea  " xr:uid="{00000000-0004-0000-0000-000079030000}"/>
    <hyperlink ref="J231" r:id="rId891" display="Western White Clematis, Western Clematis  " xr:uid="{00000000-0004-0000-0000-00007A030000}"/>
    <hyperlink ref="J229" r:id="rId892" display="Redstem Springbeauty, Red Stem Miner's Lettuce" xr:uid="{00000000-0004-0000-0000-00007B030000}"/>
    <hyperlink ref="J228" r:id="rId893" display="Miner's Lettuce" xr:uid="{00000000-0004-0000-0000-00007C030000}"/>
    <hyperlink ref="J227" r:id="rId894" display="Streambank Springbeauty, Small Leaved Claytonia" xr:uid="{00000000-0004-0000-0000-00007D030000}"/>
    <hyperlink ref="J226" r:id="rId895" display="Sam found" xr:uid="{00000000-0004-0000-0000-00007E030000}"/>
    <hyperlink ref="J225" r:id="rId896" display="Purple Godetia" xr:uid="{00000000-0004-0000-0000-00007F030000}"/>
    <hyperlink ref="J224" r:id="rId897" display="Slender Clarkia  " xr:uid="{00000000-0004-0000-0000-000080030000}"/>
    <hyperlink ref="J223" r:id="rId898" display="Farewell-To-Spring, Pacific Clarkia" xr:uid="{00000000-0004-0000-0000-000081030000}"/>
    <hyperlink ref="J222" r:id="rId899" display="Few-Leaved Thistle, Weak Thistle  " xr:uid="{00000000-0004-0000-0000-000082030000}"/>
    <hyperlink ref="J221" r:id="rId900" display="Edible Thistle, Indian Thistle  " xr:uid="{00000000-0004-0000-0000-000083030000}"/>
    <hyperlink ref="J218" r:id="rId901" display="Reedgrass, Drooping Woodreed, Wood Reed Grass" xr:uid="{00000000-0004-0000-0000-000084030000}"/>
    <hyperlink ref="J219" r:id="rId902" display="Enchanter's Nightshade" xr:uid="{00000000-0004-0000-0000-000085030000}"/>
    <hyperlink ref="J217" r:id="rId903" display="Western Water-Hemlock, Douglas' Water-Hemlock  " xr:uid="{00000000-0004-0000-0000-000086030000}"/>
    <hyperlink ref="J216" r:id="rId904" display="Bulblet-Bearing Water Hemlock, Bulbous Water Hemlock" xr:uid="{00000000-0004-0000-0000-000087030000}"/>
    <hyperlink ref="J215" r:id="rId905" display="Pacific Golden Saxifrage, Western Golden Saxifrage" xr:uid="{00000000-0004-0000-0000-000088030000}"/>
    <hyperlink ref="J214" r:id="rId906" display="Golden Chinkapin, Golden Chinquapin" xr:uid="{00000000-0004-0000-0000-000089030000}"/>
    <hyperlink ref="J211" r:id="rId907" display="Pitseed Goosefoot  " xr:uid="{00000000-0004-0000-0000-00008A030000}"/>
    <hyperlink ref="J579" r:id="rId908" display="Red Goosefoot" xr:uid="{00000000-0004-0000-0000-00008B030000}"/>
    <hyperlink ref="J210" r:id="rId909" display="Fireweed, Common Fireweed" xr:uid="{00000000-0004-0000-0000-00008C030000}"/>
    <hyperlink ref="J209" r:id="rId910" display="Port Orford Cedar (not native)" xr:uid="{00000000-0004-0000-0000-00008D030000}"/>
    <hyperlink ref="J208" r:id="rId911" display="Coon's Tail, Rough Hornwort" xr:uid="{00000000-0004-0000-0000-00008E030000}"/>
    <hyperlink ref="J207" r:id="rId912" xr:uid="{00000000-0004-0000-0000-00008F030000}"/>
    <hyperlink ref="J206" r:id="rId913" display="Phantom Orchid" xr:uid="{00000000-0004-0000-0000-000090030000}"/>
    <hyperlink ref="J205" r:id="rId914" display="Netleaf Hackberry  " xr:uid="{00000000-0004-0000-0000-000091030000}"/>
    <hyperlink ref="J204" r:id="rId915" display="Snowbrush Ceanothus; Sticky Laurel, Mountain Balm, Tiberus Bush" xr:uid="{00000000-0004-0000-0000-000092030000}"/>
    <hyperlink ref="J203" r:id="rId916" display="Red Stem Ceanothus, Tea Tree, Oregon Teatree  " xr:uid="{00000000-0004-0000-0000-000093030000}"/>
    <hyperlink ref="J199" r:id="rId917" display="Scarlet Indian Paintbrush, Common Paintbrush, Scarlet Paintbrush, Giant Red Indian Paintbrush" xr:uid="{00000000-0004-0000-0000-000094030000}"/>
    <hyperlink ref="J198" r:id="rId918" display="Golden Indian Paintbrush" xr:uid="{00000000-0004-0000-0000-000095030000}"/>
    <hyperlink ref="J195" r:id="rId919" display="Attenuate Indian Paintbrush, Valley Tassels" xr:uid="{00000000-0004-0000-0000-000096030000}"/>
    <hyperlink ref="J194" r:id="rId920" display="Paint-Brush Owl-Clover, Johnny-Nip  " xr:uid="{00000000-0004-0000-0000-000097030000}"/>
    <hyperlink ref="J193" r:id="rId921" display="Fox Sedge" xr:uid="{00000000-0004-0000-0000-000098030000}"/>
    <hyperlink ref="J187" r:id="rId922" display="Long-Styled Sedge, Variegated Sedge" xr:uid="{00000000-0004-0000-0000-000099030000}"/>
    <hyperlink ref="J186" r:id="rId923" display="Awl-Fruited Sedge, Sawbeak Sedge, Owl-Fruited Sedge  " xr:uid="{00000000-0004-0000-0000-00009A030000}"/>
    <hyperlink ref="J182" r:id="rId924" display="Sam found" xr:uid="{00000000-0004-0000-0000-00009B030000}"/>
    <hyperlink ref="J192" r:id="rId925" display="Green Sedge, Little Green Sedge" xr:uid="{00000000-0004-0000-0000-00009C030000}"/>
    <hyperlink ref="J191" r:id="rId926" display="Inflated Sedge, Blister Sedge" xr:uid="{00000000-0004-0000-0000-00009D030000}"/>
    <hyperlink ref="J190" r:id="rId927" display="Beaked Sedge, Rostrate Sedge  " xr:uid="{00000000-0004-0000-0000-00009E030000}"/>
    <hyperlink ref="J184" r:id="rId928" display="Ross' Sedge  " xr:uid="{00000000-0004-0000-0000-00009F030000}"/>
    <hyperlink ref="J183" r:id="rId929" display="Meadow Sedge, Northern Sedge  " xr:uid="{00000000-0004-0000-0000-0000A0030000}"/>
    <hyperlink ref="J181" r:id="rId930" display="Woolly Sedge" xr:uid="{00000000-0004-0000-0000-0000A1030000}"/>
    <hyperlink ref="J180" r:id="rId931" display="Few-Flowered Sedge" xr:uid="{00000000-0004-0000-0000-0000A2030000}"/>
    <hyperlink ref="J178" r:id="rId932" display="Thick Headed Sedge, Pachystachy Sedge, Chamisso Sedge" xr:uid="{00000000-0004-0000-0000-0000A3030000}"/>
    <hyperlink ref="J171" r:id="rId933" display="Taperfruit Shortscale Sedge, Dewey's Sedge  " xr:uid="{00000000-0004-0000-0000-0000A4030000}"/>
    <hyperlink ref="J169" r:id="rId934" display="Green-Fruited Sedge" xr:uid="{00000000-0004-0000-0000-0000A5030000}"/>
    <hyperlink ref="J167" r:id="rId935" display="Henderson's Sedge" xr:uid="{00000000-0004-0000-0000-0000A6030000}"/>
    <hyperlink ref="J164" r:id="rId936" display="Dewey's Sedge" xr:uid="{00000000-0004-0000-0000-0000A7030000}"/>
    <hyperlink ref="J163" r:id="rId937" display="Dense Sedge" xr:uid="{00000000-0004-0000-0000-0000A8030000}"/>
    <hyperlink ref="J172" r:id="rId938" display="Shore Sedge, Mud Sedge" xr:uid="{00000000-0004-0000-0000-0000A9030000}"/>
    <hyperlink ref="J170" r:id="rId939" display="Woollyfruit Sedge  " xr:uid="{00000000-0004-0000-0000-0000AA030000}"/>
    <hyperlink ref="J168" r:id="rId940" display="Long-Stolon Sedge" xr:uid="{00000000-0004-0000-0000-0000AB030000}"/>
    <hyperlink ref="J165" r:id="rId941" display="Muricate Sedge,Star Sedge, Prickly Sedge, Stellate Sedge  " xr:uid="{00000000-0004-0000-0000-0000AC030000}"/>
    <hyperlink ref="J162" r:id="rId942" display="Cusick's Sedge" xr:uid="{00000000-0004-0000-0000-0000AD030000}"/>
    <hyperlink ref="J161" r:id="rId943" display="Longhair Sedge, Bristly Sedge, Bearded Sedge  " xr:uid="{00000000-0004-0000-0000-0000AE030000}"/>
    <hyperlink ref="J159" r:id="rId944" display="Silvery Sedge, Grey Sedge  " xr:uid="{00000000-0004-0000-0000-0000AF030000}"/>
    <hyperlink ref="J157" r:id="rId945" xr:uid="{00000000-0004-0000-0000-0000B0030000}"/>
    <hyperlink ref="J155" r:id="rId946" display="Bigleaf Sedge" xr:uid="{00000000-0004-0000-0000-0000B1030000}"/>
    <hyperlink ref="J154" r:id="rId947" display="Sandmat  " xr:uid="{00000000-0004-0000-0000-0000B2030000}"/>
    <hyperlink ref="J153" r:id="rId948" display="Pennsylvania Bittercress, Quaker Bittercress  " xr:uid="{00000000-0004-0000-0000-0000B3030000}"/>
    <hyperlink ref="J152" r:id="rId949" display="Little Western Bittercress, Siberian Bittercress, Umbellate Bittercress  " xr:uid="{00000000-0004-0000-0000-0000B4030000}"/>
    <hyperlink ref="J151" r:id="rId950" display="Nuttall's Toothwort, Slender Toothwort  " xr:uid="{00000000-0004-0000-0000-0000B5030000}"/>
    <hyperlink ref="J150" r:id="rId951" display="Brewer's Bittercress" xr:uid="{00000000-0004-0000-0000-0000B6030000}"/>
    <hyperlink ref="J149" r:id="rId952" display="Seaside Bittercress, Angle-Leaved Bittercress" xr:uid="{00000000-0004-0000-0000-0000B7030000}"/>
    <hyperlink ref="J148" r:id="rId953" display="Giant Mountain Aster, Few Flowered Aster, Great Northern Aster  " xr:uid="{00000000-0004-0000-0000-0000B8030000}"/>
    <hyperlink ref="J147" r:id="rId954" display="Pale Bellflower, Scouler's Harebell" xr:uid="{00000000-0004-0000-0000-0000B9030000}"/>
    <hyperlink ref="J146" r:id="rId955" display="Common Harebell, Harebells, Bellflower, Bluebell Bellflower, Bluebell-Of-Scotland  " xr:uid="{00000000-0004-0000-0000-0000BA030000}"/>
    <hyperlink ref="J145" r:id="rId956" display="Plains Evening-Primrose, Twisted Suncup, Contorted Pod Suncup  " xr:uid="{00000000-0004-0000-0000-0000BB030000}"/>
    <hyperlink ref="J144" r:id="rId957" display="Small Camas, Common Camas" xr:uid="{00000000-0004-0000-0000-0000BC030000}"/>
    <hyperlink ref="J141" r:id="rId958" display="Fairy Slipper" xr:uid="{00000000-0004-0000-0000-0000BD030000}"/>
    <hyperlink ref="J140" r:id="rId959" display="Yellow Marsh Marigold, Yellow Marsh Marigold  " xr:uid="{00000000-0004-0000-0000-0000BE030000}"/>
    <hyperlink ref="J139" r:id="rId960" display="White Marsh Marigold, Elkslip  " xr:uid="{00000000-0004-0000-0000-0000BF030000}"/>
    <hyperlink ref="J137" r:id="rId961" display="Vernal Water-Starwort, Marsh Water-Starwort" xr:uid="{00000000-0004-0000-0000-0000C0030000}"/>
    <hyperlink ref="J136" r:id="rId962" display="Two-Headed Water-Starwort, Different-Leaved Water-Starwort  " xr:uid="{00000000-0004-0000-0000-0000C1030000}"/>
    <hyperlink ref="J135" r:id="rId963" display="Fringed Redmaids" xr:uid="{00000000-0004-0000-0000-0000C2030000}"/>
    <hyperlink ref="J134" r:id="rId964" xr:uid="{00000000-0004-0000-0000-0000C3030000}"/>
    <hyperlink ref="J132" r:id="rId965" display="Bluejoint, Bluejoint Reed Grass" xr:uid="{00000000-0004-0000-0000-0000C4030000}"/>
    <hyperlink ref="J131" r:id="rId966" display="American Searocket" xr:uid="{00000000-0004-0000-0000-0000C5030000}"/>
    <hyperlink ref="J130" r:id="rId967" display="Alaska Brome  " xr:uid="{00000000-0004-0000-0000-0000C6030000}"/>
    <hyperlink ref="J128" r:id="rId968" display="Crown Brodiaea, Harvest Brodiaea" xr:uid="{00000000-0004-0000-0000-0000C7030000}"/>
    <hyperlink ref="J127" r:id="rId969" display="Water Shield, Watershield" xr:uid="{00000000-0004-0000-0000-0000C8030000}"/>
    <hyperlink ref="J125" r:id="rId970" display="Sierra Brookfoam" xr:uid="{00000000-0004-0000-0000-0000C9030000}"/>
    <hyperlink ref="J124" r:id="rId971" display="Rattlesnake Grapefern, Common Grapefern, Virginia Grapefern  " xr:uid="{00000000-0004-0000-0000-0000CA030000}"/>
    <hyperlink ref="J123" r:id="rId972" display="Leathery Grape-Fern" xr:uid="{00000000-0004-0000-0000-0000CB030000}"/>
    <hyperlink ref="J122" r:id="rId973" display="Mingan Moonwort" xr:uid="{00000000-0004-0000-0000-0000CC030000}"/>
    <hyperlink ref="J121" r:id="rId974" display="Cosmopolitan Bulrush, Marsh Bulrush, Salt-Marsh Bulrush  " xr:uid="{00000000-0004-0000-0000-0000CD030000}"/>
    <hyperlink ref="J119" r:id="rId975" xr:uid="{00000000-0004-0000-0000-0000CE030000}"/>
    <hyperlink ref="J118" r:id="rId976" display="Big Devils Beggarticks, Tall Beggarticks, Western Sticktight  " xr:uid="{00000000-0004-0000-0000-0000CF030000}"/>
    <hyperlink ref="J117" r:id="rId977" display="Leafy Beggar-Ticks, Devil's Beggartick, Sticktight " xr:uid="{00000000-0004-0000-0000-0000D0030000}"/>
    <hyperlink ref="J116" r:id="rId978" display="Nodding Beggarticks, Bur Marigold  " xr:uid="{00000000-0004-0000-0000-0000D1030000}"/>
    <hyperlink ref="J115" r:id="rId979" display="Water Marigold, Beck's Water Marigold  " xr:uid="{00000000-0004-0000-0000-0000D2030000}"/>
    <hyperlink ref="J113" r:id="rId980" display="Western Paper Birch, Northwestern White Birch" xr:uid="{00000000-0004-0000-0000-0000D3030000}"/>
    <hyperlink ref="J111" r:id="rId981" display="Resin Birch, Bog Birch, Swamp Birch, Dwarf Birch " xr:uid="{00000000-0004-0000-0000-0000D4030000}"/>
    <hyperlink ref="J109" r:id="rId982" display="Low Oregon Grape; Cascade Oregon Grape, Cascade Oregon-Grape, Dull Oregongrape  " xr:uid="{00000000-0004-0000-0000-0000D5030000}"/>
    <hyperlink ref="J108" r:id="rId983" display="Holly-Leaf Oregon-Grape, Shining Oregongrape, Tall Oregongrape  " xr:uid="{00000000-0004-0000-0000-0000D6030000}"/>
    <hyperlink ref="J106" r:id="rId984" display="Deltoid Balsamroot, Puget Balsamroot  " xr:uid="{00000000-0004-0000-0000-0000D7030000}"/>
    <hyperlink ref="J107" r:id="rId985" display="American Wintercress, American Yellowrocket" xr:uid="{00000000-0004-0000-0000-0000D8030000}"/>
    <hyperlink ref="J104" r:id="rId986" display="Mexican Mosquito-Fern, Mexican Water-Fern  " xr:uid="{00000000-0004-0000-0000-0000D9030000}"/>
    <hyperlink ref="J103" r:id="rId987" display="Pacific Mosquito-Fern, Duckweed Fern, Large Mosquito-Fern  " xr:uid="{00000000-0004-0000-0000-0000DA030000}"/>
    <hyperlink ref="J102" r:id="rId988" display="Common Sandweed, Sandweed" xr:uid="{00000000-0004-0000-0000-0000DB030000}"/>
    <hyperlink ref="J101" r:id="rId989" display="Common Ladyfern, Northwestern Lady Fern  " xr:uid="{00000000-0004-0000-0000-0000DC030000}"/>
    <hyperlink ref="J100" r:id="rId990" display="Maidenhair Spleenwort" xr:uid="{00000000-0004-0000-0000-0000DD030000}"/>
    <hyperlink ref="J99" r:id="rId991" display="Indian's Dream, Oregon Cliff Brake, Podfern  " xr:uid="{00000000-0004-0000-0000-0000DE030000}"/>
    <hyperlink ref="J95" r:id="rId992" display="Sylvan Goatsbeard, Bride's Feathers  " xr:uid="{00000000-0004-0000-0000-0000DF030000}"/>
    <hyperlink ref="J94" r:id="rId993" display="Suksdorf's Sagewort, Coastal Mugwort, Coast Wormwood" xr:uid="{00000000-0004-0000-0000-0000E0030000}"/>
    <hyperlink ref="J93" r:id="rId994" display="Wormwood, Michaux's Wormwood" xr:uid="{00000000-0004-0000-0000-0000E1030000}"/>
    <hyperlink ref="J92" r:id="rId995" display="Silver Wormwood, Westrern Mugwort, Prarie Sage" xr:uid="{00000000-0004-0000-0000-0000E2030000}"/>
    <hyperlink ref="J91" r:id="rId996" display="Douglas' Sagewort, Douglas Mugwort, Douglas Wormwood  " xr:uid="{00000000-0004-0000-0000-0000E3030000}"/>
    <hyperlink ref="J90" r:id="rId997" display="Northern Wormwood, Field Sagewort, Silky Field Wormwood" xr:uid="{00000000-0004-0000-0000-0000E4030000}"/>
    <hyperlink ref="J89" r:id="rId998" display="Seep Spring Arnica, Spear-Leaf Leopardbane, Longleaf Arnica" xr:uid="{00000000-0004-0000-0000-0000E5030000}"/>
    <hyperlink ref="J87" r:id="rId999" display="Heart-Leaf Arnica, Heart-Leaf Leopardbane  " xr:uid="{00000000-0004-0000-0000-0000E6030000}"/>
    <hyperlink ref="J88" r:id="rId1000" display="Lanceleaf Arnica, Closing Arnica, Streambank Arnica, Clasping Arnica" xr:uid="{00000000-0004-0000-0000-0000E7030000}"/>
    <hyperlink ref="J86" r:id="rId1001" display="Thrift Sea Pink, Sea Thrift, Mountain Thrift" xr:uid="{00000000-0004-0000-0000-0000E8030000}"/>
    <hyperlink ref="J85" r:id="rId1002" display="Bearberry, Kinnikinnick" xr:uid="{00000000-0004-0000-0000-0000E9030000}"/>
    <hyperlink ref="J83" r:id="rId1003" display="Hairy Manzanita, Bristly Manzanita  " xr:uid="{00000000-0004-0000-0000-0000EA030000}"/>
    <hyperlink ref="J82" r:id="rId1004" display="Hemlock Dwarf Mistletoe, Hemlock Mistletoe  " xr:uid="{00000000-0004-0000-0000-0000EB030000}"/>
    <hyperlink ref="J81" r:id="rId1005" display="Western Dwarf Mistletoe, Western Dwarf-Mistletoe  " xr:uid="{00000000-0004-0000-0000-0000EC030000}"/>
    <hyperlink ref="J79" r:id="rId1006" display="Hairy Rockcress" xr:uid="{00000000-0004-0000-0000-0000ED030000}"/>
    <hyperlink ref="J78" r:id="rId1007" display="Western Columbine, Red Columbine" xr:uid="{00000000-0004-0000-0000-0000EE030000}"/>
    <hyperlink ref="J77" r:id="rId1008" display="Indianhemp, Indian Hemp" xr:uid="{00000000-0004-0000-0000-0000EF030000}"/>
    <hyperlink ref="J76" r:id="rId1009" display="Spreading Dogbane, Bitter Dogbane" xr:uid="{00000000-0004-0000-0000-0000F0030000}"/>
    <hyperlink ref="J72" r:id="rId1010" display="Western Featherbells, Mission Bells, Bronze Bells  " xr:uid="{00000000-0004-0000-0000-0000F1030000}"/>
    <hyperlink ref="J68" r:id="rId1011" display="Seacoast Angelica, Sea-Watch  " xr:uid="{00000000-0004-0000-0000-0000F2030000}"/>
    <hyperlink ref="J67" r:id="rId1012" display="Henderson's Angelica, Sea-Coast Angelica" xr:uid="{00000000-0004-0000-0000-0000F3030000}"/>
    <hyperlink ref="J66" r:id="rId1013" display="Kneeling Angelica" xr:uid="{00000000-0004-0000-0000-0000F4030000}"/>
    <hyperlink ref="J65" r:id="rId1014" display="Sharp-Tooth Angelica, Lyall's Angelica, Shining Angelica" xr:uid="{00000000-0004-0000-0000-0000F5030000}"/>
    <hyperlink ref="J64" r:id="rId1015" display="Oregon Anemone, Blue Windflower, Western Wood Anemone  " xr:uid="{00000000-0004-0000-0000-0000F6030000}"/>
    <hyperlink ref="J63" r:id="rId1016" display="Pacific Anemone, Cut-Leaved Anemone" xr:uid="{00000000-0004-0000-0000-0000F7030000}"/>
    <hyperlink ref="J62" r:id="rId1017" display="Lyall's Anemone, Little Mountain Anemone or Thimbleweed  " xr:uid="{00000000-0004-0000-0000-0000F8030000}"/>
    <hyperlink ref="J61" r:id="rId1018" display="White Anemone, Windflower, Western White Anemone, Three-Leaf Anemone, Columbian Windflower  " xr:uid="{00000000-0004-0000-0000-0000F9030000}"/>
    <hyperlink ref="J60" r:id="rId1019" display="Bog Rosemary  " xr:uid="{00000000-0004-0000-0000-0000FA030000}"/>
    <hyperlink ref="J59" r:id="rId1020" display="Western Pearly Everlasting  " xr:uid="{00000000-0004-0000-0000-0000FB030000}"/>
    <hyperlink ref="J58" r:id="rId1021" display="Woolly Breeches, Seaside Fiddleneck" xr:uid="{00000000-0004-0000-0000-0000FC030000}"/>
    <hyperlink ref="J57" r:id="rId1022" display="Menzies' Fiddleneck, Rancher's Fiddleneck, Fireweed Fiddleneck, Small-Flowered Fiddleneck  " xr:uid="{00000000-0004-0000-0000-0000FD030000}"/>
    <hyperlink ref="J56" r:id="rId1023" display="Bugloss Fiddleneck, Tarweed Fiddleneck" xr:uid="{00000000-0004-0000-0000-0000FE030000}"/>
    <hyperlink ref="J55" r:id="rId1024" display="Saskatoon Serviceberry, Western Serviceberry  " xr:uid="{00000000-0004-0000-0000-0000FF030000}"/>
    <hyperlink ref="J53" r:id="rId1025" display="Sitka Alder, Slide Alder, Green Alder, Siberian Alder" xr:uid="{00000000-0004-0000-0000-000000040000}"/>
    <hyperlink ref="J50" r:id="rId1026" display="Thinleaf Alder, Mountain Alder, Gray Alder" xr:uid="{00000000-0004-0000-0000-000001040000}"/>
    <hyperlink ref="J49" r:id="rId1027" display="Sugarstick, Candystick  " xr:uid="{00000000-0004-0000-0000-000002040000}"/>
    <hyperlink ref="J48" r:id="rId1028" display="Wild Chives" xr:uid="{00000000-0004-0000-0000-000003040000}"/>
    <hyperlink ref="J43" r:id="rId1029" display="Water Plantain, Northern Water Plantain, European Water-Plantain  " xr:uid="{00000000-0004-0000-0000-000004040000}"/>
    <hyperlink ref="J42" r:id="rId1030" display="Tickle-Grass, Rough Bentgrass" xr:uid="{00000000-0004-0000-0000-000005040000}"/>
    <hyperlink ref="J38" r:id="rId1031" display="Annual Agoseris" xr:uid="{00000000-0004-0000-0000-000006040000}"/>
    <hyperlink ref="J39" r:id="rId1032" display="Spike Bentgrass" xr:uid="{00000000-0004-0000-0000-000007040000}"/>
    <hyperlink ref="J37" r:id="rId1033" display="Bigflower Agoseris, Large Flowered Agoseris" xr:uid="{00000000-0004-0000-0000-000008040000}"/>
    <hyperlink ref="J36" r:id="rId1034" display="Willamette Agoseris, Tall Agoseris, Tall Goat-chicory" xr:uid="{00000000-0004-0000-0000-000009040000}"/>
    <hyperlink ref="J35" r:id="rId1035" display="Woolly Goat Chicory, Common Agoseris, Seaside Agoseris" xr:uid="{00000000-0004-0000-0000-00000A040000}"/>
    <hyperlink ref="J34" r:id="rId1036" xr:uid="{00000000-0004-0000-0000-00000B040000}"/>
    <hyperlink ref="J33" r:id="rId1037" display="Five Finger Maidenhair Fern" xr:uid="{00000000-0004-0000-0000-00000C040000}"/>
    <hyperlink ref="J32" r:id="rId1038" display="Maidenhair Fern, Western Maidenhair, Aleutian Maidenhair , Five-Fingered Fern" xr:uid="{00000000-0004-0000-0000-00000D040000}"/>
    <hyperlink ref="J31" r:id="rId1039" display="Pathfinder, Trailfinder" xr:uid="{00000000-0004-0000-0000-00000E040000}"/>
    <hyperlink ref="J30" r:id="rId1040" display="Baneberry, Red Baneberry" xr:uid="{00000000-0004-0000-0000-00000F040000}"/>
    <hyperlink ref="J29" r:id="rId1041" display="Tall Bugbane" xr:uid="{00000000-0004-0000-0000-000010040000}"/>
    <hyperlink ref="J28" r:id="rId1042" display="Columbian Monkshood" xr:uid="{00000000-0004-0000-0000-000011040000}"/>
    <hyperlink ref="J26" r:id="rId1043" xr:uid="{00000000-0004-0000-0000-000012040000}"/>
    <hyperlink ref="J25" r:id="rId1044" display="Bigleaf Maple, Broadleaf Maple, Oregon Maple" xr:uid="{00000000-0004-0000-0000-000013040000}"/>
    <hyperlink ref="J24" r:id="rId1045" display="Rocky Mountain Maple, Douglas Maple, Dwarf Maple" xr:uid="{00000000-0004-0000-0000-000014040000}"/>
    <hyperlink ref="J22" r:id="rId1046" display="Pink Sand Verbena  " xr:uid="{00000000-0004-0000-0000-000015040000}"/>
    <hyperlink ref="J19" r:id="rId1047" display="Subalpine Fir, Alpine Fir, Balsam or White Balsam Fir  " xr:uid="{00000000-0004-0000-0000-000016040000}"/>
    <hyperlink ref="J44" r:id="rId1048" display="Taper-Tip Onion; Hooker's Onion, Tapertip Onion" xr:uid="{00000000-0004-0000-0000-000017040000}"/>
    <hyperlink ref="J71" r:id="rId1049" display="Rosy Pussytoes, Rosy Everlasting  " xr:uid="{00000000-0004-0000-0000-000018040000}"/>
    <hyperlink ref="J158" r:id="rId1050" xr:uid="{00000000-0004-0000-0000-000019040000}"/>
    <hyperlink ref="J174" r:id="rId1051" display="Dune Sedge, Bighead Sedge, Largehead Sedge" xr:uid="{00000000-0004-0000-0000-00001A040000}"/>
    <hyperlink ref="J197" r:id="rId1052" display="Harsh Paintbrush, Harsh Indian Paintbrush" xr:uid="{00000000-0004-0000-0000-00001B040000}"/>
    <hyperlink ref="J212" r:id="rId1053" display="Little Pipsissewa, Little Prince's Pine" xr:uid="{00000000-0004-0000-0000-00001C040000}"/>
    <hyperlink ref="J213" r:id="rId1054" display="Pipsissewa, Common Prince's-Pine  " xr:uid="{00000000-0004-0000-0000-00001D040000}"/>
    <hyperlink ref="J220" r:id="rId1055" display="Clustered Thistle, Short-Style Thistle, Indian Thistle" xr:uid="{00000000-0004-0000-0000-00001E040000}"/>
    <hyperlink ref="J245" r:id="rId1056" display="Striped Coral-Root, Hooded Chttp://en.wikipedia.org/wiki/Corallorhiza_striataoralroot" xr:uid="{00000000-0004-0000-0000-00001F040000}"/>
    <hyperlink ref="J253" r:id="rId1057" display="Water Pygmyweed" xr:uid="{00000000-0004-0000-0000-000020040000}"/>
    <hyperlink ref="J254" r:id="rId1058" display="Sand Pygmyweed, Erect Pygmy-Weed" xr:uid="{00000000-0004-0000-0000-000021040000}"/>
    <hyperlink ref="J258" r:id="rId1059" xr:uid="{00000000-0004-0000-0000-000022040000}"/>
    <hyperlink ref="J539" r:id="rId1060" xr:uid="{00000000-0004-0000-0000-000023040000}"/>
    <hyperlink ref="J536" r:id="rId1061" display="Woodnymph, Single Delight" xr:uid="{00000000-0004-0000-0000-000024040000}"/>
    <hyperlink ref="J521" r:id="rId1062" display="Wild Mint, Field Mint, American Corn Mint  " xr:uid="{00000000-0004-0000-0000-000025040000}"/>
    <hyperlink ref="J508" r:id="rId1063" display="Mountain Tarweed, Stinking Tarweed" xr:uid="{00000000-0004-0000-0000-000026040000}"/>
    <hyperlink ref="J500" r:id="rId1064" display="Water Horehound, American Water Horehound" xr:uid="{00000000-0004-0000-0000-000027040000}"/>
    <hyperlink ref="J499" r:id="rId1065" display="Running Clubmoss, Grand Pine, Running Pine" xr:uid="{00000000-0004-0000-0000-000028040000}"/>
    <hyperlink ref="J498" r:id="rId1066" display="Bog Clubmoss, Marsh Clubmoss, Northern Bog Clubmoss  " xr:uid="{00000000-0004-0000-0000-000029040000}"/>
    <hyperlink ref="J497" r:id="rId1067" display="Small-Flowered Woodrush" xr:uid="{00000000-0004-0000-0000-00002A040000}"/>
    <hyperlink ref="J496" r:id="rId1068" display="Common Woodrush, Many Flowered Wood Rush" xr:uid="{00000000-0004-0000-0000-00002B040000}"/>
    <hyperlink ref="J495" r:id="rId1069" display="Pacific Woodrush" xr:uid="{00000000-0004-0000-0000-00002C040000}"/>
    <hyperlink ref="J493" r:id="rId1070" display="Big-Leaf Lupine, Large Leaved Lupine" xr:uid="{00000000-0004-0000-0000-00002D040000}"/>
    <hyperlink ref="J491" r:id="rId1071" display="Chick Lupine, Wide-bannered Lupine" xr:uid="{00000000-0004-0000-0000-00002E040000}"/>
    <hyperlink ref="J489" r:id="rId1072" display="Prairie Lupine" xr:uid="{00000000-0004-0000-0000-00002F040000}"/>
    <hyperlink ref="J487" r:id="rId1073" display="Miniature Lupine, Two Colored Lupine" xr:uid="{00000000-0004-0000-0000-000030040000}"/>
    <hyperlink ref="J484" r:id="rId1074" display="False Loosestrife, Marsh Seedbox, Water Purslane" xr:uid="{00000000-0004-0000-0000-000031040000}"/>
    <hyperlink ref="J407" r:id="rId1075" display="Greater Lotus, Meadow Bird's-Foot Trefoil, Bog Lotus" xr:uid="{00000000-0004-0000-0000-000032040000}"/>
    <hyperlink ref="J406" r:id="rId1076" display="Big Deervetch, Thick Leaved Lotus" xr:uid="{00000000-0004-0000-0000-000033040000}"/>
    <hyperlink ref="J408" r:id="rId1077" display="Rosy Bird's-Foot Trefoil, Thicket Lotus" xr:uid="{00000000-0004-0000-0000-000034040000}"/>
    <hyperlink ref="J482" r:id="rId1078" display="Utah Honeysuckle, Rocky Mountain Honeysuckle  " xr:uid="{00000000-0004-0000-0000-000035040000}"/>
    <hyperlink ref="J481" r:id="rId1079" display="Twinberry Honeysuckle, Black Twin-Berry, Twinberry, Bearberry  " xr:uid="{00000000-0004-0000-0000-000036040000}"/>
    <hyperlink ref="J478" r:id="rId1080" display="Orange Honeysuckle" xr:uid="{00000000-0004-0000-0000-000037040000}"/>
    <hyperlink ref="J475" r:id="rId1081" display="Fern Leaved Desert Parsley, Fernleaf Biscuitroot" xr:uid="{00000000-0004-0000-0000-000038040000}"/>
    <hyperlink ref="J474" r:id="rId1082" display="Ontario Lobelia, Brook Lobelia" xr:uid="{00000000-0004-0000-0000-000039040000}"/>
    <hyperlink ref="J473" r:id="rId1083" display="Water Lobelia, Dortmann's Cardinalflower" xr:uid="{00000000-0004-0000-0000-00003A040000}"/>
    <hyperlink ref="J472" r:id="rId1084" display="Smallflower Woodland-Star, Prairie Starflower" xr:uid="{00000000-0004-0000-0000-00003B040000}"/>
    <hyperlink ref="J560" r:id="rId1085" display="Heart-Leaved Twayblade, Heartleaf Twayblade" xr:uid="{00000000-0004-0000-0000-00003C040000}"/>
    <hyperlink ref="J471" r:id="rId1086" display="Western Blue Flax, Lewis Flax" xr:uid="{00000000-0004-0000-0000-00003D040000}"/>
    <hyperlink ref="J470" r:id="rId1087" display="Twinflower, American Twinflower" xr:uid="{00000000-0004-0000-0000-00003E040000}"/>
    <hyperlink ref="J469" r:id="rId1088" display="Yellowseed False Pimpernel" xr:uid="{00000000-0004-0000-0000-00003F040000}"/>
    <hyperlink ref="J468" r:id="rId1089" display="Water Mudwort, Awl-Leaf Mudwort  " xr:uid="{00000000-0004-0000-0000-000040040000}"/>
    <hyperlink ref="J466" r:id="rId1090" display="Western Grasswort, Western Lilaeopsis  " xr:uid="{00000000-0004-0000-0000-000041040000}"/>
    <hyperlink ref="J464" r:id="rId1091" display="American Dunegrass, Yellow Ryegrass  " xr:uid="{00000000-0004-0000-0000-000042040000}"/>
    <hyperlink ref="J463" r:id="rId1092" xr:uid="{00000000-0004-0000-0000-000043040000}"/>
    <hyperlink ref="J462" r:id="rId1093" display="Columbian Lewisia, Columbia Lewisia  " xr:uid="{00000000-0004-0000-0000-000044040000}"/>
    <hyperlink ref="J461" r:id="rId1094" display="Babystars, Bicolor Leptosiphon" xr:uid="{00000000-0004-0000-0000-000045040000}"/>
    <hyperlink ref="J460" r:id="rId1095" display="Leatherleaf Saxifrage, Fireleaf Leptarrhena, Pearleaf  " xr:uid="{00000000-0004-0000-0000-000046040000}"/>
    <hyperlink ref="J459" r:id="rId1096" display="Virginia Pepperweed, Tall Western Peppergrass, Idaho Peppergrass  " xr:uid="{00000000-0004-0000-0000-000047040000}"/>
    <hyperlink ref="J458" r:id="rId1097" display="Common Duckweed, Lesser Duckweed, Water Lentil  " xr:uid="{00000000-0004-0000-0000-000048040000}"/>
    <hyperlink ref="J457" r:id="rId1098" display="Star Duckweed, Ivy-Leaved Duckweek" xr:uid="{00000000-0004-0000-0000-000049040000}"/>
    <hyperlink ref="J456" r:id="rId1099" display="Lesser Duckweed, Water Lentil" xr:uid="{00000000-0004-0000-0000-00004A040000}"/>
    <hyperlink ref="J455" r:id="rId1100" display="Rice Cutgrass  " xr:uid="{00000000-0004-0000-0000-00004B040000}"/>
    <hyperlink ref="J454" r:id="rId1101" display="Pacific Pea" xr:uid="{00000000-0004-0000-0000-00004C040000}"/>
    <hyperlink ref="J453" r:id="rId1102" display="Torrey's Pea" xr:uid="{00000000-0004-0000-0000-00004D040000}"/>
    <hyperlink ref="J451" r:id="rId1103" display="Marsh Peavine, Marsh Pea" xr:uid="{00000000-0004-0000-0000-00004E040000}"/>
    <hyperlink ref="J450" r:id="rId1104" display="Nuttall's Peavine, Sierra Pea, Cusick's Pea" xr:uid="{00000000-0004-0000-0000-00004F040000}"/>
    <hyperlink ref="J448" r:id="rId1105" display="Beach Pea, Pinewoods Peavine  " xr:uid="{00000000-0004-0000-0000-000050040000}"/>
    <hyperlink ref="J447" r:id="rId1106" xr:uid="{00000000-0004-0000-0000-000051040000}"/>
    <hyperlink ref="J446" r:id="rId1107" display="Seaside Goldfields, Maritime Goldfields" xr:uid="{00000000-0004-0000-0000-000052040000}"/>
    <hyperlink ref="J444" r:id="rId1108" xr:uid="{00000000-0004-0000-0000-000053040000}"/>
    <hyperlink ref="J443" r:id="rId1109" display="Tall Blue Lettuce, Wild Blue Lettuce  " xr:uid="{00000000-0004-0000-0000-000054040000}"/>
    <hyperlink ref="J442" r:id="rId1110" display="Vancouver Groundcone, Small Groundcone, Poque  " xr:uid="{00000000-0004-0000-0000-000055040000}"/>
    <hyperlink ref="J441" r:id="rId1111" display="Prairie Junegrass, Prairie Koeler's Grass  " xr:uid="{00000000-0004-0000-0000-000056040000}"/>
    <hyperlink ref="J440" r:id="rId1112" display="Rocky Mountain Juniper, Rocky Mountain Redcedar  " xr:uid="{00000000-0004-0000-0000-000057040000}"/>
    <hyperlink ref="J437" r:id="rId1113" display="Common Juniper, Ground Juniper; Dwarf Juniper, Western Juniper" xr:uid="{00000000-0004-0000-0000-000058040000}"/>
    <hyperlink ref="J436" r:id="rId1114" display="Slender Rush, Poverty Rush" xr:uid="{00000000-0004-0000-0000-000059040000}"/>
    <hyperlink ref="J435" r:id="rId1115" display="Hairy-Leaf Rush, Hair-Leaved Rush, Spreading Rush  " xr:uid="{00000000-0004-0000-0000-00005A040000}"/>
    <hyperlink ref="J433" r:id="rId1116" display="Pointed Rush" xr:uid="{00000000-0004-0000-0000-00005B040000}"/>
    <hyperlink ref="J432" r:id="rId1117" display="Mertens' Rush  " xr:uid="{00000000-0004-0000-0000-00005C040000}"/>
    <hyperlink ref="J431" r:id="rId1118" display="Dagger-Leaved Rush, Swordleaf Rush" xr:uid="{00000000-0004-0000-0000-00005D040000}"/>
    <hyperlink ref="J430" r:id="rId1119" display="Soft Rush, Common Rush, Pacific Rush" xr:uid="{00000000-0004-0000-0000-00005E040000}"/>
    <hyperlink ref="J429" r:id="rId1120" display="Narrow-Panicled Rush  " xr:uid="{00000000-0004-0000-0000-00005F040000}"/>
    <hyperlink ref="J428" r:id="rId1121" display="Bolander's Rush" xr:uid="{00000000-0004-0000-0000-000060040000}"/>
    <hyperlink ref="J427" r:id="rId1122" display="Northern Green Rush, Northern Rush, Alpine Rush  " xr:uid="{00000000-0004-0000-0000-000061040000}"/>
    <hyperlink ref="J426" r:id="rId1123" display="Tapered Rush, Tapertip Rush, Sharp-Fruited Rush" xr:uid="{00000000-0004-0000-0000-000062040000}"/>
    <hyperlink ref="J425" r:id="rId1124" display="Marsh Jaumea, Fleshy Jaumea  " xr:uid="{00000000-0004-0000-0000-000063040000}"/>
    <hyperlink ref="J423" r:id="rId1125" display="Narrow-Leaved Quillwort  " xr:uid="{00000000-0004-0000-0000-000064040000}"/>
    <hyperlink ref="J422" r:id="rId1126" display="Western Quillwort" xr:uid="{00000000-0004-0000-0000-000065040000}"/>
    <hyperlink ref="J419" r:id="rId1127" display="Western Blue Flag Iris" xr:uid="{00000000-0004-0000-0000-000066040000}"/>
    <hyperlink ref="J418" r:id="rId1128" display="Western Touch-Me-Not  " xr:uid="{00000000-0004-0000-0000-000067040000}"/>
    <hyperlink ref="J417" r:id="rId1129" display="Spurless Touch-Me-Not, Spurless Jewelweed" xr:uid="{00000000-0004-0000-0000-000068040000}"/>
    <hyperlink ref="J415" r:id="rId1130" display="Large St. Johnswort, Greater Canadian St. Johnswort  " xr:uid="{00000000-0004-0000-0000-000069040000}"/>
    <hyperlink ref="J414" r:id="rId1131" display="Bog St. Johnswort, Creeping St. Johnswort, Tinker's Penny  " xr:uid="{00000000-0004-0000-0000-00006A040000}"/>
    <hyperlink ref="J416" r:id="rId1132" display="Scouler's St. Johnswort, Saint Johnswort" xr:uid="{00000000-0004-0000-0000-00006B040000}"/>
    <hyperlink ref="J412" r:id="rId1133" display="Floating Marshpennywort, Water Marshpennywort" xr:uid="{00000000-0004-0000-0000-00006C040000}"/>
    <hyperlink ref="J409" r:id="rId1134" display="Water Howellia" xr:uid="{00000000-0004-0000-0000-00006D040000}"/>
    <hyperlink ref="J405" r:id="rId1135" display="Foxtail Barley" xr:uid="{00000000-0004-0000-0000-00006E040000}"/>
    <hyperlink ref="J404" r:id="rId1136" display="Dwarf Barley, Low Barley" xr:uid="{00000000-0004-0000-0000-00006F040000}"/>
    <hyperlink ref="J403" r:id="rId1137" display="Meadow Barley" xr:uid="{00000000-0004-0000-0000-000070040000}"/>
    <hyperlink ref="J402" r:id="rId1138" display="Seaside Sandplant, Sea Purslane  " xr:uid="{00000000-0004-0000-0000-000071040000}"/>
    <hyperlink ref="J401" r:id="rId1139" display="Ocean-Spray, Creambush  " xr:uid="{00000000-0004-0000-0000-000072040000}"/>
    <hyperlink ref="J400" r:id="rId1140" display="Common Mare's-Tail" xr:uid="{00000000-0004-0000-0000-000073040000}"/>
    <hyperlink ref="J363" r:id="rId1141" display="Purple Cudweed, Spoon-Leaved Purple Everlasting  " xr:uid="{00000000-0004-0000-0000-000074040000}"/>
    <hyperlink ref="J362" r:id="rId1142" display="Fragrant Bedstraw" xr:uid="{00000000-0004-0000-0000-000075040000}"/>
    <hyperlink ref="J361" r:id="rId1143" display="Three-Petal Bedstraw, Small Bedstraw  " xr:uid="{00000000-0004-0000-0000-000076040000}"/>
    <hyperlink ref="J360" r:id="rId1144" display="Common Marsh Bedstraw  " xr:uid="{00000000-0004-0000-0000-000077040000}"/>
    <hyperlink ref="J359" r:id="rId1145" display="Oregon Bedstraw" xr:uid="{00000000-0004-0000-0000-000078040000}"/>
    <hyperlink ref="J358" r:id="rId1146" display="Northern Bedstraw  " xr:uid="{00000000-0004-0000-0000-000079040000}"/>
    <hyperlink ref="J357" r:id="rId1147" display="Common Bedstraw, Common Cleavers, Goose-Grass, Sticky-Willy  " xr:uid="{00000000-0004-0000-0000-00007A040000}"/>
    <hyperlink ref="J356" r:id="rId1148" display="Common Gaillardia, Blanket Flower, Great Flowered Gaillardia  " xr:uid="{00000000-0004-0000-0000-00007B040000}"/>
    <hyperlink ref="J365" r:id="rId1149" display="Spreading Groundsmoke" xr:uid="{00000000-0004-0000-0000-00007C040000}"/>
    <hyperlink ref="J367" r:id="rId1150" display="Autumn Dwarf Gentian, Felwort, Northern Gentian  " xr:uid="{00000000-0004-0000-0000-00007D040000}"/>
    <hyperlink ref="J368" r:id="rId1151" display="Bicknell's Cranesbill, Bicknell's Geranium" xr:uid="{00000000-0004-0000-0000-00007E040000}"/>
    <hyperlink ref="J369" r:id="rId1152" display="Wild Geranium, Carolina Geranium" xr:uid="{00000000-0004-0000-0000-00007F040000}"/>
    <hyperlink ref="J370" r:id="rId1153" display="Oregon Geranium, Western Geranium  " xr:uid="{00000000-0004-0000-0000-000080040000}"/>
    <hyperlink ref="J371" r:id="rId1154" display="Large-Leaved Avens, Largeleaf Avens" xr:uid="{00000000-0004-0000-0000-000081040000}"/>
    <hyperlink ref="J372" r:id="rId1155" display="Old Man's Whiskers" xr:uid="{00000000-0004-0000-0000-000082040000}"/>
    <hyperlink ref="J373" r:id="rId1156" display="Bluehead Gilia" xr:uid="{00000000-0004-0000-0000-000083040000}"/>
    <hyperlink ref="J374" r:id="rId1157" display="Common Bluecup" xr:uid="{00000000-0004-0000-0000-000084040000}"/>
    <hyperlink ref="J376" r:id="rId1158" display="Tall Mannagrass  " xr:uid="{00000000-0004-0000-0000-000085040000}"/>
    <hyperlink ref="J377" r:id="rId1159" display="Reed Mannagrass, American Manna" xr:uid="{00000000-0004-0000-0000-000086040000}"/>
    <hyperlink ref="J378" r:id="rId1160" display="Fowl Manna Grass" xr:uid="{00000000-0004-0000-0000-000087040000}"/>
    <hyperlink ref="J379" r:id="rId1161" display="Western Rattlesnake Plantain, Green-Leaf Rattlesnake-Plantain  " xr:uid="{00000000-0004-0000-0000-000088040000}"/>
    <hyperlink ref="J380" r:id="rId1162" display="Bractless Hedgehyssop" xr:uid="{00000000-0004-0000-0000-000089040000}"/>
    <hyperlink ref="J381" r:id="rId1163" display="Clammy Hedgehyssop, Obscure Hedge Hyssop, American Hedge-Hyssop  " xr:uid="{00000000-0004-0000-0000-00008A040000}"/>
    <hyperlink ref="J383" r:id="rId1164" display="Puget Sound Gumweed, Willamette Valley Gumweed" xr:uid="{00000000-0004-0000-0000-00008B040000}"/>
    <hyperlink ref="J384" r:id="rId1165" display="Oak Fern, Western Oak Fern" xr:uid="{00000000-0004-0000-0000-00008C040000}"/>
    <hyperlink ref="J386" r:id="rId1166" display="Common Sneezeweed, Sneezeweed" xr:uid="{00000000-0004-0000-0000-00008D040000}"/>
    <hyperlink ref="J387" r:id="rId1167" display="Common Sunflower" xr:uid="{00000000-0004-0000-0000-00008E040000}"/>
    <hyperlink ref="J388" r:id="rId1168" display="Coneplant" xr:uid="{00000000-0004-0000-0000-00008F040000}"/>
    <hyperlink ref="J389" r:id="rId1169" display="Opposite-Leaved Tarweed" xr:uid="{00000000-0004-0000-0000-000090040000}"/>
    <hyperlink ref="J390" r:id="rId1170" display="Common Cow-Parsnip" xr:uid="{00000000-0004-0000-0000-000091040000}"/>
    <hyperlink ref="J391" r:id="rId1171" display="Oregon False Goldenaster, Oregon Golden Aster" xr:uid="{00000000-0004-0000-0000-000092040000}"/>
    <hyperlink ref="J392" r:id="rId1172" display="Hairy False Goldenaster, Leafy Goldenaster  " xr:uid="{00000000-0004-0000-0000-000093040000}"/>
    <hyperlink ref="J394" r:id="rId1173" xr:uid="{00000000-0004-0000-0000-000094040000}"/>
    <hyperlink ref="J397" r:id="rId1174" display="White-Flowered Hawkweed, White Hawkweed" xr:uid="{00000000-0004-0000-0000-000095040000}"/>
    <hyperlink ref="J398" r:id="rId1175" display="Scouler's Woollyweed, Scouler's Hawkweed" xr:uid="{00000000-0004-0000-0000-000096040000}"/>
    <hyperlink ref="J399" r:id="rId1176" display="Northern Sweetgrass, Common Sweet Grass" xr:uid="{00000000-0004-0000-0000-000097040000}"/>
    <hyperlink ref="S13" r:id="rId1177" display="http://plants.usda.gov/java/profile?symbol=VIED" xr:uid="{00000000-0004-0000-0000-000098040000}"/>
    <hyperlink ref="L49" r:id="rId1178" xr:uid="{00000000-0004-0000-0000-000099040000}"/>
    <hyperlink ref="L65" r:id="rId1179" xr:uid="{00000000-0004-0000-0000-00009A040000}"/>
    <hyperlink ref="L102" r:id="rId1180" xr:uid="{00000000-0004-0000-0000-00009B040000}"/>
    <hyperlink ref="L865" r:id="rId1181" xr:uid="{00000000-0004-0000-0000-00009C040000}"/>
    <hyperlink ref="L876" r:id="rId1182" xr:uid="{00000000-0004-0000-0000-00009D040000}"/>
    <hyperlink ref="L874" r:id="rId1183" xr:uid="{00000000-0004-0000-0000-00009E040000}"/>
    <hyperlink ref="L871" r:id="rId1184" xr:uid="{00000000-0004-0000-0000-00009F040000}"/>
    <hyperlink ref="L870" r:id="rId1185" xr:uid="{00000000-0004-0000-0000-0000A0040000}"/>
    <hyperlink ref="L866" r:id="rId1186" xr:uid="{00000000-0004-0000-0000-0000A1040000}"/>
    <hyperlink ref="L864" r:id="rId1187" xr:uid="{00000000-0004-0000-0000-0000A2040000}"/>
    <hyperlink ref="L863" r:id="rId1188" xr:uid="{00000000-0004-0000-0000-0000A3040000}"/>
    <hyperlink ref="L862" r:id="rId1189" xr:uid="{00000000-0004-0000-0000-0000A4040000}"/>
    <hyperlink ref="L861" r:id="rId1190" xr:uid="{00000000-0004-0000-0000-0000A5040000}"/>
    <hyperlink ref="L860" r:id="rId1191" xr:uid="{00000000-0004-0000-0000-0000A6040000}"/>
    <hyperlink ref="L859" r:id="rId1192" xr:uid="{00000000-0004-0000-0000-0000A7040000}"/>
    <hyperlink ref="L503" r:id="rId1193" xr:uid="{00000000-0004-0000-0000-0000A8040000}"/>
    <hyperlink ref="L858" r:id="rId1194" xr:uid="{00000000-0004-0000-0000-0000A9040000}"/>
    <hyperlink ref="L857" r:id="rId1195" xr:uid="{00000000-0004-0000-0000-0000AA040000}"/>
    <hyperlink ref="L850" r:id="rId1196" xr:uid="{00000000-0004-0000-0000-0000AB040000}"/>
    <hyperlink ref="L849" r:id="rId1197" xr:uid="{00000000-0004-0000-0000-0000AC040000}"/>
    <hyperlink ref="L848" r:id="rId1198" xr:uid="{00000000-0004-0000-0000-0000AD040000}"/>
    <hyperlink ref="L847" r:id="rId1199" xr:uid="{00000000-0004-0000-0000-0000AE040000}"/>
    <hyperlink ref="L846" r:id="rId1200" xr:uid="{00000000-0004-0000-0000-0000AF040000}"/>
    <hyperlink ref="L845" r:id="rId1201" xr:uid="{00000000-0004-0000-0000-0000B0040000}"/>
    <hyperlink ref="L844" r:id="rId1202" xr:uid="{00000000-0004-0000-0000-0000B1040000}"/>
    <hyperlink ref="L825" r:id="rId1203" xr:uid="{00000000-0004-0000-0000-0000B2040000}"/>
    <hyperlink ref="L826" r:id="rId1204" xr:uid="{00000000-0004-0000-0000-0000B3040000}"/>
    <hyperlink ref="L185" r:id="rId1205" xr:uid="{00000000-0004-0000-0000-0000B4040000}"/>
    <hyperlink ref="L306" r:id="rId1206" xr:uid="{00000000-0004-0000-0000-0000B5040000}"/>
    <hyperlink ref="L322" r:id="rId1207" xr:uid="{00000000-0004-0000-0000-0000B6040000}"/>
    <hyperlink ref="L303" r:id="rId1208" xr:uid="{00000000-0004-0000-0000-0000B7040000}"/>
    <hyperlink ref="L330" r:id="rId1209" xr:uid="{00000000-0004-0000-0000-0000B8040000}"/>
    <hyperlink ref="L365" r:id="rId1210" xr:uid="{00000000-0004-0000-0000-0000B9040000}"/>
    <hyperlink ref="L371" r:id="rId1211" xr:uid="{00000000-0004-0000-0000-0000BA040000}"/>
    <hyperlink ref="L430" r:id="rId1212" xr:uid="{00000000-0004-0000-0000-0000BB040000}"/>
    <hyperlink ref="L447" r:id="rId1213" xr:uid="{00000000-0004-0000-0000-0000BC040000}"/>
    <hyperlink ref="L456" r:id="rId1214" xr:uid="{00000000-0004-0000-0000-0000BD040000}"/>
    <hyperlink ref="L560" r:id="rId1215" xr:uid="{00000000-0004-0000-0000-0000BE040000}"/>
    <hyperlink ref="L537" r:id="rId1216" xr:uid="{00000000-0004-0000-0000-0000BF040000}"/>
    <hyperlink ref="L583" r:id="rId1217" xr:uid="{00000000-0004-0000-0000-0000C0040000}"/>
    <hyperlink ref="L705" r:id="rId1218" xr:uid="{00000000-0004-0000-0000-0000C1040000}"/>
    <hyperlink ref="L741" r:id="rId1219" xr:uid="{00000000-0004-0000-0000-0000C2040000}"/>
    <hyperlink ref="L521" r:id="rId1220" xr:uid="{00000000-0004-0000-0000-0000C3040000}"/>
    <hyperlink ref="L534" r:id="rId1221" xr:uid="{00000000-0004-0000-0000-0000C4040000}"/>
    <hyperlink ref="L748" r:id="rId1222" xr:uid="{00000000-0004-0000-0000-0000C5040000}"/>
    <hyperlink ref="L753" r:id="rId1223" xr:uid="{00000000-0004-0000-0000-0000C6040000}"/>
    <hyperlink ref="L789" r:id="rId1224" xr:uid="{00000000-0004-0000-0000-0000C7040000}"/>
    <hyperlink ref="J916" r:id="rId1225" xr:uid="{00000000-0004-0000-0000-0000C8040000}"/>
    <hyperlink ref="L91" r:id="rId1226" xr:uid="{00000000-0004-0000-0000-0000C9040000}"/>
    <hyperlink ref="L105" r:id="rId1227" xr:uid="{00000000-0004-0000-0000-0000CA040000}"/>
    <hyperlink ref="J105" r:id="rId1228" xr:uid="{00000000-0004-0000-0000-0000CB040000}"/>
    <hyperlink ref="J120" r:id="rId1229" xr:uid="{00000000-0004-0000-0000-0000CC040000}"/>
    <hyperlink ref="L156" r:id="rId1230" xr:uid="{00000000-0004-0000-0000-0000CD040000}"/>
    <hyperlink ref="J156" r:id="rId1231" xr:uid="{00000000-0004-0000-0000-0000CE040000}"/>
    <hyperlink ref="L160" r:id="rId1232" xr:uid="{00000000-0004-0000-0000-0000CF040000}"/>
    <hyperlink ref="J160" r:id="rId1233" display="Coiled Sedge" xr:uid="{00000000-0004-0000-0000-0000D0040000}"/>
    <hyperlink ref="J196" r:id="rId1234" display="Chambers Paintbrush" xr:uid="{00000000-0004-0000-0000-0000D1040000}"/>
    <hyperlink ref="L196" r:id="rId1235" xr:uid="{00000000-0004-0000-0000-0000D2040000}"/>
    <hyperlink ref="L200" r:id="rId1236" xr:uid="{00000000-0004-0000-0000-0000D3040000}"/>
    <hyperlink ref="J200" r:id="rId1237" display="Victoria Owl Clover" xr:uid="{00000000-0004-0000-0000-0000D4040000}"/>
    <hyperlink ref="J237" r:id="rId1238" display="Few Flowered Blue Eyed Mary" xr:uid="{00000000-0004-0000-0000-0000D5040000}"/>
    <hyperlink ref="L237" r:id="rId1239" xr:uid="{00000000-0004-0000-0000-0000D6040000}"/>
    <hyperlink ref="L250" r:id="rId1240" xr:uid="{00000000-0004-0000-0000-0000D7040000}"/>
    <hyperlink ref="J250" r:id="rId1241" xr:uid="{00000000-0004-0000-0000-0000D8040000}"/>
    <hyperlink ref="L277" r:id="rId1242" xr:uid="{00000000-0004-0000-0000-0000D9040000}"/>
    <hyperlink ref="J277" r:id="rId1243" xr:uid="{00000000-0004-0000-0000-0000DA040000}"/>
    <hyperlink ref="L288" r:id="rId1244" xr:uid="{00000000-0004-0000-0000-0000DB040000}"/>
    <hyperlink ref="J288" r:id="rId1245" xr:uid="{00000000-0004-0000-0000-0000DC040000}"/>
    <hyperlink ref="L328" r:id="rId1246" xr:uid="{00000000-0004-0000-0000-0000DD040000}"/>
    <hyperlink ref="J328" r:id="rId1247" xr:uid="{00000000-0004-0000-0000-0000DE040000}"/>
    <hyperlink ref="L338" r:id="rId1248" xr:uid="{00000000-0004-0000-0000-0000DF040000}"/>
    <hyperlink ref="J338" r:id="rId1249" xr:uid="{00000000-0004-0000-0000-0000E0040000}"/>
    <hyperlink ref="L348" r:id="rId1250" xr:uid="{00000000-0004-0000-0000-0000E1040000}"/>
    <hyperlink ref="J348" r:id="rId1251" xr:uid="{00000000-0004-0000-0000-0000E2040000}"/>
    <hyperlink ref="L421" r:id="rId1252" xr:uid="{00000000-0004-0000-0000-0000E3040000}"/>
    <hyperlink ref="J421" r:id="rId1253" display="Nutall's Quillwort" xr:uid="{00000000-0004-0000-0000-0000E4040000}"/>
    <hyperlink ref="L445" r:id="rId1254" xr:uid="{00000000-0004-0000-0000-0000E5040000}"/>
    <hyperlink ref="J445" r:id="rId1255" xr:uid="{00000000-0004-0000-0000-0000E6040000}"/>
    <hyperlink ref="L492" r:id="rId1256" xr:uid="{00000000-0004-0000-0000-0000E7040000}"/>
    <hyperlink ref="J492" r:id="rId1257" xr:uid="{00000000-0004-0000-0000-0000E8040000}"/>
    <hyperlink ref="L514" r:id="rId1258" xr:uid="{00000000-0004-0000-0000-0000E9040000}"/>
    <hyperlink ref="J514" r:id="rId1259" xr:uid="{00000000-0004-0000-0000-0000EA040000}"/>
    <hyperlink ref="L529" r:id="rId1260" xr:uid="{00000000-0004-0000-0000-0000EB040000}"/>
    <hyperlink ref="J529" r:id="rId1261" xr:uid="{00000000-0004-0000-0000-0000EC040000}"/>
    <hyperlink ref="J530" r:id="rId1262" display="Northern Silverpuff" xr:uid="{00000000-0004-0000-0000-0000ED040000}"/>
    <hyperlink ref="L530" r:id="rId1263" xr:uid="{00000000-0004-0000-0000-0000EE040000}"/>
    <hyperlink ref="L564" r:id="rId1264" xr:uid="{00000000-0004-0000-0000-0000EF040000}"/>
    <hyperlink ref="J564" r:id="rId1265" xr:uid="{00000000-0004-0000-0000-0000F0040000}"/>
    <hyperlink ref="J567" r:id="rId1266" xr:uid="{00000000-0004-0000-0000-0000F1040000}"/>
    <hyperlink ref="L567" r:id="rId1267" xr:uid="{00000000-0004-0000-0000-0000F2040000}"/>
    <hyperlink ref="L577" r:id="rId1268" xr:uid="{00000000-0004-0000-0000-0000F3040000}"/>
    <hyperlink ref="J577" r:id="rId1269" display="Western Yellow Woodsorel" xr:uid="{00000000-0004-0000-0000-0000F4040000}"/>
    <hyperlink ref="L580" r:id="rId1270" xr:uid="{00000000-0004-0000-0000-0000F5040000}"/>
    <hyperlink ref="J580" r:id="rId1271" xr:uid="{00000000-0004-0000-0000-0000F6040000}"/>
    <hyperlink ref="L584" r:id="rId1272" xr:uid="{00000000-0004-0000-0000-0000F7040000}"/>
    <hyperlink ref="J584" r:id="rId1273" display="Cascade Grass of Parnassus" xr:uid="{00000000-0004-0000-0000-0000F8040000}"/>
    <hyperlink ref="J586" r:id="rId1274" xr:uid="{00000000-0004-0000-0000-0000F9040000}"/>
    <hyperlink ref="L586" r:id="rId1275" xr:uid="{00000000-0004-0000-0000-0000FA040000}"/>
    <hyperlink ref="L594" r:id="rId1276" xr:uid="{00000000-0004-0000-0000-0000FB040000}"/>
    <hyperlink ref="J594" r:id="rId1277" xr:uid="{00000000-0004-0000-0000-0000FC040000}"/>
    <hyperlink ref="L600" r:id="rId1278" xr:uid="{00000000-0004-0000-0000-0000FD040000}"/>
    <hyperlink ref="J600" r:id="rId1279" xr:uid="{00000000-0004-0000-0000-0000FE040000}"/>
    <hyperlink ref="L617" r:id="rId1280" xr:uid="{00000000-0004-0000-0000-0000FF040000}"/>
    <hyperlink ref="J617" r:id="rId1281" display="Pinefoot" xr:uid="{00000000-0004-0000-0000-000000050000}"/>
    <hyperlink ref="L634" r:id="rId1282" xr:uid="{00000000-0004-0000-0000-000001050000}"/>
    <hyperlink ref="J634" r:id="rId1283" xr:uid="{00000000-0004-0000-0000-000002050000}"/>
    <hyperlink ref="L638" r:id="rId1284" xr:uid="{00000000-0004-0000-0000-000003050000}"/>
    <hyperlink ref="J638" r:id="rId1285" display="Sea Bluff Bluegrass" xr:uid="{00000000-0004-0000-0000-000004050000}"/>
    <hyperlink ref="J690" r:id="rId1286" display="California Buttercup" xr:uid="{00000000-0004-0000-0000-000005050000}"/>
    <hyperlink ref="L715" r:id="rId1287" xr:uid="{00000000-0004-0000-0000-000006050000}"/>
    <hyperlink ref="J715" r:id="rId1288" display="Idaho Gooseberry" xr:uid="{00000000-0004-0000-0000-000007050000}"/>
    <hyperlink ref="L723" r:id="rId1289" xr:uid="{00000000-0004-0000-0000-000008050000}"/>
    <hyperlink ref="J723" r:id="rId1290" display="Lowland Toothcup" xr:uid="{00000000-0004-0000-0000-000009050000}"/>
    <hyperlink ref="J762" r:id="rId1291" xr:uid="{00000000-0004-0000-0000-00000A050000}"/>
    <hyperlink ref="L762" r:id="rId1292" xr:uid="{00000000-0004-0000-0000-00000B050000}"/>
    <hyperlink ref="L795" r:id="rId1293" xr:uid="{00000000-0004-0000-0000-00000C050000}"/>
    <hyperlink ref="J795" r:id="rId1294" display="Bristly Stem Checkermallow" xr:uid="{00000000-0004-0000-0000-00000D050000}"/>
    <hyperlink ref="J796" r:id="rId1295" display="Nelson's Checkermallow" xr:uid="{00000000-0004-0000-0000-00000E050000}"/>
    <hyperlink ref="L798" r:id="rId1296" xr:uid="{00000000-0004-0000-0000-00000F050000}"/>
    <hyperlink ref="J798" r:id="rId1297" xr:uid="{00000000-0004-0000-0000-000010050000}"/>
    <hyperlink ref="L812" r:id="rId1298" xr:uid="{00000000-0004-0000-0000-000011050000}"/>
    <hyperlink ref="J812" r:id="rId1299" xr:uid="{00000000-0004-0000-0000-000012050000}"/>
    <hyperlink ref="L820" r:id="rId1300" xr:uid="{00000000-0004-0000-0000-000013050000}"/>
    <hyperlink ref="J820" r:id="rId1301" display="Western Ladies' Tresses" xr:uid="{00000000-0004-0000-0000-000014050000}"/>
    <hyperlink ref="L880" r:id="rId1302" xr:uid="{00000000-0004-0000-0000-000015050000}"/>
    <hyperlink ref="J880" r:id="rId1303" display="Flat Leaved Bladderwort" xr:uid="{00000000-0004-0000-0000-000016050000}"/>
    <hyperlink ref="L916" r:id="rId1304" xr:uid="{00000000-0004-0000-0000-000017050000}"/>
    <hyperlink ref="J46" r:id="rId1305" display="Nodding Onion" xr:uid="{00000000-0004-0000-0000-000018050000}"/>
    <hyperlink ref="AE14:AF14" r:id="rId1306" display="UW Burke Herbarium" xr:uid="{00000000-0004-0000-0000-000019050000}"/>
    <hyperlink ref="L120" r:id="rId1307" xr:uid="{00000000-0004-0000-0000-00001A050000}"/>
    <hyperlink ref="L796" r:id="rId1308" xr:uid="{00000000-0004-0000-0000-00001B050000}"/>
    <hyperlink ref="L517" r:id="rId1309" xr:uid="{00000000-0004-0000-0000-00001C050000}"/>
    <hyperlink ref="L868" r:id="rId1310" xr:uid="{00000000-0004-0000-0000-00001D050000}"/>
    <hyperlink ref="L842" r:id="rId1311" xr:uid="{00000000-0004-0000-0000-00001E050000}"/>
    <hyperlink ref="L60" r:id="rId1312" xr:uid="{00000000-0004-0000-0000-00001F050000}"/>
    <hyperlink ref="L53" r:id="rId1313" xr:uid="{00000000-0004-0000-0000-000020050000}"/>
    <hyperlink ref="L50" r:id="rId1314" xr:uid="{00000000-0004-0000-0000-000021050000}"/>
    <hyperlink ref="L746" r:id="rId1315" xr:uid="{00000000-0004-0000-0000-000022050000}"/>
    <hyperlink ref="L755" r:id="rId1316" xr:uid="{00000000-0004-0000-0000-000023050000}"/>
    <hyperlink ref="L757" r:id="rId1317" xr:uid="{00000000-0004-0000-0000-000024050000}"/>
    <hyperlink ref="L744" r:id="rId1318" xr:uid="{00000000-0004-0000-0000-000025050000}"/>
    <hyperlink ref="L745" r:id="rId1319" xr:uid="{00000000-0004-0000-0000-000026050000}"/>
    <hyperlink ref="L752" r:id="rId1320" xr:uid="{00000000-0004-0000-0000-000027050000}"/>
    <hyperlink ref="L747" r:id="rId1321" xr:uid="{00000000-0004-0000-0000-000028050000}"/>
    <hyperlink ref="L756" r:id="rId1322" xr:uid="{00000000-0004-0000-0000-000029050000}"/>
    <hyperlink ref="L750" r:id="rId1323" xr:uid="{00000000-0004-0000-0000-00002A050000}"/>
    <hyperlink ref="L754" r:id="rId1324" xr:uid="{00000000-0004-0000-0000-00002B050000}"/>
    <hyperlink ref="L819" r:id="rId1325" xr:uid="{00000000-0004-0000-0000-00002C050000}"/>
    <hyperlink ref="L816" r:id="rId1326" xr:uid="{00000000-0004-0000-0000-00002D050000}"/>
    <hyperlink ref="L99" r:id="rId1327" xr:uid="{00000000-0004-0000-0000-00002E050000}"/>
    <hyperlink ref="L548" r:id="rId1328" xr:uid="{00000000-0004-0000-0000-00002F050000}"/>
    <hyperlink ref="L727" r:id="rId1329" xr:uid="{00000000-0004-0000-0000-000030050000}"/>
    <hyperlink ref="J524" r:id="rId1330" display="Dawn Redwood" xr:uid="{00000000-0004-0000-0000-000031050000}"/>
    <hyperlink ref="L524" r:id="rId1331" xr:uid="{00000000-0004-0000-0000-000032050000}"/>
    <hyperlink ref="L95" r:id="rId1332" xr:uid="{00000000-0004-0000-0000-000033050000}"/>
    <hyperlink ref="L760" r:id="rId1333" xr:uid="{00000000-0004-0000-0000-000034050000}"/>
    <hyperlink ref="L761" r:id="rId1334" xr:uid="{00000000-0004-0000-0000-000035050000}"/>
    <hyperlink ref="L55" r:id="rId1335" xr:uid="{00000000-0004-0000-0000-000036050000}"/>
    <hyperlink ref="L701" r:id="rId1336" xr:uid="{00000000-0004-0000-0000-000037050000}"/>
    <hyperlink ref="L100" r:id="rId1337" xr:uid="{00000000-0004-0000-0000-000038050000}"/>
    <hyperlink ref="L324" r:id="rId1338" xr:uid="{00000000-0004-0000-0000-000039050000}"/>
    <hyperlink ref="L394" r:id="rId1339" xr:uid="{00000000-0004-0000-0000-00003A050000}"/>
    <hyperlink ref="J859" r:id="rId1340" display="Pinhole Clover, Notch-Leaf Clover" xr:uid="{00000000-0004-0000-0000-00003B050000}"/>
    <hyperlink ref="J860" r:id="rId1341" display="Thimble Clover, Valparaiso Clover" xr:uid="{00000000-0004-0000-0000-00003C050000}"/>
    <hyperlink ref="L56" r:id="rId1342" xr:uid="{00000000-0004-0000-0000-00003D050000}"/>
    <hyperlink ref="L36" r:id="rId1343" xr:uid="{00000000-0004-0000-0000-00003E050000}"/>
    <hyperlink ref="L771" r:id="rId1344" xr:uid="{00000000-0004-0000-0000-00003F050000}"/>
    <hyperlink ref="L854" r:id="rId1345" xr:uid="{00000000-0004-0000-0000-000040050000}"/>
    <hyperlink ref="L399" r:id="rId1346" xr:uid="{00000000-0004-0000-0000-000041050000}"/>
    <hyperlink ref="L733" r:id="rId1347" xr:uid="{00000000-0004-0000-0000-000042050000}"/>
    <hyperlink ref="L775" r:id="rId1348" xr:uid="{00000000-0004-0000-0000-000043050000}"/>
    <hyperlink ref="L408" r:id="rId1349" xr:uid="{00000000-0004-0000-0000-000044050000}"/>
    <hyperlink ref="L442" r:id="rId1350" xr:uid="{00000000-0004-0000-0000-000045050000}"/>
    <hyperlink ref="L483" r:id="rId1351" xr:uid="{00000000-0004-0000-0000-000046050000}"/>
    <hyperlink ref="J483" r:id="rId1352" display="Big or Large Trefoil  " xr:uid="{00000000-0004-0000-0000-000047050000}"/>
    <hyperlink ref="L511" r:id="rId1353" xr:uid="{00000000-0004-0000-0000-000048050000}"/>
    <hyperlink ref="L566" r:id="rId1354" xr:uid="{00000000-0004-0000-0000-000049050000}"/>
    <hyperlink ref="L477" r:id="rId1355" xr:uid="{00000000-0004-0000-0000-00004A050000}"/>
    <hyperlink ref="L465" r:id="rId1356" xr:uid="{00000000-0004-0000-0000-00004B050000}"/>
    <hyperlink ref="L27" r:id="rId1357" xr:uid="{00000000-0004-0000-0000-00004C050000}"/>
    <hyperlink ref="L382" r:id="rId1358" xr:uid="{00000000-0004-0000-0000-00004D050000}"/>
    <hyperlink ref="L413" r:id="rId1359" xr:uid="{00000000-0004-0000-0000-00004E050000}"/>
    <hyperlink ref="L480" r:id="rId1360" xr:uid="{00000000-0004-0000-0000-00004F050000}"/>
    <hyperlink ref="L837" r:id="rId1361" xr:uid="{00000000-0004-0000-0000-000050050000}"/>
    <hyperlink ref="L341" r:id="rId1362" xr:uid="{00000000-0004-0000-0000-000051050000}"/>
    <hyperlink ref="L424" r:id="rId1363" xr:uid="{00000000-0004-0000-0000-000052050000}"/>
    <hyperlink ref="L318" r:id="rId1364" xr:uid="{00000000-0004-0000-0000-000053050000}"/>
    <hyperlink ref="L702" r:id="rId1365" xr:uid="{00000000-0004-0000-0000-000054050000}"/>
    <hyperlink ref="L687" r:id="rId1366" xr:uid="{00000000-0004-0000-0000-000055050000}"/>
    <hyperlink ref="L490" r:id="rId1367" xr:uid="{00000000-0004-0000-0000-000056050000}"/>
    <hyperlink ref="L494" r:id="rId1368" xr:uid="{00000000-0004-0000-0000-000057050000}"/>
    <hyperlink ref="L486" r:id="rId1369" xr:uid="{00000000-0004-0000-0000-000058050000}"/>
    <hyperlink ref="L449" r:id="rId1370" xr:uid="{00000000-0004-0000-0000-000059050000}"/>
    <hyperlink ref="L452" r:id="rId1371" xr:uid="{00000000-0004-0000-0000-00005A050000}"/>
    <hyperlink ref="L716" r:id="rId1372" xr:uid="{00000000-0004-0000-0000-00005B050000}"/>
    <hyperlink ref="L608" r:id="rId1373" xr:uid="{00000000-0004-0000-0000-00005C050000}"/>
    <hyperlink ref="L709" r:id="rId1374" xr:uid="{00000000-0004-0000-0000-00005D050000}"/>
    <hyperlink ref="L711" r:id="rId1375" xr:uid="{00000000-0004-0000-0000-00005E050000}"/>
    <hyperlink ref="L714" r:id="rId1376" xr:uid="{00000000-0004-0000-0000-00005F050000}"/>
    <hyperlink ref="L366" r:id="rId1377" xr:uid="{00000000-0004-0000-0000-000060050000}"/>
    <hyperlink ref="L720" r:id="rId1378" display="http://biology.burke.washington.edu/herbarium/imagecollection/taxon.php?Taxon=Rosa gymnocarpa  " xr:uid="{00000000-0004-0000-0000-000061050000}"/>
    <hyperlink ref="L725" r:id="rId1379" xr:uid="{00000000-0004-0000-0000-000062050000}"/>
    <hyperlink ref="L730" r:id="rId1380" xr:uid="{00000000-0004-0000-0000-000063050000}"/>
    <hyperlink ref="L644" r:id="rId1381" xr:uid="{00000000-0004-0000-0000-000064050000}"/>
    <hyperlink ref="L420" r:id="rId1382" xr:uid="{00000000-0004-0000-0000-000065050000}"/>
    <hyperlink ref="L598" r:id="rId1383" xr:uid="{00000000-0004-0000-0000-000066050000}"/>
    <hyperlink ref="L649" r:id="rId1384" xr:uid="{00000000-0004-0000-0000-000067050000}"/>
    <hyperlink ref="L411" r:id="rId1385" xr:uid="{00000000-0004-0000-0000-000068050000}"/>
    <hyperlink ref="L674" r:id="rId1386" xr:uid="{00000000-0004-0000-0000-000069050000}"/>
    <hyperlink ref="L610" r:id="rId1387" xr:uid="{00000000-0004-0000-0000-00006A050000}"/>
    <hyperlink ref="L565" r:id="rId1388" xr:uid="{00000000-0004-0000-0000-00006B050000}"/>
    <hyperlink ref="L614" r:id="rId1389" xr:uid="{00000000-0004-0000-0000-00006C050000}"/>
    <hyperlink ref="L612" r:id="rId1390" xr:uid="{00000000-0004-0000-0000-00006D050000}"/>
    <hyperlink ref="L17" r:id="rId1391" xr:uid="{00000000-0004-0000-0000-00006E050000}"/>
    <hyperlink ref="L18" r:id="rId1392" xr:uid="{00000000-0004-0000-0000-00006F050000}"/>
    <hyperlink ref="L20" r:id="rId1393" xr:uid="{00000000-0004-0000-0000-000070050000}"/>
    <hyperlink ref="L23" r:id="rId1394" xr:uid="{00000000-0004-0000-0000-000071050000}"/>
    <hyperlink ref="L697" r:id="rId1395" xr:uid="{00000000-0004-0000-0000-000072050000}"/>
    <hyperlink ref="L352" r:id="rId1396" xr:uid="{00000000-0004-0000-0000-000073050000}"/>
    <hyperlink ref="L439" r:id="rId1397" xr:uid="{00000000-0004-0000-0000-000074050000}"/>
    <hyperlink ref="L623" r:id="rId1398" xr:uid="{00000000-0004-0000-0000-000075050000}"/>
    <hyperlink ref="L568" r:id="rId1399" xr:uid="{00000000-0004-0000-0000-000076050000}"/>
    <hyperlink ref="L45" r:id="rId1400" xr:uid="{00000000-0004-0000-0000-000077050000}"/>
    <hyperlink ref="L467" r:id="rId1401" xr:uid="{00000000-0004-0000-0000-000078050000}"/>
    <hyperlink ref="L353" r:id="rId1402" xr:uid="{00000000-0004-0000-0000-000079050000}"/>
    <hyperlink ref="L671" r:id="rId1403" xr:uid="{00000000-0004-0000-0000-00007A050000}"/>
    <hyperlink ref="L576" r:id="rId1404" xr:uid="{00000000-0004-0000-0000-00007B050000}"/>
    <hyperlink ref="L595" r:id="rId1405" xr:uid="{00000000-0004-0000-0000-00007C050000}"/>
    <hyperlink ref="L597" r:id="rId1406" xr:uid="{00000000-0004-0000-0000-00007D050000}"/>
    <hyperlink ref="L596" r:id="rId1407" xr:uid="{00000000-0004-0000-0000-00007E050000}"/>
    <hyperlink ref="L593" r:id="rId1408" xr:uid="{00000000-0004-0000-0000-00007F050000}"/>
    <hyperlink ref="L578" r:id="rId1409" xr:uid="{00000000-0004-0000-0000-000080050000}"/>
    <hyperlink ref="L632" r:id="rId1410" xr:uid="{00000000-0004-0000-0000-000081050000}"/>
    <hyperlink ref="L346" r:id="rId1411" display="http://biology.burke.washington.edu/herbarium/imagecollection/taxon.php?Taxon=Festuca roemeri  " xr:uid="{00000000-0004-0000-0000-000082050000}"/>
    <hyperlink ref="L642" r:id="rId1412" xr:uid="{00000000-0004-0000-0000-000083050000}"/>
    <hyperlink ref="L485" r:id="rId1413" xr:uid="{00000000-0004-0000-0000-000084050000}"/>
    <hyperlink ref="L396" r:id="rId1414" xr:uid="{00000000-0004-0000-0000-000085050000}"/>
    <hyperlink ref="L393" r:id="rId1415" xr:uid="{00000000-0004-0000-0000-000086050000}"/>
    <hyperlink ref="L561" r:id="rId1416" display="http://biology.burke.washington.edu/herbarium/imagecollection/taxon.php?Taxon=Nothochelone nemorosa  " xr:uid="{00000000-0004-0000-0000-000087050000}"/>
    <hyperlink ref="L693" r:id="rId1417" xr:uid="{00000000-0004-0000-0000-000088050000}"/>
    <hyperlink ref="L630" r:id="rId1418" xr:uid="{00000000-0004-0000-0000-000089050000}"/>
    <hyperlink ref="L364" r:id="rId1419" display="http://biology.burke.washington.edu/herbarium/imagecollection/taxon.php?Taxon=Gaultheria shallon  " xr:uid="{00000000-0004-0000-0000-00008A050000}"/>
    <hyperlink ref="L700" r:id="rId1420" xr:uid="{00000000-0004-0000-0000-00008B050000}"/>
    <hyperlink ref="L699" r:id="rId1421" xr:uid="{00000000-0004-0000-0000-00008C050000}"/>
    <hyperlink ref="L476" r:id="rId1422" xr:uid="{00000000-0004-0000-0000-00008D050000}"/>
    <hyperlink ref="L395" r:id="rId1423" xr:uid="{00000000-0004-0000-0000-00008E050000}"/>
    <hyperlink ref="L296" r:id="rId1424" display="http://biology.burke.washington.edu/herbarium/imagecollection.php?Genus=Rudbeckia&amp;Species=occidentalis " xr:uid="{00000000-0004-0000-0000-00008F050000}"/>
    <hyperlink ref="L488" r:id="rId1425" xr:uid="{00000000-0004-0000-0000-000090050000}"/>
    <hyperlink ref="P69" r:id="rId1426" tooltip="Asteraceae" display="https://en.wikipedia.org/wiki/Asteraceae" xr:uid="{00000000-0004-0000-0000-000091050000}"/>
    <hyperlink ref="J47" r:id="rId1427" display="Olympic Onion, Scalloped Onion  " xr:uid="{00000000-0004-0000-0000-000092050000}"/>
    <hyperlink ref="L69" r:id="rId1428" xr:uid="{00000000-0004-0000-0000-000093050000}"/>
    <hyperlink ref="L80" r:id="rId1429" xr:uid="{00000000-0004-0000-0000-000094050000}"/>
    <hyperlink ref="L110" r:id="rId1430" xr:uid="{00000000-0004-0000-0000-000095050000}"/>
    <hyperlink ref="L112" r:id="rId1431" xr:uid="{00000000-0004-0000-0000-000096050000}"/>
    <hyperlink ref="L114" r:id="rId1432" xr:uid="{00000000-0004-0000-0000-000097050000}"/>
    <hyperlink ref="L129" r:id="rId1433" xr:uid="{00000000-0004-0000-0000-000098050000}"/>
    <hyperlink ref="L126" r:id="rId1434" xr:uid="{00000000-0004-0000-0000-000099050000}"/>
    <hyperlink ref="L143" r:id="rId1435" xr:uid="{00000000-0004-0000-0000-00009A050000}"/>
    <hyperlink ref="L138" r:id="rId1436" xr:uid="{00000000-0004-0000-0000-00009B050000}"/>
    <hyperlink ref="L133" r:id="rId1437" xr:uid="{00000000-0004-0000-0000-00009C050000}"/>
    <hyperlink ref="L166" r:id="rId1438" xr:uid="{00000000-0004-0000-0000-00009D050000}"/>
    <hyperlink ref="L173" r:id="rId1439" xr:uid="{00000000-0004-0000-0000-00009E050000}"/>
    <hyperlink ref="L175" r:id="rId1440" xr:uid="{00000000-0004-0000-0000-00009F050000}"/>
    <hyperlink ref="L176" r:id="rId1441" xr:uid="{00000000-0004-0000-0000-0000A0050000}"/>
    <hyperlink ref="L177" r:id="rId1442" xr:uid="{00000000-0004-0000-0000-0000A1050000}"/>
    <hyperlink ref="L188" r:id="rId1443" xr:uid="{00000000-0004-0000-0000-0000A2050000}"/>
    <hyperlink ref="L189" r:id="rId1444" xr:uid="{00000000-0004-0000-0000-0000A3050000}"/>
    <hyperlink ref="L249" r:id="rId1445" xr:uid="{00000000-0004-0000-0000-0000A4050000}"/>
    <hyperlink ref="L247" r:id="rId1446" xr:uid="{00000000-0004-0000-0000-0000A5050000}"/>
    <hyperlink ref="L235" r:id="rId1447" xr:uid="{00000000-0004-0000-0000-0000A6050000}"/>
    <hyperlink ref="L230" r:id="rId1448" xr:uid="{00000000-0004-0000-0000-0000A7050000}"/>
    <hyperlink ref="L202" r:id="rId1449" xr:uid="{00000000-0004-0000-0000-0000A8050000}"/>
    <hyperlink ref="L201" r:id="rId1450" xr:uid="{00000000-0004-0000-0000-0000A9050000}"/>
    <hyperlink ref="L291" r:id="rId1451" xr:uid="{00000000-0004-0000-0000-0000AA050000}"/>
    <hyperlink ref="L285" r:id="rId1452" xr:uid="{00000000-0004-0000-0000-0000AB050000}"/>
    <hyperlink ref="L282" r:id="rId1453" xr:uid="{00000000-0004-0000-0000-0000AC050000}"/>
    <hyperlink ref="L280" r:id="rId1454" xr:uid="{00000000-0004-0000-0000-0000AD050000}"/>
    <hyperlink ref="L275" r:id="rId1455" xr:uid="{00000000-0004-0000-0000-0000AE050000}"/>
    <hyperlink ref="L883" r:id="rId1456" xr:uid="{00000000-0004-0000-0000-0000AF050000}"/>
    <hyperlink ref="L886" r:id="rId1457" xr:uid="{00000000-0004-0000-0000-0000B0050000}"/>
    <hyperlink ref="L888" r:id="rId1458" xr:uid="{00000000-0004-0000-0000-0000B1050000}"/>
    <hyperlink ref="L892" r:id="rId1459" xr:uid="{00000000-0004-0000-0000-0000B2050000}"/>
    <hyperlink ref="L903" r:id="rId1460" xr:uid="{00000000-0004-0000-0000-0000B3050000}"/>
    <hyperlink ref="L906" r:id="rId1461" xr:uid="{00000000-0004-0000-0000-0000B4050000}"/>
    <hyperlink ref="L907" r:id="rId1462" xr:uid="{00000000-0004-0000-0000-0000B5050000}"/>
    <hyperlink ref="L912" r:id="rId1463" xr:uid="{00000000-0004-0000-0000-0000B6050000}"/>
    <hyperlink ref="L911" r:id="rId1464" xr:uid="{00000000-0004-0000-0000-0000B7050000}"/>
    <hyperlink ref="L915" r:id="rId1465" xr:uid="{00000000-0004-0000-0000-0000B8050000}"/>
    <hyperlink ref="J921" r:id="rId1466" display="Muhlenberg's Centaury  " xr:uid="{00000000-0004-0000-0000-0000B9050000}"/>
    <hyperlink ref="L921" r:id="rId1467" xr:uid="{00000000-0004-0000-0000-0000BA050000}"/>
    <hyperlink ref="J268" r:id="rId1468" xr:uid="{00000000-0004-0000-0000-0000BB050000}"/>
    <hyperlink ref="J915" r:id="rId1469" display="Giant Chainfern" xr:uid="{00000000-0004-0000-0000-0000BC050000}"/>
    <hyperlink ref="J912" r:id="rId1470" display="Evergreen Violet, Redwood Violet, Evergreen Yellow Violet" xr:uid="{00000000-0004-0000-0000-0000BD050000}"/>
    <hyperlink ref="J911" r:id="rId1471" display="Canary Violet, Upland Violet" xr:uid="{00000000-0004-0000-0000-0000BE050000}"/>
    <hyperlink ref="J907" r:id="rId1472" display="Howell's Violet" xr:uid="{00000000-0004-0000-0000-0000BF050000}"/>
    <hyperlink ref="J906" r:id="rId1473" display="Stream Violet, Pioneer Violet, Smooth Woodland Violet" xr:uid="{00000000-0004-0000-0000-0000C0050000}"/>
    <hyperlink ref="J903" r:id="rId1474" display="Black Vetch, Giant Vetch" xr:uid="{00000000-0004-0000-0000-0000C1050000}"/>
    <hyperlink ref="J892" r:id="rId1475" display="White Inside-Out-Flower  " xr:uid="{00000000-0004-0000-0000-0000C2050000}"/>
    <hyperlink ref="J888" r:id="rId1476" display="Red Huckleberry  " xr:uid="{00000000-0004-0000-0000-0000C3050000}"/>
    <hyperlink ref="J886" r:id="rId1477" display="California Huckleberry, Evergreen Huckleberry  " xr:uid="{00000000-0004-0000-0000-0000C4050000}"/>
    <hyperlink ref="J883" r:id="rId1478" display="Cascade Blueberry, Blueleaf Huckleberry, Cascade Bilberry, Rainier Blueberry  " xr:uid="{00000000-0004-0000-0000-0000C5050000}"/>
    <hyperlink ref="J873" r:id="rId1479" display="Western Hemlock, Pacific Hemlock, Lowland Hemlock  " xr:uid="{00000000-0004-0000-0000-0000C6050000}"/>
    <hyperlink ref="J872" r:id="rId1480" display="White Brodiaea, Hyacinth Triteleia, Fool's-Onion  " xr:uid="{00000000-0004-0000-0000-0000C7050000}"/>
    <hyperlink ref="J504" r:id="rId1481" display="Western Starflower; Indian Potato, Broadleaved Starflower" xr:uid="{00000000-0004-0000-0000-0000C8050000}"/>
    <hyperlink ref="J855" r:id="rId1482" display="Pacific Poison-Oak  " xr:uid="{00000000-0004-0000-0000-0000C9050000}"/>
    <hyperlink ref="J853" r:id="rId1483" display="Youth-On-Age, Piggyback-Plant  " xr:uid="{00000000-0004-0000-0000-0000CA050000}"/>
    <hyperlink ref="J852" r:id="rId1484" display="Three-Leaf Foamflower, Cut-Leaved Foamflower  " xr:uid="{00000000-0004-0000-0000-0000CB050000}"/>
    <hyperlink ref="J851" r:id="rId1485" display="Western Red Cedar, Canoe Cedar  " xr:uid="{00000000-0004-0000-0000-0000CC050000}"/>
    <hyperlink ref="J843" r:id="rId1486" display="Douglas Aster" xr:uid="{00000000-0004-0000-0000-0000CD050000}"/>
    <hyperlink ref="J840" r:id="rId1487" display="Pacific Aster, Common California Aster  " xr:uid="{00000000-0004-0000-0000-0000CE050000}"/>
    <hyperlink ref="J837" r:id="rId1488" display="Trailing Snowberry, Creeping Snowberry" xr:uid="{00000000-0004-0000-0000-0000CF050000}"/>
    <hyperlink ref="J824" r:id="rId1489" display="Rough Hedgenettle, Rigid Hedgenettle" xr:uid="{00000000-0004-0000-0000-0000D0050000}"/>
    <hyperlink ref="J822" r:id="rId1490" display="Cooley's Hedge Nettle, Coastal Hedgenettle" xr:uid="{00000000-0004-0000-0000-0000D1050000}"/>
    <hyperlink ref="J817" r:id="rId1491" display="Douglas Spirea, Rose Spirea, Douglas Hardhack" xr:uid="{00000000-0004-0000-0000-0000D2050000}"/>
    <hyperlink ref="J807" r:id="rId1492" display="Greene's Mountain Ash, Cascade Mountain Ash  " xr:uid="{00000000-0004-0000-0000-0000D3050000}"/>
    <hyperlink ref="J802" r:id="rId1493" display="Golden Eyed Grass, Yellow Eyed Grass" xr:uid="{00000000-0004-0000-0000-0000D4050000}"/>
    <hyperlink ref="J797" r:id="rId1494" display="Oregon Checkermallow" xr:uid="{00000000-0004-0000-0000-0000D5050000}"/>
    <hyperlink ref="J787" r:id="rId1495" display="Oregon Spikemoss, Festoon Spikemoss  " xr:uid="{00000000-0004-0000-0000-0000D6050000}"/>
    <hyperlink ref="J786" r:id="rId1496" display="Broadleaf Stonecrop, Broad Leaved Stonecrop" xr:uid="{00000000-0004-0000-0000-0000D7050000}"/>
    <hyperlink ref="J785" r:id="rId1497" display="Oregon Stonecrop" xr:uid="{00000000-0004-0000-0000-0000D8050000}"/>
    <hyperlink ref="J783" r:id="rId1498" display="Spreading Stonecrop, Pacific Stonecrop" xr:uid="{00000000-0004-0000-0000-0000D9050000}"/>
    <hyperlink ref="J772" r:id="rId1499" display="Merten's Saxifrage, Wood Saxifrage, Woodland Saxifrage, Merten's Saxifrage  " xr:uid="{00000000-0004-0000-0000-0000DA050000}"/>
    <hyperlink ref="J767" r:id="rId1500" display="Pacific Sanicle, Pacific Blacksnakeroot, Snakeroot" xr:uid="{00000000-0004-0000-0000-0000DB050000}"/>
    <hyperlink ref="J766" r:id="rId1501" display="Purple Sanicle, Purple Black-Snakeroot  " xr:uid="{00000000-0004-0000-0000-0000DC050000}"/>
    <hyperlink ref="J759" r:id="rId1502" xr:uid="{00000000-0004-0000-0000-0000DD050000}"/>
    <hyperlink ref="J758" r:id="rId1503" display="Soft-Leaved Sandbar Willow, Northwest Sandbar Willow, Sessile-Leaf Willow, Northwest Sandbar Willow  " xr:uid="{00000000-0004-0000-0000-0000DE050000}"/>
    <hyperlink ref="J751" r:id="rId1504" xr:uid="{00000000-0004-0000-0000-0000DF050000}"/>
    <hyperlink ref="J749" r:id="rId1505" display="Hooker's Willow, Coast Willow, Dune Willow, Coastal Willow  " xr:uid="{00000000-0004-0000-0000-0000E0050000}"/>
    <hyperlink ref="J730" r:id="rId1506" display="Trailing Blackberry, Wild Blackberry, California Blackberry" xr:uid="{00000000-0004-0000-0000-0000E1050000}"/>
    <hyperlink ref="J729" r:id="rId1507" display="Salmonberry" xr:uid="{00000000-0004-0000-0000-0000E2050000}"/>
    <hyperlink ref="J725" r:id="rId1508" display="Dwarf Bramble, Hairy-Fruited Dwarf Bramble, Roughfruit Berry" xr:uid="{00000000-0004-0000-0000-0000E3050000}"/>
    <hyperlink ref="J722" r:id="rId1509" display="Swamp Rose; Clustered Wild Rose" xr:uid="{00000000-0004-0000-0000-0000E4050000}"/>
    <hyperlink ref="J720" r:id="rId1510" display="Baldhip Rose, Wood Rose" xr:uid="{00000000-0004-0000-0000-0000E5050000}"/>
    <hyperlink ref="J716" r:id="rId1511" display="Red Flowering Currant" xr:uid="{00000000-0004-0000-0000-0000E6050000}"/>
    <hyperlink ref="J714" r:id="rId1512" display="Gummy Gooseberry, Pioneer Gooseberry" xr:uid="{00000000-0004-0000-0000-0000E7050000}"/>
    <hyperlink ref="J711" r:id="rId1513" display="Black Gooseberry, Coast Black Gooseberry, Spreading Gooseberry" xr:uid="{00000000-0004-0000-0000-0000E8050000}"/>
    <hyperlink ref="J709" r:id="rId1514" display="Stink Currant; Blue Currant" xr:uid="{00000000-0004-0000-0000-0000E9050000}"/>
    <hyperlink ref="J703" r:id="rId1515" display="Fool's Huckleberry" xr:uid="{00000000-0004-0000-0000-0000EA050000}"/>
    <hyperlink ref="J702" r:id="rId1516" display="Pacific Rhododendron, Western Rhododendron" xr:uid="{00000000-0004-0000-0000-0000EB050000}"/>
    <hyperlink ref="J700" r:id="rId1517" display="Trapper's Tea, Western Labrador Tea" xr:uid="{00000000-0004-0000-0000-0000EC050000}"/>
    <hyperlink ref="J699" r:id="rId1518" display="White-Flowered Rhododendron, White Rhododendron, Cascade Azalea" xr:uid="{00000000-0004-0000-0000-0000ED050000}"/>
    <hyperlink ref="J697" r:id="rId1519" display="Cascara Buckthorne" xr:uid="{00000000-0004-0000-0000-0000EE050000}"/>
    <hyperlink ref="J693" r:id="rId1520" display="Western Buttercup" xr:uid="{00000000-0004-0000-0000-0000EF050000}"/>
    <hyperlink ref="J687" r:id="rId1521" display="Oregon White Oak; Garry Oak; Oregon Western Oak" xr:uid="{00000000-0004-0000-0000-0000F0050000}"/>
    <hyperlink ref="J674" r:id="rId1522" display="Chokecherry, Western Chokecherry" xr:uid="{00000000-0004-0000-0000-0000F1050000}"/>
    <hyperlink ref="J671" r:id="rId1523" display="Largeflower Fairybells, Fairy Lanterns, Smith's Fairy Bells  " xr:uid="{00000000-0004-0000-0000-0000F2050000}"/>
    <hyperlink ref="J353" r:id="rId1524" display="Checker Lily, Chocolate Lily  " xr:uid="{00000000-0004-0000-0000-0000F3050000}"/>
    <hyperlink ref="J352" r:id="rId1525" display="Oregon Ash" xr:uid="{00000000-0004-0000-0000-0000F4050000}"/>
    <hyperlink ref="J346" r:id="rId1526" display="Roemer's Fescue  " xr:uid="{00000000-0004-0000-0000-0000F5050000}"/>
    <hyperlink ref="J341" r:id="rId1527" display="Western Burning Bush, Western Wahoo  " xr:uid="{00000000-0004-0000-0000-0000F6050000}"/>
    <hyperlink ref="J337" r:id="rId1528" display="Giant White Fawnlily, Oregon Fawn Lily" xr:uid="{00000000-0004-0000-0000-0000F7050000}"/>
    <hyperlink ref="J331" r:id="rId1529" display="Red Monkeyflower, Scarlet Monkey-flower" xr:uid="{00000000-0004-0000-0000-0000F8050000}"/>
    <hyperlink ref="J318" r:id="rId1530" display="Giant Horsetail, Great Horsetail  " xr:uid="{00000000-0004-0000-0000-0000F9050000}"/>
    <hyperlink ref="J296" r:id="rId1531" display="Hedgehog Coneflower, Purple Coneflower" xr:uid="{00000000-0004-0000-0000-0000FA050000}"/>
    <hyperlink ref="J291" r:id="rId1532" display="Coastal Wood-Fern" xr:uid="{00000000-0004-0000-0000-0000FB050000}"/>
    <hyperlink ref="J285" r:id="rId1533" display="Broad-Leaved Shooting Star, Mosquito Bills, Henderson's Shooting Star" xr:uid="{00000000-0004-0000-0000-0000FC050000}"/>
    <hyperlink ref="J282" r:id="rId1534" display="Ookow, Northern Saitas" xr:uid="{00000000-0004-0000-0000-0000FD050000}"/>
    <hyperlink ref="J280" r:id="rId1535" display="Bleeding Heart, Pacific Bleeding Heart  " xr:uid="{00000000-0004-0000-0000-0000FE050000}"/>
    <hyperlink ref="J275" r:id="rId1536" display="Nuttall's Larkspur, Upland Larkspur" xr:uid="{00000000-0004-0000-0000-0000FF050000}"/>
    <hyperlink ref="J649" r:id="rId1537" display="Narrow-Leaved Sword-Fern, Imbricate Sword Fern  " xr:uid="{00000000-0004-0000-0000-000000060000}"/>
    <hyperlink ref="J646" r:id="rId1538" display="Leathery Polypody, Leatherleaf Fern" xr:uid="{00000000-0004-0000-0000-000001060000}"/>
    <hyperlink ref="J644" r:id="rId1539" display="Licorice Fern" xr:uid="{00000000-0004-0000-0000-000002060000}"/>
    <hyperlink ref="J642" r:id="rId1540" display="Beach Knotweed, Black Knotweed  " xr:uid="{00000000-0004-0000-0000-000003060000}"/>
    <hyperlink ref="J630" r:id="rId1541" display="Shortspur Seablush, Rosy Plectritis" xr:uid="{00000000-0004-0000-0000-000004060000}"/>
    <hyperlink ref="J623" r:id="rId1542" display="Chimissso's Orchid, Choris' Bog-Orchid, Small Bog Orchid" xr:uid="{00000000-0004-0000-0000-000005060000}"/>
    <hyperlink ref="J614" r:id="rId1543" display="Lodgepole Pine; Shore Pine" xr:uid="{00000000-0004-0000-0000-000006060000}"/>
    <hyperlink ref="J612" r:id="rId1544" display="Sitka Spruce" xr:uid="{00000000-0004-0000-0000-000007060000}"/>
    <hyperlink ref="J610" r:id="rId1545" display="Ninebark, Pacific Ninebark" xr:uid="{00000000-0004-0000-0000-000008060000}"/>
    <hyperlink ref="J606" r:id="rId1546" display="Woodland Phacelia, Shade Phacelia, Bristly Phacelia" xr:uid="{00000000-0004-0000-0000-000009060000}"/>
    <hyperlink ref="J597" r:id="rId1547" display="Coast Penstemon, Cascade Penstemon, Serrulate Penstemon, Spreading Penstemon" xr:uid="{00000000-0004-0000-0000-00000A060000}"/>
    <hyperlink ref="J598" r:id="rId1548" display="Gold-Back Fern, Gold Fern  " xr:uid="{00000000-0004-0000-0000-00000B060000}"/>
    <hyperlink ref="J596" r:id="rId1549" display="Cutleaf Beardtongue" xr:uid="{00000000-0004-0000-0000-00000C060000}"/>
    <hyperlink ref="J595" r:id="rId1550" display="Broadleaf Penstemon, Eggleaf Beardtongue" xr:uid="{00000000-0004-0000-0000-00000D060000}"/>
    <hyperlink ref="J593" r:id="rId1551" display="Davidson’s Penstemon, Creeping Penstemon" xr:uid="{00000000-0004-0000-0000-00000E060000}"/>
    <hyperlink ref="J589" r:id="rId1552" display="Coastal Miterwort, Coastal Bishop's Cap  " xr:uid="{00000000-0004-0000-0000-00000F060000}"/>
    <hyperlink ref="J582" r:id="rId1553" display="Three-Parted Miterwort, Three-Toothed Mitrewort  " xr:uid="{00000000-0004-0000-0000-000010060000}"/>
    <hyperlink ref="J576" r:id="rId1554" display="Oxalis; Wood Sorrel, Redwood-Sorrel" xr:uid="{00000000-0004-0000-0000-000011060000}"/>
    <hyperlink ref="J578" r:id="rId1555" display="Threeleaf Woodsorrel, Greater Oxalis" xr:uid="{00000000-0004-0000-0000-000012060000}"/>
    <hyperlink ref="J568" r:id="rId1556" display="Douglas' Grass-Widow, Purple-Eyed Grass  " xr:uid="{00000000-0004-0000-0000-000013060000}"/>
    <hyperlink ref="J566" r:id="rId1557" display="Water-Parsley, Pacific Water-Dropwort, American  " xr:uid="{00000000-0004-0000-0000-000014060000}"/>
    <hyperlink ref="J565" r:id="rId1558" display="Indian Plum; Osoberry" xr:uid="{00000000-0004-0000-0000-000015060000}"/>
    <hyperlink ref="J547" r:id="rId1559" display="Pacific Wax Myrtle" xr:uid="{00000000-0004-0000-0000-000016060000}"/>
    <hyperlink ref="J544" r:id="rId1560" display="Littleleaf Miner's-Lettuce  " xr:uid="{00000000-0004-0000-0000-000017060000}"/>
    <hyperlink ref="J516" r:id="rId1561" display="Manroot, Wild Cucumber, Coastal Manroot" xr:uid="{00000000-0004-0000-0000-000018060000}"/>
    <hyperlink ref="J515" r:id="rId1562" display="Western Crabapple, Pacific Crabapple" xr:uid="{00000000-0004-0000-0000-000019060000}"/>
    <hyperlink ref="J511" r:id="rId1563" display="False Lily-Of-The-Valley, Wild Lily-Of-The-Valley, Two-Leaf False Solomon's-Seal  " xr:uid="{00000000-0004-0000-0000-00001A060000}"/>
    <hyperlink ref="J249" r:id="rId1564" display="Bunchberry, Dwarf Dogwood, Western Bunchberry  " xr:uid="{00000000-0004-0000-0000-00001B060000}"/>
    <hyperlink ref="J247" r:id="rId1565" display="Pacific Dogwood, Western Flowering Dogwood, Nuttall's or Mountain Dogwood  " xr:uid="{00000000-0004-0000-0000-00001C060000}"/>
    <hyperlink ref="J235" r:id="rId1566" display="Giant Blue Eyed Mary, Large Flowered Blue Eyed Mary" xr:uid="{00000000-0004-0000-0000-00001D060000}"/>
    <hyperlink ref="J230" r:id="rId1567" display="Siberian Springbeauty  " xr:uid="{00000000-0004-0000-0000-00001E060000}"/>
    <hyperlink ref="J202" r:id="rId1568" display="Prostrate Ceanothus" xr:uid="{00000000-0004-0000-0000-00001F060000}"/>
    <hyperlink ref="J189" r:id="rId1569" display="Lateral Sedge, One-Sided Sedge" xr:uid="{00000000-0004-0000-0000-000020060000}"/>
    <hyperlink ref="J188" r:id="rId1570" display="Splitawn Sedge, Foothill Sedge" xr:uid="{00000000-0004-0000-0000-000021060000}"/>
    <hyperlink ref="J179" r:id="rId1571" display="Sanddune Sedge, Sand Sedge  " xr:uid="{00000000-0004-0000-0000-000022060000}"/>
    <hyperlink ref="J177" r:id="rId1572" display="Slough Sedge" xr:uid="{00000000-0004-0000-0000-000023060000}"/>
    <hyperlink ref="J176" r:id="rId1573" xr:uid="{00000000-0004-0000-0000-000024060000}"/>
    <hyperlink ref="J175" r:id="rId1574" display="Merten's Sedge" xr:uid="{00000000-0004-0000-0000-000025060000}"/>
    <hyperlink ref="J166" r:id="rId1575" display="Greensheath Sedge" xr:uid="{00000000-0004-0000-0000-000026060000}"/>
    <hyperlink ref="J143" r:id="rId1576" display="Great Camus, Suksdorf's Large Camas, Great Blue Camas" xr:uid="{00000000-0004-0000-0000-000027060000}"/>
    <hyperlink ref="J138" r:id="rId1577" display="Yellow-Cedar, Alaska Yellow Cedar" xr:uid="{00000000-0004-0000-0000-000028060000}"/>
    <hyperlink ref="J133" r:id="rId1578" display="Nootak Reedgrass, Pacific Reedgrass" xr:uid="{00000000-0004-0000-0000-000029060000}"/>
    <hyperlink ref="J129" r:id="rId1579" display="Coastal Brome, California Brome" xr:uid="{00000000-0004-0000-0000-00002A060000}"/>
    <hyperlink ref="J126" r:id="rId1580" display="Coast Boykinia, Slender Boykinia, Coastal Brookfoam " xr:uid="{00000000-0004-0000-0000-00002B060000}"/>
    <hyperlink ref="J114" r:id="rId1581" display="Bog Birch, Swamp Birch, Dwarf Birch  " xr:uid="{00000000-0004-0000-0000-00002C060000}"/>
    <hyperlink ref="J112" r:id="rId1582" display="Water Birch, River Birch, Red Birch" xr:uid="{00000000-0004-0000-0000-00002D060000}"/>
    <hyperlink ref="J110" r:id="rId1583" display="Creeping Oregon Grape" xr:uid="{00000000-0004-0000-0000-00002E060000}"/>
    <hyperlink ref="J98" r:id="rId1584" display="Showy Milkweed" xr:uid="{00000000-0004-0000-0000-00002F060000}"/>
    <hyperlink ref="J97" r:id="rId1585" display="Heartleaf Milkweed, Purple Milkweed" xr:uid="{00000000-0004-0000-0000-000030060000}"/>
    <hyperlink ref="J84" r:id="rId1586" display="Medium Manzanita  " xr:uid="{00000000-0004-0000-0000-000031060000}"/>
    <hyperlink ref="J80" r:id="rId1587" display="Madrone; Madrona; Arbutus; Pacific Madrone" xr:uid="{00000000-0004-0000-0000-000032060000}"/>
    <hyperlink ref="J54" r:id="rId1588" display="Silver Bur Ragweed, Cutleaf Beach Bur  " xr:uid="{00000000-0004-0000-0000-000033060000}"/>
    <hyperlink ref="J52" r:id="rId1589" xr:uid="{00000000-0004-0000-0000-000034060000}"/>
    <hyperlink ref="J51" r:id="rId1590" display="White Alder, California Alder  " xr:uid="{00000000-0004-0000-0000-000035060000}"/>
    <hyperlink ref="J45" r:id="rId1591" display="Narrowleaf Onion, Paper Onion,  Narrow-Leaf Onion, Dusky Onion, Rosy Sierra Onion" xr:uid="{00000000-0004-0000-0000-000036060000}"/>
    <hyperlink ref="J27" r:id="rId1592" display="Vanillaleaf, Sweet-After-Death, Deer's-Foot , Three Lobed Vanilla Leaf" xr:uid="{00000000-0004-0000-0000-000037060000}"/>
    <hyperlink ref="J20" r:id="rId1593" display="Noble Fir, Red or White Fir  " xr:uid="{00000000-0004-0000-0000-000038060000}"/>
    <hyperlink ref="J18" r:id="rId1594" display="Grand Fir, Lowland or Lowland White Fir, Stinking Fir  " xr:uid="{00000000-0004-0000-0000-000039060000}"/>
    <hyperlink ref="J17" r:id="rId1595" display="Pacific Silver Fir, Lovely Fir, Cascade Fir, Amabilis Fir  " xr:uid="{00000000-0004-0000-0000-00003A060000}"/>
    <hyperlink ref="J173" r:id="rId1596" display="Lyngbye's Sedge" xr:uid="{00000000-0004-0000-0000-00003B060000}"/>
    <hyperlink ref="J201" r:id="rId1597" display="Deerbrush" xr:uid="{00000000-0004-0000-0000-00003C060000}"/>
    <hyperlink ref="J533" r:id="rId1598" display="Slightstemmed Miterwort, Leafy Mitrewort, Star-shaped Mitrewort" xr:uid="{00000000-0004-0000-0000-00003D060000}"/>
    <hyperlink ref="J494" r:id="rId1599" display="Streambank Lupine, Riverside Lupine, Riverbank Lupine" xr:uid="{00000000-0004-0000-0000-00003E060000}"/>
    <hyperlink ref="J490" r:id="rId1600" display="Seashore Lupine" xr:uid="{00000000-0004-0000-0000-00003F060000}"/>
    <hyperlink ref="J488" r:id="rId1601" display="Broad-Leaf Lupine" xr:uid="{00000000-0004-0000-0000-000040060000}"/>
    <hyperlink ref="J486" r:id="rId1602" display="Sicklekeel Lupine" xr:uid="{00000000-0004-0000-0000-000041060000}"/>
    <hyperlink ref="J485" r:id="rId1603" display="Partridgefoot, Lutkea  " xr:uid="{00000000-0004-0000-0000-000042060000}"/>
    <hyperlink ref="J480" r:id="rId1604" display="Hairy Honeysuckle, California Honeysuckle, Pink Honeysuckle" xr:uid="{00000000-0004-0000-0000-000043060000}"/>
    <hyperlink ref="J479" r:id="rId1605" display="Purpleflower Honeysuckle, Double Flowered Honeysuckle" xr:uid="{00000000-0004-0000-0000-000044060000}"/>
    <hyperlink ref="J477" r:id="rId1606" display="Common Lomatium, Spring Gold" xr:uid="{00000000-0004-0000-0000-000045060000}"/>
    <hyperlink ref="J476" r:id="rId1607" display="Barestem Biscketroot" xr:uid="{00000000-0004-0000-0000-000046060000}"/>
    <hyperlink ref="J467" r:id="rId1608" display="Tiger Lily, Columbia Lily" xr:uid="{00000000-0004-0000-0000-000047060000}"/>
    <hyperlink ref="J465" r:id="rId1609" display="Celery-Leaf Licorice-Root, Celery-Leaf Wild Lovage  " xr:uid="{00000000-0004-0000-0000-000048060000}"/>
    <hyperlink ref="J452" r:id="rId1610" display="Leafy Pea" xr:uid="{00000000-0004-0000-0000-000049060000}"/>
    <hyperlink ref="J449" r:id="rId1611" display="Silky Beach Pea, Beach Peavine, Silky Beach Vetchling  " xr:uid="{00000000-0004-0000-0000-00004A060000}"/>
    <hyperlink ref="J439" r:id="rId1612" display="Western Juniper, Sierra Juniper" xr:uid="{00000000-0004-0000-0000-00004B060000}"/>
    <hyperlink ref="J438" r:id="rId1613" display="Seaside Juniper" xr:uid="{00000000-0004-0000-0000-00004C060000}"/>
    <hyperlink ref="J434" r:id="rId1614" display="Spreading Rush  " xr:uid="{00000000-0004-0000-0000-00004D060000}"/>
    <hyperlink ref="J424" r:id="rId1615" display="Low Bulrush, Low Club Rush" xr:uid="{00000000-0004-0000-0000-00004E060000}"/>
    <hyperlink ref="J420" r:id="rId1616" display="Oregon Iris, Toughleaf Iris, Clackamas Iris" xr:uid="{00000000-0004-0000-0000-00004F060000}"/>
    <hyperlink ref="J413" r:id="rId1617" display="Pacific Waterleaf" xr:uid="{00000000-0004-0000-0000-000050060000}"/>
    <hyperlink ref="J411" r:id="rId1618" display="Western Clubmoss, Western Fir Moss" xr:uid="{00000000-0004-0000-0000-000051060000}"/>
    <hyperlink ref="J410" r:id="rId1619" display="Fir Clubmoss  " xr:uid="{00000000-0004-0000-0000-000052060000}"/>
    <hyperlink ref="J364" r:id="rId1620" display="Salal" xr:uid="{00000000-0004-0000-0000-000053060000}"/>
    <hyperlink ref="J366" r:id="rId1621" display="King's Scepter Gentian, Staff Gentian, King's Gentian  " xr:uid="{00000000-0004-0000-0000-000054060000}"/>
    <hyperlink ref="J375" r:id="rId1622" xr:uid="{00000000-0004-0000-0000-000055060000}"/>
    <hyperlink ref="J382" r:id="rId1623" display="Gumweed  " xr:uid="{00000000-0004-0000-0000-000056060000}"/>
    <hyperlink ref="J393" r:id="rId1624" display="Tall Alumroot, Narrow Flowered Alumroot" xr:uid="{00000000-0004-0000-0000-000057060000}"/>
    <hyperlink ref="J395" r:id="rId1625" display="Alpine Heuchera, Smooth Alumroot, Alpine Alumroot  " xr:uid="{00000000-0004-0000-0000-000058060000}"/>
    <hyperlink ref="J396" r:id="rId1626" display="Crevice Alumroot, Small-Flowered Alumroot  " xr:uid="{00000000-0004-0000-0000-000059060000}"/>
    <hyperlink ref="L47" r:id="rId1627" xr:uid="{00000000-0004-0000-0000-00005A060000}"/>
    <hyperlink ref="L873" r:id="rId1628" xr:uid="{00000000-0004-0000-0000-00005B060000}"/>
    <hyperlink ref="L872" r:id="rId1629" xr:uid="{00000000-0004-0000-0000-00005C060000}"/>
    <hyperlink ref="L504" r:id="rId1630" xr:uid="{00000000-0004-0000-0000-00005D060000}"/>
    <hyperlink ref="L855" r:id="rId1631" xr:uid="{00000000-0004-0000-0000-00005E060000}"/>
    <hyperlink ref="L853" r:id="rId1632" xr:uid="{00000000-0004-0000-0000-00005F060000}"/>
    <hyperlink ref="L852" r:id="rId1633" xr:uid="{00000000-0004-0000-0000-000060060000}"/>
    <hyperlink ref="L851" r:id="rId1634" xr:uid="{00000000-0004-0000-0000-000061060000}"/>
    <hyperlink ref="L179" r:id="rId1635" xr:uid="{00000000-0004-0000-0000-000062060000}"/>
    <hyperlink ref="L268" r:id="rId1636" xr:uid="{00000000-0004-0000-0000-000063060000}"/>
    <hyperlink ref="J69" r:id="rId1637" display="Woodland Madia, Tarweed" xr:uid="{00000000-0004-0000-0000-000064060000}"/>
    <hyperlink ref="L758" r:id="rId1638" xr:uid="{00000000-0004-0000-0000-000065060000}"/>
    <hyperlink ref="L375" r:id="rId1639" xr:uid="{00000000-0004-0000-0000-000066060000}"/>
    <hyperlink ref="L515" r:id="rId1640" xr:uid="{00000000-0004-0000-0000-000067060000}"/>
    <hyperlink ref="L797" r:id="rId1641" xr:uid="{00000000-0004-0000-0000-000068060000}"/>
    <hyperlink ref="L840" r:id="rId1642" xr:uid="{00000000-0004-0000-0000-000069060000}"/>
    <hyperlink ref="L516" r:id="rId1643" xr:uid="{00000000-0004-0000-0000-00006A060000}"/>
    <hyperlink ref="L52" r:id="rId1644" xr:uid="{00000000-0004-0000-0000-00006B060000}"/>
    <hyperlink ref="L749" r:id="rId1645" xr:uid="{00000000-0004-0000-0000-00006C060000}"/>
    <hyperlink ref="L759" r:id="rId1646" xr:uid="{00000000-0004-0000-0000-00006D060000}"/>
    <hyperlink ref="L751" r:id="rId1647" xr:uid="{00000000-0004-0000-0000-00006E060000}"/>
    <hyperlink ref="L817" r:id="rId1648" xr:uid="{00000000-0004-0000-0000-00006F060000}"/>
    <hyperlink ref="L646" r:id="rId1649" xr:uid="{00000000-0004-0000-0000-000070060000}"/>
    <hyperlink ref="L807" r:id="rId1650" xr:uid="{00000000-0004-0000-0000-000071060000}"/>
    <hyperlink ref="L822" r:id="rId1651" xr:uid="{00000000-0004-0000-0000-000072060000}"/>
    <hyperlink ref="L824" r:id="rId1652" xr:uid="{00000000-0004-0000-0000-000073060000}"/>
    <hyperlink ref="L547" r:id="rId1653" xr:uid="{00000000-0004-0000-0000-000074060000}"/>
    <hyperlink ref="L703" r:id="rId1654" xr:uid="{00000000-0004-0000-0000-000075060000}"/>
    <hyperlink ref="L438" r:id="rId1655" xr:uid="{00000000-0004-0000-0000-000076060000}"/>
    <hyperlink ref="L783" r:id="rId1656" xr:uid="{00000000-0004-0000-0000-000077060000}"/>
    <hyperlink ref="L785" r:id="rId1657" xr:uid="{00000000-0004-0000-0000-000078060000}"/>
    <hyperlink ref="L786" r:id="rId1658" xr:uid="{00000000-0004-0000-0000-000079060000}"/>
    <hyperlink ref="J635" r:id="rId1659" display="Loose Flower Bluegrass" xr:uid="{00000000-0004-0000-0000-00007A060000}"/>
    <hyperlink ref="L474" r:id="rId1660" xr:uid="{00000000-0004-0000-0000-00007B060000}"/>
    <hyperlink ref="L588" r:id="rId1661" xr:uid="{00000000-0004-0000-0000-00007C060000}"/>
    <hyperlink ref="J627" r:id="rId1662" display="Slender Bog Orchid" xr:uid="{00000000-0004-0000-0000-00007D060000}"/>
    <hyperlink ref="L627" r:id="rId1663" xr:uid="{00000000-0004-0000-0000-00007E060000}"/>
    <hyperlink ref="L74" r:id="rId1664" xr:uid="{00000000-0004-0000-0000-00007F060000}"/>
    <hyperlink ref="L531" r:id="rId1665" xr:uid="{00000000-0004-0000-0000-000080060000}"/>
    <hyperlink ref="L801" r:id="rId1666" xr:uid="{00000000-0004-0000-0000-000081060000}"/>
    <hyperlink ref="L581" r:id="rId1667" xr:uid="{00000000-0004-0000-0000-000082060000}"/>
    <hyperlink ref="L635" r:id="rId1668" xr:uid="{00000000-0004-0000-0000-000083060000}"/>
    <hyperlink ref="L637" r:id="rId1669" xr:uid="{00000000-0004-0000-0000-000084060000}"/>
    <hyperlink ref="L856" r:id="rId1670" xr:uid="{00000000-0004-0000-0000-000085060000}"/>
    <hyperlink ref="J41" r:id="rId1671" xr:uid="{00000000-0004-0000-0000-000086060000}"/>
    <hyperlink ref="J252" r:id="rId1672" display="http://www.burkemuseum.org/research-and-collections/botany-and-herbarium/collections/database/resultstext.php?Genus=Claytonia&amp;Species=sibirica&amp;SourcePage=search.php&amp;IncludeSynonyms=Y&amp;SortBy=DESC&amp;SortOrder=Year" xr:uid="{00000000-0004-0000-0000-000087060000}"/>
    <hyperlink ref="L98" r:id="rId1673" xr:uid="{00000000-0004-0000-0000-000088060000}"/>
    <hyperlink ref="L841" r:id="rId1674" xr:uid="{00000000-0004-0000-0000-000089060000}"/>
    <hyperlink ref="J23" r:id="rId1675" display="Vine Maple  " xr:uid="{00000000-0004-0000-0000-00008A060000}"/>
    <hyperlink ref="L44" r:id="rId1676" xr:uid="{00000000-0004-0000-0000-00008B060000}"/>
    <hyperlink ref="L46" r:id="rId1677" xr:uid="{00000000-0004-0000-0000-00008C060000}"/>
    <hyperlink ref="L48" r:id="rId1678" xr:uid="{00000000-0004-0000-0000-00008D060000}"/>
    <hyperlink ref="L51" r:id="rId1679" xr:uid="{00000000-0004-0000-0000-00008E060000}"/>
    <hyperlink ref="L54" r:id="rId1680" xr:uid="{00000000-0004-0000-0000-00008F060000}"/>
    <hyperlink ref="L57" r:id="rId1681" xr:uid="{00000000-0004-0000-0000-000090060000}"/>
    <hyperlink ref="L59" r:id="rId1682" xr:uid="{00000000-0004-0000-0000-000091060000}"/>
    <hyperlink ref="L63" r:id="rId1683" xr:uid="{00000000-0004-0000-0000-000092060000}"/>
    <hyperlink ref="L71" r:id="rId1684" xr:uid="{00000000-0004-0000-0000-000093060000}"/>
    <hyperlink ref="L96" r:id="rId1685" xr:uid="{00000000-0004-0000-0000-000094060000}"/>
    <hyperlink ref="L290" r:id="rId1686" xr:uid="{00000000-0004-0000-0000-000095060000}"/>
    <hyperlink ref="J290" r:id="rId1687" display="Greene's Drymocallis" xr:uid="{00000000-0004-0000-0000-000096060000}"/>
    <hyperlink ref="L331" r:id="rId1688" xr:uid="{00000000-0004-0000-0000-000097060000}"/>
    <hyperlink ref="L334" r:id="rId1689" xr:uid="{00000000-0004-0000-0000-000098060000}"/>
    <hyperlink ref="L335" r:id="rId1690" xr:uid="{00000000-0004-0000-0000-000099060000}"/>
    <hyperlink ref="L337" r:id="rId1691" xr:uid="{00000000-0004-0000-0000-00009A060000}"/>
    <hyperlink ref="J355" r:id="rId1692" display="Yelllow Fritillary" xr:uid="{00000000-0004-0000-0000-00009B060000}"/>
    <hyperlink ref="L532" r:id="rId1693" xr:uid="{00000000-0004-0000-0000-00009C060000}"/>
    <hyperlink ref="J561" r:id="rId1694" xr:uid="{00000000-0004-0000-0000-00009D060000}"/>
    <hyperlink ref="L605" r:id="rId1695" xr:uid="{00000000-0004-0000-0000-00009E060000}"/>
    <hyperlink ref="L410" r:id="rId1696" xr:uid="{00000000-0004-0000-0000-00009F060000}"/>
    <hyperlink ref="L434" r:id="rId1697" xr:uid="{00000000-0004-0000-0000-0000A0060000}"/>
    <hyperlink ref="L528" r:id="rId1698" xr:uid="{00000000-0004-0000-0000-0000A1060000}"/>
    <hyperlink ref="L533" r:id="rId1699" xr:uid="{00000000-0004-0000-0000-0000A2060000}"/>
    <hyperlink ref="L544" r:id="rId1700" xr:uid="{00000000-0004-0000-0000-0000A3060000}"/>
    <hyperlink ref="L582" r:id="rId1701" xr:uid="{00000000-0004-0000-0000-0000A4060000}"/>
    <hyperlink ref="L590" r:id="rId1702" xr:uid="{00000000-0004-0000-0000-0000A5060000}"/>
    <hyperlink ref="L599" r:id="rId1703" xr:uid="{00000000-0004-0000-0000-0000A6060000}"/>
    <hyperlink ref="L601" r:id="rId1704" xr:uid="{00000000-0004-0000-0000-0000A7060000}"/>
    <hyperlink ref="L604" r:id="rId1705" xr:uid="{00000000-0004-0000-0000-0000A8060000}"/>
    <hyperlink ref="L606" r:id="rId1706" xr:uid="{00000000-0004-0000-0000-0000A9060000}"/>
    <hyperlink ref="I922" r:id="rId1707" xr:uid="{00000000-0004-0000-0000-0000AA060000}"/>
    <hyperlink ref="I920" r:id="rId1708" display="http://plants.usda.gov/java/profile?symbol=ZAPA" xr:uid="{00000000-0004-0000-0000-0000AB060000}"/>
    <hyperlink ref="I919" r:id="rId1709" display="http://plants.usda.gov/java/profile?symbol=YAMI" xr:uid="{00000000-0004-0000-0000-0000AC060000}"/>
    <hyperlink ref="I918" r:id="rId1710" xr:uid="{00000000-0004-0000-0000-0000AD060000}"/>
    <hyperlink ref="I917" r:id="rId1711" display="http://plants.usda.gov/java/profile?symbol=XAST" xr:uid="{00000000-0004-0000-0000-0000AE060000}"/>
    <hyperlink ref="I916" r:id="rId1712" xr:uid="{00000000-0004-0000-0000-0000AF060000}"/>
    <hyperlink ref="I914" r:id="rId1713" display="http://plants.usda.gov/java/profile?symbol=WOOR" xr:uid="{00000000-0004-0000-0000-0000B0060000}"/>
    <hyperlink ref="I913" r:id="rId1714" display="http://plants.usda.gov/java/profile?symbol=VUMI" xr:uid="{00000000-0004-0000-0000-0000B1060000}"/>
    <hyperlink ref="I910" r:id="rId1715" display="http://plants.usda.gov/java/profile?symbol=VIPA4" xr:uid="{00000000-0004-0000-0000-0000B2060000}"/>
    <hyperlink ref="I909" r:id="rId1716" display="Viola orbiculata   " xr:uid="{00000000-0004-0000-0000-0000B3060000}"/>
    <hyperlink ref="I908" r:id="rId1717" xr:uid="{00000000-0004-0000-0000-0000B4060000}"/>
    <hyperlink ref="I905" r:id="rId1718" display="http://plants.usda.gov/java/profile?symbol=VICAR" xr:uid="{00000000-0004-0000-0000-0000B5060000}"/>
    <hyperlink ref="I904" r:id="rId1719" display="http://plants.usda.gov/java/profile?symbol=VIAD" xr:uid="{00000000-0004-0000-0000-0000B6060000}"/>
    <hyperlink ref="I902" r:id="rId1720" display="http://plants.usda.gov/java/profile?symbol=VIAM" xr:uid="{00000000-0004-0000-0000-0000B7060000}"/>
    <hyperlink ref="I901" r:id="rId1721" xr:uid="{00000000-0004-0000-0000-0000B8060000}"/>
    <hyperlink ref="I900" r:id="rId1722" display="Viburnum ellipticum   " xr:uid="{00000000-0004-0000-0000-0000B9060000}"/>
    <hyperlink ref="I899" r:id="rId1723" display="http://plants.usda.gov/java/profile?symbol=VIED" xr:uid="{00000000-0004-0000-0000-0000BA060000}"/>
    <hyperlink ref="I898" r:id="rId1724" display="http://plants.usda.gov/java/profile?symbol=VESC2" xr:uid="{00000000-0004-0000-0000-0000BB060000}"/>
    <hyperlink ref="I897" r:id="rId1725" display="http://plants.usda.gov/java/profile?symbol=VEPE2" xr:uid="{00000000-0004-0000-0000-0000BC060000}"/>
    <hyperlink ref="I896" r:id="rId1726" display="http://plants.usda.gov/java/profile?symbol=VEAM2" xr:uid="{00000000-0004-0000-0000-0000BD060000}"/>
    <hyperlink ref="I895" r:id="rId1727" display="http://plants.usda.gov/java/profile?symbol=VEHA2" xr:uid="{00000000-0004-0000-0000-0000BE060000}"/>
    <hyperlink ref="I894" r:id="rId1728" display="http://plants.usda.gov/java/profile?symbol=VEVI" xr:uid="{00000000-0004-0000-0000-0000BF060000}"/>
    <hyperlink ref="I893" r:id="rId1729" display="http://plants.usda.gov/java/profile?symbol=VECA2" xr:uid="{00000000-0004-0000-0000-0000C0060000}"/>
    <hyperlink ref="I891" r:id="rId1730" display="http://plants.usda.gov/java/profile?symbol=VASI" xr:uid="{00000000-0004-0000-0000-0000C1060000}"/>
    <hyperlink ref="I890" r:id="rId1731" display="Valeriana scouleri   " xr:uid="{00000000-0004-0000-0000-0000C2060000}"/>
    <hyperlink ref="I889" r:id="rId1732" display="http://plants.usda.gov/java/profile?symbol=VAUL" xr:uid="{00000000-0004-0000-0000-0000C3060000}"/>
    <hyperlink ref="I887" r:id="rId1733" display="http://plants.usda.gov/core/profile?symbol=VAOX  " xr:uid="{00000000-0004-0000-0000-0000C4060000}"/>
    <hyperlink ref="I885" r:id="rId1734" display="http://plants.usda.gov/java/profile?symbol=VAOV" xr:uid="{00000000-0004-0000-0000-0000C5060000}"/>
    <hyperlink ref="I884" r:id="rId1735" display="http://plants.usda.gov/java/profile?symbol=VAME" xr:uid="{00000000-0004-0000-0000-0000C6060000}"/>
    <hyperlink ref="I882" r:id="rId1736" display="Utricularia vulgaris   " xr:uid="{00000000-0004-0000-0000-0000C7060000}"/>
    <hyperlink ref="I881" r:id="rId1737" display="http://plants.usda.gov/java/profile?symbol=UTMI" xr:uid="{00000000-0004-0000-0000-0000C8060000}"/>
    <hyperlink ref="I880" r:id="rId1738" xr:uid="{00000000-0004-0000-0000-0000C9060000}"/>
    <hyperlink ref="I879" r:id="rId1739" display="Utricularia gibba   " xr:uid="{00000000-0004-0000-0000-0000CA060000}"/>
    <hyperlink ref="I878" r:id="rId1740" display="http://plants.usda.gov/java/profile?symbol=URDI" xr:uid="{00000000-0004-0000-0000-0000CB060000}"/>
    <hyperlink ref="I877" r:id="rId1741" display="http://plants.usda.gov/java/profile?symbol=TYLA" xr:uid="{00000000-0004-0000-0000-0000CC060000}"/>
    <hyperlink ref="I876" r:id="rId1742" xr:uid="{00000000-0004-0000-0000-0000CD060000}"/>
    <hyperlink ref="I875" r:id="rId1743" display="Turritis glabra   " xr:uid="{00000000-0004-0000-0000-0000CE060000}"/>
    <hyperlink ref="I874" r:id="rId1744" display="http://plants.usda.gov/java/profile?symbol=TSME" xr:uid="{00000000-0004-0000-0000-0000CF060000}"/>
    <hyperlink ref="I871" r:id="rId1745" display="http://plants.usda.gov/java/profile?symbol=TRCA21" xr:uid="{00000000-0004-0000-0000-0000D0060000}"/>
    <hyperlink ref="I870" r:id="rId1746" display="http://plants.usda.gov/java/profile?symbol=TRPU16" xr:uid="{00000000-0004-0000-0000-0000D1060000}"/>
    <hyperlink ref="I869" r:id="rId1747" display="http://plants.usda.gov/java/profile?symbol=TRPE4" xr:uid="{00000000-0004-0000-0000-0000D2060000}"/>
    <hyperlink ref="I868" r:id="rId1748" xr:uid="{00000000-0004-0000-0000-0000D3060000}"/>
    <hyperlink ref="I867" r:id="rId1749" display="Trillium parviflorum   " xr:uid="{00000000-0004-0000-0000-0000D4060000}"/>
    <hyperlink ref="I866" r:id="rId1750" display="http://plants.usda.gov/java/profile?symbol=TROV2" xr:uid="{00000000-0004-0000-0000-0000D5060000}"/>
    <hyperlink ref="I865" r:id="rId1751" display="http://plants.usda.gov/java/profile?symbol=TRMA20" xr:uid="{00000000-0004-0000-0000-0000D6060000}"/>
    <hyperlink ref="I864" r:id="rId1752" display="http://plants.usda.gov/java/profile?symbol=TRWO" xr:uid="{00000000-0004-0000-0000-0000D7060000}"/>
    <hyperlink ref="I863" r:id="rId1753" display="http://plants.usda.gov/java/profile?symbol=TRWI3" xr:uid="{00000000-0004-0000-0000-0000D8060000}"/>
    <hyperlink ref="I862" r:id="rId1754" display="http://plants.usda.gov/java/profile?symbol=TRVA" xr:uid="{00000000-0004-0000-0000-0000D9060000}"/>
    <hyperlink ref="I861" r:id="rId1755" display="http://plants.usda.gov/java/profile?symbol=TROL" xr:uid="{00000000-0004-0000-0000-0000DA060000}"/>
    <hyperlink ref="I860" r:id="rId1756" display="http://plants.usda.gov/java/profile?symbol=TRMI5" xr:uid="{00000000-0004-0000-0000-0000DB060000}"/>
    <hyperlink ref="I859" r:id="rId1757" xr:uid="{00000000-0004-0000-0000-0000DC060000}"/>
    <hyperlink ref="I503" r:id="rId1758" display="Trientalis europaea   " xr:uid="{00000000-0004-0000-0000-0000DD060000}"/>
    <hyperlink ref="I858" r:id="rId1759" display="http://plants.usda.gov/java/profile?symbol=TRCE3" xr:uid="{00000000-0004-0000-0000-0000DE060000}"/>
    <hyperlink ref="I857" r:id="rId1760" display="http://plants.usda.gov/java/profile?symbol=TRCA" xr:uid="{00000000-0004-0000-0000-0000DF060000}"/>
    <hyperlink ref="I856" r:id="rId1761" display="Toxicodendron rydbergil" xr:uid="{00000000-0004-0000-0000-0000E0060000}"/>
    <hyperlink ref="I854" r:id="rId1762" display="Torreyochloa pallida   " xr:uid="{00000000-0004-0000-0000-0000E1060000}"/>
    <hyperlink ref="I850" r:id="rId1763" xr:uid="{00000000-0004-0000-0000-0000E2060000}"/>
    <hyperlink ref="I849" r:id="rId1764" display="Thelypteris quelpaertensis   " xr:uid="{00000000-0004-0000-0000-0000E3060000}"/>
    <hyperlink ref="I848" r:id="rId1765" display="http://plants.usda.gov/java/profile?symbol=THOC" xr:uid="{00000000-0004-0000-0000-0000E4060000}"/>
    <hyperlink ref="I847" r:id="rId1766" display="http://plants.usda.gov/java/profile?symbol=TEGR2" xr:uid="{00000000-0004-0000-0000-0000E5060000}"/>
    <hyperlink ref="I846" r:id="rId1767" display="http://plants.usda.gov/java/profile?symbol=TABR2" xr:uid="{00000000-0004-0000-0000-0000E6060000}"/>
    <hyperlink ref="I845" r:id="rId1768" display="Tanacetum bipinnatum   " xr:uid="{00000000-0004-0000-0000-0000E7060000}"/>
    <hyperlink ref="I844" r:id="rId1769" display="Synthyris reniformis   " xr:uid="{00000000-0004-0000-0000-0000E8060000}"/>
    <hyperlink ref="I842" r:id="rId1770" xr:uid="{00000000-0004-0000-0000-0000E9060000}"/>
    <hyperlink ref="I841" r:id="rId1771" display="Symphyotrichum hallii   " xr:uid="{00000000-0004-0000-0000-0000EA060000}"/>
    <hyperlink ref="I839" r:id="rId1772" display="Symphyotrichum bracteolatum   " xr:uid="{00000000-0004-0000-0000-0000EB060000}"/>
    <hyperlink ref="I838" r:id="rId1773" xr:uid="{00000000-0004-0000-0000-0000EC060000}"/>
    <hyperlink ref="I836" r:id="rId1774" display="http://plants.usda.gov/java/profile?symbol=SYAL" xr:uid="{00000000-0004-0000-0000-0000ED060000}"/>
    <hyperlink ref="I835" r:id="rId1775" display="Subularia aquatic" xr:uid="{00000000-0004-0000-0000-0000EE060000}"/>
    <hyperlink ref="I834" r:id="rId1776" display="https://plants.usda.gov/core/profile?symbol=suca2" xr:uid="{00000000-0004-0000-0000-0000EF060000}"/>
    <hyperlink ref="I833" r:id="rId1777" xr:uid="{00000000-0004-0000-0000-0000F0060000}"/>
    <hyperlink ref="I832" r:id="rId1778" display="Stuckenia filiformis   " xr:uid="{00000000-0004-0000-0000-0000F1060000}"/>
    <hyperlink ref="I831" r:id="rId1779" display="http://plants.usda.gov/java/profile?symbol=STAM2" xr:uid="{00000000-0004-0000-0000-0000F2060000}"/>
    <hyperlink ref="I830" r:id="rId1780" display="Stellaria obtusa   " xr:uid="{00000000-0004-0000-0000-0000F3060000}"/>
    <hyperlink ref="I829" r:id="rId1781" display="Stellaria nitens   " xr:uid="{00000000-0004-0000-0000-0000F4060000}"/>
    <hyperlink ref="I828" r:id="rId1782" display="Stellaria longipes   " xr:uid="{00000000-0004-0000-0000-0000F5060000}"/>
    <hyperlink ref="I827" r:id="rId1783" display="http://plants.usda.gov/java/profile?symbol=STLO" xr:uid="{00000000-0004-0000-0000-0000F6060000}"/>
    <hyperlink ref="I826" r:id="rId1784" display="http://plants.usda.gov/java/profile?symbol=STCR2" xr:uid="{00000000-0004-0000-0000-0000F7060000}"/>
    <hyperlink ref="I825" r:id="rId1785" xr:uid="{00000000-0004-0000-0000-0000F8060000}"/>
    <hyperlink ref="I823" r:id="rId1786" display="Stachys mexicana   " xr:uid="{00000000-0004-0000-0000-0000F9060000}"/>
    <hyperlink ref="I821" r:id="rId1787" display="http://plants.usda.gov/java/profile?symbol=SPRO" xr:uid="{00000000-0004-0000-0000-0000FA060000}"/>
    <hyperlink ref="I820" r:id="rId1788" xr:uid="{00000000-0004-0000-0000-0000FB060000}"/>
    <hyperlink ref="I819" r:id="rId1789" xr:uid="{00000000-0004-0000-0000-0000FC060000}"/>
    <hyperlink ref="I818" r:id="rId1790" display="Spiraea lucida   " xr:uid="{00000000-0004-0000-0000-0000FD060000}"/>
    <hyperlink ref="I816" r:id="rId1791" xr:uid="{00000000-0004-0000-0000-0000FE060000}"/>
    <hyperlink ref="I815" r:id="rId1792" display="Spergularia salina   " xr:uid="{00000000-0004-0000-0000-0000FF060000}"/>
    <hyperlink ref="I814" r:id="rId1793" display="http://plants.usda.gov/java/profile?symbol=SPCA3" xr:uid="{00000000-0004-0000-0000-000000070000}"/>
    <hyperlink ref="I813" r:id="rId1794" display="http://plants.usda.gov/java/profile?symbol=SPNA" xr:uid="{00000000-0004-0000-0000-000001070000}"/>
    <hyperlink ref="I812" r:id="rId1795" xr:uid="{00000000-0004-0000-0000-000002070000}"/>
    <hyperlink ref="I811" r:id="rId1796" display="http://plants.usda.gov/java/profile?symbol=SPEU" xr:uid="{00000000-0004-0000-0000-000003070000}"/>
    <hyperlink ref="I810" r:id="rId1797" display="http://plants.usda.gov/java/profile?symbol=SPEM2" xr:uid="{00000000-0004-0000-0000-000004070000}"/>
    <hyperlink ref="I809" r:id="rId1798" display="http://plants.usda.gov/java/profile?symbol=SPAN2" xr:uid="{00000000-0004-0000-0000-000005070000}"/>
    <hyperlink ref="I808" r:id="rId1799" xr:uid="{00000000-0004-0000-0000-000006070000}"/>
    <hyperlink ref="I806" r:id="rId1800" display="http://plants.usda.gov/java/profile?symbol=SOSI3" xr:uid="{00000000-0004-0000-0000-000007070000}"/>
    <hyperlink ref="I805" r:id="rId1801" display="http://plants.usda.gov/java/profile?symbol=SOCA6" xr:uid="{00000000-0004-0000-0000-000008070000}"/>
    <hyperlink ref="I804" r:id="rId1802" display="http://plants.usda.gov/java/profile?symbol=SISU2" xr:uid="{00000000-0004-0000-0000-000009070000}"/>
    <hyperlink ref="I803" r:id="rId1803" display="http://plants.usda.gov/java/profile?symbol=SIID" xr:uid="{00000000-0004-0000-0000-00000A070000}"/>
    <hyperlink ref="I801" r:id="rId1804" display="http://plants.usda.gov/java/profile?symbol=SISC7" xr:uid="{00000000-0004-0000-0000-00000B070000}"/>
    <hyperlink ref="I800" r:id="rId1805" display="http://plants.usda.gov/java/profile?symbol=SIME" xr:uid="{00000000-0004-0000-0000-00000C070000}"/>
    <hyperlink ref="I799" r:id="rId1806" display="http://plants.usda.gov/java/profile?symbol=SIAN2" xr:uid="{00000000-0004-0000-0000-00000D070000}"/>
    <hyperlink ref="I798" r:id="rId1807" xr:uid="{00000000-0004-0000-0000-00000E070000}"/>
    <hyperlink ref="I796" r:id="rId1808" xr:uid="{00000000-0004-0000-0000-00000F070000}"/>
    <hyperlink ref="I795" r:id="rId1809" xr:uid="{00000000-0004-0000-0000-000010070000}"/>
    <hyperlink ref="I794" r:id="rId1810" display="http://plants.usda.gov/java/profile?symbol=SIHE4" xr:uid="{00000000-0004-0000-0000-000011070000}"/>
    <hyperlink ref="I793" r:id="rId1811" xr:uid="{00000000-0004-0000-0000-000012070000}"/>
    <hyperlink ref="I792" r:id="rId1812" xr:uid="{00000000-0004-0000-0000-000013070000}"/>
    <hyperlink ref="I791" r:id="rId1813" display="Sericocarpus rigidus   " xr:uid="{00000000-0004-0000-0000-000014070000}"/>
    <hyperlink ref="I790" r:id="rId1814" xr:uid="{00000000-0004-0000-0000-000015070000}"/>
    <hyperlink ref="I789" r:id="rId1815" xr:uid="{00000000-0004-0000-0000-000016070000}"/>
    <hyperlink ref="I788" r:id="rId1816" display="http://plants.usda.gov/java/profile?symbol=SEWA" xr:uid="{00000000-0004-0000-0000-000017070000}"/>
    <hyperlink ref="I784" r:id="rId1817" display="http://plants.usda.gov/java/profile?symbol=SELA" xr:uid="{00000000-0004-0000-0000-000018070000}"/>
    <hyperlink ref="I782" r:id="rId1818" display="http://plants.usda.gov/java/profile?symbol=SCLA2" xr:uid="{00000000-0004-0000-0000-000019070000}"/>
    <hyperlink ref="I781" r:id="rId1819" display="http://plants.usda.gov/java/profile?symbol=SCGA" xr:uid="{00000000-0004-0000-0000-00001A070000}"/>
    <hyperlink ref="I780" r:id="rId1820" display="http://plants.usda.gov/java/profile?symbol=SCLA" xr:uid="{00000000-0004-0000-0000-00001B070000}"/>
    <hyperlink ref="I779" r:id="rId1821" display="http://plants.usda.gov/java/profile?symbol=SCMI2" xr:uid="{00000000-0004-0000-0000-00001C070000}"/>
    <hyperlink ref="I778" r:id="rId1822" display="Scirpus atrocinctus   " xr:uid="{00000000-0004-0000-0000-00001D070000}"/>
    <hyperlink ref="I777" r:id="rId1823" display="Schoenoplectus tabernaemontani   " xr:uid="{00000000-0004-0000-0000-00001E070000}"/>
    <hyperlink ref="I776" r:id="rId1824" display="http://plants.usda.gov/java/profile?symbol=SCSU10" xr:uid="{00000000-0004-0000-0000-00001F070000}"/>
    <hyperlink ref="I775" r:id="rId1825" display="Schoenoplectus pungens   " xr:uid="{00000000-0004-0000-0000-000020070000}"/>
    <hyperlink ref="I774" r:id="rId1826" xr:uid="{00000000-0004-0000-0000-000021070000}"/>
    <hyperlink ref="I773" r:id="rId1827" display="Scheuchzeria palustris   " xr:uid="{00000000-0004-0000-0000-000022070000}"/>
    <hyperlink ref="I771" r:id="rId1828" xr:uid="{00000000-0004-0000-0000-000023070000}"/>
    <hyperlink ref="I770" r:id="rId1829" xr:uid="{00000000-0004-0000-0000-000024070000}"/>
    <hyperlink ref="I769" r:id="rId1830" display="Sarcocornia perennis   " xr:uid="{00000000-0004-0000-0000-000025070000}"/>
    <hyperlink ref="I768" r:id="rId1831" display="http://plants.usda.gov/java/profile?symbol=SAGR5" xr:uid="{00000000-0004-0000-0000-000026070000}"/>
    <hyperlink ref="I765" r:id="rId1832" display="http://plants.usda.gov/java/profile?symbol=SAAR9" xr:uid="{00000000-0004-0000-0000-000027070000}"/>
    <hyperlink ref="I764" r:id="rId1833" display="http://plants.usda.gov/java/profile?symbol=SAOF3" xr:uid="{00000000-0004-0000-0000-000028070000}"/>
    <hyperlink ref="I763" r:id="rId1834" display="Sanguisorba menziesii " xr:uid="{00000000-0004-0000-0000-000029070000}"/>
    <hyperlink ref="I762" r:id="rId1835" xr:uid="{00000000-0004-0000-0000-00002A070000}"/>
    <hyperlink ref="I761" r:id="rId1836" display="http://plants.usda.gov/java/profile?symbol=SARA2" xr:uid="{00000000-0004-0000-0000-00002B070000}"/>
    <hyperlink ref="I760" r:id="rId1837" display="Sambucus caerulea" xr:uid="{00000000-0004-0000-0000-00002C070000}"/>
    <hyperlink ref="I757" r:id="rId1838" xr:uid="{00000000-0004-0000-0000-00002D070000}"/>
    <hyperlink ref="I756" r:id="rId1839" display="Salix prolixa " xr:uid="{00000000-0004-0000-0000-00002E070000}"/>
    <hyperlink ref="I755" r:id="rId1840" xr:uid="{00000000-0004-0000-0000-00002F070000}"/>
    <hyperlink ref="I754" r:id="rId1841" xr:uid="{00000000-0004-0000-0000-000030070000}"/>
    <hyperlink ref="I753" r:id="rId1842" display="Salix melanopsis " xr:uid="{00000000-0004-0000-0000-000031070000}"/>
    <hyperlink ref="I752" r:id="rId1843" display="Salix Lemmonii" xr:uid="{00000000-0004-0000-0000-000032070000}"/>
    <hyperlink ref="I750" r:id="rId1844" xr:uid="{00000000-0004-0000-0000-000033070000}"/>
    <hyperlink ref="I748" r:id="rId1845" xr:uid="{00000000-0004-0000-0000-000034070000}"/>
    <hyperlink ref="I747" r:id="rId1846" display="Salix geyeriana " xr:uid="{00000000-0004-0000-0000-000035070000}"/>
    <hyperlink ref="I746" r:id="rId1847" xr:uid="{00000000-0004-0000-0000-000036070000}"/>
    <hyperlink ref="I745" r:id="rId1848" xr:uid="{00000000-0004-0000-0000-000037070000}"/>
    <hyperlink ref="I744" r:id="rId1849" xr:uid="{00000000-0004-0000-0000-000038070000}"/>
    <hyperlink ref="I743" r:id="rId1850" xr:uid="{00000000-0004-0000-0000-000039070000}"/>
    <hyperlink ref="I742" r:id="rId1851" display="Salix barclayi   " xr:uid="{00000000-0004-0000-0000-00003A070000}"/>
    <hyperlink ref="I741" r:id="rId1852" xr:uid="{00000000-0004-0000-0000-00003B070000}"/>
    <hyperlink ref="I740" r:id="rId1853" display="Salicornia virginica" xr:uid="{00000000-0004-0000-0000-00003C070000}"/>
    <hyperlink ref="I739" r:id="rId1854" display="http://plants.usda.gov/java/profile?symbol=SALA2" xr:uid="{00000000-0004-0000-0000-00003D070000}"/>
    <hyperlink ref="I738" r:id="rId1855" display="http://plants.usda.gov/java/profile?symbol=SAMA6" xr:uid="{00000000-0004-0000-0000-00003E070000}"/>
    <hyperlink ref="I737" r:id="rId1856" display="http://plants.usda.gov/java/profile?symbol=SADE" xr:uid="{00000000-0004-0000-0000-00003F070000}"/>
    <hyperlink ref="I736" r:id="rId1857" display="Minuartia tenella   " xr:uid="{00000000-0004-0000-0000-000040070000}"/>
    <hyperlink ref="I735" r:id="rId1858" display="http://plants.usda.gov/java/profile?symbol=RUMA5" xr:uid="{00000000-0004-0000-0000-000041070000}"/>
    <hyperlink ref="I734" r:id="rId1859" display="Rumex persicarioides   " xr:uid="{00000000-0004-0000-0000-000042070000}"/>
    <hyperlink ref="I733" r:id="rId1860" display="Rumex occidentalis   " xr:uid="{00000000-0004-0000-0000-000043070000}"/>
    <hyperlink ref="I732" r:id="rId1861" display="http://plants.usda.gov/java/profile?symbol=RUOC2" xr:uid="{00000000-0004-0000-0000-000044070000}"/>
    <hyperlink ref="I731" r:id="rId1862" xr:uid="{00000000-0004-0000-0000-000045070000}"/>
    <hyperlink ref="I728" r:id="rId1863" display="http://plants.usda.gov/java/profile?symbol=RUPE" xr:uid="{00000000-0004-0000-0000-000046070000}"/>
    <hyperlink ref="I727" r:id="rId1864" display="http://plants.usda.gov/java/profile?symbol=RUPA" xr:uid="{00000000-0004-0000-0000-000047070000}"/>
    <hyperlink ref="I726" r:id="rId1865" display="http://plants.usda.gov/java/profile?symbol=RULE" xr:uid="{00000000-0004-0000-0000-000048070000}"/>
    <hyperlink ref="I724" r:id="rId1866" display="Rubus idaeus   " xr:uid="{00000000-0004-0000-0000-000049070000}"/>
    <hyperlink ref="I723" r:id="rId1867" xr:uid="{00000000-0004-0000-0000-00004A070000}"/>
    <hyperlink ref="I721" r:id="rId1868" display="http://plants.usda.gov/java/profile?symbol=RONU" xr:uid="{00000000-0004-0000-0000-00004B070000}"/>
    <hyperlink ref="I719" r:id="rId1869" display="http://plants.usda.gov/java/profile?symbol=ROPA2" xr:uid="{00000000-0004-0000-0000-00004C070000}"/>
    <hyperlink ref="I718" r:id="rId1870" display="http://plants.usda.gov/java/profile?symbol=ROCU" xr:uid="{00000000-0004-0000-0000-00004D070000}"/>
    <hyperlink ref="I717" r:id="rId1871" display="http://plants.usda.gov/java/profile?symbol=RITR" xr:uid="{00000000-0004-0000-0000-00004E070000}"/>
    <hyperlink ref="I715" r:id="rId1872" xr:uid="{00000000-0004-0000-0000-00004F070000}"/>
    <hyperlink ref="I713" r:id="rId1873" display="http://plants.usda.gov/java/profile?symbol=RILA3" xr:uid="{00000000-0004-0000-0000-000050070000}"/>
    <hyperlink ref="I712" r:id="rId1874" display="http://plants.usda.gov/java/profile?symbol=RILA" xr:uid="{00000000-0004-0000-0000-000051070000}"/>
    <hyperlink ref="I710" r:id="rId1875" xr:uid="{00000000-0004-0000-0000-000052070000}"/>
    <hyperlink ref="I708" r:id="rId1876" xr:uid="{00000000-0004-0000-0000-000053070000}"/>
    <hyperlink ref="I707" r:id="rId1877" display="http://plants.usda.gov/java/profile?symbol=RIAC" xr:uid="{00000000-0004-0000-0000-000054070000}"/>
    <hyperlink ref="I706" r:id="rId1878" display="http://plants.usda.gov/java/profile?symbol=RHAL3" xr:uid="{00000000-0004-0000-0000-000055070000}"/>
    <hyperlink ref="I705" r:id="rId1879" xr:uid="{00000000-0004-0000-0000-000056070000}"/>
    <hyperlink ref="I704" r:id="rId1880" xr:uid="{00000000-0004-0000-0000-000057070000}"/>
    <hyperlink ref="I701" r:id="rId1881" xr:uid="{00000000-0004-0000-0000-000058070000}"/>
    <hyperlink ref="I698" r:id="rId1882" xr:uid="{00000000-0004-0000-0000-000059070000}"/>
    <hyperlink ref="I696" r:id="rId1883" display="http://plants.usda.gov/java/profile?symbol=RAUN" xr:uid="{00000000-0004-0000-0000-00005A070000}"/>
    <hyperlink ref="I695" r:id="rId1884" display="Ranunculus sceleratus   " xr:uid="{00000000-0004-0000-0000-00005B070000}"/>
    <hyperlink ref="I694" r:id="rId1885" display="http://plants.usda.gov/java/profile?symbol=RAORO" xr:uid="{00000000-0004-0000-0000-00005C070000}"/>
    <hyperlink ref="I692" r:id="rId1886" display="http://plants.usda.gov/java/profile?symbol=RAMA2" xr:uid="{00000000-0004-0000-0000-00005D070000}"/>
    <hyperlink ref="I691" r:id="rId1887" display="http://plants.usda.gov/java/profile?symbol=RAFL2" xr:uid="{00000000-0004-0000-0000-00005E070000}"/>
    <hyperlink ref="I690" r:id="rId1888" display="http://plants.usda.gov/java/profile?symbol=RACA2" xr:uid="{00000000-0004-0000-0000-00005F070000}"/>
    <hyperlink ref="I689" r:id="rId1889" display="http://plants.usda.gov/java/profile?symbol=RAAQ" xr:uid="{00000000-0004-0000-0000-000060070000}"/>
    <hyperlink ref="I688" r:id="rId1890" display="http://plants.usda.gov/java/profile?symbol=RAAL" xr:uid="{00000000-0004-0000-0000-000061070000}"/>
    <hyperlink ref="I686" r:id="rId1891" xr:uid="{00000000-0004-0000-0000-000062070000}"/>
    <hyperlink ref="I685" r:id="rId1892" xr:uid="{00000000-0004-0000-0000-000063070000}"/>
    <hyperlink ref="I684" r:id="rId1893" xr:uid="{00000000-0004-0000-0000-000064070000}"/>
    <hyperlink ref="I683" r:id="rId1894" display="Pyracantha coccinea   " xr:uid="{00000000-0004-0000-0000-000065070000}"/>
    <hyperlink ref="I682" r:id="rId1895" display="Puccinellia nuttalliana   " xr:uid="{00000000-0004-0000-0000-000066070000}"/>
    <hyperlink ref="I681" r:id="rId1896" display="Pterospora andromedea " xr:uid="{00000000-0004-0000-0000-000067070000}"/>
    <hyperlink ref="I680" r:id="rId1897" display="http://plants.usda.gov/java/profile?symbol=PTAQ" xr:uid="{00000000-0004-0000-0000-000068070000}"/>
    <hyperlink ref="I679" r:id="rId1898" display="http://plants.usda.gov/java/profile?symbol=PSTE" xr:uid="{00000000-0004-0000-0000-000069070000}"/>
    <hyperlink ref="I678" r:id="rId1899" display="Psilocarphus elatior   " xr:uid="{00000000-0004-0000-0000-00006A070000}"/>
    <hyperlink ref="I677" r:id="rId1900" display="http://plants.usda.gov/java/profile?symbol=PSME" xr:uid="{00000000-0004-0000-0000-00006B070000}"/>
    <hyperlink ref="I676" r:id="rId1901" display="Pseudognaphalium thermale   " xr:uid="{00000000-0004-0000-0000-00006C070000}"/>
    <hyperlink ref="I675" r:id="rId1902" display="Pseudognaphalium stramineum   " xr:uid="{00000000-0004-0000-0000-00006D070000}"/>
    <hyperlink ref="I673" r:id="rId1903" display="http://plants.usda.gov/java/profile?symbol=PREM" xr:uid="{00000000-0004-0000-0000-00006E070000}"/>
    <hyperlink ref="I672" r:id="rId1904" display="http://plants.usda.gov/java/profile?symbol=PRVU" xr:uid="{00000000-0004-0000-0000-00006F070000}"/>
    <hyperlink ref="I670" r:id="rId1905" display="http://plants.usda.gov/java/profile?symbol=PRHO2" xr:uid="{00000000-0004-0000-0000-000070070000}"/>
    <hyperlink ref="I669" r:id="rId1906" display="Potentilla palustris [Comarum palustre]" xr:uid="{00000000-0004-0000-0000-000071070000}"/>
    <hyperlink ref="I668" r:id="rId1907" display="http://plants.usda.gov/java/profile?symbol=POGR9" xr:uid="{00000000-0004-0000-0000-000072070000}"/>
    <hyperlink ref="I667" r:id="rId1908" display="http://plants.usda.gov/java/profile?symbol=PODR" xr:uid="{00000000-0004-0000-0000-000073070000}"/>
    <hyperlink ref="I666" r:id="rId1909" xr:uid="{00000000-0004-0000-0000-000074070000}"/>
    <hyperlink ref="I665" r:id="rId1910" display="http://plants.usda.gov/java/profile?symbol=POZO" xr:uid="{00000000-0004-0000-0000-000075070000}"/>
    <hyperlink ref="I664" r:id="rId1911" display="http://plants.usda.gov/java/profile?symbol=PORO2" xr:uid="{00000000-0004-0000-0000-000076070000}"/>
    <hyperlink ref="I663" r:id="rId1912" display="http://plants.usda.gov/java/profile?symbol=PORI2" xr:uid="{00000000-0004-0000-0000-000077070000}"/>
    <hyperlink ref="I662" r:id="rId1913" display="http://plants.usda.gov/java/profile?symbol=POPU7" xr:uid="{00000000-0004-0000-0000-000078070000}"/>
    <hyperlink ref="I661" r:id="rId1914" display="http://plants.usda.gov/java/profile?symbol=POOB2" xr:uid="{00000000-0004-0000-0000-000079070000}"/>
    <hyperlink ref="I660" r:id="rId1915" display="http://plants.usda.gov/java/profile?symbol=PONO2" xr:uid="{00000000-0004-0000-0000-00007A070000}"/>
    <hyperlink ref="I659" r:id="rId1916" display="http://plants.usda.gov/java/profile?symbol=PONA4" xr:uid="{00000000-0004-0000-0000-00007B070000}"/>
    <hyperlink ref="I658" r:id="rId1917" display="http://plants.usda.gov/java/profile?symbol=POIL" xr:uid="{00000000-0004-0000-0000-00007C070000}"/>
    <hyperlink ref="I657" r:id="rId1918" display="http://plants.usda.gov/java/profile?symbol=POGR8" xr:uid="{00000000-0004-0000-0000-00007D070000}"/>
    <hyperlink ref="I656" r:id="rId1919" display="http://plants.usda.gov/java/profile?symbol=POFO3" xr:uid="{00000000-0004-0000-0000-00007E070000}"/>
    <hyperlink ref="I655" r:id="rId1920" display="http://plants.usda.gov/java/profile?symbol=POEP2" xr:uid="{00000000-0004-0000-0000-00007F070000}"/>
    <hyperlink ref="I654" r:id="rId1921" display="http://plants.usda.gov/java/profile?symbol=POAM5" xr:uid="{00000000-0004-0000-0000-000080070000}"/>
    <hyperlink ref="I653" r:id="rId1922" xr:uid="{00000000-0004-0000-0000-000081070000}"/>
    <hyperlink ref="I652" r:id="rId1923" display="http://plants.usda.gov/java/profile?symbol=POTR5" xr:uid="{00000000-0004-0000-0000-000082070000}"/>
    <hyperlink ref="I651" r:id="rId1924" xr:uid="{00000000-0004-0000-0000-000083070000}"/>
    <hyperlink ref="I650" r:id="rId1925" display="http://plants.usda.gov/java/profile?symbol=POMU" xr:uid="{00000000-0004-0000-0000-000084070000}"/>
    <hyperlink ref="I648" r:id="rId1926" display="http://plants.usda.gov/java/profile?symbol=POCA25" xr:uid="{00000000-0004-0000-0000-000085070000}"/>
    <hyperlink ref="I647" r:id="rId1927" display="http://plants.usda.gov/java/profile?symbol=POAN2" xr:uid="{00000000-0004-0000-0000-000086070000}"/>
    <hyperlink ref="I645" r:id="rId1928" display="http://plants.usda.gov/java/profile?symbol=POHE3" xr:uid="{00000000-0004-0000-0000-000087070000}"/>
    <hyperlink ref="I643" r:id="rId1929" display="Polygonum spergulariiforme   " xr:uid="{00000000-0004-0000-0000-000088070000}"/>
    <hyperlink ref="I641" r:id="rId1930" display="http://plants.usda.gov/java/profile?symbol=PODO4" xr:uid="{00000000-0004-0000-0000-000089070000}"/>
    <hyperlink ref="I640" r:id="rId1931" display="Polemonium pulcherrrimum" xr:uid="{00000000-0004-0000-0000-00008A070000}"/>
    <hyperlink ref="I639" r:id="rId1932" display="http://plants.usda.gov/java/profile?symbol=POCA4" xr:uid="{00000000-0004-0000-0000-00008B070000}"/>
    <hyperlink ref="I638" r:id="rId1933" xr:uid="{00000000-0004-0000-0000-00008C070000}"/>
    <hyperlink ref="I637" r:id="rId1934" xr:uid="{00000000-0004-0000-0000-00008D070000}"/>
    <hyperlink ref="I636" r:id="rId1935" display="http://plants.usda.gov/java/profile?symbol=POMA26" xr:uid="{00000000-0004-0000-0000-00008E070000}"/>
    <hyperlink ref="I633" r:id="rId1936" display="http://plants.usda.gov/java/profile?symbol=POCO2" xr:uid="{00000000-0004-0000-0000-00008F070000}"/>
    <hyperlink ref="I631" r:id="rId1937" xr:uid="{00000000-0004-0000-0000-000090070000}"/>
    <hyperlink ref="I629" r:id="rId1938" display="http://plants.usda.gov/java/profile?symbol=PIUN3" xr:uid="{00000000-0004-0000-0000-000091070000}"/>
    <hyperlink ref="I628" r:id="rId1939" display="http://plants.usda.gov/java/profile?symbol=PITR3" xr:uid="{00000000-0004-0000-0000-000092070000}"/>
    <hyperlink ref="I626" r:id="rId1940" display="Platanthera orbiculata   " xr:uid="{00000000-0004-0000-0000-000093070000}"/>
    <hyperlink ref="I625" r:id="rId1941" display="http://plants.usda.gov/java/profile?symbol=PIEL4" xr:uid="{00000000-0004-0000-0000-000094070000}"/>
    <hyperlink ref="I624" r:id="rId1942" display="http://plants.usda.gov/java/profile?symbol=PLDI3" xr:uid="{00000000-0004-0000-0000-000095070000}"/>
    <hyperlink ref="I622" r:id="rId1943" display="http://plants.usda.gov/java/profile?symbol=PLMA3" xr:uid="{00000000-0004-0000-0000-000096070000}"/>
    <hyperlink ref="I621" r:id="rId1944" display="Plantago macrocarpa   " xr:uid="{00000000-0004-0000-0000-000097070000}"/>
    <hyperlink ref="I620" r:id="rId1945" display="http://plants.usda.gov/java/profile?symbol=PLEL" xr:uid="{00000000-0004-0000-0000-000098070000}"/>
    <hyperlink ref="I619" r:id="rId1946" xr:uid="{00000000-0004-0000-0000-000099070000}"/>
    <hyperlink ref="I618" r:id="rId1947" display="http://plants.usda.gov/java/profile?symbol=PLFI" xr:uid="{00000000-0004-0000-0000-00009A070000}"/>
    <hyperlink ref="I617" r:id="rId1948" xr:uid="{00000000-0004-0000-0000-00009B070000}"/>
    <hyperlink ref="I616" r:id="rId1949" display="http://plants.usda.gov/java/profile?symbol=PIPO" xr:uid="{00000000-0004-0000-0000-00009C070000}"/>
    <hyperlink ref="I615" r:id="rId1950" display="http://plants.usda.gov/java/profile?symbol=PIMO3" xr:uid="{00000000-0004-0000-0000-00009D070000}"/>
    <hyperlink ref="I613" r:id="rId1951" display="http://plants.usda.gov/java/profile?symbol=PIAL" xr:uid="{00000000-0004-0000-0000-00009E070000}"/>
    <hyperlink ref="I611" r:id="rId1952" display="http://plants.usda.gov/java/profile?symbol=PIENE" xr:uid="{00000000-0004-0000-0000-00009F070000}"/>
    <hyperlink ref="I609" r:id="rId1953" display="http://plants.usda.gov/java/profile?symbol=PHDI3" xr:uid="{00000000-0004-0000-0000-0000A0070000}"/>
    <hyperlink ref="I607" r:id="rId1954" xr:uid="{00000000-0004-0000-0000-0000A1070000}"/>
    <hyperlink ref="I605" r:id="rId1955" display="http://plants.usda.gov/java/profile?symbol=PHHE2" xr:uid="{00000000-0004-0000-0000-0000A2070000}"/>
    <hyperlink ref="I604" r:id="rId1956" display="Petasides frigilus" xr:uid="{00000000-0004-0000-0000-0000A3070000}"/>
    <hyperlink ref="I603" r:id="rId1957" display="Persicaria lapathifolia   " xr:uid="{00000000-0004-0000-0000-0000A4070000}"/>
    <hyperlink ref="I602" r:id="rId1958" display="Persicaria hydropiperoides   " xr:uid="{00000000-0004-0000-0000-0000A5070000}"/>
    <hyperlink ref="I601" r:id="rId1959" display="http://plants.usda.gov/java/profile?symbol=POAME" xr:uid="{00000000-0004-0000-0000-0000A6070000}"/>
    <hyperlink ref="I600" r:id="rId1960" xr:uid="{00000000-0004-0000-0000-0000A7070000}"/>
    <hyperlink ref="I599" r:id="rId1961" xr:uid="{00000000-0004-0000-0000-0000A8070000}"/>
    <hyperlink ref="I594" r:id="rId1962" xr:uid="{00000000-0004-0000-0000-0000A9070000}"/>
    <hyperlink ref="I592" r:id="rId1963" xr:uid="{00000000-0004-0000-0000-0000AA070000}"/>
    <hyperlink ref="I591" r:id="rId1964" display="http://plants.usda.gov/java/profile?symbol=PEAT3" xr:uid="{00000000-0004-0000-0000-0000AB070000}"/>
    <hyperlink ref="I590" r:id="rId1965" display="Pedicularis groenlandica   " xr:uid="{00000000-0004-0000-0000-0000AC070000}"/>
    <hyperlink ref="I588" r:id="rId1966" display="Pectiantia breweri   " xr:uid="{00000000-0004-0000-0000-0000AD070000}"/>
    <hyperlink ref="I587" r:id="rId1967" display="http://plants.usda.gov/java/profile?symbol=PAMY" xr:uid="{00000000-0004-0000-0000-0000AE070000}"/>
    <hyperlink ref="I586" r:id="rId1968" xr:uid="{00000000-0004-0000-0000-0000AF070000}"/>
    <hyperlink ref="I585" r:id="rId1969" display="Parnassia fimbriata   " xr:uid="{00000000-0004-0000-0000-0000B0070000}"/>
    <hyperlink ref="I584" r:id="rId1970" xr:uid="{00000000-0004-0000-0000-0000B1070000}"/>
    <hyperlink ref="I583" r:id="rId1971" xr:uid="{00000000-0004-0000-0000-0000B2070000}"/>
    <hyperlink ref="I581" r:id="rId1972" xr:uid="{00000000-0004-0000-0000-0000B3070000}"/>
    <hyperlink ref="I580" r:id="rId1973" xr:uid="{00000000-0004-0000-0000-0000B4070000}"/>
    <hyperlink ref="I579" r:id="rId1974" display="http://plants.usda.gov/java/profile?symbol=CHRU" xr:uid="{00000000-0004-0000-0000-0000B5070000}"/>
    <hyperlink ref="I577" r:id="rId1975" xr:uid="{00000000-0004-0000-0000-0000B6070000}"/>
    <hyperlink ref="I575" r:id="rId1976" display="http://plants.usda.gov/java/profile?symbol=OSPU" xr:uid="{00000000-0004-0000-0000-0000B7070000}"/>
    <hyperlink ref="I574" r:id="rId1977" display="http://plants.usda.gov/java/profile?symbol=OSBE" xr:uid="{00000000-0004-0000-0000-0000B8070000}"/>
    <hyperlink ref="I573" r:id="rId1978" display="http://plants.usda.gov/java/profile?symbol=ORBR" xr:uid="{00000000-0004-0000-0000-0000B9070000}"/>
    <hyperlink ref="I572" r:id="rId1979" display="Orthilia secunda   " xr:uid="{00000000-0004-0000-0000-0000BA070000}"/>
    <hyperlink ref="I571" r:id="rId1980" display="Opuntia Fragilis" xr:uid="{00000000-0004-0000-0000-0000BB070000}"/>
    <hyperlink ref="I570" r:id="rId1981" display="http://plants.usda.gov/java/profile?symbol=OPHO" xr:uid="{00000000-0004-0000-0000-0000BC070000}"/>
    <hyperlink ref="I569" r:id="rId1982" display="http://plants.usda.gov/java/profile?symbol=OPPU3" xr:uid="{00000000-0004-0000-0000-0000BD070000}"/>
    <hyperlink ref="I567" r:id="rId1983" xr:uid="{00000000-0004-0000-0000-0000BE070000}"/>
    <hyperlink ref="I564" r:id="rId1984" xr:uid="{00000000-0004-0000-0000-0000BF070000}"/>
    <hyperlink ref="I563" r:id="rId1985" display="Nuttallanthus texanus   " xr:uid="{00000000-0004-0000-0000-0000C0070000}"/>
    <hyperlink ref="I562" r:id="rId1986" xr:uid="{00000000-0004-0000-0000-0000C1070000}"/>
    <hyperlink ref="I559" r:id="rId1987" display="http://plants.usda.gov/java/profile?symbol=NEPE" xr:uid="{00000000-0004-0000-0000-0000C2070000}"/>
    <hyperlink ref="I558" r:id="rId1988" display="http://plants.usda.gov/java/profile?symbol=NEPA" xr:uid="{00000000-0004-0000-0000-0000C3070000}"/>
    <hyperlink ref="I557" r:id="rId1989" display="http://plants.usda.gov/java/profile?symbol=NASQ" xr:uid="{00000000-0004-0000-0000-0000C4070000}"/>
    <hyperlink ref="I556" r:id="rId1990" display="http://plants.usda.gov/java/profile?symbol=NAIN2" xr:uid="{00000000-0004-0000-0000-0000C5070000}"/>
    <hyperlink ref="I555" r:id="rId1991" display="http://plants.usda.gov/java/profile?symbol=NAFL" xr:uid="{00000000-0004-0000-0000-0000C6070000}"/>
    <hyperlink ref="I554" r:id="rId1992" display="http://plants.usda.gov/java/profile?symbol=PRAL" xr:uid="{00000000-0004-0000-0000-0000C7070000}"/>
    <hyperlink ref="I553" r:id="rId1993" display="http://plants.usda.gov/java/profile?symbol=CHGR" xr:uid="{00000000-0004-0000-0000-0000C8070000}"/>
    <hyperlink ref="I552" r:id="rId1994" display="http://plants.usda.gov/java/profile?symbol=MYVE3" xr:uid="{00000000-0004-0000-0000-0000C9070000}"/>
    <hyperlink ref="I551" r:id="rId1995" display="Myriophyllum sibiricum   " xr:uid="{00000000-0004-0000-0000-0000CA070000}"/>
    <hyperlink ref="I550" r:id="rId1996" display="http://plants.usda.gov/java/profile?symbol=MYQU" xr:uid="{00000000-0004-0000-0000-0000CB070000}"/>
    <hyperlink ref="I549" r:id="rId1997" display="http://plants.usda.gov/java/profile?symbol=MYHI" xr:uid="{00000000-0004-0000-0000-0000CC070000}"/>
    <hyperlink ref="I548" r:id="rId1998" display="http://plants.usda.gov/java/profile?symbol=MYGA" xr:uid="{00000000-0004-0000-0000-0000CD070000}"/>
    <hyperlink ref="I546" r:id="rId1999" display="http://plants.usda.gov/java/profile?symbol=MYMI2" xr:uid="{00000000-0004-0000-0000-0000CE070000}"/>
    <hyperlink ref="I545" r:id="rId2000" display="http://plants.usda.gov/java/profile?symbol=MYLA" xr:uid="{00000000-0004-0000-0000-0000CF070000}"/>
    <hyperlink ref="I543" r:id="rId2001" display="Montia linearis   " xr:uid="{00000000-0004-0000-0000-0000D0070000}"/>
    <hyperlink ref="I542" r:id="rId2002" display="http://plants.usda.gov/java/profile?symbol=MOHO" xr:uid="{00000000-0004-0000-0000-0000D1070000}"/>
    <hyperlink ref="I541" r:id="rId2003" display="http://plants.usda.gov/java/profile?symbol=MOFO" xr:uid="{00000000-0004-0000-0000-0000D2070000}"/>
    <hyperlink ref="I540" r:id="rId2004" display="http://plants.usda.gov/java/profile?symbol=MODI3" xr:uid="{00000000-0004-0000-0000-0000D3070000}"/>
    <hyperlink ref="I539" r:id="rId2005" display="http://plants.usda.gov/java/profile?symbol=MODI2" xr:uid="{00000000-0004-0000-0000-0000D4070000}"/>
    <hyperlink ref="I538" r:id="rId2006" xr:uid="{00000000-0004-0000-0000-0000D5070000}"/>
    <hyperlink ref="I537" r:id="rId2007" xr:uid="{00000000-0004-0000-0000-0000D6070000}"/>
    <hyperlink ref="I536" r:id="rId2008" display="Moneses uniflora " xr:uid="{00000000-0004-0000-0000-0000D7070000}"/>
    <hyperlink ref="I535" r:id="rId2009" display="Arenaria macrophylla" xr:uid="{00000000-0004-0000-0000-0000D8070000}"/>
    <hyperlink ref="I534" r:id="rId2010" display="Moehringia lateriflora   " xr:uid="{00000000-0004-0000-0000-0000D9070000}"/>
    <hyperlink ref="I532" r:id="rId2011" display="Microsteris gracilis   " xr:uid="{00000000-0004-0000-0000-0000DA070000}"/>
    <hyperlink ref="I531" r:id="rId2012" display="http://plants.usda.gov/java/profile?symbol=MILA" xr:uid="{00000000-0004-0000-0000-0000DB070000}"/>
    <hyperlink ref="I530" r:id="rId2013" xr:uid="{00000000-0004-0000-0000-0000DC070000}"/>
    <hyperlink ref="I529" r:id="rId2014" xr:uid="{00000000-0004-0000-0000-0000DD070000}"/>
    <hyperlink ref="I528" r:id="rId2015" display="Micranthes oregana   " xr:uid="{00000000-0004-0000-0000-0000DE070000}"/>
    <hyperlink ref="I527" r:id="rId2016" display="Micranthes occidentalis   " xr:uid="{00000000-0004-0000-0000-0000DF070000}"/>
    <hyperlink ref="I526" r:id="rId2017" display="Micranthes integrifolia   " xr:uid="{00000000-0004-0000-0000-0000E0070000}"/>
    <hyperlink ref="I525" r:id="rId2018" display="Micranthes ferruginea   " xr:uid="{00000000-0004-0000-0000-0000E1070000}"/>
    <hyperlink ref="I524" r:id="rId2019" tooltip="Metasequoia glyptostroboides" display="https://en.wikipedia.org/wiki/Metasequoia_glyptostroboides" xr:uid="{00000000-0004-0000-0000-0000E2070000}"/>
    <hyperlink ref="I523" r:id="rId2020" display="http://plants.usda.gov/java/profile?symbol=MEPL" xr:uid="{00000000-0004-0000-0000-0000E3070000}"/>
    <hyperlink ref="I522" r:id="rId2021" display="http://plants.usda.gov/java/profile?symbol=METR3" xr:uid="{00000000-0004-0000-0000-0000E4070000}"/>
    <hyperlink ref="I521" r:id="rId2022" display="http://plants.usda.gov/java/profile?symbol=MEAR4" xr:uid="{00000000-0004-0000-0000-0000E5070000}"/>
    <hyperlink ref="I520" r:id="rId2023" display="http://plants.usda.gov/java/profile?symbol=MESU" xr:uid="{00000000-0004-0000-0000-0000E6070000}"/>
    <hyperlink ref="I519" r:id="rId2024" display="http://plants.usda.gov/java/profile?symbol=MESM" xr:uid="{00000000-0004-0000-0000-0000E7070000}"/>
    <hyperlink ref="I518" r:id="rId2025" display="http://plants.usda.gov/java/profile?symbol=MEOR" xr:uid="{00000000-0004-0000-0000-0000E8070000}"/>
    <hyperlink ref="I517" r:id="rId2026" display="Matteuccia struiopteris" xr:uid="{00000000-0004-0000-0000-0000E9070000}"/>
    <hyperlink ref="I514" r:id="rId2027" xr:uid="{00000000-0004-0000-0000-0000EA070000}"/>
    <hyperlink ref="I513" r:id="rId2028" display="http://plants.usda.gov/java/profile?symbol=MAST4" xr:uid="{00000000-0004-0000-0000-0000EB070000}"/>
    <hyperlink ref="I512" r:id="rId2029" display="http://plants.usda.gov/java/profile?symbol=MARA7" xr:uid="{00000000-0004-0000-0000-0000EC070000}"/>
    <hyperlink ref="I510" r:id="rId2030" display="http://plants.usda.gov/java/profile?symbol=MASA" xr:uid="{00000000-0004-0000-0000-0000ED070000}"/>
    <hyperlink ref="I509" r:id="rId2031" display="http://plants.usda.gov/java/profile?symbol=MAGR3" xr:uid="{00000000-0004-0000-0000-0000EE070000}"/>
    <hyperlink ref="I508" r:id="rId2032" display="http://plants.usda.gov/java/profile?symbol=MAGL2" xr:uid="{00000000-0004-0000-0000-0000EF070000}"/>
    <hyperlink ref="I507" r:id="rId2033" display="http://plants.usda.gov/java/profile?symbol=MAEX" xr:uid="{00000000-0004-0000-0000-0000F0070000}"/>
    <hyperlink ref="I506" r:id="rId2034" display="http://plants.usda.gov/java/profile?symbol=MAEL" xr:uid="{00000000-0004-0000-0000-0000F1070000}"/>
    <hyperlink ref="I505" r:id="rId2035" display="http://plants.usda.gov/java/profile?symbol=LYTH2" xr:uid="{00000000-0004-0000-0000-0000F2070000}"/>
    <hyperlink ref="I502" r:id="rId2036" display="http://plants.usda.gov/java/profile?symbol=LYAM3" xr:uid="{00000000-0004-0000-0000-0000F3070000}"/>
    <hyperlink ref="I501" r:id="rId2037" display="http://plants.usda.gov/java/profile?symbol=LYUN" xr:uid="{00000000-0004-0000-0000-0000F4070000}"/>
    <hyperlink ref="I500" r:id="rId2038" display="http://plants.usda.gov/java/profile?symbol=LYAM" xr:uid="{00000000-0004-0000-0000-0000F5070000}"/>
    <hyperlink ref="I499" r:id="rId2039" display="http://plants.usda.gov/java/profile?symbol=LYCL" xr:uid="{00000000-0004-0000-0000-0000F6070000}"/>
    <hyperlink ref="I498" r:id="rId2040" display="Lycopochiella innundata" xr:uid="{00000000-0004-0000-0000-0000F7070000}"/>
    <hyperlink ref="I497" r:id="rId2041" display="http://plants.usda.gov/java/profile?symbol=LUPA4" xr:uid="{00000000-0004-0000-0000-0000F8070000}"/>
    <hyperlink ref="I496" r:id="rId2042" display="http://plants.usda.gov/java/profile?symbol=LUMU2" xr:uid="{00000000-0004-0000-0000-0000F9070000}"/>
    <hyperlink ref="I495" r:id="rId2043" display="http://plants.usda.gov/java/profile?symbol=LUCO6" xr:uid="{00000000-0004-0000-0000-0000FA070000}"/>
    <hyperlink ref="I493" r:id="rId2044" display="http://plants.usda.gov/java/profile?symbol=LUPO2" xr:uid="{00000000-0004-0000-0000-0000FB070000}"/>
    <hyperlink ref="I492" r:id="rId2045" xr:uid="{00000000-0004-0000-0000-0000FC070000}"/>
    <hyperlink ref="I491" r:id="rId2046" display="Lupinus microcarpus   " xr:uid="{00000000-0004-0000-0000-0000FD070000}"/>
    <hyperlink ref="I489" r:id="rId2047" display="http://plants.usda.gov/java/profile?symbol=LULE2" xr:uid="{00000000-0004-0000-0000-0000FE070000}"/>
    <hyperlink ref="I487" r:id="rId2048" display="http://plants.usda.gov/java/profile?symbol=LUBI" xr:uid="{00000000-0004-0000-0000-0000FF070000}"/>
    <hyperlink ref="I484" r:id="rId2049" display="http://plants.usda.gov/java/profile?symbol=LUPA" xr:uid="{00000000-0004-0000-0000-000000080000}"/>
    <hyperlink ref="I407" r:id="rId2050" display="http://plants.usda.gov/java/profile?symbol=LOPI2" xr:uid="{00000000-0004-0000-0000-000001080000}"/>
    <hyperlink ref="I406" r:id="rId2051" display="http://plants.usda.gov/java/profile?symbol=LOCR" xr:uid="{00000000-0004-0000-0000-000002080000}"/>
    <hyperlink ref="I408" r:id="rId2052" display="http://plants.usda.gov/java/profile?symbol=LOAB" xr:uid="{00000000-0004-0000-0000-000003080000}"/>
    <hyperlink ref="I482" r:id="rId2053" display="Lonicera utahensis   " xr:uid="{00000000-0004-0000-0000-000004080000}"/>
    <hyperlink ref="I481" r:id="rId2054" display="http://plants.usda.gov/java/profile?symbol=LOIN5" xr:uid="{00000000-0004-0000-0000-000005080000}"/>
    <hyperlink ref="I478" r:id="rId2055" display="http://plants.usda.gov/java/profile?symbol=LOCI3" xr:uid="{00000000-0004-0000-0000-000006080000}"/>
    <hyperlink ref="I475" r:id="rId2056" display="http://plants.usda.gov/java/profile?symbol=LODI" xr:uid="{00000000-0004-0000-0000-000007080000}"/>
    <hyperlink ref="I474" r:id="rId2057" display="Lobelia kalmii " xr:uid="{00000000-0004-0000-0000-000008080000}"/>
    <hyperlink ref="I473" r:id="rId2058" display="http://plants.usda.gov/java/profile?symbol=LODO" xr:uid="{00000000-0004-0000-0000-000009080000}"/>
    <hyperlink ref="I472" r:id="rId2059" display="http://plants.usda.gov/java/profile?symbol=LIPA5" xr:uid="{00000000-0004-0000-0000-00000A080000}"/>
    <hyperlink ref="I560" r:id="rId2060" display="Listera cordata " xr:uid="{00000000-0004-0000-0000-00000B080000}"/>
    <hyperlink ref="I471" r:id="rId2061" display="Linum lewissi" xr:uid="{00000000-0004-0000-0000-00000C080000}"/>
    <hyperlink ref="I470" r:id="rId2062" xr:uid="{00000000-0004-0000-0000-00000D080000}"/>
    <hyperlink ref="I469" r:id="rId2063" display="http://plants.usda.gov/java/profile?symbol=LIDU" xr:uid="{00000000-0004-0000-0000-00000E080000}"/>
    <hyperlink ref="I468" r:id="rId2064" display="http://plants.usda.gov/java/profile?symbol=LIAQ" xr:uid="{00000000-0004-0000-0000-00000F080000}"/>
    <hyperlink ref="I466" r:id="rId2065" display="Lilaeopsis occidentalis   " xr:uid="{00000000-0004-0000-0000-000010080000}"/>
    <hyperlink ref="I464" r:id="rId2066" display="Elymus mollis" xr:uid="{00000000-0004-0000-0000-000011080000}"/>
    <hyperlink ref="I463" r:id="rId2067" xr:uid="{00000000-0004-0000-0000-000012080000}"/>
    <hyperlink ref="I462" r:id="rId2068" display="Lewisia columbiana   " xr:uid="{00000000-0004-0000-0000-000013080000}"/>
    <hyperlink ref="I461" r:id="rId2069" display="http://plants.usda.gov/java/profile?symbol=LEBI8" xr:uid="{00000000-0004-0000-0000-000014080000}"/>
    <hyperlink ref="I460" r:id="rId2070" display="Leptarrhena pyrolifolia   " xr:uid="{00000000-0004-0000-0000-000015080000}"/>
    <hyperlink ref="I459" r:id="rId2071" display="Lepidium virginicum   " xr:uid="{00000000-0004-0000-0000-000016080000}"/>
    <hyperlink ref="I458" r:id="rId2072" display="Lemna turionifera   " xr:uid="{00000000-0004-0000-0000-000017080000}"/>
    <hyperlink ref="I457" r:id="rId2073" display="http://plants.usda.gov/java/profile?symbol=LETR" xr:uid="{00000000-0004-0000-0000-000018080000}"/>
    <hyperlink ref="I456" r:id="rId2074" xr:uid="{00000000-0004-0000-0000-000019080000}"/>
    <hyperlink ref="I455" r:id="rId2075" location="tabImages" display="Leersia oryzoides   " xr:uid="{00000000-0004-0000-0000-00001A080000}"/>
    <hyperlink ref="I454" r:id="rId2076" display="http://plants.usda.gov/java/profile?symbol=LAVE2" xr:uid="{00000000-0004-0000-0000-00001B080000}"/>
    <hyperlink ref="I453" r:id="rId2077" display="http://plants.usda.gov/java/profile?symbol=LATO" xr:uid="{00000000-0004-0000-0000-00001C080000}"/>
    <hyperlink ref="I451" r:id="rId2078" display="http://plants.usda.gov/java/profile?symbol=LAPA4" xr:uid="{00000000-0004-0000-0000-00001D080000}"/>
    <hyperlink ref="I450" r:id="rId2079" display="http://plants.usda.gov/java/profile?symbol=LANE3" xr:uid="{00000000-0004-0000-0000-00001E080000}"/>
    <hyperlink ref="I448" r:id="rId2080" display="Lathyrus japonicus   " xr:uid="{00000000-0004-0000-0000-00001F080000}"/>
    <hyperlink ref="I447" r:id="rId2081" xr:uid="{00000000-0004-0000-0000-000020080000}"/>
    <hyperlink ref="I446" r:id="rId2082" display="http://plants.usda.gov/java/profile?symbol=LAMA8" xr:uid="{00000000-0004-0000-0000-000021080000}"/>
    <hyperlink ref="I445" r:id="rId2083" xr:uid="{00000000-0004-0000-0000-000022080000}"/>
    <hyperlink ref="I444" r:id="rId2084" display="http://plants.usda.gov/java/profile?symbol=LAOC" xr:uid="{00000000-0004-0000-0000-000023080000}"/>
    <hyperlink ref="I443" r:id="rId2085" display="Lactuca biennis   " xr:uid="{00000000-0004-0000-0000-000024080000}"/>
    <hyperlink ref="I441" r:id="rId2086" display="http://plants.usda.gov/java/profile?symbol=KOMA" xr:uid="{00000000-0004-0000-0000-000025080000}"/>
    <hyperlink ref="I440" r:id="rId2087" display="http://plants.usda.gov/java/profile?symbol=JUSC2" xr:uid="{00000000-0004-0000-0000-000026080000}"/>
    <hyperlink ref="I437" r:id="rId2088" xr:uid="{00000000-0004-0000-0000-000027080000}"/>
    <hyperlink ref="I436" r:id="rId2089" display="http://plants.usda.gov/java/profile?symbol=JUTE" xr:uid="{00000000-0004-0000-0000-000028080000}"/>
    <hyperlink ref="I435" r:id="rId2090" display="http://plants.usda.gov/java/profile?symbol=JUSU3" xr:uid="{00000000-0004-0000-0000-000029080000}"/>
    <hyperlink ref="I433" r:id="rId2091" display="http://plants.usda.gov/java/profile?symbol=JUOX" xr:uid="{00000000-0004-0000-0000-00002A080000}"/>
    <hyperlink ref="I432" r:id="rId2092" display="Juncus mertensianus   " xr:uid="{00000000-0004-0000-0000-00002B080000}"/>
    <hyperlink ref="I431" r:id="rId2093" display="http://plants.usda.gov/java/profile?symbol=JUEN" xr:uid="{00000000-0004-0000-0000-00002C080000}"/>
    <hyperlink ref="I430" r:id="rId2094" display="http://plants.usda.gov/java/profile?symbol=JUEF" xr:uid="{00000000-0004-0000-0000-00002D080000}"/>
    <hyperlink ref="I429" r:id="rId2095" display="Juncus brevicaudatus   " xr:uid="{00000000-0004-0000-0000-00002E080000}"/>
    <hyperlink ref="I428" r:id="rId2096" display="http://plants.usda.gov/java/profile?symbol=JUBO" xr:uid="{00000000-0004-0000-0000-00002F080000}"/>
    <hyperlink ref="I427" r:id="rId2097" display="Juncus alpinoarticulatus   " xr:uid="{00000000-0004-0000-0000-000030080000}"/>
    <hyperlink ref="I426" r:id="rId2098" display="http://plants.usda.gov/java/profile?symbol=JUAC" xr:uid="{00000000-0004-0000-0000-000031080000}"/>
    <hyperlink ref="I425" r:id="rId2099" display="Jaumea carnosa   " xr:uid="{00000000-0004-0000-0000-000032080000}"/>
    <hyperlink ref="I423" r:id="rId2100" display="Isoetes tenella   " xr:uid="{00000000-0004-0000-0000-000033080000}"/>
    <hyperlink ref="I422" r:id="rId2101" display="http://plants.usda.gov/java/profile?symbol=ISOC" xr:uid="{00000000-0004-0000-0000-000034080000}"/>
    <hyperlink ref="I421" r:id="rId2102" xr:uid="{00000000-0004-0000-0000-000035080000}"/>
    <hyperlink ref="I419" r:id="rId2103" xr:uid="{00000000-0004-0000-0000-000036080000}"/>
    <hyperlink ref="I418" r:id="rId2104" display="Impatiens noli-tangere   " xr:uid="{00000000-0004-0000-0000-000037080000}"/>
    <hyperlink ref="I417" r:id="rId2105" display="Impatiens ecornuta   " xr:uid="{00000000-0004-0000-0000-000038080000}"/>
    <hyperlink ref="I416" r:id="rId2106" display="http://plants.usda.gov/java/profile?symbol=HYSC5" xr:uid="{00000000-0004-0000-0000-000039080000}"/>
    <hyperlink ref="I415" r:id="rId2107" display="Hypericum majus   " xr:uid="{00000000-0004-0000-0000-00003A080000}"/>
    <hyperlink ref="I414" r:id="rId2108" display="http://plants.usda.gov/java/profile?symbol=HYAN2" xr:uid="{00000000-0004-0000-0000-00003B080000}"/>
    <hyperlink ref="I412" r:id="rId2109" display="http://plants.usda.gov/java/profile?symbol=HYRA" xr:uid="{00000000-0004-0000-0000-00003C080000}"/>
    <hyperlink ref="I409" r:id="rId2110" display="http://plants.usda.gov/java/profile?symbol=HOAQ" xr:uid="{00000000-0004-0000-0000-00003D080000}"/>
    <hyperlink ref="I405" r:id="rId2111" display="http://plants.usda.gov/java/profile?symbol=HOJU" xr:uid="{00000000-0004-0000-0000-00003E080000}"/>
    <hyperlink ref="I404" r:id="rId2112" display="http://plants.usda.gov/java/profile?symbol=HODE2" xr:uid="{00000000-0004-0000-0000-00003F080000}"/>
    <hyperlink ref="I403" r:id="rId2113" display="http://plants.usda.gov/java/profile?symbol=HOBR2" xr:uid="{00000000-0004-0000-0000-000040080000}"/>
    <hyperlink ref="I402" r:id="rId2114" display="Honckenya peploides   " xr:uid="{00000000-0004-0000-0000-000041080000}"/>
    <hyperlink ref="I401" r:id="rId2115" display="http://plants.usda.gov/java/profile?symbol=HODI" xr:uid="{00000000-0004-0000-0000-000042080000}"/>
    <hyperlink ref="I400" r:id="rId2116" display="http://plants.usda.gov/java/profile?symbol=HIVU2" xr:uid="{00000000-0004-0000-0000-000043080000}"/>
    <hyperlink ref="I399" r:id="rId2117" display="http://plants.usda.gov/java/profile?symbol=HIHI" xr:uid="{00000000-0004-0000-0000-000044080000}"/>
    <hyperlink ref="I398" r:id="rId2118" display="http://plants.usda.gov/java/profile?symbol=HISC2" xr:uid="{00000000-0004-0000-0000-000045080000}"/>
    <hyperlink ref="I397" r:id="rId2119" display="http://plants.usda.gov/java/profile?symbol=HIAL2" xr:uid="{00000000-0004-0000-0000-000046080000}"/>
    <hyperlink ref="I394" r:id="rId2120" display="http://plants.usda.gov/java/profile?symbol=HECH" xr:uid="{00000000-0004-0000-0000-000047080000}"/>
    <hyperlink ref="I392" r:id="rId2121" xr:uid="{00000000-0004-0000-0000-000048080000}"/>
    <hyperlink ref="I391" r:id="rId2122" display="http://plants.usda.gov/java/profile?symbol=HEOR2" xr:uid="{00000000-0004-0000-0000-000049080000}"/>
    <hyperlink ref="I390" r:id="rId2123" display="http://plants.usda.gov/java/profile?symbol=HERAC" xr:uid="{00000000-0004-0000-0000-00004A080000}"/>
    <hyperlink ref="I389" r:id="rId2124" display="http://plants.usda.gov/java/profile?symbol=HEMI20" xr:uid="{00000000-0004-0000-0000-00004B080000}"/>
    <hyperlink ref="I388" r:id="rId2125" xr:uid="{00000000-0004-0000-0000-00004C080000}"/>
    <hyperlink ref="I387" r:id="rId2126" display="http://plants.usda.gov/java/profile?symbol=HEAN3" xr:uid="{00000000-0004-0000-0000-00004D080000}"/>
    <hyperlink ref="I386" r:id="rId2127" display="http://plants.usda.gov/java/profile?symbol=HEAU" xr:uid="{00000000-0004-0000-0000-00004E080000}"/>
    <hyperlink ref="I385" r:id="rId2128" display="http://plants.usda.gov/java/profile?symbol=RACY" xr:uid="{00000000-0004-0000-0000-00004F080000}"/>
    <hyperlink ref="I384" r:id="rId2129" display="http://plants.usda.gov/java/profile?symbol=GYDR" xr:uid="{00000000-0004-0000-0000-000050080000}"/>
    <hyperlink ref="I383" r:id="rId2130" display="http://plants.usda.gov/java/profile?symbol=GRIN" xr:uid="{00000000-0004-0000-0000-000051080000}"/>
    <hyperlink ref="I381" r:id="rId2131" display="http://plants.usda.gov/java/profile?symbol=GRNE" xr:uid="{00000000-0004-0000-0000-000052080000}"/>
    <hyperlink ref="I380" r:id="rId2132" display="http://plants.usda.gov/java/profile?symbol=GREB" xr:uid="{00000000-0004-0000-0000-000053080000}"/>
    <hyperlink ref="I379" r:id="rId2133" display="http://plants.usda.gov/java/profile?symbol=GOOB2" xr:uid="{00000000-0004-0000-0000-000054080000}"/>
    <hyperlink ref="I378" r:id="rId2134" display="http://plants.usda.gov/java/profile?symbol=GLST" xr:uid="{00000000-0004-0000-0000-000055080000}"/>
    <hyperlink ref="I377" r:id="rId2135" display="http://plants.usda.gov/java/profile?symbol=GLGR" xr:uid="{00000000-0004-0000-0000-000056080000}"/>
    <hyperlink ref="I376" r:id="rId2136" display="Glyceria elata   " xr:uid="{00000000-0004-0000-0000-000057080000}"/>
    <hyperlink ref="I374" r:id="rId2137" display="http://plants.usda.gov/java/profile?symbol=GISP3" xr:uid="{00000000-0004-0000-0000-000058080000}"/>
    <hyperlink ref="I373" r:id="rId2138" xr:uid="{00000000-0004-0000-0000-000059080000}"/>
    <hyperlink ref="I372" r:id="rId2139" xr:uid="{00000000-0004-0000-0000-00005A080000}"/>
    <hyperlink ref="I371" r:id="rId2140" display="http://plants.usda.gov/java/profile?symbol=GEMA4" xr:uid="{00000000-0004-0000-0000-00005B080000}"/>
    <hyperlink ref="I370" r:id="rId2141" display="http://plants.usda.gov/java/profile?symbol=GEOR2" xr:uid="{00000000-0004-0000-0000-00005C080000}"/>
    <hyperlink ref="I369" r:id="rId2142" display="http://plants.usda.gov/java/profile?symbol=GECA5" xr:uid="{00000000-0004-0000-0000-00005D080000}"/>
    <hyperlink ref="I368" r:id="rId2143" display="http://plants.usda.gov/java/profile?symbol=GEBI2" xr:uid="{00000000-0004-0000-0000-00005E080000}"/>
    <hyperlink ref="I367" r:id="rId2144" display="http://plants.usda.gov/java/profile?symbol=GEAM3" xr:uid="{00000000-0004-0000-0000-00005F080000}"/>
    <hyperlink ref="I365" r:id="rId2145" xr:uid="{00000000-0004-0000-0000-000060080000}"/>
    <hyperlink ref="I363" r:id="rId2146" display="Gamochaeta ustulata   " xr:uid="{00000000-0004-0000-0000-000061080000}"/>
    <hyperlink ref="I362" r:id="rId2147" display="http://plants.usda.gov/java/profile?symbol=GATR3" xr:uid="{00000000-0004-0000-0000-000062080000}"/>
    <hyperlink ref="I361" r:id="rId2148" display="Galium trifidum   " xr:uid="{00000000-0004-0000-0000-000063080000}"/>
    <hyperlink ref="I360" r:id="rId2149" display="Galium palustre   " xr:uid="{00000000-0004-0000-0000-000064080000}"/>
    <hyperlink ref="I359" r:id="rId2150" display="http://plants.usda.gov/java/profile?symbol=GAOR" xr:uid="{00000000-0004-0000-0000-000065080000}"/>
    <hyperlink ref="I358" r:id="rId2151" display="Galium boreale   " xr:uid="{00000000-0004-0000-0000-000066080000}"/>
    <hyperlink ref="I357" r:id="rId2152" display="http://plants.usda.gov/java/profile?symbol=GAAP2" xr:uid="{00000000-0004-0000-0000-000067080000}"/>
    <hyperlink ref="I356" r:id="rId2153" display="Gaillardia aristata   " xr:uid="{00000000-0004-0000-0000-000068080000}"/>
    <hyperlink ref="I355" r:id="rId2154" xr:uid="{00000000-0004-0000-0000-000069080000}"/>
    <hyperlink ref="I354" r:id="rId2155" display="http://plants.usda.gov/java/profile?symbol=FRCA5" xr:uid="{00000000-0004-0000-0000-00006A080000}"/>
    <hyperlink ref="I351" r:id="rId2156" display="Fragaria virginiana " xr:uid="{00000000-0004-0000-0000-00006B080000}"/>
    <hyperlink ref="I350" r:id="rId2157" display="http://plants.usda.gov/java/profile?symbol=FRVE" xr:uid="{00000000-0004-0000-0000-00006C080000}"/>
    <hyperlink ref="I349" r:id="rId2158" display="http://plants.usda.gov/java/profile?symbol=FRCH" xr:uid="{00000000-0004-0000-0000-00006D080000}"/>
    <hyperlink ref="I348" r:id="rId2159" xr:uid="{00000000-0004-0000-0000-00006E080000}"/>
    <hyperlink ref="I347" r:id="rId2160" display="http://plants.usda.gov/java/profile?symbol=FERU2" xr:uid="{00000000-0004-0000-0000-00006F080000}"/>
    <hyperlink ref="I345" r:id="rId2161" display="http://plants.usda.gov/java/profile?symbol=FEOC" xr:uid="{00000000-0004-0000-0000-000070080000}"/>
    <hyperlink ref="I344" r:id="rId2162" display="http://plants.usda.gov/java/profile?symbol=FEID" xr:uid="{00000000-0004-0000-0000-000071080000}"/>
    <hyperlink ref="I343" r:id="rId2163" display="Eutrochium maculatum   " xr:uid="{00000000-0004-0000-0000-000072080000}"/>
    <hyperlink ref="I342" r:id="rId2164" display="Solidago [Euthamia] occidentalis" xr:uid="{00000000-0004-0000-0000-000073080000}"/>
    <hyperlink ref="I340" r:id="rId2165" display="Eucephalus engelmannii   " xr:uid="{00000000-0004-0000-0000-000074080000}"/>
    <hyperlink ref="I339" r:id="rId2166" display="http://plants.usda.gov/java/profile?symbol=ERRE5" xr:uid="{00000000-0004-0000-0000-000075080000}"/>
    <hyperlink ref="I338" r:id="rId2167" xr:uid="{00000000-0004-0000-0000-000076080000}"/>
    <hyperlink ref="I336" r:id="rId2168" display="http://plants.usda.gov/java/profile?symbol=ERGR9" xr:uid="{00000000-0004-0000-0000-000077080000}"/>
    <hyperlink ref="I335" r:id="rId2169" display="Erythranthe moschata   " xr:uid="{00000000-0004-0000-0000-000078080000}"/>
    <hyperlink ref="I334" r:id="rId2170" display="Erythranthe lewisii   " xr:uid="{00000000-0004-0000-0000-000079080000}"/>
    <hyperlink ref="I333" r:id="rId2171" xr:uid="{00000000-0004-0000-0000-00007A080000}"/>
    <hyperlink ref="I332" r:id="rId2172" display="Erythranthe dentata   " xr:uid="{00000000-0004-0000-0000-00007B080000}"/>
    <hyperlink ref="I330" r:id="rId2173" display="Erythranthe alsinoides   " xr:uid="{00000000-0004-0000-0000-00007C080000}"/>
    <hyperlink ref="I329" r:id="rId2174" display="Erysimum capitatum " xr:uid="{00000000-0004-0000-0000-00007D080000}"/>
    <hyperlink ref="I328" r:id="rId2175" xr:uid="{00000000-0004-0000-0000-00007E080000}"/>
    <hyperlink ref="I327" r:id="rId2176" display="http://plants.usda.gov/java/profile?symbol=ERLA6" xr:uid="{00000000-0004-0000-0000-00007F080000}"/>
    <hyperlink ref="I326" r:id="rId2177" display="http://plants.usda.gov/java/profile?symbol=ERGR8" xr:uid="{00000000-0004-0000-0000-000080080000}"/>
    <hyperlink ref="I325" r:id="rId2178" display="http://plants.usda.gov/java/profile?symbol=ERCH7" xr:uid="{00000000-0004-0000-0000-000081080000}"/>
    <hyperlink ref="I324" r:id="rId2179" xr:uid="{00000000-0004-0000-0000-000082080000}"/>
    <hyperlink ref="I323" r:id="rId2180" xr:uid="{00000000-0004-0000-0000-000083080000}"/>
    <hyperlink ref="I322" r:id="rId2181" display="http://plants.usda.gov/java/profile?symbol=ERSP4" xr:uid="{00000000-0004-0000-0000-000084080000}"/>
    <hyperlink ref="I321" r:id="rId2182" display="http://plants.usda.gov/java/profile?symbol=ERPH" xr:uid="{00000000-0004-0000-0000-000085080000}"/>
    <hyperlink ref="I320" r:id="rId2183" display="Erigeron compositus   " xr:uid="{00000000-0004-0000-0000-000086080000}"/>
    <hyperlink ref="I319" r:id="rId2184" display="http://plants.usda.gov/java/profile?symbol=EQVA" xr:uid="{00000000-0004-0000-0000-000087080000}"/>
    <hyperlink ref="I317" r:id="rId2185" xr:uid="{00000000-0004-0000-0000-000088080000}"/>
    <hyperlink ref="I316" r:id="rId2186" display="http://plants.usda.gov/java/profile?symbol=EQHY" xr:uid="{00000000-0004-0000-0000-000089080000}"/>
    <hyperlink ref="I315" r:id="rId2187" display="http://plants.usda.gov/java/profile?symbol=EQFL" xr:uid="{00000000-0004-0000-0000-00008A080000}"/>
    <hyperlink ref="I314" r:id="rId2188" display="http://plants.usda.gov/java/profile?symbol=EQAR" xr:uid="{00000000-0004-0000-0000-00008B080000}"/>
    <hyperlink ref="I313" r:id="rId2189" display="http://plants.usda.gov/java/profile?symbol=EPGI" xr:uid="{00000000-0004-0000-0000-00008C080000}"/>
    <hyperlink ref="I312" r:id="rId2190" xr:uid="{00000000-0004-0000-0000-00008D080000}"/>
    <hyperlink ref="I311" r:id="rId2191" display="Epilobium minutum   " xr:uid="{00000000-0004-0000-0000-00008E080000}"/>
    <hyperlink ref="I310" r:id="rId2192" xr:uid="{00000000-0004-0000-0000-00008F080000}"/>
    <hyperlink ref="I309" r:id="rId2193" display="http://plants.usda.gov/java/profile?symbol=EPDE4" xr:uid="{00000000-0004-0000-0000-000090080000}"/>
    <hyperlink ref="I308" r:id="rId2194" display="Epilobium ciliatum   " xr:uid="{00000000-0004-0000-0000-000091080000}"/>
    <hyperlink ref="I307" r:id="rId2195" display="http://plants.usda.gov/java/profile?symbol=EPBR3" xr:uid="{00000000-0004-0000-0000-000092080000}"/>
    <hyperlink ref="I306" r:id="rId2196" display="Empetrum nigrum   " xr:uid="{00000000-0004-0000-0000-000093080000}"/>
    <hyperlink ref="I305" r:id="rId2197" display="http://plants.usda.gov/java/profile?symbol=ELGL" xr:uid="{00000000-0004-0000-0000-000094080000}"/>
    <hyperlink ref="I304" r:id="rId2198" display="http://plants.usda.gov/java/profile?symbol=ELEL5" xr:uid="{00000000-0004-0000-0000-000095080000}"/>
    <hyperlink ref="I303" r:id="rId2199" display="Elodea nutalli" xr:uid="{00000000-0004-0000-0000-000096080000}"/>
    <hyperlink ref="I302" r:id="rId2200" display="http://plants.usda.gov/java/profile?symbol=ELCA7" xr:uid="{00000000-0004-0000-0000-000097080000}"/>
    <hyperlink ref="I301" r:id="rId2201" display="http://plants.usda.gov/java/profile?symbol=ELPA5" xr:uid="{00000000-0004-0000-0000-000098080000}"/>
    <hyperlink ref="I300" r:id="rId2202" display="Eleocharis palustris   " xr:uid="{00000000-0004-0000-0000-000099080000}"/>
    <hyperlink ref="I299" r:id="rId2203" display="http://plants.usda.gov/java/profile?symbol=ELOV" xr:uid="{00000000-0004-0000-0000-00009A080000}"/>
    <hyperlink ref="I298" r:id="rId2204" display="Eleocharis engelmannii   " xr:uid="{00000000-0004-0000-0000-00009B080000}"/>
    <hyperlink ref="I297" r:id="rId2205" display="http://plants.usda.gov/java/profile?symbol=ELAC" xr:uid="{00000000-0004-0000-0000-00009C080000}"/>
    <hyperlink ref="I295" r:id="rId2206" display="http://plants.usda.gov/java/profile?symbol=DUAR3" xr:uid="{00000000-0004-0000-0000-00009D080000}"/>
    <hyperlink ref="I294" r:id="rId2207" display="http://plants.usda.gov/java/profile?symbol=DRFI2" xr:uid="{00000000-0004-0000-0000-00009E080000}"/>
    <hyperlink ref="I293" r:id="rId2208" display="http://plants.usda.gov/java/profile?symbol=DREX2" xr:uid="{00000000-0004-0000-0000-00009F080000}"/>
    <hyperlink ref="I292" r:id="rId2209" xr:uid="{00000000-0004-0000-0000-0000A0080000}"/>
    <hyperlink ref="I290" r:id="rId2210" display="Potentilla glandulosa" xr:uid="{00000000-0004-0000-0000-0000A1080000}"/>
    <hyperlink ref="I289" r:id="rId2211" display="http://plants.usda.gov/java/profile?symbol=DRRO" xr:uid="{00000000-0004-0000-0000-0000A2080000}"/>
    <hyperlink ref="I288" r:id="rId2212" xr:uid="{00000000-0004-0000-0000-0000A3080000}"/>
    <hyperlink ref="I287" r:id="rId2213" display="http://plants.usda.gov/java/profile?symbol=DOPU" xr:uid="{00000000-0004-0000-0000-0000A4080000}"/>
    <hyperlink ref="I286" r:id="rId2214" xr:uid="{00000000-0004-0000-0000-0000A5080000}"/>
    <hyperlink ref="I284" r:id="rId2215" display="Dodecatheon austrofrigidum   " xr:uid="{00000000-0004-0000-0000-0000A6080000}"/>
    <hyperlink ref="I283" r:id="rId2216" display="Distichlis spicata   " xr:uid="{00000000-0004-0000-0000-0000A7080000}"/>
    <hyperlink ref="I281" r:id="rId2217" display="Dichanthelium acuminatum   " xr:uid="{00000000-0004-0000-0000-0000A8080000}"/>
    <hyperlink ref="I279" r:id="rId2218" display="http://plants.usda.gov/java/profile?symbol=DEEL" xr:uid="{00000000-0004-0000-0000-0000A9080000}"/>
    <hyperlink ref="I278" r:id="rId2219" display="http://plants.usda.gov/java/profile?symbol=DECE" xr:uid="{00000000-0004-0000-0000-0000AA080000}"/>
    <hyperlink ref="I277" r:id="rId2220" xr:uid="{00000000-0004-0000-0000-0000AB080000}"/>
    <hyperlink ref="I276" r:id="rId2221" display="Delphinium trolliifolium   " xr:uid="{00000000-0004-0000-0000-0000AC080000}"/>
    <hyperlink ref="I274" r:id="rId2222" display="http://plants.usda.gov/java/profile?symbol=DEME" xr:uid="{00000000-0004-0000-0000-0000AD080000}"/>
    <hyperlink ref="I273" r:id="rId2223" display="http://plants.usda.gov/java/profile?symbol=DEGL3" xr:uid="{00000000-0004-0000-0000-0000AE080000}"/>
    <hyperlink ref="I272" r:id="rId2224" display="http://plants.usda.gov/java/profile?symbol=DAPU3" xr:uid="{00000000-0004-0000-0000-0000AF080000}"/>
    <hyperlink ref="I271" r:id="rId2225" xr:uid="{00000000-0004-0000-0000-0000B0080000}"/>
    <hyperlink ref="I270" r:id="rId2226" xr:uid="{00000000-0004-0000-0000-0000B1080000}"/>
    <hyperlink ref="I269" r:id="rId2227" xr:uid="{00000000-0004-0000-0000-0000B2080000}"/>
    <hyperlink ref="I267" r:id="rId2228" display="http://plants.usda.gov/java/profile?symbol=DASP2" xr:uid="{00000000-0004-0000-0000-0000B3080000}"/>
    <hyperlink ref="I266" r:id="rId2229" display="http://plants.usda.gov/java/profile?symbol=DAIN" xr:uid="{00000000-0004-0000-0000-0000B4080000}"/>
    <hyperlink ref="I265" r:id="rId2230" display="http://plants.usda.gov/java/profile?symbol=DACA3" xr:uid="{00000000-0004-0000-0000-0000B5080000}"/>
    <hyperlink ref="I264" r:id="rId2231" display="http://plants.usda.gov/java/profile?symbol=CYFR2" xr:uid="{00000000-0004-0000-0000-0000B6080000}"/>
    <hyperlink ref="I263" r:id="rId2232" xr:uid="{00000000-0004-0000-0000-0000B7080000}"/>
    <hyperlink ref="I262" r:id="rId2233" display="http://plants.usda.gov/java/profile?symbol=CYSQ" xr:uid="{00000000-0004-0000-0000-0000B8080000}"/>
    <hyperlink ref="I261" r:id="rId2234" display="http://plants.usda.gov/java/profile?symbol=CYER2" xr:uid="{00000000-0004-0000-0000-0000B9080000}"/>
    <hyperlink ref="I260" r:id="rId2235" display="Cyperus bipartitus   " xr:uid="{00000000-0004-0000-0000-0000BA080000}"/>
    <hyperlink ref="I259" r:id="rId2236" display="http://plants.usda.gov/java/profile?symbol=CUCE" xr:uid="{00000000-0004-0000-0000-0000BB080000}"/>
    <hyperlink ref="I258" r:id="rId2237" xr:uid="{00000000-0004-0000-0000-0000BC080000}"/>
    <hyperlink ref="I257" r:id="rId2238" display="http://plants.usda.gov/java/profile?symbol=CRIN8" xr:uid="{00000000-0004-0000-0000-0000BD080000}"/>
    <hyperlink ref="I256" r:id="rId2239" display="http://plants.usda.gov/java/profile?symbol=CRMU" xr:uid="{00000000-0004-0000-0000-0000BE080000}"/>
    <hyperlink ref="I255" r:id="rId2240" display="http://plants.usda.gov/java/profile?symbol=CRDO2" xr:uid="{00000000-0004-0000-0000-0000BF080000}"/>
    <hyperlink ref="I254" r:id="rId2241" display="http://plants.usda.gov/java/profile?symbol=CRCO34" xr:uid="{00000000-0004-0000-0000-0000C0080000}"/>
    <hyperlink ref="I253" r:id="rId2242" display="http://plants.usda.gov/java/profile?symbol=CRAQ" xr:uid="{00000000-0004-0000-0000-0000C1080000}"/>
    <hyperlink ref="I252" r:id="rId2243" display="http://plants.usda.gov/java/profile?symbol=COCOC2" xr:uid="{00000000-0004-0000-0000-0000C2080000}"/>
    <hyperlink ref="I250" r:id="rId2244" xr:uid="{00000000-0004-0000-0000-0000C4080000}"/>
    <hyperlink ref="I248" r:id="rId2245" display="http://plants.usda.gov/java/profile?symbol=COSES" xr:uid="{00000000-0004-0000-0000-0000C5080000}"/>
    <hyperlink ref="I246" r:id="rId2246" display="Corallorhiza trifida   " xr:uid="{00000000-0004-0000-0000-0000C6080000}"/>
    <hyperlink ref="I245" r:id="rId2247" display="http://plants.usda.gov/java/profile?symbol=COST19" xr:uid="{00000000-0004-0000-0000-0000C7080000}"/>
    <hyperlink ref="I244" r:id="rId2248" display="http://plants.usda.gov/java/profile?symbol=COMA25" xr:uid="{00000000-0004-0000-0000-0000C8080000}"/>
    <hyperlink ref="I243" r:id="rId2249" display="http://plants.usda.gov/java/profile?symbol=COLA3" xr:uid="{00000000-0004-0000-0000-0000C9080000}"/>
    <hyperlink ref="I242" r:id="rId2250" display="http://plants.usda.gov/java/profile?symbol=COAS" xr:uid="{00000000-0004-0000-0000-0000CA080000}"/>
    <hyperlink ref="I241" r:id="rId2251" display="http://plants.usda.gov/java/profile?symbol=COCA5" xr:uid="{00000000-0004-0000-0000-0000CB080000}"/>
    <hyperlink ref="I142" r:id="rId2252" display="Convolvulus soldanella   " xr:uid="{00000000-0004-0000-0000-0000CC080000}"/>
    <hyperlink ref="I240" r:id="rId2253" display="Collomia linearis   " xr:uid="{00000000-0004-0000-0000-0000CD080000}"/>
    <hyperlink ref="I239" r:id="rId2254" display="http://plants.usda.gov/java/profile?symbol=COHE2" xr:uid="{00000000-0004-0000-0000-0000CE080000}"/>
    <hyperlink ref="I238" r:id="rId2255" display="http://plants.usda.gov/java/profile?symbol=COGR4" xr:uid="{00000000-0004-0000-0000-0000CF080000}"/>
    <hyperlink ref="I237" r:id="rId2256" xr:uid="{00000000-0004-0000-0000-0000D0080000}"/>
    <hyperlink ref="I236" r:id="rId2257" display="http://plants.usda.gov/java/profile?symbol=COPA3" xr:uid="{00000000-0004-0000-0000-0000D1080000}"/>
    <hyperlink ref="I234" r:id="rId2258" display="Cochlearia groenlandica " xr:uid="{00000000-0004-0000-0000-0000D2080000}"/>
    <hyperlink ref="I233" r:id="rId2259" display="http://plants.usda.gov/java/profile?symbol=CLUN2" xr:uid="{00000000-0004-0000-0000-0000D3080000}"/>
    <hyperlink ref="I232" r:id="rId2260" display="Clinopodium douglasii   " xr:uid="{00000000-0004-0000-0000-0000D4080000}"/>
    <hyperlink ref="I231" r:id="rId2261" display="http://plants.usda.gov/java/profile?symbol=CLLI2" xr:uid="{00000000-0004-0000-0000-0000D5080000}"/>
    <hyperlink ref="I229" r:id="rId2262" display="http://plants.usda.gov/java/profile?symbol=CLRU2" xr:uid="{00000000-0004-0000-0000-0000D6080000}"/>
    <hyperlink ref="I228" r:id="rId2263" display="http://plants.usda.gov/java/profile?symbol=CLPE" xr:uid="{00000000-0004-0000-0000-0000D7080000}"/>
    <hyperlink ref="I227" r:id="rId2264" display="http://plants.usda.gov/java/profile?symbol=CLPA5" xr:uid="{00000000-0004-0000-0000-0000D8080000}"/>
    <hyperlink ref="I226" r:id="rId2265" xr:uid="{00000000-0004-0000-0000-0000D9080000}"/>
    <hyperlink ref="I225" r:id="rId2266" xr:uid="{00000000-0004-0000-0000-0000DA080000}"/>
    <hyperlink ref="I224" r:id="rId2267" display="Clarkia gracilis   " xr:uid="{00000000-0004-0000-0000-0000DB080000}"/>
    <hyperlink ref="I223" r:id="rId2268" display="http://plants.usda.gov/java/profile?symbol=CLAM" xr:uid="{00000000-0004-0000-0000-0000DC080000}"/>
    <hyperlink ref="I222" r:id="rId2269" display="Cirsium remotifolium   " xr:uid="{00000000-0004-0000-0000-0000DD080000}"/>
    <hyperlink ref="I221" r:id="rId2270" display="Cirsium edule   " xr:uid="{00000000-0004-0000-0000-0000DE080000}"/>
    <hyperlink ref="I220" r:id="rId2271" display="http://plants.usda.gov/java/profile?symbol=CIBR2" xr:uid="{00000000-0004-0000-0000-0000DF080000}"/>
    <hyperlink ref="I219" r:id="rId2272" xr:uid="{00000000-0004-0000-0000-0000E0080000}"/>
    <hyperlink ref="I218" r:id="rId2273" display="http://plants.usda.gov/java/profile?symbol=CILA2" xr:uid="{00000000-0004-0000-0000-0000E1080000}"/>
    <hyperlink ref="I217" r:id="rId2274" display="http://plants.usda.gov/java/profile?symbol=CIDO" xr:uid="{00000000-0004-0000-0000-0000E2080000}"/>
    <hyperlink ref="I216" r:id="rId2275" display="Cicuta bulbifera " xr:uid="{00000000-0004-0000-0000-0000E3080000}"/>
    <hyperlink ref="I215" r:id="rId2276" display="http://plants.usda.gov/java/profile?symbol=CHGL5" xr:uid="{00000000-0004-0000-0000-0000E4080000}"/>
    <hyperlink ref="I214" r:id="rId2277" display="http://plants.usda.gov/java/profile?symbol=CHCH7" xr:uid="{00000000-0004-0000-0000-0000E5080000}"/>
    <hyperlink ref="I213" r:id="rId2278" xr:uid="{00000000-0004-0000-0000-0000E6080000}"/>
    <hyperlink ref="I212" r:id="rId2279" xr:uid="{00000000-0004-0000-0000-0000E7080000}"/>
    <hyperlink ref="I211" r:id="rId2280" display="Chenopodium berlandieri   " xr:uid="{00000000-0004-0000-0000-0000E8080000}"/>
    <hyperlink ref="I210" r:id="rId2281" xr:uid="{00000000-0004-0000-0000-0000E9080000}"/>
    <hyperlink ref="I209" r:id="rId2282" xr:uid="{00000000-0004-0000-0000-0000EA080000}"/>
    <hyperlink ref="I208" r:id="rId2283" display="http://plants.usda.gov/java/profile?symbol=CEDE4" xr:uid="{00000000-0004-0000-0000-0000EB080000}"/>
    <hyperlink ref="I207" r:id="rId2284" display="http://plants.usda.gov/java/profile?symbol=CEAR4" xr:uid="{00000000-0004-0000-0000-0000EC080000}"/>
    <hyperlink ref="I206" r:id="rId2285" display="http://plants.usda.gov/java/profile?symbol=CEAU" xr:uid="{00000000-0004-0000-0000-0000ED080000}"/>
    <hyperlink ref="I205" r:id="rId2286" display="Celtis reticulata   " xr:uid="{00000000-0004-0000-0000-0000EE080000}"/>
    <hyperlink ref="I204" r:id="rId2287" display="http://plants.usda.gov/java/profile?symbol=CEVE" xr:uid="{00000000-0004-0000-0000-0000EF080000}"/>
    <hyperlink ref="I203" r:id="rId2288" display="http://plants.usda.gov/java/profile?symbol=CESA" xr:uid="{00000000-0004-0000-0000-0000F0080000}"/>
    <hyperlink ref="I200" r:id="rId2289" xr:uid="{00000000-0004-0000-0000-0000F1080000}"/>
    <hyperlink ref="I199" r:id="rId2290" display="Castilleja miniata   " xr:uid="{00000000-0004-0000-0000-0000F2080000}"/>
    <hyperlink ref="I198" r:id="rId2291" display="http://plants.usda.gov/java/profile?symbol=CALE27" xr:uid="{00000000-0004-0000-0000-0000F3080000}"/>
    <hyperlink ref="I197" r:id="rId2292" display="http://plants.usda.gov/java/profile?symbol=CAHI9" xr:uid="{00000000-0004-0000-0000-0000F4080000}"/>
    <hyperlink ref="I196" r:id="rId2293" xr:uid="{00000000-0004-0000-0000-0000F5080000}"/>
    <hyperlink ref="I195" r:id="rId2294" display="http://plants.usda.gov/java/profile?symbol=CAAT25" xr:uid="{00000000-0004-0000-0000-0000F6080000}"/>
    <hyperlink ref="I194" r:id="rId2295" display="Castilleja ambigua   " xr:uid="{00000000-0004-0000-0000-0000F7080000}"/>
    <hyperlink ref="I193" r:id="rId2296" display="http://plants.usda.gov/java/profile?symbol=CAVU2" xr:uid="{00000000-0004-0000-0000-0000F8080000}"/>
    <hyperlink ref="I192" r:id="rId2297" display="http://plants.usda.gov/java/profile?symbol=CAVI5" xr:uid="{00000000-0004-0000-0000-0000F9080000}"/>
    <hyperlink ref="I191" r:id="rId2298" display="http://plants.usda.gov/java/profile?symbol=CAVE6" xr:uid="{00000000-0004-0000-0000-0000FA080000}"/>
    <hyperlink ref="I190" r:id="rId2299" xr:uid="{00000000-0004-0000-0000-0000FB080000}"/>
    <hyperlink ref="I187" r:id="rId2300" display="http://plants.usda.gov/java/profile?symbol=CAST10" xr:uid="{00000000-0004-0000-0000-0000FC080000}"/>
    <hyperlink ref="I186" r:id="rId2301" xr:uid="{00000000-0004-0000-0000-0000FD080000}"/>
    <hyperlink ref="I185" r:id="rId2302" xr:uid="{00000000-0004-0000-0000-0000FE080000}"/>
    <hyperlink ref="I184" r:id="rId2303" display="Carex rossii   " xr:uid="{00000000-0004-0000-0000-0000FF080000}"/>
    <hyperlink ref="I183" r:id="rId2304" display="http://plants.usda.gov/java/profile?symbol=CAPR7" xr:uid="{00000000-0004-0000-0000-000000090000}"/>
    <hyperlink ref="I182" r:id="rId2305" xr:uid="{00000000-0004-0000-0000-000001090000}"/>
    <hyperlink ref="I181" r:id="rId2306" display="http://plants.usda.gov/java/profile?symbol=CAPE42" xr:uid="{00000000-0004-0000-0000-000002090000}"/>
    <hyperlink ref="I180" r:id="rId2307" xr:uid="{00000000-0004-0000-0000-000003090000}"/>
    <hyperlink ref="I178" r:id="rId2308" display="http://plants.usda.gov/java/profile?symbol=CAPA14" xr:uid="{00000000-0004-0000-0000-000004090000}"/>
    <hyperlink ref="I174" r:id="rId2309" display="http://plants.usda.gov/java/profile?symbol=CAMA10" xr:uid="{00000000-0004-0000-0000-000005090000}"/>
    <hyperlink ref="I172" r:id="rId2310" display="http://plants.usda.gov/java/profile?symbol=CALI7" xr:uid="{00000000-0004-0000-0000-000006090000}"/>
    <hyperlink ref="I171" r:id="rId2311" display="Carex leptopoda   " xr:uid="{00000000-0004-0000-0000-000007090000}"/>
    <hyperlink ref="I170" r:id="rId2312" display="Carex lasiocarpa   " xr:uid="{00000000-0004-0000-0000-000008090000}"/>
    <hyperlink ref="I169" r:id="rId2313" display="http://plants.usda.gov/java/profile?symbol=CAIN17" xr:uid="{00000000-0004-0000-0000-000009090000}"/>
    <hyperlink ref="I168" r:id="rId2314" display="http://plants.usda.gov/java/profile?symbol=CAIN9" xr:uid="{00000000-0004-0000-0000-00000A090000}"/>
    <hyperlink ref="I167" r:id="rId2315" display="http://plants.usda.gov/java/profile?symbol=CAHE7" xr:uid="{00000000-0004-0000-0000-00000B090000}"/>
    <hyperlink ref="I165" r:id="rId2316" display="Carex echinata " xr:uid="{00000000-0004-0000-0000-00000C090000}"/>
    <hyperlink ref="I164" r:id="rId2317" xr:uid="{00000000-0004-0000-0000-00000D090000}"/>
    <hyperlink ref="I163" r:id="rId2318" display="http://plants.usda.gov/java/profile?symbol=CADE8" xr:uid="{00000000-0004-0000-0000-00000E090000}"/>
    <hyperlink ref="I162" r:id="rId2319" display="http://plants.usda.gov/java/profile?symbol=CACU5" xr:uid="{00000000-0004-0000-0000-00000F090000}"/>
    <hyperlink ref="I161" r:id="rId2320" xr:uid="{00000000-0004-0000-0000-000010090000}"/>
    <hyperlink ref="I160" r:id="rId2321" xr:uid="{00000000-0004-0000-0000-000011090000}"/>
    <hyperlink ref="I159" r:id="rId2322" display="Carex canescens   " xr:uid="{00000000-0004-0000-0000-000012090000}"/>
    <hyperlink ref="I158" r:id="rId2323" display="http://plants.usda.gov/java/profile?symbol=CAAT3" xr:uid="{00000000-0004-0000-0000-000013090000}"/>
    <hyperlink ref="I157" r:id="rId2324" xr:uid="{00000000-0004-0000-0000-000014090000}"/>
    <hyperlink ref="I156" r:id="rId2325" xr:uid="{00000000-0004-0000-0000-000015090000}"/>
    <hyperlink ref="I155" r:id="rId2326" display="http://plants.usda.gov/java/profile?symbol=CAAM10" xr:uid="{00000000-0004-0000-0000-000016090000}"/>
    <hyperlink ref="I154" r:id="rId2327" display="Cardionema ramosissima   " xr:uid="{00000000-0004-0000-0000-000017090000}"/>
    <hyperlink ref="I153" r:id="rId2328" display="Cardamine pensylvanica   " xr:uid="{00000000-0004-0000-0000-000018090000}"/>
    <hyperlink ref="I152" r:id="rId2329" display="http://plants.usda.gov/java/profile?symbol=CAOL" xr:uid="{00000000-0004-0000-0000-000019090000}"/>
    <hyperlink ref="I151" r:id="rId2330" display="http://plants.usda.gov/java/profile?symbol=CANU17" xr:uid="{00000000-0004-0000-0000-00001A090000}"/>
    <hyperlink ref="I150" r:id="rId2331" display="http://plants.usda.gov/java/profile?symbol=CABR6" xr:uid="{00000000-0004-0000-0000-00001B090000}"/>
    <hyperlink ref="I149" r:id="rId2332" display="http://plants.usda.gov/java/profile?symbol=CAAN5" xr:uid="{00000000-0004-0000-0000-00001C090000}"/>
    <hyperlink ref="I148" r:id="rId2333" display="Canadanthus modestus   " xr:uid="{00000000-0004-0000-0000-00001D090000}"/>
    <hyperlink ref="I147" r:id="rId2334" display="http://plants.usda.gov/java/profile?symbol=CASC7" xr:uid="{00000000-0004-0000-0000-00001E090000}"/>
    <hyperlink ref="I146" r:id="rId2335" display="http://plants.usda.gov/java/profile?symbol=CARO2" xr:uid="{00000000-0004-0000-0000-00001F090000}"/>
    <hyperlink ref="I145" r:id="rId2336" display="Camissonia contorta   " xr:uid="{00000000-0004-0000-0000-000020090000}"/>
    <hyperlink ref="I144" r:id="rId2337" display="http://plants.usda.gov/java/profile?symbol=CAQU2" xr:uid="{00000000-0004-0000-0000-000021090000}"/>
    <hyperlink ref="I141" r:id="rId2338" display="http://plants.usda.gov/java/profile?symbol=CABU" xr:uid="{00000000-0004-0000-0000-000022090000}"/>
    <hyperlink ref="I140" r:id="rId2339" display="Caltha palustris   " xr:uid="{00000000-0004-0000-0000-000023090000}"/>
    <hyperlink ref="I139" r:id="rId2340" xr:uid="{00000000-0004-0000-0000-000024090000}"/>
    <hyperlink ref="I137" r:id="rId2341" display="http://plants.usda.gov/java/profile?symbol=CAPA52" xr:uid="{00000000-0004-0000-0000-000025090000}"/>
    <hyperlink ref="I136" r:id="rId2342" display="http://plants.usda.gov/java/profile?symbol=CAHEH" xr:uid="{00000000-0004-0000-0000-000026090000}"/>
    <hyperlink ref="I135" r:id="rId2343" display="http://plants.usda.gov/java/profile?symbol=CACI2" xr:uid="{00000000-0004-0000-0000-000027090000}"/>
    <hyperlink ref="I134" r:id="rId2344" xr:uid="{00000000-0004-0000-0000-000028090000}"/>
    <hyperlink ref="I132" r:id="rId2345" display="http://plants.usda.gov/java/profile?symbol=CACA4" xr:uid="{00000000-0004-0000-0000-000029090000}"/>
    <hyperlink ref="I131" r:id="rId2346" xr:uid="{00000000-0004-0000-0000-00002A090000}"/>
    <hyperlink ref="I130" r:id="rId2347" display="Bromus sitchensis   " xr:uid="{00000000-0004-0000-0000-00002B090000}"/>
    <hyperlink ref="I128" r:id="rId2348" display="http://plants.usda.gov/java/profile?symbol=BRCO3" xr:uid="{00000000-0004-0000-0000-00002C090000}"/>
    <hyperlink ref="I127" r:id="rId2349" xr:uid="{00000000-0004-0000-0000-00002D090000}"/>
    <hyperlink ref="I125" r:id="rId2350" xr:uid="{00000000-0004-0000-0000-00002E090000}"/>
    <hyperlink ref="I124" r:id="rId2351" display="Botrychium virginianum   " xr:uid="{00000000-0004-0000-0000-00002F090000}"/>
    <hyperlink ref="I123" r:id="rId2352" display="http://plants.usda.gov/java/profile?symbol=BOMU" xr:uid="{00000000-0004-0000-0000-000030090000}"/>
    <hyperlink ref="I122" r:id="rId2353" display="http://plants.usda.gov/java/profile?symbol=BOMI" xr:uid="{00000000-0004-0000-0000-000031090000}"/>
    <hyperlink ref="I442" r:id="rId2354" xr:uid="{00000000-0004-0000-0000-000032090000}"/>
    <hyperlink ref="I121" r:id="rId2355" xr:uid="{00000000-0004-0000-0000-000033090000}"/>
    <hyperlink ref="I120" r:id="rId2356" xr:uid="{00000000-0004-0000-0000-000034090000}"/>
    <hyperlink ref="I119" r:id="rId2357" display="http://plants.usda.gov/java/profile?symbol=BLSP" xr:uid="{00000000-0004-0000-0000-000035090000}"/>
    <hyperlink ref="I118" r:id="rId2358" xr:uid="{00000000-0004-0000-0000-000036090000}"/>
    <hyperlink ref="I117" r:id="rId2359" xr:uid="{00000000-0004-0000-0000-000037090000}"/>
    <hyperlink ref="I116" r:id="rId2360" display="http://plants.usda.gov/java/profile?symbol=BICE" xr:uid="{00000000-0004-0000-0000-000038090000}"/>
    <hyperlink ref="I115" r:id="rId2361" xr:uid="{00000000-0004-0000-0000-000039090000}"/>
    <hyperlink ref="I113" r:id="rId2362" display="http://plants.usda.gov/java/profile?symbol=BEPA" xr:uid="{00000000-0004-0000-0000-00003A090000}"/>
    <hyperlink ref="I111" r:id="rId2363" display="http://plants.usda.gov/java/profile?symbol=BEGL" xr:uid="{00000000-0004-0000-0000-00003B090000}"/>
    <hyperlink ref="I109" r:id="rId2364" display="Mahonia (berberis) nervosa" xr:uid="{00000000-0004-0000-0000-00003C090000}"/>
    <hyperlink ref="I108" r:id="rId2365" display="Mahonia (berberis) aquifolium" xr:uid="{00000000-0004-0000-0000-00003D090000}"/>
    <hyperlink ref="I107" r:id="rId2366" display="http://plants.usda.gov/java/profile?symbol=BAOR" xr:uid="{00000000-0004-0000-0000-00003E090000}"/>
    <hyperlink ref="I106" r:id="rId2367" display="http://plants.usda.gov/java/profile?symbol=BADE2" xr:uid="{00000000-0004-0000-0000-00003F090000}"/>
    <hyperlink ref="I105" r:id="rId2368" xr:uid="{00000000-0004-0000-0000-000040090000}"/>
    <hyperlink ref="I104" r:id="rId2369" display="http://plants.usda.gov/java/profile?symbol=AZME" xr:uid="{00000000-0004-0000-0000-000041090000}"/>
    <hyperlink ref="I103" r:id="rId2370" display="http://plants.usda.gov/java/profile?symbol=AZFI" xr:uid="{00000000-0004-0000-0000-000042090000}"/>
    <hyperlink ref="I102" r:id="rId2371" display="http://plants.usda.gov/java/profile?symbol=ATPU" xr:uid="{00000000-0004-0000-0000-000043090000}"/>
    <hyperlink ref="I101" r:id="rId2372" display="http://plants.usda.gov/java/profile?symbol=ATFI" xr:uid="{00000000-0004-0000-0000-000044090000}"/>
    <hyperlink ref="I100" r:id="rId2373" display="http://plants.usda.gov/java/profile?symbol=ASTR2" xr:uid="{00000000-0004-0000-0000-000045090000}"/>
    <hyperlink ref="I99" r:id="rId2374" display="http://plants.usda.gov/java/profile?symbol=ASDE6" xr:uid="{00000000-0004-0000-0000-000046090000}"/>
    <hyperlink ref="I96" r:id="rId2375" display="http://plants.usda.gov/java/profile?symbol=ASCA2" xr:uid="{00000000-0004-0000-0000-000047090000}"/>
    <hyperlink ref="I95" r:id="rId2376" xr:uid="{00000000-0004-0000-0000-000048090000}"/>
    <hyperlink ref="I94" r:id="rId2377" display="http://plants.usda.gov/java/profile?symbol=ARSU4" xr:uid="{00000000-0004-0000-0000-000049090000}"/>
    <hyperlink ref="I93" r:id="rId2378" xr:uid="{00000000-0004-0000-0000-00004A090000}"/>
    <hyperlink ref="I92" r:id="rId2379" xr:uid="{00000000-0004-0000-0000-00004B090000}"/>
    <hyperlink ref="I91" r:id="rId2380" display="Artemisia douglasiana   " xr:uid="{00000000-0004-0000-0000-00004C090000}"/>
    <hyperlink ref="I90" r:id="rId2381" xr:uid="{00000000-0004-0000-0000-00004D090000}"/>
    <hyperlink ref="I89" r:id="rId2382" xr:uid="{00000000-0004-0000-0000-00004E090000}"/>
    <hyperlink ref="I87" r:id="rId2383" display="Arnica cordifolia   " xr:uid="{00000000-0004-0000-0000-00004F090000}"/>
    <hyperlink ref="I88" r:id="rId2384" display="Arnica amplexicaulis" xr:uid="{00000000-0004-0000-0000-000050090000}"/>
    <hyperlink ref="I86" r:id="rId2385" display="http://plants.usda.gov/java/profile?symbol=ARMA6" xr:uid="{00000000-0004-0000-0000-000051090000}"/>
    <hyperlink ref="I82" r:id="rId2386" display="Arceuthobium tsugense   " xr:uid="{00000000-0004-0000-0000-000052090000}"/>
    <hyperlink ref="I81" r:id="rId2387" display="http://plants.usda.gov/java/profile?symbol=ARCA3" xr:uid="{00000000-0004-0000-0000-000053090000}"/>
    <hyperlink ref="I79" r:id="rId2388" display="http://plants.usda.gov/java/profile?symbol=ARHI" xr:uid="{00000000-0004-0000-0000-000054090000}"/>
    <hyperlink ref="I78" r:id="rId2389" xr:uid="{00000000-0004-0000-0000-000055090000}"/>
    <hyperlink ref="I77" r:id="rId2390" display="http://plants.usda.gov/java/profile?symbol=APCA" xr:uid="{00000000-0004-0000-0000-000056090000}"/>
    <hyperlink ref="I76" r:id="rId2391" display="http://plants.usda.gov/java/profile?symbol=APAN2" xr:uid="{00000000-0004-0000-0000-000057090000}"/>
    <hyperlink ref="I75" r:id="rId2392" display="http://plants.usda.gov/java/profile?symbol=ORPI2" xr:uid="{00000000-0004-0000-0000-000058090000}"/>
    <hyperlink ref="I74" r:id="rId2393" display="http://plants.usda.gov/java/profile?symbol=ORFA" xr:uid="{00000000-0004-0000-0000-000059090000}"/>
    <hyperlink ref="I73" r:id="rId2394" display="Orobanche californica" xr:uid="{00000000-0004-0000-0000-00005A090000}"/>
    <hyperlink ref="I72" r:id="rId2395" display="Anticlea occidentalis   " xr:uid="{00000000-0004-0000-0000-00005B090000}"/>
    <hyperlink ref="I71" r:id="rId2396" display="Antennaria racemosa   " xr:uid="{00000000-0004-0000-0000-00005C090000}"/>
    <hyperlink ref="I70" r:id="rId2397" display="Antennaria howellii   " xr:uid="{00000000-0004-0000-0000-00005D090000}"/>
    <hyperlink ref="I68" r:id="rId2398" display="http://plants.usda.gov/java/profile?symbol=ANLU" xr:uid="{00000000-0004-0000-0000-00005E090000}"/>
    <hyperlink ref="I67" r:id="rId2399" display="http://plants.usda.gov/java/profile?symbol=ANHE" xr:uid="{00000000-0004-0000-0000-00005F090000}"/>
    <hyperlink ref="I66" r:id="rId2400" display="http://plants.usda.gov/java/profile?symbol=ANGE2" xr:uid="{00000000-0004-0000-0000-000060090000}"/>
    <hyperlink ref="I65" r:id="rId2401" display="http://plants.usda.gov/java/profile?symbol=ANAR3" xr:uid="{00000000-0004-0000-0000-000061090000}"/>
    <hyperlink ref="I64" r:id="rId2402" display="http://plants.usda.gov/java/profile?symbol=ANOR" xr:uid="{00000000-0004-0000-0000-000062090000}"/>
    <hyperlink ref="I63" r:id="rId2403" display="http://plants.usda.gov/java/profile?symbol=ANMU" xr:uid="{00000000-0004-0000-0000-000063090000}"/>
    <hyperlink ref="I62" r:id="rId2404" display="http://plants.usda.gov/java/profile?symbol=ANDR" xr:uid="{00000000-0004-0000-0000-000064090000}"/>
    <hyperlink ref="I61" r:id="rId2405" xr:uid="{00000000-0004-0000-0000-000065090000}"/>
    <hyperlink ref="I60" r:id="rId2406" xr:uid="{00000000-0004-0000-0000-000066090000}"/>
    <hyperlink ref="I59" r:id="rId2407" display="http://plants.usda.gov/java/profile?symbol=ANMA" xr:uid="{00000000-0004-0000-0000-000067090000}"/>
    <hyperlink ref="I58" r:id="rId2408" display="http://plants.usda.gov/java/profile?symbol=AMSP3" xr:uid="{00000000-0004-0000-0000-000068090000}"/>
    <hyperlink ref="I57" r:id="rId2409" display="http://plants.usda.gov/java/profile?symbol=AMMEM2" xr:uid="{00000000-0004-0000-0000-000069090000}"/>
    <hyperlink ref="I56" r:id="rId2410" xr:uid="{00000000-0004-0000-0000-00006A090000}"/>
    <hyperlink ref="I55" r:id="rId2411" display="http://plants.usda.gov/java/profile?symbol=AMALH" xr:uid="{00000000-0004-0000-0000-00006B090000}"/>
    <hyperlink ref="I53" r:id="rId2412" display="http://plants.usda.gov/java/profile?symbol=ALVIS" xr:uid="{00000000-0004-0000-0000-00006C090000}"/>
    <hyperlink ref="I50" r:id="rId2413" display="http://plants.usda.gov/java/profile?symbol=ALINT" xr:uid="{00000000-0004-0000-0000-00006D090000}"/>
    <hyperlink ref="I49" r:id="rId2414" display="Allotropa virgata   " xr:uid="{00000000-0004-0000-0000-00006E090000}"/>
    <hyperlink ref="I48" r:id="rId2415" display="http://plants.usda.gov/java/profile?symbol=ALSC" xr:uid="{00000000-0004-0000-0000-00006F090000}"/>
    <hyperlink ref="I46" r:id="rId2416" display="http://plants.usda.gov/java/profile?symbol=ALCE2" xr:uid="{00000000-0004-0000-0000-000070090000}"/>
    <hyperlink ref="I44" r:id="rId2417" display="https://plants.usda.gov/core/profile?symbol=suca2" xr:uid="{00000000-0004-0000-0000-000071090000}"/>
    <hyperlink ref="I43" r:id="rId2418" display="http://plants.usda.gov/java/profile?symbol=ALTR7" xr:uid="{00000000-0004-0000-0000-000072090000}"/>
    <hyperlink ref="I42" r:id="rId2419" display="http://plants.usda.gov/java/profile?symbol=AGSC5" xr:uid="{00000000-0004-0000-0000-000073090000}"/>
    <hyperlink ref="I41" r:id="rId2420" display="http://plants.usda.gov/java/profile?symbol=AGPA8" xr:uid="{00000000-0004-0000-0000-000074090000}"/>
    <hyperlink ref="I40" r:id="rId2421" display="http://plants.usda.gov/java/profile?symbol=AGOR" xr:uid="{00000000-0004-0000-0000-000075090000}"/>
    <hyperlink ref="I39" r:id="rId2422" display="http://plants.usda.gov/java/profile?symbol=AGEX" xr:uid="{00000000-0004-0000-0000-000076090000}"/>
    <hyperlink ref="I38" r:id="rId2423" display="http://plants.usda.gov/java/profile?symbol=AGHE2" xr:uid="{00000000-0004-0000-0000-000077090000}"/>
    <hyperlink ref="I37" r:id="rId2424" xr:uid="{00000000-0004-0000-0000-000078090000}"/>
    <hyperlink ref="I36" r:id="rId2425" xr:uid="{00000000-0004-0000-0000-000079090000}"/>
    <hyperlink ref="I35" r:id="rId2426" display="http://plants.usda.gov/java/profile?symbol=AGAP2" xr:uid="{00000000-0004-0000-0000-00007A090000}"/>
    <hyperlink ref="I34" r:id="rId2427" display="Agastache utricifolia" xr:uid="{00000000-0004-0000-0000-00007B090000}"/>
    <hyperlink ref="I33" r:id="rId2428" xr:uid="{00000000-0004-0000-0000-00007C090000}"/>
    <hyperlink ref="I32" r:id="rId2429" xr:uid="{00000000-0004-0000-0000-00007D090000}"/>
    <hyperlink ref="I31" r:id="rId2430" display="http://plants.usda.gov/java/profile?symbol=ADBI" xr:uid="{00000000-0004-0000-0000-00007E090000}"/>
    <hyperlink ref="I30" r:id="rId2431" display="http://plants.usda.gov/java/profile?symbol=ACRU2" xr:uid="{00000000-0004-0000-0000-00007F090000}"/>
    <hyperlink ref="I29" r:id="rId2432" display="Cimicifuga elata" xr:uid="{00000000-0004-0000-0000-000080090000}"/>
    <hyperlink ref="I28" r:id="rId2433" display="Aconithum columbianum" xr:uid="{00000000-0004-0000-0000-000081090000}"/>
    <hyperlink ref="I26" r:id="rId2434" display="http://plants.usda.gov/java/profile?symbol=ACMI2" xr:uid="{00000000-0004-0000-0000-000082090000}"/>
    <hyperlink ref="I25" r:id="rId2435" xr:uid="{00000000-0004-0000-0000-000083090000}"/>
    <hyperlink ref="I24" r:id="rId2436" display="http://plants.usda.gov/java/profile?symbol=ACGL" xr:uid="{00000000-0004-0000-0000-000084090000}"/>
    <hyperlink ref="I22" r:id="rId2437" display="http://plants.usda.gov/java/profile?symbol=ABUM" xr:uid="{00000000-0004-0000-0000-000085090000}"/>
    <hyperlink ref="I21" r:id="rId2438" display="http://plants.usda.gov/java/profile?symbol=ABLA2" xr:uid="{00000000-0004-0000-0000-000086090000}"/>
    <hyperlink ref="I19" r:id="rId2439" display="http://plants.usda.gov/java/profile?symbol=ABLA" xr:uid="{00000000-0004-0000-0000-000087090000}"/>
    <hyperlink ref="I483" r:id="rId2440" display="Lotus pedunculatus" xr:uid="{00000000-0004-0000-0000-000088090000}"/>
    <hyperlink ref="I921" r:id="rId2441" display="Zeltnera muehlenbergii   " xr:uid="{00000000-0004-0000-0000-000089090000}"/>
    <hyperlink ref="I915" r:id="rId2442" display="http://plants.usda.gov/java/profile?symbol=WOFI" xr:uid="{00000000-0004-0000-0000-00008A090000}"/>
    <hyperlink ref="I912" r:id="rId2443" display="http://plants.usda.gov/java/profile?symbol=VISE3" xr:uid="{00000000-0004-0000-0000-00008B090000}"/>
    <hyperlink ref="I911" r:id="rId2444" display="http://plants.usda.gov/java/profile?symbol=VIPRP" xr:uid="{00000000-0004-0000-0000-00008C090000}"/>
    <hyperlink ref="I907" r:id="rId2445" display="http://plants.usda.gov/java/profile?symbol=VIHO" xr:uid="{00000000-0004-0000-0000-00008D090000}"/>
    <hyperlink ref="I906" r:id="rId2446" display="http://plants.usda.gov/java/profile?symbol=VIGL" xr:uid="{00000000-0004-0000-0000-00008E090000}"/>
    <hyperlink ref="I903" r:id="rId2447" display="http://plants.usda.gov/java/profile?symbol=VINI81" xr:uid="{00000000-0004-0000-0000-00008F090000}"/>
    <hyperlink ref="I892" r:id="rId2448" display="http://plants.usda.gov/java/profile?symbol=VAHE" xr:uid="{00000000-0004-0000-0000-000090090000}"/>
    <hyperlink ref="I888" r:id="rId2449" display="http://plants.usda.gov/java/profile?symbol=VAPA" xr:uid="{00000000-0004-0000-0000-000091090000}"/>
    <hyperlink ref="I886" r:id="rId2450" display="http://plants.usda.gov/java/profile?symbol=VAOV2" xr:uid="{00000000-0004-0000-0000-000092090000}"/>
    <hyperlink ref="I883" r:id="rId2451" display="http://plants.usda.gov/java/profile?symbol=VADE" xr:uid="{00000000-0004-0000-0000-000093090000}"/>
    <hyperlink ref="I873" r:id="rId2452" display="Tsuga heterophylla " xr:uid="{00000000-0004-0000-0000-000094090000}"/>
    <hyperlink ref="I872" r:id="rId2453" display="http://plants.usda.gov/java/profile?symbol=TRHY3" xr:uid="{00000000-0004-0000-0000-000095090000}"/>
    <hyperlink ref="I504" r:id="rId2454" display="Trientalis latifolia" xr:uid="{00000000-0004-0000-0000-000096090000}"/>
    <hyperlink ref="I855" r:id="rId2455" display="http://plants.usda.gov/java/profile?symbol=TODI" xr:uid="{00000000-0004-0000-0000-000097090000}"/>
    <hyperlink ref="I853" r:id="rId2456" display="http://plants.usda.gov/java/profile?symbol=TOME" xr:uid="{00000000-0004-0000-0000-000098090000}"/>
    <hyperlink ref="I852" r:id="rId2457" display="http://plants.usda.gov/java/profile?symbol=TITR" xr:uid="{00000000-0004-0000-0000-000099090000}"/>
    <hyperlink ref="I851" r:id="rId2458" display="http://plants.usda.gov/java/profile?symbol=THPL" xr:uid="{00000000-0004-0000-0000-00009A090000}"/>
    <hyperlink ref="I843" r:id="rId2459" xr:uid="{00000000-0004-0000-0000-00009B090000}"/>
    <hyperlink ref="I840" r:id="rId2460" xr:uid="{00000000-0004-0000-0000-00009C090000}"/>
    <hyperlink ref="I837" r:id="rId2461" xr:uid="{00000000-0004-0000-0000-00009D090000}"/>
    <hyperlink ref="I824" r:id="rId2462" display="http://plants.usda.gov/java/profile?symbol=STRI" xr:uid="{00000000-0004-0000-0000-00009E090000}"/>
    <hyperlink ref="I822" r:id="rId2463" xr:uid="{00000000-0004-0000-0000-00009F090000}"/>
    <hyperlink ref="I817" r:id="rId2464" display="http://plants.usda.gov/java/profile?symbol=SPDO" xr:uid="{00000000-0004-0000-0000-0000A0090000}"/>
    <hyperlink ref="I807" r:id="rId2465" xr:uid="{00000000-0004-0000-0000-0000A1090000}"/>
    <hyperlink ref="I802" r:id="rId2466" display="http://plants.usda.gov/java/profile?symbol=SICA8" xr:uid="{00000000-0004-0000-0000-0000A2090000}"/>
    <hyperlink ref="I797" r:id="rId2467" xr:uid="{00000000-0004-0000-0000-0000A3090000}"/>
    <hyperlink ref="I787" r:id="rId2468" display="http://plants.usda.gov/java/profile?symbol=SEOR3" xr:uid="{00000000-0004-0000-0000-0000A4090000}"/>
    <hyperlink ref="I786" r:id="rId2469" display="http://plants.usda.gov/java/profile?symbol=SESP" xr:uid="{00000000-0004-0000-0000-0000A5090000}"/>
    <hyperlink ref="I785" r:id="rId2470" display="http://plants.usda.gov/java/profile?symbol=SEOR" xr:uid="{00000000-0004-0000-0000-0000A6090000}"/>
    <hyperlink ref="I783" r:id="rId2471" display="http://plants.usda.gov/java/profile?symbol=SEDI" xr:uid="{00000000-0004-0000-0000-0000A7090000}"/>
    <hyperlink ref="I772" r:id="rId2472" display="http://plants.usda.gov/java/profile?symbol=SAME7" xr:uid="{00000000-0004-0000-0000-0000A8090000}"/>
    <hyperlink ref="I767" r:id="rId2473" display="http://plants.usda.gov/java/profile?symbol=SACR2" xr:uid="{00000000-0004-0000-0000-0000A9090000}"/>
    <hyperlink ref="I766" r:id="rId2474" display="http://plants.usda.gov/java/profile?symbol=SABI3" xr:uid="{00000000-0004-0000-0000-0000AA090000}"/>
    <hyperlink ref="I759" r:id="rId2475" xr:uid="{00000000-0004-0000-0000-0000AB090000}"/>
    <hyperlink ref="I758" r:id="rId2476" xr:uid="{00000000-0004-0000-0000-0000AC090000}"/>
    <hyperlink ref="I751" r:id="rId2477" display="http://plants.usda.gov/core/profile?symbol=SALA6" xr:uid="{00000000-0004-0000-0000-0000AD090000}"/>
    <hyperlink ref="I749" r:id="rId2478" display="Salix hookeriana " xr:uid="{00000000-0004-0000-0000-0000AE090000}"/>
    <hyperlink ref="I730" r:id="rId2479" display="http://plants.usda.gov/java/profile?symbol=RUUR" xr:uid="{00000000-0004-0000-0000-0000AF090000}"/>
    <hyperlink ref="I729" r:id="rId2480" display="http://plants.usda.gov/java/profile?symbol=RUSP" xr:uid="{00000000-0004-0000-0000-0000B0090000}"/>
    <hyperlink ref="I725" r:id="rId2481" display="http://plants.usda.gov/java/profile?symbol=RULA2" xr:uid="{00000000-0004-0000-0000-0000B1090000}"/>
    <hyperlink ref="I722" r:id="rId2482" display="http://plants.usda.gov/java/profile?symbol=ROPI2" xr:uid="{00000000-0004-0000-0000-0000B2090000}"/>
    <hyperlink ref="I720" r:id="rId2483" display="http://plants.usda.gov/java/profile?symbol=ROGY" xr:uid="{00000000-0004-0000-0000-0000B3090000}"/>
    <hyperlink ref="I716" r:id="rId2484" display="http://plants.usda.gov/java/profile?symbol=RISA" xr:uid="{00000000-0004-0000-0000-0000B4090000}"/>
    <hyperlink ref="I714" r:id="rId2485" display="http://plants.usda.gov/java/profile?symbol=RILO" xr:uid="{00000000-0004-0000-0000-0000B5090000}"/>
    <hyperlink ref="I711" r:id="rId2486" display="http://plants.usda.gov/java/profile?symbol=RIDI" xr:uid="{00000000-0004-0000-0000-0000B6090000}"/>
    <hyperlink ref="I709" r:id="rId2487" display="http://plants.usda.gov/java/profile?symbol=RIBR" xr:uid="{00000000-0004-0000-0000-0000B7090000}"/>
    <hyperlink ref="I702" r:id="rId2488" display="http://plants.usda.gov/java/profile?symbol=RHMA3" xr:uid="{00000000-0004-0000-0000-0000B9090000}"/>
    <hyperlink ref="I700" r:id="rId2489" xr:uid="{00000000-0004-0000-0000-0000BA090000}"/>
    <hyperlink ref="I699" r:id="rId2490" xr:uid="{00000000-0004-0000-0000-0000BB090000}"/>
    <hyperlink ref="I697" r:id="rId2491" xr:uid="{00000000-0004-0000-0000-0000BC090000}"/>
    <hyperlink ref="I693" r:id="rId2492" display="http://plants.usda.gov/java/profile?symbol=RAOC" xr:uid="{00000000-0004-0000-0000-0000BD090000}"/>
    <hyperlink ref="I687" r:id="rId2493" display="http://plants.usda.gov/java/profile?symbol=QUGA4" xr:uid="{00000000-0004-0000-0000-0000BE090000}"/>
    <hyperlink ref="I674" r:id="rId2494" display="http://plants.usda.gov/java/profile?symbol=PRVID" xr:uid="{00000000-0004-0000-0000-0000BF090000}"/>
    <hyperlink ref="I671" r:id="rId2495" display="http://plants.usda.gov/java/profile?symbol=PRSM" xr:uid="{00000000-0004-0000-0000-0000C0090000}"/>
    <hyperlink ref="I649" r:id="rId2496" display="http://plants.usda.gov/java/profile?symbol=POIM" xr:uid="{00000000-0004-0000-0000-0000C1090000}"/>
    <hyperlink ref="I646" r:id="rId2497" display="http://plants.usda.gov/java/profile?symbol=POSC4" xr:uid="{00000000-0004-0000-0000-0000C2090000}"/>
    <hyperlink ref="I644" r:id="rId2498" display="http://plants.usda.gov/java/profile?symbol=POGL8" xr:uid="{00000000-0004-0000-0000-0000C3090000}"/>
    <hyperlink ref="I642" r:id="rId2499" display="http://plants.usda.gov/java/profile?symbol=POPA7" xr:uid="{00000000-0004-0000-0000-0000C4090000}"/>
    <hyperlink ref="I632" r:id="rId2500" display="http://plants.usda.gov/java/profile?symbol=PLRE2" xr:uid="{00000000-0004-0000-0000-0000C5090000}"/>
    <hyperlink ref="I630" r:id="rId2501" display="http://plants.usda.gov/java/profile?symbol=PLCO4" xr:uid="{00000000-0004-0000-0000-0000C6090000}"/>
    <hyperlink ref="I623" r:id="rId2502" display="http://plants.usda.gov/java/profile?symbol=PLCH3" xr:uid="{00000000-0004-0000-0000-0000C7090000}"/>
    <hyperlink ref="I614" r:id="rId2503" display="http://plants.usda.gov/java/profile?symbol=PICOC" xr:uid="{00000000-0004-0000-0000-0000C8090000}"/>
    <hyperlink ref="I612" r:id="rId2504" display="http://plants.usda.gov/java/profile?symbol=PISI" xr:uid="{00000000-0004-0000-0000-0000C9090000}"/>
    <hyperlink ref="I610" r:id="rId2505" display="http://plants.usda.gov/java/profile?symbol=PHCA11" xr:uid="{00000000-0004-0000-0000-0000CA090000}"/>
    <hyperlink ref="I608" r:id="rId2506" display="http://plants.usda.gov/java/profile?symbol=PHLE4" xr:uid="{00000000-0004-0000-0000-0000CB090000}"/>
    <hyperlink ref="I606" r:id="rId2507" display="http://plants.usda.gov/java/profile?symbol=PHNE2" xr:uid="{00000000-0004-0000-0000-0000CC090000}"/>
    <hyperlink ref="I598" r:id="rId2508" display="http://plants.usda.gov/java/profile?symbol=PETR7" xr:uid="{00000000-0004-0000-0000-0000CD090000}"/>
    <hyperlink ref="I597" r:id="rId2509" display="http://plants.usda.gov/java/profile?symbol=PESE5" xr:uid="{00000000-0004-0000-0000-0000CE090000}"/>
    <hyperlink ref="I596" r:id="rId2510" display="http://plants.usda.gov/java/profile?symbol=PERI" xr:uid="{00000000-0004-0000-0000-0000CF090000}"/>
    <hyperlink ref="I595" r:id="rId2511" display="Pentstemon ovatus" xr:uid="{00000000-0004-0000-0000-0000D0090000}"/>
    <hyperlink ref="I593" r:id="rId2512" display="http://plants.usda.gov/java/profile?symbol=PEDA2" xr:uid="{00000000-0004-0000-0000-0000D1090000}"/>
    <hyperlink ref="I589" r:id="rId2513" display="Pectiantia ovalis   " xr:uid="{00000000-0004-0000-0000-0000D2090000}"/>
    <hyperlink ref="I582" r:id="rId2514" display="Mitella trifida" xr:uid="{00000000-0004-0000-0000-0000D3090000}"/>
    <hyperlink ref="I578" r:id="rId2515" display="http://plants.usda.gov/java/profile?symbol=OXTR" xr:uid="{00000000-0004-0000-0000-0000D4090000}"/>
    <hyperlink ref="I576" r:id="rId2516" display="http://plants.usda.gov/java/profile?symbol=OXOR" xr:uid="{00000000-0004-0000-0000-0000D5090000}"/>
    <hyperlink ref="I568" r:id="rId2517" display="http://plants.usda.gov/java/profile?symbol=OLDO" xr:uid="{00000000-0004-0000-0000-0000D6090000}"/>
    <hyperlink ref="I566" r:id="rId2518" display="http://plants.usda.gov/java/profile?symbol=OESA" xr:uid="{00000000-0004-0000-0000-0000D7090000}"/>
    <hyperlink ref="I565" r:id="rId2519" display="http://plants.usda.gov/java/profile?symbol=OECE" xr:uid="{00000000-0004-0000-0000-0000D8090000}"/>
    <hyperlink ref="I561" r:id="rId2520" display="http://plants.usda.gov/java/profile?symbol=NONE3" xr:uid="{00000000-0004-0000-0000-0000D9090000}"/>
    <hyperlink ref="I547" r:id="rId2521" xr:uid="{00000000-0004-0000-0000-0000DA090000}"/>
    <hyperlink ref="I544" r:id="rId2522" display="Montia parvifolia   " xr:uid="{00000000-0004-0000-0000-0000DB090000}"/>
    <hyperlink ref="I533" r:id="rId2523" display="Mitella caulescens" xr:uid="{00000000-0004-0000-0000-0000DC090000}"/>
    <hyperlink ref="I516" r:id="rId2524" display="http://plants.usda.gov/java/profile?symbol=MAOR3" xr:uid="{00000000-0004-0000-0000-0000DD090000}"/>
    <hyperlink ref="I515" r:id="rId2525" display="Pyrus fusca" xr:uid="{00000000-0004-0000-0000-0000DE090000}"/>
    <hyperlink ref="I511" r:id="rId2526" display="http://plants.usda.gov/java/profile?symbol=MADI" xr:uid="{00000000-0004-0000-0000-0000DF090000}"/>
    <hyperlink ref="I494" r:id="rId2527" display="http://plants.usda.gov/java/profile?symbol=LURI" xr:uid="{00000000-0004-0000-0000-0000E0090000}"/>
    <hyperlink ref="I490" r:id="rId2528" display="http://plants.usda.gov/java/profile?symbol=LULI2" xr:uid="{00000000-0004-0000-0000-0000E1090000}"/>
    <hyperlink ref="I488" r:id="rId2529" display="http://plants.usda.gov/java/profile?symbol=LULA4" xr:uid="{00000000-0004-0000-0000-0000E2090000}"/>
    <hyperlink ref="I486" r:id="rId2530" display="http://plants.usda.gov/java/profile?symbol=LUAL3" xr:uid="{00000000-0004-0000-0000-0000E3090000}"/>
    <hyperlink ref="I485" r:id="rId2531" display="http://plants.usda.gov/java/profile?symbol=LUPE" xr:uid="{00000000-0004-0000-0000-0000E4090000}"/>
    <hyperlink ref="I480" r:id="rId2532" display="http://plants.usda.gov/java/profile?symbol=LOHI2" xr:uid="{00000000-0004-0000-0000-0000E5090000}"/>
    <hyperlink ref="I479" r:id="rId2533" xr:uid="{00000000-0004-0000-0000-0000E6090000}"/>
    <hyperlink ref="I477" r:id="rId2534" display="http://plants.usda.gov/java/profile?symbol=LOUT" xr:uid="{00000000-0004-0000-0000-0000E7090000}"/>
    <hyperlink ref="I476" r:id="rId2535" xr:uid="{00000000-0004-0000-0000-0000E8090000}"/>
    <hyperlink ref="I467" r:id="rId2536" display="http://plants.usda.gov/java/profile?symbol=LICO" xr:uid="{00000000-0004-0000-0000-0000E9090000}"/>
    <hyperlink ref="I465" r:id="rId2537" display="http://plants.usda.gov/java/profile?symbol=LIAP" xr:uid="{00000000-0004-0000-0000-0000EA090000}"/>
    <hyperlink ref="I452" r:id="rId2538" display="http://plants.usda.gov/java/profile?symbol=LAPO3" xr:uid="{00000000-0004-0000-0000-0000EB090000}"/>
    <hyperlink ref="I449" r:id="rId2539" display="Lathyrus littoralis   " xr:uid="{00000000-0004-0000-0000-0000EC090000}"/>
    <hyperlink ref="I439" r:id="rId2540" xr:uid="{00000000-0004-0000-0000-0000ED090000}"/>
    <hyperlink ref="I438" r:id="rId2541" xr:uid="{00000000-0004-0000-0000-0000EE090000}"/>
    <hyperlink ref="I434" r:id="rId2542" display="Juncus patens   " xr:uid="{00000000-0004-0000-0000-0000EF090000}"/>
    <hyperlink ref="I424" r:id="rId2543" display="http://plants.usda.gov/java/profile?symbol=ISCE" xr:uid="{00000000-0004-0000-0000-0000F0090000}"/>
    <hyperlink ref="I420" r:id="rId2544" display="http://plants.usda.gov/java/profile?symbol=IRTE" xr:uid="{00000000-0004-0000-0000-0000F1090000}"/>
    <hyperlink ref="I413" r:id="rId2545" display="http://plants.usda.gov/java/profile?symbol=HYTE" xr:uid="{00000000-0004-0000-0000-0000F2090000}"/>
    <hyperlink ref="I411" r:id="rId2546" display="http://plants.usda.gov/java/profile?symbol=HUOC" xr:uid="{00000000-0004-0000-0000-0000F3090000}"/>
    <hyperlink ref="I410" r:id="rId2547" display="Huperzia miyoshiana   " xr:uid="{00000000-0004-0000-0000-0000F4090000}"/>
    <hyperlink ref="I396" r:id="rId2548" display="http://plants.usda.gov/java/profile?symbol=HEMIM2" xr:uid="{00000000-0004-0000-0000-0000F5090000}"/>
    <hyperlink ref="I395" r:id="rId2549" display="heuchra glabra" xr:uid="{00000000-0004-0000-0000-0000F6090000}"/>
    <hyperlink ref="I393" r:id="rId2550" display="http://plants.usda.gov/java/profile?symbol=HECH" xr:uid="{00000000-0004-0000-0000-0000F7090000}"/>
    <hyperlink ref="I382" r:id="rId2551" display="Grindelia hirsutula   " xr:uid="{00000000-0004-0000-0000-0000F8090000}"/>
    <hyperlink ref="I375" r:id="rId2552" display="http://plants.usda.gov/java/profile?symbol=GLLI" xr:uid="{00000000-0004-0000-0000-0000F9090000}"/>
    <hyperlink ref="I366" r:id="rId2553" display="http://plants.usda.gov/java/profile?symbol=GESC" xr:uid="{00000000-0004-0000-0000-0000FA090000}"/>
    <hyperlink ref="I364" r:id="rId2554" xr:uid="{00000000-0004-0000-0000-0000FB090000}"/>
    <hyperlink ref="I353" r:id="rId2555" display="http://plants.usda.gov/java/profile?symbol=FRAF2" xr:uid="{00000000-0004-0000-0000-0000FC090000}"/>
    <hyperlink ref="I352" r:id="rId2556" display="http://plants.usda.gov/java/profile?symbol=FRLA" xr:uid="{00000000-0004-0000-0000-0000FD090000}"/>
    <hyperlink ref="I346" r:id="rId2557" display="Festuca roemeri   " xr:uid="{00000000-0004-0000-0000-0000FE090000}"/>
    <hyperlink ref="I341" r:id="rId2558" display="http://plants.usda.gov/java/profile?symbol=EUOC8" xr:uid="{00000000-0004-0000-0000-0000FF090000}"/>
    <hyperlink ref="I337" r:id="rId2559" display="http://plants.usda.gov/java/profile?symbol=EROR4" xr:uid="{00000000-0004-0000-0000-0000000A0000}"/>
    <hyperlink ref="I331" r:id="rId2560" xr:uid="{00000000-0004-0000-0000-0000010A0000}"/>
    <hyperlink ref="I318" r:id="rId2561" display="http://plants.usda.gov/java/profile?symbol=EQTE" xr:uid="{00000000-0004-0000-0000-0000020A0000}"/>
    <hyperlink ref="I296" r:id="rId2562" xr:uid="{00000000-0004-0000-0000-0000030A0000}"/>
    <hyperlink ref="I291" r:id="rId2563" display="http://plants.usda.gov/java/profile?symbol=DRAR3" xr:uid="{00000000-0004-0000-0000-0000040A0000}"/>
    <hyperlink ref="I285" r:id="rId2564" display="http://plants.usda.gov/java/profile?symbol=DOHE" xr:uid="{00000000-0004-0000-0000-0000050A0000}"/>
    <hyperlink ref="I282" r:id="rId2565" display="Diclhelostemma congestum**" xr:uid="{00000000-0004-0000-0000-0000060A0000}"/>
    <hyperlink ref="I280" r:id="rId2566" display="http://plants.usda.gov/java/profile?symbol=DIFO" xr:uid="{00000000-0004-0000-0000-0000070A0000}"/>
    <hyperlink ref="I275" r:id="rId2567" display="Delphinium nuttallii   " xr:uid="{00000000-0004-0000-0000-0000080A0000}"/>
    <hyperlink ref="I268" r:id="rId2568" display="Darlingtonia Californica" xr:uid="{00000000-0004-0000-0000-0000090A0000}"/>
    <hyperlink ref="I249" r:id="rId2569" xr:uid="{00000000-0004-0000-0000-00000A0A0000}"/>
    <hyperlink ref="I247" r:id="rId2570" display="http://plants.usda.gov/java/profile?symbol=CONU4" xr:uid="{00000000-0004-0000-0000-00000B0A0000}"/>
    <hyperlink ref="I235" r:id="rId2571" display="http://plants.usda.gov/java/profile?symbol=COGR2" xr:uid="{00000000-0004-0000-0000-00000C0A0000}"/>
    <hyperlink ref="I230" r:id="rId2572" display="Claytonia sibirica   " xr:uid="{00000000-0004-0000-0000-00000D0A0000}"/>
    <hyperlink ref="I202" r:id="rId2573" xr:uid="{00000000-0004-0000-0000-00000E0A0000}"/>
    <hyperlink ref="I201" r:id="rId2574" display="http://plants.usda.gov/java/profile?symbol=CEIN3" xr:uid="{00000000-0004-0000-0000-00000F0A0000}"/>
    <hyperlink ref="I189" r:id="rId2575" display="http://plants.usda.gov/java/profile?symbol=CAUN3" xr:uid="{00000000-0004-0000-0000-0000100A0000}"/>
    <hyperlink ref="I188" r:id="rId2576" display="http://plants.usda.gov/java/profile?symbol=CATU3" xr:uid="{00000000-0004-0000-0000-0000110A0000}"/>
    <hyperlink ref="I179" r:id="rId2577" display="Carex pansa   " xr:uid="{00000000-0004-0000-0000-0000120A0000}"/>
    <hyperlink ref="I177" r:id="rId2578" xr:uid="{00000000-0004-0000-0000-0000130A0000}"/>
    <hyperlink ref="I176" r:id="rId2579" display="http://plants.usda.gov/java/profile?symbol=CAIN17" xr:uid="{00000000-0004-0000-0000-0000140A0000}"/>
    <hyperlink ref="I175" r:id="rId2580" xr:uid="{00000000-0004-0000-0000-0000150A0000}"/>
    <hyperlink ref="I173" r:id="rId2581" display="http://plants.usda.gov/java/profile?symbol=CALY3" xr:uid="{00000000-0004-0000-0000-0000160A0000}"/>
    <hyperlink ref="I166" r:id="rId2582" display="http://plants.usda.gov/java/profile?symbol=CAFE4" xr:uid="{00000000-0004-0000-0000-0000170A0000}"/>
    <hyperlink ref="I143" r:id="rId2583" display="http://plants.usda.gov/java/profile?symbol=CALES2" xr:uid="{00000000-0004-0000-0000-0000180A0000}"/>
    <hyperlink ref="I138" r:id="rId2584" display="Xanthocyparis nootkatensis, Chamaecyparis nootkatensis" xr:uid="{00000000-0004-0000-0000-0000190A0000}"/>
    <hyperlink ref="I133" r:id="rId2585" xr:uid="{00000000-0004-0000-0000-00001A0A0000}"/>
    <hyperlink ref="I129" r:id="rId2586" display="http://plants.usda.gov/java/profile?symbol=BRCA5" xr:uid="{00000000-0004-0000-0000-00001B0A0000}"/>
    <hyperlink ref="I126" r:id="rId2587" display="http://plants.usda.gov/java/profile?symbol=BOOC2" xr:uid="{00000000-0004-0000-0000-00001C0A0000}"/>
    <hyperlink ref="I114" r:id="rId2588" display="Betula pumila   " xr:uid="{00000000-0004-0000-0000-00001D0A0000}"/>
    <hyperlink ref="I112" r:id="rId2589" xr:uid="{00000000-0004-0000-0000-00001E0A0000}"/>
    <hyperlink ref="I110" r:id="rId2590" xr:uid="{00000000-0004-0000-0000-00001F0A0000}"/>
    <hyperlink ref="I98" r:id="rId2591" xr:uid="{00000000-0004-0000-0000-0000200A0000}"/>
    <hyperlink ref="I97" r:id="rId2592" xr:uid="{00000000-0004-0000-0000-0000210A0000}"/>
    <hyperlink ref="I80" r:id="rId2593" xr:uid="{00000000-0004-0000-0000-0000220A0000}"/>
    <hyperlink ref="I69" r:id="rId2594" display="Anisocarpus madioides   " xr:uid="{00000000-0004-0000-0000-0000230A0000}"/>
    <hyperlink ref="I54" r:id="rId2595" xr:uid="{00000000-0004-0000-0000-0000240A0000}"/>
    <hyperlink ref="I52" r:id="rId2596" display="http://plants.usda.gov/java/profile?symbol=ALRU2" xr:uid="{00000000-0004-0000-0000-0000250A0000}"/>
    <hyperlink ref="I51" r:id="rId2597" display="http://plants.usda.gov/java/profile?symbol=ALRH2" xr:uid="{00000000-0004-0000-0000-0000260A0000}"/>
    <hyperlink ref="I47" r:id="rId2598" display="http://plants.usda.gov/java/profile?symbol=ALCR4" xr:uid="{00000000-0004-0000-0000-0000270A0000}"/>
    <hyperlink ref="I45" r:id="rId2599" display="http://plants.usda.gov/java/profile?symbol=ALAM2" xr:uid="{00000000-0004-0000-0000-0000280A0000}"/>
    <hyperlink ref="I27" r:id="rId2600" display="http://plants.usda.gov/java/profile?symbol=ACTR" xr:uid="{00000000-0004-0000-0000-0000290A0000}"/>
    <hyperlink ref="I23" r:id="rId2601" display="http://plants.usda.gov/java/profile?symbol=ACCI" xr:uid="{00000000-0004-0000-0000-00002A0A0000}"/>
    <hyperlink ref="I20" r:id="rId2602" display="http://plants.usda.gov/java/profile?symbol=ABPR" xr:uid="{00000000-0004-0000-0000-00002B0A0000}"/>
    <hyperlink ref="I18" r:id="rId2603" display="http://plants.usda.gov/java/profile?symbol=ABGR" xr:uid="{00000000-0004-0000-0000-00002C0A0000}"/>
    <hyperlink ref="I17" r:id="rId2604" display="http://plants.usda.gov/java/profile?symbol=ABAM" xr:uid="{00000000-0004-0000-0000-00002D0A0000}"/>
    <hyperlink ref="I634" r:id="rId2605" xr:uid="{00000000-0004-0000-0000-00002E0A0000}"/>
    <hyperlink ref="I635" r:id="rId2606" display="Poa lepto" xr:uid="{00000000-0004-0000-0000-00002F0A0000}"/>
    <hyperlink ref="I627" r:id="rId2607" display="http://plants.usda.gov/java/profile?symbol=PLST4" xr:uid="{00000000-0004-0000-0000-0000300A0000}"/>
    <hyperlink ref="L736" r:id="rId2608" xr:uid="{00000000-0004-0000-0000-0000410B0000}"/>
    <hyperlink ref="J694" r:id="rId2609" display="Straightbeak Buttercup" xr:uid="{00000000-0004-0000-0000-0000420B0000}"/>
    <hyperlink ref="L843" r:id="rId2610" xr:uid="{00000000-0004-0000-0000-0000430B0000}"/>
    <hyperlink ref="J667" r:id="rId2611" display="Drummond's Cinquefoil" xr:uid="{00000000-0004-0000-0000-0000440B0000}"/>
    <hyperlink ref="L875" r:id="rId2612" xr:uid="{00000000-0004-0000-0000-00004E0B0000}"/>
    <hyperlink ref="L869" r:id="rId2613" xr:uid="{00000000-0004-0000-0000-0000530B0000}"/>
    <hyperlink ref="L838" r:id="rId2614" xr:uid="{00000000-0004-0000-0000-00005F0B0000}"/>
    <hyperlink ref="L830" r:id="rId2615" xr:uid="{00000000-0004-0000-0000-0000630B0000}"/>
    <hyperlink ref="L829" r:id="rId2616" xr:uid="{00000000-0004-0000-0000-0000660B0000}"/>
    <hyperlink ref="L827" r:id="rId2617" xr:uid="{00000000-0004-0000-0000-0000670B0000}"/>
    <hyperlink ref="L823" r:id="rId2618" xr:uid="{00000000-0004-0000-0000-00006A0B0000}"/>
    <hyperlink ref="L815" r:id="rId2619" xr:uid="{00000000-0004-0000-0000-00006D0B0000}"/>
    <hyperlink ref="L813" r:id="rId2620" xr:uid="{00000000-0004-0000-0000-00006F0B0000}"/>
    <hyperlink ref="L800" r:id="rId2621" xr:uid="{00000000-0004-0000-0000-0000730B0000}"/>
    <hyperlink ref="L799" r:id="rId2622" xr:uid="{00000000-0004-0000-0000-0000750B0000}"/>
    <hyperlink ref="L776" r:id="rId2623" xr:uid="{00000000-0004-0000-0000-00007B0B0000}"/>
    <hyperlink ref="L773" r:id="rId2624" xr:uid="{00000000-0004-0000-0000-00007E0B0000}"/>
    <hyperlink ref="L770" r:id="rId2625" xr:uid="{00000000-0004-0000-0000-0000800B0000}"/>
    <hyperlink ref="L765" r:id="rId2626" xr:uid="{00000000-0004-0000-0000-0000830B0000}"/>
    <hyperlink ref="L724" r:id="rId2627" xr:uid="{00000000-0004-0000-0000-0000890B0000}"/>
    <hyperlink ref="L675" r:id="rId2628" xr:uid="{00000000-0004-0000-0000-0000970B0000}"/>
    <hyperlink ref="L678" r:id="rId2629" xr:uid="{00000000-0004-0000-0000-00009A0B0000}"/>
    <hyperlink ref="L676" r:id="rId2630" xr:uid="{00000000-0004-0000-0000-00009B0B0000}"/>
    <hyperlink ref="L643" r:id="rId2631" xr:uid="{00000000-0004-0000-0000-0000A30B0000}"/>
    <hyperlink ref="L641" r:id="rId2632" xr:uid="{00000000-0004-0000-0000-0000A50B0000}"/>
    <hyperlink ref="L629" r:id="rId2633" xr:uid="{00000000-0004-0000-0000-0000AC0B0000}"/>
    <hyperlink ref="L628" r:id="rId2634" xr:uid="{00000000-0004-0000-0000-0000AE0B0000}"/>
    <hyperlink ref="L625" r:id="rId2635" xr:uid="{00000000-0004-0000-0000-0000B00B0000}"/>
    <hyperlink ref="L621" r:id="rId2636" xr:uid="{00000000-0004-0000-0000-0000B20B0000}"/>
    <hyperlink ref="L554" r:id="rId2637" xr:uid="{00000000-0004-0000-0000-0000C80B0000}"/>
    <hyperlink ref="L543" r:id="rId2638" xr:uid="{00000000-0004-0000-0000-0000CF0B0000}"/>
    <hyperlink ref="L535" r:id="rId2639" xr:uid="{00000000-0004-0000-0000-0000D40B0000}"/>
    <hyperlink ref="L491" r:id="rId2640" xr:uid="{00000000-0004-0000-0000-0000E60B0000}"/>
    <hyperlink ref="L459" r:id="rId2641" xr:uid="{00000000-0004-0000-0000-0000EC0B0000}"/>
    <hyperlink ref="L429" r:id="rId2642" xr:uid="{00000000-0004-0000-0000-0000F50B0000}"/>
    <hyperlink ref="L417" r:id="rId2643" xr:uid="{00000000-0004-0000-0000-0000FB0B0000}"/>
    <hyperlink ref="L407" r:id="rId2644" xr:uid="{00000000-0004-0000-0000-0000000C0000}"/>
    <hyperlink ref="L406" r:id="rId2645" xr:uid="{00000000-0004-0000-0000-0000010C0000}"/>
    <hyperlink ref="L402" r:id="rId2646" xr:uid="{00000000-0004-0000-0000-0000060C0000}"/>
    <hyperlink ref="L363" r:id="rId2647" xr:uid="{00000000-0004-0000-0000-0000110C0000}"/>
    <hyperlink ref="L93" r:id="rId2648" xr:uid="{00000000-0004-0000-0000-0000580C0000}"/>
    <hyperlink ref="L90" r:id="rId2649" xr:uid="{00000000-0004-0000-0000-00005A0C0000}"/>
    <hyperlink ref="L75" r:id="rId2650" xr:uid="{00000000-0004-0000-0000-0000610C0000}"/>
    <hyperlink ref="L73" r:id="rId2651" xr:uid="{00000000-0004-0000-0000-0000640C0000}"/>
    <hyperlink ref="L70" r:id="rId2652" xr:uid="{00000000-0004-0000-0000-0000660C0000}"/>
    <hyperlink ref="L67" r:id="rId2653" xr:uid="{00000000-0004-0000-0000-0000690C0000}"/>
    <hyperlink ref="L835" r:id="rId2654" xr:uid="{00000000-0004-0000-0000-00007B0C0000}"/>
    <hyperlink ref="L828" r:id="rId2655" xr:uid="{00000000-0004-0000-0000-00007E0C0000}"/>
    <hyperlink ref="L821" r:id="rId2656" xr:uid="{00000000-0004-0000-0000-0000810C0000}"/>
    <hyperlink ref="L811" r:id="rId2657" xr:uid="{00000000-0004-0000-0000-0000830C0000}"/>
    <hyperlink ref="L781" r:id="rId2658" xr:uid="{00000000-0004-0000-0000-0000850C0000}"/>
    <hyperlink ref="L778" r:id="rId2659" xr:uid="{00000000-0004-0000-0000-0000870C0000}"/>
    <hyperlink ref="L769" r:id="rId2660" xr:uid="{00000000-0004-0000-0000-00008A0C0000}"/>
    <hyperlink ref="L768" r:id="rId2661" xr:uid="{00000000-0004-0000-0000-00008C0C0000}"/>
    <hyperlink ref="L764" r:id="rId2662" xr:uid="{00000000-0004-0000-0000-00008E0C0000}"/>
    <hyperlink ref="L763" r:id="rId2663" xr:uid="{00000000-0004-0000-0000-0000900C0000}"/>
    <hyperlink ref="L636" r:id="rId2664" xr:uid="{00000000-0004-0000-0000-0000A30C0000}"/>
    <hyperlink ref="L602" r:id="rId2665" xr:uid="{00000000-0004-0000-0000-0000AB0C0000}"/>
    <hyperlink ref="L589" r:id="rId2666" xr:uid="{00000000-0004-0000-0000-0000AD0C0000}"/>
    <hyperlink ref="L572" r:id="rId2667" xr:uid="{00000000-0004-0000-0000-0000B40C0000}"/>
    <hyperlink ref="L527" r:id="rId2668" xr:uid="{00000000-0004-0000-0000-0000BE0C0000}"/>
    <hyperlink ref="L526" r:id="rId2669" xr:uid="{00000000-0004-0000-0000-0000C00C0000}"/>
    <hyperlink ref="L525" r:id="rId2670" xr:uid="{00000000-0004-0000-0000-0000C30C0000}"/>
    <hyperlink ref="L479" r:id="rId2671" xr:uid="{00000000-0004-0000-0000-0000CC0C0000}"/>
    <hyperlink ref="L458" r:id="rId2672" xr:uid="{00000000-0004-0000-0000-0000D40C0000}"/>
    <hyperlink ref="L385" r:id="rId2673" xr:uid="{00000000-0004-0000-0000-0000EA0C0000}"/>
    <hyperlink ref="L300" r:id="rId2674" xr:uid="{00000000-0004-0000-0000-0000000D0000}"/>
    <hyperlink ref="L127" r:id="rId2675" xr:uid="{00000000-0004-0000-0000-0000300D0000}"/>
    <hyperlink ref="L107" r:id="rId2676" xr:uid="{00000000-0004-0000-0000-0000360D0000}"/>
    <hyperlink ref="L97" r:id="rId2677" xr:uid="{00000000-0004-0000-0000-00003A0D0000}"/>
    <hyperlink ref="L94" r:id="rId2678" xr:uid="{00000000-0004-0000-0000-00003C0D0000}"/>
    <hyperlink ref="L92" r:id="rId2679" xr:uid="{00000000-0004-0000-0000-00003E0D0000}"/>
    <hyperlink ref="L89" r:id="rId2680" xr:uid="{00000000-0004-0000-0000-0000410D0000}"/>
    <hyperlink ref="L76" r:id="rId2681" xr:uid="{00000000-0004-0000-0000-0000440D0000}"/>
    <hyperlink ref="L62" r:id="rId2682" xr:uid="{00000000-0004-0000-0000-0000480D0000}"/>
    <hyperlink ref="L58" r:id="rId2683" xr:uid="{00000000-0004-0000-0000-00004A0D0000}"/>
    <hyperlink ref="L43" r:id="rId2684" xr:uid="{00000000-0004-0000-0000-00004E0D0000}"/>
    <hyperlink ref="L877" r:id="rId2685" xr:uid="{00000000-0004-0000-0000-0000720D0000}"/>
    <hyperlink ref="L839" r:id="rId2686" xr:uid="{00000000-0004-0000-0000-0000870D0000}"/>
    <hyperlink ref="L818" r:id="rId2687" xr:uid="{00000000-0004-0000-0000-00008F0D0000}"/>
    <hyperlink ref="L814" r:id="rId2688" xr:uid="{00000000-0004-0000-0000-0000930D0000}"/>
    <hyperlink ref="L810" r:id="rId2689" xr:uid="{00000000-0004-0000-0000-0000950D0000}"/>
    <hyperlink ref="L808" r:id="rId2690" xr:uid="{00000000-0004-0000-0000-0000980D0000}"/>
    <hyperlink ref="L809" r:id="rId2691" xr:uid="{00000000-0004-0000-0000-00009A0D0000}"/>
    <hyperlink ref="L806" r:id="rId2692" xr:uid="{00000000-0004-0000-0000-00009C0D0000}"/>
    <hyperlink ref="L805" r:id="rId2693" xr:uid="{00000000-0004-0000-0000-00009E0D0000}"/>
    <hyperlink ref="L804" r:id="rId2694" xr:uid="{00000000-0004-0000-0000-0000A00D0000}"/>
    <hyperlink ref="L803" r:id="rId2695" xr:uid="{00000000-0004-0000-0000-0000A20D0000}"/>
    <hyperlink ref="L802" r:id="rId2696" xr:uid="{00000000-0004-0000-0000-0000A50D0000}"/>
    <hyperlink ref="L794" r:id="rId2697" xr:uid="{00000000-0004-0000-0000-0000A70D0000}"/>
    <hyperlink ref="L792" r:id="rId2698" xr:uid="{00000000-0004-0000-0000-0000AA0D0000}"/>
    <hyperlink ref="L793" r:id="rId2699" xr:uid="{00000000-0004-0000-0000-0000AC0D0000}"/>
    <hyperlink ref="L788" r:id="rId2700" xr:uid="{00000000-0004-0000-0000-0000AF0D0000}"/>
    <hyperlink ref="L787" r:id="rId2701" xr:uid="{00000000-0004-0000-0000-0000B10D0000}"/>
    <hyperlink ref="L784" r:id="rId2702" xr:uid="{00000000-0004-0000-0000-0000B50D0000}"/>
    <hyperlink ref="L782" r:id="rId2703" xr:uid="{00000000-0004-0000-0000-0000B80D0000}"/>
    <hyperlink ref="L780" r:id="rId2704" xr:uid="{00000000-0004-0000-0000-0000BA0D0000}"/>
    <hyperlink ref="L779" r:id="rId2705" xr:uid="{00000000-0004-0000-0000-0000BC0D0000}"/>
    <hyperlink ref="L777" r:id="rId2706" xr:uid="{00000000-0004-0000-0000-0000BF0D0000}"/>
    <hyperlink ref="L774" r:id="rId2707" xr:uid="{00000000-0004-0000-0000-0000C10D0000}"/>
    <hyperlink ref="L772" r:id="rId2708" xr:uid="{00000000-0004-0000-0000-0000C30D0000}"/>
    <hyperlink ref="L767" r:id="rId2709" xr:uid="{00000000-0004-0000-0000-0000C40D0000}"/>
    <hyperlink ref="L766" r:id="rId2710" xr:uid="{00000000-0004-0000-0000-0000C60D0000}"/>
    <hyperlink ref="L729" r:id="rId2711" xr:uid="{00000000-0004-0000-0000-0000E20D0000}"/>
    <hyperlink ref="L722" r:id="rId2712" xr:uid="{00000000-0004-0000-0000-0000EA0D0000}"/>
    <hyperlink ref="L651" r:id="rId2713" xr:uid="{00000000-0004-0000-0000-0000110E0000}"/>
    <hyperlink ref="K19" r:id="rId2714" xr:uid="{00000000-0004-0000-0000-0000250E0000}"/>
    <hyperlink ref="K21" r:id="rId2715" xr:uid="{00000000-0004-0000-0000-0000260E0000}"/>
    <hyperlink ref="K22" r:id="rId2716" xr:uid="{00000000-0004-0000-0000-0000270E0000}"/>
    <hyperlink ref="K24" r:id="rId2717" xr:uid="{00000000-0004-0000-0000-0000280E0000}"/>
    <hyperlink ref="K25" r:id="rId2718" xr:uid="{00000000-0004-0000-0000-0000290E0000}"/>
    <hyperlink ref="K26" r:id="rId2719" xr:uid="{00000000-0004-0000-0000-00002A0E0000}"/>
    <hyperlink ref="K28" r:id="rId2720" xr:uid="{00000000-0004-0000-0000-00002B0E0000}"/>
    <hyperlink ref="K29" r:id="rId2721" xr:uid="{00000000-0004-0000-0000-00002C0E0000}"/>
    <hyperlink ref="K30" r:id="rId2722" xr:uid="{00000000-0004-0000-0000-00002D0E0000}"/>
    <hyperlink ref="K31" r:id="rId2723" xr:uid="{00000000-0004-0000-0000-00002E0E0000}"/>
    <hyperlink ref="K32" r:id="rId2724" xr:uid="{00000000-0004-0000-0000-00002F0E0000}"/>
    <hyperlink ref="K33" r:id="rId2725" xr:uid="{00000000-0004-0000-0000-0000300E0000}"/>
    <hyperlink ref="K34" r:id="rId2726" xr:uid="{00000000-0004-0000-0000-0000310E0000}"/>
    <hyperlink ref="K35" r:id="rId2727" xr:uid="{00000000-0004-0000-0000-0000320E0000}"/>
    <hyperlink ref="K36" r:id="rId2728" xr:uid="{00000000-0004-0000-0000-0000330E0000}"/>
    <hyperlink ref="K37" r:id="rId2729" xr:uid="{00000000-0004-0000-0000-0000340E0000}"/>
    <hyperlink ref="K38" r:id="rId2730" xr:uid="{00000000-0004-0000-0000-0000350E0000}"/>
    <hyperlink ref="K39" r:id="rId2731" xr:uid="{00000000-0004-0000-0000-0000360E0000}"/>
    <hyperlink ref="K40" r:id="rId2732" xr:uid="{00000000-0004-0000-0000-0000370E0000}"/>
    <hyperlink ref="K41" r:id="rId2733" xr:uid="{00000000-0004-0000-0000-0000380E0000}"/>
    <hyperlink ref="K42" r:id="rId2734" xr:uid="{00000000-0004-0000-0000-0000390E0000}"/>
    <hyperlink ref="K43" r:id="rId2735" xr:uid="{00000000-0004-0000-0000-00003A0E0000}"/>
    <hyperlink ref="K44" r:id="rId2736" xr:uid="{00000000-0004-0000-0000-00003B0E0000}"/>
    <hyperlink ref="K46" r:id="rId2737" xr:uid="{00000000-0004-0000-0000-00003C0E0000}"/>
    <hyperlink ref="K48" r:id="rId2738" xr:uid="{00000000-0004-0000-0000-00003D0E0000}"/>
    <hyperlink ref="K49" r:id="rId2739" xr:uid="{00000000-0004-0000-0000-00003E0E0000}"/>
    <hyperlink ref="K50" r:id="rId2740" xr:uid="{00000000-0004-0000-0000-00003F0E0000}"/>
    <hyperlink ref="K53" r:id="rId2741" xr:uid="{00000000-0004-0000-0000-0000400E0000}"/>
    <hyperlink ref="K55" r:id="rId2742" xr:uid="{00000000-0004-0000-0000-0000410E0000}"/>
    <hyperlink ref="K56" r:id="rId2743" xr:uid="{00000000-0004-0000-0000-0000420E0000}"/>
    <hyperlink ref="K57" r:id="rId2744" xr:uid="{00000000-0004-0000-0000-0000430E0000}"/>
    <hyperlink ref="K58" r:id="rId2745" xr:uid="{00000000-0004-0000-0000-0000440E0000}"/>
    <hyperlink ref="K59" r:id="rId2746" xr:uid="{00000000-0004-0000-0000-0000450E0000}"/>
    <hyperlink ref="K60" r:id="rId2747" xr:uid="{00000000-0004-0000-0000-0000460E0000}"/>
    <hyperlink ref="K61" r:id="rId2748" xr:uid="{00000000-0004-0000-0000-0000470E0000}"/>
    <hyperlink ref="K62" r:id="rId2749" xr:uid="{00000000-0004-0000-0000-0000480E0000}"/>
    <hyperlink ref="K63" r:id="rId2750" xr:uid="{00000000-0004-0000-0000-0000490E0000}"/>
    <hyperlink ref="K64" r:id="rId2751" xr:uid="{00000000-0004-0000-0000-00004A0E0000}"/>
    <hyperlink ref="K65" r:id="rId2752" xr:uid="{00000000-0004-0000-0000-00004B0E0000}"/>
    <hyperlink ref="K66" r:id="rId2753" xr:uid="{00000000-0004-0000-0000-00004C0E0000}"/>
    <hyperlink ref="K67" r:id="rId2754" xr:uid="{00000000-0004-0000-0000-00004D0E0000}"/>
    <hyperlink ref="K68" r:id="rId2755" xr:uid="{00000000-0004-0000-0000-00004E0E0000}"/>
    <hyperlink ref="K70" r:id="rId2756" xr:uid="{00000000-0004-0000-0000-00004F0E0000}"/>
    <hyperlink ref="K71" r:id="rId2757" xr:uid="{00000000-0004-0000-0000-0000500E0000}"/>
    <hyperlink ref="K72" r:id="rId2758" xr:uid="{00000000-0004-0000-0000-0000510E0000}"/>
    <hyperlink ref="K73" r:id="rId2759" xr:uid="{00000000-0004-0000-0000-0000520E0000}"/>
    <hyperlink ref="K74" r:id="rId2760" xr:uid="{00000000-0004-0000-0000-0000530E0000}"/>
    <hyperlink ref="K75" r:id="rId2761" xr:uid="{00000000-0004-0000-0000-0000540E0000}"/>
    <hyperlink ref="K76" r:id="rId2762" xr:uid="{00000000-0004-0000-0000-0000550E0000}"/>
    <hyperlink ref="K77" r:id="rId2763" xr:uid="{00000000-0004-0000-0000-0000560E0000}"/>
    <hyperlink ref="K78" r:id="rId2764" xr:uid="{00000000-0004-0000-0000-0000570E0000}"/>
    <hyperlink ref="K79" r:id="rId2765" xr:uid="{00000000-0004-0000-0000-0000580E0000}"/>
    <hyperlink ref="K81" r:id="rId2766" xr:uid="{00000000-0004-0000-0000-0000590E0000}"/>
    <hyperlink ref="K82" r:id="rId2767" xr:uid="{00000000-0004-0000-0000-00005A0E0000}"/>
    <hyperlink ref="K83" r:id="rId2768" xr:uid="{00000000-0004-0000-0000-00005B0E0000}"/>
    <hyperlink ref="K85" r:id="rId2769" xr:uid="{00000000-0004-0000-0000-00005C0E0000}"/>
    <hyperlink ref="K86" r:id="rId2770" xr:uid="{00000000-0004-0000-0000-00005D0E0000}"/>
    <hyperlink ref="K88" r:id="rId2771" xr:uid="{00000000-0004-0000-0000-00005E0E0000}"/>
    <hyperlink ref="K87" r:id="rId2772" xr:uid="{00000000-0004-0000-0000-00005F0E0000}"/>
    <hyperlink ref="K89" r:id="rId2773" xr:uid="{00000000-0004-0000-0000-0000600E0000}"/>
    <hyperlink ref="K90" r:id="rId2774" xr:uid="{00000000-0004-0000-0000-0000610E0000}"/>
    <hyperlink ref="K91" r:id="rId2775" xr:uid="{00000000-0004-0000-0000-0000620E0000}"/>
    <hyperlink ref="K92" r:id="rId2776" xr:uid="{00000000-0004-0000-0000-0000630E0000}"/>
    <hyperlink ref="K93" r:id="rId2777" xr:uid="{00000000-0004-0000-0000-0000640E0000}"/>
    <hyperlink ref="K94" r:id="rId2778" xr:uid="{00000000-0004-0000-0000-0000650E0000}"/>
    <hyperlink ref="K95" r:id="rId2779" xr:uid="{00000000-0004-0000-0000-0000660E0000}"/>
    <hyperlink ref="K96" r:id="rId2780" xr:uid="{00000000-0004-0000-0000-0000670E0000}"/>
    <hyperlink ref="K99" r:id="rId2781" xr:uid="{00000000-0004-0000-0000-0000680E0000}"/>
    <hyperlink ref="K100" r:id="rId2782" xr:uid="{00000000-0004-0000-0000-0000690E0000}"/>
    <hyperlink ref="K101" r:id="rId2783" display="Sandweed" xr:uid="{00000000-0004-0000-0000-00006A0E0000}"/>
    <hyperlink ref="K102" r:id="rId2784" xr:uid="{00000000-0004-0000-0000-00006B0E0000}"/>
    <hyperlink ref="K103" r:id="rId2785" xr:uid="{00000000-0004-0000-0000-00006C0E0000}"/>
    <hyperlink ref="K104" r:id="rId2786" xr:uid="{00000000-0004-0000-0000-00006D0E0000}"/>
    <hyperlink ref="K105" r:id="rId2787" xr:uid="{00000000-0004-0000-0000-00006E0E0000}"/>
    <hyperlink ref="K106" r:id="rId2788" xr:uid="{00000000-0004-0000-0000-00006F0E0000}"/>
    <hyperlink ref="K107" r:id="rId2789" xr:uid="{00000000-0004-0000-0000-0000700E0000}"/>
    <hyperlink ref="K108" r:id="rId2790" xr:uid="{00000000-0004-0000-0000-0000710E0000}"/>
    <hyperlink ref="K109" r:id="rId2791" xr:uid="{00000000-0004-0000-0000-0000720E0000}"/>
    <hyperlink ref="K111" r:id="rId2792" xr:uid="{00000000-0004-0000-0000-0000730E0000}"/>
    <hyperlink ref="K113" r:id="rId2793" xr:uid="{00000000-0004-0000-0000-0000740E0000}"/>
    <hyperlink ref="K115" r:id="rId2794" xr:uid="{00000000-0004-0000-0000-0000750E0000}"/>
    <hyperlink ref="K116" r:id="rId2795" xr:uid="{00000000-0004-0000-0000-0000760E0000}"/>
    <hyperlink ref="K117" r:id="rId2796" xr:uid="{00000000-0004-0000-0000-0000770E0000}"/>
    <hyperlink ref="K118" r:id="rId2797" xr:uid="{00000000-0004-0000-0000-0000780E0000}"/>
    <hyperlink ref="K119" r:id="rId2798" xr:uid="{00000000-0004-0000-0000-0000790E0000}"/>
    <hyperlink ref="K120" r:id="rId2799" xr:uid="{00000000-0004-0000-0000-00007A0E0000}"/>
    <hyperlink ref="K121" r:id="rId2800" xr:uid="{00000000-0004-0000-0000-00007B0E0000}"/>
    <hyperlink ref="K442" r:id="rId2801" xr:uid="{00000000-0004-0000-0000-00007C0E0000}"/>
    <hyperlink ref="K122" r:id="rId2802" xr:uid="{00000000-0004-0000-0000-00007D0E0000}"/>
    <hyperlink ref="K123" r:id="rId2803" xr:uid="{00000000-0004-0000-0000-00007E0E0000}"/>
    <hyperlink ref="K124" r:id="rId2804" xr:uid="{00000000-0004-0000-0000-00007F0E0000}"/>
    <hyperlink ref="K125" r:id="rId2805" xr:uid="{00000000-0004-0000-0000-0000800E0000}"/>
    <hyperlink ref="K127" r:id="rId2806" xr:uid="{00000000-0004-0000-0000-0000810E0000}"/>
    <hyperlink ref="K128" r:id="rId2807" xr:uid="{00000000-0004-0000-0000-0000820E0000}"/>
    <hyperlink ref="K130" r:id="rId2808" xr:uid="{00000000-0004-0000-0000-0000830E0000}"/>
    <hyperlink ref="K131" r:id="rId2809" xr:uid="{00000000-0004-0000-0000-0000840E0000}"/>
    <hyperlink ref="K132" r:id="rId2810" xr:uid="{00000000-0004-0000-0000-0000850E0000}"/>
    <hyperlink ref="K134" r:id="rId2811" xr:uid="{00000000-0004-0000-0000-0000860E0000}"/>
    <hyperlink ref="K135" r:id="rId2812" xr:uid="{00000000-0004-0000-0000-0000870E0000}"/>
    <hyperlink ref="K136" r:id="rId2813" xr:uid="{00000000-0004-0000-0000-0000880E0000}"/>
    <hyperlink ref="K137" r:id="rId2814" xr:uid="{00000000-0004-0000-0000-0000890E0000}"/>
    <hyperlink ref="K139" r:id="rId2815" xr:uid="{00000000-0004-0000-0000-00008A0E0000}"/>
    <hyperlink ref="K140" r:id="rId2816" xr:uid="{00000000-0004-0000-0000-00008B0E0000}"/>
    <hyperlink ref="K141" r:id="rId2817" xr:uid="{00000000-0004-0000-0000-00008C0E0000}"/>
    <hyperlink ref="K144" r:id="rId2818" xr:uid="{00000000-0004-0000-0000-00008D0E0000}"/>
    <hyperlink ref="K145" r:id="rId2819" xr:uid="{00000000-0004-0000-0000-00008E0E0000}"/>
    <hyperlink ref="K146" r:id="rId2820" xr:uid="{00000000-0004-0000-0000-00008F0E0000}"/>
    <hyperlink ref="K147" r:id="rId2821" xr:uid="{00000000-0004-0000-0000-0000900E0000}"/>
    <hyperlink ref="K148" r:id="rId2822" xr:uid="{00000000-0004-0000-0000-0000910E0000}"/>
    <hyperlink ref="K149" r:id="rId2823" xr:uid="{00000000-0004-0000-0000-0000920E0000}"/>
    <hyperlink ref="K150" r:id="rId2824" xr:uid="{00000000-0004-0000-0000-0000930E0000}"/>
    <hyperlink ref="K151" r:id="rId2825" xr:uid="{00000000-0004-0000-0000-0000940E0000}"/>
    <hyperlink ref="K152" r:id="rId2826" xr:uid="{00000000-0004-0000-0000-0000950E0000}"/>
    <hyperlink ref="K153" r:id="rId2827" xr:uid="{00000000-0004-0000-0000-0000960E0000}"/>
    <hyperlink ref="K154" r:id="rId2828" xr:uid="{00000000-0004-0000-0000-0000970E0000}"/>
    <hyperlink ref="K155" r:id="rId2829" xr:uid="{00000000-0004-0000-0000-0000980E0000}"/>
    <hyperlink ref="K156" r:id="rId2830" xr:uid="{00000000-0004-0000-0000-0000990E0000}"/>
    <hyperlink ref="K157" r:id="rId2831" xr:uid="{00000000-0004-0000-0000-00009A0E0000}"/>
    <hyperlink ref="K158" r:id="rId2832" xr:uid="{00000000-0004-0000-0000-00009B0E0000}"/>
    <hyperlink ref="K159" r:id="rId2833" xr:uid="{00000000-0004-0000-0000-00009C0E0000}"/>
    <hyperlink ref="K160" r:id="rId2834" xr:uid="{00000000-0004-0000-0000-00009D0E0000}"/>
    <hyperlink ref="K161" r:id="rId2835" xr:uid="{00000000-0004-0000-0000-00009E0E0000}"/>
    <hyperlink ref="K162" r:id="rId2836" xr:uid="{00000000-0004-0000-0000-00009F0E0000}"/>
    <hyperlink ref="K163" r:id="rId2837" xr:uid="{00000000-0004-0000-0000-0000A00E0000}"/>
    <hyperlink ref="K164" r:id="rId2838" xr:uid="{00000000-0004-0000-0000-0000A10E0000}"/>
    <hyperlink ref="K165" r:id="rId2839" xr:uid="{00000000-0004-0000-0000-0000A20E0000}"/>
    <hyperlink ref="K167" r:id="rId2840" xr:uid="{00000000-0004-0000-0000-0000A30E0000}"/>
    <hyperlink ref="K168" r:id="rId2841" xr:uid="{00000000-0004-0000-0000-0000A40E0000}"/>
    <hyperlink ref="K169" r:id="rId2842" xr:uid="{00000000-0004-0000-0000-0000A50E0000}"/>
    <hyperlink ref="K170" r:id="rId2843" xr:uid="{00000000-0004-0000-0000-0000A60E0000}"/>
    <hyperlink ref="K171" r:id="rId2844" xr:uid="{00000000-0004-0000-0000-0000A70E0000}"/>
    <hyperlink ref="K172" r:id="rId2845" xr:uid="{00000000-0004-0000-0000-0000A80E0000}"/>
    <hyperlink ref="K174" r:id="rId2846" xr:uid="{00000000-0004-0000-0000-0000A90E0000}"/>
    <hyperlink ref="K178" r:id="rId2847" xr:uid="{00000000-0004-0000-0000-0000AA0E0000}"/>
    <hyperlink ref="K180" r:id="rId2848" xr:uid="{00000000-0004-0000-0000-0000AB0E0000}"/>
    <hyperlink ref="K181" r:id="rId2849" xr:uid="{00000000-0004-0000-0000-0000AC0E0000}"/>
    <hyperlink ref="K182" r:id="rId2850" xr:uid="{00000000-0004-0000-0000-0000AD0E0000}"/>
    <hyperlink ref="K183" r:id="rId2851" xr:uid="{00000000-0004-0000-0000-0000AE0E0000}"/>
    <hyperlink ref="K184" r:id="rId2852" xr:uid="{00000000-0004-0000-0000-0000AF0E0000}"/>
    <hyperlink ref="K185" r:id="rId2853" xr:uid="{00000000-0004-0000-0000-0000B00E0000}"/>
    <hyperlink ref="K186" r:id="rId2854" xr:uid="{00000000-0004-0000-0000-0000B10E0000}"/>
    <hyperlink ref="K187" r:id="rId2855" xr:uid="{00000000-0004-0000-0000-0000B20E0000}"/>
    <hyperlink ref="K190" r:id="rId2856" xr:uid="{00000000-0004-0000-0000-0000B30E0000}"/>
    <hyperlink ref="K191" r:id="rId2857" xr:uid="{00000000-0004-0000-0000-0000B40E0000}"/>
    <hyperlink ref="K192" r:id="rId2858" xr:uid="{00000000-0004-0000-0000-0000B50E0000}"/>
    <hyperlink ref="K193" r:id="rId2859" xr:uid="{00000000-0004-0000-0000-0000B60E0000}"/>
    <hyperlink ref="K194" r:id="rId2860" xr:uid="{00000000-0004-0000-0000-0000B70E0000}"/>
    <hyperlink ref="K195" r:id="rId2861" xr:uid="{00000000-0004-0000-0000-0000B80E0000}"/>
    <hyperlink ref="K196" r:id="rId2862" xr:uid="{00000000-0004-0000-0000-0000B90E0000}"/>
    <hyperlink ref="K197" r:id="rId2863" xr:uid="{00000000-0004-0000-0000-0000BA0E0000}"/>
    <hyperlink ref="K198" r:id="rId2864" xr:uid="{00000000-0004-0000-0000-0000BB0E0000}"/>
    <hyperlink ref="K199" r:id="rId2865" xr:uid="{00000000-0004-0000-0000-0000BC0E0000}"/>
    <hyperlink ref="K200" r:id="rId2866" xr:uid="{00000000-0004-0000-0000-0000BD0E0000}"/>
    <hyperlink ref="K203" r:id="rId2867" xr:uid="{00000000-0004-0000-0000-0000BE0E0000}"/>
    <hyperlink ref="K204" r:id="rId2868" xr:uid="{00000000-0004-0000-0000-0000BF0E0000}"/>
    <hyperlink ref="K205" r:id="rId2869" xr:uid="{00000000-0004-0000-0000-0000C00E0000}"/>
    <hyperlink ref="K206" r:id="rId2870" xr:uid="{00000000-0004-0000-0000-0000C10E0000}"/>
    <hyperlink ref="K207" r:id="rId2871" xr:uid="{00000000-0004-0000-0000-0000C20E0000}"/>
    <hyperlink ref="K208" r:id="rId2872" xr:uid="{00000000-0004-0000-0000-0000C30E0000}"/>
    <hyperlink ref="K209" r:id="rId2873" xr:uid="{00000000-0004-0000-0000-0000C40E0000}"/>
    <hyperlink ref="K210" r:id="rId2874" xr:uid="{00000000-0004-0000-0000-0000C50E0000}"/>
    <hyperlink ref="K211" r:id="rId2875" xr:uid="{00000000-0004-0000-0000-0000C60E0000}"/>
    <hyperlink ref="K212" r:id="rId2876" xr:uid="{00000000-0004-0000-0000-0000C70E0000}"/>
    <hyperlink ref="K213" r:id="rId2877" xr:uid="{00000000-0004-0000-0000-0000C80E0000}"/>
    <hyperlink ref="K214" r:id="rId2878" xr:uid="{00000000-0004-0000-0000-0000C90E0000}"/>
    <hyperlink ref="K215" r:id="rId2879" xr:uid="{00000000-0004-0000-0000-0000CA0E0000}"/>
    <hyperlink ref="K216" r:id="rId2880" display="Bulb-Bearing Water-Hemlock " xr:uid="{00000000-0004-0000-0000-0000CB0E0000}"/>
    <hyperlink ref="K217" r:id="rId2881" xr:uid="{00000000-0004-0000-0000-0000CC0E0000}"/>
    <hyperlink ref="K218" r:id="rId2882" xr:uid="{00000000-0004-0000-0000-0000CD0E0000}"/>
    <hyperlink ref="K219" r:id="rId2883" xr:uid="{00000000-0004-0000-0000-0000CE0E0000}"/>
    <hyperlink ref="K220" r:id="rId2884" xr:uid="{00000000-0004-0000-0000-0000CF0E0000}"/>
    <hyperlink ref="K221" r:id="rId2885" xr:uid="{00000000-0004-0000-0000-0000D00E0000}"/>
    <hyperlink ref="K222" r:id="rId2886" xr:uid="{00000000-0004-0000-0000-0000D10E0000}"/>
    <hyperlink ref="K223" r:id="rId2887" xr:uid="{00000000-0004-0000-0000-0000D20E0000}"/>
    <hyperlink ref="K224" r:id="rId2888" xr:uid="{00000000-0004-0000-0000-0000D30E0000}"/>
    <hyperlink ref="K225" r:id="rId2889" xr:uid="{00000000-0004-0000-0000-0000D40E0000}"/>
    <hyperlink ref="K226" r:id="rId2890" xr:uid="{00000000-0004-0000-0000-0000D50E0000}"/>
    <hyperlink ref="K227" r:id="rId2891" xr:uid="{00000000-0004-0000-0000-0000D60E0000}"/>
    <hyperlink ref="K228" r:id="rId2892" xr:uid="{00000000-0004-0000-0000-0000D70E0000}"/>
    <hyperlink ref="K229" r:id="rId2893" xr:uid="{00000000-0004-0000-0000-0000D80E0000}"/>
    <hyperlink ref="K231" r:id="rId2894" xr:uid="{00000000-0004-0000-0000-0000D90E0000}"/>
    <hyperlink ref="K232" r:id="rId2895" xr:uid="{00000000-0004-0000-0000-0000DA0E0000}"/>
    <hyperlink ref="K233" r:id="rId2896" xr:uid="{00000000-0004-0000-0000-0000DB0E0000}"/>
    <hyperlink ref="K234" r:id="rId2897" xr:uid="{00000000-0004-0000-0000-0000DC0E0000}"/>
    <hyperlink ref="K236" r:id="rId2898" xr:uid="{00000000-0004-0000-0000-0000DD0E0000}"/>
    <hyperlink ref="K237" r:id="rId2899" display="Few-flowered Blue-eyed Mary" xr:uid="{00000000-0004-0000-0000-0000DE0E0000}"/>
    <hyperlink ref="K238" r:id="rId2900" xr:uid="{00000000-0004-0000-0000-0000DF0E0000}"/>
    <hyperlink ref="K239" r:id="rId2901" xr:uid="{00000000-0004-0000-0000-0000E00E0000}"/>
    <hyperlink ref="K240" r:id="rId2902" xr:uid="{00000000-0004-0000-0000-0000E10E0000}"/>
    <hyperlink ref="K142" r:id="rId2903" xr:uid="{00000000-0004-0000-0000-0000E20E0000}"/>
    <hyperlink ref="K241" r:id="rId2904" xr:uid="{00000000-0004-0000-0000-0000E30E0000}"/>
    <hyperlink ref="K242" r:id="rId2905" xr:uid="{00000000-0004-0000-0000-0000E40E0000}"/>
    <hyperlink ref="K243" r:id="rId2906" xr:uid="{00000000-0004-0000-0000-0000E50E0000}"/>
    <hyperlink ref="K244" r:id="rId2907" xr:uid="{00000000-0004-0000-0000-0000E60E0000}"/>
    <hyperlink ref="K245" r:id="rId2908" xr:uid="{00000000-0004-0000-0000-0000E70E0000}"/>
    <hyperlink ref="K246" r:id="rId2909" xr:uid="{00000000-0004-0000-0000-0000E80E0000}"/>
    <hyperlink ref="K248" r:id="rId2910" xr:uid="{00000000-0004-0000-0000-0000E90E0000}"/>
    <hyperlink ref="K250" r:id="rId2911" xr:uid="{00000000-0004-0000-0000-0000EA0E0000}"/>
    <hyperlink ref="K251" r:id="rId2912" xr:uid="{00000000-0004-0000-0000-0000EB0E0000}"/>
    <hyperlink ref="K252" r:id="rId2913" xr:uid="{00000000-0004-0000-0000-0000EC0E0000}"/>
    <hyperlink ref="K253" r:id="rId2914" xr:uid="{00000000-0004-0000-0000-0000ED0E0000}"/>
    <hyperlink ref="K254" r:id="rId2915" xr:uid="{00000000-0004-0000-0000-0000EE0E0000}"/>
    <hyperlink ref="K255" r:id="rId2916" xr:uid="{00000000-0004-0000-0000-0000EF0E0000}"/>
    <hyperlink ref="K256" r:id="rId2917" xr:uid="{00000000-0004-0000-0000-0000F00E0000}"/>
    <hyperlink ref="K257" r:id="rId2918" xr:uid="{00000000-0004-0000-0000-0000F10E0000}"/>
    <hyperlink ref="K258" r:id="rId2919" xr:uid="{00000000-0004-0000-0000-0000F20E0000}"/>
    <hyperlink ref="K259" r:id="rId2920" xr:uid="{00000000-0004-0000-0000-0000F30E0000}"/>
    <hyperlink ref="K260" r:id="rId2921" xr:uid="{00000000-0004-0000-0000-0000F40E0000}"/>
    <hyperlink ref="K261" r:id="rId2922" xr:uid="{00000000-0004-0000-0000-0000F50E0000}"/>
    <hyperlink ref="K262" r:id="rId2923" xr:uid="{00000000-0004-0000-0000-0000F60E0000}"/>
    <hyperlink ref="K263" r:id="rId2924" xr:uid="{00000000-0004-0000-0000-0000F70E0000}"/>
    <hyperlink ref="K264" r:id="rId2925" xr:uid="{00000000-0004-0000-0000-0000F80E0000}"/>
    <hyperlink ref="K265" r:id="rId2926" xr:uid="{00000000-0004-0000-0000-0000F90E0000}"/>
    <hyperlink ref="K266" r:id="rId2927" xr:uid="{00000000-0004-0000-0000-0000FA0E0000}"/>
    <hyperlink ref="K267" r:id="rId2928" xr:uid="{00000000-0004-0000-0000-0000FB0E0000}"/>
    <hyperlink ref="K269" r:id="rId2929" xr:uid="{00000000-0004-0000-0000-0000FC0E0000}"/>
    <hyperlink ref="K270" r:id="rId2930" xr:uid="{00000000-0004-0000-0000-0000FD0E0000}"/>
    <hyperlink ref="K271" r:id="rId2931" xr:uid="{00000000-0004-0000-0000-0000FE0E0000}"/>
    <hyperlink ref="K272" r:id="rId2932" xr:uid="{00000000-0004-0000-0000-0000FF0E0000}"/>
    <hyperlink ref="K273" r:id="rId2933" xr:uid="{00000000-0004-0000-0000-0000000F0000}"/>
    <hyperlink ref="K274" r:id="rId2934" xr:uid="{00000000-0004-0000-0000-0000010F0000}"/>
    <hyperlink ref="K276" r:id="rId2935" xr:uid="{00000000-0004-0000-0000-0000020F0000}"/>
    <hyperlink ref="K277" r:id="rId2936" xr:uid="{00000000-0004-0000-0000-0000030F0000}"/>
    <hyperlink ref="K278" r:id="rId2937" xr:uid="{00000000-0004-0000-0000-0000040F0000}"/>
    <hyperlink ref="K279" r:id="rId2938" xr:uid="{00000000-0004-0000-0000-0000050F0000}"/>
    <hyperlink ref="K281" r:id="rId2939" xr:uid="{00000000-0004-0000-0000-0000060F0000}"/>
    <hyperlink ref="K283" r:id="rId2940" xr:uid="{00000000-0004-0000-0000-0000070F0000}"/>
    <hyperlink ref="K284" r:id="rId2941" xr:uid="{00000000-0004-0000-0000-0000080F0000}"/>
    <hyperlink ref="K286" r:id="rId2942" xr:uid="{00000000-0004-0000-0000-0000090F0000}"/>
    <hyperlink ref="K287" r:id="rId2943" xr:uid="{00000000-0004-0000-0000-00000A0F0000}"/>
    <hyperlink ref="K288" r:id="rId2944" xr:uid="{00000000-0004-0000-0000-00000B0F0000}"/>
    <hyperlink ref="K289" r:id="rId2945" xr:uid="{00000000-0004-0000-0000-00000C0F0000}"/>
    <hyperlink ref="K290" r:id="rId2946" xr:uid="{00000000-0004-0000-0000-00000D0F0000}"/>
    <hyperlink ref="K292" r:id="rId2947" xr:uid="{00000000-0004-0000-0000-00000E0F0000}"/>
    <hyperlink ref="K293" r:id="rId2948" xr:uid="{00000000-0004-0000-0000-00000F0F0000}"/>
    <hyperlink ref="K294" r:id="rId2949" xr:uid="{00000000-0004-0000-0000-0000100F0000}"/>
    <hyperlink ref="K295" r:id="rId2950" xr:uid="{00000000-0004-0000-0000-0000110F0000}"/>
    <hyperlink ref="K297" r:id="rId2951" xr:uid="{00000000-0004-0000-0000-0000120F0000}"/>
    <hyperlink ref="K298" r:id="rId2952" xr:uid="{00000000-0004-0000-0000-0000130F0000}"/>
    <hyperlink ref="K299" r:id="rId2953" xr:uid="{00000000-0004-0000-0000-0000140F0000}"/>
    <hyperlink ref="K300" r:id="rId2954" xr:uid="{00000000-0004-0000-0000-0000150F0000}"/>
    <hyperlink ref="K301" r:id="rId2955" xr:uid="{00000000-0004-0000-0000-0000160F0000}"/>
    <hyperlink ref="K302" r:id="rId2956" xr:uid="{00000000-0004-0000-0000-0000170F0000}"/>
    <hyperlink ref="K303" r:id="rId2957" xr:uid="{00000000-0004-0000-0000-0000180F0000}"/>
    <hyperlink ref="K304" r:id="rId2958" xr:uid="{00000000-0004-0000-0000-0000190F0000}"/>
    <hyperlink ref="K305" r:id="rId2959" xr:uid="{00000000-0004-0000-0000-00001A0F0000}"/>
    <hyperlink ref="K306" r:id="rId2960" xr:uid="{00000000-0004-0000-0000-00001B0F0000}"/>
    <hyperlink ref="K307" r:id="rId2961" xr:uid="{00000000-0004-0000-0000-00001C0F0000}"/>
    <hyperlink ref="K308" r:id="rId2962" xr:uid="{00000000-0004-0000-0000-00001D0F0000}"/>
    <hyperlink ref="K309" r:id="rId2963" display="Dense Flowered Willowherb" xr:uid="{00000000-0004-0000-0000-00001E0F0000}"/>
    <hyperlink ref="K310" r:id="rId2964" xr:uid="{00000000-0004-0000-0000-00001F0F0000}"/>
    <hyperlink ref="K311" r:id="rId2965" xr:uid="{00000000-0004-0000-0000-0000200F0000}"/>
    <hyperlink ref="K312" r:id="rId2966" xr:uid="{00000000-0004-0000-0000-0000210F0000}"/>
    <hyperlink ref="K313" r:id="rId2967" xr:uid="{00000000-0004-0000-0000-0000220F0000}"/>
    <hyperlink ref="K314" r:id="rId2968" xr:uid="{00000000-0004-0000-0000-0000230F0000}"/>
    <hyperlink ref="K315" r:id="rId2969" xr:uid="{00000000-0004-0000-0000-0000240F0000}"/>
    <hyperlink ref="K316" r:id="rId2970" xr:uid="{00000000-0004-0000-0000-0000250F0000}"/>
    <hyperlink ref="K317" r:id="rId2971" xr:uid="{00000000-0004-0000-0000-0000260F0000}"/>
    <hyperlink ref="K319" r:id="rId2972" xr:uid="{00000000-0004-0000-0000-0000270F0000}"/>
    <hyperlink ref="K320" r:id="rId2973" xr:uid="{00000000-0004-0000-0000-0000280F0000}"/>
    <hyperlink ref="K321" r:id="rId2974" xr:uid="{00000000-0004-0000-0000-0000290F0000}"/>
    <hyperlink ref="K322" r:id="rId2975" xr:uid="{00000000-0004-0000-0000-00002A0F0000}"/>
    <hyperlink ref="K323" r:id="rId2976" xr:uid="{00000000-0004-0000-0000-00002B0F0000}"/>
    <hyperlink ref="K324" r:id="rId2977" xr:uid="{00000000-0004-0000-0000-00002C0F0000}"/>
    <hyperlink ref="K325" r:id="rId2978" xr:uid="{00000000-0004-0000-0000-00002D0F0000}"/>
    <hyperlink ref="K326" r:id="rId2979" xr:uid="{00000000-0004-0000-0000-00002E0F0000}"/>
    <hyperlink ref="K327" r:id="rId2980" xr:uid="{00000000-0004-0000-0000-00002F0F0000}"/>
    <hyperlink ref="K328" r:id="rId2981" xr:uid="{00000000-0004-0000-0000-0000300F0000}"/>
    <hyperlink ref="K329" r:id="rId2982" xr:uid="{00000000-0004-0000-0000-0000310F0000}"/>
    <hyperlink ref="K330" r:id="rId2983" xr:uid="{00000000-0004-0000-0000-0000320F0000}"/>
    <hyperlink ref="K332" r:id="rId2984" xr:uid="{00000000-0004-0000-0000-0000330F0000}"/>
    <hyperlink ref="K333" r:id="rId2985" xr:uid="{00000000-0004-0000-0000-0000340F0000}"/>
    <hyperlink ref="K334" r:id="rId2986" xr:uid="{00000000-0004-0000-0000-0000350F0000}"/>
    <hyperlink ref="K335" r:id="rId2987" xr:uid="{00000000-0004-0000-0000-0000360F0000}"/>
    <hyperlink ref="K336" r:id="rId2988" xr:uid="{00000000-0004-0000-0000-0000370F0000}"/>
    <hyperlink ref="K338" r:id="rId2989" xr:uid="{00000000-0004-0000-0000-0000380F0000}"/>
    <hyperlink ref="K339" r:id="rId2990" xr:uid="{00000000-0004-0000-0000-0000390F0000}"/>
    <hyperlink ref="K340" r:id="rId2991" xr:uid="{00000000-0004-0000-0000-00003A0F0000}"/>
    <hyperlink ref="K342" r:id="rId2992" xr:uid="{00000000-0004-0000-0000-00003B0F0000}"/>
    <hyperlink ref="K343" r:id="rId2993" xr:uid="{00000000-0004-0000-0000-00003C0F0000}"/>
    <hyperlink ref="K344" r:id="rId2994" xr:uid="{00000000-0004-0000-0000-00003D0F0000}"/>
    <hyperlink ref="K345" r:id="rId2995" xr:uid="{00000000-0004-0000-0000-00003E0F0000}"/>
    <hyperlink ref="K347" r:id="rId2996" xr:uid="{00000000-0004-0000-0000-00003F0F0000}"/>
    <hyperlink ref="K348" r:id="rId2997" xr:uid="{00000000-0004-0000-0000-0000400F0000}"/>
    <hyperlink ref="K349" r:id="rId2998" xr:uid="{00000000-0004-0000-0000-0000410F0000}"/>
    <hyperlink ref="K350" r:id="rId2999" xr:uid="{00000000-0004-0000-0000-0000420F0000}"/>
    <hyperlink ref="K351" r:id="rId3000" xr:uid="{00000000-0004-0000-0000-0000430F0000}"/>
    <hyperlink ref="K354" r:id="rId3001" xr:uid="{00000000-0004-0000-0000-0000440F0000}"/>
    <hyperlink ref="K355" r:id="rId3002" xr:uid="{00000000-0004-0000-0000-0000450F0000}"/>
    <hyperlink ref="K356" r:id="rId3003" xr:uid="{00000000-0004-0000-0000-0000460F0000}"/>
    <hyperlink ref="K357" r:id="rId3004" xr:uid="{00000000-0004-0000-0000-0000470F0000}"/>
    <hyperlink ref="K358" r:id="rId3005" xr:uid="{00000000-0004-0000-0000-0000480F0000}"/>
    <hyperlink ref="K359" r:id="rId3006" xr:uid="{00000000-0004-0000-0000-0000490F0000}"/>
    <hyperlink ref="K360" r:id="rId3007" xr:uid="{00000000-0004-0000-0000-00004A0F0000}"/>
    <hyperlink ref="K361" r:id="rId3008" xr:uid="{00000000-0004-0000-0000-00004B0F0000}"/>
    <hyperlink ref="K362" r:id="rId3009" xr:uid="{00000000-0004-0000-0000-00004C0F0000}"/>
    <hyperlink ref="K363" r:id="rId3010" xr:uid="{00000000-0004-0000-0000-00004D0F0000}"/>
    <hyperlink ref="K365" r:id="rId3011" xr:uid="{00000000-0004-0000-0000-00004E0F0000}"/>
    <hyperlink ref="K367" r:id="rId3012" xr:uid="{00000000-0004-0000-0000-00004F0F0000}"/>
    <hyperlink ref="K368" r:id="rId3013" xr:uid="{00000000-0004-0000-0000-0000500F0000}"/>
    <hyperlink ref="K369" r:id="rId3014" xr:uid="{00000000-0004-0000-0000-0000510F0000}"/>
    <hyperlink ref="K370" r:id="rId3015" xr:uid="{00000000-0004-0000-0000-0000520F0000}"/>
    <hyperlink ref="K371" r:id="rId3016" xr:uid="{00000000-0004-0000-0000-0000530F0000}"/>
    <hyperlink ref="K372" r:id="rId3017" xr:uid="{00000000-0004-0000-0000-0000540F0000}"/>
    <hyperlink ref="K373" r:id="rId3018" xr:uid="{00000000-0004-0000-0000-0000550F0000}"/>
    <hyperlink ref="K374" r:id="rId3019" xr:uid="{00000000-0004-0000-0000-0000560F0000}"/>
    <hyperlink ref="K376" r:id="rId3020" xr:uid="{00000000-0004-0000-0000-0000570F0000}"/>
    <hyperlink ref="K377" r:id="rId3021" xr:uid="{00000000-0004-0000-0000-0000580F0000}"/>
    <hyperlink ref="K378" r:id="rId3022" xr:uid="{00000000-0004-0000-0000-0000590F0000}"/>
    <hyperlink ref="K379" r:id="rId3023" xr:uid="{00000000-0004-0000-0000-00005A0F0000}"/>
    <hyperlink ref="K380" r:id="rId3024" xr:uid="{00000000-0004-0000-0000-00005B0F0000}"/>
    <hyperlink ref="K381" r:id="rId3025" xr:uid="{00000000-0004-0000-0000-00005C0F0000}"/>
    <hyperlink ref="K383" r:id="rId3026" xr:uid="{00000000-0004-0000-0000-00005D0F0000}"/>
    <hyperlink ref="K384" r:id="rId3027" xr:uid="{00000000-0004-0000-0000-00005E0F0000}"/>
    <hyperlink ref="K385" r:id="rId3028" xr:uid="{00000000-0004-0000-0000-00005F0F0000}"/>
    <hyperlink ref="K386" r:id="rId3029" xr:uid="{00000000-0004-0000-0000-0000600F0000}"/>
    <hyperlink ref="K387" r:id="rId3030" xr:uid="{00000000-0004-0000-0000-0000610F0000}"/>
    <hyperlink ref="K388" r:id="rId3031" xr:uid="{00000000-0004-0000-0000-0000620F0000}"/>
    <hyperlink ref="K389" r:id="rId3032" xr:uid="{00000000-0004-0000-0000-0000630F0000}"/>
    <hyperlink ref="K390" r:id="rId3033" xr:uid="{00000000-0004-0000-0000-0000640F0000}"/>
    <hyperlink ref="K391" r:id="rId3034" xr:uid="{00000000-0004-0000-0000-0000650F0000}"/>
    <hyperlink ref="K392" r:id="rId3035" xr:uid="{00000000-0004-0000-0000-0000660F0000}"/>
    <hyperlink ref="K394" r:id="rId3036" xr:uid="{00000000-0004-0000-0000-0000670F0000}"/>
    <hyperlink ref="K397" r:id="rId3037" xr:uid="{00000000-0004-0000-0000-0000680F0000}"/>
    <hyperlink ref="K398" r:id="rId3038" xr:uid="{00000000-0004-0000-0000-0000690F0000}"/>
    <hyperlink ref="K399" r:id="rId3039" xr:uid="{00000000-0004-0000-0000-00006A0F0000}"/>
    <hyperlink ref="K400" r:id="rId3040" xr:uid="{00000000-0004-0000-0000-00006B0F0000}"/>
    <hyperlink ref="K401" r:id="rId3041" xr:uid="{00000000-0004-0000-0000-00006C0F0000}"/>
    <hyperlink ref="K402" r:id="rId3042" xr:uid="{00000000-0004-0000-0000-00006D0F0000}"/>
    <hyperlink ref="K403" r:id="rId3043" xr:uid="{00000000-0004-0000-0000-00006E0F0000}"/>
    <hyperlink ref="K404" r:id="rId3044" xr:uid="{00000000-0004-0000-0000-00006F0F0000}"/>
    <hyperlink ref="K405" r:id="rId3045" xr:uid="{00000000-0004-0000-0000-0000700F0000}"/>
    <hyperlink ref="K409" r:id="rId3046" xr:uid="{00000000-0004-0000-0000-0000710F0000}"/>
    <hyperlink ref="K412" r:id="rId3047" xr:uid="{00000000-0004-0000-0000-0000720F0000}"/>
    <hyperlink ref="K414" r:id="rId3048" xr:uid="{00000000-0004-0000-0000-0000730F0000}"/>
    <hyperlink ref="K415" r:id="rId3049" xr:uid="{00000000-0004-0000-0000-0000740F0000}"/>
    <hyperlink ref="K416" r:id="rId3050" xr:uid="{00000000-0004-0000-0000-0000750F0000}"/>
    <hyperlink ref="K417" r:id="rId3051" xr:uid="{00000000-0004-0000-0000-0000760F0000}"/>
    <hyperlink ref="K418" r:id="rId3052" xr:uid="{00000000-0004-0000-0000-0000770F0000}"/>
    <hyperlink ref="K419" r:id="rId3053" xr:uid="{00000000-0004-0000-0000-0000780F0000}"/>
    <hyperlink ref="K421" r:id="rId3054" xr:uid="{00000000-0004-0000-0000-0000790F0000}"/>
    <hyperlink ref="K422" r:id="rId3055" xr:uid="{00000000-0004-0000-0000-00007A0F0000}"/>
    <hyperlink ref="K423" r:id="rId3056" xr:uid="{00000000-0004-0000-0000-00007B0F0000}"/>
    <hyperlink ref="K425" r:id="rId3057" xr:uid="{00000000-0004-0000-0000-00007C0F0000}"/>
    <hyperlink ref="K426" r:id="rId3058" xr:uid="{00000000-0004-0000-0000-00007D0F0000}"/>
    <hyperlink ref="K427" r:id="rId3059" xr:uid="{00000000-0004-0000-0000-00007E0F0000}"/>
    <hyperlink ref="K428" r:id="rId3060" xr:uid="{00000000-0004-0000-0000-00007F0F0000}"/>
    <hyperlink ref="K429" r:id="rId3061" xr:uid="{00000000-0004-0000-0000-0000800F0000}"/>
    <hyperlink ref="K430" r:id="rId3062" xr:uid="{00000000-0004-0000-0000-0000810F0000}"/>
    <hyperlink ref="K431" r:id="rId3063" xr:uid="{00000000-0004-0000-0000-0000820F0000}"/>
    <hyperlink ref="K432" r:id="rId3064" xr:uid="{00000000-0004-0000-0000-0000830F0000}"/>
    <hyperlink ref="K433" r:id="rId3065" xr:uid="{00000000-0004-0000-0000-0000840F0000}"/>
    <hyperlink ref="K435" r:id="rId3066" xr:uid="{00000000-0004-0000-0000-0000850F0000}"/>
    <hyperlink ref="K436" r:id="rId3067" xr:uid="{00000000-0004-0000-0000-0000860F0000}"/>
    <hyperlink ref="K437" r:id="rId3068" xr:uid="{00000000-0004-0000-0000-0000870F0000}"/>
    <hyperlink ref="K440" r:id="rId3069" xr:uid="{00000000-0004-0000-0000-0000880F0000}"/>
    <hyperlink ref="K441" r:id="rId3070" xr:uid="{00000000-0004-0000-0000-0000890F0000}"/>
    <hyperlink ref="K443" r:id="rId3071" xr:uid="{00000000-0004-0000-0000-00008A0F0000}"/>
    <hyperlink ref="K444" r:id="rId3072" xr:uid="{00000000-0004-0000-0000-00008B0F0000}"/>
    <hyperlink ref="K445" r:id="rId3073" xr:uid="{00000000-0004-0000-0000-00008C0F0000}"/>
    <hyperlink ref="K446" r:id="rId3074" xr:uid="{00000000-0004-0000-0000-00008D0F0000}"/>
    <hyperlink ref="K447" r:id="rId3075" xr:uid="{00000000-0004-0000-0000-00008E0F0000}"/>
    <hyperlink ref="K448" r:id="rId3076" xr:uid="{00000000-0004-0000-0000-00008F0F0000}"/>
    <hyperlink ref="K450" r:id="rId3077" xr:uid="{00000000-0004-0000-0000-0000900F0000}"/>
    <hyperlink ref="K451" r:id="rId3078" xr:uid="{00000000-0004-0000-0000-0000910F0000}"/>
    <hyperlink ref="K453" r:id="rId3079" xr:uid="{00000000-0004-0000-0000-0000920F0000}"/>
    <hyperlink ref="K454" r:id="rId3080" xr:uid="{00000000-0004-0000-0000-0000930F0000}"/>
    <hyperlink ref="K455" r:id="rId3081" xr:uid="{00000000-0004-0000-0000-0000940F0000}"/>
    <hyperlink ref="K456" r:id="rId3082" xr:uid="{00000000-0004-0000-0000-0000950F0000}"/>
    <hyperlink ref="K457" r:id="rId3083" xr:uid="{00000000-0004-0000-0000-0000960F0000}"/>
    <hyperlink ref="K458" r:id="rId3084" xr:uid="{00000000-0004-0000-0000-0000970F0000}"/>
    <hyperlink ref="K459" r:id="rId3085" xr:uid="{00000000-0004-0000-0000-0000980F0000}"/>
    <hyperlink ref="K460" r:id="rId3086" xr:uid="{00000000-0004-0000-0000-0000990F0000}"/>
    <hyperlink ref="K461" r:id="rId3087" xr:uid="{00000000-0004-0000-0000-00009A0F0000}"/>
    <hyperlink ref="K462" r:id="rId3088" xr:uid="{00000000-0004-0000-0000-00009B0F0000}"/>
    <hyperlink ref="K463" r:id="rId3089" xr:uid="{00000000-0004-0000-0000-00009C0F0000}"/>
    <hyperlink ref="K464" r:id="rId3090" xr:uid="{00000000-0004-0000-0000-00009D0F0000}"/>
    <hyperlink ref="K466" r:id="rId3091" xr:uid="{00000000-0004-0000-0000-00009E0F0000}"/>
    <hyperlink ref="K468" r:id="rId3092" xr:uid="{00000000-0004-0000-0000-00009F0F0000}"/>
    <hyperlink ref="K469" r:id="rId3093" display="Yellowseed False Pimpernel" xr:uid="{00000000-0004-0000-0000-0000A00F0000}"/>
    <hyperlink ref="K470" r:id="rId3094" xr:uid="{00000000-0004-0000-0000-0000A10F0000}"/>
    <hyperlink ref="K471" r:id="rId3095" xr:uid="{00000000-0004-0000-0000-0000A20F0000}"/>
    <hyperlink ref="K560" r:id="rId3096" xr:uid="{00000000-0004-0000-0000-0000A30F0000}"/>
    <hyperlink ref="K472" r:id="rId3097" xr:uid="{00000000-0004-0000-0000-0000A40F0000}"/>
    <hyperlink ref="K473" r:id="rId3098" xr:uid="{00000000-0004-0000-0000-0000A50F0000}"/>
    <hyperlink ref="K474" r:id="rId3099" xr:uid="{00000000-0004-0000-0000-0000A60F0000}"/>
    <hyperlink ref="K475" r:id="rId3100" xr:uid="{00000000-0004-0000-0000-0000A70F0000}"/>
    <hyperlink ref="K478" r:id="rId3101" xr:uid="{00000000-0004-0000-0000-0000A80F0000}"/>
    <hyperlink ref="K481" r:id="rId3102" xr:uid="{00000000-0004-0000-0000-0000A90F0000}"/>
    <hyperlink ref="K482" r:id="rId3103" xr:uid="{00000000-0004-0000-0000-0000AA0F0000}"/>
    <hyperlink ref="K408" r:id="rId3104" xr:uid="{00000000-0004-0000-0000-0000AB0F0000}"/>
    <hyperlink ref="K406" r:id="rId3105" xr:uid="{00000000-0004-0000-0000-0000AC0F0000}"/>
    <hyperlink ref="K407" r:id="rId3106" xr:uid="{00000000-0004-0000-0000-0000AD0F0000}"/>
    <hyperlink ref="K484" r:id="rId3107" xr:uid="{00000000-0004-0000-0000-0000AE0F0000}"/>
    <hyperlink ref="K487" r:id="rId3108" xr:uid="{00000000-0004-0000-0000-0000AF0F0000}"/>
    <hyperlink ref="K489" r:id="rId3109" xr:uid="{00000000-0004-0000-0000-0000B00F0000}"/>
    <hyperlink ref="K491" r:id="rId3110" xr:uid="{00000000-0004-0000-0000-0000B10F0000}"/>
    <hyperlink ref="K492" r:id="rId3111" xr:uid="{00000000-0004-0000-0000-0000B20F0000}"/>
    <hyperlink ref="K493" r:id="rId3112" xr:uid="{00000000-0004-0000-0000-0000B30F0000}"/>
    <hyperlink ref="K495" r:id="rId3113" xr:uid="{00000000-0004-0000-0000-0000B40F0000}"/>
    <hyperlink ref="K496" r:id="rId3114" xr:uid="{00000000-0004-0000-0000-0000B50F0000}"/>
    <hyperlink ref="K497" r:id="rId3115" xr:uid="{00000000-0004-0000-0000-0000B60F0000}"/>
    <hyperlink ref="K498" r:id="rId3116" xr:uid="{00000000-0004-0000-0000-0000B70F0000}"/>
    <hyperlink ref="K499" r:id="rId3117" xr:uid="{00000000-0004-0000-0000-0000B80F0000}"/>
    <hyperlink ref="K500" r:id="rId3118" xr:uid="{00000000-0004-0000-0000-0000B90F0000}"/>
    <hyperlink ref="K501" r:id="rId3119" xr:uid="{00000000-0004-0000-0000-0000BA0F0000}"/>
    <hyperlink ref="K502" r:id="rId3120" xr:uid="{00000000-0004-0000-0000-0000BB0F0000}"/>
    <hyperlink ref="K505" r:id="rId3121" xr:uid="{00000000-0004-0000-0000-0000BC0F0000}"/>
    <hyperlink ref="K506" r:id="rId3122" xr:uid="{00000000-0004-0000-0000-0000BD0F0000}"/>
    <hyperlink ref="K507" r:id="rId3123" xr:uid="{00000000-0004-0000-0000-0000BE0F0000}"/>
    <hyperlink ref="K508" r:id="rId3124" xr:uid="{00000000-0004-0000-0000-0000BF0F0000}"/>
    <hyperlink ref="K509" r:id="rId3125" xr:uid="{00000000-0004-0000-0000-0000C00F0000}"/>
    <hyperlink ref="K510" r:id="rId3126" xr:uid="{00000000-0004-0000-0000-0000C10F0000}"/>
    <hyperlink ref="K512" r:id="rId3127" xr:uid="{00000000-0004-0000-0000-0000C20F0000}"/>
    <hyperlink ref="K513" r:id="rId3128" xr:uid="{00000000-0004-0000-0000-0000C30F0000}"/>
    <hyperlink ref="K514" r:id="rId3129" xr:uid="{00000000-0004-0000-0000-0000C40F0000}"/>
    <hyperlink ref="K517" r:id="rId3130" xr:uid="{00000000-0004-0000-0000-0000C50F0000}"/>
    <hyperlink ref="K518" r:id="rId3131" xr:uid="{00000000-0004-0000-0000-0000C60F0000}"/>
    <hyperlink ref="K520" r:id="rId3132" xr:uid="{00000000-0004-0000-0000-0000C70F0000}"/>
    <hyperlink ref="K521" r:id="rId3133" xr:uid="{00000000-0004-0000-0000-0000C80F0000}"/>
    <hyperlink ref="K522" r:id="rId3134" xr:uid="{00000000-0004-0000-0000-0000C90F0000}"/>
    <hyperlink ref="K523" r:id="rId3135" xr:uid="{00000000-0004-0000-0000-0000CA0F0000}"/>
    <hyperlink ref="K524" r:id="rId3136" xr:uid="{00000000-0004-0000-0000-0000CB0F0000}"/>
    <hyperlink ref="K525" r:id="rId3137" xr:uid="{00000000-0004-0000-0000-0000CC0F0000}"/>
    <hyperlink ref="K526" r:id="rId3138" xr:uid="{00000000-0004-0000-0000-0000CD0F0000}"/>
    <hyperlink ref="K527" r:id="rId3139" xr:uid="{00000000-0004-0000-0000-0000CE0F0000}"/>
    <hyperlink ref="K528" r:id="rId3140" xr:uid="{00000000-0004-0000-0000-0000CF0F0000}"/>
    <hyperlink ref="K529" r:id="rId3141" xr:uid="{00000000-0004-0000-0000-0000D00F0000}"/>
    <hyperlink ref="K530" r:id="rId3142" xr:uid="{00000000-0004-0000-0000-0000D10F0000}"/>
    <hyperlink ref="K531" r:id="rId3143" xr:uid="{00000000-0004-0000-0000-0000D20F0000}"/>
    <hyperlink ref="K532" r:id="rId3144" xr:uid="{00000000-0004-0000-0000-0000D30F0000}"/>
    <hyperlink ref="K534" r:id="rId3145" xr:uid="{00000000-0004-0000-0000-0000D40F0000}"/>
    <hyperlink ref="K535" r:id="rId3146" xr:uid="{00000000-0004-0000-0000-0000D50F0000}"/>
    <hyperlink ref="K536" r:id="rId3147" xr:uid="{00000000-0004-0000-0000-0000D60F0000}"/>
    <hyperlink ref="K537" r:id="rId3148" display="Many-Flowered Indian Pipe" xr:uid="{00000000-0004-0000-0000-0000D70F0000}"/>
    <hyperlink ref="K538" r:id="rId3149" xr:uid="{00000000-0004-0000-0000-0000D80F0000}"/>
    <hyperlink ref="K539" r:id="rId3150" xr:uid="{00000000-0004-0000-0000-0000D90F0000}"/>
    <hyperlink ref="K540" r:id="rId3151" xr:uid="{00000000-0004-0000-0000-0000DA0F0000}"/>
    <hyperlink ref="K541" r:id="rId3152" xr:uid="{00000000-0004-0000-0000-0000DB0F0000}"/>
    <hyperlink ref="K542" r:id="rId3153" xr:uid="{00000000-0004-0000-0000-0000DC0F0000}"/>
    <hyperlink ref="K543" r:id="rId3154" xr:uid="{00000000-0004-0000-0000-0000DD0F0000}"/>
    <hyperlink ref="K545" r:id="rId3155" display="Small-Flowered Forget-Me-Not" xr:uid="{00000000-0004-0000-0000-0000DE0F0000}"/>
    <hyperlink ref="K546" r:id="rId3156" xr:uid="{00000000-0004-0000-0000-0000DF0F0000}"/>
    <hyperlink ref="K548" r:id="rId3157" xr:uid="{00000000-0004-0000-0000-0000E00F0000}"/>
    <hyperlink ref="K549" r:id="rId3158" xr:uid="{00000000-0004-0000-0000-0000E10F0000}"/>
    <hyperlink ref="K550" r:id="rId3159" xr:uid="{00000000-0004-0000-0000-0000E20F0000}"/>
    <hyperlink ref="K551" r:id="rId3160" xr:uid="{00000000-0004-0000-0000-0000E30F0000}"/>
    <hyperlink ref="K552" r:id="rId3161" xr:uid="{00000000-0004-0000-0000-0000E40F0000}"/>
    <hyperlink ref="K553" r:id="rId3162" xr:uid="{00000000-0004-0000-0000-0000E50F0000}"/>
    <hyperlink ref="K554" r:id="rId3163" xr:uid="{00000000-0004-0000-0000-0000E60F0000}"/>
    <hyperlink ref="K555" r:id="rId3164" xr:uid="{00000000-0004-0000-0000-0000E70F0000}"/>
    <hyperlink ref="K556" r:id="rId3165" xr:uid="{00000000-0004-0000-0000-0000E80F0000}"/>
    <hyperlink ref="K557" r:id="rId3166" xr:uid="{00000000-0004-0000-0000-0000E90F0000}"/>
    <hyperlink ref="K558" r:id="rId3167" xr:uid="{00000000-0004-0000-0000-0000EA0F0000}"/>
    <hyperlink ref="K559" r:id="rId3168" xr:uid="{00000000-0004-0000-0000-0000EB0F0000}"/>
    <hyperlink ref="K562" r:id="rId3169" xr:uid="{00000000-0004-0000-0000-0000EC0F0000}"/>
    <hyperlink ref="K563" r:id="rId3170" xr:uid="{00000000-0004-0000-0000-0000ED0F0000}"/>
    <hyperlink ref="K564" r:id="rId3171" xr:uid="{00000000-0004-0000-0000-0000EE0F0000}"/>
    <hyperlink ref="K567" r:id="rId3172" display="Long-tubed evening-primrose" xr:uid="{00000000-0004-0000-0000-0000EF0F0000}"/>
    <hyperlink ref="K569" r:id="rId3173" xr:uid="{00000000-0004-0000-0000-0000F00F0000}"/>
    <hyperlink ref="K570" r:id="rId3174" xr:uid="{00000000-0004-0000-0000-0000F10F0000}"/>
    <hyperlink ref="K571" r:id="rId3175" xr:uid="{00000000-0004-0000-0000-0000F20F0000}"/>
    <hyperlink ref="K572" r:id="rId3176" xr:uid="{00000000-0004-0000-0000-0000F30F0000}"/>
    <hyperlink ref="K573" r:id="rId3177" xr:uid="{00000000-0004-0000-0000-0000F40F0000}"/>
    <hyperlink ref="K574" r:id="rId3178" xr:uid="{00000000-0004-0000-0000-0000F50F0000}"/>
    <hyperlink ref="K575" r:id="rId3179" xr:uid="{00000000-0004-0000-0000-0000F60F0000}"/>
    <hyperlink ref="K577" r:id="rId3180" xr:uid="{00000000-0004-0000-0000-0000F70F0000}"/>
    <hyperlink ref="K579" r:id="rId3181" xr:uid="{00000000-0004-0000-0000-0000F80F0000}"/>
    <hyperlink ref="K580" r:id="rId3182" xr:uid="{00000000-0004-0000-0000-0000F90F0000}"/>
    <hyperlink ref="K581" r:id="rId3183" xr:uid="{00000000-0004-0000-0000-0000FA0F0000}"/>
    <hyperlink ref="K583" r:id="rId3184" xr:uid="{00000000-0004-0000-0000-0000FB0F0000}"/>
    <hyperlink ref="K584" r:id="rId3185" display="Cascade grass-of-Parnassus" xr:uid="{00000000-0004-0000-0000-0000FC0F0000}"/>
    <hyperlink ref="K585" r:id="rId3186" display="Fringed Grass-Of-Parnassus" xr:uid="{00000000-0004-0000-0000-0000FD0F0000}"/>
    <hyperlink ref="K586" r:id="rId3187" xr:uid="{00000000-0004-0000-0000-0000FE0F0000}"/>
    <hyperlink ref="K587" r:id="rId3188" xr:uid="{00000000-0004-0000-0000-0000FF0F0000}"/>
    <hyperlink ref="K588" r:id="rId3189" xr:uid="{00000000-0004-0000-0000-000000100000}"/>
    <hyperlink ref="K590" r:id="rId3190" xr:uid="{00000000-0004-0000-0000-000001100000}"/>
    <hyperlink ref="K591" r:id="rId3191" xr:uid="{00000000-0004-0000-0000-000002100000}"/>
    <hyperlink ref="K592" r:id="rId3192" xr:uid="{00000000-0004-0000-0000-000003100000}"/>
    <hyperlink ref="K594" r:id="rId3193" xr:uid="{00000000-0004-0000-0000-000004100000}"/>
    <hyperlink ref="K599" r:id="rId3194" xr:uid="{00000000-0004-0000-0000-000005100000}"/>
    <hyperlink ref="K600" r:id="rId3195" xr:uid="{00000000-0004-0000-0000-000006100000}"/>
    <hyperlink ref="K601" r:id="rId3196" xr:uid="{00000000-0004-0000-0000-000007100000}"/>
    <hyperlink ref="K602" r:id="rId3197" xr:uid="{00000000-0004-0000-0000-000008100000}"/>
    <hyperlink ref="K603" r:id="rId3198" xr:uid="{00000000-0004-0000-0000-000009100000}"/>
    <hyperlink ref="K604" r:id="rId3199" xr:uid="{00000000-0004-0000-0000-00000A100000}"/>
    <hyperlink ref="K605" r:id="rId3200" xr:uid="{00000000-0004-0000-0000-00000B100000}"/>
    <hyperlink ref="K607" r:id="rId3201" xr:uid="{00000000-0004-0000-0000-00000C100000}"/>
    <hyperlink ref="K609" r:id="rId3202" xr:uid="{00000000-0004-0000-0000-00000D100000}"/>
    <hyperlink ref="K611" r:id="rId3203" xr:uid="{00000000-0004-0000-0000-00000E100000}"/>
    <hyperlink ref="K613" r:id="rId3204" xr:uid="{00000000-0004-0000-0000-00000F100000}"/>
    <hyperlink ref="K615" r:id="rId3205" xr:uid="{00000000-0004-0000-0000-000010100000}"/>
    <hyperlink ref="K616" r:id="rId3206" xr:uid="{00000000-0004-0000-0000-000011100000}"/>
    <hyperlink ref="K617" r:id="rId3207" xr:uid="{00000000-0004-0000-0000-000012100000}"/>
    <hyperlink ref="K618" r:id="rId3208" xr:uid="{00000000-0004-0000-0000-000013100000}"/>
    <hyperlink ref="K619" r:id="rId3209" xr:uid="{00000000-0004-0000-0000-000014100000}"/>
    <hyperlink ref="K620" r:id="rId3210" xr:uid="{00000000-0004-0000-0000-000015100000}"/>
    <hyperlink ref="K621" r:id="rId3211" xr:uid="{00000000-0004-0000-0000-000016100000}"/>
    <hyperlink ref="K622" r:id="rId3212" xr:uid="{00000000-0004-0000-0000-000017100000}"/>
    <hyperlink ref="K624" r:id="rId3213" xr:uid="{00000000-0004-0000-0000-000018100000}"/>
    <hyperlink ref="K625" r:id="rId3214" xr:uid="{00000000-0004-0000-0000-000019100000}"/>
    <hyperlink ref="K626" r:id="rId3215" display="Lesser Round-Leaved Orchid" xr:uid="{00000000-0004-0000-0000-00001A100000}"/>
    <hyperlink ref="K628" r:id="rId3216" xr:uid="{00000000-0004-0000-0000-00001B100000}"/>
    <hyperlink ref="K629" r:id="rId3217" xr:uid="{00000000-0004-0000-0000-00001C100000}"/>
    <hyperlink ref="K631" r:id="rId3218" xr:uid="{00000000-0004-0000-0000-00001D100000}"/>
    <hyperlink ref="K633" r:id="rId3219" xr:uid="{00000000-0004-0000-0000-00001E100000}"/>
    <hyperlink ref="K634" r:id="rId3220" xr:uid="{00000000-0004-0000-0000-00001F100000}"/>
    <hyperlink ref="K636" r:id="rId3221" xr:uid="{00000000-0004-0000-0000-000020100000}"/>
    <hyperlink ref="K637" r:id="rId3222" xr:uid="{00000000-0004-0000-0000-000021100000}"/>
    <hyperlink ref="K638" r:id="rId3223" xr:uid="{00000000-0004-0000-0000-000022100000}"/>
    <hyperlink ref="K639" r:id="rId3224" xr:uid="{00000000-0004-0000-0000-000023100000}"/>
    <hyperlink ref="K640" r:id="rId3225" xr:uid="{00000000-0004-0000-0000-000024100000}"/>
    <hyperlink ref="K641" r:id="rId3226" xr:uid="{00000000-0004-0000-0000-000025100000}"/>
    <hyperlink ref="K643" r:id="rId3227" xr:uid="{00000000-0004-0000-0000-000026100000}"/>
    <hyperlink ref="K645" r:id="rId3228" xr:uid="{00000000-0004-0000-0000-000027100000}"/>
    <hyperlink ref="K647" r:id="rId3229" xr:uid="{00000000-0004-0000-0000-000028100000}"/>
    <hyperlink ref="K648" r:id="rId3230" xr:uid="{00000000-0004-0000-0000-000029100000}"/>
    <hyperlink ref="K650" r:id="rId3231" xr:uid="{00000000-0004-0000-0000-00002A100000}"/>
    <hyperlink ref="K651" r:id="rId3232" xr:uid="{00000000-0004-0000-0000-00002B100000}"/>
    <hyperlink ref="K652" r:id="rId3233" xr:uid="{00000000-0004-0000-0000-00002C100000}"/>
    <hyperlink ref="K653" r:id="rId3234" xr:uid="{00000000-0004-0000-0000-00002D100000}"/>
    <hyperlink ref="K654" r:id="rId3235" xr:uid="{00000000-0004-0000-0000-00002E100000}"/>
    <hyperlink ref="K655" r:id="rId3236" xr:uid="{00000000-0004-0000-0000-00002F100000}"/>
    <hyperlink ref="K656" r:id="rId3237" xr:uid="{00000000-0004-0000-0000-000030100000}"/>
    <hyperlink ref="K657" r:id="rId3238" xr:uid="{00000000-0004-0000-0000-000031100000}"/>
    <hyperlink ref="K658" r:id="rId3239" xr:uid="{00000000-0004-0000-0000-000032100000}"/>
    <hyperlink ref="K659" r:id="rId3240" xr:uid="{00000000-0004-0000-0000-000033100000}"/>
    <hyperlink ref="K660" r:id="rId3241" xr:uid="{00000000-0004-0000-0000-000034100000}"/>
    <hyperlink ref="K661" r:id="rId3242" xr:uid="{00000000-0004-0000-0000-000035100000}"/>
    <hyperlink ref="K662" r:id="rId3243" xr:uid="{00000000-0004-0000-0000-000036100000}"/>
    <hyperlink ref="K663" r:id="rId3244" xr:uid="{00000000-0004-0000-0000-000037100000}"/>
    <hyperlink ref="K664" r:id="rId3245" xr:uid="{00000000-0004-0000-0000-000038100000}"/>
    <hyperlink ref="K665" r:id="rId3246" xr:uid="{00000000-0004-0000-0000-000039100000}"/>
    <hyperlink ref="K666" r:id="rId3247" xr:uid="{00000000-0004-0000-0000-00003A100000}"/>
    <hyperlink ref="K667" r:id="rId3248" xr:uid="{00000000-0004-0000-0000-00003B100000}"/>
    <hyperlink ref="K668" r:id="rId3249" xr:uid="{00000000-0004-0000-0000-00003C100000}"/>
    <hyperlink ref="K669" r:id="rId3250" xr:uid="{00000000-0004-0000-0000-00003D100000}"/>
    <hyperlink ref="K670" r:id="rId3251" xr:uid="{00000000-0004-0000-0000-00003E100000}"/>
    <hyperlink ref="K672" r:id="rId3252" xr:uid="{00000000-0004-0000-0000-00003F100000}"/>
    <hyperlink ref="K673" r:id="rId3253" xr:uid="{00000000-0004-0000-0000-000040100000}"/>
    <hyperlink ref="K675" r:id="rId3254" xr:uid="{00000000-0004-0000-0000-000041100000}"/>
    <hyperlink ref="K676" r:id="rId3255" display="Northwestern Rabbit-Tobacco" xr:uid="{00000000-0004-0000-0000-000042100000}"/>
    <hyperlink ref="K677" r:id="rId3256" xr:uid="{00000000-0004-0000-0000-000043100000}"/>
    <hyperlink ref="K678" r:id="rId3257" xr:uid="{00000000-0004-0000-0000-000044100000}"/>
    <hyperlink ref="K679" r:id="rId3258" xr:uid="{00000000-0004-0000-0000-000045100000}"/>
    <hyperlink ref="K680" r:id="rId3259" xr:uid="{00000000-0004-0000-0000-000046100000}"/>
    <hyperlink ref="K681" r:id="rId3260" xr:uid="{00000000-0004-0000-0000-000047100000}"/>
    <hyperlink ref="K682" r:id="rId3261" xr:uid="{00000000-0004-0000-0000-000048100000}"/>
    <hyperlink ref="K683" r:id="rId3262" xr:uid="{00000000-0004-0000-0000-000049100000}"/>
    <hyperlink ref="K684" r:id="rId3263" xr:uid="{00000000-0004-0000-0000-00004A100000}"/>
    <hyperlink ref="K685" r:id="rId3264" xr:uid="{00000000-0004-0000-0000-00004B100000}"/>
    <hyperlink ref="K686" r:id="rId3265" xr:uid="{00000000-0004-0000-0000-00004C100000}"/>
    <hyperlink ref="K688" r:id="rId3266" xr:uid="{00000000-0004-0000-0000-00004D100000}"/>
    <hyperlink ref="K689" r:id="rId3267" xr:uid="{00000000-0004-0000-0000-00004E100000}"/>
    <hyperlink ref="K690" r:id="rId3268" xr:uid="{00000000-0004-0000-0000-00004F100000}"/>
    <hyperlink ref="K691" r:id="rId3269" display="Greater Creeping Spearwort" xr:uid="{00000000-0004-0000-0000-000050100000}"/>
    <hyperlink ref="K692" r:id="rId3270" xr:uid="{00000000-0004-0000-0000-000051100000}"/>
    <hyperlink ref="K694" r:id="rId3271" xr:uid="{00000000-0004-0000-0000-000052100000}"/>
    <hyperlink ref="K695" r:id="rId3272" xr:uid="{00000000-0004-0000-0000-000053100000}"/>
    <hyperlink ref="K696" r:id="rId3273" xr:uid="{00000000-0004-0000-0000-000054100000}"/>
    <hyperlink ref="K698" r:id="rId3274" xr:uid="{00000000-0004-0000-0000-000055100000}"/>
    <hyperlink ref="K701" r:id="rId3275" xr:uid="{00000000-0004-0000-0000-000056100000}"/>
    <hyperlink ref="K704" r:id="rId3276" xr:uid="{00000000-0004-0000-0000-000057100000}"/>
    <hyperlink ref="K705" r:id="rId3277" xr:uid="{00000000-0004-0000-0000-000058100000}"/>
    <hyperlink ref="K706" r:id="rId3278" xr:uid="{00000000-0004-0000-0000-000059100000}"/>
    <hyperlink ref="K707" r:id="rId3279" xr:uid="{00000000-0004-0000-0000-00005A100000}"/>
    <hyperlink ref="K708" r:id="rId3280" xr:uid="{00000000-0004-0000-0000-00005B100000}"/>
    <hyperlink ref="K710" r:id="rId3281" xr:uid="{00000000-0004-0000-0000-00005C100000}"/>
    <hyperlink ref="K712" r:id="rId3282" xr:uid="{00000000-0004-0000-0000-00005D100000}"/>
    <hyperlink ref="K713" r:id="rId3283" xr:uid="{00000000-0004-0000-0000-00005E100000}"/>
    <hyperlink ref="K715" r:id="rId3284" xr:uid="{00000000-0004-0000-0000-00005F100000}"/>
    <hyperlink ref="K717" r:id="rId3285" xr:uid="{00000000-0004-0000-0000-000060100000}"/>
    <hyperlink ref="K718" r:id="rId3286" xr:uid="{00000000-0004-0000-0000-000061100000}"/>
    <hyperlink ref="K719" r:id="rId3287" xr:uid="{00000000-0004-0000-0000-000062100000}"/>
    <hyperlink ref="K721" r:id="rId3288" xr:uid="{00000000-0004-0000-0000-000063100000}"/>
    <hyperlink ref="K723" r:id="rId3289" xr:uid="{00000000-0004-0000-0000-000064100000}"/>
    <hyperlink ref="K724" r:id="rId3290" xr:uid="{00000000-0004-0000-0000-000065100000}"/>
    <hyperlink ref="K726" r:id="rId3291" xr:uid="{00000000-0004-0000-0000-000066100000}"/>
    <hyperlink ref="K727" r:id="rId3292" xr:uid="{00000000-0004-0000-0000-000067100000}"/>
    <hyperlink ref="K728" r:id="rId3293" xr:uid="{00000000-0004-0000-0000-000068100000}"/>
    <hyperlink ref="K731" r:id="rId3294" xr:uid="{00000000-0004-0000-0000-000069100000}"/>
    <hyperlink ref="K732" r:id="rId3295" xr:uid="{00000000-0004-0000-0000-00006A100000}"/>
    <hyperlink ref="K733" r:id="rId3296" xr:uid="{00000000-0004-0000-0000-00006B100000}"/>
    <hyperlink ref="K734" r:id="rId3297" xr:uid="{00000000-0004-0000-0000-00006C100000}"/>
    <hyperlink ref="K735" r:id="rId3298" xr:uid="{00000000-0004-0000-0000-00006D100000}"/>
    <hyperlink ref="K736" r:id="rId3299" xr:uid="{00000000-0004-0000-0000-00006E100000}"/>
    <hyperlink ref="K737" r:id="rId3300" xr:uid="{00000000-0004-0000-0000-00006F100000}"/>
    <hyperlink ref="K738" r:id="rId3301" xr:uid="{00000000-0004-0000-0000-000070100000}"/>
    <hyperlink ref="K739" r:id="rId3302" xr:uid="{00000000-0004-0000-0000-000071100000}"/>
    <hyperlink ref="K740" r:id="rId3303" xr:uid="{00000000-0004-0000-0000-000072100000}"/>
    <hyperlink ref="K741" r:id="rId3304" xr:uid="{00000000-0004-0000-0000-000073100000}"/>
    <hyperlink ref="K742" r:id="rId3305" xr:uid="{00000000-0004-0000-0000-000074100000}"/>
    <hyperlink ref="K743" r:id="rId3306" xr:uid="{00000000-0004-0000-0000-000075100000}"/>
    <hyperlink ref="K744" r:id="rId3307" xr:uid="{00000000-0004-0000-0000-000076100000}"/>
    <hyperlink ref="K745" r:id="rId3308" xr:uid="{00000000-0004-0000-0000-000077100000}"/>
    <hyperlink ref="K746" r:id="rId3309" xr:uid="{00000000-0004-0000-0000-000078100000}"/>
    <hyperlink ref="K747" r:id="rId3310" xr:uid="{00000000-0004-0000-0000-000079100000}"/>
    <hyperlink ref="K748" r:id="rId3311" xr:uid="{00000000-0004-0000-0000-00007A100000}"/>
    <hyperlink ref="K750" r:id="rId3312" xr:uid="{00000000-0004-0000-0000-00007B100000}"/>
    <hyperlink ref="K752" r:id="rId3313" xr:uid="{00000000-0004-0000-0000-00007C100000}"/>
    <hyperlink ref="K753" r:id="rId3314" xr:uid="{00000000-0004-0000-0000-00007D100000}"/>
    <hyperlink ref="K754" r:id="rId3315" xr:uid="{00000000-0004-0000-0000-00007E100000}"/>
    <hyperlink ref="K755" r:id="rId3316" xr:uid="{00000000-0004-0000-0000-00007F100000}"/>
    <hyperlink ref="K756" r:id="rId3317" xr:uid="{00000000-0004-0000-0000-000080100000}"/>
    <hyperlink ref="K757" r:id="rId3318" xr:uid="{00000000-0004-0000-0000-000081100000}"/>
    <hyperlink ref="K760" r:id="rId3319" xr:uid="{00000000-0004-0000-0000-000082100000}"/>
    <hyperlink ref="K761" r:id="rId3320" xr:uid="{00000000-0004-0000-0000-000083100000}"/>
    <hyperlink ref="K762" r:id="rId3321" xr:uid="{00000000-0004-0000-0000-000084100000}"/>
    <hyperlink ref="K763" r:id="rId3322" xr:uid="{00000000-0004-0000-0000-000085100000}"/>
    <hyperlink ref="K764" r:id="rId3323" xr:uid="{00000000-0004-0000-0000-000086100000}"/>
    <hyperlink ref="K765" r:id="rId3324" xr:uid="{00000000-0004-0000-0000-000087100000}"/>
    <hyperlink ref="K768" r:id="rId3325" xr:uid="{00000000-0004-0000-0000-000088100000}"/>
    <hyperlink ref="K769" r:id="rId3326" xr:uid="{00000000-0004-0000-0000-000089100000}"/>
    <hyperlink ref="K770" r:id="rId3327" xr:uid="{00000000-0004-0000-0000-00008A100000}"/>
    <hyperlink ref="K771" r:id="rId3328" xr:uid="{00000000-0004-0000-0000-00008B100000}"/>
    <hyperlink ref="K773" r:id="rId3329" display="Rannoch-Rush" xr:uid="{00000000-0004-0000-0000-00008C100000}"/>
    <hyperlink ref="K774" r:id="rId3330" xr:uid="{00000000-0004-0000-0000-00008D100000}"/>
    <hyperlink ref="K775" r:id="rId3331" xr:uid="{00000000-0004-0000-0000-00008E100000}"/>
    <hyperlink ref="K776" r:id="rId3332" xr:uid="{00000000-0004-0000-0000-00008F100000}"/>
    <hyperlink ref="K777" r:id="rId3333" xr:uid="{00000000-0004-0000-0000-000090100000}"/>
    <hyperlink ref="K778" r:id="rId3334" xr:uid="{00000000-0004-0000-0000-000091100000}"/>
    <hyperlink ref="K779" r:id="rId3335" xr:uid="{00000000-0004-0000-0000-000092100000}"/>
    <hyperlink ref="K780" r:id="rId3336" xr:uid="{00000000-0004-0000-0000-000093100000}"/>
    <hyperlink ref="K781" r:id="rId3337" xr:uid="{00000000-0004-0000-0000-000094100000}"/>
    <hyperlink ref="K782" r:id="rId3338" xr:uid="{00000000-0004-0000-0000-000095100000}"/>
    <hyperlink ref="K784" r:id="rId3339" xr:uid="{00000000-0004-0000-0000-000096100000}"/>
    <hyperlink ref="K788" r:id="rId3340" xr:uid="{00000000-0004-0000-0000-000097100000}"/>
    <hyperlink ref="K789" r:id="rId3341" xr:uid="{00000000-0004-0000-0000-000098100000}"/>
    <hyperlink ref="K790" r:id="rId3342" xr:uid="{00000000-0004-0000-0000-000099100000}"/>
    <hyperlink ref="K791" r:id="rId3343" display="Columbian White-Topped Aster" xr:uid="{00000000-0004-0000-0000-00009A100000}"/>
    <hyperlink ref="K792" r:id="rId3344" xr:uid="{00000000-0004-0000-0000-00009B100000}"/>
    <hyperlink ref="K793" r:id="rId3345" xr:uid="{00000000-0004-0000-0000-00009C100000}"/>
    <hyperlink ref="K794" r:id="rId3346" xr:uid="{00000000-0004-0000-0000-00009D100000}"/>
    <hyperlink ref="K795" r:id="rId3347" display="Hairy-stemmed checkermallow" xr:uid="{00000000-0004-0000-0000-00009E100000}"/>
    <hyperlink ref="K796" r:id="rId3348" xr:uid="{00000000-0004-0000-0000-00009F100000}"/>
    <hyperlink ref="K798" r:id="rId3349" xr:uid="{00000000-0004-0000-0000-0000A0100000}"/>
    <hyperlink ref="K799" r:id="rId3350" xr:uid="{00000000-0004-0000-0000-0000A1100000}"/>
    <hyperlink ref="K800" r:id="rId3351" xr:uid="{00000000-0004-0000-0000-0000A2100000}"/>
    <hyperlink ref="K801" r:id="rId3352" xr:uid="{00000000-0004-0000-0000-0000A3100000}"/>
    <hyperlink ref="K803" r:id="rId3353" xr:uid="{00000000-0004-0000-0000-0000A4100000}"/>
    <hyperlink ref="K804" r:id="rId3354" xr:uid="{00000000-0004-0000-0000-0000A5100000}"/>
    <hyperlink ref="K805" r:id="rId3355" xr:uid="{00000000-0004-0000-0000-0000A6100000}"/>
    <hyperlink ref="K806" r:id="rId3356" xr:uid="{00000000-0004-0000-0000-0000A7100000}"/>
    <hyperlink ref="K808" r:id="rId3357" xr:uid="{00000000-0004-0000-0000-0000A8100000}"/>
    <hyperlink ref="K809" r:id="rId3358" xr:uid="{00000000-0004-0000-0000-0000A9100000}"/>
    <hyperlink ref="K810" r:id="rId3359" xr:uid="{00000000-0004-0000-0000-0000AA100000}"/>
    <hyperlink ref="K811" r:id="rId3360" xr:uid="{00000000-0004-0000-0000-0000AB100000}"/>
    <hyperlink ref="K812" r:id="rId3361" xr:uid="{00000000-0004-0000-0000-0000AC100000}"/>
    <hyperlink ref="K813" r:id="rId3362" xr:uid="{00000000-0004-0000-0000-0000AD100000}"/>
    <hyperlink ref="K814" r:id="rId3363" xr:uid="{00000000-0004-0000-0000-0000AE100000}"/>
    <hyperlink ref="K815" r:id="rId3364" xr:uid="{00000000-0004-0000-0000-0000AF100000}"/>
    <hyperlink ref="K816" r:id="rId3365" xr:uid="{00000000-0004-0000-0000-0000B0100000}"/>
    <hyperlink ref="K818" r:id="rId3366" xr:uid="{00000000-0004-0000-0000-0000B1100000}"/>
    <hyperlink ref="K819" r:id="rId3367" xr:uid="{00000000-0004-0000-0000-0000B2100000}"/>
    <hyperlink ref="K820" r:id="rId3368" xr:uid="{00000000-0004-0000-0000-0000B3100000}"/>
    <hyperlink ref="K821" r:id="rId3369" xr:uid="{00000000-0004-0000-0000-0000B4100000}"/>
    <hyperlink ref="K823" r:id="rId3370" xr:uid="{00000000-0004-0000-0000-0000B5100000}"/>
    <hyperlink ref="K825" r:id="rId3371" xr:uid="{00000000-0004-0000-0000-0000B6100000}"/>
    <hyperlink ref="K826" r:id="rId3372" xr:uid="{00000000-0004-0000-0000-0000B7100000}"/>
    <hyperlink ref="K827" r:id="rId3373" xr:uid="{00000000-0004-0000-0000-0000B8100000}"/>
    <hyperlink ref="K828" r:id="rId3374" xr:uid="{00000000-0004-0000-0000-0000B9100000}"/>
    <hyperlink ref="K829" r:id="rId3375" xr:uid="{00000000-0004-0000-0000-0000BA100000}"/>
    <hyperlink ref="K830" r:id="rId3376" xr:uid="{00000000-0004-0000-0000-0000BB100000}"/>
    <hyperlink ref="K831" r:id="rId3377" xr:uid="{00000000-0004-0000-0000-0000BC100000}"/>
    <hyperlink ref="K832" r:id="rId3378" xr:uid="{00000000-0004-0000-0000-0000BD100000}"/>
    <hyperlink ref="K833" r:id="rId3379" xr:uid="{00000000-0004-0000-0000-0000BE100000}"/>
    <hyperlink ref="K834" r:id="rId3380" xr:uid="{00000000-0004-0000-0000-0000BF100000}"/>
    <hyperlink ref="K835" r:id="rId3381" xr:uid="{00000000-0004-0000-0000-0000C0100000}"/>
    <hyperlink ref="K836" r:id="rId3382" xr:uid="{00000000-0004-0000-0000-0000C1100000}"/>
    <hyperlink ref="K838" r:id="rId3383" xr:uid="{00000000-0004-0000-0000-0000C2100000}"/>
    <hyperlink ref="K839" r:id="rId3384" xr:uid="{00000000-0004-0000-0000-0000C3100000}"/>
    <hyperlink ref="K841" r:id="rId3385" xr:uid="{00000000-0004-0000-0000-0000C4100000}"/>
    <hyperlink ref="K842" r:id="rId3386" xr:uid="{00000000-0004-0000-0000-0000C5100000}"/>
    <hyperlink ref="K844" r:id="rId3387" xr:uid="{00000000-0004-0000-0000-0000C6100000}"/>
    <hyperlink ref="K845" r:id="rId3388" xr:uid="{00000000-0004-0000-0000-0000C7100000}"/>
    <hyperlink ref="K846" r:id="rId3389" xr:uid="{00000000-0004-0000-0000-0000C8100000}"/>
    <hyperlink ref="K847" r:id="rId3390" xr:uid="{00000000-0004-0000-0000-0000C9100000}"/>
    <hyperlink ref="K848" r:id="rId3391" xr:uid="{00000000-0004-0000-0000-0000CA100000}"/>
    <hyperlink ref="K849" r:id="rId3392" xr:uid="{00000000-0004-0000-0000-0000CB100000}"/>
    <hyperlink ref="K850" r:id="rId3393" xr:uid="{00000000-0004-0000-0000-0000CC100000}"/>
    <hyperlink ref="K854" r:id="rId3394" xr:uid="{00000000-0004-0000-0000-0000CD100000}"/>
    <hyperlink ref="K856" r:id="rId3395" xr:uid="{00000000-0004-0000-0000-0000CE100000}"/>
    <hyperlink ref="K857" r:id="rId3396" xr:uid="{00000000-0004-0000-0000-0000CF100000}"/>
    <hyperlink ref="K858" r:id="rId3397" xr:uid="{00000000-0004-0000-0000-0000D0100000}"/>
    <hyperlink ref="K503" r:id="rId3398" xr:uid="{00000000-0004-0000-0000-0000D1100000}"/>
    <hyperlink ref="K859" r:id="rId3399" xr:uid="{00000000-0004-0000-0000-0000D2100000}"/>
    <hyperlink ref="K860" r:id="rId3400" xr:uid="{00000000-0004-0000-0000-0000D3100000}"/>
    <hyperlink ref="K861" r:id="rId3401" xr:uid="{00000000-0004-0000-0000-0000D4100000}"/>
    <hyperlink ref="K862" r:id="rId3402" xr:uid="{00000000-0004-0000-0000-0000D5100000}"/>
    <hyperlink ref="K863" r:id="rId3403" xr:uid="{00000000-0004-0000-0000-0000D6100000}"/>
    <hyperlink ref="K864" r:id="rId3404" xr:uid="{00000000-0004-0000-0000-0000D7100000}"/>
    <hyperlink ref="K865" r:id="rId3405" xr:uid="{00000000-0004-0000-0000-0000D8100000}"/>
    <hyperlink ref="K866" r:id="rId3406" xr:uid="{00000000-0004-0000-0000-0000D9100000}"/>
    <hyperlink ref="K867" r:id="rId3407" xr:uid="{00000000-0004-0000-0000-0000DA100000}"/>
    <hyperlink ref="K868" r:id="rId3408" xr:uid="{00000000-0004-0000-0000-0000DB100000}"/>
    <hyperlink ref="K869" r:id="rId3409" xr:uid="{00000000-0004-0000-0000-0000DC100000}"/>
    <hyperlink ref="K870" r:id="rId3410" xr:uid="{00000000-0004-0000-0000-0000DD100000}"/>
    <hyperlink ref="K871" r:id="rId3411" xr:uid="{00000000-0004-0000-0000-0000DE100000}"/>
    <hyperlink ref="K874" r:id="rId3412" xr:uid="{00000000-0004-0000-0000-0000DF100000}"/>
    <hyperlink ref="K875" r:id="rId3413" xr:uid="{00000000-0004-0000-0000-0000E0100000}"/>
    <hyperlink ref="K876" r:id="rId3414" xr:uid="{00000000-0004-0000-0000-0000E1100000}"/>
    <hyperlink ref="K877" r:id="rId3415" xr:uid="{00000000-0004-0000-0000-0000E2100000}"/>
    <hyperlink ref="K878" r:id="rId3416" xr:uid="{00000000-0004-0000-0000-0000E3100000}"/>
    <hyperlink ref="K879" r:id="rId3417" xr:uid="{00000000-0004-0000-0000-0000E4100000}"/>
    <hyperlink ref="K880" r:id="rId3418" xr:uid="{00000000-0004-0000-0000-0000E5100000}"/>
    <hyperlink ref="K881" r:id="rId3419" xr:uid="{00000000-0004-0000-0000-0000E6100000}"/>
    <hyperlink ref="K882" r:id="rId3420" xr:uid="{00000000-0004-0000-0000-0000E7100000}"/>
    <hyperlink ref="K884" r:id="rId3421" xr:uid="{00000000-0004-0000-0000-0000E8100000}"/>
    <hyperlink ref="K885" r:id="rId3422" xr:uid="{00000000-0004-0000-0000-0000E9100000}"/>
    <hyperlink ref="K887" r:id="rId3423" xr:uid="{00000000-0004-0000-0000-0000EA100000}"/>
    <hyperlink ref="K889" r:id="rId3424" xr:uid="{00000000-0004-0000-0000-0000EB100000}"/>
    <hyperlink ref="K890" r:id="rId3425" xr:uid="{00000000-0004-0000-0000-0000EC100000}"/>
    <hyperlink ref="K891" r:id="rId3426" xr:uid="{00000000-0004-0000-0000-0000ED100000}"/>
    <hyperlink ref="K893" r:id="rId3427" xr:uid="{00000000-0004-0000-0000-0000EE100000}"/>
    <hyperlink ref="K894" r:id="rId3428" xr:uid="{00000000-0004-0000-0000-0000EF100000}"/>
    <hyperlink ref="K895" r:id="rId3429" xr:uid="{00000000-0004-0000-0000-0000F0100000}"/>
    <hyperlink ref="K896" r:id="rId3430" xr:uid="{00000000-0004-0000-0000-0000F1100000}"/>
    <hyperlink ref="K897" r:id="rId3431" xr:uid="{00000000-0004-0000-0000-0000F2100000}"/>
    <hyperlink ref="K898" r:id="rId3432" xr:uid="{00000000-0004-0000-0000-0000F3100000}"/>
    <hyperlink ref="K899" r:id="rId3433" xr:uid="{00000000-0004-0000-0000-0000F4100000}"/>
    <hyperlink ref="K900" r:id="rId3434" xr:uid="{00000000-0004-0000-0000-0000F5100000}"/>
    <hyperlink ref="K901" r:id="rId3435" xr:uid="{00000000-0004-0000-0000-0000F6100000}"/>
    <hyperlink ref="K902" r:id="rId3436" xr:uid="{00000000-0004-0000-0000-0000F7100000}"/>
    <hyperlink ref="K904" r:id="rId3437" xr:uid="{00000000-0004-0000-0000-0000F8100000}"/>
    <hyperlink ref="K905" r:id="rId3438" xr:uid="{00000000-0004-0000-0000-0000F9100000}"/>
    <hyperlink ref="K908" r:id="rId3439" xr:uid="{00000000-0004-0000-0000-0000FA100000}"/>
    <hyperlink ref="K909" r:id="rId3440" xr:uid="{00000000-0004-0000-0000-0000FB100000}"/>
    <hyperlink ref="K910" r:id="rId3441" xr:uid="{00000000-0004-0000-0000-0000FC100000}"/>
    <hyperlink ref="K913" r:id="rId3442" xr:uid="{00000000-0004-0000-0000-0000FD100000}"/>
    <hyperlink ref="K914" r:id="rId3443" xr:uid="{00000000-0004-0000-0000-0000FE100000}"/>
    <hyperlink ref="K916" r:id="rId3444" xr:uid="{00000000-0004-0000-0000-0000FF100000}"/>
    <hyperlink ref="K917" r:id="rId3445" xr:uid="{00000000-0004-0000-0000-000000110000}"/>
    <hyperlink ref="K918" r:id="rId3446" display="Beargrass" xr:uid="{00000000-0004-0000-0000-000001110000}"/>
    <hyperlink ref="K919" r:id="rId3447" xr:uid="{00000000-0004-0000-0000-000002110000}"/>
    <hyperlink ref="K920" r:id="rId3448" xr:uid="{00000000-0004-0000-0000-000003110000}"/>
    <hyperlink ref="K922" r:id="rId3449" xr:uid="{00000000-0004-0000-0000-000004110000}"/>
    <hyperlink ref="K483" r:id="rId3450" display="Seaside Bird's Foot Trefoil  " xr:uid="{00000000-0004-0000-0000-000005110000}"/>
    <hyperlink ref="K17" r:id="rId3451" xr:uid="{00000000-0004-0000-0000-000006110000}"/>
    <hyperlink ref="K18" r:id="rId3452" xr:uid="{00000000-0004-0000-0000-000007110000}"/>
    <hyperlink ref="K20" r:id="rId3453" xr:uid="{00000000-0004-0000-0000-000008110000}"/>
    <hyperlink ref="K23" r:id="rId3454" xr:uid="{00000000-0004-0000-0000-000009110000}"/>
    <hyperlink ref="K27" r:id="rId3455" xr:uid="{00000000-0004-0000-0000-00000A110000}"/>
    <hyperlink ref="K45" r:id="rId3456" xr:uid="{00000000-0004-0000-0000-00000B110000}"/>
    <hyperlink ref="K47" r:id="rId3457" xr:uid="{00000000-0004-0000-0000-00000C110000}"/>
    <hyperlink ref="K51" r:id="rId3458" xr:uid="{00000000-0004-0000-0000-00000D110000}"/>
    <hyperlink ref="K52" r:id="rId3459" xr:uid="{00000000-0004-0000-0000-00000E110000}"/>
    <hyperlink ref="K54" r:id="rId3460" xr:uid="{00000000-0004-0000-0000-00000F110000}"/>
    <hyperlink ref="K69" r:id="rId3461" xr:uid="{00000000-0004-0000-0000-000010110000}"/>
    <hyperlink ref="K80" r:id="rId3462" xr:uid="{00000000-0004-0000-0000-000011110000}"/>
    <hyperlink ref="K84" r:id="rId3463" xr:uid="{00000000-0004-0000-0000-000012110000}"/>
    <hyperlink ref="K97" r:id="rId3464" xr:uid="{00000000-0004-0000-0000-000013110000}"/>
    <hyperlink ref="K98" r:id="rId3465" xr:uid="{00000000-0004-0000-0000-000014110000}"/>
    <hyperlink ref="K110" r:id="rId3466" xr:uid="{00000000-0004-0000-0000-000015110000}"/>
    <hyperlink ref="K112" r:id="rId3467" xr:uid="{00000000-0004-0000-0000-000016110000}"/>
    <hyperlink ref="K114" r:id="rId3468" xr:uid="{00000000-0004-0000-0000-000017110000}"/>
    <hyperlink ref="K126" r:id="rId3469" xr:uid="{00000000-0004-0000-0000-000018110000}"/>
    <hyperlink ref="K129" r:id="rId3470" xr:uid="{00000000-0004-0000-0000-000019110000}"/>
    <hyperlink ref="K133" r:id="rId3471" xr:uid="{00000000-0004-0000-0000-00001A110000}"/>
    <hyperlink ref="K138" r:id="rId3472" xr:uid="{00000000-0004-0000-0000-00001B110000}"/>
    <hyperlink ref="K143" r:id="rId3473" xr:uid="{00000000-0004-0000-0000-00001C110000}"/>
    <hyperlink ref="K166" r:id="rId3474" xr:uid="{00000000-0004-0000-0000-00001D110000}"/>
    <hyperlink ref="K173" r:id="rId3475" xr:uid="{00000000-0004-0000-0000-00001E110000}"/>
    <hyperlink ref="K175" r:id="rId3476" xr:uid="{00000000-0004-0000-0000-00001F110000}"/>
    <hyperlink ref="K176" r:id="rId3477" xr:uid="{00000000-0004-0000-0000-000020110000}"/>
    <hyperlink ref="K177" r:id="rId3478" xr:uid="{00000000-0004-0000-0000-000021110000}"/>
    <hyperlink ref="K179" r:id="rId3479" xr:uid="{00000000-0004-0000-0000-000022110000}"/>
    <hyperlink ref="K188" r:id="rId3480" xr:uid="{00000000-0004-0000-0000-000023110000}"/>
    <hyperlink ref="K189" r:id="rId3481" xr:uid="{00000000-0004-0000-0000-000024110000}"/>
    <hyperlink ref="K201" r:id="rId3482" xr:uid="{00000000-0004-0000-0000-000025110000}"/>
    <hyperlink ref="K202" r:id="rId3483" xr:uid="{00000000-0004-0000-0000-000026110000}"/>
    <hyperlink ref="K230" r:id="rId3484" xr:uid="{00000000-0004-0000-0000-000027110000}"/>
    <hyperlink ref="K235" r:id="rId3485" xr:uid="{00000000-0004-0000-0000-000028110000}"/>
    <hyperlink ref="K247" r:id="rId3486" xr:uid="{00000000-0004-0000-0000-000029110000}"/>
    <hyperlink ref="K249" r:id="rId3487" xr:uid="{00000000-0004-0000-0000-00002A110000}"/>
    <hyperlink ref="K268" r:id="rId3488" xr:uid="{00000000-0004-0000-0000-00002B110000}"/>
    <hyperlink ref="K275" r:id="rId3489" xr:uid="{00000000-0004-0000-0000-00002C110000}"/>
    <hyperlink ref="K280" r:id="rId3490" xr:uid="{00000000-0004-0000-0000-00002D110000}"/>
    <hyperlink ref="K282" r:id="rId3491" xr:uid="{00000000-0004-0000-0000-00002E110000}"/>
    <hyperlink ref="K285" r:id="rId3492" xr:uid="{00000000-0004-0000-0000-00002F110000}"/>
    <hyperlink ref="K291" r:id="rId3493" xr:uid="{00000000-0004-0000-0000-000030110000}"/>
    <hyperlink ref="K296" r:id="rId3494" xr:uid="{00000000-0004-0000-0000-000031110000}"/>
    <hyperlink ref="K318" r:id="rId3495" xr:uid="{00000000-0004-0000-0000-000032110000}"/>
    <hyperlink ref="K331" r:id="rId3496" xr:uid="{00000000-0004-0000-0000-000033110000}"/>
    <hyperlink ref="K337" r:id="rId3497" xr:uid="{00000000-0004-0000-0000-000034110000}"/>
    <hyperlink ref="K341" r:id="rId3498" xr:uid="{00000000-0004-0000-0000-000035110000}"/>
    <hyperlink ref="K346" r:id="rId3499" xr:uid="{00000000-0004-0000-0000-000036110000}"/>
    <hyperlink ref="K352" r:id="rId3500" xr:uid="{00000000-0004-0000-0000-000037110000}"/>
    <hyperlink ref="K353" r:id="rId3501" display="Mission Bells" xr:uid="{00000000-0004-0000-0000-000038110000}"/>
    <hyperlink ref="K364" r:id="rId3502" xr:uid="{00000000-0004-0000-0000-000039110000}"/>
    <hyperlink ref="K366" r:id="rId3503" xr:uid="{00000000-0004-0000-0000-00003A110000}"/>
    <hyperlink ref="K375" r:id="rId3504" display="American Silvertop" xr:uid="{00000000-0004-0000-0000-00003B110000}"/>
    <hyperlink ref="K382" r:id="rId3505" xr:uid="{00000000-0004-0000-0000-00003C110000}"/>
    <hyperlink ref="K393" r:id="rId3506" xr:uid="{00000000-0004-0000-0000-00003D110000}"/>
    <hyperlink ref="K395" r:id="rId3507" xr:uid="{00000000-0004-0000-0000-00003E110000}"/>
    <hyperlink ref="K396" r:id="rId3508" xr:uid="{00000000-0004-0000-0000-00003F110000}"/>
    <hyperlink ref="K410" r:id="rId3509" xr:uid="{00000000-0004-0000-0000-000040110000}"/>
    <hyperlink ref="K411" r:id="rId3510" xr:uid="{00000000-0004-0000-0000-000041110000}"/>
    <hyperlink ref="K413" r:id="rId3511" xr:uid="{00000000-0004-0000-0000-000042110000}"/>
    <hyperlink ref="K420" r:id="rId3512" xr:uid="{00000000-0004-0000-0000-000043110000}"/>
    <hyperlink ref="K424" r:id="rId3513" xr:uid="{00000000-0004-0000-0000-000044110000}"/>
    <hyperlink ref="K434" r:id="rId3514" xr:uid="{00000000-0004-0000-0000-000045110000}"/>
    <hyperlink ref="K438" r:id="rId3515" xr:uid="{00000000-0004-0000-0000-000046110000}"/>
    <hyperlink ref="K439" r:id="rId3516" xr:uid="{00000000-0004-0000-0000-000047110000}"/>
    <hyperlink ref="K449" r:id="rId3517" xr:uid="{00000000-0004-0000-0000-000048110000}"/>
    <hyperlink ref="K452" r:id="rId3518" xr:uid="{00000000-0004-0000-0000-000049110000}"/>
    <hyperlink ref="K465" r:id="rId3519" xr:uid="{00000000-0004-0000-0000-00004A110000}"/>
    <hyperlink ref="K467" r:id="rId3520" xr:uid="{00000000-0004-0000-0000-00004B110000}"/>
    <hyperlink ref="K476" r:id="rId3521" xr:uid="{00000000-0004-0000-0000-00004C110000}"/>
    <hyperlink ref="K477" r:id="rId3522" xr:uid="{00000000-0004-0000-0000-00004D110000}"/>
    <hyperlink ref="K479" r:id="rId3523" xr:uid="{00000000-0004-0000-0000-00004E110000}"/>
    <hyperlink ref="K480" r:id="rId3524" xr:uid="{00000000-0004-0000-0000-00004F110000}"/>
    <hyperlink ref="K485" r:id="rId3525" xr:uid="{00000000-0004-0000-0000-000050110000}"/>
    <hyperlink ref="K486" r:id="rId3526" xr:uid="{00000000-0004-0000-0000-000051110000}"/>
    <hyperlink ref="K488" r:id="rId3527" xr:uid="{00000000-0004-0000-0000-000052110000}"/>
    <hyperlink ref="K490" r:id="rId3528" xr:uid="{00000000-0004-0000-0000-000053110000}"/>
    <hyperlink ref="K494" r:id="rId3529" xr:uid="{00000000-0004-0000-0000-000054110000}"/>
    <hyperlink ref="K511" r:id="rId3530" xr:uid="{00000000-0004-0000-0000-000055110000}"/>
    <hyperlink ref="K515" r:id="rId3531" xr:uid="{00000000-0004-0000-0000-000056110000}"/>
    <hyperlink ref="K516" r:id="rId3532" xr:uid="{00000000-0004-0000-0000-000057110000}"/>
    <hyperlink ref="K533" r:id="rId3533" xr:uid="{00000000-0004-0000-0000-000058110000}"/>
    <hyperlink ref="K544" r:id="rId3534" xr:uid="{00000000-0004-0000-0000-000059110000}"/>
    <hyperlink ref="K547" r:id="rId3535" xr:uid="{00000000-0004-0000-0000-00005A110000}"/>
    <hyperlink ref="K561" r:id="rId3536" xr:uid="{00000000-0004-0000-0000-00005B110000}"/>
    <hyperlink ref="K565" r:id="rId3537" display="Indian Plum; Osoberry" xr:uid="{00000000-0004-0000-0000-00005C110000}"/>
    <hyperlink ref="K566" r:id="rId3538" xr:uid="{00000000-0004-0000-0000-00005D110000}"/>
    <hyperlink ref="K568" r:id="rId3539" xr:uid="{00000000-0004-0000-0000-00005E110000}"/>
    <hyperlink ref="K576" r:id="rId3540" xr:uid="{00000000-0004-0000-0000-00005F110000}"/>
    <hyperlink ref="K578" r:id="rId3541" xr:uid="{00000000-0004-0000-0000-000060110000}"/>
    <hyperlink ref="K582" r:id="rId3542" xr:uid="{00000000-0004-0000-0000-000061110000}"/>
    <hyperlink ref="K589" r:id="rId3543" xr:uid="{00000000-0004-0000-0000-000062110000}"/>
    <hyperlink ref="K593" r:id="rId3544" xr:uid="{00000000-0004-0000-0000-000063110000}"/>
    <hyperlink ref="K595" r:id="rId3545" xr:uid="{00000000-0004-0000-0000-000064110000}"/>
    <hyperlink ref="K596" r:id="rId3546" xr:uid="{00000000-0004-0000-0000-000065110000}"/>
    <hyperlink ref="K597" r:id="rId3547" xr:uid="{00000000-0004-0000-0000-000066110000}"/>
    <hyperlink ref="K598" r:id="rId3548" xr:uid="{00000000-0004-0000-0000-000067110000}"/>
    <hyperlink ref="K606" r:id="rId3549" xr:uid="{00000000-0004-0000-0000-000068110000}"/>
    <hyperlink ref="K608" r:id="rId3550" xr:uid="{00000000-0004-0000-0000-000069110000}"/>
    <hyperlink ref="K610" r:id="rId3551" xr:uid="{00000000-0004-0000-0000-00006A110000}"/>
    <hyperlink ref="K612" r:id="rId3552" xr:uid="{00000000-0004-0000-0000-00006B110000}"/>
    <hyperlink ref="K614" r:id="rId3553" display="Lodgepole Pine; Shore Pine" xr:uid="{00000000-0004-0000-0000-00006C110000}"/>
    <hyperlink ref="K623" r:id="rId3554" xr:uid="{00000000-0004-0000-0000-00006D110000}"/>
    <hyperlink ref="K630" r:id="rId3555" xr:uid="{00000000-0004-0000-0000-00006E110000}"/>
    <hyperlink ref="K632" r:id="rId3556" xr:uid="{00000000-0004-0000-0000-00006F110000}"/>
    <hyperlink ref="K642" r:id="rId3557" xr:uid="{00000000-0004-0000-0000-000070110000}"/>
    <hyperlink ref="K644" r:id="rId3558" xr:uid="{00000000-0004-0000-0000-000071110000}"/>
    <hyperlink ref="K646" r:id="rId3559" xr:uid="{00000000-0004-0000-0000-000072110000}"/>
    <hyperlink ref="K649" r:id="rId3560" xr:uid="{00000000-0004-0000-0000-000073110000}"/>
    <hyperlink ref="K671" r:id="rId3561" xr:uid="{00000000-0004-0000-0000-000074110000}"/>
    <hyperlink ref="K674" r:id="rId3562" xr:uid="{00000000-0004-0000-0000-000075110000}"/>
    <hyperlink ref="K687" r:id="rId3563" xr:uid="{00000000-0004-0000-0000-000076110000}"/>
    <hyperlink ref="K693" r:id="rId3564" xr:uid="{00000000-0004-0000-0000-000077110000}"/>
    <hyperlink ref="K697" r:id="rId3565" xr:uid="{00000000-0004-0000-0000-000078110000}"/>
    <hyperlink ref="K699" r:id="rId3566" xr:uid="{00000000-0004-0000-0000-000079110000}"/>
    <hyperlink ref="K700" r:id="rId3567" xr:uid="{00000000-0004-0000-0000-00007A110000}"/>
    <hyperlink ref="K702" r:id="rId3568" xr:uid="{00000000-0004-0000-0000-00007B110000}"/>
    <hyperlink ref="K703" r:id="rId3569" xr:uid="{00000000-0004-0000-0000-00007C110000}"/>
    <hyperlink ref="K709" r:id="rId3570" xr:uid="{00000000-0004-0000-0000-00007D110000}"/>
    <hyperlink ref="K711" r:id="rId3571" xr:uid="{00000000-0004-0000-0000-00007E110000}"/>
    <hyperlink ref="K714" r:id="rId3572" xr:uid="{00000000-0004-0000-0000-00007F110000}"/>
    <hyperlink ref="K716" r:id="rId3573" xr:uid="{00000000-0004-0000-0000-000080110000}"/>
    <hyperlink ref="K720" r:id="rId3574" xr:uid="{00000000-0004-0000-0000-000081110000}"/>
    <hyperlink ref="K722" r:id="rId3575" xr:uid="{00000000-0004-0000-0000-000082110000}"/>
    <hyperlink ref="K725" r:id="rId3576" xr:uid="{00000000-0004-0000-0000-000083110000}"/>
    <hyperlink ref="K729" r:id="rId3577" xr:uid="{00000000-0004-0000-0000-000084110000}"/>
    <hyperlink ref="K730" r:id="rId3578" xr:uid="{00000000-0004-0000-0000-000085110000}"/>
    <hyperlink ref="K749" r:id="rId3579" xr:uid="{00000000-0004-0000-0000-000086110000}"/>
    <hyperlink ref="K751" r:id="rId3580" xr:uid="{00000000-0004-0000-0000-000087110000}"/>
    <hyperlink ref="K758" r:id="rId3581" xr:uid="{00000000-0004-0000-0000-000088110000}"/>
    <hyperlink ref="K759" r:id="rId3582" xr:uid="{00000000-0004-0000-0000-000089110000}"/>
    <hyperlink ref="K766" r:id="rId3583" xr:uid="{00000000-0004-0000-0000-00008A110000}"/>
    <hyperlink ref="K767" r:id="rId3584" xr:uid="{00000000-0004-0000-0000-00008B110000}"/>
    <hyperlink ref="K772" r:id="rId3585" xr:uid="{00000000-0004-0000-0000-00008C110000}"/>
    <hyperlink ref="K783" r:id="rId3586" xr:uid="{00000000-0004-0000-0000-00008D110000}"/>
    <hyperlink ref="K785" r:id="rId3587" xr:uid="{00000000-0004-0000-0000-00008E110000}"/>
    <hyperlink ref="K786" r:id="rId3588" xr:uid="{00000000-0004-0000-0000-00008F110000}"/>
    <hyperlink ref="K787" r:id="rId3589" xr:uid="{00000000-0004-0000-0000-000090110000}"/>
    <hyperlink ref="K797" r:id="rId3590" xr:uid="{00000000-0004-0000-0000-000091110000}"/>
    <hyperlink ref="K802" r:id="rId3591" xr:uid="{00000000-0004-0000-0000-000092110000}"/>
    <hyperlink ref="K807" r:id="rId3592" xr:uid="{00000000-0004-0000-0000-000093110000}"/>
    <hyperlink ref="K817" r:id="rId3593" xr:uid="{00000000-0004-0000-0000-000094110000}"/>
    <hyperlink ref="K822" r:id="rId3594" xr:uid="{00000000-0004-0000-0000-000095110000}"/>
    <hyperlink ref="K824" r:id="rId3595" xr:uid="{00000000-0004-0000-0000-000096110000}"/>
    <hyperlink ref="K837" r:id="rId3596" xr:uid="{00000000-0004-0000-0000-000097110000}"/>
    <hyperlink ref="K840" r:id="rId3597" xr:uid="{00000000-0004-0000-0000-000098110000}"/>
    <hyperlink ref="K843" r:id="rId3598" xr:uid="{00000000-0004-0000-0000-000099110000}"/>
    <hyperlink ref="K851" r:id="rId3599" xr:uid="{00000000-0004-0000-0000-00009A110000}"/>
    <hyperlink ref="K852" r:id="rId3600" xr:uid="{00000000-0004-0000-0000-00009B110000}"/>
    <hyperlink ref="K853" r:id="rId3601" xr:uid="{00000000-0004-0000-0000-00009C110000}"/>
    <hyperlink ref="K855" r:id="rId3602" xr:uid="{00000000-0004-0000-0000-00009D110000}"/>
    <hyperlink ref="K504" r:id="rId3603" xr:uid="{00000000-0004-0000-0000-00009E110000}"/>
    <hyperlink ref="K872" r:id="rId3604" xr:uid="{00000000-0004-0000-0000-00009F110000}"/>
    <hyperlink ref="K873" r:id="rId3605" xr:uid="{00000000-0004-0000-0000-0000A0110000}"/>
    <hyperlink ref="K883" r:id="rId3606" xr:uid="{00000000-0004-0000-0000-0000A1110000}"/>
    <hyperlink ref="K886" r:id="rId3607" xr:uid="{00000000-0004-0000-0000-0000A2110000}"/>
    <hyperlink ref="K888" r:id="rId3608" xr:uid="{00000000-0004-0000-0000-0000A3110000}"/>
    <hyperlink ref="K892" r:id="rId3609" xr:uid="{00000000-0004-0000-0000-0000A4110000}"/>
    <hyperlink ref="K903" r:id="rId3610" xr:uid="{00000000-0004-0000-0000-0000A5110000}"/>
    <hyperlink ref="K906" r:id="rId3611" xr:uid="{00000000-0004-0000-0000-0000A6110000}"/>
    <hyperlink ref="K907" r:id="rId3612" xr:uid="{00000000-0004-0000-0000-0000A7110000}"/>
    <hyperlink ref="K911" r:id="rId3613" xr:uid="{00000000-0004-0000-0000-0000A8110000}"/>
    <hyperlink ref="K912" r:id="rId3614" xr:uid="{00000000-0004-0000-0000-0000A9110000}"/>
    <hyperlink ref="K915" r:id="rId3615" xr:uid="{00000000-0004-0000-0000-0000AA110000}"/>
    <hyperlink ref="K921" r:id="rId3616" xr:uid="{00000000-0004-0000-0000-0000AB110000}"/>
    <hyperlink ref="K519" r:id="rId3617" xr:uid="{00000000-0004-0000-0000-0000AC110000}"/>
    <hyperlink ref="K635" r:id="rId3618" display="Lax-flower bluegrass" xr:uid="{00000000-0004-0000-0000-0000AD110000}"/>
    <hyperlink ref="K627" r:id="rId3619" xr:uid="{00000000-0004-0000-0000-0000AE110000}"/>
    <hyperlink ref="N17" r:id="rId3620" xr:uid="{00000000-0004-0000-0000-0000AF110000}"/>
    <hyperlink ref="N18" r:id="rId3621" xr:uid="{00000000-0004-0000-0000-0000B0110000}"/>
    <hyperlink ref="N19" r:id="rId3622" xr:uid="{00000000-0004-0000-0000-0000B1110000}"/>
    <hyperlink ref="M17" r:id="rId3623" xr:uid="{00000000-0004-0000-0000-0000BB110000}"/>
    <hyperlink ref="M18" r:id="rId3624" xr:uid="{00000000-0004-0000-0000-0000BC110000}"/>
    <hyperlink ref="M19" r:id="rId3625" xr:uid="{00000000-0004-0000-0000-0000BD110000}"/>
    <hyperlink ref="M20" r:id="rId3626" xr:uid="{C9B33F88-8DF5-495E-9E73-156DF91D0607}"/>
    <hyperlink ref="M21" r:id="rId3627" xr:uid="{8679B9CB-D79E-457A-A9D5-0AB39B25E594}"/>
    <hyperlink ref="M22" r:id="rId3628" xr:uid="{8A7AA257-97B3-4120-8C8E-3AE120F10080}"/>
    <hyperlink ref="M23" r:id="rId3629" xr:uid="{EA86CC29-F8F6-4544-9B5D-769E6962C5C9}"/>
    <hyperlink ref="M24" r:id="rId3630" xr:uid="{2377645D-D783-4BC3-B1B0-90559D3927E3}"/>
    <hyperlink ref="M25" r:id="rId3631" xr:uid="{1748357C-7204-45DF-A729-A92536B6216E}"/>
    <hyperlink ref="M26" r:id="rId3632" xr:uid="{0E1C033E-B621-4C64-8562-5C383453EB90}"/>
    <hyperlink ref="M27" r:id="rId3633" xr:uid="{DF9D5688-0F4B-4F53-AA74-5D8B28CD404A}"/>
    <hyperlink ref="M28" r:id="rId3634" xr:uid="{7BA15A4A-13B3-46A4-9AE4-02140D2887A6}"/>
    <hyperlink ref="M29" r:id="rId3635" xr:uid="{8B427D6F-ECA8-436D-B4E8-7E4AB8FCE7EF}"/>
    <hyperlink ref="M30" r:id="rId3636" xr:uid="{8577C453-B75D-4871-99FE-F4674CC25E77}"/>
    <hyperlink ref="M31" r:id="rId3637" xr:uid="{4286C47B-C4B1-4107-85DD-2EB2F3139900}"/>
    <hyperlink ref="M32" r:id="rId3638" xr:uid="{5150ECB0-CEB9-4452-AE07-B724C51D6863}"/>
    <hyperlink ref="M33" r:id="rId3639" xr:uid="{6A3471D6-0E71-4785-A9BF-BCC189B5DBEF}"/>
    <hyperlink ref="M34" r:id="rId3640" xr:uid="{3C5FAF28-58A4-4CEA-9ED4-1A9DE17DBA85}"/>
    <hyperlink ref="M35" r:id="rId3641" xr:uid="{6FE04E38-406C-4A4B-B700-97A2E4069C79}"/>
    <hyperlink ref="M36" r:id="rId3642" xr:uid="{D11241C8-59B7-4245-BBE2-528FBB79F371}"/>
    <hyperlink ref="M37" r:id="rId3643" xr:uid="{4EA11494-2FFF-4DBD-8DFC-BC492D3C28C2}"/>
    <hyperlink ref="M38" r:id="rId3644" xr:uid="{15AD6C47-6EB1-4727-BD26-5AD0D6AA46EC}"/>
    <hyperlink ref="M39" r:id="rId3645" xr:uid="{253619F3-7706-4865-8F78-557CFB736A82}"/>
    <hyperlink ref="M40" r:id="rId3646" xr:uid="{8D59D951-EDF9-4A1E-A8A1-77DC0380512C}"/>
    <hyperlink ref="M41" r:id="rId3647" xr:uid="{383A9DD5-9C12-4E4E-BE5F-E1D89DD71968}"/>
    <hyperlink ref="M43" r:id="rId3648" xr:uid="{686EDA88-51CA-407E-80FD-493EF9F64193}"/>
    <hyperlink ref="M44" r:id="rId3649" xr:uid="{38F9028D-CF22-4B38-911F-F9F735F7A820}"/>
    <hyperlink ref="M45" r:id="rId3650" xr:uid="{E9BDAF76-313E-496E-A534-E0D17360D681}"/>
    <hyperlink ref="M46" r:id="rId3651" xr:uid="{0C658C7D-2BFB-4743-9CDC-F5BA4A3672AA}"/>
    <hyperlink ref="M47" r:id="rId3652" xr:uid="{5D76E8B4-EC29-4751-9CF3-45051825CA09}"/>
    <hyperlink ref="M48" r:id="rId3653" xr:uid="{EF408671-010C-4572-A88B-2C1028B08A46}"/>
    <hyperlink ref="M49" r:id="rId3654" xr:uid="{34DFBB17-307A-4943-9B72-D4CF9766CE2C}"/>
    <hyperlink ref="M50" r:id="rId3655" xr:uid="{1706E1A8-BC31-47B3-974A-CFAE96FE18B0}"/>
    <hyperlink ref="M51" r:id="rId3656" xr:uid="{37847B60-048C-4DD9-9B57-A0CAA4207D76}"/>
    <hyperlink ref="M52" r:id="rId3657" xr:uid="{D4849DE2-1165-4867-92AE-E464DBE8DA11}"/>
    <hyperlink ref="M53" r:id="rId3658" xr:uid="{100E7F21-A040-4CD6-91F5-C8FA24E757E0}"/>
    <hyperlink ref="M54" r:id="rId3659" xr:uid="{2D0E054E-3D96-48BB-A32F-6ACD782F0A20}"/>
    <hyperlink ref="M55" r:id="rId3660" xr:uid="{6A3F147D-49D4-4A07-927F-BC4850AA5DC4}"/>
    <hyperlink ref="M56" r:id="rId3661" xr:uid="{4F5FC1CA-ACA9-4E9B-BA14-FB74632FF453}"/>
    <hyperlink ref="M57" r:id="rId3662" xr:uid="{7904EA7C-A984-4E1A-9694-1FE1158866A9}"/>
    <hyperlink ref="M58" r:id="rId3663" xr:uid="{3458E325-A24C-45EA-B768-CEFC4C00CA61}"/>
    <hyperlink ref="M59" r:id="rId3664" xr:uid="{55D523F8-8C1E-4B3B-B112-59F0819C83ED}"/>
    <hyperlink ref="M60" r:id="rId3665" xr:uid="{885020AA-6922-44FD-BABE-E6E4D845ECEF}"/>
    <hyperlink ref="M61" r:id="rId3666" xr:uid="{2909368C-780A-4FEC-B07B-B2259843D8DF}"/>
    <hyperlink ref="M62" r:id="rId3667" xr:uid="{96D0E0E1-BF5F-462B-909F-6E611807DB26}"/>
    <hyperlink ref="M63" r:id="rId3668" xr:uid="{76200216-4367-4984-ABC0-0F99C16B774D}"/>
    <hyperlink ref="M64" r:id="rId3669" xr:uid="{D21D7B8B-F38C-4A82-BD06-FAFBC9B6EEC2}"/>
    <hyperlink ref="M65" r:id="rId3670" xr:uid="{645DB807-E91B-4908-BE92-A63050102309}"/>
    <hyperlink ref="M66" r:id="rId3671" xr:uid="{2C9B162C-CAB1-4F30-9B52-E82DBE807663}"/>
    <hyperlink ref="M67" r:id="rId3672" xr:uid="{48909AA8-DE11-4360-9666-3608481F6AA5}"/>
    <hyperlink ref="M68" r:id="rId3673" xr:uid="{26D49D2E-78F6-48EE-B9C6-ACF920E09359}"/>
    <hyperlink ref="M69" r:id="rId3674" xr:uid="{1C211D26-0E74-43D7-90F0-0A8A591ADAC3}"/>
    <hyperlink ref="M70" r:id="rId3675" xr:uid="{2645582F-6119-4427-83A3-CB1A2EA231BF}"/>
    <hyperlink ref="M71" r:id="rId3676" xr:uid="{9F4B1413-B70C-4434-AB1E-E5B3033CDB58}"/>
    <hyperlink ref="M72" r:id="rId3677" xr:uid="{C65D31BB-7484-494F-9219-1E2A88C60CEF}"/>
    <hyperlink ref="M73" r:id="rId3678" xr:uid="{0E4C484D-F1AF-4346-AA60-D7038DC3721F}"/>
    <hyperlink ref="M74" r:id="rId3679" xr:uid="{619A9DCD-4D44-4E1B-A08A-DBD4A2AAA0D6}"/>
    <hyperlink ref="M75" r:id="rId3680" xr:uid="{1E3CE401-0B17-4F81-AB31-0611F8A965CE}"/>
    <hyperlink ref="M76" r:id="rId3681" xr:uid="{DD2C8175-73F0-4A1C-8D50-157E365C858E}"/>
    <hyperlink ref="M77" r:id="rId3682" xr:uid="{FA699C06-F953-471B-8592-73C7EE5A4667}"/>
    <hyperlink ref="M78" r:id="rId3683" xr:uid="{41367627-CFF7-41B8-ACD9-54AF3119BEEF}"/>
    <hyperlink ref="M79" r:id="rId3684" xr:uid="{E897B16B-74C0-47B4-849F-394906D82459}"/>
    <hyperlink ref="M80" r:id="rId3685" xr:uid="{D7E14263-51B5-41C1-8D33-AD0F88D47102}"/>
    <hyperlink ref="M81" r:id="rId3686" xr:uid="{309DB8A5-2F8F-4FEB-9863-C4CED0533B45}"/>
    <hyperlink ref="M82" r:id="rId3687" xr:uid="{A9E5E380-979C-4941-BE72-9A1559234B2A}"/>
    <hyperlink ref="M83" r:id="rId3688" xr:uid="{3C102F15-7D49-497A-A9D7-3AC27E0CBBF1}"/>
    <hyperlink ref="I83" r:id="rId3689" xr:uid="{45FB2308-240C-40DD-BE81-BD2D6745ED41}"/>
    <hyperlink ref="M84" r:id="rId3690" xr:uid="{DA1CE602-DAB4-4E6C-A820-11B5F762DB0A}"/>
    <hyperlink ref="I84" r:id="rId3691" xr:uid="{B30003CA-F2EE-4579-832E-D1779BDD37B8}"/>
    <hyperlink ref="M85" r:id="rId3692" xr:uid="{E321962F-04F0-46E3-ADC0-56CA92AE9436}"/>
    <hyperlink ref="I85" r:id="rId3693" xr:uid="{B31D0294-456D-4827-AB0B-6DAEDAD1218A}"/>
    <hyperlink ref="M86" r:id="rId3694" xr:uid="{F57FB549-7A15-4FF0-BFCF-B3FE72D6E780}"/>
    <hyperlink ref="M87" r:id="rId3695" xr:uid="{BBA01F86-5536-4DE9-A7F9-297727F4E3B2}"/>
    <hyperlink ref="M88" r:id="rId3696" xr:uid="{4CC999A0-622A-42DE-985D-C9C9E869CB54}"/>
    <hyperlink ref="M89" r:id="rId3697" xr:uid="{E6C2B068-387A-404A-ADD9-4146E85C5CF2}"/>
    <hyperlink ref="M90" r:id="rId3698" xr:uid="{363A5150-83D6-4109-9B67-51E4EB9169B4}"/>
    <hyperlink ref="M91" r:id="rId3699" xr:uid="{68D03328-3E13-4C6F-BD93-FB7B8B29635F}"/>
    <hyperlink ref="M92" r:id="rId3700" xr:uid="{07E2257B-5EA5-4060-80F3-146500219F2D}"/>
    <hyperlink ref="M93" r:id="rId3701" xr:uid="{A6529DE0-5395-4EF3-8A61-AA574C9D96D6}"/>
    <hyperlink ref="M94" r:id="rId3702" xr:uid="{E31712FB-6E2E-47BA-B700-A455864B9291}"/>
    <hyperlink ref="M95" r:id="rId3703" xr:uid="{C9B3EA37-11EE-4CE5-8E28-749F1CD40102}"/>
    <hyperlink ref="M96" r:id="rId3704" xr:uid="{78F1CEA1-850C-47D7-8C43-2D93CCF75DE2}"/>
    <hyperlink ref="M97" r:id="rId3705" xr:uid="{3C161508-9170-4849-88E1-B3FA1E50358A}"/>
    <hyperlink ref="M98" r:id="rId3706" xr:uid="{7BCE800F-0740-4D4B-AD79-272D490FBF4F}"/>
    <hyperlink ref="M99" r:id="rId3707" xr:uid="{88345EDC-7183-4776-8672-B4233272947C}"/>
    <hyperlink ref="M100" r:id="rId3708" xr:uid="{AE1267A9-C070-4A98-8B52-3636F32FD776}"/>
    <hyperlink ref="M101" r:id="rId3709" xr:uid="{A5671CE4-00B0-49FB-BCF7-0E04EC5AD39C}"/>
    <hyperlink ref="M102" r:id="rId3710" xr:uid="{4A4E485F-AF7D-4AAD-81AB-2DD80FCD9E01}"/>
    <hyperlink ref="M103" r:id="rId3711" xr:uid="{F7F4E638-976A-41EE-9132-AA9523C07C40}"/>
    <hyperlink ref="M104" r:id="rId3712" xr:uid="{DF372D71-24F4-42BB-AF32-4E8D66619F13}"/>
    <hyperlink ref="M105" r:id="rId3713" xr:uid="{69F40F60-2EC1-4920-997D-45EA892AB993}"/>
    <hyperlink ref="M106" r:id="rId3714" xr:uid="{E2240622-426F-4EE8-8483-44FC9426374B}"/>
    <hyperlink ref="M107" r:id="rId3715" xr:uid="{8DE22F83-E36A-4147-911C-EAA60EFFF4B7}"/>
    <hyperlink ref="M108" r:id="rId3716" xr:uid="{AF970A2D-61EF-4EB0-8646-B82F784EAD64}"/>
    <hyperlink ref="M109" r:id="rId3717" xr:uid="{D725D7D5-0850-4484-B84B-6FD6F763A450}"/>
    <hyperlink ref="M110" r:id="rId3718" xr:uid="{722BEA97-E093-4FB1-BFC4-1A0528916484}"/>
    <hyperlink ref="M111" r:id="rId3719" xr:uid="{6DDAEEFF-A8E6-451C-BAF0-F8F8E437E565}"/>
    <hyperlink ref="M112" r:id="rId3720" xr:uid="{DF6617A0-02CA-4367-BAB0-DA93FB783D91}"/>
    <hyperlink ref="M113" r:id="rId3721" xr:uid="{CA66CE85-2242-481D-A2D7-8D1775646C9C}"/>
    <hyperlink ref="M114" r:id="rId3722" xr:uid="{B813116D-9C4A-46C0-8F89-0D8B8F244C98}"/>
    <hyperlink ref="M115" r:id="rId3723" xr:uid="{D19D64B2-598A-4710-900B-97C5E0A7D347}"/>
    <hyperlink ref="M116" r:id="rId3724" xr:uid="{C55CAF40-B1C0-4888-92C5-6E9EBCF08E92}"/>
    <hyperlink ref="M117" r:id="rId3725" xr:uid="{6F4A3209-6B84-42DD-B371-F5791D110CA3}"/>
    <hyperlink ref="M118" r:id="rId3726" xr:uid="{FD382A67-71CA-4415-879F-3792A3E3AA82}"/>
    <hyperlink ref="M119" r:id="rId3727" xr:uid="{FE458205-5019-4153-B3C1-F14C164A32FD}"/>
    <hyperlink ref="M120" r:id="rId3728" xr:uid="{FD8254B5-375C-42A9-B5BF-967602508173}"/>
    <hyperlink ref="M121" r:id="rId3729" xr:uid="{5AAA635B-470F-4FF2-9F77-E3F69AF9ECE6}"/>
    <hyperlink ref="M122" r:id="rId3730" xr:uid="{BB219E18-DACF-48D9-B4CE-724CA4671CD3}"/>
    <hyperlink ref="M123" r:id="rId3731" xr:uid="{C98DC982-058C-49D0-941D-B11E41585A05}"/>
    <hyperlink ref="M124" r:id="rId3732" xr:uid="{F9E17BF2-135E-4A60-9E24-E63E1A51F39B}"/>
    <hyperlink ref="M125" r:id="rId3733" xr:uid="{69D2F419-6A3B-4D5A-AA48-0807B449EA7E}"/>
    <hyperlink ref="M126" r:id="rId3734" xr:uid="{6924FC84-50BA-4D5C-8C2D-F24169E9C8B8}"/>
    <hyperlink ref="M127" r:id="rId3735" xr:uid="{7E4439C6-B78F-496E-97EB-32B6ECB391DC}"/>
    <hyperlink ref="M128" r:id="rId3736" xr:uid="{BA99F086-A179-4FAE-99DD-EFF5F13A8632}"/>
    <hyperlink ref="M129" r:id="rId3737" xr:uid="{2D11E85B-0D0D-43E4-A947-D7019439BA44}"/>
    <hyperlink ref="M130" r:id="rId3738" xr:uid="{1FC51AE1-EAB4-4353-8715-0FB8023FF2E4}"/>
    <hyperlink ref="M131" r:id="rId3739" xr:uid="{1EB2E532-FFC5-4197-80B4-6A4A0DDF4064}"/>
    <hyperlink ref="M132" r:id="rId3740" xr:uid="{DD36FE24-D387-4DEA-AF10-F3A145CFA54A}"/>
    <hyperlink ref="M133" r:id="rId3741" xr:uid="{6336D2DE-C97C-4B0E-8F33-1366B21550D8}"/>
    <hyperlink ref="M134" r:id="rId3742" xr:uid="{FCE38FC3-7EA2-4521-AF0C-198DFBFF185A}"/>
    <hyperlink ref="M135" r:id="rId3743" xr:uid="{4F7761A6-8968-4B2C-A0CA-36719C72437E}"/>
    <hyperlink ref="M136" r:id="rId3744" xr:uid="{8A7F224F-E655-4428-BF87-3CD146CABA72}"/>
    <hyperlink ref="M137" r:id="rId3745" xr:uid="{B31B17B3-0709-4D86-ACA0-A437F199DDDE}"/>
    <hyperlink ref="M138" r:id="rId3746" xr:uid="{6D67CBAA-D687-4E1A-8EC2-93C224B9FFBF}"/>
    <hyperlink ref="M139" r:id="rId3747" xr:uid="{0BB6A827-B71B-4D27-929A-4B835B2408A6}"/>
    <hyperlink ref="M140" r:id="rId3748" xr:uid="{7AAD9FF1-73CC-4B08-8212-881A250275EC}"/>
    <hyperlink ref="M141" r:id="rId3749" xr:uid="{F2060B49-2236-4A4B-8A58-F31CDEBE23CC}"/>
    <hyperlink ref="M142" r:id="rId3750" xr:uid="{67D02DDA-3C98-4394-8F6C-FF19E1252D0D}"/>
    <hyperlink ref="M143" r:id="rId3751" xr:uid="{7AF29B4B-3938-4A94-A3A9-3644E85851B1}"/>
    <hyperlink ref="M144" r:id="rId3752" xr:uid="{9FF6D750-023E-4B1E-8834-F4A5A9D2EF5B}"/>
    <hyperlink ref="M145" r:id="rId3753" xr:uid="{0C41B9E1-5503-4EE6-8228-2D87F29AB73C}"/>
    <hyperlink ref="M146" r:id="rId3754" xr:uid="{56A6B9E9-BDA1-4644-8462-7AAD5C5F7380}"/>
    <hyperlink ref="M147" r:id="rId3755" xr:uid="{8BD68857-81BA-426A-9252-C17C48E9A79F}"/>
    <hyperlink ref="M148" r:id="rId3756" xr:uid="{A8AD972B-FFCD-46DF-83ED-8EDA4C350274}"/>
    <hyperlink ref="M149" r:id="rId3757" xr:uid="{F1ABD68A-ABF1-42E0-92A3-CD481B4A4E43}"/>
    <hyperlink ref="M150" r:id="rId3758" xr:uid="{CCC0BD7D-5AF7-4DB3-BA17-9252F530C883}"/>
    <hyperlink ref="M151" r:id="rId3759" xr:uid="{13E5AD77-C683-422C-9BF6-872E8AAE7222}"/>
    <hyperlink ref="M152" r:id="rId3760" xr:uid="{9C6EFF56-6C22-4288-9E41-3AAF82EDB83B}"/>
    <hyperlink ref="M153" r:id="rId3761" xr:uid="{BCE19628-6ED6-48D4-B59E-1A164D66D7DB}"/>
    <hyperlink ref="M154" r:id="rId3762" xr:uid="{6ECA2437-7289-46E1-982B-292B11B7BF38}"/>
    <hyperlink ref="M155" r:id="rId3763" xr:uid="{69B10CD1-6A4E-4F1D-8D50-AED3B97F443E}"/>
    <hyperlink ref="M156" r:id="rId3764" xr:uid="{4580E855-0592-4820-8242-B5F5BE0B69A7}"/>
    <hyperlink ref="M157" r:id="rId3765" xr:uid="{9FDE2CB1-93F3-413A-B314-566105B693A5}"/>
    <hyperlink ref="M158" r:id="rId3766" xr:uid="{6639E636-52B2-4FE5-8C58-8AD8605E948B}"/>
    <hyperlink ref="M159" r:id="rId3767" xr:uid="{E25E4D3D-0298-4C7C-9056-F8886EC1637A}"/>
    <hyperlink ref="M160" r:id="rId3768" xr:uid="{80D2956C-1F23-4B5B-8B5C-6BC50B328648}"/>
    <hyperlink ref="M161" r:id="rId3769" xr:uid="{F7FD71F1-EEC2-4B51-8503-CCC7D719DEA6}"/>
    <hyperlink ref="M162" r:id="rId3770" xr:uid="{AA2497C6-082A-44D2-BD21-7FB25D231B84}"/>
    <hyperlink ref="M163" r:id="rId3771" xr:uid="{160245B2-E4B3-4CFE-B80A-BC41688D8248}"/>
    <hyperlink ref="M164" r:id="rId3772" xr:uid="{7550DA5B-AF70-44EB-A447-29B70224999C}"/>
    <hyperlink ref="M165" r:id="rId3773" xr:uid="{4018451D-52BB-44EF-9C6D-F4E17A965A18}"/>
    <hyperlink ref="M166" r:id="rId3774" xr:uid="{4CBFC75E-AEFD-40BC-ACEC-BEEF2E7E7809}"/>
    <hyperlink ref="M167" r:id="rId3775" xr:uid="{6D273FCA-142C-49AB-A3C5-A9355F3E6EFA}"/>
    <hyperlink ref="M168" r:id="rId3776" xr:uid="{FB87518B-105A-4412-AE86-E9D351501EBA}"/>
    <hyperlink ref="M169" r:id="rId3777" xr:uid="{CAF2F4D7-8C7B-440B-B87C-A239D7B7533B}"/>
    <hyperlink ref="M170" r:id="rId3778" xr:uid="{0D39742A-EBD3-4568-9FA1-FCA1C969F254}"/>
    <hyperlink ref="M171" r:id="rId3779" xr:uid="{7D64D614-40C6-4F6E-9899-2CA2E9FC3D48}"/>
    <hyperlink ref="M172" r:id="rId3780" xr:uid="{C5F7ECE9-11D9-420E-B3C6-56EA14F9BA16}"/>
    <hyperlink ref="M173" r:id="rId3781" xr:uid="{E5855BE6-1F5F-4858-8226-7A5899144FEC}"/>
    <hyperlink ref="M174" r:id="rId3782" xr:uid="{37E49D3F-7051-4A2D-B13F-9FA6DAEA0690}"/>
    <hyperlink ref="M175" r:id="rId3783" xr:uid="{C323DFF4-AF7C-481C-BFF3-0266E68CBF0C}"/>
    <hyperlink ref="M176" r:id="rId3784" xr:uid="{A03FECFB-C3A1-4AE2-97B1-804B5B43AC81}"/>
    <hyperlink ref="M177" r:id="rId3785" xr:uid="{6EC31512-6373-4F3A-8956-050D2DCE5A38}"/>
    <hyperlink ref="M178" r:id="rId3786" xr:uid="{8570DC73-1C1A-4C0B-BA4B-AEABAFEFC20A}"/>
    <hyperlink ref="M179" r:id="rId3787" xr:uid="{10939C61-6199-4498-8B62-1DCC159E0330}"/>
    <hyperlink ref="M180" r:id="rId3788" xr:uid="{F96FDAD0-3E3C-4DD5-A969-FB62270C5808}"/>
    <hyperlink ref="M181" r:id="rId3789" xr:uid="{315DBA3B-F4FF-464B-87C0-B3409CB77203}"/>
    <hyperlink ref="M182" r:id="rId3790" xr:uid="{37943922-630C-4733-8E5F-27964BE237E7}"/>
    <hyperlink ref="M183" r:id="rId3791" xr:uid="{E4FD6F72-5958-4888-9462-C1F3E0B859E1}"/>
    <hyperlink ref="M184" r:id="rId3792" xr:uid="{2D86D500-E495-426E-8B47-4A8088E58A46}"/>
    <hyperlink ref="M185" r:id="rId3793" xr:uid="{7FD5DF38-C516-4B7F-9F35-A042191A37B1}"/>
    <hyperlink ref="M186" r:id="rId3794" xr:uid="{89769CB8-4E65-4692-A3FE-0495AFDB2567}"/>
    <hyperlink ref="M187" r:id="rId3795" xr:uid="{A3A3BA89-0DD1-4230-BB47-B5459565116D}"/>
    <hyperlink ref="M188" r:id="rId3796" xr:uid="{C304F427-BF7D-4351-8743-092CDFE30B29}"/>
    <hyperlink ref="M189" r:id="rId3797" xr:uid="{9262B6F2-E348-4E80-9AD2-21B71B0AD23E}"/>
    <hyperlink ref="M190" r:id="rId3798" xr:uid="{DF871913-4A9B-4774-99B3-E6AFB3BDE72A}"/>
    <hyperlink ref="M191" r:id="rId3799" xr:uid="{9D2A50AC-B506-4CDC-97BB-FD4ED384393B}"/>
    <hyperlink ref="M193" r:id="rId3800" xr:uid="{A1532281-C165-4448-BB44-BF57C6F8D9ED}"/>
    <hyperlink ref="M194" r:id="rId3801" xr:uid="{DEC57B78-4774-44D9-BE94-18C89D3CC2A9}"/>
    <hyperlink ref="M195" r:id="rId3802" xr:uid="{156E8CB5-B474-4F69-9072-7B945A35B8C1}"/>
    <hyperlink ref="M196" r:id="rId3803" xr:uid="{FD769795-A312-48E9-9E41-942ECE25C3BA}"/>
    <hyperlink ref="M197" r:id="rId3804" xr:uid="{4581A494-FE70-4B99-AA67-34EA122BA932}"/>
    <hyperlink ref="M192" r:id="rId3805" xr:uid="{8EF6A396-8F99-415C-B2B1-E476BC7125D0}"/>
    <hyperlink ref="M198" r:id="rId3806" xr:uid="{45B1A110-757E-460F-B1AA-08D312055B50}"/>
    <hyperlink ref="M199" r:id="rId3807" xr:uid="{B904280D-CA05-406F-AE9B-928FA2AE7283}"/>
    <hyperlink ref="M200" r:id="rId3808" xr:uid="{C5C55AC5-9448-4904-A31B-7B0AE84CC2D7}"/>
    <hyperlink ref="M201" r:id="rId3809" xr:uid="{AC36E992-D09F-4D47-8551-EC736DCE624F}"/>
    <hyperlink ref="M202" r:id="rId3810" xr:uid="{6AC99548-1D11-4D44-A554-391E7D96B95D}"/>
    <hyperlink ref="M203" r:id="rId3811" xr:uid="{7708FB0E-9D5F-46AB-ABB5-994B19B57281}"/>
    <hyperlink ref="M204" r:id="rId3812" xr:uid="{49A47F01-7FE8-4B42-BA1F-0BDFB8EDB78C}"/>
    <hyperlink ref="M205" r:id="rId3813" xr:uid="{3F38C969-893E-4AA5-8B54-D7C5B4E6369D}"/>
    <hyperlink ref="M206" r:id="rId3814" xr:uid="{E2D3916F-BA56-495E-9DB2-8469E110BD17}"/>
    <hyperlink ref="M207" r:id="rId3815" xr:uid="{AF03E35C-15E7-4B1F-ADF9-E65713746572}"/>
    <hyperlink ref="M208" r:id="rId3816" xr:uid="{F3F98ABB-8BAF-468A-871C-3C6D54851659}"/>
    <hyperlink ref="M209" r:id="rId3817" xr:uid="{249201D4-DBE5-4CBF-BF2F-396DC3A9F2BF}"/>
    <hyperlink ref="M210" r:id="rId3818" xr:uid="{E423018A-A235-4301-8C87-524782161E6B}"/>
    <hyperlink ref="M211" r:id="rId3819" xr:uid="{ED5C180F-829E-4463-8258-F9720F7DDBDD}"/>
    <hyperlink ref="M212" r:id="rId3820" xr:uid="{CAE2D089-E898-4A67-ADE5-B8BFD938A68F}"/>
    <hyperlink ref="M213" r:id="rId3821" xr:uid="{E69019E2-2A01-489B-A2B4-056137C7D268}"/>
    <hyperlink ref="M214" r:id="rId3822" xr:uid="{7AD30BA8-4B4C-4475-9245-AE455C7DDAA0}"/>
    <hyperlink ref="M215" r:id="rId3823" xr:uid="{6CB73646-8DDB-4EC5-A877-64D638097608}"/>
    <hyperlink ref="M216" r:id="rId3824" xr:uid="{7D5592BC-7438-495A-84E7-44C9406BBAC5}"/>
    <hyperlink ref="M217" r:id="rId3825" xr:uid="{3D809B31-DA06-4381-BCA5-2C6980858F5F}"/>
    <hyperlink ref="M218" r:id="rId3826" xr:uid="{6BF4F475-39D8-4790-ACAB-3C6138428790}"/>
    <hyperlink ref="M219" r:id="rId3827" xr:uid="{A50E1870-DD99-4CF5-BF31-C8DCA746DC61}"/>
    <hyperlink ref="M220" r:id="rId3828" xr:uid="{8D621717-C723-4BA1-920F-8F7D4770A4D8}"/>
    <hyperlink ref="M221" r:id="rId3829" xr:uid="{B8B2FF3C-5424-4B8C-802B-734360CFEE7F}"/>
    <hyperlink ref="M222" r:id="rId3830" xr:uid="{14338EB9-E6BF-4006-95DC-09B2D2D99ECE}"/>
    <hyperlink ref="M223" r:id="rId3831" xr:uid="{7E80D66B-CF9F-4DDC-AA3C-E42F593DBF43}"/>
    <hyperlink ref="M224" r:id="rId3832" xr:uid="{129C62D4-325C-49F7-ABC7-234E05C84998}"/>
    <hyperlink ref="M225" r:id="rId3833" xr:uid="{F94B2CD7-E48E-4A44-B50B-C7D9F25D7DD8}"/>
    <hyperlink ref="M226" r:id="rId3834" xr:uid="{3AC6416E-ED7E-4411-AF45-9092305643FB}"/>
    <hyperlink ref="M227" r:id="rId3835" xr:uid="{65572A2D-509E-4774-BA45-49A52EB971A0}"/>
    <hyperlink ref="M228" r:id="rId3836" xr:uid="{9F693ED8-1C80-4205-B053-7241E5A873AB}"/>
    <hyperlink ref="M229" r:id="rId3837" xr:uid="{A0E128A8-4C18-41D5-94B9-6417225DE47D}"/>
    <hyperlink ref="M230" r:id="rId3838" xr:uid="{58ABB324-5052-4E26-8E25-DB8F661CF096}"/>
    <hyperlink ref="M231" r:id="rId3839" xr:uid="{019A1FA8-8B6D-4AF2-91FD-7E9D34B05F91}"/>
    <hyperlink ref="M232" r:id="rId3840" xr:uid="{1C91EF91-1A47-4AD4-BF31-0D95CD084B87}"/>
    <hyperlink ref="M233" r:id="rId3841" xr:uid="{F84D0838-9E41-4DE5-8BBC-2E74F2DFE60F}"/>
    <hyperlink ref="M234" r:id="rId3842" xr:uid="{137F9766-3456-4566-B3F8-C41040A9E854}"/>
    <hyperlink ref="M235" r:id="rId3843" xr:uid="{1D3F896B-F53C-476A-99C9-BFA9D3BA8B0B}"/>
    <hyperlink ref="M236" r:id="rId3844" xr:uid="{AB87A309-9AD2-46A4-8E30-EFBD87687818}"/>
    <hyperlink ref="M237" r:id="rId3845" xr:uid="{41CF34A5-DBBE-47C9-A5AE-8171D30F73DA}"/>
    <hyperlink ref="M238" r:id="rId3846" xr:uid="{CC4072CE-F121-4A05-8EAA-87EB1D9E908B}"/>
    <hyperlink ref="M240" r:id="rId3847" xr:uid="{EC7B3FD3-5C0C-4878-959D-5215CE8B5BFD}"/>
    <hyperlink ref="M239" r:id="rId3848" xr:uid="{490160CE-FEC1-4274-898A-4DB7DB1050EF}"/>
    <hyperlink ref="M241" r:id="rId3849" xr:uid="{22E6B7B6-22D5-4754-B264-CB45E61824B1}"/>
    <hyperlink ref="M242" r:id="rId3850" xr:uid="{E0A19DC3-2977-4679-9446-89A9FA82F995}"/>
    <hyperlink ref="M243" r:id="rId3851" xr:uid="{858E61E2-2C28-46F2-A531-D86EB7F72210}"/>
    <hyperlink ref="M244" r:id="rId3852" xr:uid="{1954F330-8247-4A7C-B444-7434FB177F7B}"/>
    <hyperlink ref="M245" r:id="rId3853" xr:uid="{4F8A8964-92F6-45CA-8C8A-86BF0AE65190}"/>
    <hyperlink ref="M246" r:id="rId3854" xr:uid="{962A7CE1-942D-4614-8BC6-A6ED1CF7A87B}"/>
    <hyperlink ref="M247" r:id="rId3855" xr:uid="{7686C189-5E10-4F2D-86FF-ADEF87ADEC2D}"/>
    <hyperlink ref="M248" r:id="rId3856" xr:uid="{F68F06DA-383B-4ED7-9878-8B535A7B0CCC}"/>
    <hyperlink ref="M249" r:id="rId3857" xr:uid="{053A6C27-5256-426D-B515-AB99DC867996}"/>
    <hyperlink ref="I251" r:id="rId3858" display="http://plants.usda.gov/java/profile?symbol=COSC4" xr:uid="{00000000-0004-0000-0000-0000C3080000}"/>
    <hyperlink ref="M251" r:id="rId3859" xr:uid="{8C415D6F-9D56-4A74-A497-61E53BB5DA51}"/>
    <hyperlink ref="M250" r:id="rId3860" xr:uid="{5E26EE82-D45F-40E4-9295-44D2CFBB5649}"/>
    <hyperlink ref="M252" r:id="rId3861" xr:uid="{1AF3E6ED-F515-426C-AAB2-46E7E10BF71D}"/>
    <hyperlink ref="M253" r:id="rId3862" xr:uid="{80A489C1-7864-4223-94E3-BF9B0AADB6CE}"/>
    <hyperlink ref="M254" r:id="rId3863" xr:uid="{0FBFC33B-72A2-47FC-810E-E4C3B765E69B}"/>
    <hyperlink ref="M255" r:id="rId3864" xr:uid="{B33019AD-C8AF-4DB2-8C87-9AEAA4E89417}"/>
    <hyperlink ref="M256" r:id="rId3865" xr:uid="{3E758CE1-BF31-49F9-B4BD-6510339CD761}"/>
    <hyperlink ref="M257" r:id="rId3866" xr:uid="{85332840-C7DF-424A-AC92-7EC155D56CF8}"/>
    <hyperlink ref="M258" r:id="rId3867" xr:uid="{46EE3848-BB1B-4123-9E37-A5E62012CEFE}"/>
    <hyperlink ref="M259" r:id="rId3868" xr:uid="{9F9BF7BD-72CB-49B5-9D17-87CA934C8807}"/>
    <hyperlink ref="M260" r:id="rId3869" xr:uid="{FCACF9AD-3FBA-407D-A37F-FD77B744E1AD}"/>
    <hyperlink ref="M261" r:id="rId3870" xr:uid="{034A9BF4-6792-44E2-8851-800FAFACF811}"/>
    <hyperlink ref="M262" r:id="rId3871" xr:uid="{90C48299-4330-4A73-B32B-250F38B66857}"/>
    <hyperlink ref="M263" r:id="rId3872" xr:uid="{A861EC2F-E125-426A-99D8-6423E460FFEB}"/>
    <hyperlink ref="M264" r:id="rId3873" xr:uid="{1BB1EA58-C9BA-43F6-821A-9E095A4301A3}"/>
    <hyperlink ref="M265" r:id="rId3874" xr:uid="{5A047C64-86DF-49D3-B3BF-772BF815A5C5}"/>
    <hyperlink ref="M266" r:id="rId3875" xr:uid="{59B4F447-38A0-43BF-8CE5-1595ACF01E32}"/>
    <hyperlink ref="M267" r:id="rId3876" xr:uid="{4BDE3B5E-FE43-4963-8761-EA10221E2F69}"/>
    <hyperlink ref="M268" r:id="rId3877" xr:uid="{0B45486C-8D98-4E00-BDB8-498C0ABF7583}"/>
    <hyperlink ref="M269" r:id="rId3878" xr:uid="{5B9959BD-93C2-4B6C-8243-116AA6BDDF18}"/>
    <hyperlink ref="M270" r:id="rId3879" xr:uid="{11EC811A-4B1D-4AF1-9F78-966140DF4395}"/>
    <hyperlink ref="M271" r:id="rId3880" xr:uid="{76D27D4B-9B14-4C01-8B64-1F096266D287}"/>
    <hyperlink ref="M272" r:id="rId3881" xr:uid="{882FA037-5B6F-46A1-9824-8BE1366B24DA}"/>
    <hyperlink ref="M273" r:id="rId3882" xr:uid="{76946AE9-BD49-4749-BE05-D8B0E0CBFCE0}"/>
    <hyperlink ref="M274" r:id="rId3883" xr:uid="{DC7CCECD-427D-4785-8723-748C1CE1BED2}"/>
    <hyperlink ref="M275" r:id="rId3884" xr:uid="{C9149738-00B6-46AC-8615-CDF9BCD785CB}"/>
    <hyperlink ref="M276" r:id="rId3885" xr:uid="{4D78B76A-DBF4-4A2E-85B8-5E402ADB120F}"/>
    <hyperlink ref="M277" r:id="rId3886" xr:uid="{9918EF8C-24D6-410D-B1F7-0E1CB5661458}"/>
    <hyperlink ref="M278" r:id="rId3887" xr:uid="{B2CAD65B-9A8E-46F8-9CEE-7381BAB3391E}"/>
    <hyperlink ref="M279" r:id="rId3888" xr:uid="{5B243672-7704-4B5E-8B5A-F30B391AB66D}"/>
    <hyperlink ref="M280" r:id="rId3889" xr:uid="{621969FD-A758-400C-B4A2-DE5E49E7260F}"/>
    <hyperlink ref="M281" r:id="rId3890" xr:uid="{6A880EFA-0AD8-4555-BF92-E98B42D11E1E}"/>
    <hyperlink ref="M282" r:id="rId3891" xr:uid="{8C90EC39-0459-45E2-9AA9-2BCAC2C8904D}"/>
    <hyperlink ref="M283" r:id="rId3892" xr:uid="{1F1EE97E-BCDA-41E8-B46A-661E6AE27768}"/>
    <hyperlink ref="M285" r:id="rId3893" xr:uid="{BA8AA3BA-327F-463C-BFE3-4CA5D5D79C23}"/>
    <hyperlink ref="M284" r:id="rId3894" xr:uid="{E3D80F1C-857D-405E-B049-A7FF9C8D2A0E}"/>
    <hyperlink ref="M286" r:id="rId3895" xr:uid="{86E8378E-82F3-41F6-9EF8-497802C5D46B}"/>
    <hyperlink ref="M287" r:id="rId3896" xr:uid="{26A002E0-4379-4836-BE99-4062668423FA}"/>
    <hyperlink ref="M288" r:id="rId3897" xr:uid="{3DAC333F-7C74-4A8C-997C-53DD8B32E05A}"/>
    <hyperlink ref="M289" r:id="rId3898" xr:uid="{5C074E73-2A53-43F5-83F6-45ACAEA8E7E0}"/>
    <hyperlink ref="M290" r:id="rId3899" xr:uid="{7A44608C-4E3F-40B9-99E0-84E7732A9E93}"/>
    <hyperlink ref="M291" r:id="rId3900" xr:uid="{87DBCDCC-1F99-4360-990D-EEA99757C142}"/>
    <hyperlink ref="M292" r:id="rId3901" xr:uid="{9C851848-DEA4-4992-A385-27A76249B22D}"/>
    <hyperlink ref="M293" r:id="rId3902" xr:uid="{C24DC412-AFFC-4962-93CA-8B793EDFC544}"/>
    <hyperlink ref="M294" r:id="rId3903" xr:uid="{47C24DE0-FC3A-43B5-B2B9-DA9F9A6D3A83}"/>
    <hyperlink ref="M295" r:id="rId3904" xr:uid="{792BDCFE-9AF8-4F12-8832-7E0F2D98FA3B}"/>
    <hyperlink ref="M296" r:id="rId3905" xr:uid="{522A216C-8BB8-48B0-A48C-F16B493902F9}"/>
    <hyperlink ref="M297" r:id="rId3906" xr:uid="{A308F758-4ED8-46A7-AB69-37051B5C2843}"/>
    <hyperlink ref="M298" r:id="rId3907" xr:uid="{1BE0F8AA-41A8-4832-9A75-90E687ADA9F2}"/>
    <hyperlink ref="M299" r:id="rId3908" xr:uid="{91B5D412-C752-4EDD-87F5-613DB8E19C89}"/>
    <hyperlink ref="M300" r:id="rId3909" xr:uid="{80BE4C37-553D-46C3-8DB0-CDCE7340467C}"/>
    <hyperlink ref="M301" r:id="rId3910" xr:uid="{E98E0025-9E82-421C-975C-9ECE96DEE595}"/>
    <hyperlink ref="M302" r:id="rId3911" xr:uid="{7B5D2939-0168-416A-9120-BE8405E7041D}"/>
    <hyperlink ref="M303" r:id="rId3912" xr:uid="{73D8ADF3-086D-4A89-A7DA-05029415EA92}"/>
    <hyperlink ref="M304" r:id="rId3913" xr:uid="{D561C0DF-8CD7-4FFD-BB38-62FBDAB8B50F}"/>
    <hyperlink ref="M305" r:id="rId3914" xr:uid="{42279B66-0E37-42D2-B619-2D553E0BAFF8}"/>
    <hyperlink ref="M306" r:id="rId3915" xr:uid="{64AB980B-3354-4912-A73A-8C23D2089E33}"/>
    <hyperlink ref="M307" r:id="rId3916" xr:uid="{4D420A9D-FB01-4DF6-A335-344E32784F5A}"/>
    <hyperlink ref="M308" r:id="rId3917" xr:uid="{45E20AF9-D6B7-4DF7-91BB-EB9BDCF6BFB6}"/>
    <hyperlink ref="M309" r:id="rId3918" xr:uid="{096D6421-3D8F-488D-A0E4-39AB40F262C6}"/>
    <hyperlink ref="M310" r:id="rId3919" xr:uid="{72D6ECEB-F5F1-49F0-BF02-451D335D8864}"/>
    <hyperlink ref="M311" r:id="rId3920" xr:uid="{D653F5C8-3326-490C-8231-0101BF51A625}"/>
    <hyperlink ref="M312" r:id="rId3921" xr:uid="{77F581B2-C58C-4C3C-B913-FF3FA40D54FB}"/>
    <hyperlink ref="M313" r:id="rId3922" xr:uid="{4B79CC0B-C362-4134-B20A-06142536B803}"/>
    <hyperlink ref="M315" r:id="rId3923" xr:uid="{C23EEB89-9A2B-4D15-BA9C-65F3DBAE344A}"/>
    <hyperlink ref="M314" r:id="rId3924" xr:uid="{72DB450E-A787-443A-85A8-16BC4B2FD462}"/>
    <hyperlink ref="M316" r:id="rId3925" xr:uid="{CA914F83-7E5E-489C-9019-5207578F57DE}"/>
    <hyperlink ref="M317" r:id="rId3926" xr:uid="{DE2AF905-3A63-472D-9ADD-E3C50841D5E2}"/>
    <hyperlink ref="M318" r:id="rId3927" xr:uid="{22EA71DB-74F1-4D8A-BBE6-BF622602E964}"/>
    <hyperlink ref="M319" r:id="rId3928" xr:uid="{6D38BF43-9DA8-49C9-91A8-9FEB59B63DC4}"/>
    <hyperlink ref="M320" r:id="rId3929" xr:uid="{209E6DEA-AFC3-43BE-9E0A-DAF9417D1510}"/>
    <hyperlink ref="M321" r:id="rId3930" xr:uid="{9000F827-D483-4C9D-B356-3203E3BD253F}"/>
    <hyperlink ref="M322" r:id="rId3931" xr:uid="{E3360AC0-A415-4271-9B5B-AC0BEA71741D}"/>
    <hyperlink ref="M323" r:id="rId3932" xr:uid="{10D97E9D-6CC6-4E33-8C73-8B809C4FA30F}"/>
    <hyperlink ref="M324" r:id="rId3933" xr:uid="{EA589410-3D5A-4108-AFF9-2908ECF73607}"/>
    <hyperlink ref="M325" r:id="rId3934" xr:uid="{B6158393-1983-44FA-925F-417D28AE1FA3}"/>
    <hyperlink ref="M326" r:id="rId3935" xr:uid="{70F3F776-534E-40C5-981A-E240476EBB21}"/>
    <hyperlink ref="M327" r:id="rId3936" xr:uid="{06B74941-6651-41A5-A0B4-F662EE19CCA7}"/>
    <hyperlink ref="M328" r:id="rId3937" xr:uid="{47EA82B6-DE08-4222-A57E-66D41DFAAC7A}"/>
    <hyperlink ref="M329" r:id="rId3938" xr:uid="{43B46C00-0402-43C4-8164-256E8384D6CC}"/>
    <hyperlink ref="M330" r:id="rId3939" xr:uid="{B03E1322-87B6-48A2-9193-A62C9D5413C8}"/>
    <hyperlink ref="M331" r:id="rId3940" xr:uid="{FBE23D29-0CE6-40C6-BD13-D70508DCD603}"/>
    <hyperlink ref="M332" r:id="rId3941" xr:uid="{06A4448B-1FD9-4DF4-A732-0C8EDEB8E7C8}"/>
    <hyperlink ref="M333" r:id="rId3942" xr:uid="{C2AE59E2-3666-42CB-A8C2-B7E7E3345326}"/>
    <hyperlink ref="M334" r:id="rId3943" xr:uid="{11BC212F-BE5B-4DDF-AA1F-02C63C901B5F}"/>
    <hyperlink ref="M335" r:id="rId3944" xr:uid="{4A090737-0907-4749-9197-1377304B1CFF}"/>
    <hyperlink ref="M336" r:id="rId3945" xr:uid="{E49DE974-1880-4F91-92A8-74B7790E0298}"/>
    <hyperlink ref="M337" r:id="rId3946" xr:uid="{22378FC2-8BD0-4CC6-9752-9F27E4D57291}"/>
    <hyperlink ref="M338" r:id="rId3947" xr:uid="{A1C44228-0492-4678-BF86-D69C60E4EE74}"/>
    <hyperlink ref="M339" r:id="rId3948" xr:uid="{DCA6E0D9-7294-427A-8DD8-00293B7B4674}"/>
    <hyperlink ref="M340" r:id="rId3949" xr:uid="{661F7691-DFF9-4484-9991-A8FE5065181A}"/>
    <hyperlink ref="M341" r:id="rId3950" xr:uid="{7750BF86-83F2-43F2-B949-1560A0DF414C}"/>
    <hyperlink ref="M342" r:id="rId3951" xr:uid="{93F63DAF-0D1B-44DB-82CA-6C2C76D32E57}"/>
    <hyperlink ref="M343" r:id="rId3952" xr:uid="{44DC1449-0D31-4E84-AF62-CC385B691B6B}"/>
    <hyperlink ref="M344" r:id="rId3953" xr:uid="{0C1110AC-F0F6-4350-BFD4-6A5B9FD1FA4E}"/>
    <hyperlink ref="M345" r:id="rId3954" xr:uid="{220F374A-363A-49B2-A2B8-7116C839D67A}"/>
    <hyperlink ref="M346" r:id="rId3955" xr:uid="{8B76A8E0-8B6B-4867-8CF0-2C8096697AF9}"/>
    <hyperlink ref="M347" r:id="rId3956" xr:uid="{A90C60A1-6E71-4CE8-BDD9-D613F999E322}"/>
    <hyperlink ref="M348" r:id="rId3957" xr:uid="{111A60FB-ED6E-4C74-BEA4-76DCADF02C4B}"/>
    <hyperlink ref="M349" r:id="rId3958" xr:uid="{E6853682-0395-49AB-87EE-18C945F9CC99}"/>
    <hyperlink ref="M350" r:id="rId3959" xr:uid="{F32991CF-060B-4856-B248-BE3DB75ED4C2}"/>
    <hyperlink ref="M351" r:id="rId3960" xr:uid="{21487DC3-3A45-4E50-B26D-0B98ED445501}"/>
    <hyperlink ref="M352" r:id="rId3961" xr:uid="{A77D7A60-54D2-4814-A5EA-044A5A68B894}"/>
    <hyperlink ref="M353" r:id="rId3962" xr:uid="{27DA853C-DC47-4295-8125-D5CBF990B04D}"/>
    <hyperlink ref="M354" r:id="rId3963" xr:uid="{335218FD-859D-40B5-A35F-11813AEA5466}"/>
    <hyperlink ref="M355" r:id="rId3964" xr:uid="{53901779-01A5-4CAA-A034-B45084D527D3}"/>
    <hyperlink ref="M356" r:id="rId3965" xr:uid="{9CF200D9-25CE-40A6-B2CA-35C5AB243218}"/>
    <hyperlink ref="M357" r:id="rId3966" xr:uid="{CB7E701D-7006-4EC5-B107-987A14888860}"/>
    <hyperlink ref="M358" r:id="rId3967" xr:uid="{84D4A8E2-0F9E-43D7-8896-DC4B9A019688}"/>
    <hyperlink ref="M359" r:id="rId3968" xr:uid="{6A50DDE2-1F48-4315-98AF-959CEE2783F7}"/>
    <hyperlink ref="M360" r:id="rId3969" xr:uid="{0DBC6929-EA32-4CC3-92B4-4C7C3E201540}"/>
    <hyperlink ref="M361" r:id="rId3970" xr:uid="{9A48F9A9-ACA6-491B-AFC2-11927F33C309}"/>
    <hyperlink ref="M362" r:id="rId3971" xr:uid="{FE967132-6C2E-42E9-8486-6DF3D0FBE06A}"/>
    <hyperlink ref="M363" r:id="rId3972" xr:uid="{56344C2B-0780-4052-B739-C4B46A2C5246}"/>
    <hyperlink ref="M364" r:id="rId3973" xr:uid="{A11B3993-73EE-4830-903D-EEA184DDA5A1}"/>
    <hyperlink ref="M365" r:id="rId3974" xr:uid="{3E9A0495-5539-4115-88D8-73BACFE7147D}"/>
    <hyperlink ref="M366" r:id="rId3975" xr:uid="{B4B34B55-D3A7-45B0-9737-8BC191C1DA78}"/>
    <hyperlink ref="M367" r:id="rId3976" xr:uid="{C3923687-F5B9-4E06-80FA-9EEC6BDCF858}"/>
    <hyperlink ref="M368" r:id="rId3977" xr:uid="{25B26039-CF1A-4EC7-B16F-9EB18B4FB12A}"/>
    <hyperlink ref="M369" r:id="rId3978" xr:uid="{FC941440-D9DE-4867-AE7B-3455B3C91473}"/>
    <hyperlink ref="M370" r:id="rId3979" xr:uid="{2BB719F2-B1A6-4C98-845E-7CD589E2620A}"/>
    <hyperlink ref="M371" r:id="rId3980" xr:uid="{FEE4594A-73CD-46CD-8D7C-2B536864BA24}"/>
    <hyperlink ref="M372" r:id="rId3981" xr:uid="{964D4B9F-0ABC-4ED0-82FA-1D48FA82D218}"/>
    <hyperlink ref="M373" r:id="rId3982" xr:uid="{8ED008E7-FB81-4AD1-8BE5-3A1A589185A3}"/>
    <hyperlink ref="M374" r:id="rId3983" xr:uid="{B11053D9-59F5-4234-8B2E-D2531710EC20}"/>
    <hyperlink ref="M375" r:id="rId3984" xr:uid="{456027D4-6CAD-4659-B2A0-EEC0BAE7FE0D}"/>
    <hyperlink ref="M376" r:id="rId3985" xr:uid="{289F85C2-FE2B-46F2-9431-60634C516C0D}"/>
    <hyperlink ref="M377" r:id="rId3986" xr:uid="{8AAAD349-2217-439A-977F-69C8A7F7753C}"/>
    <hyperlink ref="M378" r:id="rId3987" xr:uid="{92D73802-0C4D-43B4-9290-037FE60D6E46}"/>
    <hyperlink ref="M379" r:id="rId3988" xr:uid="{E018F284-546C-4CB8-861D-29AFE8AE400F}"/>
    <hyperlink ref="M380" r:id="rId3989" xr:uid="{6DE03B5A-D231-40D4-9329-AAC540BA35B5}"/>
    <hyperlink ref="M381" r:id="rId3990" xr:uid="{5C8C4024-7B8D-4C95-8C5B-9DF8576F5787}"/>
    <hyperlink ref="M382" r:id="rId3991" xr:uid="{404553AD-9E50-4B6C-8E11-6B18A94D3548}"/>
    <hyperlink ref="M383" r:id="rId3992" xr:uid="{38794A37-987B-4FC9-A161-634B8CD0BDE2}"/>
    <hyperlink ref="M384" r:id="rId3993" xr:uid="{7660D8D2-DD85-46EF-AF29-65706508801D}"/>
    <hyperlink ref="M385" r:id="rId3994" xr:uid="{C12F5EC3-08E9-46CE-BEDE-A04F5CE2E771}"/>
    <hyperlink ref="M386" r:id="rId3995" xr:uid="{4C423072-B132-415D-91F4-121CF9678E01}"/>
    <hyperlink ref="M387" r:id="rId3996" xr:uid="{60E739B0-5565-44EB-B8EA-3057899CC450}"/>
    <hyperlink ref="M388" r:id="rId3997" xr:uid="{FE741CF3-B0AC-4C3B-8D0C-88AD630563E4}"/>
    <hyperlink ref="M389" r:id="rId3998" xr:uid="{E7334999-21BE-49C4-A212-98E1C490909B}"/>
    <hyperlink ref="M390" r:id="rId3999" xr:uid="{22F9CAB3-F9CA-47F4-8674-A8406FE3566A}"/>
    <hyperlink ref="M391" r:id="rId4000" xr:uid="{BC1612AB-B4B4-4DF9-8098-D8F24A596EAA}"/>
    <hyperlink ref="M392" r:id="rId4001" xr:uid="{4F8A5929-60BD-418E-9AD2-C5D4BA0D5BDA}"/>
    <hyperlink ref="M393" r:id="rId4002" xr:uid="{929061AF-869E-4388-BD1B-2A8AC548A66E}"/>
    <hyperlink ref="M394" r:id="rId4003" xr:uid="{D7942265-7E93-425A-AC95-99069AA3DD0C}"/>
    <hyperlink ref="M395" r:id="rId4004" xr:uid="{804A2594-6579-4508-9041-7A87FDDE730F}"/>
    <hyperlink ref="M396" r:id="rId4005" xr:uid="{12D4C1EA-08B1-48EB-8E51-82563EEC5A7A}"/>
    <hyperlink ref="M397" r:id="rId4006" xr:uid="{11512B4B-3856-45E8-92B3-34B649199596}"/>
    <hyperlink ref="M398" r:id="rId4007" xr:uid="{8F528EA5-FD53-4293-9EA3-5138F2A47991}"/>
    <hyperlink ref="M399" r:id="rId4008" xr:uid="{73BF6349-1090-44DF-A8FB-8F81B899C2FD}"/>
    <hyperlink ref="M400" r:id="rId4009" xr:uid="{F1D34065-E111-4CF3-AD80-73F0A73CC453}"/>
    <hyperlink ref="M401" r:id="rId4010" xr:uid="{9E35998B-C594-4640-BEDB-728057953541}"/>
    <hyperlink ref="M402" r:id="rId4011" xr:uid="{3D38032F-BB74-4FDB-A9B8-D442BD57233F}"/>
    <hyperlink ref="M403" r:id="rId4012" xr:uid="{DB063D6B-BA5F-4188-AD7F-5EEA6F0D8E1A}"/>
    <hyperlink ref="M404" r:id="rId4013" xr:uid="{0B089876-FEAC-4469-988B-56B4836A1669}"/>
    <hyperlink ref="M405" r:id="rId4014" xr:uid="{C335B495-15E9-404A-8146-477849C5FF07}"/>
    <hyperlink ref="M406" r:id="rId4015" xr:uid="{B4BCF81F-B6AB-454C-811F-A50E433A9CE9}"/>
    <hyperlink ref="M407" r:id="rId4016" xr:uid="{65D60F64-41BD-4B5E-A63A-ED4D50E9A84D}"/>
    <hyperlink ref="M408" r:id="rId4017" xr:uid="{C488C49C-A31B-41B8-873F-4A3B31555B70}"/>
    <hyperlink ref="M409" r:id="rId4018" xr:uid="{7E9FFB11-30D1-4211-B24D-694BB166CE9B}"/>
    <hyperlink ref="M410" r:id="rId4019" xr:uid="{BF4C571A-A15D-4A7A-B71D-25720048A171}"/>
    <hyperlink ref="M411" r:id="rId4020" xr:uid="{64CD2A6D-DF67-427F-A531-B7CB1EBF13C8}"/>
    <hyperlink ref="M412" r:id="rId4021" xr:uid="{3830B64D-D479-42EE-A95C-434C11AC0B34}"/>
    <hyperlink ref="M413" r:id="rId4022" xr:uid="{9632227B-B097-42C3-A3F8-C7EE8F7170EE}"/>
    <hyperlink ref="M414" r:id="rId4023" xr:uid="{FC8D8198-78EA-41E8-B20B-9BE581ACE5F2}"/>
    <hyperlink ref="M415" r:id="rId4024" xr:uid="{1510CC84-316B-40E2-BBB4-8FBEFFC9E11D}"/>
    <hyperlink ref="M416" r:id="rId4025" xr:uid="{96009B38-D04D-4973-9661-F7152A6E3794}"/>
    <hyperlink ref="M417" r:id="rId4026" xr:uid="{569D56CB-3B22-43CE-A3CD-D34CD7991126}"/>
    <hyperlink ref="M418" r:id="rId4027" xr:uid="{54B7746C-A2A0-40C9-99D8-6AF0E4440543}"/>
    <hyperlink ref="M419" r:id="rId4028" xr:uid="{5D33F773-64C9-4373-A728-8E4A4AC7019F}"/>
    <hyperlink ref="M420" r:id="rId4029" xr:uid="{772A2675-4A2A-49D7-98B9-DB54226F1175}"/>
    <hyperlink ref="M421" r:id="rId4030" xr:uid="{EC0DE14B-F95A-4747-AD66-B0D76F84363A}"/>
    <hyperlink ref="M422" r:id="rId4031" xr:uid="{D603AD62-B4EC-4EFB-B5CF-9BF2E2923C7B}"/>
    <hyperlink ref="M423" r:id="rId4032" xr:uid="{898D10B4-2CC0-4601-9D4C-4CD80E51A367}"/>
    <hyperlink ref="M424" r:id="rId4033" xr:uid="{53DC45AE-51A3-44B5-8573-B8B0813E9899}"/>
    <hyperlink ref="M425" r:id="rId4034" xr:uid="{C8EAE293-DACE-4652-9171-CDDC741E9AE2}"/>
    <hyperlink ref="M426" r:id="rId4035" xr:uid="{B99D0DDE-524A-4EB1-890B-8A31B87F2CB6}"/>
    <hyperlink ref="M427" r:id="rId4036" xr:uid="{A9AEEC95-EAEE-4910-BFFB-9059DB783AC7}"/>
    <hyperlink ref="M428" r:id="rId4037" xr:uid="{1AA237CB-72A1-47F4-A05D-A17CDBD7E47C}"/>
    <hyperlink ref="M429" r:id="rId4038" xr:uid="{B3E6A8A1-CA71-4CD5-9988-2A5400A0DFE6}"/>
    <hyperlink ref="M430" r:id="rId4039" xr:uid="{F2277647-E8A3-4219-9A5E-6A23B47BD39B}"/>
    <hyperlink ref="M431" r:id="rId4040" xr:uid="{492DB504-1377-4A75-B77A-4752599C33B7}"/>
    <hyperlink ref="M432" r:id="rId4041" xr:uid="{D2C1A74C-4CBD-4968-BC19-DC74C08DE526}"/>
    <hyperlink ref="M433" r:id="rId4042" xr:uid="{CF2511B7-E6FA-48B9-8566-A54F3F666D6C}"/>
    <hyperlink ref="M434" r:id="rId4043" xr:uid="{3A9B41C4-FBB5-4008-BAC1-85ABAB4C7EFB}"/>
    <hyperlink ref="M435" r:id="rId4044" xr:uid="{7883D085-BAA4-4DDA-807C-C493D56E42E6}"/>
    <hyperlink ref="M436" r:id="rId4045" xr:uid="{EE635556-BBA3-4825-96C8-C0F7A4DE856D}"/>
    <hyperlink ref="M437" r:id="rId4046" xr:uid="{DE1E3037-99A7-4F89-93D9-CFCFE34B01CC}"/>
    <hyperlink ref="M438" r:id="rId4047" xr:uid="{797CCB69-619E-4881-B01D-A96A3CF4D911}"/>
    <hyperlink ref="M439" r:id="rId4048" xr:uid="{1ECDEAD8-4562-42E5-BFE8-C7BBFFBD723C}"/>
    <hyperlink ref="M440" r:id="rId4049" xr:uid="{C55D8BEB-14C8-43CE-B9B1-3B1FFEA4CE57}"/>
    <hyperlink ref="M441" r:id="rId4050" xr:uid="{0C323F9C-D11B-4CDD-ABDC-15B55A5A3913}"/>
    <hyperlink ref="M443" r:id="rId4051" xr:uid="{2BBF0738-D62D-4403-B514-B0AA82904CB2}"/>
    <hyperlink ref="M444" r:id="rId4052" xr:uid="{B4B62513-73CE-4051-B320-291185DE6F16}"/>
    <hyperlink ref="M445" r:id="rId4053" xr:uid="{95A84B29-FE9E-45EE-B3E6-4075901AF392}"/>
    <hyperlink ref="M446" r:id="rId4054" xr:uid="{517F4C3D-97EF-49AE-9B5E-2EEF87ED06E9}"/>
    <hyperlink ref="M447" r:id="rId4055" xr:uid="{AB6D0C5B-8933-406D-BC92-60AED7CFB5C3}"/>
    <hyperlink ref="M448" r:id="rId4056" xr:uid="{3FBE9DC3-DC35-4887-98C9-8D437668FBE6}"/>
    <hyperlink ref="M449" r:id="rId4057" xr:uid="{9B18164B-C110-4CF1-AD93-C7D9D29EBD9E}"/>
    <hyperlink ref="M450" r:id="rId4058" xr:uid="{B44EEEC3-3978-4421-92FA-77AE26596E5C}"/>
    <hyperlink ref="M451" r:id="rId4059" xr:uid="{70338762-5DB8-4130-9880-1D08CD4F9323}"/>
    <hyperlink ref="M452" r:id="rId4060" xr:uid="{A49CD45E-E81E-495E-A26F-D979D6AF0420}"/>
    <hyperlink ref="M453" r:id="rId4061" xr:uid="{68CF33FA-CB19-49AF-A5CB-FE452506886B}"/>
    <hyperlink ref="M454" r:id="rId4062" xr:uid="{2E500DA1-4B51-4CCC-A218-76C2DCFD2FBE}"/>
    <hyperlink ref="M455" r:id="rId4063" location="tabImages" xr:uid="{F6A205E2-4C89-48DA-8172-5E1639BD0F79}"/>
    <hyperlink ref="M456" r:id="rId4064" xr:uid="{09303573-DC1D-454E-8345-329E6D622C30}"/>
    <hyperlink ref="M457" r:id="rId4065" xr:uid="{91C56936-1EA2-4BDC-8B04-45684E7FF588}"/>
    <hyperlink ref="M458" r:id="rId4066" xr:uid="{8DBDD04A-0A26-4B02-98DC-F45A8227FFC8}"/>
    <hyperlink ref="M459" r:id="rId4067" xr:uid="{EA771FAA-E670-4DE6-85D7-301CE8CD8114}"/>
    <hyperlink ref="M460" r:id="rId4068" xr:uid="{45894BF8-DE67-4DC3-81F9-1AE06ACD3094}"/>
    <hyperlink ref="M461" r:id="rId4069" xr:uid="{7D7B1051-22DF-41F1-96A1-EB5005335CE1}"/>
    <hyperlink ref="M462" r:id="rId4070" xr:uid="{1E888187-4832-4CEF-96F2-F7D2F6B77D9B}"/>
    <hyperlink ref="M463" r:id="rId4071" xr:uid="{9787B78B-4B68-489F-92AE-C27A825B3BA5}"/>
    <hyperlink ref="M464" r:id="rId4072" xr:uid="{E4E24A2E-3469-4505-9365-0B8FF2D03EF8}"/>
    <hyperlink ref="M465" r:id="rId4073" xr:uid="{1573D2B4-1CFB-4661-9289-58AF3718D0BF}"/>
    <hyperlink ref="M466" r:id="rId4074" xr:uid="{0E1F2076-FD5A-4CA0-9F63-757A780E545B}"/>
    <hyperlink ref="M467" r:id="rId4075" xr:uid="{CD0C1422-1F41-4EAA-B227-1D6C71C19CDA}"/>
    <hyperlink ref="M468" r:id="rId4076" xr:uid="{672591B3-0ADA-46E5-A070-E0C5AC12DEE7}"/>
    <hyperlink ref="M469" r:id="rId4077" xr:uid="{6C7FEBA5-490A-4300-807C-8C9B4297269F}"/>
    <hyperlink ref="M470" r:id="rId4078" xr:uid="{70E881E6-595A-4562-8B47-C8DF2E6E99C1}"/>
    <hyperlink ref="M471" r:id="rId4079" xr:uid="{3585AD91-79B5-41FE-88DF-5B3558CBADBE}"/>
    <hyperlink ref="M472" r:id="rId4080" xr:uid="{7A4916B6-1855-4D9C-BD23-7AE4AA813A15}"/>
    <hyperlink ref="M473" r:id="rId4081" xr:uid="{4E521610-FA7F-4FFE-9C4D-A70D86F138B9}"/>
    <hyperlink ref="M474" r:id="rId4082" xr:uid="{468F9C8C-7964-4D91-92E4-23D645793839}"/>
    <hyperlink ref="M475" r:id="rId4083" xr:uid="{11E725AE-30ED-43EC-8792-26993C522D69}"/>
    <hyperlink ref="M476" r:id="rId4084" xr:uid="{8D6C5A95-0A83-4103-A77F-2B5EDC26C1A6}"/>
    <hyperlink ref="M478" r:id="rId4085" xr:uid="{F333BD9C-FEB9-4E67-AA7D-E7D5939C2FAC}"/>
    <hyperlink ref="M477" r:id="rId4086" xr:uid="{E66D4515-8D52-4C11-BBEA-6DAF51D8DDEF}"/>
    <hyperlink ref="M479" r:id="rId4087" xr:uid="{547FEE1A-97B5-4BDB-B592-BF6595847E62}"/>
    <hyperlink ref="M480" r:id="rId4088" xr:uid="{AB4540C2-BEB6-40A4-A94F-9087FD5A2606}"/>
    <hyperlink ref="M481" r:id="rId4089" xr:uid="{D473F6C1-BC05-491E-86AA-606B89B9A156}"/>
    <hyperlink ref="M482" r:id="rId4090" xr:uid="{5050C93B-7BBA-42C8-BADC-D83EA01A82D7}"/>
    <hyperlink ref="M483" r:id="rId4091" xr:uid="{514FF110-4B1D-4568-B445-5EEE8EE2CA2A}"/>
    <hyperlink ref="M484" r:id="rId4092" xr:uid="{1466FB46-ECBB-466F-8A69-0B17A3517A51}"/>
    <hyperlink ref="M485" r:id="rId4093" xr:uid="{2E35EA93-EA1D-4777-A089-BFBA3A537CFD}"/>
    <hyperlink ref="M486" r:id="rId4094" xr:uid="{4E5DECDB-0E79-4B79-BCEF-26A93F62D4EF}"/>
    <hyperlink ref="M487" r:id="rId4095" xr:uid="{DD20DEC2-F846-4577-916D-066C99D8A4BD}"/>
    <hyperlink ref="M488" r:id="rId4096" xr:uid="{EDEBF66D-7FFF-4EA4-BBE8-4BCC71828F0A}"/>
    <hyperlink ref="M489" r:id="rId4097" xr:uid="{D39697BF-F6FE-4610-B0BD-0A618F22D79F}"/>
    <hyperlink ref="M490" r:id="rId4098" xr:uid="{84CDDBB8-3CCE-443E-8B6F-894A8916515B}"/>
    <hyperlink ref="M491" r:id="rId4099" xr:uid="{67BF88EF-CFFC-4088-B373-41883E7B47A1}"/>
    <hyperlink ref="M492" r:id="rId4100" xr:uid="{808F0079-9E77-48BF-891B-B208BEDFFB29}"/>
    <hyperlink ref="M493" r:id="rId4101" xr:uid="{F1195CF3-96BB-4909-ABA5-997EC1E2D0D3}"/>
    <hyperlink ref="M494" r:id="rId4102" xr:uid="{795C540A-6ED5-4585-AB3F-3F95C8917DB9}"/>
    <hyperlink ref="M495" r:id="rId4103" xr:uid="{0F24C8ED-AA9C-438D-B678-DE0CBA2C8E40}"/>
    <hyperlink ref="M496" r:id="rId4104" xr:uid="{C05E643F-8DCD-40BB-8901-75FFEF06ED2F}"/>
    <hyperlink ref="M497" r:id="rId4105" xr:uid="{E7CBF29E-0139-431A-A367-13400F21168A}"/>
    <hyperlink ref="M498" r:id="rId4106" xr:uid="{7942C703-8F99-4AD7-B3F8-876C68FCBA15}"/>
    <hyperlink ref="M499" r:id="rId4107" xr:uid="{2E5FBB8E-7F4B-4221-ADCC-A588062CDE15}"/>
    <hyperlink ref="M500" r:id="rId4108" xr:uid="{4922284E-694E-43D8-B8F7-15A351DCC70F}"/>
    <hyperlink ref="M501" r:id="rId4109" xr:uid="{FC94E585-F736-41C8-83D2-1ADD47254D81}"/>
    <hyperlink ref="M502" r:id="rId4110" xr:uid="{307353F2-1342-41D3-B446-27C39DC9E036}"/>
    <hyperlink ref="M503" r:id="rId4111" xr:uid="{7527DEB9-0C4E-4412-9379-C0129E1D1929}"/>
    <hyperlink ref="M504" r:id="rId4112" xr:uid="{CFC39C08-DCDF-4B20-9E5D-9382B0483C31}"/>
    <hyperlink ref="M505" r:id="rId4113" xr:uid="{C2618518-F7B9-4CAC-B9D9-78210A1583A1}"/>
    <hyperlink ref="M506" r:id="rId4114" xr:uid="{6DA8E77A-82C9-4DDF-AC7B-5E8ECED1A632}"/>
    <hyperlink ref="M507" r:id="rId4115" xr:uid="{527C1A68-51E6-46A2-883A-F2E184B875B8}"/>
    <hyperlink ref="M508" r:id="rId4116" xr:uid="{FA62A35A-B3CB-4DE0-A5F0-06ABF38D0E38}"/>
    <hyperlink ref="M509" r:id="rId4117" xr:uid="{A9DCDE81-C000-4C2D-82F3-8B0E1FB316FE}"/>
    <hyperlink ref="M510" r:id="rId4118" xr:uid="{34A270CB-12DF-48A9-A5DC-45427B939DAB}"/>
    <hyperlink ref="M511" r:id="rId4119" xr:uid="{31A9739F-FF93-4ED4-AB60-617DA1445D43}"/>
    <hyperlink ref="M512" r:id="rId4120" xr:uid="{4C6B0FB4-9671-4D7C-A8C5-0B7FA11546DA}"/>
    <hyperlink ref="M513" r:id="rId4121" xr:uid="{258601E8-6A26-4881-83F0-FAAB568933C3}"/>
    <hyperlink ref="M514" r:id="rId4122" xr:uid="{570E443C-7509-4B8E-8328-0A0C3379A90E}"/>
    <hyperlink ref="M515" r:id="rId4123" xr:uid="{8FB1176A-BC36-43A9-B5AA-08F79446384C}"/>
    <hyperlink ref="M516" r:id="rId4124" xr:uid="{EED36963-EE91-43B3-96D3-4E2D2FBD485C}"/>
    <hyperlink ref="M517" r:id="rId4125" xr:uid="{318485A2-90C6-4C19-9881-519812CED3FA}"/>
    <hyperlink ref="M518" r:id="rId4126" xr:uid="{B0EE49E4-92EA-49DB-823E-BF97DCE554FB}"/>
    <hyperlink ref="M519" r:id="rId4127" xr:uid="{C21360D7-61BD-474E-81FB-7DCD8F49B578}"/>
    <hyperlink ref="M520" r:id="rId4128" xr:uid="{478F900F-67E8-4B1D-8798-4B1ED52196C9}"/>
    <hyperlink ref="M521" r:id="rId4129" xr:uid="{0B2F82CC-66BB-4AA1-A467-0B29F5E0CD39}"/>
    <hyperlink ref="M522" r:id="rId4130" xr:uid="{0198E26A-D62A-4CB5-871A-5DAA533AA38E}"/>
    <hyperlink ref="M523" r:id="rId4131" xr:uid="{60904429-2738-4F4B-A325-2658140C894A}"/>
    <hyperlink ref="M524" r:id="rId4132" xr:uid="{E0367AF3-A435-4A7A-8BE2-3356FD11119E}"/>
    <hyperlink ref="M525" r:id="rId4133" xr:uid="{3302C0C5-A43C-4FD9-8310-D51D88EEAB70}"/>
    <hyperlink ref="M526" r:id="rId4134" xr:uid="{A649E643-86FB-42FC-B01A-E8E1D91C0615}"/>
    <hyperlink ref="M527" r:id="rId4135" xr:uid="{A6E3FD0E-F762-4A20-B657-9E4F3E358658}"/>
    <hyperlink ref="M528" r:id="rId4136" xr:uid="{DD9AC4F1-E3C2-4F61-9555-9017684CFBA8}"/>
    <hyperlink ref="M529" r:id="rId4137" xr:uid="{9464A721-2D3C-440C-9AA6-A172EC90AA7B}"/>
    <hyperlink ref="M530" r:id="rId4138" xr:uid="{1C1442D8-ED58-4FC5-AA5A-C98176A0B89D}"/>
    <hyperlink ref="M531" r:id="rId4139" xr:uid="{A3C3C6B5-B11F-4824-8CBD-6DF50B329734}"/>
    <hyperlink ref="M532" r:id="rId4140" xr:uid="{8AE0C57C-3080-4975-A70F-047B1B4BCCC5}"/>
    <hyperlink ref="M533" r:id="rId4141" xr:uid="{2B1C5A16-EF1B-4D27-9DDD-6AE3635CDF77}"/>
    <hyperlink ref="M534" r:id="rId4142" xr:uid="{06A1E687-D9DE-4583-96CD-07E16775C90D}"/>
    <hyperlink ref="M535" r:id="rId4143" xr:uid="{45DF2E2C-FA8A-4D70-992C-1A262B0026AC}"/>
    <hyperlink ref="M536" r:id="rId4144" xr:uid="{108A15F7-E9DF-41FF-916C-569597420BDB}"/>
    <hyperlink ref="M537" r:id="rId4145" xr:uid="{CEEDB6BA-A59E-418E-BD41-7717E4D56FA1}"/>
    <hyperlink ref="M538" r:id="rId4146" xr:uid="{0067F499-D9F8-4509-9111-6DB843B7A0AD}"/>
    <hyperlink ref="M539" r:id="rId4147" xr:uid="{776D800E-CE76-400F-B99D-295A84B69536}"/>
    <hyperlink ref="M540" r:id="rId4148" xr:uid="{E974CB35-2C6E-4FF2-8631-5590726ACFB7}"/>
    <hyperlink ref="M541" r:id="rId4149" xr:uid="{70646525-9EDA-4BCB-8210-5D78F409F54E}"/>
    <hyperlink ref="M542" r:id="rId4150" xr:uid="{9CE3B4E1-F8C2-47AD-9BDE-251AE1EC93E8}"/>
    <hyperlink ref="M543" r:id="rId4151" xr:uid="{063D1118-EC8C-469D-BC82-C1F2306E7B83}"/>
    <hyperlink ref="M544" r:id="rId4152" xr:uid="{8231986A-97AE-466A-8C69-CC631F45F7BD}"/>
    <hyperlink ref="M545" r:id="rId4153" xr:uid="{B5C52F0B-5A56-47C6-A240-425A9BB5B79C}"/>
    <hyperlink ref="M546" r:id="rId4154" xr:uid="{88F3F753-7F45-4982-BDA9-F778D88843B9}"/>
    <hyperlink ref="M547" r:id="rId4155" xr:uid="{3979DB92-66A9-406C-AFA4-08A54C8D17CF}"/>
    <hyperlink ref="M548" r:id="rId4156" xr:uid="{E27C96F3-12D5-436F-B8F8-C187296AFB11}"/>
    <hyperlink ref="M549" r:id="rId4157" xr:uid="{354098AD-3CDC-47AC-9F08-16B202E306AF}"/>
    <hyperlink ref="M550" r:id="rId4158" xr:uid="{36206922-7653-428B-ABBB-D2F4DCA91C29}"/>
    <hyperlink ref="M551" r:id="rId4159" xr:uid="{94834787-8702-436D-AA45-62A4852EC6C4}"/>
    <hyperlink ref="M552" r:id="rId4160" xr:uid="{DA677AE4-5CA0-4963-8108-07A4427E73F4}"/>
    <hyperlink ref="M553" r:id="rId4161" xr:uid="{E7E2B63D-1DF2-41A8-A891-08255278B86C}"/>
    <hyperlink ref="M554" r:id="rId4162" xr:uid="{0A574822-3E04-41EF-AB7D-23587EF85127}"/>
    <hyperlink ref="M555" r:id="rId4163" xr:uid="{B43C0985-6CD1-483B-914A-D7CCF7B8651B}"/>
    <hyperlink ref="M556" r:id="rId4164" xr:uid="{0B425018-91C9-45F5-BCA1-AAE53F0763F0}"/>
    <hyperlink ref="M557" r:id="rId4165" xr:uid="{782C6BDC-70FE-4A6A-A8F9-7AFE0DBBBE95}"/>
    <hyperlink ref="M558" r:id="rId4166" xr:uid="{6B0AE6EB-463D-4874-A410-28EFAF1CDC42}"/>
    <hyperlink ref="M559" r:id="rId4167" xr:uid="{C9102717-B55D-472D-890E-AD1E051A81E4}"/>
    <hyperlink ref="M560" r:id="rId4168" xr:uid="{77C47C58-AC3C-4B99-B870-D1FC20763EA8}"/>
    <hyperlink ref="M561" r:id="rId4169" xr:uid="{E140ABB3-69FC-46C4-9577-946D3E112033}"/>
    <hyperlink ref="M562" r:id="rId4170" xr:uid="{95C7F2E5-1980-48E6-8150-FA350A4276E8}"/>
    <hyperlink ref="M563" r:id="rId4171" xr:uid="{6217AC1F-0BB5-4E09-80A1-985CE29345BA}"/>
    <hyperlink ref="M564" r:id="rId4172" xr:uid="{D78C34C1-37B2-47AD-A703-C7F8476A3619}"/>
    <hyperlink ref="M565" r:id="rId4173" xr:uid="{10811505-8998-401D-9BA6-A844275AF6A9}"/>
    <hyperlink ref="M566" r:id="rId4174" xr:uid="{B688D94B-E3F8-474A-B795-CEC2B81F339A}"/>
    <hyperlink ref="M567" r:id="rId4175" xr:uid="{1AF95D3E-4376-4B2E-BAAE-22B9C7B805E8}"/>
    <hyperlink ref="M568" r:id="rId4176" xr:uid="{18E388BD-9ABB-437B-98C3-589EE14FCFBB}"/>
    <hyperlink ref="M569" r:id="rId4177" xr:uid="{6AAAF902-41CB-4E68-AE18-7C85C4615363}"/>
    <hyperlink ref="M570" r:id="rId4178" xr:uid="{DF20E7CD-BB22-49CA-9404-5F2044F67026}"/>
    <hyperlink ref="M571" r:id="rId4179" xr:uid="{3E85F8D5-EFE3-42A2-BEF6-BD5F226A4F87}"/>
    <hyperlink ref="M572" r:id="rId4180" xr:uid="{7E140903-B05F-45D0-85DE-85F75F2A6DFB}"/>
    <hyperlink ref="M573" r:id="rId4181" xr:uid="{9F2652CA-E281-49E3-A899-67FDE0A4CF7D}"/>
    <hyperlink ref="M574" r:id="rId4182" xr:uid="{78AFDFBC-A861-441B-BDFB-3AEAB7AEA470}"/>
    <hyperlink ref="M575" r:id="rId4183" xr:uid="{900F2813-22B2-494D-8422-1830954583C7}"/>
    <hyperlink ref="M576" r:id="rId4184" xr:uid="{D1867602-E655-4C89-888E-E54B9EF80637}"/>
    <hyperlink ref="M577" r:id="rId4185" xr:uid="{4D79EFA6-C627-4988-8B64-A2D6FF98B4AD}"/>
    <hyperlink ref="M578" r:id="rId4186" xr:uid="{190A426B-1F59-4295-97E1-246499FF3B8B}"/>
    <hyperlink ref="M579" r:id="rId4187" xr:uid="{0ABC32C2-9B43-4845-9931-EA13B1873BC2}"/>
    <hyperlink ref="M580" r:id="rId4188" xr:uid="{AE6BD1A0-9A4D-4857-BC1E-43B651682020}"/>
    <hyperlink ref="M581" r:id="rId4189" xr:uid="{5C6BBA39-86C1-4B22-80B3-70B7C507E866}"/>
    <hyperlink ref="M582" r:id="rId4190" xr:uid="{68E24C8C-B03C-461B-B396-AEA9352FB4C0}"/>
    <hyperlink ref="M583" r:id="rId4191" xr:uid="{D6E97FBB-05FD-4BF4-A9AF-3F9B6A422D98}"/>
    <hyperlink ref="M584" r:id="rId4192" xr:uid="{D461A784-1226-4741-AC2D-96A3A5D3D6D8}"/>
    <hyperlink ref="M585" r:id="rId4193" xr:uid="{AAB9FACD-E160-41B1-834B-37375A04F242}"/>
    <hyperlink ref="M586" r:id="rId4194" xr:uid="{289CC7F6-F652-46CC-8E9F-8DE497346B8E}"/>
    <hyperlink ref="M587" r:id="rId4195" xr:uid="{1BB9B952-DC58-4EA5-AEBE-586135EC4403}"/>
    <hyperlink ref="M588" r:id="rId4196" xr:uid="{77248288-5617-4D52-A20B-086CB43E4219}"/>
    <hyperlink ref="M589" r:id="rId4197" xr:uid="{643D3436-59BA-4FD1-8955-1393FF8CDD0C}"/>
    <hyperlink ref="M590" r:id="rId4198" xr:uid="{E7DF033E-A562-43CA-BE0E-2F95139BA3DE}"/>
    <hyperlink ref="M591" r:id="rId4199" xr:uid="{A31023A6-BB5C-4027-AC90-0ED316B8D003}"/>
    <hyperlink ref="M592" r:id="rId4200" xr:uid="{C96E0FA7-6DB8-435A-852A-57C8A317B14D}"/>
    <hyperlink ref="M593" r:id="rId4201" xr:uid="{8EC7DAFD-FA6A-485C-8989-4336D31F08C1}"/>
    <hyperlink ref="M594" r:id="rId4202" xr:uid="{DE960B1F-DA4A-411E-980B-F2258C3866B3}"/>
    <hyperlink ref="M595" r:id="rId4203" xr:uid="{EC642C57-58CC-4FE9-97E3-2A350B2AF23C}"/>
    <hyperlink ref="M596" r:id="rId4204" xr:uid="{404AEEAF-54C0-4648-8821-A9CA7DC7532A}"/>
    <hyperlink ref="M597" r:id="rId4205" xr:uid="{7BC17350-17CF-4776-9341-AAE79C9547AE}"/>
    <hyperlink ref="M598" r:id="rId4206" xr:uid="{EE8E654D-3445-4ACC-8629-FD628B615C05}"/>
    <hyperlink ref="M600" r:id="rId4207" xr:uid="{40A51912-400F-436A-8232-89F24BBBD683}"/>
    <hyperlink ref="M601" r:id="rId4208" xr:uid="{78EBCB16-A7FF-497B-ABDC-D1895C599D49}"/>
    <hyperlink ref="M602" r:id="rId4209" xr:uid="{048D684C-C26C-44A4-9B76-09756653A741}"/>
    <hyperlink ref="M603" r:id="rId4210" xr:uid="{7CAB1217-B6C2-4B71-A82A-2CD79A911F9F}"/>
    <hyperlink ref="M604" r:id="rId4211" xr:uid="{5BB6AA7C-BA96-4F98-B6A6-DFDCE42026F8}"/>
    <hyperlink ref="M605" r:id="rId4212" xr:uid="{3561832D-5F40-4F22-8650-11B945644585}"/>
    <hyperlink ref="M606" r:id="rId4213" xr:uid="{8320A101-E831-4DAD-8446-B1CF49BDFB57}"/>
    <hyperlink ref="M607" r:id="rId4214" xr:uid="{B1ECA1F1-9AA6-4F84-822D-C35B016CE1A2}"/>
    <hyperlink ref="M608" r:id="rId4215" xr:uid="{092FDCA0-6785-478D-83A2-BF497900BBAD}"/>
    <hyperlink ref="M609" r:id="rId4216" xr:uid="{FCD7BBA7-1E29-444D-8438-D46F4AB2CECA}"/>
    <hyperlink ref="M610" r:id="rId4217" xr:uid="{7C6D522A-F115-4839-AFBB-7C0136DD6DA1}"/>
    <hyperlink ref="M611" r:id="rId4218" xr:uid="{4FE45FD7-187C-43D1-B639-FA1296C225AB}"/>
    <hyperlink ref="M612" r:id="rId4219" xr:uid="{9F0618F6-9AAD-487C-AE0D-7F3420C85F00}"/>
    <hyperlink ref="M613" r:id="rId4220" xr:uid="{A4777D71-DEEB-47C4-931C-8DED74BAEBF5}"/>
    <hyperlink ref="M614" r:id="rId4221" xr:uid="{3E0EDBC4-5579-45EC-B5B8-7F06377CB445}"/>
    <hyperlink ref="M615" r:id="rId4222" xr:uid="{F4BB846C-A1D1-49B8-9BF0-3073BFC26076}"/>
    <hyperlink ref="M616" r:id="rId4223" xr:uid="{80C28E8C-D40C-4984-8796-109CB2596924}"/>
    <hyperlink ref="M617" r:id="rId4224" xr:uid="{650F63FE-74A0-4078-9A6D-77C0B27A683C}"/>
    <hyperlink ref="M618" r:id="rId4225" xr:uid="{654B2E5D-58EC-48E4-81C7-7CC2140DC0BB}"/>
    <hyperlink ref="M619" r:id="rId4226" xr:uid="{3FAE74BF-E7AA-49EA-ABDB-39A200355337}"/>
    <hyperlink ref="M620" r:id="rId4227" xr:uid="{06887718-27EF-4B7C-BE54-10B54BA2FB19}"/>
    <hyperlink ref="M621" r:id="rId4228" xr:uid="{040C6B64-F9F8-4BFE-B484-A92D09C075C5}"/>
    <hyperlink ref="M622" r:id="rId4229" xr:uid="{23EDDD8B-0AFF-4B96-AC35-62335E78F0CB}"/>
    <hyperlink ref="M623" r:id="rId4230" xr:uid="{F69494CC-EDAC-423C-8DEA-51E91B1321F6}"/>
    <hyperlink ref="M624" r:id="rId4231" xr:uid="{2A6BBB47-890C-407E-B117-533AF7940071}"/>
    <hyperlink ref="M625" r:id="rId4232" xr:uid="{BD284D8A-0AE0-4BB7-9CE4-B4CF358861FC}"/>
    <hyperlink ref="M626" r:id="rId4233" xr:uid="{FBDC78AC-2E0A-44A9-B7DA-153E82698C59}"/>
    <hyperlink ref="M627" r:id="rId4234" xr:uid="{CC31676C-FDAA-44CE-80C0-851C54370B6F}"/>
    <hyperlink ref="M628" r:id="rId4235" xr:uid="{68FD24CF-4F1D-41F5-BCB7-D6620F614BE5}"/>
    <hyperlink ref="M629" r:id="rId4236" xr:uid="{5C105EE3-26B8-4413-AD23-727EDF0DB238}"/>
    <hyperlink ref="M630" r:id="rId4237" xr:uid="{0D6A1DDC-7A99-4B1C-8AD4-C11CD2CD05B4}"/>
    <hyperlink ref="M631" r:id="rId4238" xr:uid="{250C83D7-4CAD-4CEF-BB6B-E63A8043E62C}"/>
    <hyperlink ref="M632" r:id="rId4239" xr:uid="{56B038AD-BDF8-4AE2-B3B9-5FCBB4FE406A}"/>
    <hyperlink ref="M633" r:id="rId4240" xr:uid="{EDE7EA4D-7211-4F16-BFA4-BE44FED4858A}"/>
    <hyperlink ref="M634" r:id="rId4241" xr:uid="{4451A4DF-8A45-4302-9542-4559D74DF029}"/>
    <hyperlink ref="M635" r:id="rId4242" xr:uid="{1B8C343D-01C5-40C3-8EDD-0D2AE986236E}"/>
    <hyperlink ref="M636" r:id="rId4243" xr:uid="{0AFBFC46-C544-42DA-BC38-2CE8E7708A19}"/>
    <hyperlink ref="M637" r:id="rId4244" xr:uid="{D03FBB0B-2E92-4C8F-B389-FAF6261D2436}"/>
    <hyperlink ref="M638" r:id="rId4245" xr:uid="{22974ED3-DA24-422A-9C8F-959893201088}"/>
    <hyperlink ref="M639" r:id="rId4246" xr:uid="{8F693CC4-0A03-4105-944A-D7E3974D0D0A}"/>
    <hyperlink ref="M640" r:id="rId4247" xr:uid="{D02A3C61-F1F3-44B8-A43E-3E329963EDB6}"/>
    <hyperlink ref="M641" r:id="rId4248" xr:uid="{D382DB07-C135-4A18-9968-C27FECD7A29A}"/>
    <hyperlink ref="M642" r:id="rId4249" xr:uid="{F347958E-BDAC-4A7D-AE46-87D6FD6447BA}"/>
    <hyperlink ref="M643" r:id="rId4250" xr:uid="{B3208C5F-FBA8-4DCE-B3D3-492DAA27137F}"/>
    <hyperlink ref="M644" r:id="rId4251" xr:uid="{31B5C2B5-83D8-45E9-82BD-F72CB4E6139C}"/>
    <hyperlink ref="M645" r:id="rId4252" xr:uid="{97500973-5D81-48FA-BB97-F1A4831324D4}"/>
    <hyperlink ref="M646" r:id="rId4253" xr:uid="{002509F3-D1CA-4B59-B758-ECA14DBA5C8E}"/>
    <hyperlink ref="M647" r:id="rId4254" xr:uid="{83C5A71C-9C15-4AD4-A020-D5F128CC6DCD}"/>
    <hyperlink ref="M648" r:id="rId4255" xr:uid="{935CB8D3-51D6-4D0C-BB8A-2B2D324BA9C5}"/>
    <hyperlink ref="M649" r:id="rId4256" xr:uid="{828CDDCE-8199-45EE-9977-4EFCAEB5B708}"/>
    <hyperlink ref="M650" r:id="rId4257" xr:uid="{BB4A56E7-1D72-49DC-B6F1-39F5982E6049}"/>
    <hyperlink ref="M651" r:id="rId4258" xr:uid="{DE0002FC-FB68-4608-BA1C-B63714EE0985}"/>
    <hyperlink ref="M652" r:id="rId4259" xr:uid="{E2D85439-CFCF-4DE7-8335-FEF3B47B46AA}"/>
    <hyperlink ref="M653" r:id="rId4260" xr:uid="{0F9B3AA9-E55D-49E0-9A08-34F016F292BF}"/>
    <hyperlink ref="M654" r:id="rId4261" xr:uid="{B90911A3-0510-4C33-9D36-409ECB7E7633}"/>
    <hyperlink ref="M655" r:id="rId4262" xr:uid="{E11050E0-902D-4166-BC04-FF93AFDB53AB}"/>
    <hyperlink ref="M656" r:id="rId4263" xr:uid="{BE1E9A2C-6B33-4845-B59B-FC0118039335}"/>
    <hyperlink ref="M658" r:id="rId4264" xr:uid="{10C7253E-528D-4A4B-91AA-96AB535840A0}"/>
    <hyperlink ref="M659" r:id="rId4265" xr:uid="{DA912923-4067-4FF4-8C00-3B5525762433}"/>
    <hyperlink ref="M660" r:id="rId4266" xr:uid="{81C6176A-61BF-4917-9B91-98A31BA5B0D8}"/>
    <hyperlink ref="M661" r:id="rId4267" xr:uid="{FEC2F17D-0D6A-4C1F-B3A7-E5FDEF5DDBAC}"/>
    <hyperlink ref="M662" r:id="rId4268" xr:uid="{B308865F-C378-4B80-BB8A-1386BB9D6D37}"/>
    <hyperlink ref="M663" r:id="rId4269" xr:uid="{F131056E-8BC1-4FD5-BD18-5DABD9A31330}"/>
    <hyperlink ref="M664" r:id="rId4270" xr:uid="{15EB11CE-E505-4E27-8204-777765941032}"/>
    <hyperlink ref="M665" r:id="rId4271" xr:uid="{C2E63ED7-9ADA-4B00-836E-F60808309572}"/>
    <hyperlink ref="M666" r:id="rId4272" xr:uid="{B9717360-D899-4E63-8338-B4F4B9664FB3}"/>
    <hyperlink ref="M667" r:id="rId4273" xr:uid="{BB8C9CC9-926A-47E2-83CB-0456E42F7CB3}"/>
    <hyperlink ref="M668" r:id="rId4274" xr:uid="{13169DC2-BDFE-45BE-886F-0C6065C2CD34}"/>
    <hyperlink ref="M669" r:id="rId4275" xr:uid="{3691145E-8B2E-4497-8387-5E08B3208B6C}"/>
    <hyperlink ref="M670" r:id="rId4276" xr:uid="{BE1E9745-B853-44BE-8018-F34659188B2E}"/>
    <hyperlink ref="M671" r:id="rId4277" xr:uid="{F8E51EA7-4591-447F-ABB4-E98F49EAFE1B}"/>
    <hyperlink ref="M672" r:id="rId4278" xr:uid="{FFD926BF-0BE9-4B99-BE6A-90B606D885C0}"/>
    <hyperlink ref="M673" r:id="rId4279" xr:uid="{B9202A5A-A9AA-48DE-84A1-B48C6F918E66}"/>
    <hyperlink ref="M674" r:id="rId4280" xr:uid="{B77F6C42-CF2D-46A0-B141-320DAAFDE518}"/>
    <hyperlink ref="M675" r:id="rId4281" xr:uid="{876BBF18-BE1B-4C6D-A939-8C6ECDB28431}"/>
    <hyperlink ref="M676" r:id="rId4282" xr:uid="{F0663707-A110-4792-9405-6CD983EDAA75}"/>
    <hyperlink ref="M677" r:id="rId4283" xr:uid="{DEA77786-6FA7-477D-91F0-5A2588CC2411}"/>
    <hyperlink ref="M678" r:id="rId4284" xr:uid="{533E7C24-7C87-4F54-A8F3-04A8C935DF26}"/>
    <hyperlink ref="M679" r:id="rId4285" xr:uid="{793183BF-2BBC-4A31-8E75-70B507059C17}"/>
    <hyperlink ref="M680" r:id="rId4286" xr:uid="{BA71D0C3-E8C2-4DE6-85BA-1F15F6050C44}"/>
    <hyperlink ref="M681" r:id="rId4287" xr:uid="{3D5DADB9-69ED-4373-B6AF-AC12E3E5C693}"/>
    <hyperlink ref="M682" r:id="rId4288" xr:uid="{D7A2E7B0-7463-4A2E-865B-9B33BDADB08E}"/>
    <hyperlink ref="M683" r:id="rId4289" xr:uid="{E47D58FA-F23D-4BE5-9A63-F90F19600295}"/>
    <hyperlink ref="M684" r:id="rId4290" xr:uid="{D713F2F0-94C4-42B7-82EC-B8AF3F4EFB52}"/>
    <hyperlink ref="M685" r:id="rId4291" xr:uid="{12B3886B-DB51-40CD-84D9-8DE26A9D866E}"/>
    <hyperlink ref="M686" r:id="rId4292" xr:uid="{BCFF4365-7790-46E0-BC83-AA098B3DF1F4}"/>
    <hyperlink ref="M687" r:id="rId4293" xr:uid="{32323314-FD95-40F5-A3A9-D63CED52DB72}"/>
    <hyperlink ref="M688" r:id="rId4294" xr:uid="{9944C766-AED7-46D3-8562-7D86FCEDF459}"/>
    <hyperlink ref="M689" r:id="rId4295" xr:uid="{3F44C133-3209-4B7D-84E7-7F66D20955F7}"/>
    <hyperlink ref="M690" r:id="rId4296" xr:uid="{C93EB247-FB12-476C-80EA-204ADC0E7914}"/>
    <hyperlink ref="M691" r:id="rId4297" xr:uid="{10E4A807-F501-4B64-AFC7-EE14748ADA5F}"/>
    <hyperlink ref="M692" r:id="rId4298" xr:uid="{BDC9F583-3C21-47DB-BC64-883EB4029359}"/>
    <hyperlink ref="M693" r:id="rId4299" xr:uid="{E2D1902D-02B2-4FE7-BAC2-258EA2197F3D}"/>
    <hyperlink ref="M694" r:id="rId4300" xr:uid="{7D5B3A8C-059E-4ABA-9341-D347848C4340}"/>
    <hyperlink ref="M695" r:id="rId4301" xr:uid="{8BB77FCB-7DE8-488D-9062-E036BE6F99FA}"/>
    <hyperlink ref="M696" r:id="rId4302" xr:uid="{126A6154-841E-468D-8FFB-40D40F86414C}"/>
    <hyperlink ref="M697" r:id="rId4303" xr:uid="{496B9309-3362-4B07-8E84-D54522A5189B}"/>
    <hyperlink ref="M698" r:id="rId4304" xr:uid="{A33967E8-20F4-427F-8EBA-6ECCFF491E57}"/>
    <hyperlink ref="M699" r:id="rId4305" xr:uid="{DB73B9B6-684E-4D9A-9CAD-42A9D8AB6348}"/>
    <hyperlink ref="M700" r:id="rId4306" xr:uid="{3D293BC3-F267-4C92-9E00-0D4B5D718653}"/>
    <hyperlink ref="M701" r:id="rId4307" xr:uid="{E0122843-32F8-4A95-9484-AFC7E704750A}"/>
    <hyperlink ref="M702" r:id="rId4308" xr:uid="{B36B7E38-B34F-40B6-B9E4-1D7F7EC4B0CA}"/>
    <hyperlink ref="M703" r:id="rId4309" xr:uid="{671A6AB6-52CD-4D01-B1A2-EB499C51EC5F}"/>
    <hyperlink ref="I703" r:id="rId4310" xr:uid="{9C165A28-C456-40E0-B384-E2726C9FB7F2}"/>
    <hyperlink ref="M704" r:id="rId4311" xr:uid="{54C9DD47-3DAD-4C5C-8BC0-1309A9D44673}"/>
    <hyperlink ref="M705" r:id="rId4312" xr:uid="{4786C6C0-4FFA-4A18-9E09-4EB01E59C0F4}"/>
    <hyperlink ref="M706" r:id="rId4313" xr:uid="{EDF49C9F-CB00-4EC2-8BC1-EEFAE0D78651}"/>
    <hyperlink ref="M707" r:id="rId4314" xr:uid="{97482408-71C1-44CB-AACF-82EB570715B7}"/>
    <hyperlink ref="M708" r:id="rId4315" xr:uid="{8A9447E2-DCEB-4ED6-B74C-453E46D9B6A6}"/>
    <hyperlink ref="M709" r:id="rId4316" xr:uid="{B7206DD6-56CD-4146-AB62-A404BB30B2CF}"/>
    <hyperlink ref="M710" r:id="rId4317" xr:uid="{903635E2-0920-470B-8CFD-4AE57A9C25EE}"/>
    <hyperlink ref="M711" r:id="rId4318" xr:uid="{7DB3D8EA-5DD4-47BE-8AAF-2AA9419F5231}"/>
    <hyperlink ref="M712" r:id="rId4319" xr:uid="{1BDBDEB9-E37C-48B1-8D93-1671783879AB}"/>
    <hyperlink ref="M713" r:id="rId4320" xr:uid="{1A32BCAE-0411-49E9-A1AC-3186E7EC8C2C}"/>
    <hyperlink ref="M714" r:id="rId4321" xr:uid="{68AFFF20-BF74-4A3E-B794-239EF15C50E0}"/>
    <hyperlink ref="M715" r:id="rId4322" xr:uid="{B0BCE738-8BD6-4CD6-B640-30564D4BC956}"/>
    <hyperlink ref="M716" r:id="rId4323" xr:uid="{14BA08E1-1771-4D2E-9540-A905110A37C1}"/>
    <hyperlink ref="M717" r:id="rId4324" xr:uid="{E2099E31-BF74-4BF9-9E50-98FD1C284144}"/>
    <hyperlink ref="M718" r:id="rId4325" xr:uid="{888750E2-B6C3-40A7-95FE-802DC710B410}"/>
    <hyperlink ref="M719" r:id="rId4326" xr:uid="{F83C9741-CFDA-4F65-9C20-59F94C80A54C}"/>
    <hyperlink ref="M720" r:id="rId4327" xr:uid="{C8C3666E-4D1C-4FE4-AB0A-530D628AD5A7}"/>
    <hyperlink ref="M721" r:id="rId4328" xr:uid="{D3861EB7-8BB8-4B83-80DF-932BD7EBB768}"/>
    <hyperlink ref="M722" r:id="rId4329" xr:uid="{0C953D60-8884-4DEC-BF3C-41539FD401A7}"/>
    <hyperlink ref="M723" r:id="rId4330" xr:uid="{61B8309E-0547-45C4-AD8F-94C4CA2EAEDE}"/>
    <hyperlink ref="M724" r:id="rId4331" xr:uid="{59994234-42C0-4B3A-8A1E-0E0B6D45924B}"/>
    <hyperlink ref="M725" r:id="rId4332" xr:uid="{0A0C3332-01A9-4BBA-9B0B-96DA97872C3D}"/>
    <hyperlink ref="M726" r:id="rId4333" xr:uid="{42833E6F-0D67-4F81-9E05-A38D8DC40673}"/>
    <hyperlink ref="M727" r:id="rId4334" xr:uid="{43857A5C-1C44-4498-AE57-310E15D22115}"/>
    <hyperlink ref="M728" r:id="rId4335" xr:uid="{4182F502-E568-42F0-B677-87860DEE0D05}"/>
    <hyperlink ref="M729" r:id="rId4336" xr:uid="{33491BF9-7B77-4ACE-AB33-0C499DF3BC2C}"/>
    <hyperlink ref="M730" r:id="rId4337" xr:uid="{A410C980-9AF2-43AB-B4A8-A81B5CCD0BD8}"/>
    <hyperlink ref="M731" r:id="rId4338" xr:uid="{2FA2827E-5691-493A-B344-CB5B9AFD5757}"/>
    <hyperlink ref="M732" r:id="rId4339" xr:uid="{084C9906-055B-4F3D-A887-683D6EB9014B}"/>
    <hyperlink ref="M733" r:id="rId4340" xr:uid="{7FADC0B6-905C-466E-979F-59AA9F76BC3C}"/>
    <hyperlink ref="M734" r:id="rId4341" xr:uid="{A2430B90-BCBD-4D5C-8B5F-56E70671873C}"/>
    <hyperlink ref="M735" r:id="rId4342" xr:uid="{0226F0CE-C216-4908-BCFA-71A8D4D3C0B6}"/>
    <hyperlink ref="M736" r:id="rId4343" xr:uid="{647718FE-5E63-4EFC-B0BD-47F1512A0F64}"/>
    <hyperlink ref="M737" r:id="rId4344" xr:uid="{D9C29AD0-8A1C-444E-AA92-EB2BD26FD3E7}"/>
    <hyperlink ref="M738" r:id="rId4345" xr:uid="{07B04132-06C8-4880-893B-FB424847949C}"/>
    <hyperlink ref="M739" r:id="rId4346" xr:uid="{31970D7C-CDD3-44B0-B212-26AFF65DDB82}"/>
    <hyperlink ref="M740" r:id="rId4347" xr:uid="{E8F741A4-1BEB-42B9-9AEC-14D16356A218}"/>
    <hyperlink ref="M741" r:id="rId4348" xr:uid="{2F90CC09-E77C-4035-BF94-A6DA4C98B2CD}"/>
    <hyperlink ref="M742" r:id="rId4349" xr:uid="{6FA4829D-8810-4DA8-B506-7ED4D977C2F8}"/>
    <hyperlink ref="M743" r:id="rId4350" xr:uid="{C9202D08-0BE1-40E9-8E8A-579467533044}"/>
    <hyperlink ref="M744" r:id="rId4351" xr:uid="{7F8749AB-0F6D-488A-AC32-7E956709B513}"/>
    <hyperlink ref="M745" r:id="rId4352" xr:uid="{A828F6A9-81E4-45E0-BEF1-7D23F336CF1F}"/>
    <hyperlink ref="M746" r:id="rId4353" xr:uid="{AB19FD91-9B43-4C10-90C0-DFA499F59637}"/>
    <hyperlink ref="M747" r:id="rId4354" xr:uid="{5514232D-2C70-4847-AD02-88559D1CB72D}"/>
    <hyperlink ref="M748" r:id="rId4355" xr:uid="{40AE3921-C5F6-486B-9C5E-ED0081AD72C5}"/>
    <hyperlink ref="M749" r:id="rId4356" xr:uid="{94536ACB-D7DB-4927-885B-8FB071C0B6DD}"/>
    <hyperlink ref="M750" r:id="rId4357" xr:uid="{5DA14740-7C28-4ED2-BAB5-3D4A5FA79635}"/>
    <hyperlink ref="M751" r:id="rId4358" xr:uid="{8B388FAD-625A-448B-8717-6AFD7AC5FB2E}"/>
    <hyperlink ref="M752" r:id="rId4359" xr:uid="{3E44C22F-F49B-47C0-8D56-A01E669E6BA0}"/>
    <hyperlink ref="M753" r:id="rId4360" xr:uid="{218CB92A-3101-41DF-938B-803ED4AF254E}"/>
    <hyperlink ref="M754" r:id="rId4361" xr:uid="{560A309F-57EE-4C2F-8264-DBE8944679E6}"/>
    <hyperlink ref="M755" r:id="rId4362" xr:uid="{DF55EC10-2B80-4A74-B1D9-41D6E746401E}"/>
    <hyperlink ref="M756" r:id="rId4363" xr:uid="{26FFB273-1560-490C-8C2C-E541422B1CC3}"/>
    <hyperlink ref="M757" r:id="rId4364" xr:uid="{CBFDA23F-7A8E-4F59-AC21-0F2E93BC4B92}"/>
    <hyperlink ref="M758" r:id="rId4365" xr:uid="{19B8EAF7-4E5E-4DDC-ACBA-250B6177D439}"/>
    <hyperlink ref="M759" r:id="rId4366" xr:uid="{E4400D31-356D-4FFD-A5B0-34FC72E22FC2}"/>
    <hyperlink ref="M760" r:id="rId4367" xr:uid="{F627B55B-6DFF-4508-A997-8CFB92D8BE95}"/>
    <hyperlink ref="M761" r:id="rId4368" xr:uid="{BECAEA46-7D3C-4132-8405-1A4A34D4AE15}"/>
    <hyperlink ref="M762" r:id="rId4369" xr:uid="{3E3DCB58-9D7C-49C5-B928-BBDBAF9C5E69}"/>
    <hyperlink ref="M763" r:id="rId4370" xr:uid="{B46218CE-C062-47FE-B545-987B20612584}"/>
    <hyperlink ref="M764" r:id="rId4371" xr:uid="{84938DDD-EDA7-4F2A-A5F0-69BBA135C1EA}"/>
    <hyperlink ref="M765" r:id="rId4372" xr:uid="{7AF8E488-3F08-4D04-9D96-99A5624A2E2D}"/>
    <hyperlink ref="M766" r:id="rId4373" xr:uid="{E0F0023B-3B74-4A21-8004-A415B6942E06}"/>
    <hyperlink ref="M767" r:id="rId4374" xr:uid="{D1EA45C5-6A79-41DD-96FA-35FC15200D6B}"/>
    <hyperlink ref="M768" r:id="rId4375" xr:uid="{4297FE91-D689-4F8A-A039-00529D2E277D}"/>
    <hyperlink ref="M769" r:id="rId4376" xr:uid="{36754D58-8549-488C-A17D-B3CC031D8F16}"/>
    <hyperlink ref="M770" r:id="rId4377" xr:uid="{1493C5C9-B00A-4378-87BE-F650BE0C5AB6}"/>
    <hyperlink ref="M771" r:id="rId4378" xr:uid="{C4CC3385-2F24-470D-9A1A-29D1FA3B319B}"/>
    <hyperlink ref="M772" r:id="rId4379" xr:uid="{9A4D644C-799C-490E-9B3A-066DAB03F699}"/>
    <hyperlink ref="M773" r:id="rId4380" xr:uid="{AC4DE4F5-A459-404B-AA4E-F837B63C1288}"/>
    <hyperlink ref="M774" r:id="rId4381" xr:uid="{702AACEA-5BFA-4133-BD0A-6CF30A3BE2BC}"/>
    <hyperlink ref="M775" r:id="rId4382" xr:uid="{DDDD9719-E45A-474C-9D38-055E8DA8AECC}"/>
    <hyperlink ref="M776" r:id="rId4383" xr:uid="{84005661-341A-4B72-9C77-8C3D5DFC5C46}"/>
    <hyperlink ref="M777" r:id="rId4384" xr:uid="{2A4B095B-9508-4D32-BDBD-A6C84D12E1CA}"/>
    <hyperlink ref="M778" r:id="rId4385" xr:uid="{9E9F0257-290B-47CE-B264-75D3FB0BF1CA}"/>
    <hyperlink ref="M779" r:id="rId4386" xr:uid="{60776906-0DD6-4014-BFF6-CB9FA57C6FD9}"/>
    <hyperlink ref="M780" r:id="rId4387" xr:uid="{5A8AC044-58B7-41BA-8561-725B04B78030}"/>
    <hyperlink ref="M781" r:id="rId4388" xr:uid="{103712D6-44B4-499E-8ED3-E62964CD20F0}"/>
    <hyperlink ref="M782" r:id="rId4389" xr:uid="{02C003FB-0D7B-4766-A1E4-D06CFF94B22E}"/>
    <hyperlink ref="M783" r:id="rId4390" xr:uid="{825EB100-BC3F-45A4-B62D-3F41156CD5A8}"/>
    <hyperlink ref="M784" r:id="rId4391" xr:uid="{A6E848B1-A605-4801-A29A-6D485351DCCA}"/>
    <hyperlink ref="M785" r:id="rId4392" xr:uid="{72998784-AA8A-4214-970E-0A567CD1FC4B}"/>
    <hyperlink ref="M786" r:id="rId4393" xr:uid="{7E6B4209-D25D-4FCE-AAD9-DF5234EC089F}"/>
    <hyperlink ref="M787" r:id="rId4394" xr:uid="{B2E390B5-71B7-442B-96E5-C16976B54B64}"/>
    <hyperlink ref="M788" r:id="rId4395" xr:uid="{F2854016-618F-47E8-BE44-04A3A0FCBCE1}"/>
    <hyperlink ref="M789" r:id="rId4396" xr:uid="{84DD2092-90DB-49CC-AADF-4E2F7F6F101A}"/>
    <hyperlink ref="M790" r:id="rId4397" xr:uid="{FFCA71C3-8E3C-4DBF-B391-49580DBB1F87}"/>
    <hyperlink ref="M791" r:id="rId4398" xr:uid="{0FF4FFC8-A492-476B-866E-9B895C7062BF}"/>
    <hyperlink ref="M792" r:id="rId4399" xr:uid="{7261A36F-D08C-44BB-AD50-C77EBD5A5BA7}"/>
    <hyperlink ref="M793" r:id="rId4400" xr:uid="{7F3F4224-58B4-4F78-BC22-5173AE94D30A}"/>
    <hyperlink ref="M794" r:id="rId4401" xr:uid="{FEDCB7DB-1129-43DE-97CE-EF8D9E7A5587}"/>
    <hyperlink ref="M795" r:id="rId4402" xr:uid="{30474525-E6DA-426E-AE90-3BA754E9CCB6}"/>
    <hyperlink ref="M797" r:id="rId4403" xr:uid="{2BA3C958-7857-4ACE-9B91-F8ED28BEE16F}"/>
    <hyperlink ref="M796" r:id="rId4404" xr:uid="{48D71E9B-6832-4F8C-B7B1-7242E94B5CAA}"/>
    <hyperlink ref="M798" r:id="rId4405" xr:uid="{5C3B47CD-8CE8-45F7-A3DE-7332AAFCB4B7}"/>
    <hyperlink ref="M799" r:id="rId4406" xr:uid="{8F4303B5-6ACF-4E87-A57A-07D21FAF576A}"/>
    <hyperlink ref="M800" r:id="rId4407" xr:uid="{083EC18A-C668-4DC9-9E55-D3D81F7F6BC8}"/>
    <hyperlink ref="M801" r:id="rId4408" xr:uid="{F3E9419E-BCDD-4892-8719-EE1C8C09F3A3}"/>
    <hyperlink ref="M802" r:id="rId4409" xr:uid="{931E44F6-3C0A-4DF7-A0E5-C33F7404C69B}"/>
    <hyperlink ref="M803" r:id="rId4410" xr:uid="{D694018A-62C3-41B4-AA62-7CD130BD71BF}"/>
    <hyperlink ref="M804" r:id="rId4411" xr:uid="{AF8BA999-D5B0-4F0C-8E72-24FB3FB4E9E9}"/>
    <hyperlink ref="M805" r:id="rId4412" xr:uid="{C32CE923-D918-4C82-BB89-9B0EFE2995C0}"/>
    <hyperlink ref="M806" r:id="rId4413" xr:uid="{B71F593C-61DA-4203-A62F-C2BEFCF39909}"/>
    <hyperlink ref="M807" r:id="rId4414" xr:uid="{0C4F2C40-7C58-4643-A574-9B3C24825B35}"/>
    <hyperlink ref="M808" r:id="rId4415" xr:uid="{548E5C43-81B1-4734-81A4-CE2D33E43E7B}"/>
    <hyperlink ref="M809" r:id="rId4416" xr:uid="{E9A7FA31-C6AD-4BEC-849B-42292F0E5721}"/>
    <hyperlink ref="M810" r:id="rId4417" xr:uid="{74642AE3-23F3-4533-8C54-8356763E6687}"/>
    <hyperlink ref="M811" r:id="rId4418" xr:uid="{28D54A15-6C06-4970-B081-E9060FD8A3AD}"/>
    <hyperlink ref="M812" r:id="rId4419" xr:uid="{F10EF9F5-36C5-478D-B655-4C6A40137DC3}"/>
    <hyperlink ref="M813" r:id="rId4420" xr:uid="{5C4BCF04-456F-4E40-BE7A-659CB653D251}"/>
    <hyperlink ref="M814" r:id="rId4421" xr:uid="{1991191E-51C5-45E6-89C3-5EEB6C2E99AA}"/>
    <hyperlink ref="M815" r:id="rId4422" xr:uid="{01594EA3-FFEB-443F-9128-0C5E7E4FD684}"/>
    <hyperlink ref="M816" r:id="rId4423" xr:uid="{0847E341-5AFF-468F-9D57-91FC0237763D}"/>
    <hyperlink ref="M817" r:id="rId4424" xr:uid="{8C2D491C-E89C-4A7B-B436-405ED1C92991}"/>
    <hyperlink ref="M818" r:id="rId4425" xr:uid="{E0B7A1EE-BE81-4026-83B0-6AFAFBD00077}"/>
    <hyperlink ref="M819" r:id="rId4426" xr:uid="{5B6F6955-F752-457F-A220-93A175265717}"/>
    <hyperlink ref="M820" r:id="rId4427" xr:uid="{D22D991A-3C5F-4606-8580-26B9B321FF45}"/>
    <hyperlink ref="M821" r:id="rId4428" xr:uid="{D06738F0-CD9E-4A76-90F9-491D2B4D7717}"/>
    <hyperlink ref="M822" r:id="rId4429" xr:uid="{682CFD5B-8F49-4067-874D-F142DC553418}"/>
    <hyperlink ref="M823" r:id="rId4430" xr:uid="{C8C220B9-CF67-4353-9770-45BFF5F7762A}"/>
    <hyperlink ref="M824" r:id="rId4431" xr:uid="{1FB6BDA1-98FE-4F63-95B7-F6BBFC01E3B7}"/>
    <hyperlink ref="M825" r:id="rId4432" xr:uid="{9C1B388B-DC8A-4E06-A27F-26DA2C979D1B}"/>
    <hyperlink ref="M826" r:id="rId4433" xr:uid="{EDD9A5AB-F8FE-415D-B767-6A58C5424D82}"/>
    <hyperlink ref="M827" r:id="rId4434" xr:uid="{3CB38E4A-93B7-4DD6-B40C-D8DFB687B5AD}"/>
    <hyperlink ref="M828" r:id="rId4435" xr:uid="{6924E5BC-D262-40AF-80FB-AF0079EACB96}"/>
    <hyperlink ref="M829" r:id="rId4436" xr:uid="{D77CD562-B005-4DE7-8DD3-A99305723106}"/>
    <hyperlink ref="M830" r:id="rId4437" xr:uid="{C7DB9989-26E0-4058-A763-848A65C5E085}"/>
    <hyperlink ref="M831" r:id="rId4438" xr:uid="{B9664BFD-AFD9-40DD-8F2E-2B2E7030268F}"/>
    <hyperlink ref="M832" r:id="rId4439" xr:uid="{2DD813FD-62CD-4F07-94BD-1B119E65457D}"/>
    <hyperlink ref="M833" r:id="rId4440" xr:uid="{02B9D75B-19C0-4F5D-B984-EBF192B42117}"/>
    <hyperlink ref="M834" r:id="rId4441" xr:uid="{65CF9C80-E951-47AC-995E-6764A91EC091}"/>
    <hyperlink ref="M835" r:id="rId4442" xr:uid="{903750E2-7326-43A4-8F7F-BFB3E424BF1C}"/>
    <hyperlink ref="M836" r:id="rId4443" xr:uid="{924FC1CB-64AF-40A9-BB65-B8CBCABA71A6}"/>
    <hyperlink ref="M837" r:id="rId4444" xr:uid="{19D52E4D-FD0D-4B06-B443-BBC6B216A048}"/>
    <hyperlink ref="M838" r:id="rId4445" xr:uid="{19C783BF-0F3D-44D6-A719-9D07BD41D317}"/>
    <hyperlink ref="M839" r:id="rId4446" xr:uid="{641C558E-22AB-4719-AE4B-7A95FB834B8E}"/>
    <hyperlink ref="M840" r:id="rId4447" xr:uid="{5082EAE6-2536-4D0A-8923-8E95059DB28B}"/>
    <hyperlink ref="M841" r:id="rId4448" xr:uid="{6901B3E3-BF85-4E3D-902B-42CDC1055E40}"/>
    <hyperlink ref="M842" r:id="rId4449" xr:uid="{797B072E-39D8-4B5F-9867-C79478F3E707}"/>
    <hyperlink ref="M843" r:id="rId4450" xr:uid="{1CB689A9-B344-4956-996D-6D4855B304F9}"/>
    <hyperlink ref="M844" r:id="rId4451" xr:uid="{A217407C-FD30-4C38-ABF9-A267A7AC85D1}"/>
    <hyperlink ref="M845" r:id="rId4452" xr:uid="{E12BB141-AF7A-42A5-AB53-2BDF5559CF08}"/>
    <hyperlink ref="M846" r:id="rId4453" xr:uid="{B1B96AB4-EDA8-43FD-8439-BEE1E1405300}"/>
    <hyperlink ref="M847" r:id="rId4454" xr:uid="{1784AEDF-11F2-4DF4-86C2-0577296E8492}"/>
    <hyperlink ref="M848" r:id="rId4455" xr:uid="{465BD134-F0C0-47D3-81EE-D41FBC213F0D}"/>
    <hyperlink ref="M849" r:id="rId4456" xr:uid="{0EB2FD32-1759-4C65-8E79-BE8185999D1A}"/>
    <hyperlink ref="M850" r:id="rId4457" xr:uid="{8D6E6228-E56D-4F02-ADA9-077E0421C069}"/>
    <hyperlink ref="M851" r:id="rId4458" xr:uid="{D81044FA-B60E-43E4-B21D-F6BF9D8BFC1A}"/>
    <hyperlink ref="M852" r:id="rId4459" xr:uid="{EB7CCFB0-D363-4D7F-8425-A784CC96EEBA}"/>
    <hyperlink ref="M853" r:id="rId4460" xr:uid="{00975B9F-9494-4BEB-9FA4-3327411C625E}"/>
    <hyperlink ref="M854" r:id="rId4461" xr:uid="{D34A1FD3-6600-462F-8ACD-A007D72ED9E5}"/>
    <hyperlink ref="M855" r:id="rId4462" xr:uid="{A846E938-3E05-4FA2-AD81-8C0E5A4A3EB2}"/>
    <hyperlink ref="M856" r:id="rId4463" xr:uid="{AD10DD57-3952-4B54-831F-B9C53FFBFAF0}"/>
    <hyperlink ref="M857" r:id="rId4464" xr:uid="{3AE4D8E3-CDC5-4DFD-93E2-FCB207EBEAC2}"/>
    <hyperlink ref="M858" r:id="rId4465" xr:uid="{CD362F62-9646-43C6-856B-B9BDB80BF7F8}"/>
    <hyperlink ref="M860" r:id="rId4466" xr:uid="{A2F53865-AABD-4320-8095-5BE6D23C5F4D}"/>
    <hyperlink ref="M861" r:id="rId4467" xr:uid="{9368B820-4D19-459C-8EEA-AF8E1989569F}"/>
    <hyperlink ref="M862" r:id="rId4468" xr:uid="{075132B2-57AB-4EAB-9E47-55F4BAA5DDFC}"/>
    <hyperlink ref="M863" r:id="rId4469" xr:uid="{483A649B-A868-4A1F-9E46-6B61C31A5F03}"/>
    <hyperlink ref="M864" r:id="rId4470" xr:uid="{CFF71E5A-A070-4736-BE47-AD441B1A5FBB}"/>
    <hyperlink ref="M859" r:id="rId4471" xr:uid="{DC80A83F-C361-471F-8F88-559FA4C2297F}"/>
    <hyperlink ref="M865" r:id="rId4472" xr:uid="{D83C3F45-3E4A-46BF-967D-F55C4FDBC4F3}"/>
    <hyperlink ref="M866" r:id="rId4473" xr:uid="{8D8160A1-DF83-40CE-A657-9D3ABCFFE769}"/>
    <hyperlink ref="M867" r:id="rId4474" xr:uid="{6F6E9535-9444-4911-B693-0DFF00DC3443}"/>
    <hyperlink ref="M868" r:id="rId4475" xr:uid="{52FB404E-DB5D-454C-A34B-45794AE01D72}"/>
    <hyperlink ref="M869" r:id="rId4476" xr:uid="{EEA272CC-C8A1-4261-9BAB-9BC53F609B54}"/>
    <hyperlink ref="M870" r:id="rId4477" xr:uid="{932D51A6-B2BA-4A9C-B837-64374C7A26EC}"/>
    <hyperlink ref="M871" r:id="rId4478" xr:uid="{31C4E26D-5C22-4451-8CEC-77F14C1D4020}"/>
    <hyperlink ref="M872" r:id="rId4479" xr:uid="{BCD9D661-DE4C-4401-A433-2E984D20C3F5}"/>
    <hyperlink ref="M873" r:id="rId4480" xr:uid="{D351753B-AF79-4F4A-88DA-3A5FC8F7B70A}"/>
    <hyperlink ref="M874" r:id="rId4481" xr:uid="{750F262E-E518-45D6-81CB-4D2F4D99A8B0}"/>
    <hyperlink ref="M875" r:id="rId4482" xr:uid="{A9D18F67-2C73-44E2-AF13-34F07E59846F}"/>
    <hyperlink ref="M876" r:id="rId4483" xr:uid="{ADAF9509-93DB-497D-BCF3-1E50CB00BD6F}"/>
    <hyperlink ref="M877" r:id="rId4484" xr:uid="{86738928-7EBA-4119-A663-58DA5E8833D7}"/>
    <hyperlink ref="M878" r:id="rId4485" xr:uid="{8B9E40DE-09C6-442D-AF2E-97FDCD98EAD1}"/>
    <hyperlink ref="M879" r:id="rId4486" xr:uid="{2C739B62-00A6-405E-9DD3-86963134D206}"/>
    <hyperlink ref="M880" r:id="rId4487" xr:uid="{5B370BE3-C296-47D2-A33D-009C2507B8F7}"/>
    <hyperlink ref="M881" r:id="rId4488" xr:uid="{C86A5BA6-8895-489C-B013-1686C774AF8B}"/>
    <hyperlink ref="M882" r:id="rId4489" xr:uid="{FBED775A-F761-47EB-A78D-4B46D5BCC5C0}"/>
    <hyperlink ref="M883" r:id="rId4490" xr:uid="{2BEC5617-51D4-4D15-ADAC-9D734920FBBD}"/>
    <hyperlink ref="M884" r:id="rId4491" xr:uid="{FC2F68AB-88A7-408C-865C-A0B4DA8CAD09}"/>
    <hyperlink ref="M885" r:id="rId4492" xr:uid="{724749EE-D1AA-4B8F-81BF-C7AA25A90F24}"/>
    <hyperlink ref="M886" r:id="rId4493" xr:uid="{AD22D132-90F1-4AAD-B6C6-38821995A2DC}"/>
    <hyperlink ref="M887" r:id="rId4494" xr:uid="{0301A288-3217-44DD-B5D2-883D65236414}"/>
    <hyperlink ref="M888" r:id="rId4495" xr:uid="{D8367553-7810-4C75-B2CC-EFDF4B25D800}"/>
    <hyperlink ref="M889" r:id="rId4496" xr:uid="{95A0745F-1722-4ED5-8430-72CAB1B76CD9}"/>
    <hyperlink ref="M890" r:id="rId4497" xr:uid="{25C91634-C34D-4D9D-8CB5-4D84E162B71B}"/>
    <hyperlink ref="M891" r:id="rId4498" xr:uid="{B637361C-0C2C-425D-8310-C4C38A8A2789}"/>
    <hyperlink ref="M892" r:id="rId4499" xr:uid="{CDF2DFF7-9989-485D-9744-D2FC255F26B4}"/>
    <hyperlink ref="M893" r:id="rId4500" xr:uid="{BFF179A1-6A58-4504-9CB1-A6363FAC03B8}"/>
    <hyperlink ref="M894" r:id="rId4501" xr:uid="{6C827250-2C3B-49E9-A437-847DF9AFD69F}"/>
    <hyperlink ref="M895" r:id="rId4502" xr:uid="{E4C6BA3C-4250-44B2-9873-AA45D7AF1129}"/>
    <hyperlink ref="M896" r:id="rId4503" xr:uid="{69F2AEC3-D070-43E1-AB11-E20EB2CE97CA}"/>
    <hyperlink ref="M897" r:id="rId4504" xr:uid="{4975FD2E-A677-484B-B5A6-F52845F2BCF0}"/>
    <hyperlink ref="M898" r:id="rId4505" xr:uid="{5315D3B7-19BA-4B9E-A740-AFD07A860630}"/>
    <hyperlink ref="M899" r:id="rId4506" xr:uid="{CC9D0856-42B9-4192-A1B8-5A3A471207B7}"/>
    <hyperlink ref="M900" r:id="rId4507" xr:uid="{1BDE4A95-90E6-4384-AB91-36B0C67624BD}"/>
    <hyperlink ref="M901" r:id="rId4508" xr:uid="{D3736F75-8F4E-4C21-8339-B6296E4B2A66}"/>
    <hyperlink ref="M902" r:id="rId4509" xr:uid="{C4C36F47-1A8F-41AB-9E84-C0419F9DA7D3}"/>
    <hyperlink ref="M903" r:id="rId4510" xr:uid="{E2CB0727-8B0C-443B-8E96-CCD0B42CF66D}"/>
    <hyperlink ref="M904" r:id="rId4511" xr:uid="{25D91C46-734D-4A21-B99F-D84E2DAE538C}"/>
    <hyperlink ref="M905" r:id="rId4512" xr:uid="{3F4B8754-9B18-45FA-A61C-03CEA1E8D483}"/>
    <hyperlink ref="M906" r:id="rId4513" xr:uid="{4F89F7FC-DBD2-4DD0-B348-1B2D4C0E4AD6}"/>
    <hyperlink ref="M907" r:id="rId4514" xr:uid="{C6647C17-28D6-4054-A304-FBCC84B96747}"/>
    <hyperlink ref="M908" r:id="rId4515" xr:uid="{AAC316DF-6DEE-45EB-BE32-69C74222A030}"/>
    <hyperlink ref="M909" r:id="rId4516" xr:uid="{C55E57D7-4BEB-4BA6-ABF6-20CEC5C2DF6A}"/>
    <hyperlink ref="M910" r:id="rId4517" xr:uid="{178D6336-2602-4557-9167-720809A818AD}"/>
    <hyperlink ref="M911" r:id="rId4518" xr:uid="{594B0F1C-89D3-4366-8EC6-B5C4746CA811}"/>
    <hyperlink ref="M912" r:id="rId4519" xr:uid="{3984B441-ADAF-4D65-9444-A295818ED59F}"/>
    <hyperlink ref="M913" r:id="rId4520" xr:uid="{0D335AE3-D190-4CD5-B1C7-1E36161483DE}"/>
    <hyperlink ref="M914" r:id="rId4521" xr:uid="{12B3A9D1-2D63-4D80-8DED-14847B2005DD}"/>
    <hyperlink ref="M915" r:id="rId4522" xr:uid="{7E30637E-2155-4636-B626-0C722689D072}"/>
    <hyperlink ref="M916" r:id="rId4523" xr:uid="{C7234BBB-194C-41E9-B0FD-11D15594666A}"/>
    <hyperlink ref="M917" r:id="rId4524" xr:uid="{9F36E7DA-1769-4968-9622-598BF95811AB}"/>
    <hyperlink ref="M918" r:id="rId4525" xr:uid="{591B1A84-B249-42E5-A58E-9BF4DA0858A2}"/>
    <hyperlink ref="M919" r:id="rId4526" xr:uid="{BF562B02-4A61-44E6-B6A2-56E68962555F}"/>
    <hyperlink ref="M920" r:id="rId4527" xr:uid="{3E6873F1-5FD4-4297-B89F-3F42495B0214}"/>
    <hyperlink ref="M921" r:id="rId4528" xr:uid="{0F1602DE-DFC5-402C-A626-AD27DF06732C}"/>
    <hyperlink ref="M922" r:id="rId4529" xr:uid="{703F91AC-9213-4DCE-9171-D7758441C185}"/>
    <hyperlink ref="M442" r:id="rId4530" xr:uid="{849DCC5F-9B22-491C-BFB8-AAADC2CDD931}"/>
    <hyperlink ref="M599" r:id="rId4531" xr:uid="{07EB4346-B796-41D1-AF59-338F9760D353}"/>
    <hyperlink ref="N20" r:id="rId4532" xr:uid="{E046ED1A-B47E-4F38-BAED-C7CE34F00E67}"/>
    <hyperlink ref="N21" r:id="rId4533" xr:uid="{1F23FBCD-2584-44D0-A1E4-731E25418330}"/>
    <hyperlink ref="N22" r:id="rId4534" xr:uid="{A40BC375-3CF1-40F5-BB0C-DE1D1DDE4F3E}"/>
    <hyperlink ref="N23" r:id="rId4535" xr:uid="{684B7ED4-C28C-402D-A2A9-20A85135892F}"/>
    <hyperlink ref="N24" r:id="rId4536" xr:uid="{7555A040-A814-48CB-91F0-775F5B2951EC}"/>
    <hyperlink ref="N25" r:id="rId4537" xr:uid="{E962B1A9-C8C7-4BC8-A69D-A885DFD46D7B}"/>
    <hyperlink ref="N27" r:id="rId4538" xr:uid="{8B98AB0C-52C6-4E3A-AED8-501F95A5C3DA}"/>
    <hyperlink ref="N28" r:id="rId4539" xr:uid="{BAC1B694-F5C5-44A8-9F8F-9EE191F5BD3B}"/>
    <hyperlink ref="N29" r:id="rId4540" xr:uid="{9D809FEB-FC6A-479C-880E-C1D002E8D5E2}"/>
    <hyperlink ref="N30" r:id="rId4541" xr:uid="{121D9DBF-56CB-4B6F-B7F9-3D278B3CFB8C}"/>
    <hyperlink ref="N31" r:id="rId4542" xr:uid="{DE367E4B-6B81-4657-8FBD-4B1B1812114C}"/>
    <hyperlink ref="N32" r:id="rId4543" xr:uid="{D432F3D4-3040-46E6-9546-CE3341C88264}"/>
    <hyperlink ref="N33" r:id="rId4544" xr:uid="{F4F7F00E-4E85-4CB6-9923-70A8A810699E}"/>
    <hyperlink ref="N34" r:id="rId4545" xr:uid="{A0EA85B5-3CE0-4179-A90F-D1E26036DDC1}"/>
    <hyperlink ref="N35" r:id="rId4546" xr:uid="{C97B0381-B90E-429E-A474-948A0B24E76B}"/>
    <hyperlink ref="N36" r:id="rId4547" xr:uid="{0E72E176-8622-42DC-ABB5-492AA78FC3C4}"/>
    <hyperlink ref="N26" r:id="rId4548" xr:uid="{A702FA7B-E6DE-4414-8FD2-B12B5EC0782C}"/>
    <hyperlink ref="N37" r:id="rId4549" xr:uid="{2D132CC0-A949-4122-A909-962999D430F2}"/>
    <hyperlink ref="N39" r:id="rId4550" xr:uid="{F9815DDB-2FDA-4ACE-B0EE-7534E4B3ED6F}"/>
    <hyperlink ref="N38" r:id="rId4551" xr:uid="{EADEC34D-C91C-482E-AF0B-9C3BFF5774BB}"/>
    <hyperlink ref="N40" r:id="rId4552" xr:uid="{8266AD36-BE1F-405F-B058-799B3F4922FF}"/>
    <hyperlink ref="N41" r:id="rId4553" xr:uid="{AC8FFF1F-EBD1-406D-A029-4A028983E68B}"/>
    <hyperlink ref="N43" r:id="rId4554" xr:uid="{BB775261-2692-46C3-931D-84642F4944CB}"/>
    <hyperlink ref="N42" r:id="rId4555" xr:uid="{331F152D-1404-40B8-A095-A7A3C79071F8}"/>
    <hyperlink ref="N44" r:id="rId4556" xr:uid="{E20761B5-823D-4233-84C6-249EB843FBC8}"/>
    <hyperlink ref="N45" r:id="rId4557" xr:uid="{1980C93F-C7E8-4EE6-89AC-649E19E1D79D}"/>
    <hyperlink ref="N46" r:id="rId4558" xr:uid="{26FDEF44-B0A0-4907-BE90-6848C1B6B2C5}"/>
    <hyperlink ref="N47" r:id="rId4559" xr:uid="{E5F0CA4B-A50A-43BD-9279-651EF6ADD561}"/>
    <hyperlink ref="N48" r:id="rId4560" xr:uid="{5CD73CC5-11E2-49D5-80DB-46D87247F5AB}"/>
    <hyperlink ref="N49" r:id="rId4561" xr:uid="{483EC5F2-24A9-44A9-8D0C-DBACEF776A76}"/>
    <hyperlink ref="N50" r:id="rId4562" xr:uid="{F11CE89A-37F8-4CB3-9CE8-1327BA3FD2F7}"/>
    <hyperlink ref="N52" r:id="rId4563" xr:uid="{576816CF-C832-41FB-AE2B-AF5A7B568489}"/>
    <hyperlink ref="N51" r:id="rId4564" xr:uid="{6AD03F43-7795-4029-B838-2678654F8DF3}"/>
    <hyperlink ref="N53" r:id="rId4565" xr:uid="{1D70D171-4FD0-4DE2-95F0-717F73BAEA5F}"/>
    <hyperlink ref="N54" r:id="rId4566" xr:uid="{90829771-E43D-4D6F-8A54-2EE687A6F5C9}"/>
    <hyperlink ref="N55" r:id="rId4567" xr:uid="{295E9058-5062-4ADD-94F8-758D9E0CCBA6}"/>
    <hyperlink ref="N56" r:id="rId4568" xr:uid="{640A5AA9-7078-46B5-9542-3BD7612D24B2}"/>
    <hyperlink ref="N57" r:id="rId4569" xr:uid="{C4C43311-B871-4170-93C5-DE3A333936A1}"/>
    <hyperlink ref="N58" r:id="rId4570" xr:uid="{DD6B70E1-B546-4A38-BCD3-5DB81FB59549}"/>
    <hyperlink ref="N59" r:id="rId4571" xr:uid="{BCE65E64-581B-4085-A70E-3DE959EF5B32}"/>
    <hyperlink ref="N60" r:id="rId4572" xr:uid="{38975427-0EFD-4B7D-B400-29EC5C5D2ED9}"/>
    <hyperlink ref="N61" r:id="rId4573" xr:uid="{C2E9DBAE-001C-46DC-875F-039836CF62F4}"/>
    <hyperlink ref="N62" r:id="rId4574" xr:uid="{7906FBB0-C8CA-438A-89EC-B8D4A20A692B}"/>
    <hyperlink ref="N63" r:id="rId4575" xr:uid="{90F9871D-727E-42D6-9BBE-3E3A42717F4E}"/>
    <hyperlink ref="O20" r:id="rId4576" xr:uid="{D5C0BF7C-2DF5-4492-9D20-607B0499E653}"/>
    <hyperlink ref="O21" r:id="rId4577" xr:uid="{C2003F60-6739-4AAC-8CA8-2F1E0A823ED0}"/>
    <hyperlink ref="O22" r:id="rId4578" xr:uid="{A9321C30-BA08-4C9B-B6CD-AC27955EF8EC}"/>
    <hyperlink ref="O23" r:id="rId4579" xr:uid="{96C2BEC4-293A-44DA-85BF-0C4C6E4C0E91}"/>
    <hyperlink ref="O24" r:id="rId4580" xr:uid="{B31C6B81-1F4D-4E4F-9ADF-2D8BFD773C18}"/>
    <hyperlink ref="O25" r:id="rId4581" xr:uid="{11B4FD0F-AA4A-4872-B3B2-30C43C490E25}"/>
    <hyperlink ref="O26" r:id="rId4582" xr:uid="{1CF13B38-57D8-46C1-86E4-FB48C493ED50}"/>
    <hyperlink ref="O27" r:id="rId4583" xr:uid="{464FE224-C185-4009-A115-48B91274FACD}"/>
    <hyperlink ref="O28" r:id="rId4584" xr:uid="{8EBFC0E5-8A22-483C-B0BB-6702B7C5B24D}"/>
    <hyperlink ref="O29" r:id="rId4585" xr:uid="{E3E46506-A8D0-44BB-BA30-5AA77676CB15}"/>
    <hyperlink ref="O30" r:id="rId4586" xr:uid="{5B825C23-CFDE-43C5-A51C-CA9CA1E9ACFD}"/>
    <hyperlink ref="O31" r:id="rId4587" xr:uid="{84E9D69C-0CFD-476E-AB65-F74A805EF21E}"/>
    <hyperlink ref="O32" r:id="rId4588" xr:uid="{2A387A76-1203-407A-9BEE-48158C92CC9A}"/>
    <hyperlink ref="O33" r:id="rId4589" xr:uid="{CF7A481C-3291-4CCA-B2D8-BA0BB11DE79D}"/>
    <hyperlink ref="O34" r:id="rId4590" xr:uid="{673ADECB-F0B6-4A16-81CA-E01944232D77}"/>
    <hyperlink ref="O35" r:id="rId4591" xr:uid="{C8E6B3DA-FF0D-4150-AB24-92582B5D46B9}"/>
    <hyperlink ref="O36" r:id="rId4592" xr:uid="{5CA06F86-1075-47A6-AF9C-55C31C2C43CC}"/>
    <hyperlink ref="O37" r:id="rId4593" xr:uid="{4B75041C-4B3C-4422-894D-A5CD89895D87}"/>
    <hyperlink ref="O38" r:id="rId4594" xr:uid="{955787F8-24B9-4631-AE40-C1406B6604B3}"/>
    <hyperlink ref="O39" r:id="rId4595" xr:uid="{9A0B085B-9A65-48D2-ADEB-151DFA0FDA9C}"/>
    <hyperlink ref="O40" r:id="rId4596" xr:uid="{AE8096E1-0B79-41F4-BE2B-3917FAF21540}"/>
    <hyperlink ref="O41" r:id="rId4597" xr:uid="{09435551-0B6B-4157-8054-516B5F70B531}"/>
    <hyperlink ref="O42" r:id="rId4598" xr:uid="{66AF376E-DCC3-4A97-BCC0-AE6A7145820D}"/>
    <hyperlink ref="O43" r:id="rId4599" xr:uid="{A6269D38-53E6-4E12-AEEC-34644C8B7534}"/>
    <hyperlink ref="O44" r:id="rId4600" xr:uid="{F02DD61C-BB09-439C-BFD5-F075F430960C}"/>
    <hyperlink ref="O45" r:id="rId4601" xr:uid="{9627F7F4-9A75-4F00-9F21-32E641B2ADB3}"/>
    <hyperlink ref="O46" r:id="rId4602" xr:uid="{424B1C4E-51C0-452D-87F6-9EDC65D9764C}"/>
    <hyperlink ref="O47" r:id="rId4603" xr:uid="{B6D1BF9E-4DE4-4539-ADBB-3C0BEBDB414E}"/>
    <hyperlink ref="O48" r:id="rId4604" xr:uid="{B7264F3F-980B-45E3-9021-EBB48A0D5EB1}"/>
    <hyperlink ref="O49" r:id="rId4605" xr:uid="{F8430B8E-AE31-419E-82E3-E0AFD2B4891E}"/>
    <hyperlink ref="O50" r:id="rId4606" xr:uid="{5E935E93-2BFB-41F5-BEDF-83236C8B964A}"/>
    <hyperlink ref="O51" r:id="rId4607" xr:uid="{C3C30B7F-2CDA-499A-ACA1-7F507E7D67BC}"/>
    <hyperlink ref="O52" r:id="rId4608" xr:uid="{C7534DB9-4D43-4282-AA70-E17B49570F1C}"/>
    <hyperlink ref="O53" r:id="rId4609" xr:uid="{4EED126C-D015-4CE3-9F84-994F54F7A7C6}"/>
    <hyperlink ref="O54" r:id="rId4610" xr:uid="{487C56B2-92FE-4B86-89E3-6FA68105E5D3}"/>
    <hyperlink ref="O55" r:id="rId4611" xr:uid="{D1F38654-D31A-4EEB-88FE-FA8566E7B74A}"/>
    <hyperlink ref="O56" r:id="rId4612" xr:uid="{05C66675-9381-4FB3-84CF-7A84E9B7787C}"/>
    <hyperlink ref="O57" r:id="rId4613" xr:uid="{2959A124-1885-49A2-9CDE-3C828B5AA36A}"/>
    <hyperlink ref="O58" r:id="rId4614" xr:uid="{D4526032-99C8-4973-B123-E051B4600ECE}"/>
    <hyperlink ref="O59" r:id="rId4615" xr:uid="{36AC8262-9BC8-42CE-8226-60DADF70D964}"/>
    <hyperlink ref="O60" r:id="rId4616" xr:uid="{F11D2FB6-61DA-4CF8-B11D-1C8A87E6A257}"/>
    <hyperlink ref="O61" r:id="rId4617" xr:uid="{C81E1208-C932-472E-99AE-E198CE2AAC3A}"/>
    <hyperlink ref="O62" r:id="rId4618" xr:uid="{25A5588D-DF8F-4914-92F6-5783B6C9B839}"/>
    <hyperlink ref="O63" r:id="rId4619" xr:uid="{EA72395D-59C7-4FBB-BEB0-3B0F49D528C2}"/>
    <hyperlink ref="O64" r:id="rId4620" xr:uid="{7D2FD7DF-FDD0-4125-A96C-0F9C69F53916}"/>
    <hyperlink ref="O65" r:id="rId4621" xr:uid="{14B9AE47-6192-4653-B176-A971AD1A2A9C}"/>
    <hyperlink ref="O66" r:id="rId4622" xr:uid="{7BE5B6AD-07F9-4A2B-935F-BA2A0C5370CE}"/>
    <hyperlink ref="O67" r:id="rId4623" xr:uid="{16CB5346-AB11-4B20-9754-34B371B7748F}"/>
    <hyperlink ref="O68" r:id="rId4624" xr:uid="{A4115ECA-A4F8-494D-BAC1-5544FD1B5318}"/>
    <hyperlink ref="O69" r:id="rId4625" xr:uid="{F9E74FCB-5404-4875-830B-02C814C8F087}"/>
    <hyperlink ref="O70" r:id="rId4626" xr:uid="{65CF4164-6955-4C04-893B-1B55D661C7E1}"/>
    <hyperlink ref="O71" r:id="rId4627" xr:uid="{957201E1-7ADD-42E7-9C64-0832C50EF86E}"/>
    <hyperlink ref="O72" r:id="rId4628" xr:uid="{78C6A098-C20D-44AF-B207-AAC9379FCB77}"/>
    <hyperlink ref="O73" r:id="rId4629" xr:uid="{6105D2A6-96D8-42F8-9092-82EA0C62C7DF}"/>
    <hyperlink ref="O74" r:id="rId4630" xr:uid="{48C6D4FE-12C2-44A2-9863-B5DE8FA7C2E8}"/>
    <hyperlink ref="O75" r:id="rId4631" xr:uid="{03896D25-D9D4-43EC-A7A6-939C6FEC304F}"/>
    <hyperlink ref="O76" r:id="rId4632" xr:uid="{3B1B03DD-FFB3-4B78-981B-7685E874A36F}"/>
    <hyperlink ref="O77" r:id="rId4633" xr:uid="{AD3CA4E7-BC9F-4F45-A4AD-5E03615B87D1}"/>
    <hyperlink ref="O78" r:id="rId4634" xr:uid="{97EB0E1D-EA83-450F-B984-7D27791625F2}"/>
    <hyperlink ref="O79" r:id="rId4635" xr:uid="{D595DEB0-6515-4A50-975C-CC428629B145}"/>
    <hyperlink ref="O80" r:id="rId4636" xr:uid="{1FACF630-B2AC-4F29-84F1-C3F205A6CD98}"/>
    <hyperlink ref="O81" r:id="rId4637" xr:uid="{EB64A1DD-0439-4CE9-BC4E-A0E474003F0D}"/>
    <hyperlink ref="O82" r:id="rId4638" xr:uid="{FFD17B1D-644E-43DD-983F-02F3E0E4C9FC}"/>
    <hyperlink ref="O83" r:id="rId4639" xr:uid="{383D585F-6CD7-4F22-BC30-51C06003D0F5}"/>
    <hyperlink ref="O84" r:id="rId4640" xr:uid="{CDCBDB30-D71C-45F7-A6E3-8FD2717782F6}"/>
    <hyperlink ref="O85" r:id="rId4641" xr:uid="{1EECADDD-5557-42AD-888E-D2024FE51AD4}"/>
    <hyperlink ref="O86" r:id="rId4642" xr:uid="{917A0B1D-280E-45CF-A93D-C414AAD8F9AF}"/>
    <hyperlink ref="O87" r:id="rId4643" xr:uid="{A765C371-B6C2-4534-A9DA-580F07F7F8C3}"/>
    <hyperlink ref="O88" r:id="rId4644" xr:uid="{965C6EFC-2198-4012-83F0-4A99A89561FC}"/>
    <hyperlink ref="O89" r:id="rId4645" xr:uid="{ABCF6529-198D-4825-A580-C6AA14578AA8}"/>
    <hyperlink ref="O90" r:id="rId4646" xr:uid="{DA91AE49-8D08-40F1-85A9-E14DB3DBED39}"/>
    <hyperlink ref="O91" r:id="rId4647" xr:uid="{41098940-63F7-4895-B893-5B757049CDBE}"/>
    <hyperlink ref="O92" r:id="rId4648" xr:uid="{7EFA5ED5-3C69-44FD-85EA-E85543F06C06}"/>
    <hyperlink ref="O93" r:id="rId4649" xr:uid="{7F419FBB-A7BB-47F7-B7DF-C58B85AA1EA2}"/>
    <hyperlink ref="O94" r:id="rId4650" xr:uid="{2E35BA57-2A32-4ED5-9F3B-A2536763A05F}"/>
    <hyperlink ref="O95" r:id="rId4651" xr:uid="{05A7FB45-E9ED-4123-87DE-900B507CA5DC}"/>
    <hyperlink ref="O96" r:id="rId4652" xr:uid="{17C3E1C9-79FD-46FC-8251-7630472931EA}"/>
    <hyperlink ref="O98" r:id="rId4653" xr:uid="{52784A8A-B728-4797-B8FE-0B1928A74A0D}"/>
    <hyperlink ref="O99" r:id="rId4654" xr:uid="{EF5814D2-62DD-4FED-B30B-4CDAD9D1533E}"/>
    <hyperlink ref="O101" r:id="rId4655" xr:uid="{05477F06-3D6F-4E2C-9367-65910E8A0BA2}"/>
    <hyperlink ref="O102" r:id="rId4656" xr:uid="{42A987DB-D74B-4B9A-860A-A8DE1A853F6B}"/>
    <hyperlink ref="O103" r:id="rId4657" xr:uid="{FA04627B-9587-413F-B990-1547617E06FB}"/>
    <hyperlink ref="O104" r:id="rId4658" xr:uid="{F57026A0-C41B-4893-A868-CEADDC6D4DC1}"/>
    <hyperlink ref="O105" r:id="rId4659" xr:uid="{2D35A435-78AE-40A5-A85B-2E94E5F80257}"/>
    <hyperlink ref="O106" r:id="rId4660" xr:uid="{3E35C676-218F-412B-90C9-3BDD6CB0FD9A}"/>
    <hyperlink ref="O107" r:id="rId4661" xr:uid="{061A8EF4-79BD-4E7A-9366-6548A5A70887}"/>
    <hyperlink ref="O108" r:id="rId4662" xr:uid="{AAA22C2D-5435-4942-B827-3C3C26BB05E5}"/>
    <hyperlink ref="O109" r:id="rId4663" xr:uid="{22385B43-4B70-4C7E-8D9A-D9699F003F53}"/>
    <hyperlink ref="O110" r:id="rId4664" xr:uid="{93C8E402-C044-43E1-9575-B5DE26803DB6}"/>
    <hyperlink ref="O111" r:id="rId4665" xr:uid="{42FC2B05-1040-41B0-9ADD-ED01CF4D2409}"/>
    <hyperlink ref="O112" r:id="rId4666" xr:uid="{BC47A4CF-A964-4EEF-8B5F-36E353327041}"/>
    <hyperlink ref="O113" r:id="rId4667" xr:uid="{EB28BF68-5333-4AD4-9DE6-4523140845DC}"/>
    <hyperlink ref="O97" r:id="rId4668" xr:uid="{B39E4652-C64C-4AB8-809C-37CF71DF12B1}"/>
    <hyperlink ref="O100" r:id="rId4669" xr:uid="{563A2AAF-975C-40F6-9FB7-070623F39334}"/>
    <hyperlink ref="O114" r:id="rId4670" xr:uid="{8A23D7E5-ABCD-41DD-8DCA-164BCAA73829}"/>
    <hyperlink ref="O115" r:id="rId4671" xr:uid="{ECE95CEE-1552-4FD3-854A-28FA10295F3E}"/>
    <hyperlink ref="O116" r:id="rId4672" xr:uid="{DD9EFE99-1CC1-4F18-A33C-5C2BC58EE6FF}"/>
    <hyperlink ref="O117" r:id="rId4673" xr:uid="{80367FAA-C65A-4F1E-8764-DF6B9421E628}"/>
    <hyperlink ref="O118" r:id="rId4674" xr:uid="{FD3E53A4-43A7-4D83-BA8B-6180F8561BEE}"/>
    <hyperlink ref="O119" r:id="rId4675" xr:uid="{311A56EE-407E-4988-896D-855F68A5E07E}"/>
    <hyperlink ref="O120" r:id="rId4676" xr:uid="{E5CABB93-1A6A-4F96-A9F4-2C7491E15708}"/>
    <hyperlink ref="O121" r:id="rId4677" xr:uid="{7520DB14-E868-4159-8FD6-B8099BD07D9C}"/>
    <hyperlink ref="O122" r:id="rId4678" xr:uid="{598283D8-4604-4A15-B53B-3C0F0A6AE437}"/>
    <hyperlink ref="O123" r:id="rId4679" xr:uid="{9B09A984-DE2E-4E75-B183-67AED3DE3CC7}"/>
    <hyperlink ref="O124" r:id="rId4680" xr:uid="{0C2AAB08-8301-45D6-8764-10822B0BAE62}"/>
    <hyperlink ref="O125" r:id="rId4681" xr:uid="{DB2FC31C-9527-4541-A281-F3800CF059EE}"/>
    <hyperlink ref="O126" r:id="rId4682" xr:uid="{DB088E32-7DFA-4124-8B96-7BB2BC00089C}"/>
    <hyperlink ref="O128" r:id="rId4683" xr:uid="{B41D4833-4FEB-401D-9B97-2C980075079A}"/>
    <hyperlink ref="O127" r:id="rId4684" xr:uid="{F9A52E77-75DE-4BBB-A4D7-B84CF19F2EDE}"/>
    <hyperlink ref="N64" r:id="rId4685" xr:uid="{BC6F9DBC-C9D5-4DF0-B782-11CA71BC9770}"/>
    <hyperlink ref="N65" r:id="rId4686" xr:uid="{EA09D539-835C-40B8-84DB-6173286F9FDF}"/>
    <hyperlink ref="N66" r:id="rId4687" xr:uid="{F07ADBEE-0E94-4CD5-B1E6-2856FD6E91A9}"/>
    <hyperlink ref="N67" r:id="rId4688" xr:uid="{978DC482-2EB4-469F-9FD7-F1AD63015C48}"/>
    <hyperlink ref="N68" r:id="rId4689" xr:uid="{50DC218A-1412-45FD-B871-32947AC2FEBE}"/>
    <hyperlink ref="N69" r:id="rId4690" xr:uid="{7F871815-D1B7-42DC-86E0-F79C34F905CF}"/>
    <hyperlink ref="N70" r:id="rId4691" xr:uid="{D4118286-1C7C-454E-A4A6-B9363E66E834}"/>
    <hyperlink ref="N71" r:id="rId4692" xr:uid="{6CAB8245-12DF-410A-969F-FDB9260480F0}"/>
    <hyperlink ref="N72" r:id="rId4693" xr:uid="{C9114D27-B26E-4539-B915-F062CDA5FA91}"/>
    <hyperlink ref="N73" r:id="rId4694" xr:uid="{1F912D13-AB83-461B-A491-FEDED5C8DBE4}"/>
    <hyperlink ref="N74" r:id="rId4695" xr:uid="{4BB531C1-C960-4ABD-A33E-1CE1308E6438}"/>
    <hyperlink ref="N75" r:id="rId4696" xr:uid="{EDB47BAB-7C71-4D61-86DE-451FB66C8836}"/>
    <hyperlink ref="N76" r:id="rId4697" xr:uid="{6864C651-44B8-494F-A07C-48A5F1CFBC20}"/>
    <hyperlink ref="N77" r:id="rId4698" xr:uid="{9F558439-486B-4F03-9179-82A405A68944}"/>
    <hyperlink ref="N78" r:id="rId4699" xr:uid="{A99D34B6-B657-433F-B43F-6CA0161D9D6C}"/>
    <hyperlink ref="N79" r:id="rId4700" xr:uid="{6AA8FB6A-B24D-4444-9BD7-67291CEC4E75}"/>
    <hyperlink ref="N80" r:id="rId4701" xr:uid="{53749F04-E289-4325-AAC3-E5706864EBF4}"/>
    <hyperlink ref="N81" r:id="rId4702" xr:uid="{8F0F41E6-6723-45BA-AB90-49D836665BB6}"/>
    <hyperlink ref="N82" r:id="rId4703" xr:uid="{1D7D7E92-A428-4614-BCC7-3323A8EB9D62}"/>
    <hyperlink ref="N83" r:id="rId4704" xr:uid="{689CC3A1-89F7-47C2-AD1A-CA0271FFCD81}"/>
    <hyperlink ref="N84" r:id="rId4705" xr:uid="{24438147-71AF-42C3-BD17-4CF039CB0A2C}"/>
    <hyperlink ref="N85" r:id="rId4706" xr:uid="{CA2D0564-E461-4893-BBE3-85AB5EE4CDEA}"/>
    <hyperlink ref="N86" r:id="rId4707" xr:uid="{92F6EDDA-5737-406E-B11F-9FBDB7E16255}"/>
    <hyperlink ref="N87" r:id="rId4708" xr:uid="{42628FE1-5BF9-4341-9AB5-EE23E5B71D83}"/>
    <hyperlink ref="N88" r:id="rId4709" xr:uid="{B80427AA-3777-4333-A318-430E1D52B862}"/>
    <hyperlink ref="N89" r:id="rId4710" xr:uid="{74129BCC-F3A9-4E8E-AAA8-DE7C8974AFE1}"/>
    <hyperlink ref="N90" r:id="rId4711" xr:uid="{54790D09-D933-4C5F-8CAD-13CF86C96CBD}"/>
    <hyperlink ref="N91" r:id="rId4712" xr:uid="{C106DDF7-B70A-41F5-A3DC-B0CEB01A21B6}"/>
    <hyperlink ref="N92" r:id="rId4713" xr:uid="{864DA571-C7C9-4AD0-A026-96CC4B2FDA7A}"/>
    <hyperlink ref="N93" r:id="rId4714" xr:uid="{E90162EE-FD6B-4A07-8725-F2797A6EDADE}"/>
    <hyperlink ref="N94" r:id="rId4715" xr:uid="{83DE1E71-6A32-48BD-8220-E44BA73B6E7B}"/>
    <hyperlink ref="N95" r:id="rId4716" xr:uid="{428622F7-0E0D-4B0B-BDBF-237979588EAB}"/>
    <hyperlink ref="N96" r:id="rId4717" xr:uid="{4EBABA4F-BD53-45DB-91C6-E00CCAA4512D}"/>
    <hyperlink ref="N97" r:id="rId4718" xr:uid="{2D04EE0C-C7A2-462E-A6D7-B216863637DA}"/>
    <hyperlink ref="N98" r:id="rId4719" xr:uid="{33F2F3D6-A06F-46B5-B512-E74D619D2F19}"/>
    <hyperlink ref="N99" r:id="rId4720" xr:uid="{7AA857A6-495C-4B00-85DB-C71BE07AD980}"/>
    <hyperlink ref="N100" r:id="rId4721" xr:uid="{A3CA4D5C-C1CF-4237-A834-474A588040C8}"/>
    <hyperlink ref="N101" r:id="rId4722" xr:uid="{682C69DC-28A5-4B18-9D94-745A40AEBD55}"/>
    <hyperlink ref="N102" r:id="rId4723" xr:uid="{66CBA82D-F134-4BBD-A556-C9D839BF6AEF}"/>
    <hyperlink ref="N103" r:id="rId4724" xr:uid="{9914ADF8-6B73-4D1C-A228-1EFC718EBF98}"/>
    <hyperlink ref="N104" r:id="rId4725" xr:uid="{22EDE1D2-6B62-4A23-B25F-A019A0647FDA}"/>
    <hyperlink ref="N105" r:id="rId4726" xr:uid="{80216805-0E03-4791-B173-EB00751F12A2}"/>
    <hyperlink ref="N106" r:id="rId4727" xr:uid="{2490C393-876A-471A-8EB8-D550649B041F}"/>
    <hyperlink ref="N107" r:id="rId4728" xr:uid="{C9505FF9-67ED-46C3-ACC6-53CC5B4A5A5D}"/>
    <hyperlink ref="N108" r:id="rId4729" xr:uid="{B3181DDC-BADA-43DB-82A1-BDD005442E5A}"/>
    <hyperlink ref="N109" r:id="rId4730" xr:uid="{744E5AFE-ADCA-40CA-8B11-2691AB0389CA}"/>
    <hyperlink ref="N110" r:id="rId4731" xr:uid="{A4170FB3-2299-4175-8166-B436272C45B3}"/>
    <hyperlink ref="N111" r:id="rId4732" xr:uid="{121ECF36-D0FD-46C7-BFC5-45E3FB78E0A7}"/>
    <hyperlink ref="N112" r:id="rId4733" xr:uid="{37C55F73-A4A8-4809-8054-30412D805C09}"/>
    <hyperlink ref="N113" r:id="rId4734" xr:uid="{AA5042A0-7704-41E9-8848-A3D3C765F7BB}"/>
    <hyperlink ref="N114" r:id="rId4735" xr:uid="{B807A3C7-09FE-4361-822C-C249968F360E}"/>
    <hyperlink ref="N115" r:id="rId4736" xr:uid="{70FBC3C5-46C3-4CCA-B504-0AE384DFC8C7}"/>
    <hyperlink ref="N116" r:id="rId4737" xr:uid="{64AF88A6-9CE6-46D9-8701-FF6013FDF9D9}"/>
    <hyperlink ref="N117" r:id="rId4738" xr:uid="{25457C10-7A7E-4B9B-8888-EDBD7B16507D}"/>
    <hyperlink ref="N118" r:id="rId4739" xr:uid="{4BD95524-7167-409F-9507-7BEEFCF40146}"/>
    <hyperlink ref="N119" r:id="rId4740" xr:uid="{623E9C48-F19F-4144-B0F9-0BEFD06DB9F7}"/>
    <hyperlink ref="N120" r:id="rId4741" xr:uid="{645C445E-5DA7-4737-8A33-79ADEF901F96}"/>
    <hyperlink ref="N121" r:id="rId4742" xr:uid="{FECAD2BF-7359-44E3-8C19-B8EA7C47767D}"/>
    <hyperlink ref="N122" r:id="rId4743" xr:uid="{23ADF519-505E-4C86-B8A5-5F694D6275DC}"/>
    <hyperlink ref="N123" r:id="rId4744" xr:uid="{B41230D0-9848-4815-8ABF-F58228D8AA32}"/>
    <hyperlink ref="N124" r:id="rId4745" xr:uid="{C9DC2A3B-8909-427A-9257-F720FA69FA85}"/>
    <hyperlink ref="N125" r:id="rId4746" xr:uid="{6C9D374E-F04D-426C-8141-DD026D534BD9}"/>
    <hyperlink ref="N126" r:id="rId4747" xr:uid="{0691D5CE-34FF-489D-A262-9782C157BF84}"/>
    <hyperlink ref="N127" r:id="rId4748" xr:uid="{C5FD8508-854A-4C02-82DE-4ECBCFE39C60}"/>
    <hyperlink ref="N128" r:id="rId4749" xr:uid="{0A94796D-06F7-4DEB-887A-2EAA213AF591}"/>
    <hyperlink ref="N129" r:id="rId4750" xr:uid="{DD5D9F9C-012B-43A0-9CD4-8D4F8D132C01}"/>
    <hyperlink ref="N130" r:id="rId4751" xr:uid="{F0C6E006-A339-4FF7-80F4-26AB976E71DE}"/>
    <hyperlink ref="N131" r:id="rId4752" xr:uid="{4EF7D256-1D11-49A9-9F84-3B8FB4A58F1E}"/>
    <hyperlink ref="N132" r:id="rId4753" xr:uid="{16E604F3-7609-49A7-B97D-AFDABEA9B22E}"/>
    <hyperlink ref="N133" r:id="rId4754" xr:uid="{E722E770-505D-4B8F-96E8-1D4C72C9905D}"/>
    <hyperlink ref="N134" r:id="rId4755" xr:uid="{BFC2CD13-90ED-4022-99B1-F262F3FF70E0}"/>
    <hyperlink ref="N135" r:id="rId4756" xr:uid="{F9358354-BA00-4D3A-A598-2F113BAFC41F}"/>
    <hyperlink ref="N136" r:id="rId4757" xr:uid="{166A6CD2-5E70-4D35-82E5-B885C889985D}"/>
    <hyperlink ref="N137" r:id="rId4758" xr:uid="{F9347094-2ADE-42AA-8A51-32EC0BB4220E}"/>
    <hyperlink ref="N138" r:id="rId4759" xr:uid="{BE171E86-CD22-487B-B006-29E75D7AED66}"/>
    <hyperlink ref="N139" r:id="rId4760" xr:uid="{EFFDBF1E-F440-41E6-A279-A5447B94D523}"/>
    <hyperlink ref="N140" r:id="rId4761" xr:uid="{29DC3591-2F53-4CF5-B93D-C6C9EB6A09D7}"/>
    <hyperlink ref="N141" r:id="rId4762" xr:uid="{3E1A1D1A-A0D1-4809-B545-63CE1F9EF029}"/>
    <hyperlink ref="N142" r:id="rId4763" xr:uid="{8D180DAD-C457-4DEC-A347-A6DFE00BDA5D}"/>
    <hyperlink ref="N143" r:id="rId4764" xr:uid="{62BEDCC1-3BDF-467E-9F6F-9F5FB53A7BB2}"/>
    <hyperlink ref="N144" r:id="rId4765" xr:uid="{0C3411E3-4D72-41CE-B60C-03ACEFEADA37}"/>
    <hyperlink ref="N145" r:id="rId4766" xr:uid="{D5037710-BB31-4283-B6FA-2BA477883202}"/>
    <hyperlink ref="N146" r:id="rId4767" xr:uid="{F3FA25AD-2EE6-4972-8C61-DF144AC65932}"/>
    <hyperlink ref="N147" r:id="rId4768" xr:uid="{890734B3-F179-4DD4-8E68-19622B267125}"/>
    <hyperlink ref="N148" r:id="rId4769" xr:uid="{89133685-7A62-47F8-8A4D-C2AEBE8BE54B}"/>
    <hyperlink ref="N149" r:id="rId4770" xr:uid="{A3D42228-37D6-4A3A-8E0D-CF33DE28AC3D}"/>
    <hyperlink ref="N150" r:id="rId4771" xr:uid="{927B5A09-21E2-4115-87BF-C020E29CB779}"/>
    <hyperlink ref="N151" r:id="rId4772" xr:uid="{5A2EF17B-4C4B-4019-8014-AEAE28BBBCDB}"/>
    <hyperlink ref="N152" r:id="rId4773" xr:uid="{1DE6DD64-DE70-4161-8C3F-135E6614BEEC}"/>
    <hyperlink ref="N153" r:id="rId4774" xr:uid="{C2988EDA-9CEE-4B69-A16D-DA4D27F9EB12}"/>
    <hyperlink ref="N154" r:id="rId4775" xr:uid="{63D4390B-0325-4607-AA46-7601D4FE5D7B}"/>
    <hyperlink ref="N155" r:id="rId4776" xr:uid="{68E20363-702C-477C-93F3-6B6E54EB5972}"/>
    <hyperlink ref="N156" r:id="rId4777" xr:uid="{C97EBA79-FCDF-49AA-A097-FCA3113604D9}"/>
    <hyperlink ref="N157" r:id="rId4778" xr:uid="{7035BE7C-D282-458D-820E-8AAB0C6C07D8}"/>
    <hyperlink ref="N158" r:id="rId4779" xr:uid="{E9C5B761-2A27-44E8-8849-08D2A78F0C22}"/>
    <hyperlink ref="N159" r:id="rId4780" xr:uid="{9C1E79D8-D160-4E95-A14A-1EA7CAD96ECE}"/>
    <hyperlink ref="N160" r:id="rId4781" xr:uid="{694A5F58-2209-468E-9E84-CDF1F850C15A}"/>
    <hyperlink ref="N161" r:id="rId4782" xr:uid="{13F41F8C-D47D-4FC8-8F5D-93FD155C5615}"/>
    <hyperlink ref="N163" r:id="rId4783" xr:uid="{D5216A64-012F-436A-B064-F06A47167D52}"/>
    <hyperlink ref="N164" r:id="rId4784" xr:uid="{250EF94D-FDB7-4B70-A163-76091C40433A}"/>
    <hyperlink ref="N162" r:id="rId4785" xr:uid="{6D6CD011-F3B5-4798-B994-07515E486D68}"/>
    <hyperlink ref="N165" r:id="rId4786" xr:uid="{B6D7A546-95EE-4CAC-9702-B5E824778A55}"/>
    <hyperlink ref="N166" r:id="rId4787" xr:uid="{F852C17F-E001-4323-91B5-C940998361A4}"/>
    <hyperlink ref="N167" r:id="rId4788" xr:uid="{036C3E64-363E-496D-A673-37C9273989A6}"/>
    <hyperlink ref="N168" r:id="rId4789" xr:uid="{6A0D0EC4-F483-4C99-A735-4D9EC4DD3E1E}"/>
    <hyperlink ref="N169" r:id="rId4790" xr:uid="{7F05E88B-7BE8-4D9C-A53A-618AD111CF14}"/>
    <hyperlink ref="N170" r:id="rId4791" xr:uid="{D7A10069-085D-4D34-9FE6-6BD3F5328031}"/>
    <hyperlink ref="N171" r:id="rId4792" xr:uid="{4A4DDBF7-0DF6-45EA-BE60-575FB0046F1B}"/>
    <hyperlink ref="N172" r:id="rId4793" xr:uid="{46F9D06F-EF03-4762-8F94-5A66738B2756}"/>
    <hyperlink ref="N173" r:id="rId4794" xr:uid="{5CC5323F-F8F0-4A81-A27F-B6500D836A8A}"/>
    <hyperlink ref="N174" r:id="rId4795" xr:uid="{9F45CD30-DB63-4C8E-874E-0777335EE000}"/>
    <hyperlink ref="N175" r:id="rId4796" xr:uid="{008F1B49-9C81-4E8A-987F-139356A44E0A}"/>
    <hyperlink ref="N176" r:id="rId4797" xr:uid="{A4891246-030D-4B30-BC51-5AFE9754E04B}"/>
    <hyperlink ref="N177" r:id="rId4798" xr:uid="{2EE2388E-11D1-4477-AFD8-600911DA0B26}"/>
    <hyperlink ref="N178" r:id="rId4799" xr:uid="{3470DD0C-4562-4980-B13E-06DC38D82168}"/>
    <hyperlink ref="N179" r:id="rId4800" xr:uid="{69FF2F3C-00A8-47DF-9628-457FF4F0612E}"/>
    <hyperlink ref="N180" r:id="rId4801" xr:uid="{0443BA6B-49B8-4EE8-84AE-90A1FEFE5492}"/>
    <hyperlink ref="N181" r:id="rId4802" xr:uid="{342AA5A2-5088-4DE5-A6B8-68C9A1E0A974}"/>
    <hyperlink ref="N182" r:id="rId4803" xr:uid="{22AA1768-5320-4BFB-BBA3-499C088A25C9}"/>
    <hyperlink ref="N183" r:id="rId4804" xr:uid="{883A39EC-54CC-41B5-8C20-3DC540D0F4B9}"/>
    <hyperlink ref="N184" r:id="rId4805" xr:uid="{C8FE5A07-ACF5-4F21-A7DE-FD99C1F6FF53}"/>
    <hyperlink ref="N185" r:id="rId4806" xr:uid="{C44D6496-9BA8-4C23-9695-EEB97E3593C0}"/>
    <hyperlink ref="N186" r:id="rId4807" xr:uid="{33F8384A-E9F3-4A48-A517-B482950B7FA1}"/>
    <hyperlink ref="N187" r:id="rId4808" xr:uid="{72656B34-301D-4E9A-BB60-EC28CE26F274}"/>
    <hyperlink ref="N188" r:id="rId4809" xr:uid="{2E5205DD-7344-4870-95A3-C5AE0A5889C6}"/>
    <hyperlink ref="N189" r:id="rId4810" xr:uid="{AD397945-62F0-4634-BD9C-B06729C3324A}"/>
    <hyperlink ref="N190" r:id="rId4811" xr:uid="{2FD5106A-FB7E-4F24-AB66-B5B352C3578E}"/>
    <hyperlink ref="N191" r:id="rId4812" xr:uid="{FD941E62-99F3-4EE1-AF54-4C6C0F6A6D6B}"/>
    <hyperlink ref="N192" r:id="rId4813" xr:uid="{3A0B60AC-5D9E-462D-8809-2ADCEDA3F529}"/>
    <hyperlink ref="N193" r:id="rId4814" xr:uid="{E0E06C2B-3D01-4A2D-890F-9A081ED3BFB3}"/>
    <hyperlink ref="N194" r:id="rId4815" xr:uid="{D09F758A-CC57-465E-89E8-FC16F5FCDB4A}"/>
    <hyperlink ref="N195" r:id="rId4816" xr:uid="{67293853-9B7F-42D8-9FFC-79741B0F5B6A}"/>
    <hyperlink ref="N196" r:id="rId4817" xr:uid="{7D770A44-1E22-4085-9761-50AC36C25C89}"/>
    <hyperlink ref="N197" r:id="rId4818" xr:uid="{B1F33ED1-3380-4190-ABC7-622A7B269883}"/>
    <hyperlink ref="N198" r:id="rId4819" xr:uid="{B188652E-CD1F-4EA3-A19E-791D38F2198F}"/>
    <hyperlink ref="N199" r:id="rId4820" xr:uid="{60DCFE43-5DD5-498E-A427-998CC6AD4F61}"/>
    <hyperlink ref="N200" r:id="rId4821" xr:uid="{F2C4413F-BEC0-4D3A-9603-897F2F29463B}"/>
    <hyperlink ref="N201" r:id="rId4822" xr:uid="{CEA91302-4010-4ED8-8142-1C3A4F98C1E4}"/>
    <hyperlink ref="N202" r:id="rId4823" xr:uid="{B364C661-459A-42C3-BCC9-CBC00E97FD06}"/>
    <hyperlink ref="N203" r:id="rId4824" xr:uid="{F84C57E1-2334-41F1-97D5-26504525666D}"/>
    <hyperlink ref="N204" r:id="rId4825" xr:uid="{3CD08D68-A266-4637-83E5-5FC21A935246}"/>
    <hyperlink ref="N205" r:id="rId4826" xr:uid="{AEA4E521-BB9E-467B-B456-331E6A2F0798}"/>
    <hyperlink ref="N206" r:id="rId4827" xr:uid="{C082802A-B86A-4E7C-B930-0E35F59FEE20}"/>
    <hyperlink ref="N207" r:id="rId4828" xr:uid="{3E3AE2C1-B645-402F-8703-4C82F04B1B1A}"/>
    <hyperlink ref="N208" r:id="rId4829" xr:uid="{DC82563B-D030-44CB-9696-DF6292C15334}"/>
    <hyperlink ref="N209" r:id="rId4830" xr:uid="{9753AA0C-96D8-460F-8A54-5DDA145E2E73}"/>
    <hyperlink ref="N210" r:id="rId4831" xr:uid="{38483247-D545-48D7-A84B-F3B234826C11}"/>
    <hyperlink ref="N211" r:id="rId4832" xr:uid="{8D45DDCB-93DB-4DD6-96AE-E42E8DF88346}"/>
    <hyperlink ref="N212" r:id="rId4833" xr:uid="{8DEDA5C2-1971-454F-9C12-6B79C7D26C17}"/>
    <hyperlink ref="N213" r:id="rId4834" xr:uid="{913875BB-73E0-4AF3-81B5-4EB4E5EE9BEE}"/>
    <hyperlink ref="N214" r:id="rId4835" xr:uid="{E0E23EC8-5428-4A76-AFE5-91F4B8B3040C}"/>
    <hyperlink ref="N215" r:id="rId4836" xr:uid="{CF66FE33-8B78-4B52-9A52-A4719C6694EC}"/>
    <hyperlink ref="N216" r:id="rId4837" xr:uid="{F84E2552-3542-4B35-A41E-271CD1BEB3D9}"/>
    <hyperlink ref="N217" r:id="rId4838" xr:uid="{7A554735-2152-4446-B367-8A1897B16052}"/>
    <hyperlink ref="N218" r:id="rId4839" xr:uid="{989DADA9-1C29-4614-88DB-642633F62E95}"/>
    <hyperlink ref="N219" r:id="rId4840" xr:uid="{9EDC0CE3-CBE9-46F3-8966-95C4077650C6}"/>
    <hyperlink ref="N220" r:id="rId4841" xr:uid="{B9E8332E-18D9-41AC-A91C-89AEEA999A30}"/>
    <hyperlink ref="N221" r:id="rId4842" xr:uid="{00F2AE0E-26E8-4937-A947-C1D98C8D66E7}"/>
    <hyperlink ref="N222" r:id="rId4843" xr:uid="{2792D20F-6EA0-4E2C-BAC8-F5EBA1912E17}"/>
    <hyperlink ref="N223" r:id="rId4844" xr:uid="{ADF47239-B4C7-47B3-961C-042C2B31D158}"/>
    <hyperlink ref="N224" r:id="rId4845" xr:uid="{07AFD902-484E-4967-9690-D80C0FF3F40A}"/>
    <hyperlink ref="N225" r:id="rId4846" xr:uid="{D4528FF6-2D3E-4A23-8662-45EF6ECA5A77}"/>
    <hyperlink ref="N226" r:id="rId4847" xr:uid="{9A0969EF-692B-4CD3-895F-01416113FBD7}"/>
    <hyperlink ref="N227" r:id="rId4848" xr:uid="{52210F5F-CE4D-4174-8C28-A6215A762D4F}"/>
    <hyperlink ref="N228" r:id="rId4849" xr:uid="{603FED47-7D0A-4A1C-9115-91E1FC5F996F}"/>
    <hyperlink ref="N229" r:id="rId4850" xr:uid="{6FC2737B-F06A-495A-A7F7-C0BB0092C964}"/>
    <hyperlink ref="N230" r:id="rId4851" xr:uid="{64BAC5E1-2294-40DA-B5E0-23702EF24A6C}"/>
    <hyperlink ref="N231" r:id="rId4852" xr:uid="{23CA5BEA-46BB-4C43-82F4-70DB88954702}"/>
    <hyperlink ref="N232" r:id="rId4853" xr:uid="{D33421F6-7161-4265-9BCE-153BADCAD447}"/>
    <hyperlink ref="N233" r:id="rId4854" xr:uid="{BFF873E0-A660-49DF-8546-2111A5BAA875}"/>
    <hyperlink ref="N234" r:id="rId4855" xr:uid="{5F0C6CFF-0C79-4781-8A58-E942FA663A52}"/>
    <hyperlink ref="N235" r:id="rId4856" xr:uid="{123304DF-CFA9-4FD8-8A7E-C266F0C338AC}"/>
    <hyperlink ref="N236" r:id="rId4857" xr:uid="{593B1025-0479-4757-A14A-91470B2F0361}"/>
    <hyperlink ref="N237" r:id="rId4858" xr:uid="{D6D6FC7E-C879-41C3-985E-C8FD83283499}"/>
    <hyperlink ref="N238" r:id="rId4859" xr:uid="{A214650A-41F3-4A57-A7B2-C5A3065EBDC0}"/>
    <hyperlink ref="N239" r:id="rId4860" xr:uid="{9A061441-487B-428E-B481-BE328B483BEF}"/>
    <hyperlink ref="N240" r:id="rId4861" xr:uid="{330BB71E-90C6-489D-9D20-7A3A578306CB}"/>
    <hyperlink ref="N241" r:id="rId4862" xr:uid="{DCDF7367-2F12-4975-BF7F-4056630CFDE4}"/>
    <hyperlink ref="N242" r:id="rId4863" xr:uid="{1076AF6F-96C5-4D9A-B77E-CFEFD4B7ECBB}"/>
    <hyperlink ref="N243" r:id="rId4864" xr:uid="{B386D6C0-78C4-4FB5-999D-1AA29D228CE8}"/>
    <hyperlink ref="N244" r:id="rId4865" xr:uid="{03818AAA-ECB6-4B91-9953-B06780072187}"/>
    <hyperlink ref="N245" r:id="rId4866" xr:uid="{85B0C079-A2B3-4B66-B322-CAA9192E9828}"/>
    <hyperlink ref="N246" r:id="rId4867" xr:uid="{7DD9920E-03C3-4432-B3BA-7A769C38B8C6}"/>
    <hyperlink ref="N247" r:id="rId4868" xr:uid="{47DB22E5-3BD1-4FC6-AAAC-9AF07AC61D14}"/>
    <hyperlink ref="N248" r:id="rId4869" xr:uid="{D08FD5F5-7001-4D63-BE8F-8D01AEB58632}"/>
    <hyperlink ref="N249" r:id="rId4870" xr:uid="{E727C3F4-76F5-460F-AF4E-27805DB387E3}"/>
    <hyperlink ref="N250" r:id="rId4871" xr:uid="{0DA4A603-C843-4FC0-A66B-757395B54817}"/>
    <hyperlink ref="N251" r:id="rId4872" xr:uid="{233D2086-0B1B-476C-8E00-647F5EA8C410}"/>
    <hyperlink ref="N252" r:id="rId4873" xr:uid="{4968AF6B-624D-404F-9F04-3FA55DD072EE}"/>
    <hyperlink ref="N253" r:id="rId4874" xr:uid="{987283EB-326F-4C4A-B63B-71DB7F29BE01}"/>
    <hyperlink ref="N254" r:id="rId4875" xr:uid="{445C6567-ED9F-4478-B7A1-CE90A1912EAF}"/>
    <hyperlink ref="N255" r:id="rId4876" xr:uid="{0F4ECB2F-221D-45AD-B2A0-4BE80FD0254F}"/>
    <hyperlink ref="N256" r:id="rId4877" xr:uid="{40191DA1-B2BD-4D01-B75D-AAA3E43FE853}"/>
    <hyperlink ref="N257" r:id="rId4878" xr:uid="{EFB714E4-CEDD-4E37-BAA0-21B99A416BF7}"/>
    <hyperlink ref="N258" r:id="rId4879" xr:uid="{8EEFFDF4-99E6-4EF4-95B9-B1DAED96EA6B}"/>
    <hyperlink ref="N259" r:id="rId4880" xr:uid="{94E8B662-74D8-4136-AC25-712BC4738C98}"/>
    <hyperlink ref="N260" r:id="rId4881" xr:uid="{70D8696D-022F-4006-927E-B22AE3D61587}"/>
    <hyperlink ref="N261" r:id="rId4882" xr:uid="{BE5E85B9-7C34-41F7-86EF-4031995699FB}"/>
    <hyperlink ref="N262" r:id="rId4883" xr:uid="{CF51A7A6-406B-43C2-B014-4E72CE667C91}"/>
    <hyperlink ref="N263" r:id="rId4884" xr:uid="{58479270-7AD7-4392-99D5-B3E3485B5853}"/>
    <hyperlink ref="N264" r:id="rId4885" xr:uid="{404F28A9-2338-436E-8ED7-DAC8A6C98745}"/>
    <hyperlink ref="N265" r:id="rId4886" xr:uid="{DF6FAE30-B318-423E-9113-C703F4156B34}"/>
    <hyperlink ref="N266" r:id="rId4887" xr:uid="{4A27E3ED-2686-4DB0-AFDA-65D6C1949639}"/>
    <hyperlink ref="N267" r:id="rId4888" xr:uid="{8DC21135-C402-4273-B607-D17DCAD9339D}"/>
    <hyperlink ref="N268" r:id="rId4889" xr:uid="{6C6FD26F-C24F-4CD4-917B-94DFE6FFD448}"/>
    <hyperlink ref="N269" r:id="rId4890" xr:uid="{D77286B3-0A27-4BCF-BEC8-C81488728FCA}"/>
    <hyperlink ref="N270" r:id="rId4891" xr:uid="{8453B75C-3F08-407F-95D6-0904F1714E77}"/>
    <hyperlink ref="N271" r:id="rId4892" xr:uid="{1AB40821-8E38-494B-8831-C9AE5A36BD4B}"/>
    <hyperlink ref="N272" r:id="rId4893" xr:uid="{D2366E43-5112-4B05-ACA8-02BDFAAA7008}"/>
    <hyperlink ref="N273" r:id="rId4894" xr:uid="{8AE669AF-1CBD-48DA-AF28-D053F22EC059}"/>
    <hyperlink ref="N274" r:id="rId4895" xr:uid="{D13AC05C-A984-4BE9-817D-3E108825B70E}"/>
    <hyperlink ref="N275" r:id="rId4896" xr:uid="{821CECB3-C3B6-478A-9496-F73760EA11F7}"/>
    <hyperlink ref="N276" r:id="rId4897" xr:uid="{ED730A3F-3183-4C6E-BE30-61817A02BC9D}"/>
    <hyperlink ref="N277" r:id="rId4898" xr:uid="{EEAC2EED-1AA4-465B-A2B4-0EA310866C5E}"/>
    <hyperlink ref="N278" r:id="rId4899" xr:uid="{36B1EF9C-12F0-4C25-A4EE-C687BD709650}"/>
    <hyperlink ref="N279" r:id="rId4900" xr:uid="{3F13A2ED-7548-400E-8254-ECEB5DE724CB}"/>
    <hyperlink ref="N280" r:id="rId4901" xr:uid="{0F529397-0FF1-4891-8B42-5EDED2CEBBCC}"/>
    <hyperlink ref="N281" r:id="rId4902" xr:uid="{145CD018-BE82-4DDC-8409-3714A3A05889}"/>
    <hyperlink ref="N282" r:id="rId4903" xr:uid="{98E49BBE-612B-4E7C-906A-4D3DBBDA1320}"/>
    <hyperlink ref="N283" r:id="rId4904" xr:uid="{C83A220A-6B63-4B1D-AFC7-7F84ECED5AD5}"/>
    <hyperlink ref="N284" r:id="rId4905" xr:uid="{9BDB2AC3-A57F-4870-A73D-01015DA8239E}"/>
    <hyperlink ref="N285" r:id="rId4906" xr:uid="{A7185075-D078-4A1A-96E6-CC74DA23FE00}"/>
    <hyperlink ref="N286" r:id="rId4907" xr:uid="{D03BB241-3837-4441-BB1B-F04A9FA30730}"/>
    <hyperlink ref="N287" r:id="rId4908" xr:uid="{CD3DD249-D9A4-4204-9661-B3D4CA006E23}"/>
    <hyperlink ref="N288" r:id="rId4909" xr:uid="{B9B1BBFB-47EC-444A-B09E-D1309D7BE35B}"/>
    <hyperlink ref="N289" r:id="rId4910" xr:uid="{276D75EA-7EA4-4BAA-8E77-32C345EC6462}"/>
    <hyperlink ref="N290" r:id="rId4911" xr:uid="{FC78ECE4-24FD-4726-B3B2-50ACA28CE68F}"/>
    <hyperlink ref="N291" r:id="rId4912" xr:uid="{73EC7AB1-0E85-47BA-AF53-7D8C2E182619}"/>
    <hyperlink ref="N292" r:id="rId4913" xr:uid="{01B0E451-D8CD-4437-A1D1-AF18E496EC0C}"/>
    <hyperlink ref="N293" r:id="rId4914" xr:uid="{645EA1D9-1B6B-469F-9F1C-6D3AAB81D6C2}"/>
    <hyperlink ref="N294" r:id="rId4915" xr:uid="{9E5C9AE1-109C-4231-8212-64B1636DA617}"/>
    <hyperlink ref="N295" r:id="rId4916" xr:uid="{B78FF1A4-7D75-4D37-AFD4-D144C6CD6787}"/>
    <hyperlink ref="N296" r:id="rId4917" xr:uid="{42D7B324-7B5A-4E70-BE39-B06D001F4580}"/>
    <hyperlink ref="N297" r:id="rId4918" xr:uid="{91C7CBCF-059F-4BEF-B5D4-1FCAD95F514C}"/>
    <hyperlink ref="N298" r:id="rId4919" xr:uid="{E249DB1A-B764-47EB-95D7-3927F1B8AE4D}"/>
    <hyperlink ref="N299" r:id="rId4920" xr:uid="{E23FB884-3DB8-468C-893D-720CCAAF4A69}"/>
    <hyperlink ref="N300" r:id="rId4921" xr:uid="{285EEC80-0E0A-4C29-8834-898F71C3911D}"/>
    <hyperlink ref="N301" r:id="rId4922" xr:uid="{0442B2DC-B04B-4A3C-A7B1-58D0BDE3447A}"/>
    <hyperlink ref="N302" r:id="rId4923" xr:uid="{B3742538-00C2-42A8-AA70-90012A03140F}"/>
    <hyperlink ref="N303" r:id="rId4924" xr:uid="{5C2E2310-2B05-43F2-AA50-DEC732D55091}"/>
    <hyperlink ref="N304" r:id="rId4925" xr:uid="{C3551386-861D-4E69-A6EC-F427BC86973B}"/>
    <hyperlink ref="N305" r:id="rId4926" xr:uid="{A7BF64E3-93A5-4E3A-96C9-AB9098730A1A}"/>
    <hyperlink ref="N306" r:id="rId4927" xr:uid="{B4C09302-A721-4B6A-8268-D11367894A56}"/>
    <hyperlink ref="N307" r:id="rId4928" xr:uid="{35B1E2F5-0060-4FAC-A909-AAFD2352B23C}"/>
    <hyperlink ref="N308" r:id="rId4929" xr:uid="{AD666F51-346C-40D9-9F73-D557678BF1D5}"/>
    <hyperlink ref="N309" r:id="rId4930" xr:uid="{EF5DF32C-6CDA-47BB-A07E-128AB8A0CB27}"/>
    <hyperlink ref="N310" r:id="rId4931" xr:uid="{9FFDD388-B8AF-4938-86C1-E676F7EF8A90}"/>
    <hyperlink ref="N311" r:id="rId4932" xr:uid="{DD624BC0-B33D-4886-B7B4-D7E88A64D96A}"/>
    <hyperlink ref="N312" r:id="rId4933" xr:uid="{ABA29DB4-2610-43F2-8FAD-414523841928}"/>
    <hyperlink ref="N313" r:id="rId4934" xr:uid="{6CC49112-6362-4CD2-A939-DB39CA519B11}"/>
    <hyperlink ref="N315" r:id="rId4935" xr:uid="{176593A5-D862-4436-9022-8B3E2FD9CEE8}"/>
    <hyperlink ref="N316" r:id="rId4936" xr:uid="{6A6FC1C5-044F-4706-8EF3-ADDFD34E0123}"/>
    <hyperlink ref="N317" r:id="rId4937" xr:uid="{F0719339-8416-4A77-8B8A-218BBF9C4482}"/>
    <hyperlink ref="N318" r:id="rId4938" xr:uid="{3B58F3CD-9118-443C-82EB-3C75C65610FF}"/>
    <hyperlink ref="N319" r:id="rId4939" xr:uid="{39155718-26F2-4DCF-A33A-F00E579C5461}"/>
    <hyperlink ref="N320" r:id="rId4940" xr:uid="{F8A9F2DF-8701-4DCE-AFDD-E47FA59A035D}"/>
    <hyperlink ref="N321" r:id="rId4941" xr:uid="{5A427991-DEA4-4800-AA24-D53607807CC8}"/>
    <hyperlink ref="N322" r:id="rId4942" xr:uid="{E6FBB947-D584-4CDE-96F0-654613AD993A}"/>
    <hyperlink ref="N323" r:id="rId4943" xr:uid="{198D9E6F-08AE-4042-A48C-084B83F2EBD1}"/>
    <hyperlink ref="N324" r:id="rId4944" xr:uid="{92B3E07C-8411-4775-A6E3-EA7E3706582C}"/>
    <hyperlink ref="N325" r:id="rId4945" xr:uid="{C8E06FCA-616C-474F-9008-DA2FE4D28564}"/>
    <hyperlink ref="N326" r:id="rId4946" xr:uid="{2F05F101-3D91-4C89-9FDE-256342B592B8}"/>
    <hyperlink ref="N327" r:id="rId4947" xr:uid="{8B4FD141-CBAA-483B-B76A-9AA026379AF0}"/>
    <hyperlink ref="N328" r:id="rId4948" xr:uid="{2A5AB67C-1C0D-4BAC-B7BD-1EC1779A1E75}"/>
    <hyperlink ref="N329" r:id="rId4949" xr:uid="{2B1E70E4-3089-416E-B9A4-4A42C149EFA0}"/>
    <hyperlink ref="N330" r:id="rId4950" xr:uid="{02056250-1A67-4E5C-BB5C-0330A32A881C}"/>
    <hyperlink ref="N331" r:id="rId4951" xr:uid="{21A6DD3D-1328-45B2-9FC6-C9C3900B066C}"/>
    <hyperlink ref="N332" r:id="rId4952" xr:uid="{D441583D-111F-4A79-A44C-0C8012222AA3}"/>
    <hyperlink ref="N333" r:id="rId4953" xr:uid="{D1AD4F15-EECE-403C-9A3A-4B86A34BF41F}"/>
    <hyperlink ref="N334" r:id="rId4954" xr:uid="{FEB21765-85CC-4E26-8991-CCCF1B03CADB}"/>
    <hyperlink ref="N335" r:id="rId4955" xr:uid="{58F41281-21D8-4A6B-8A39-7958CB8F3C24}"/>
    <hyperlink ref="N336" r:id="rId4956" xr:uid="{26A6C35D-8EEB-4A6C-A2E6-0B4C5C93E493}"/>
    <hyperlink ref="N337" r:id="rId4957" xr:uid="{8AB766FB-35DE-4071-852B-B277EBC5EF07}"/>
    <hyperlink ref="N338" r:id="rId4958" xr:uid="{47999E55-69EE-48FA-932C-44EB3F554610}"/>
    <hyperlink ref="N339" r:id="rId4959" xr:uid="{2CBCD3A2-2310-49E5-9D64-87776E07243B}"/>
    <hyperlink ref="N340" r:id="rId4960" xr:uid="{FC5E0160-546F-4413-8751-B6D260DD08CD}"/>
    <hyperlink ref="N341" r:id="rId4961" xr:uid="{02E4A1FB-2489-4428-BD52-65F131CD3F77}"/>
    <hyperlink ref="N314" r:id="rId4962" xr:uid="{C5C7577E-161D-4067-AA84-0E362D38B87E}"/>
    <hyperlink ref="N345" r:id="rId4963" xr:uid="{95063ACE-813F-4D5D-92B0-D8BB1584BB65}"/>
    <hyperlink ref="N342" r:id="rId4964" xr:uid="{7F1F1B95-ABC4-455A-B4EA-483D57E4F462}"/>
    <hyperlink ref="N343" r:id="rId4965" xr:uid="{415186E8-9F0C-43D8-A639-627F8BEA8F4D}"/>
    <hyperlink ref="N344" r:id="rId4966" xr:uid="{8DAE42B7-7898-4852-9573-5A70F55C5A78}"/>
    <hyperlink ref="N346" r:id="rId4967" xr:uid="{346E60A6-771D-4F08-ACE5-23668CED394B}"/>
    <hyperlink ref="N347" r:id="rId4968" xr:uid="{09EDD085-9661-41D4-817C-C8F698EFD5CD}"/>
    <hyperlink ref="N348" r:id="rId4969" xr:uid="{1C852090-F66F-415E-9680-EEB253AA220A}"/>
    <hyperlink ref="N349" r:id="rId4970" xr:uid="{ED7C31C2-9C04-4417-A244-E4BBE07F00A6}"/>
    <hyperlink ref="N350" r:id="rId4971" xr:uid="{78E28E7A-02EF-42EB-8320-D359EAAFD00A}"/>
    <hyperlink ref="N351" r:id="rId4972" xr:uid="{112FA336-4E8C-4791-A4CE-DC9E50316D18}"/>
    <hyperlink ref="N352" r:id="rId4973" xr:uid="{43F1F208-0F77-40E4-A7D6-076F5D25FA6B}"/>
    <hyperlink ref="N353" r:id="rId4974" xr:uid="{3FDD1317-698D-4D79-9414-84E14FB6AC71}"/>
    <hyperlink ref="N354" r:id="rId4975" xr:uid="{0C4783E2-6DC5-4961-8FAF-3F20554A22FB}"/>
    <hyperlink ref="N355" r:id="rId4976" xr:uid="{65567580-9284-473B-9F30-09DC3B4AE717}"/>
    <hyperlink ref="N356" r:id="rId4977" xr:uid="{150BAD81-41EC-458E-97D9-FF70B9BB944F}"/>
    <hyperlink ref="N357" r:id="rId4978" xr:uid="{D8A143AA-753A-4ACD-B61E-1F25A53B655F}"/>
    <hyperlink ref="N358" r:id="rId4979" xr:uid="{40CE0538-96CD-4B23-99B3-CFD9F0856121}"/>
    <hyperlink ref="N359" r:id="rId4980" xr:uid="{E63BE045-97D9-4996-9CB3-19490C7FD000}"/>
    <hyperlink ref="N360" r:id="rId4981" xr:uid="{DE633C73-FBA1-45E0-8CFB-A776B6F06126}"/>
    <hyperlink ref="N361" r:id="rId4982" xr:uid="{74203D8B-1EC2-4F51-9131-F812E2904EF0}"/>
    <hyperlink ref="N362" r:id="rId4983" xr:uid="{E152FA1F-4562-46FF-9709-3EDD89AAA3BD}"/>
    <hyperlink ref="N363" r:id="rId4984" xr:uid="{5829B998-8EC6-4C46-A12F-36F9C727F130}"/>
    <hyperlink ref="N364" r:id="rId4985" xr:uid="{DABB9822-040C-4AE8-8A98-2FA1E4423484}"/>
    <hyperlink ref="N365" r:id="rId4986" xr:uid="{96E7C8A8-95FD-48BA-B44F-56B8D5479E3A}"/>
    <hyperlink ref="N366" r:id="rId4987" xr:uid="{75EC6A93-8A82-45C8-8CEB-0B02D79AF784}"/>
    <hyperlink ref="N367" r:id="rId4988" xr:uid="{6600C159-9286-4223-8774-0DCD6E0B1BB9}"/>
    <hyperlink ref="N369" r:id="rId4989" xr:uid="{3C00B4CB-6D07-4EE0-9B9D-0483A0C40786}"/>
    <hyperlink ref="N370" r:id="rId4990" xr:uid="{D2C4A1FB-72A8-4C62-9277-89030635E5DA}"/>
    <hyperlink ref="N371" r:id="rId4991" xr:uid="{C1DCB940-421D-41CA-B0F1-04ECDBF96901}"/>
    <hyperlink ref="N372" r:id="rId4992" xr:uid="{705A9C5D-ED0F-480D-8447-40DCE60E11C1}"/>
    <hyperlink ref="N373" r:id="rId4993" xr:uid="{D25088DF-E104-4218-B77D-C3D88EC0669E}"/>
    <hyperlink ref="N374" r:id="rId4994" xr:uid="{2DE1AA40-51A2-4CC1-9A70-4E0ED9DF933A}"/>
    <hyperlink ref="N368" r:id="rId4995" xr:uid="{38F92068-A8B9-4512-9DD0-7C8046E305B1}"/>
    <hyperlink ref="N375" r:id="rId4996" xr:uid="{4658D4B6-0660-432B-8641-9C6942FBCA2A}"/>
    <hyperlink ref="N376" r:id="rId4997" xr:uid="{C95842AB-58BB-4D13-A833-74EFA26CEAF9}"/>
    <hyperlink ref="N377" r:id="rId4998" xr:uid="{3720AD70-4399-47EC-ADA3-6E42708EADC2}"/>
    <hyperlink ref="N378" r:id="rId4999" xr:uid="{37C65184-8601-4C4A-A7B7-7D9045C5C150}"/>
    <hyperlink ref="N379" r:id="rId5000" xr:uid="{DCC03B71-C9F0-4BE0-9996-BE5354206247}"/>
    <hyperlink ref="N380" r:id="rId5001" xr:uid="{855CD63A-FA4F-48EB-9C2F-1AB9374C2766}"/>
    <hyperlink ref="N381" r:id="rId5002" xr:uid="{272C2E8A-EC34-48BA-8EAA-96CAFA6AC227}"/>
    <hyperlink ref="N382" r:id="rId5003" xr:uid="{9852BE00-BF44-4A22-8924-370FE67EE078}"/>
    <hyperlink ref="N383" r:id="rId5004" xr:uid="{42CC3ECB-8C06-499E-93CC-9527FC27102B}"/>
    <hyperlink ref="N384" r:id="rId5005" xr:uid="{11BEC78A-6698-4989-9AFD-F303ABA2C6F1}"/>
    <hyperlink ref="N385" r:id="rId5006" xr:uid="{EB24AD59-4E17-4D17-AD37-3F54336BA0BE}"/>
    <hyperlink ref="N386" r:id="rId5007" xr:uid="{BA6A9E8C-9777-4ADD-B88F-045E7DCBE26B}"/>
    <hyperlink ref="N387" r:id="rId5008" xr:uid="{23B50625-0F13-41EE-BCCC-D832C762FE88}"/>
    <hyperlink ref="N388" r:id="rId5009" xr:uid="{80430387-A6D6-4D51-80EA-7BB0DF509D1F}"/>
    <hyperlink ref="N389" r:id="rId5010" xr:uid="{E8C03290-8AA9-4D03-AACB-7B3CC42B5154}"/>
    <hyperlink ref="N390" r:id="rId5011" xr:uid="{6B19C549-C7D4-4F7A-8E86-8CBEE998B41E}"/>
    <hyperlink ref="N391" r:id="rId5012" xr:uid="{345A9FCA-42DA-4210-9383-8D62B88BFAAA}"/>
    <hyperlink ref="N392" r:id="rId5013" xr:uid="{B6057822-C77E-4A2A-B055-A929B78A12D0}"/>
    <hyperlink ref="N393" r:id="rId5014" xr:uid="{BB65D384-8827-4C6F-815E-92D7F517C94B}"/>
    <hyperlink ref="N394" r:id="rId5015" xr:uid="{DC55A6E0-CCDF-4F9B-9875-9D269D7BB097}"/>
    <hyperlink ref="N395" r:id="rId5016" xr:uid="{C3991FDA-6ACF-4597-BB21-6AE1D494CEE9}"/>
    <hyperlink ref="N396" r:id="rId5017" xr:uid="{BF25AF2F-543A-47BA-8978-CCF1807134FA}"/>
    <hyperlink ref="N397" r:id="rId5018" xr:uid="{44B913D3-B0AF-44C6-BB8D-380304E38834}"/>
    <hyperlink ref="N398" r:id="rId5019" xr:uid="{ACE01AB7-331B-4273-9FFB-0D2A9E53AAC3}"/>
    <hyperlink ref="N399" r:id="rId5020" xr:uid="{1DEB21E3-070B-4C73-89F4-1C5614DD4DFD}"/>
    <hyperlink ref="N400" r:id="rId5021" xr:uid="{1E3D4593-0696-4948-A671-BF32C8C2B2A6}"/>
    <hyperlink ref="N401" r:id="rId5022" xr:uid="{F0DC5C20-8523-4E8A-9E0F-34EFF08CCAF1}"/>
    <hyperlink ref="N402" r:id="rId5023" xr:uid="{4D216B5D-3B95-4768-89E6-FCA06408F6BE}"/>
    <hyperlink ref="N403" r:id="rId5024" xr:uid="{794CC878-40F2-421F-B744-18A5D212B881}"/>
    <hyperlink ref="N404" r:id="rId5025" xr:uid="{3C8DE640-AC08-4224-A7B4-E717566DC8D5}"/>
    <hyperlink ref="N405" r:id="rId5026" xr:uid="{8764075B-ACE8-4A5C-97D4-A7BF325F704C}"/>
    <hyperlink ref="N406" r:id="rId5027" xr:uid="{85881E7C-47F1-49E9-A93B-D44AAB55206B}"/>
    <hyperlink ref="N407" r:id="rId5028" xr:uid="{C0D15DEC-30D5-414E-8230-736D212D9786}"/>
    <hyperlink ref="N408" r:id="rId5029" xr:uid="{17869608-122C-4077-8504-91E06C1F1725}"/>
    <hyperlink ref="N409" r:id="rId5030" xr:uid="{C4B69031-65E7-431A-B2D8-CBF0D991F92A}"/>
    <hyperlink ref="N410" r:id="rId5031" xr:uid="{488F1399-92D0-4B86-BD38-10324F3853BA}"/>
    <hyperlink ref="N411" r:id="rId5032" xr:uid="{539957E4-6406-4956-AB85-CAC6E903B854}"/>
    <hyperlink ref="N412" r:id="rId5033" xr:uid="{0E8CC687-8975-4B07-B844-BE81CFE11B4F}"/>
    <hyperlink ref="N413" r:id="rId5034" xr:uid="{A7F66700-BA41-4CEF-B645-3FB6175C7733}"/>
    <hyperlink ref="N414" r:id="rId5035" xr:uid="{3A79DE17-E731-4BBA-84AC-7A5A323DEA88}"/>
    <hyperlink ref="N415" r:id="rId5036" xr:uid="{7F5B2BD0-EB3F-4FDA-B807-FF4598FF4B2E}"/>
    <hyperlink ref="N416" r:id="rId5037" xr:uid="{A69E1BBB-2F5F-415E-A840-805C6E2EE54F}"/>
    <hyperlink ref="N417" r:id="rId5038" xr:uid="{C1FDE36E-B3DD-4F2E-AA84-B83CF1CA0664}"/>
    <hyperlink ref="N418" r:id="rId5039" xr:uid="{C62E5E1C-FF48-4B97-8EC4-50FB3819E832}"/>
    <hyperlink ref="N419" r:id="rId5040" xr:uid="{3894A371-A355-44D3-8A28-7DE98F6907A2}"/>
    <hyperlink ref="N421" r:id="rId5041" xr:uid="{F3130CE6-DA8C-413A-9F96-3537B0B862CB}"/>
    <hyperlink ref="N423" r:id="rId5042" xr:uid="{26564C11-D151-49F1-816D-3B92BB245A83}"/>
    <hyperlink ref="N424" r:id="rId5043" xr:uid="{98EED844-1E0F-4D8F-8B10-23FF59237E69}"/>
    <hyperlink ref="N425" r:id="rId5044" xr:uid="{9EB6B4F3-9D8C-41BB-BDF1-9E007DFAB866}"/>
    <hyperlink ref="N426" r:id="rId5045" xr:uid="{71ECDDE7-8F61-4A41-95C5-D3FB94771F89}"/>
    <hyperlink ref="N427" r:id="rId5046" xr:uid="{83E11D46-5C6E-4A41-890B-868E80B9AB1C}"/>
    <hyperlink ref="N428" r:id="rId5047" xr:uid="{23A53B9C-01D2-4804-9497-FCE893C583CB}"/>
    <hyperlink ref="N429" r:id="rId5048" xr:uid="{F7F836A2-0774-4004-9F2F-EBC2B4433AD6}"/>
    <hyperlink ref="N434" r:id="rId5049" xr:uid="{474CBC43-C904-4002-B1AA-ACC4855E377C}"/>
    <hyperlink ref="N435" r:id="rId5050" xr:uid="{BD406938-3103-474A-9F0A-54C784A1614E}"/>
    <hyperlink ref="N436" r:id="rId5051" xr:uid="{47ACF263-15D8-404B-B843-A202F4ABAB66}"/>
    <hyperlink ref="N437" r:id="rId5052" xr:uid="{4101F9AB-8F7A-40B2-9478-99264DC286DB}"/>
    <hyperlink ref="N438" r:id="rId5053" xr:uid="{3E096812-9BE6-42D3-A44B-25DBC9C0AA0F}"/>
    <hyperlink ref="N439" r:id="rId5054" xr:uid="{A68C7815-2EF8-4662-85BB-080DE58BBAE6}"/>
    <hyperlink ref="N440" r:id="rId5055" xr:uid="{CA3CAC7C-5CB9-48C9-A54B-79E5202BA2A1}"/>
    <hyperlink ref="N441" r:id="rId5056" xr:uid="{A93B03DF-CAB1-489B-8DFC-4C91DA7F7D17}"/>
    <hyperlink ref="N442" r:id="rId5057" xr:uid="{7622C51E-2020-44A2-B166-03D5C0A97DFF}"/>
    <hyperlink ref="N443" r:id="rId5058" xr:uid="{DB310112-7C75-4D4A-850B-EAEC8603FEE7}"/>
    <hyperlink ref="N444" r:id="rId5059" xr:uid="{7C0998C7-8E07-499E-9ECE-7DA2062875A6}"/>
    <hyperlink ref="N445" r:id="rId5060" xr:uid="{D47B247F-A617-49CC-B71F-C0E665B0CA98}"/>
    <hyperlink ref="N446" r:id="rId5061" xr:uid="{A604BFD5-2003-4E90-9565-0E1E882B869E}"/>
    <hyperlink ref="N447" r:id="rId5062" xr:uid="{27FDB349-C8E0-4FF1-A720-935EC75166C9}"/>
    <hyperlink ref="N448" r:id="rId5063" xr:uid="{1262FCCD-C0DA-4EAA-891A-60ED738670F2}"/>
    <hyperlink ref="N449" r:id="rId5064" xr:uid="{7D9754A9-3611-428A-BFFA-C526AAA0F1E8}"/>
    <hyperlink ref="N450" r:id="rId5065" xr:uid="{1AAF7FF7-D59C-4695-99B4-085D0292B58C}"/>
    <hyperlink ref="N451" r:id="rId5066" xr:uid="{3C55A6B1-771A-44C1-BC49-C287C59B21FF}"/>
    <hyperlink ref="N454" r:id="rId5067" xr:uid="{7B0AE49C-E702-421F-B3B9-91EA2E220350}"/>
    <hyperlink ref="N455" r:id="rId5068" xr:uid="{2227BAB9-20D4-449E-914B-4C75E61F0369}"/>
    <hyperlink ref="N456" r:id="rId5069" xr:uid="{87320E32-C3E1-4E47-8F13-8B8F079277E0}"/>
    <hyperlink ref="N457" r:id="rId5070" xr:uid="{4819B262-19CD-444C-B466-884E66FE9E79}"/>
    <hyperlink ref="N458" r:id="rId5071" xr:uid="{E0F8A560-13D7-41C3-A008-F25925CB564A}"/>
    <hyperlink ref="N459" r:id="rId5072" xr:uid="{BD6F8F6A-BD03-41AA-B80F-575C394EC23C}"/>
    <hyperlink ref="N460" r:id="rId5073" xr:uid="{AF457F1D-1931-43C5-AB0A-D77E2554BCB3}"/>
    <hyperlink ref="N461" r:id="rId5074" xr:uid="{65BC12B6-45FD-40E0-BEF5-34CC78D5490A}"/>
    <hyperlink ref="N462" r:id="rId5075" xr:uid="{FF0C7F3B-F32C-49EA-B5AC-52CF57359552}"/>
    <hyperlink ref="N463" r:id="rId5076" xr:uid="{678CDAA8-5685-4B74-B044-087FB8C96E6D}"/>
    <hyperlink ref="N464" r:id="rId5077" xr:uid="{F1D5933B-6357-47A2-A08F-6BA5E21E57CC}"/>
    <hyperlink ref="N465" r:id="rId5078" xr:uid="{339999BB-94B7-48BC-A32F-A00EC98BC5E5}"/>
    <hyperlink ref="N466" r:id="rId5079" xr:uid="{17DDDA10-5342-41C4-A34A-FC39D6136603}"/>
    <hyperlink ref="N467" r:id="rId5080" xr:uid="{DAED591E-19A3-4B95-B35A-5000A39D8A75}"/>
    <hyperlink ref="N468" r:id="rId5081" xr:uid="{CC1F6D29-102B-4B44-9DAC-D602DBC95FB3}"/>
    <hyperlink ref="N471" r:id="rId5082" xr:uid="{1743E0A8-E88D-4463-9B55-C76A3282DC7C}"/>
    <hyperlink ref="N472" r:id="rId5083" xr:uid="{3FC121BB-72E9-4883-9231-195FAA2AB674}"/>
    <hyperlink ref="N473" r:id="rId5084" xr:uid="{F7324237-E51A-4015-9D4E-1CC17B6260BF}"/>
    <hyperlink ref="N474" r:id="rId5085" xr:uid="{5C09F969-1F80-49D5-890D-F4A8435BC56F}"/>
    <hyperlink ref="N475" r:id="rId5086" xr:uid="{17A4A2DA-614F-4AFA-BE8B-74D52B266500}"/>
    <hyperlink ref="N476" r:id="rId5087" xr:uid="{5A6B445F-20B1-4437-BEBD-98BC4077E7D3}"/>
    <hyperlink ref="N477" r:id="rId5088" xr:uid="{8F9FB374-D10F-478A-907F-3DE41978EE7D}"/>
    <hyperlink ref="N478" r:id="rId5089" xr:uid="{BD5ADF30-F325-49A9-B217-C21A00D32277}"/>
    <hyperlink ref="N479" r:id="rId5090" xr:uid="{981CBB66-8C62-4D0E-9E94-4CFBEEE161B5}"/>
    <hyperlink ref="N480" r:id="rId5091" xr:uid="{0266EFF3-4719-44AF-96D0-19403FD73FF1}"/>
    <hyperlink ref="N481" r:id="rId5092" xr:uid="{70FA9830-EE2B-40A4-8DE3-EB497EA3B2B7}"/>
    <hyperlink ref="N482" r:id="rId5093" xr:uid="{428D5602-2684-41C2-8A2E-8F42ADF45AA8}"/>
    <hyperlink ref="N483" r:id="rId5094" xr:uid="{DC1A8398-AA86-4CD8-84B7-503CB25B9E53}"/>
    <hyperlink ref="N484" r:id="rId5095" xr:uid="{0EBFA9BF-84DF-4CEF-B1D6-54D0B7061245}"/>
    <hyperlink ref="N485" r:id="rId5096" xr:uid="{95CE5987-AD02-4F4D-A5A1-EB26B83914B8}"/>
    <hyperlink ref="N486" r:id="rId5097" xr:uid="{BD71E07C-B835-45A6-9E47-A776DEAB2B2B}"/>
    <hyperlink ref="N487" r:id="rId5098" xr:uid="{D2F04686-DD12-4D5D-9560-848634F0C2A9}"/>
    <hyperlink ref="N488" r:id="rId5099" xr:uid="{2E7F86FA-021E-4FEF-ACB6-9D46C249A50B}"/>
    <hyperlink ref="N489" r:id="rId5100" xr:uid="{C9615F32-4069-4973-B13F-4728FC486B30}"/>
    <hyperlink ref="N490" r:id="rId5101" xr:uid="{F9F2E139-CD68-4D65-BCEE-2EF9DF7343E0}"/>
    <hyperlink ref="N491" r:id="rId5102" xr:uid="{17C9243B-9FE1-4EE5-8B79-6793426C342E}"/>
    <hyperlink ref="N492" r:id="rId5103" xr:uid="{0BD700EC-AEED-4FE3-AB4F-217ACFCA7BEF}"/>
    <hyperlink ref="N493" r:id="rId5104" xr:uid="{2381EA14-4E8A-4980-9052-C107EB774619}"/>
    <hyperlink ref="N494" r:id="rId5105" xr:uid="{98D98BC3-EE7A-49C8-93BB-C076706EA893}"/>
    <hyperlink ref="N495" r:id="rId5106" xr:uid="{822F4B55-A1BF-4AE7-AAB5-6049F3788EC8}"/>
    <hyperlink ref="N496" r:id="rId5107" xr:uid="{B27C2480-6628-4BB4-91E1-B8CB6A5FF6CF}"/>
    <hyperlink ref="N497" r:id="rId5108" xr:uid="{B56801FA-A11F-468B-96F8-7B7508EEE3D7}"/>
    <hyperlink ref="N498" r:id="rId5109" xr:uid="{160B21F9-F510-415E-AEAE-6F132A8BF781}"/>
    <hyperlink ref="N499" r:id="rId5110" xr:uid="{0216DEFE-6D13-492B-B1AD-62C33270CAF2}"/>
    <hyperlink ref="N500" r:id="rId5111" xr:uid="{C956C97C-D7E4-4E54-8175-300822D89258}"/>
    <hyperlink ref="N501" r:id="rId5112" xr:uid="{FBBD0BB9-50E6-4ACE-9078-DB9546FF98EC}"/>
    <hyperlink ref="N502" r:id="rId5113" xr:uid="{D0AC2897-0A83-4D54-AE02-C3BBB1290991}"/>
    <hyperlink ref="N503" r:id="rId5114" xr:uid="{B21C180F-D5B1-44A4-A566-35924E070F50}"/>
    <hyperlink ref="N505" r:id="rId5115" xr:uid="{CCB341E6-9CB9-4062-A57E-9A96E5E200ED}"/>
    <hyperlink ref="N506" r:id="rId5116" xr:uid="{1E6A622A-3924-4E3F-B05E-55D20A7BF494}"/>
    <hyperlink ref="N507" r:id="rId5117" xr:uid="{5C44D112-8415-404E-97CB-4AA07813FF77}"/>
    <hyperlink ref="N508" r:id="rId5118" xr:uid="{8F1D621A-6370-42F4-95A3-C56E5AC1E857}"/>
    <hyperlink ref="N509" r:id="rId5119" xr:uid="{EEA61653-C6FA-4FD0-8062-CED67272F1F2}"/>
    <hyperlink ref="N510" r:id="rId5120" xr:uid="{6B7047D3-5AA3-42BC-9AAC-23268CEE3716}"/>
    <hyperlink ref="N511" r:id="rId5121" xr:uid="{4FB398CE-9E2B-4A95-A7D3-73C667A4FDC3}"/>
    <hyperlink ref="N512" r:id="rId5122" xr:uid="{5F25891E-A680-4186-AF3F-B15092CC927D}"/>
    <hyperlink ref="N513" r:id="rId5123" xr:uid="{4B728AA8-C42C-4BA8-B8A9-D95CD25C02EC}"/>
    <hyperlink ref="N514" r:id="rId5124" xr:uid="{4F5F92D3-1DF9-418F-B57B-915643C7D285}"/>
    <hyperlink ref="N515" r:id="rId5125" xr:uid="{601E91A4-429B-432A-B487-49F610D16460}"/>
    <hyperlink ref="N516" r:id="rId5126" xr:uid="{98033DB0-DFFA-40BD-A71A-DD776F823C8E}"/>
    <hyperlink ref="N517" r:id="rId5127" xr:uid="{FD496A3D-464A-4808-B1B8-7F8B4B42732E}"/>
    <hyperlink ref="N518" r:id="rId5128" xr:uid="{204AF4FB-7C45-4C07-8A9D-7F9181E0E918}"/>
    <hyperlink ref="N519" r:id="rId5129" xr:uid="{CB0A7C93-BA4F-4F02-B7B6-7354F1220A23}"/>
    <hyperlink ref="N520" r:id="rId5130" xr:uid="{FAA8C059-4313-4C97-AFFA-9CCD2E5EE175}"/>
    <hyperlink ref="N521" r:id="rId5131" xr:uid="{F527A3A3-EE45-44E5-A8B1-6F24AB7C467A}"/>
    <hyperlink ref="N522" r:id="rId5132" xr:uid="{B87AD6CA-0665-4155-B0B9-FD94B40A3248}"/>
    <hyperlink ref="N523" r:id="rId5133" xr:uid="{1B54A5E2-B10D-4FCA-97B0-059D7C2E0DBE}"/>
    <hyperlink ref="N524" r:id="rId5134" xr:uid="{5ED018B6-A282-4AF1-9182-37349144CF53}"/>
    <hyperlink ref="N525" r:id="rId5135" xr:uid="{7D22C37D-40B5-48EB-956E-1975478C1D86}"/>
    <hyperlink ref="N526" r:id="rId5136" xr:uid="{3C6942D9-AC38-461A-A80F-48A8E4AD55A8}"/>
    <hyperlink ref="N504" r:id="rId5137" xr:uid="{30CA889C-5A41-4842-A24D-B3B9280F10B2}"/>
    <hyperlink ref="N527" r:id="rId5138" xr:uid="{133591C4-A3E0-437F-87F0-90E49167F47F}"/>
    <hyperlink ref="N528" r:id="rId5139" xr:uid="{F6C8F9B0-8D57-495B-83A3-FC14266E49AF}"/>
    <hyperlink ref="N529" r:id="rId5140" xr:uid="{09DF4326-3748-479B-8BFD-9EF1776BF511}"/>
    <hyperlink ref="N530" r:id="rId5141" xr:uid="{D54E79B2-AEAD-4B31-9A94-B6FC56E9F255}"/>
    <hyperlink ref="N531" r:id="rId5142" xr:uid="{4ABB5BD9-3948-4A22-89D1-E42A8B76C4B0}"/>
    <hyperlink ref="N532" r:id="rId5143" xr:uid="{60085E82-E114-409E-8CE8-9EEC12835929}"/>
    <hyperlink ref="N533" r:id="rId5144" xr:uid="{3B5341FB-D76A-4A64-97F3-1321BA6B4E64}"/>
    <hyperlink ref="N534" r:id="rId5145" xr:uid="{69C53A84-DAE0-4319-AAE6-6342800709E7}"/>
    <hyperlink ref="N535" r:id="rId5146" xr:uid="{BB222D5A-1002-4F11-A7BC-1F001CD75E56}"/>
    <hyperlink ref="N536" r:id="rId5147" xr:uid="{46F3D05A-72AF-4656-9226-859CF8B402DB}"/>
    <hyperlink ref="N537" r:id="rId5148" xr:uid="{52CA6A45-BF11-47CE-9800-32FFDE2AB899}"/>
    <hyperlink ref="N538" r:id="rId5149" xr:uid="{DDCB0562-8C8B-4214-B5B3-3109ED5B9785}"/>
    <hyperlink ref="N539" r:id="rId5150" xr:uid="{BF9FCC57-F86E-4E39-97DD-E2B681D00996}"/>
    <hyperlink ref="N540" r:id="rId5151" xr:uid="{F531865B-6794-465E-84F2-C05F97A5C05D}"/>
    <hyperlink ref="N541" r:id="rId5152" xr:uid="{414BF60F-802A-4E54-AD3B-8EEF8E9EFF88}"/>
    <hyperlink ref="N542" r:id="rId5153" xr:uid="{4A29AB3C-7FA3-47DB-93CA-307B01C911AA}"/>
    <hyperlink ref="N543" r:id="rId5154" xr:uid="{FB821570-F932-47AB-8863-B6203E11C6BC}"/>
    <hyperlink ref="N544" r:id="rId5155" xr:uid="{492DFA33-7382-4224-8F3A-953629D6FD4D}"/>
    <hyperlink ref="N545" r:id="rId5156" xr:uid="{61F522DB-61A2-49FD-B8F0-BC69FA746D91}"/>
    <hyperlink ref="N546" r:id="rId5157" xr:uid="{0A6DE7FA-AA20-4274-B485-6A00B6E77A29}"/>
    <hyperlink ref="N547" r:id="rId5158" xr:uid="{61ACB3F6-DD81-4884-A238-10C0013F5A0F}"/>
    <hyperlink ref="N548" r:id="rId5159" xr:uid="{470B49E5-3A06-4BE0-871D-4CFEB30532EC}"/>
    <hyperlink ref="N549" r:id="rId5160" xr:uid="{7A109670-2274-43D8-AD28-2AA61A16BD1D}"/>
    <hyperlink ref="N550" r:id="rId5161" xr:uid="{E949871B-0B02-4D67-9FC3-DB7C3555FB57}"/>
    <hyperlink ref="N551" r:id="rId5162" xr:uid="{974DD36C-3CD8-4B5B-94F1-AE2BCE0C1938}"/>
    <hyperlink ref="N552" r:id="rId5163" xr:uid="{F02D8B1B-6006-43F0-AA11-D2E202C1C347}"/>
    <hyperlink ref="N553" r:id="rId5164" xr:uid="{DA6C0BF3-4A0E-4466-91E9-890899D3EDF2}"/>
    <hyperlink ref="N554" r:id="rId5165" xr:uid="{C2F840FD-8E08-4EE3-9552-AE3ED26D8215}"/>
    <hyperlink ref="N555" r:id="rId5166" xr:uid="{C2A1430C-AE8B-42F1-95AA-FBC57AD96075}"/>
    <hyperlink ref="N556" r:id="rId5167" xr:uid="{123C1BE3-2DEE-41C3-89A4-B025582C8CF4}"/>
    <hyperlink ref="N557" r:id="rId5168" xr:uid="{3D370EEB-79BA-43F4-B9D1-DA27EFF322D9}"/>
    <hyperlink ref="N558" r:id="rId5169" xr:uid="{6C6CDBFB-5E18-4AC0-8D47-F95E733E4E6C}"/>
    <hyperlink ref="N559" r:id="rId5170" xr:uid="{B53FA37A-C973-4266-B490-72252A93C521}"/>
    <hyperlink ref="N560" r:id="rId5171" xr:uid="{E3D329E0-BB67-49DE-8FA8-6A6A590F2250}"/>
    <hyperlink ref="N561" r:id="rId5172" xr:uid="{6AFAAEFB-B0EF-4275-B8DC-2277425C0643}"/>
    <hyperlink ref="N562" r:id="rId5173" xr:uid="{BD34405E-2C6D-4546-AB24-B7AB96D63D00}"/>
    <hyperlink ref="N563" r:id="rId5174" xr:uid="{A511DA34-2165-4831-B960-53A6CAAE397B}"/>
    <hyperlink ref="N564" r:id="rId5175" xr:uid="{1F32F079-80E7-4902-8B56-71B6BB04C1BD}"/>
    <hyperlink ref="N565" r:id="rId5176" xr:uid="{528B7F90-9212-4F99-921D-7516403E5DF1}"/>
    <hyperlink ref="N566" r:id="rId5177" xr:uid="{85396D8C-9627-4700-A63E-C9BCFBC3C235}"/>
    <hyperlink ref="N567" r:id="rId5178" xr:uid="{1AF5CF04-B27D-4FB0-B573-9E4E6FC0AF9C}"/>
    <hyperlink ref="N568" r:id="rId5179" xr:uid="{87EB8E66-E639-4026-983A-8E7C0A8020B1}"/>
    <hyperlink ref="N569" r:id="rId5180" xr:uid="{2622400B-E510-43BC-A62D-1F5B75DAE448}"/>
    <hyperlink ref="N570" r:id="rId5181" xr:uid="{C8EF533D-C31F-4A22-AB74-361D229DDCC2}"/>
    <hyperlink ref="N571" r:id="rId5182" xr:uid="{879C3AC1-8D97-4311-BB12-F83E6400410C}"/>
    <hyperlink ref="N572" r:id="rId5183" xr:uid="{61ED87B7-455D-4D17-AEAA-6E447C55368D}"/>
    <hyperlink ref="N573" r:id="rId5184" xr:uid="{1A2EE1E7-CCCE-4DE3-8AD3-5F24F715AC8A}"/>
    <hyperlink ref="N574" r:id="rId5185" xr:uid="{C71D3E23-8D04-457E-B4AF-D16A7B3E625D}"/>
    <hyperlink ref="N575" r:id="rId5186" xr:uid="{E49A7C24-3403-4D16-938B-AC81E9BA7C11}"/>
    <hyperlink ref="N576" r:id="rId5187" xr:uid="{820488C4-86E5-4AE2-AD1F-EF4139CBAA56}"/>
    <hyperlink ref="N577" r:id="rId5188" xr:uid="{EEB70950-14C9-428B-9054-17B4C2FFC1F1}"/>
    <hyperlink ref="N578" r:id="rId5189" xr:uid="{7D916EF9-C39A-4E36-B2FF-A3C47BC88781}"/>
    <hyperlink ref="N579" r:id="rId5190" xr:uid="{6D67E5A2-D004-4F9C-852E-45F8B58BB3D4}"/>
    <hyperlink ref="N580" r:id="rId5191" xr:uid="{7C68D824-441C-4354-91DC-CCB6EC498384}"/>
    <hyperlink ref="N581" r:id="rId5192" xr:uid="{27583C40-57B8-498C-9EA6-B3A10EC1382D}"/>
    <hyperlink ref="N582" r:id="rId5193" xr:uid="{03FF50B2-4933-49EB-AE12-EA958570774C}"/>
    <hyperlink ref="N583" r:id="rId5194" xr:uid="{F3C58311-8357-487E-8C72-7B2F3AF98364}"/>
    <hyperlink ref="N584" r:id="rId5195" xr:uid="{82666E01-F0AE-46BE-937F-65C2CF49421E}"/>
    <hyperlink ref="N585" r:id="rId5196" xr:uid="{1DF705A6-C905-4F84-8F65-22F30C5FB4A3}"/>
    <hyperlink ref="N586" r:id="rId5197" xr:uid="{73EDBA65-5EAF-417A-9194-2DCE7343B21D}"/>
    <hyperlink ref="N587" r:id="rId5198" xr:uid="{7B5167B8-53F5-4509-B3E2-73C28B85EF1C}"/>
    <hyperlink ref="N588" r:id="rId5199" xr:uid="{38598601-F65A-4C5E-9F51-894F9CA3F3C2}"/>
    <hyperlink ref="N589" r:id="rId5200" xr:uid="{E89CAC99-A3C0-49F8-97F3-96FE3F3A8020}"/>
    <hyperlink ref="N590" r:id="rId5201" xr:uid="{49B1E1AE-BD6F-4A2E-AA60-12750AF49784}"/>
    <hyperlink ref="N591" r:id="rId5202" xr:uid="{FF979AF2-53F8-4AF7-B52B-567420FAF62D}"/>
    <hyperlink ref="N592" r:id="rId5203" xr:uid="{480D0251-9963-4250-B079-EE1D11011146}"/>
    <hyperlink ref="N593" r:id="rId5204" xr:uid="{B09C7C5C-1318-4E12-AFE7-8BDD266DB75E}"/>
    <hyperlink ref="N594" r:id="rId5205" xr:uid="{0DA5600A-51E3-4ADD-84E3-4B1A0E7D76EB}"/>
    <hyperlink ref="N595" r:id="rId5206" xr:uid="{604342FC-F639-49E1-9D84-93BA4C629405}"/>
    <hyperlink ref="N596" r:id="rId5207" xr:uid="{BB5BB940-DDAE-41E5-9EC6-A0886BE5158F}"/>
    <hyperlink ref="N597" r:id="rId5208" xr:uid="{E82B9BFC-1F90-4938-BAE2-AA9E2726A28D}"/>
    <hyperlink ref="N598" r:id="rId5209" xr:uid="{E8254391-07C4-4F02-9C57-8D0D55EA1B5E}"/>
    <hyperlink ref="N599" r:id="rId5210" xr:uid="{A8F81E32-B0F4-49E8-A47C-1C6D14DAC68B}"/>
    <hyperlink ref="N600" r:id="rId5211" xr:uid="{1DCF25C2-3524-4BD3-9810-784279247635}"/>
    <hyperlink ref="N601" r:id="rId5212" xr:uid="{2A32655D-E8BF-40D7-8DB3-CD0985DA7F50}"/>
    <hyperlink ref="N602" r:id="rId5213" xr:uid="{A71C447D-52C0-436F-A741-1B4AB35A2B22}"/>
    <hyperlink ref="N603" r:id="rId5214" xr:uid="{367DB2A9-6E44-4A9F-A6FF-333BA166CA8B}"/>
    <hyperlink ref="N604" r:id="rId5215" xr:uid="{5F44230C-D5E9-40CC-B022-6CCDFE8B958E}"/>
    <hyperlink ref="N605" r:id="rId5216" xr:uid="{3FC7C342-AD4F-44EC-ADB0-AD4C07C03732}"/>
    <hyperlink ref="N606" r:id="rId5217" xr:uid="{87F79C42-B29F-4D10-A55B-30B0943E1F49}"/>
    <hyperlink ref="N607" r:id="rId5218" xr:uid="{C25EC0BE-230A-4467-B6C2-1EFCE5E3BEB0}"/>
    <hyperlink ref="N608" r:id="rId5219" xr:uid="{5D5D94B1-F968-474E-89B9-4FAF743313AB}"/>
    <hyperlink ref="N609" r:id="rId5220" xr:uid="{93C0C82E-CD60-427E-B766-FB2D751B954A}"/>
    <hyperlink ref="N610" r:id="rId5221" xr:uid="{B6FE18BA-A209-4E59-B7BC-09DE2FEF8E4C}"/>
    <hyperlink ref="N611" r:id="rId5222" xr:uid="{AB74ACFB-9940-41BB-BC5B-ED290CC4AA64}"/>
    <hyperlink ref="N612" r:id="rId5223" xr:uid="{2DA3118E-F268-4B3F-9A8B-97EC213F29B6}"/>
    <hyperlink ref="N613" r:id="rId5224" xr:uid="{BF0DD036-CDC4-4360-B189-ECAEF8DBF1EE}"/>
    <hyperlink ref="N614" r:id="rId5225" xr:uid="{92B5314F-2A64-4515-AA5C-8BFA9207C17E}"/>
    <hyperlink ref="N615" r:id="rId5226" xr:uid="{A4FAD251-C4F5-44B1-A077-119EDD20B8F1}"/>
    <hyperlink ref="N616" r:id="rId5227" xr:uid="{49D69D04-4E84-46A5-A32A-EB0DE9E9A96E}"/>
    <hyperlink ref="N617" r:id="rId5228" xr:uid="{36A82C58-ECC4-4E78-A534-238E7E8FF86B}"/>
    <hyperlink ref="N618" r:id="rId5229" xr:uid="{D91132D1-C853-4FF7-B704-1EF9FD939084}"/>
    <hyperlink ref="N619" r:id="rId5230" xr:uid="{ABE85F80-558A-492D-A91E-A30B4AE31F8F}"/>
    <hyperlink ref="N620" r:id="rId5231" xr:uid="{8A0CEAB5-1B6D-4415-95D7-2612BE421D7F}"/>
    <hyperlink ref="N621" r:id="rId5232" xr:uid="{E342E1C7-CA53-4496-8296-6490D1366CBD}"/>
    <hyperlink ref="N622" r:id="rId5233" xr:uid="{35E59966-5D25-46C7-BB1D-C40C09C34A1A}"/>
    <hyperlink ref="N623" r:id="rId5234" xr:uid="{E13671E9-F73D-4C45-B933-A3E56A56061D}"/>
    <hyperlink ref="N624" r:id="rId5235" xr:uid="{9D9F0A97-03D8-4331-9BA5-7C653C0F7C16}"/>
    <hyperlink ref="N625" r:id="rId5236" xr:uid="{F1F7B5B0-0B2B-4C5F-923B-DCFAB5229A1B}"/>
    <hyperlink ref="N626" r:id="rId5237" xr:uid="{ED84519C-FDBF-4854-BBE5-A6822DEFCEC0}"/>
    <hyperlink ref="N627" r:id="rId5238" xr:uid="{23308EBE-5998-4A9C-8A32-F82495044DDE}"/>
    <hyperlink ref="N628" r:id="rId5239" xr:uid="{852AA69C-4936-4DFA-8E7E-8D15AD67BF3E}"/>
    <hyperlink ref="N629" r:id="rId5240" xr:uid="{0FD0B5AD-0D61-45BF-9751-D886FB02A25A}"/>
    <hyperlink ref="N630" r:id="rId5241" xr:uid="{F741673A-5862-4AEE-8AE4-F5DFBF4E71C5}"/>
    <hyperlink ref="N631" r:id="rId5242" xr:uid="{2EFD5131-EF69-4D0C-AA28-1C0692DD4ADD}"/>
    <hyperlink ref="N632" r:id="rId5243" xr:uid="{5B382C7B-DD06-4C22-A3E0-6BF26F7E66E1}"/>
    <hyperlink ref="N633" r:id="rId5244" xr:uid="{88B3B325-9DA7-4C71-8C63-A68B5D61EBAD}"/>
    <hyperlink ref="N634" r:id="rId5245" xr:uid="{1C38168E-55F2-42A5-93CF-A275DA8A207D}"/>
    <hyperlink ref="N635" r:id="rId5246" xr:uid="{E005B27C-E953-4511-A469-800B0252FBEF}"/>
    <hyperlink ref="N636" r:id="rId5247" xr:uid="{F0D64B14-4287-47FF-8237-9DDA74B56B7C}"/>
    <hyperlink ref="N637" r:id="rId5248" xr:uid="{1106980D-2317-45D5-B84B-ECFF773396D2}"/>
    <hyperlink ref="N638" r:id="rId5249" xr:uid="{DEBD47C0-D8DA-467F-A3E2-575F3AE9EE98}"/>
    <hyperlink ref="N639" r:id="rId5250" xr:uid="{DAA462E8-08EF-42B7-A3CE-279A4EA06A00}"/>
    <hyperlink ref="N640" r:id="rId5251" xr:uid="{A53211DB-14E1-4F2C-9902-95C27CFFEAB3}"/>
    <hyperlink ref="N641" r:id="rId5252" xr:uid="{1D416C7C-F91C-4B79-A845-BA08593B2CF3}"/>
    <hyperlink ref="N642" r:id="rId5253" xr:uid="{C0E33943-DA8B-4400-B11E-A5028849DE15}"/>
    <hyperlink ref="N643" r:id="rId5254" xr:uid="{69911169-DF3B-4988-ACA6-37753717E356}"/>
    <hyperlink ref="N644" r:id="rId5255" xr:uid="{808E0841-DB0F-47B1-BA92-FE361BD93CB5}"/>
    <hyperlink ref="N645" r:id="rId5256" xr:uid="{B43E265A-8FE3-4C9A-822E-7482338945D3}"/>
    <hyperlink ref="N646" r:id="rId5257" xr:uid="{8DA96C98-98D4-4F2B-839C-770D85917174}"/>
    <hyperlink ref="N647" r:id="rId5258" xr:uid="{20C6C021-963C-4987-B0ED-4C587A191FBD}"/>
    <hyperlink ref="N648" r:id="rId5259" xr:uid="{12D5B273-4D90-42DF-9BDE-8ADA14D8563A}"/>
    <hyperlink ref="N649" r:id="rId5260" xr:uid="{8B4996A5-6A5A-4426-9924-0FAE8CB16B65}"/>
    <hyperlink ref="N650" r:id="rId5261" xr:uid="{0F507F72-1F16-4FB8-93B9-91220BBD57C5}"/>
    <hyperlink ref="N651" r:id="rId5262" xr:uid="{F4063B4E-AAFC-4DD3-B616-793CE3DA657A}"/>
    <hyperlink ref="N652" r:id="rId5263" xr:uid="{DF59DC97-190C-4AD8-9C24-9C75F1EB78DF}"/>
    <hyperlink ref="N653" r:id="rId5264" xr:uid="{944DE4A3-B32A-4DA9-996E-3AAC97E8F7C9}"/>
    <hyperlink ref="N654" r:id="rId5265" xr:uid="{2781DA28-C933-4923-926D-8C6A30EAA9E3}"/>
    <hyperlink ref="N655" r:id="rId5266" xr:uid="{0B0C4E6F-564E-427D-AF73-4FC7A0082046}"/>
    <hyperlink ref="N656" r:id="rId5267" xr:uid="{E26E508D-2406-4869-B2A4-B5BB6BDD7303}"/>
    <hyperlink ref="N657" r:id="rId5268" xr:uid="{407B43FB-BDF8-4FBA-89E5-9A841BB1F133}"/>
    <hyperlink ref="N658" r:id="rId5269" xr:uid="{88C1D044-47CA-4C57-91D3-D39B3CFF7732}"/>
    <hyperlink ref="N659" r:id="rId5270" xr:uid="{A68E5D6C-FE33-4A44-951A-17E5D9658471}"/>
    <hyperlink ref="N660" r:id="rId5271" xr:uid="{F03C2F3C-EE4F-41AC-9B2E-FF3D243AE90B}"/>
    <hyperlink ref="N661" r:id="rId5272" xr:uid="{8A34BCCD-6BE1-400D-955C-1C842E0E7713}"/>
    <hyperlink ref="N662" r:id="rId5273" xr:uid="{35811BB3-7742-4C8C-ACCE-F9211076EB6F}"/>
    <hyperlink ref="N663" r:id="rId5274" xr:uid="{95388E92-77EB-4E6A-92B6-DBE9CF5FDD13}"/>
    <hyperlink ref="N665" r:id="rId5275" xr:uid="{C10FE0FE-D786-4792-9E03-64190150A363}"/>
    <hyperlink ref="N666" r:id="rId5276" xr:uid="{7F4A374A-83F8-4CB9-982E-F36BBAAD2799}"/>
    <hyperlink ref="N667" r:id="rId5277" xr:uid="{4C6A085E-BEE2-4AB8-BD4E-2FD1F1265314}"/>
    <hyperlink ref="N668" r:id="rId5278" xr:uid="{BBE6E01A-553A-4C02-B0BE-218807939AB5}"/>
    <hyperlink ref="N669" r:id="rId5279" xr:uid="{38A02672-B61D-4060-9F32-83AC1E7EE30C}"/>
    <hyperlink ref="N670" r:id="rId5280" xr:uid="{5163DB25-B09E-484B-85B9-DE4B462E0690}"/>
    <hyperlink ref="N671" r:id="rId5281" xr:uid="{4326E279-4D59-4276-A9F2-79142E51467A}"/>
    <hyperlink ref="N672" r:id="rId5282" xr:uid="{8F4318F6-AA97-4BCA-8E8E-F027B0A57E62}"/>
    <hyperlink ref="N673" r:id="rId5283" xr:uid="{B568DE38-A750-4F12-BD59-BA19FB6C6B51}"/>
    <hyperlink ref="N674" r:id="rId5284" xr:uid="{FDB25392-631E-4F50-B9FC-7354512529C0}"/>
    <hyperlink ref="N676" r:id="rId5285" xr:uid="{F5F0F470-F4AD-4672-B73C-4A7AD9485580}"/>
    <hyperlink ref="N678" r:id="rId5286" xr:uid="{B6C5EED5-2A9B-4270-A9D0-908DDE519962}"/>
    <hyperlink ref="N679" r:id="rId5287" xr:uid="{94184E52-2C01-4D43-BABC-EDD08CA074B6}"/>
    <hyperlink ref="N680" r:id="rId5288" xr:uid="{3975C073-686B-4472-B08F-047BDBE38146}"/>
    <hyperlink ref="N681" r:id="rId5289" xr:uid="{3DC37723-0FD1-4120-B4C8-768102ACAF3C}"/>
    <hyperlink ref="N682" r:id="rId5290" xr:uid="{817963AF-BD71-43DD-BF6A-57E6035086F4}"/>
    <hyperlink ref="N683" r:id="rId5291" xr:uid="{E6A24B88-B0DC-4C47-8870-D600BF1A05C7}"/>
    <hyperlink ref="N684" r:id="rId5292" xr:uid="{092BD7E0-9DB6-4656-9311-C3812A97C91E}"/>
    <hyperlink ref="N685" r:id="rId5293" xr:uid="{793AC248-A58B-4D84-82C7-2C25D7334B5F}"/>
    <hyperlink ref="N686" r:id="rId5294" xr:uid="{ECA3EDA6-2057-4F3E-8CCF-EDCA81478006}"/>
    <hyperlink ref="N687" r:id="rId5295" xr:uid="{DFB7470C-940A-46BC-9EAF-7397E0C4BFDB}"/>
    <hyperlink ref="N688" r:id="rId5296" xr:uid="{CA0E058A-A62B-4C6E-9BC3-9D2FF4831F83}"/>
    <hyperlink ref="N689" r:id="rId5297" xr:uid="{458D9946-8E60-4A0D-B904-81B8E25A5E0E}"/>
    <hyperlink ref="N690" r:id="rId5298" xr:uid="{19E4A342-E224-4859-A808-F2A6CB4C6107}"/>
    <hyperlink ref="N691" r:id="rId5299" xr:uid="{D99A8AC8-3864-4939-BC19-3EED45077877}"/>
    <hyperlink ref="N692" r:id="rId5300" xr:uid="{625C03AC-5DAB-4EC5-96E2-266CA5C23AFF}"/>
    <hyperlink ref="N693" r:id="rId5301" xr:uid="{7A6F1379-2028-4FD8-BBC3-3D8CE17BDB1E}"/>
    <hyperlink ref="N694" r:id="rId5302" xr:uid="{F3CB4ACB-52A1-43F9-B296-34049BC8E787}"/>
    <hyperlink ref="N695" r:id="rId5303" xr:uid="{7CD14584-1EAB-4460-A77D-8C05040A9EA9}"/>
    <hyperlink ref="N696" r:id="rId5304" xr:uid="{A2D9DFAF-4E23-4D6D-8F07-89CC58FB10A6}"/>
    <hyperlink ref="N697" r:id="rId5305" xr:uid="{18850C01-D890-4C2F-92FF-00D554D9EF0A}"/>
    <hyperlink ref="N698" r:id="rId5306" xr:uid="{CB1CF162-B619-428E-B9EF-D76EEEA8276B}"/>
    <hyperlink ref="N699" r:id="rId5307" xr:uid="{5FE2D2D3-8B2B-4124-A8DB-7DD8BFFAA299}"/>
    <hyperlink ref="N700" r:id="rId5308" xr:uid="{E58D0637-AA00-4038-AC92-677262574B72}"/>
    <hyperlink ref="N701" r:id="rId5309" xr:uid="{E0643A97-A0BC-4195-9056-D3B2DF238FAC}"/>
    <hyperlink ref="N702" r:id="rId5310" xr:uid="{E1E35CA5-13C6-4C0D-86CE-21DCED5F54A0}"/>
    <hyperlink ref="N703" r:id="rId5311" xr:uid="{32559706-4AEF-4AA4-8EE1-4D0D260B9F98}"/>
    <hyperlink ref="N704" r:id="rId5312" xr:uid="{A3B3B299-EFBD-4A24-B426-80E2DCA78C6F}"/>
    <hyperlink ref="N705" r:id="rId5313" xr:uid="{D7B5A56B-0777-4C25-B722-F6BB313AA596}"/>
    <hyperlink ref="N706" r:id="rId5314" xr:uid="{C8128994-B688-4B6E-B9B6-6D297511D962}"/>
    <hyperlink ref="N707" r:id="rId5315" xr:uid="{F885C6B5-CB21-49E7-9D84-7BD802681DA0}"/>
    <hyperlink ref="N708" r:id="rId5316" xr:uid="{4A1CA75A-E870-4401-B0A5-750636BDBFB0}"/>
    <hyperlink ref="N709" r:id="rId5317" xr:uid="{847CCB3D-1B06-4E55-ACB7-BB767528EFD9}"/>
    <hyperlink ref="N710" r:id="rId5318" xr:uid="{3F2AD1C3-1BAF-4A92-B250-21F90FC3F2DC}"/>
    <hyperlink ref="N711" r:id="rId5319" xr:uid="{378FBA05-E11D-49A4-A846-42B241E61D00}"/>
    <hyperlink ref="N712" r:id="rId5320" xr:uid="{3E24793F-7978-419C-9D41-0BBC8E8DB1D8}"/>
    <hyperlink ref="N714" r:id="rId5321" xr:uid="{96E28EEE-B990-4AC3-A30C-B39728F6D288}"/>
    <hyperlink ref="N715" r:id="rId5322" xr:uid="{BD1B3BC4-82D2-43C9-80DD-127B35F4D862}"/>
    <hyperlink ref="N716" r:id="rId5323" xr:uid="{91642CA4-C00F-419A-BFC5-A751DD765A75}"/>
    <hyperlink ref="N717" r:id="rId5324" xr:uid="{883D308C-D65F-468A-8E39-CD44EE74C364}"/>
    <hyperlink ref="N718" r:id="rId5325" xr:uid="{B3AD7FBE-4CDB-4DA6-8D5B-747D0A11B81C}"/>
    <hyperlink ref="N719" r:id="rId5326" xr:uid="{BF24B8C4-FA2A-49DD-813A-FB6FCD85BD52}"/>
    <hyperlink ref="N720" r:id="rId5327" xr:uid="{2B8756FF-0B68-42B7-B13C-C4FFC724C2D7}"/>
    <hyperlink ref="N721" r:id="rId5328" xr:uid="{D8709656-49B8-42B5-AAD8-19049F044229}"/>
    <hyperlink ref="N722" r:id="rId5329" xr:uid="{6CAFC537-2ADB-49BD-9E8A-BE9C3FE52523}"/>
    <hyperlink ref="N723" r:id="rId5330" xr:uid="{E0E4435C-7E82-476D-A2C1-6F757A7333F8}"/>
    <hyperlink ref="N724" r:id="rId5331" xr:uid="{C1D4F0F0-7A26-4BF5-BB73-367ABCF7BDA3}"/>
    <hyperlink ref="N725" r:id="rId5332" xr:uid="{AFD6EF0C-D82A-4880-BB92-A78C5AC835E4}"/>
    <hyperlink ref="N726" r:id="rId5333" xr:uid="{5DB480D6-B401-4263-9F0D-A7AF8A7F40E0}"/>
    <hyperlink ref="N727" r:id="rId5334" xr:uid="{93B52BD4-0621-4D47-89E9-1008510071DE}"/>
    <hyperlink ref="N728" r:id="rId5335" xr:uid="{0C65C738-EE62-49EB-950E-2C720A41E8FE}"/>
    <hyperlink ref="N729" r:id="rId5336" xr:uid="{2318F018-4D20-4DE2-88B2-D36CBC08D5B5}"/>
    <hyperlink ref="N730" r:id="rId5337" xr:uid="{77CAC2F2-CF00-4FCF-8736-519C372674C0}"/>
    <hyperlink ref="N731" r:id="rId5338" xr:uid="{141A0215-9EFA-4C47-A83C-317094C4B8C5}"/>
    <hyperlink ref="N732" r:id="rId5339" xr:uid="{E9FB4F1B-CC13-46E7-A73E-F0D133E97816}"/>
    <hyperlink ref="N733" r:id="rId5340" xr:uid="{B67C155A-8456-401D-A217-01967906A0F3}"/>
    <hyperlink ref="N734" r:id="rId5341" xr:uid="{CFB4E134-A05B-4A45-BC12-6CF40E5CE8EE}"/>
    <hyperlink ref="N735" r:id="rId5342" xr:uid="{ED3E3E96-CEE8-49B2-AF77-FEA080097D1D}"/>
    <hyperlink ref="N736" r:id="rId5343" xr:uid="{FFC44268-C22B-474F-9E61-4C49C974B9B7}"/>
    <hyperlink ref="N737" r:id="rId5344" xr:uid="{96CA538E-6247-4718-ACF8-90FDB870BC93}"/>
    <hyperlink ref="N738" r:id="rId5345" xr:uid="{24355241-4710-4FA5-9667-3311C417B718}"/>
    <hyperlink ref="N739" r:id="rId5346" xr:uid="{E0B5D957-6E7C-41E0-B006-BAD53434A922}"/>
    <hyperlink ref="N740" r:id="rId5347" xr:uid="{C33841D0-0B48-4AAD-A2C3-DFFAC0E95CCF}"/>
    <hyperlink ref="N741" r:id="rId5348" xr:uid="{29F0910B-4EF0-46BB-B39A-08DA7F675D54}"/>
    <hyperlink ref="N742" r:id="rId5349" xr:uid="{0BCDA03B-6308-4CF8-B99A-1EBCF0C0DD72}"/>
    <hyperlink ref="N743" r:id="rId5350" xr:uid="{C3B39365-D4E8-48B5-A66B-66425164E321}"/>
    <hyperlink ref="N744" r:id="rId5351" xr:uid="{496C65CC-9F47-4D42-916A-87FE44ED1D3C}"/>
    <hyperlink ref="N745" r:id="rId5352" xr:uid="{CF42BBDE-4F40-4427-A131-5D251666D038}"/>
    <hyperlink ref="N746" r:id="rId5353" xr:uid="{839C8991-CBD3-46E2-920F-D7816328D1EE}"/>
    <hyperlink ref="N747" r:id="rId5354" xr:uid="{F997AF26-B631-42D9-934C-F66FB63B6E29}"/>
    <hyperlink ref="N748" r:id="rId5355" xr:uid="{044C0053-CB7A-4D1E-B872-FAD27613B458}"/>
    <hyperlink ref="N749" r:id="rId5356" xr:uid="{9C2DE148-5CD5-41D2-8BD4-32B686A33F5F}"/>
    <hyperlink ref="N750" r:id="rId5357" xr:uid="{8D17B7C6-D83F-4149-A36C-EF516D328B5A}"/>
    <hyperlink ref="N751" r:id="rId5358" xr:uid="{E8F0F1A7-D6D3-40BC-888D-D3CCED042239}"/>
    <hyperlink ref="N752" r:id="rId5359" xr:uid="{FDB529C4-15D1-4F64-A6A7-752516B3FD97}"/>
    <hyperlink ref="N753" r:id="rId5360" xr:uid="{65E0AFB7-1057-498B-A21D-895F52FBAE07}"/>
    <hyperlink ref="N754" r:id="rId5361" xr:uid="{0935D905-4781-4DF2-9348-4474B0DF9A67}"/>
    <hyperlink ref="N755" r:id="rId5362" xr:uid="{9758D218-907E-4B53-96ED-2D599EF85FAC}"/>
    <hyperlink ref="N756" r:id="rId5363" xr:uid="{DF9C6646-C307-4B2E-A557-C58F41A9B77A}"/>
    <hyperlink ref="N757" r:id="rId5364" xr:uid="{07D347C1-1B1A-462A-A63B-FC808A2A2C1D}"/>
    <hyperlink ref="N758" r:id="rId5365" xr:uid="{22283402-255D-42B9-90D0-985B6C0CCF66}"/>
    <hyperlink ref="N759" r:id="rId5366" xr:uid="{07872DA2-26D2-45F7-A9CC-4CBC1C572817}"/>
    <hyperlink ref="N760" r:id="rId5367" xr:uid="{F3E8E693-9C35-4A5B-A764-C36FEDA7C850}"/>
    <hyperlink ref="N761" r:id="rId5368" xr:uid="{BA301B13-0795-4C56-B5B7-8B382E44D1CD}"/>
    <hyperlink ref="N762" r:id="rId5369" xr:uid="{EF52C624-8BF1-4910-8F54-B5E9FAFAE8A7}"/>
    <hyperlink ref="N763" r:id="rId5370" xr:uid="{6FEB3E42-0DF9-4743-80AF-52DBF49B82C6}"/>
    <hyperlink ref="N764" r:id="rId5371" xr:uid="{95B2F990-448C-4D38-94E6-4AFA62F53CAB}"/>
    <hyperlink ref="N765" r:id="rId5372" xr:uid="{58497747-F319-4FA3-A5F3-281BB19CAA1E}"/>
    <hyperlink ref="N766" r:id="rId5373" xr:uid="{6CF6DF4A-EAED-4923-813D-1E35FC97150B}"/>
    <hyperlink ref="N767" r:id="rId5374" xr:uid="{5BDD03FB-3E4B-4DF7-8021-0A0FEEC74E3D}"/>
    <hyperlink ref="N768" r:id="rId5375" xr:uid="{00EEEC7F-4DDE-4EE5-AC14-AC75226669AF}"/>
    <hyperlink ref="N769" r:id="rId5376" xr:uid="{5DFA90B3-342A-43CA-8102-594CCC5CC91D}"/>
    <hyperlink ref="N770" r:id="rId5377" xr:uid="{72D738AE-8204-40C1-B192-0CF788E0C000}"/>
    <hyperlink ref="N771" r:id="rId5378" xr:uid="{01786614-F7B2-4E36-84D5-B676BA08216E}"/>
    <hyperlink ref="N772" r:id="rId5379" xr:uid="{E4A97BB1-4A6D-4713-AE26-60CD1C4DB35A}"/>
    <hyperlink ref="N773" r:id="rId5380" xr:uid="{CF52DD41-7FB3-4891-9382-121B8EF333E7}"/>
    <hyperlink ref="N774" r:id="rId5381" xr:uid="{0E612E60-8F8A-40E0-9981-DAB1E1FD6C62}"/>
    <hyperlink ref="N775" r:id="rId5382" xr:uid="{2EACAA3D-5100-4169-8A95-10B02992E781}"/>
    <hyperlink ref="N776" r:id="rId5383" xr:uid="{A5267EDC-50B5-41AB-AF87-7240A87890D5}"/>
    <hyperlink ref="N777" r:id="rId5384" xr:uid="{018324A8-3C31-4719-B247-CA8679F92595}"/>
    <hyperlink ref="N778" r:id="rId5385" xr:uid="{E2C594D9-81F4-48B6-A550-410A0591C728}"/>
    <hyperlink ref="N779" r:id="rId5386" xr:uid="{277B7637-0B8E-425E-85AC-2D4A7B8FC172}"/>
    <hyperlink ref="N780" r:id="rId5387" xr:uid="{FC5F9B40-D734-4D45-B4F4-72839F511E43}"/>
    <hyperlink ref="N781" r:id="rId5388" xr:uid="{A715E5EE-024F-4B0D-9F8C-C974080D6212}"/>
    <hyperlink ref="N782" r:id="rId5389" xr:uid="{A537336D-794C-49CF-8264-CAD3120FE3D7}"/>
    <hyperlink ref="N783" r:id="rId5390" xr:uid="{C76B7929-8CA6-4416-92C3-5D4605A8F084}"/>
    <hyperlink ref="N784" r:id="rId5391" xr:uid="{DBB03CAC-2F9A-48EE-A9E1-9C821955C472}"/>
    <hyperlink ref="N785" r:id="rId5392" xr:uid="{0E3B5CAE-38BF-4D74-9227-DEBD3F6093C4}"/>
    <hyperlink ref="N786" r:id="rId5393" xr:uid="{D7A3252A-DBA7-4E4C-A710-5AB8F1F605B3}"/>
    <hyperlink ref="N787" r:id="rId5394" xr:uid="{50550869-CA88-4525-A0B6-D04B26DF2B6A}"/>
    <hyperlink ref="N788" r:id="rId5395" xr:uid="{8F226C80-7E14-4F32-BC10-9645B2918B08}"/>
    <hyperlink ref="N789" r:id="rId5396" xr:uid="{AB1889BC-3F51-4380-8E56-1DB560F25B11}"/>
    <hyperlink ref="N790" r:id="rId5397" xr:uid="{C727CAE2-B1DB-413C-802A-C95AFEAF55D6}"/>
    <hyperlink ref="N791" r:id="rId5398" xr:uid="{ACC5815F-9B18-4277-84AF-9DE294F074AA}"/>
    <hyperlink ref="N792" r:id="rId5399" xr:uid="{90B1CEF0-8424-4CFF-B77E-625682BD6C83}"/>
    <hyperlink ref="N793" r:id="rId5400" xr:uid="{3464AA4A-56EF-471E-AB9D-1D8EE15E22D9}"/>
    <hyperlink ref="N794" r:id="rId5401" xr:uid="{9E9A9B6D-92DC-4434-99AA-87D94099B44F}"/>
    <hyperlink ref="N795" r:id="rId5402" xr:uid="{80036C0A-EEC3-438A-9AF1-6A0E3B47ADDC}"/>
    <hyperlink ref="N796" r:id="rId5403" xr:uid="{CB8C4F15-666F-4D67-9B1B-89258CE3DA17}"/>
    <hyperlink ref="N797" r:id="rId5404" xr:uid="{10327F24-7BF1-4B87-839E-827911E0DACE}"/>
    <hyperlink ref="N798" r:id="rId5405" xr:uid="{FB7671D0-09FC-4A11-9E9A-9A4BDDB1986B}"/>
    <hyperlink ref="N799" r:id="rId5406" xr:uid="{1465481D-40AF-422E-8A8D-A46FF95ADDA7}"/>
    <hyperlink ref="N800" r:id="rId5407" xr:uid="{AED534FF-6B06-4981-8CF9-B9A764A92B37}"/>
    <hyperlink ref="N801" r:id="rId5408" xr:uid="{F690F529-25C6-42BB-9E8E-F346CCBADCB2}"/>
    <hyperlink ref="N802" r:id="rId5409" xr:uid="{737C5F54-8A95-4270-97A1-A533969BF93C}"/>
    <hyperlink ref="N803" r:id="rId5410" xr:uid="{0DB92DCB-B818-45E2-839D-62E5534CC175}"/>
    <hyperlink ref="N804" r:id="rId5411" xr:uid="{295E5B37-0326-4288-A39D-4EB67F093E58}"/>
    <hyperlink ref="N805" r:id="rId5412" xr:uid="{6EA20C60-3796-4149-96D5-BF386D8FC693}"/>
    <hyperlink ref="N806" r:id="rId5413" xr:uid="{F24B535E-C6CD-4937-8E02-554217815E6C}"/>
    <hyperlink ref="N807" r:id="rId5414" xr:uid="{ED620B07-7B09-4759-8187-50BA65BD8736}"/>
    <hyperlink ref="N808" r:id="rId5415" xr:uid="{10169BCC-8DBC-42E2-85C0-12E93311E880}"/>
    <hyperlink ref="N809" r:id="rId5416" xr:uid="{8F8B74C4-B13E-4B34-8DB9-C18206BC68A6}"/>
    <hyperlink ref="N810" r:id="rId5417" xr:uid="{7D1B4305-2FBC-4010-9BBC-0E37168ECEC8}"/>
    <hyperlink ref="N811" r:id="rId5418" xr:uid="{FF0FC6F0-BA1B-45BF-83D3-7C1C4C0C4031}"/>
    <hyperlink ref="N812" r:id="rId5419" xr:uid="{AE1F4153-327E-4C73-B7DA-AF9C9F9EEDFF}"/>
    <hyperlink ref="N813" r:id="rId5420" xr:uid="{C46396A1-B38E-438F-9B18-9AB0A26A9739}"/>
    <hyperlink ref="N814" r:id="rId5421" xr:uid="{2A10939A-3892-4FA9-B317-4896B634145B}"/>
    <hyperlink ref="N815" r:id="rId5422" xr:uid="{A87B5FA7-6AF6-42F3-8CAC-C98727356EDD}"/>
    <hyperlink ref="N816" r:id="rId5423" xr:uid="{3F772E01-449F-4375-9B1E-C1F5839091F2}"/>
    <hyperlink ref="N817" r:id="rId5424" xr:uid="{D5092F4C-9A2B-49C4-98D0-6C1F73CAD308}"/>
    <hyperlink ref="N818" r:id="rId5425" xr:uid="{92201AE1-B6E5-418E-B202-E536AD0532CB}"/>
    <hyperlink ref="N819" r:id="rId5426" xr:uid="{77B66790-BDF8-40FB-899E-A9D544F8DC3D}"/>
    <hyperlink ref="N820" r:id="rId5427" xr:uid="{5B0686AB-98A5-46CE-ADC4-35677559C14D}"/>
    <hyperlink ref="N821" r:id="rId5428" xr:uid="{D41C1C42-4A3A-40D0-A8FC-4FB79AECBBBE}"/>
    <hyperlink ref="N822" r:id="rId5429" xr:uid="{87BB89AC-CA71-45F5-8F50-AB6F4D89E576}"/>
    <hyperlink ref="N823" r:id="rId5430" xr:uid="{CD139A9C-DB90-4907-BDFC-1EA3901725AB}"/>
    <hyperlink ref="N824" r:id="rId5431" xr:uid="{96EA0DA7-F666-4800-AFF4-09F7CC9E1051}"/>
    <hyperlink ref="N825" r:id="rId5432" xr:uid="{C3D44728-354E-4637-A38C-AE42226B35CB}"/>
    <hyperlink ref="N826" r:id="rId5433" xr:uid="{FAD188DD-E3C4-4F50-A392-DDF67805EC23}"/>
    <hyperlink ref="N827" r:id="rId5434" xr:uid="{D46B342F-0C04-416A-A77B-A2DBAB0EDED8}"/>
    <hyperlink ref="N828" r:id="rId5435" xr:uid="{5247C425-3B8D-4439-A29F-1C5CF355BBA3}"/>
    <hyperlink ref="N829" r:id="rId5436" xr:uid="{7894D89F-4F6A-4A5A-9BF1-882C82283A51}"/>
    <hyperlink ref="N830" r:id="rId5437" xr:uid="{88B9D900-ADDC-4BA3-B24D-AB890E14D864}"/>
    <hyperlink ref="N831" r:id="rId5438" xr:uid="{265F01C4-88A5-40CD-AB29-6BFD52A00021}"/>
    <hyperlink ref="N832" r:id="rId5439" xr:uid="{A9E4F6BD-9439-4B49-B460-389BF60E4332}"/>
    <hyperlink ref="N833" r:id="rId5440" xr:uid="{A3D7E3D0-0805-4BA6-93D1-32C220DEDD99}"/>
    <hyperlink ref="N834" r:id="rId5441" xr:uid="{B0F5D8B0-846B-44AA-B221-565CAFE8C317}"/>
    <hyperlink ref="N835" r:id="rId5442" xr:uid="{B12DC016-FD1C-4D14-82BD-1612AEAE05DD}"/>
    <hyperlink ref="N836" r:id="rId5443" xr:uid="{BA089D36-6431-4141-869A-5AE5F2AB09C5}"/>
    <hyperlink ref="N837" r:id="rId5444" xr:uid="{15FFF3E4-E1B6-455A-87F4-EABE2D7516DC}"/>
    <hyperlink ref="N838" r:id="rId5445" xr:uid="{A7EAF0AB-876E-40FE-A371-690687776402}"/>
    <hyperlink ref="N839" r:id="rId5446" xr:uid="{6D1FC7F6-D156-4D30-95D8-FB2EE9CE28DB}"/>
    <hyperlink ref="N840" r:id="rId5447" xr:uid="{DCCBEC19-7A5C-465E-B425-CDA2E7324E63}"/>
    <hyperlink ref="N841" r:id="rId5448" xr:uid="{1FA77EF6-090B-46F4-A00C-E49CF6166BB8}"/>
    <hyperlink ref="N842" r:id="rId5449" xr:uid="{7A24BE06-B916-46A9-B71C-B1FD7F0D7FF2}"/>
    <hyperlink ref="N843" r:id="rId5450" xr:uid="{6070D31B-B891-4CD3-B128-750360655069}"/>
    <hyperlink ref="N844" r:id="rId5451" xr:uid="{73E6E9EA-CA2B-4280-9261-1096945F309A}"/>
    <hyperlink ref="N845" r:id="rId5452" xr:uid="{435BE9BD-5F01-4688-809E-AA14DE1D6C4E}"/>
    <hyperlink ref="N846" r:id="rId5453" xr:uid="{E1AA07BF-C5A3-485A-AC11-805441653D2C}"/>
    <hyperlink ref="N847" r:id="rId5454" xr:uid="{BF913329-C111-4459-913A-592D1BA58986}"/>
    <hyperlink ref="N848" r:id="rId5455" xr:uid="{2F2852B3-4BDD-4C5B-9BC9-B0513DB8F28C}"/>
    <hyperlink ref="N849" r:id="rId5456" xr:uid="{87A88188-4C28-4EDB-9F13-5865CF18D927}"/>
    <hyperlink ref="N850" r:id="rId5457" xr:uid="{B2770B08-C3CE-44E4-838B-AD926FBE6061}"/>
    <hyperlink ref="N851" r:id="rId5458" xr:uid="{3BCCB978-485A-4B19-9D41-6D839B3FA3C8}"/>
    <hyperlink ref="N852" r:id="rId5459" xr:uid="{0A5500D9-75F0-4778-8759-C7EAB41FE3F7}"/>
    <hyperlink ref="N853" r:id="rId5460" xr:uid="{98D1B286-C3C1-4E11-945F-E071BC871C3F}"/>
    <hyperlink ref="N854" r:id="rId5461" xr:uid="{840805B4-368D-48D2-AF7A-349FD7D1FD15}"/>
    <hyperlink ref="N855" r:id="rId5462" xr:uid="{767B7E2D-981B-4542-9E32-44418948ACF8}"/>
    <hyperlink ref="N856" r:id="rId5463" xr:uid="{A7DF9C1E-86CB-4AA9-94FD-1962D6A98DF3}"/>
    <hyperlink ref="N857" r:id="rId5464" xr:uid="{4354A4E1-A6D2-4F7A-A47B-505DB9F73AD4}"/>
    <hyperlink ref="N858" r:id="rId5465" xr:uid="{5A60A34E-547B-477A-87AC-83F1A56F2914}"/>
    <hyperlink ref="N859" r:id="rId5466" xr:uid="{6FF3170D-8BDE-4641-8A96-9874ABBC83AF}"/>
    <hyperlink ref="N860" r:id="rId5467" xr:uid="{53AD45EB-9F0D-4B58-96CF-FF2E35CE20E7}"/>
    <hyperlink ref="N861" r:id="rId5468" xr:uid="{834484FE-E21F-4E9F-89B1-7AEAA73BBD64}"/>
    <hyperlink ref="N862" r:id="rId5469" xr:uid="{BD2EBDBD-209E-4B0D-ACC5-D02D0ED0FE48}"/>
    <hyperlink ref="N863" r:id="rId5470" xr:uid="{EAEF3694-98FC-4F30-95CB-5BAD382F6118}"/>
    <hyperlink ref="N864" r:id="rId5471" xr:uid="{C671751A-2276-4301-9D75-3F0578343E7E}"/>
    <hyperlink ref="N865" r:id="rId5472" xr:uid="{A6338A31-9685-4555-9895-7D4F4427492D}"/>
    <hyperlink ref="N866" r:id="rId5473" xr:uid="{C198958F-331A-4AEC-9EF1-71A643553434}"/>
    <hyperlink ref="N867" r:id="rId5474" xr:uid="{804EF347-8C61-4026-9D58-83A598C79CAB}"/>
    <hyperlink ref="N868" r:id="rId5475" xr:uid="{B92D2183-528E-442B-932D-D2F6E2793155}"/>
    <hyperlink ref="N869" r:id="rId5476" xr:uid="{EA190D1F-C0C3-4B24-8AC2-E5781D1E7CE3}"/>
    <hyperlink ref="N870" r:id="rId5477" xr:uid="{BDAF85AC-0A03-43C3-85EE-36105749C978}"/>
    <hyperlink ref="N871" r:id="rId5478" xr:uid="{1CEFFA48-6BB7-4531-96A3-3CCB64E96391}"/>
    <hyperlink ref="N872" r:id="rId5479" xr:uid="{8BBAEF48-ABE5-40E9-A287-8401D7E77D03}"/>
    <hyperlink ref="N873" r:id="rId5480" xr:uid="{049AE58F-24FC-49F4-BA50-0A2AA14604FF}"/>
    <hyperlink ref="N874" r:id="rId5481" xr:uid="{188F928A-0C24-4835-8B0C-4579E081B119}"/>
    <hyperlink ref="N875" r:id="rId5482" xr:uid="{145735BB-51DE-4837-8728-CED37C1A262E}"/>
    <hyperlink ref="N876" r:id="rId5483" xr:uid="{EFEBCCA0-09EE-4B97-B956-378F8BBF7688}"/>
    <hyperlink ref="N877" r:id="rId5484" xr:uid="{987011DE-AC3F-484B-9B14-3365D1D591BB}"/>
    <hyperlink ref="N878" r:id="rId5485" xr:uid="{A32E6FDE-2E7F-4BF0-93B1-F5868D7A8FF5}"/>
    <hyperlink ref="N879" r:id="rId5486" xr:uid="{08494E80-F535-428F-A34A-DA5CC7CCABFF}"/>
    <hyperlink ref="N880" r:id="rId5487" xr:uid="{EF435643-91BF-4BD2-BB7A-AF0A8CD9F5FE}"/>
    <hyperlink ref="N881" r:id="rId5488" xr:uid="{ECD06DB4-E928-4EB3-9537-923B838AF8DF}"/>
    <hyperlink ref="N882" r:id="rId5489" xr:uid="{E085FA8D-948C-4E6B-9631-D20FBAC6BB5F}"/>
    <hyperlink ref="N883" r:id="rId5490" xr:uid="{D653394F-5C53-4EE1-8C31-C26755A68892}"/>
    <hyperlink ref="N884" r:id="rId5491" xr:uid="{0E3B2087-3C31-4C4E-A656-262E2B90368A}"/>
    <hyperlink ref="N885" r:id="rId5492" xr:uid="{6D297B1D-AFB0-4849-9422-F77E599934F7}"/>
    <hyperlink ref="N886" r:id="rId5493" xr:uid="{491EACC8-C346-4DCE-BD4D-F8240E36D152}"/>
    <hyperlink ref="N887" r:id="rId5494" xr:uid="{BE7BC02F-5658-489E-8FB4-9840315E4960}"/>
    <hyperlink ref="N888" r:id="rId5495" xr:uid="{3A77AE01-2DF5-4FBC-BA70-85816D06F2AA}"/>
    <hyperlink ref="N889" r:id="rId5496" xr:uid="{748AD7C1-CFB3-4733-AEB3-C4BF52FE020C}"/>
    <hyperlink ref="N890" r:id="rId5497" xr:uid="{1E342E7A-4CA0-4BF7-8067-0FC4730CC8DF}"/>
    <hyperlink ref="N891" r:id="rId5498" xr:uid="{73A24D19-A5B4-4CDD-AE74-9DC50B73762F}"/>
    <hyperlink ref="N892" r:id="rId5499" xr:uid="{15045207-3A5A-40B5-B378-E1492ABF0282}"/>
    <hyperlink ref="N893" r:id="rId5500" xr:uid="{7A983F51-2EBC-4DBA-956F-D85175579718}"/>
    <hyperlink ref="N894" r:id="rId5501" xr:uid="{C4524B84-AC56-4F7E-8684-61F0D67A111B}"/>
    <hyperlink ref="N895" r:id="rId5502" xr:uid="{DDC882B2-7498-46B8-8606-8AB26DCF7A57}"/>
    <hyperlink ref="N896" r:id="rId5503" xr:uid="{2B993CC8-611B-412F-815D-2CEC0D5FA5A9}"/>
    <hyperlink ref="N897" r:id="rId5504" xr:uid="{825C9801-2219-4BE6-801C-87732F053E9F}"/>
    <hyperlink ref="N898" r:id="rId5505" xr:uid="{ACF01612-3963-493D-A3B2-C0EAA1B76816}"/>
    <hyperlink ref="N899" r:id="rId5506" xr:uid="{84503219-8005-408E-89E9-3A3E8B753ED4}"/>
    <hyperlink ref="N900" r:id="rId5507" xr:uid="{661EE2FD-28A8-46B1-875D-7D8CEC81E309}"/>
    <hyperlink ref="N901" r:id="rId5508" xr:uid="{B900CA44-5649-4FCA-A8B1-9D20E8988835}"/>
    <hyperlink ref="N902" r:id="rId5509" xr:uid="{21F2492B-6E8E-47C0-ABF0-C8EFEDCA136E}"/>
    <hyperlink ref="N903" r:id="rId5510" xr:uid="{1145EAEA-C60D-4F41-8D85-6D6A0608E3F5}"/>
    <hyperlink ref="N904" r:id="rId5511" xr:uid="{45A382E9-86DF-4CDD-9F2B-A4E297C44F81}"/>
    <hyperlink ref="N905" r:id="rId5512" xr:uid="{5D7447E4-8595-4F46-908B-B6949E026B1B}"/>
    <hyperlink ref="N906" r:id="rId5513" xr:uid="{7DC755FA-8A4A-4B2F-9B2A-44E5D5E41D01}"/>
    <hyperlink ref="N907" r:id="rId5514" xr:uid="{1867923B-4427-46C5-871A-E5B01FAB0911}"/>
    <hyperlink ref="N908" r:id="rId5515" xr:uid="{454CBAB2-5DF5-435C-974E-4BB131C67CBE}"/>
    <hyperlink ref="N909" r:id="rId5516" xr:uid="{703ABA91-094E-4519-AC3E-4FB07F77631A}"/>
    <hyperlink ref="N910" r:id="rId5517" xr:uid="{1BE16EA6-B4DC-4738-A78D-0CADD0B048AD}"/>
    <hyperlink ref="N911" r:id="rId5518" xr:uid="{6D9F5975-39D8-400C-912C-6C6ECFD473C9}"/>
    <hyperlink ref="N912" r:id="rId5519" xr:uid="{C7919D66-74DC-4ADB-8CB9-B73883DAD723}"/>
    <hyperlink ref="N913" r:id="rId5520" xr:uid="{2A7235C9-8998-433A-9A5B-4E7258E64CEA}"/>
    <hyperlink ref="N914" r:id="rId5521" xr:uid="{2FCDCA1F-E4B2-4615-9FC3-4DDC3ABE87C3}"/>
    <hyperlink ref="N915" r:id="rId5522" xr:uid="{4AC987E2-EA43-40EB-8F93-392215868532}"/>
    <hyperlink ref="N916" r:id="rId5523" xr:uid="{52EF9F98-5D3C-45CB-BA90-2A638B389C69}"/>
    <hyperlink ref="N917" r:id="rId5524" xr:uid="{43841905-14A3-4A97-B1E3-DF662E5C64BC}"/>
    <hyperlink ref="N918" r:id="rId5525" xr:uid="{238F7805-0030-47FB-8E5B-B0672B74C3B7}"/>
    <hyperlink ref="N919" r:id="rId5526" xr:uid="{017E1D4B-C1ED-49B7-B9E3-84FDAD7B3D52}"/>
    <hyperlink ref="N920" r:id="rId5527" xr:uid="{81F594C5-3609-4C34-AA8D-35977E3D4E33}"/>
    <hyperlink ref="N921" r:id="rId5528" xr:uid="{31E19AAD-573F-4064-8D44-3078A22A5448}"/>
    <hyperlink ref="N922" r:id="rId5529" xr:uid="{0D4607C5-5292-4615-A7A0-752A6E1E530F}"/>
    <hyperlink ref="N713" r:id="rId5530" xr:uid="{EC2167DC-3024-4F05-A0AD-375B5A2FB8FA}"/>
    <hyperlink ref="N675" r:id="rId5531" xr:uid="{33E93E45-7CCF-43AE-92E6-B72C24DA66CE}"/>
    <hyperlink ref="N677" r:id="rId5532" xr:uid="{E996B269-7A0B-423C-8F62-CD95D966EB34}"/>
    <hyperlink ref="N664" r:id="rId5533" xr:uid="{C8714A0B-1A51-4DA0-8D1C-315F0C74FED2}"/>
    <hyperlink ref="N469" r:id="rId5534" xr:uid="{CD82CD7A-CE70-4EC6-A7DD-568923F3723A}"/>
    <hyperlink ref="N470" r:id="rId5535" xr:uid="{8C02BE7E-C0CF-4ED3-B1C3-D1C91097BE60}"/>
    <hyperlink ref="N452" r:id="rId5536" xr:uid="{069BC227-706C-479C-B079-72D944A5136B}"/>
    <hyperlink ref="N453" r:id="rId5537" xr:uid="{6A2790E0-D5CA-4182-9ACF-B37096036B6A}"/>
    <hyperlink ref="N430" r:id="rId5538" xr:uid="{D3FFC905-A21B-4A72-8EA3-676ABBF6BE3D}"/>
    <hyperlink ref="N431" r:id="rId5539" xr:uid="{B531FA06-6A31-4E8E-82D4-92D26CA87ED5}"/>
    <hyperlink ref="N432" r:id="rId5540" xr:uid="{406CD7CF-CAE7-454C-8E07-B016761D31F9}"/>
    <hyperlink ref="N433" r:id="rId5541" xr:uid="{DAB640A7-5107-44AA-9EBB-37F78E21520F}"/>
    <hyperlink ref="N420" r:id="rId5542" xr:uid="{EC40CCB7-5277-4F43-91CC-67F3EFBD89F1}"/>
    <hyperlink ref="N422" r:id="rId5543" xr:uid="{28EFEBF2-C84E-4103-8BE0-3708DA407455}"/>
    <hyperlink ref="O129" r:id="rId5544" xr:uid="{99DDB2D1-0902-463E-AF11-1FB3717F4D9C}"/>
    <hyperlink ref="O130" r:id="rId5545" xr:uid="{F59747EF-98E9-4FC8-91B9-D8D07C1F8C95}"/>
    <hyperlink ref="O131" r:id="rId5546" xr:uid="{FEB7B12E-DC49-4885-8693-88CCDDE581D6}"/>
    <hyperlink ref="O132" r:id="rId5547" xr:uid="{A0A69F7B-023E-482A-AB34-1F3221DF236D}"/>
    <hyperlink ref="O133" r:id="rId5548" xr:uid="{7F34ECE8-245F-45A8-8616-A848946360A7}"/>
    <hyperlink ref="O134" r:id="rId5549" xr:uid="{18FFE00C-004A-4F29-835E-7F57C37C35EA}"/>
    <hyperlink ref="O135" r:id="rId5550" xr:uid="{B7355DA8-5851-4C15-8E4C-64FB9E33851B}"/>
    <hyperlink ref="O136" r:id="rId5551" xr:uid="{DD34435E-12DA-4BD0-A482-78752A4E011F}"/>
    <hyperlink ref="O137" r:id="rId5552" xr:uid="{3CBE3E7F-109F-4BEA-A738-EB9437E08F36}"/>
    <hyperlink ref="O138" r:id="rId5553" xr:uid="{CEDC006A-231D-4EC6-B3FE-C0FB6F8F7C80}"/>
    <hyperlink ref="O139" r:id="rId5554" xr:uid="{0EF0568A-B487-435F-A882-4D64AAF5DFB6}"/>
    <hyperlink ref="O140" r:id="rId5555" xr:uid="{310A5BC6-3AE3-4AB6-BE28-AE25650FDF19}"/>
    <hyperlink ref="O141" r:id="rId5556" xr:uid="{297259B6-1788-45C9-9803-710081DBBB14}"/>
    <hyperlink ref="O142" r:id="rId5557" xr:uid="{8C65A176-9D11-4DA5-BF79-6384A8D16531}"/>
    <hyperlink ref="O143" r:id="rId5558" xr:uid="{FF1F709D-3624-4F54-8067-83793B62AC7B}"/>
    <hyperlink ref="O144" r:id="rId5559" xr:uid="{36FBB984-BDAD-4718-B10F-2DB7BA5F9F6C}"/>
    <hyperlink ref="O145" r:id="rId5560" xr:uid="{CA22FE6C-44C1-43C2-B746-4A5B26DDCCAC}"/>
    <hyperlink ref="O146" r:id="rId5561" xr:uid="{E90B990A-1A8B-47D7-A2E2-BC887EE7EE27}"/>
    <hyperlink ref="O147" r:id="rId5562" xr:uid="{EB3CC037-0841-458C-A7EE-E8484ED6FBCF}"/>
    <hyperlink ref="O148" r:id="rId5563" xr:uid="{EFE484E5-8958-4633-A3F8-A53DEEF0344B}"/>
    <hyperlink ref="O149" r:id="rId5564" xr:uid="{FB9D1644-2D1F-4D0B-95E0-FE57A262952F}"/>
    <hyperlink ref="O150" r:id="rId5565" xr:uid="{2A318F0E-FE9B-40E4-9C76-B0AAA223CA85}"/>
    <hyperlink ref="O151" r:id="rId5566" xr:uid="{42E94BD4-3D70-4832-B56E-3300AACB68DC}"/>
    <hyperlink ref="O152" r:id="rId5567" xr:uid="{B0F7AE2A-4025-4747-89A6-65C3E81F6253}"/>
    <hyperlink ref="O153" r:id="rId5568" xr:uid="{37462D67-B2B4-41D2-9ABF-E35D712D91FB}"/>
    <hyperlink ref="O154" r:id="rId5569" xr:uid="{39BAF007-F691-4718-BDE5-65A7EF7027CA}"/>
    <hyperlink ref="O155" r:id="rId5570" xr:uid="{3278640B-1204-4901-98E6-435A1DB9CFF8}"/>
    <hyperlink ref="O156" r:id="rId5571" xr:uid="{C18A72A9-D497-4359-94A2-E74802899D40}"/>
    <hyperlink ref="O157" r:id="rId5572" xr:uid="{60D9BAD5-E6EA-4CBE-913D-70720F2A2507}"/>
    <hyperlink ref="O158" r:id="rId5573" xr:uid="{2EF331CF-C191-4457-A3B8-EDAA6EDEEE61}"/>
    <hyperlink ref="O159" r:id="rId5574" xr:uid="{276AB132-CFC3-4B2B-89D4-EFDCD6618577}"/>
    <hyperlink ref="O160" r:id="rId5575" xr:uid="{728B1A78-0999-4730-AEBE-E6454CA9C754}"/>
    <hyperlink ref="O161" r:id="rId5576" xr:uid="{EB6796C5-AE7D-4B8C-A3A6-A9D19CD6D8E1}"/>
    <hyperlink ref="O162" r:id="rId5577" xr:uid="{5D94DEBD-908A-41DC-B780-5C84B611B738}"/>
    <hyperlink ref="O163" r:id="rId5578" xr:uid="{3393FC11-4BE4-4CAA-A256-166E9D78CDBE}"/>
    <hyperlink ref="O164" r:id="rId5579" xr:uid="{8F71A8B2-F181-478B-9675-9128F859C2B9}"/>
    <hyperlink ref="O165" r:id="rId5580" xr:uid="{DF9E7072-9EC3-43B0-A5DC-DD99482AF841}"/>
    <hyperlink ref="O166" r:id="rId5581" xr:uid="{D81A0094-6D30-40F5-BAA4-6ED1BCE0AC5D}"/>
    <hyperlink ref="O167" r:id="rId5582" xr:uid="{E229DE2C-8AC8-42BA-88BD-FE3B56AF91B1}"/>
    <hyperlink ref="O168" r:id="rId5583" xr:uid="{DE43BE35-BDE0-4250-A4DE-1321ECD63D31}"/>
    <hyperlink ref="O169" r:id="rId5584" xr:uid="{81F9238B-C419-499E-8E20-EE79798C2045}"/>
    <hyperlink ref="O170" r:id="rId5585" xr:uid="{26CDD3EE-490E-4976-83FC-E429902A85B2}"/>
    <hyperlink ref="O171" r:id="rId5586" xr:uid="{15355F30-8CC6-42B2-83D8-2FE6CACB1B02}"/>
    <hyperlink ref="O172" r:id="rId5587" xr:uid="{455FF6CE-ACAF-48FA-8376-46782A4242EF}"/>
    <hyperlink ref="O173" r:id="rId5588" xr:uid="{248D2AFC-C0BF-4E0D-89E2-07E09A3B71F2}"/>
    <hyperlink ref="O174" r:id="rId5589" xr:uid="{3709706B-BA44-428F-BC6F-DFAD85629BF3}"/>
    <hyperlink ref="O175" r:id="rId5590" xr:uid="{4DCA7CBE-43D1-4C24-9F3C-FE59F21020F4}"/>
    <hyperlink ref="O176" r:id="rId5591" xr:uid="{0DCBFB3C-09A2-4A96-AED5-4ED4392AE457}"/>
    <hyperlink ref="O177" r:id="rId5592" xr:uid="{9E359D43-CC41-4FA7-A760-C34F1C29B312}"/>
    <hyperlink ref="O178" r:id="rId5593" xr:uid="{74AC2103-8739-4AAA-A6CA-7F772A82BE5C}"/>
    <hyperlink ref="O179" r:id="rId5594" xr:uid="{FAE69C43-C497-4AD9-8D87-4E71BCB244DA}"/>
    <hyperlink ref="O180" r:id="rId5595" xr:uid="{6AC3949E-9FA1-4E51-BE63-6DA49F8BC148}"/>
    <hyperlink ref="O181" r:id="rId5596" xr:uid="{DC814E4E-99B5-4D6F-909F-90483B8A4BC1}"/>
    <hyperlink ref="O182" r:id="rId5597" xr:uid="{DF70C17A-09D2-4A69-BC06-374A136D806B}"/>
    <hyperlink ref="O183" r:id="rId5598" xr:uid="{A2BA6B17-2B4B-4AA5-AEF9-8E034A78CFBF}"/>
    <hyperlink ref="O184" r:id="rId5599" xr:uid="{41450A6A-DB39-43DD-80C7-57060816E8D1}"/>
    <hyperlink ref="O185" r:id="rId5600" xr:uid="{0C7305EF-3F0D-4A5E-A1D3-A7C6331422B4}"/>
    <hyperlink ref="O186" r:id="rId5601" xr:uid="{EE096EC8-652E-4EC3-AF90-3C28E0E1B0E8}"/>
    <hyperlink ref="O187" r:id="rId5602" xr:uid="{2FD5C983-5FFE-48F8-9017-D799FF29394E}"/>
    <hyperlink ref="O188" r:id="rId5603" xr:uid="{7F359D46-E2A4-4EE2-89DA-922313054F33}"/>
    <hyperlink ref="O189" r:id="rId5604" xr:uid="{1AC0ACAE-BB24-4B3E-8111-FC498E0A1573}"/>
    <hyperlink ref="O190" r:id="rId5605" xr:uid="{2D110BFF-DD28-4954-AA34-0061D6C849A3}"/>
    <hyperlink ref="O191" r:id="rId5606" xr:uid="{FCDE2BFC-AE46-445F-ACBA-7D4FAEFA0D23}"/>
    <hyperlink ref="O192" r:id="rId5607" xr:uid="{0250D216-3128-4B4D-A8CD-E8C83FDF9F51}"/>
    <hyperlink ref="O193" r:id="rId5608" xr:uid="{02128253-455E-4EAD-A2A0-9E6292E73A5C}"/>
    <hyperlink ref="O194" r:id="rId5609" xr:uid="{52210A6B-9EC9-4A3A-99E1-839B4ACF3A8F}"/>
    <hyperlink ref="O195" r:id="rId5610" xr:uid="{E8E9C8A2-1A42-4057-8E24-05C10527CD96}"/>
    <hyperlink ref="O196" r:id="rId5611" xr:uid="{1B3B470C-29C0-4ED6-8F9B-D77A0B52207A}"/>
    <hyperlink ref="O197" r:id="rId5612" xr:uid="{13437240-1042-4FC1-9C95-7A1E8A838E11}"/>
    <hyperlink ref="O198" r:id="rId5613" xr:uid="{965B8CAF-EC24-4F05-96EE-CF70FD8905F5}"/>
    <hyperlink ref="O199" r:id="rId5614" xr:uid="{28BBB996-8FFC-4F03-8AEC-454A2F6E8805}"/>
    <hyperlink ref="O200" r:id="rId5615" xr:uid="{B3AF63AD-3B5A-4B6D-9ABF-D3ED0BD9CFDA}"/>
    <hyperlink ref="O201" r:id="rId5616" xr:uid="{23DC730B-9514-4405-9DE5-54557FEC9912}"/>
    <hyperlink ref="O202" r:id="rId5617" xr:uid="{D4C16C3F-EAE6-4DAD-9C57-E9F21218DA9D}"/>
    <hyperlink ref="O203" r:id="rId5618" xr:uid="{FCB2FA16-CBC3-40FD-94EC-07123F083695}"/>
    <hyperlink ref="O204" r:id="rId5619" xr:uid="{C2AF7BEE-6C70-4947-BECA-9018031134D3}"/>
    <hyperlink ref="O205" r:id="rId5620" xr:uid="{392380F3-3612-4301-84C2-F145D25441AE}"/>
    <hyperlink ref="O206" r:id="rId5621" xr:uid="{CAF7AF67-72C2-471A-B3C2-2EA4A4DEB9B5}"/>
    <hyperlink ref="O207" r:id="rId5622" xr:uid="{4B4248B4-684E-4493-8A2A-8351028B151A}"/>
    <hyperlink ref="O208" r:id="rId5623" xr:uid="{E3F7A5EB-CB32-4C7E-89D3-88A236066351}"/>
    <hyperlink ref="O210" r:id="rId5624" xr:uid="{413EEB5B-C037-4C83-8D7E-C4C71D08CDCD}"/>
    <hyperlink ref="O211" r:id="rId5625" xr:uid="{847A2F4A-BA19-42A7-A9B4-1C44212F5D91}"/>
    <hyperlink ref="O212" r:id="rId5626" xr:uid="{87B35717-0616-4C30-964B-A2B37CA08B7D}"/>
    <hyperlink ref="O213" r:id="rId5627" xr:uid="{2B3B403F-3798-4AEB-A8F4-F27CBE1F301C}"/>
    <hyperlink ref="O214" r:id="rId5628" xr:uid="{840BCB54-986A-40B1-927D-17505967A080}"/>
    <hyperlink ref="O215" r:id="rId5629" xr:uid="{B1943173-7587-4B07-8612-A53FBB7AA524}"/>
    <hyperlink ref="O216" r:id="rId5630" xr:uid="{01577976-EC2F-4D60-823C-915914A631CE}"/>
    <hyperlink ref="O217" r:id="rId5631" xr:uid="{9411CA8D-5204-4C9B-A423-315E9BE6EA52}"/>
    <hyperlink ref="O218" r:id="rId5632" xr:uid="{01A561E7-0CAB-431D-A569-1151F2532543}"/>
    <hyperlink ref="O219" r:id="rId5633" xr:uid="{7E7DC0C1-5A4B-4679-8EED-B1204D324247}"/>
    <hyperlink ref="O220" r:id="rId5634" xr:uid="{AC1B03CB-9CB6-40B9-9E5B-8416608E07DA}"/>
    <hyperlink ref="O221" r:id="rId5635" xr:uid="{1E1E30FC-8AA4-4E1D-91DE-725C817D80A4}"/>
    <hyperlink ref="O222" r:id="rId5636" xr:uid="{DCA5EEB9-942E-4FB0-9BCD-46B399788B08}"/>
    <hyperlink ref="O223" r:id="rId5637" xr:uid="{4CF9544B-4BDA-45DB-BFAD-AF26CFE03979}"/>
    <hyperlink ref="O224" r:id="rId5638" xr:uid="{570911C4-B104-47F3-BBD7-96DF3A8094C0}"/>
    <hyperlink ref="O225" r:id="rId5639" xr:uid="{3052A87C-5586-4FDF-A34D-DCAD3E627719}"/>
    <hyperlink ref="O226" r:id="rId5640" xr:uid="{5C75ED5A-27F4-48FB-95A6-E2FDA82F5B1F}"/>
    <hyperlink ref="O227" r:id="rId5641" xr:uid="{1AF59D9A-91B1-46EA-9642-AE28930C553C}"/>
    <hyperlink ref="O228" r:id="rId5642" xr:uid="{2E6D36B5-0F9B-4134-9659-685E0CD2C9F5}"/>
    <hyperlink ref="O229" r:id="rId5643" xr:uid="{5A9A4105-9288-4CC5-9F79-F6A390F113F5}"/>
    <hyperlink ref="O230" r:id="rId5644" xr:uid="{0330577B-2C5F-4589-A6CE-A2C2B8200899}"/>
    <hyperlink ref="O231" r:id="rId5645" xr:uid="{23C7CAEA-1055-4ACC-8303-325D7D587710}"/>
    <hyperlink ref="O232" r:id="rId5646" xr:uid="{AB3F306A-1B0C-45DE-AF6D-59D992D534B0}"/>
    <hyperlink ref="O233" r:id="rId5647" xr:uid="{5CA2E4F7-AEA9-4D31-9A6E-40D9FF44B173}"/>
    <hyperlink ref="O234" r:id="rId5648" xr:uid="{77CB6BDA-116A-4E12-8207-18DDAD098600}"/>
    <hyperlink ref="O235" r:id="rId5649" xr:uid="{9C97E19A-42AB-4874-9526-47DAA6D8AC7B}"/>
    <hyperlink ref="O236" r:id="rId5650" xr:uid="{0C850923-FA1B-4F8D-8A1D-85D7E4B32152}"/>
    <hyperlink ref="O237" r:id="rId5651" xr:uid="{074D39DD-F2C7-42E7-A238-1E21683E6E4C}"/>
    <hyperlink ref="O238" r:id="rId5652" xr:uid="{0DC2988F-A70D-4C5F-9CE6-24434626FE4E}"/>
    <hyperlink ref="O239" r:id="rId5653" xr:uid="{5B23536D-F917-479E-B60C-F7FAD506B6D9}"/>
    <hyperlink ref="O240" r:id="rId5654" xr:uid="{3E00CA3B-9D9A-442F-A1C7-598DF6EBE0F6}"/>
    <hyperlink ref="O241" r:id="rId5655" xr:uid="{81DD28E0-CEF7-476D-A1DA-3A31040DD77D}"/>
    <hyperlink ref="O242" r:id="rId5656" xr:uid="{8B6C6D0A-D1FA-47DD-98A5-DABCA7F003EE}"/>
    <hyperlink ref="O243" r:id="rId5657" xr:uid="{28CCC2AC-DFAE-42F8-811B-06BF57BC4205}"/>
    <hyperlink ref="O244" r:id="rId5658" xr:uid="{CFEC5D60-93A3-4172-9BB3-05197A89B7EC}"/>
    <hyperlink ref="O245" r:id="rId5659" xr:uid="{4558275D-DB83-46C3-B65D-C394386294E8}"/>
    <hyperlink ref="O246" r:id="rId5660" xr:uid="{B7953B1D-A5CD-42B9-911B-E0EF17A3E1CA}"/>
    <hyperlink ref="O247" r:id="rId5661" xr:uid="{C8E44721-6A31-4CEC-87D0-5B6575DD3BBB}"/>
    <hyperlink ref="O248" r:id="rId5662" xr:uid="{DBF29E9D-C019-4914-B3E4-24C512CD98F9}"/>
    <hyperlink ref="O249" r:id="rId5663" xr:uid="{0E282A5C-A305-4F2E-9C3D-A38C9700124D}"/>
    <hyperlink ref="O250" r:id="rId5664" xr:uid="{60CF0D2D-C9C1-4573-BA39-62C0C639224E}"/>
    <hyperlink ref="O251" r:id="rId5665" xr:uid="{05A46A73-8A11-4074-BECC-2EE83161E75B}"/>
    <hyperlink ref="O252" r:id="rId5666" xr:uid="{C849E3DC-63CD-423D-9C5A-12F3B1577948}"/>
    <hyperlink ref="O253" r:id="rId5667" xr:uid="{D7090028-2624-4FDB-970D-284AF9C8559B}"/>
    <hyperlink ref="O254" r:id="rId5668" xr:uid="{34C4005C-2C8E-43D9-B1D6-C3511844BD48}"/>
    <hyperlink ref="O255" r:id="rId5669" xr:uid="{F9C20B54-9F3F-474C-B08D-7FA26C78366B}"/>
    <hyperlink ref="O256" r:id="rId5670" xr:uid="{EB0BDF36-3692-47E9-9C94-283DB10294A4}"/>
    <hyperlink ref="O257" r:id="rId5671" xr:uid="{A5D69CC3-394F-48EB-9C01-C50ACB90B2D3}"/>
    <hyperlink ref="O258" r:id="rId5672" xr:uid="{B9626507-D858-48B6-8C7A-8066F6E0657F}"/>
    <hyperlink ref="O259" r:id="rId5673" xr:uid="{51FE82E7-39D6-4B35-96A7-B9672538BD7E}"/>
    <hyperlink ref="O260" r:id="rId5674" xr:uid="{C1A3D084-152D-44DE-AC38-3196904C4A18}"/>
    <hyperlink ref="O261" r:id="rId5675" xr:uid="{8055DDC2-E2A8-4880-BA3B-9F18B7D6E8EA}"/>
    <hyperlink ref="O262" r:id="rId5676" xr:uid="{A6E53278-4CF2-4358-A748-49BD4147F833}"/>
    <hyperlink ref="O263" r:id="rId5677" xr:uid="{BCC034A6-4C7E-4683-9581-BA87B21F62C0}"/>
    <hyperlink ref="O264" r:id="rId5678" xr:uid="{2B74320D-7ACB-470F-8784-BC1883314765}"/>
    <hyperlink ref="O265" r:id="rId5679" xr:uid="{25D0D2EA-D940-402C-BD2D-B7BE0BE1E6FD}"/>
    <hyperlink ref="O266" r:id="rId5680" xr:uid="{7D54AB10-E181-4671-8B1F-EA40DEE9D2DA}"/>
    <hyperlink ref="O267" r:id="rId5681" xr:uid="{C02AF912-D7DF-42CA-9151-3049E8AAF6E3}"/>
    <hyperlink ref="O268" r:id="rId5682" xr:uid="{0754F757-6399-416A-AC72-1E2FF91B61BD}"/>
    <hyperlink ref="O270" r:id="rId5683" xr:uid="{4EA50411-E985-43D1-9088-B2D0D8540515}"/>
    <hyperlink ref="O271" r:id="rId5684" xr:uid="{B0941204-F369-4932-A335-3F1E93B0C530}"/>
    <hyperlink ref="O272" r:id="rId5685" xr:uid="{87967028-421A-40CD-8867-B8C7CCEEEF96}"/>
    <hyperlink ref="O273" r:id="rId5686" xr:uid="{1E66E52A-1E1E-42FD-BAAB-2B6DF991160A}"/>
    <hyperlink ref="O274" r:id="rId5687" xr:uid="{C699C8C5-D497-4799-BEA8-EDD51E039EF6}"/>
    <hyperlink ref="O275" r:id="rId5688" xr:uid="{F7D801BC-D8B5-4745-9825-A069BBA0E9A2}"/>
    <hyperlink ref="O276" r:id="rId5689" xr:uid="{C1CA2017-CCF0-426E-9317-26C88AE6B9D1}"/>
    <hyperlink ref="O277" r:id="rId5690" xr:uid="{CC779731-CF88-4B98-A694-834E1DC16C1A}"/>
    <hyperlink ref="O278" r:id="rId5691" xr:uid="{6045A17F-292A-412F-ACE2-AB98CECE65F2}"/>
    <hyperlink ref="O279" r:id="rId5692" xr:uid="{AAE1127A-A467-4A41-A10B-28FE8B9E1969}"/>
    <hyperlink ref="O280" r:id="rId5693" xr:uid="{E872E7B2-CFF1-4E36-9FFA-8F051A177E51}"/>
    <hyperlink ref="O281" r:id="rId5694" xr:uid="{1ABDAC74-1E1A-45C6-9AAC-04FEC31AED65}"/>
    <hyperlink ref="O282" r:id="rId5695" xr:uid="{6D891212-0B75-42BF-9F86-0EF5A110F0D8}"/>
    <hyperlink ref="O283" r:id="rId5696" xr:uid="{AE87686E-31A1-4D9C-BF79-952CCF6A8136}"/>
    <hyperlink ref="O284" r:id="rId5697" xr:uid="{2B2D30A7-3834-4417-A2AD-30389BBD54D0}"/>
    <hyperlink ref="O285" r:id="rId5698" xr:uid="{3BFF2BED-F15C-424B-B776-8AA7F725848D}"/>
    <hyperlink ref="O286" r:id="rId5699" xr:uid="{CECE4395-5260-4F0E-A337-177CA64E6970}"/>
    <hyperlink ref="O287" r:id="rId5700" xr:uid="{71361615-46F4-4616-ADC4-A936BE9CBD02}"/>
    <hyperlink ref="O288" r:id="rId5701" xr:uid="{A486FA09-B026-489C-8A7F-2EE13CD52884}"/>
    <hyperlink ref="O289" r:id="rId5702" xr:uid="{65A71083-40B1-44DB-81A6-A3185A291234}"/>
    <hyperlink ref="O290" r:id="rId5703" xr:uid="{8B9EF2B2-CD11-4EC1-8BC8-B2E30F26CB13}"/>
    <hyperlink ref="O291" r:id="rId5704" xr:uid="{9E76216C-E2E4-458F-AE79-3F967A0C793E}"/>
    <hyperlink ref="O292" r:id="rId5705" xr:uid="{6A4EB297-1EEB-40D3-A699-0B3125A60AD2}"/>
    <hyperlink ref="O293" r:id="rId5706" xr:uid="{1988774B-6172-4F46-B5BA-90AC8123182B}"/>
    <hyperlink ref="O294" r:id="rId5707" xr:uid="{75EF25B4-27FF-4D37-A522-609E375BAFDD}"/>
    <hyperlink ref="O295" r:id="rId5708" xr:uid="{EEBC6AF5-4713-4610-9168-5ED3E2B9863A}"/>
    <hyperlink ref="O296" r:id="rId5709" xr:uid="{7D0EFC8D-3A08-43AC-9406-2228F9EBE5A6}"/>
    <hyperlink ref="O297" r:id="rId5710" xr:uid="{9682AFC6-BC86-4BDC-9E05-9CAF188FD588}"/>
    <hyperlink ref="O298" r:id="rId5711" xr:uid="{93FD1B98-15BD-4773-BE78-F3BE2B46E85B}"/>
    <hyperlink ref="O299" r:id="rId5712" xr:uid="{CEAF1F2E-FD34-4989-8F9A-3C18038AACB8}"/>
    <hyperlink ref="O300" r:id="rId5713" xr:uid="{EF28E13C-4474-461B-AB7D-D7B5C342D3A5}"/>
    <hyperlink ref="O301" r:id="rId5714" xr:uid="{1BEB62B6-1C24-41EC-9ED8-976CF5E542B3}"/>
    <hyperlink ref="O302" r:id="rId5715" xr:uid="{3FEAADE8-3623-4748-AE39-5BCCB16DFC5F}"/>
    <hyperlink ref="O306" r:id="rId5716" xr:uid="{638D4208-9DF2-4826-BBF5-236A4FD47CFF}"/>
    <hyperlink ref="O307" r:id="rId5717" xr:uid="{29C299A4-562E-4645-878A-7D447BC885C9}"/>
    <hyperlink ref="O308" r:id="rId5718" xr:uid="{72DA8C7C-DED2-4FAE-B7E3-CC4563485E14}"/>
    <hyperlink ref="O309" r:id="rId5719" xr:uid="{BE58C3B7-8895-448C-8EAD-655DE60DB10E}"/>
    <hyperlink ref="O310" r:id="rId5720" xr:uid="{3A509341-8FFB-4147-A2C9-DD9B56963702}"/>
    <hyperlink ref="O311" r:id="rId5721" xr:uid="{6DE6CEF3-8DB4-43F0-B750-8BF4ADBC2B93}"/>
    <hyperlink ref="O312" r:id="rId5722" xr:uid="{FA3DEE08-E78C-4690-A90F-A0C3C66BAF05}"/>
    <hyperlink ref="O313" r:id="rId5723" xr:uid="{88FBF883-8A24-4694-A26B-A13A0D3BAD2F}"/>
    <hyperlink ref="O314" r:id="rId5724" xr:uid="{4FB89942-611E-420E-B094-D16B4532CACD}"/>
    <hyperlink ref="O315" r:id="rId5725" xr:uid="{55645046-D2AE-4D99-B317-0559F3AA91BE}"/>
    <hyperlink ref="O316" r:id="rId5726" xr:uid="{E2C78209-B0DE-4DA0-8597-06BD9B52C128}"/>
    <hyperlink ref="O317" r:id="rId5727" xr:uid="{6AF4BA1D-B75C-4A00-AED9-BF3DEDCC330E}"/>
    <hyperlink ref="O318" r:id="rId5728" xr:uid="{71D115F6-456E-44B9-B92E-7F4972DC60CA}"/>
    <hyperlink ref="O319" r:id="rId5729" xr:uid="{BB6D4E63-A39F-44A1-8C90-D4EF37F9244D}"/>
    <hyperlink ref="O320" r:id="rId5730" xr:uid="{ECF030A6-A766-4A5D-BBA5-8A1E3B56112E}"/>
    <hyperlink ref="O321" r:id="rId5731" xr:uid="{DB09E10B-5AEB-46F8-808E-859E65E529EF}"/>
    <hyperlink ref="O322" r:id="rId5732" xr:uid="{DDE1D6BF-49C3-4669-BF22-B11472D0BBC0}"/>
    <hyperlink ref="O323" r:id="rId5733" xr:uid="{9024A251-5670-4FFF-A394-B7F7461DE0FB}"/>
    <hyperlink ref="O324" r:id="rId5734" xr:uid="{9F8995E7-BD5C-41B0-9E32-11E5535FFF0D}"/>
    <hyperlink ref="O325" r:id="rId5735" xr:uid="{EFA19255-4C4A-4B82-AEE2-76E4449D46CE}"/>
    <hyperlink ref="O326" r:id="rId5736" xr:uid="{C2BC32FA-54BE-47B9-BE40-0AD7BB34AADB}"/>
    <hyperlink ref="O327" r:id="rId5737" xr:uid="{4107402B-BE3E-45E2-9B80-781FCD1808BF}"/>
    <hyperlink ref="O328" r:id="rId5738" xr:uid="{C914F461-FF99-4F48-85CA-D8CB8A1035FF}"/>
    <hyperlink ref="O329" r:id="rId5739" xr:uid="{9AEFB0CB-FD58-4B96-96A9-70438DF366BD}"/>
    <hyperlink ref="O330" r:id="rId5740" xr:uid="{559366BB-80AD-4BB9-A516-3294B31E08DF}"/>
    <hyperlink ref="O331" r:id="rId5741" xr:uid="{00DE2A43-4758-4BA9-A24B-976D59CDE1A6}"/>
    <hyperlink ref="O332" r:id="rId5742" xr:uid="{E5C83271-0C63-4D2F-9D86-3CDD784B534E}"/>
    <hyperlink ref="O333" r:id="rId5743" xr:uid="{1C6D8283-8DCA-4670-B280-0F20E3498053}"/>
    <hyperlink ref="O334" r:id="rId5744" xr:uid="{4186A406-57A5-409B-A7FE-7C6653271935}"/>
    <hyperlink ref="O335" r:id="rId5745" xr:uid="{50A491B4-B7FD-4102-9B9D-A98FC4020DE8}"/>
    <hyperlink ref="O336" r:id="rId5746" xr:uid="{8162CBD0-731F-48AC-BBEA-7372B6A047C2}"/>
    <hyperlink ref="O337" r:id="rId5747" xr:uid="{E537143C-586A-4DEC-9B3B-66221A1BE3B9}"/>
    <hyperlink ref="O338" r:id="rId5748" xr:uid="{4041DF87-86E0-470F-9583-32382650820C}"/>
    <hyperlink ref="O339" r:id="rId5749" xr:uid="{94673A2B-D0B6-4C0D-A0C2-759D40448BAA}"/>
    <hyperlink ref="O340" r:id="rId5750" xr:uid="{556DA119-1C14-4873-9039-C1E3E11E817B}"/>
    <hyperlink ref="O341" r:id="rId5751" xr:uid="{4C5018FE-4A25-4BDD-AE98-1F6133E467E2}"/>
    <hyperlink ref="O342" r:id="rId5752" xr:uid="{759385C0-71DA-491A-814A-44D15EF07236}"/>
    <hyperlink ref="O343" r:id="rId5753" xr:uid="{106274F2-D1AA-4D1A-BB2F-122A7C7EA94E}"/>
    <hyperlink ref="O344" r:id="rId5754" xr:uid="{FD9183DE-11A4-4E2F-BD52-602CA3925D26}"/>
    <hyperlink ref="O345" r:id="rId5755" xr:uid="{DE844911-6352-43B2-8536-60776CD61130}"/>
    <hyperlink ref="O346" r:id="rId5756" xr:uid="{93F6F706-385D-48B8-850D-5DDA166AA7E5}"/>
    <hyperlink ref="O347" r:id="rId5757" xr:uid="{62C9A223-72E5-4890-942E-8B790DE7C12D}"/>
    <hyperlink ref="O348" r:id="rId5758" xr:uid="{C5616326-2D5A-421C-B300-ABC77C38B99C}"/>
    <hyperlink ref="O349" r:id="rId5759" xr:uid="{BF6988DA-6BBF-4744-B2A5-08169F548678}"/>
    <hyperlink ref="O350" r:id="rId5760" xr:uid="{F12B80B6-6776-436E-A01F-B033A799CF58}"/>
    <hyperlink ref="O351" r:id="rId5761" xr:uid="{80B07652-7C59-4D26-A97E-18495B77A53E}"/>
    <hyperlink ref="O352" r:id="rId5762" xr:uid="{4C7A8793-EE47-4255-B3D1-E5995B214EFE}"/>
    <hyperlink ref="O353" r:id="rId5763" xr:uid="{26B243FD-FA4B-4C17-8569-8025A4550017}"/>
    <hyperlink ref="O354" r:id="rId5764" xr:uid="{884BB87E-0815-4328-97A4-A8BE6761656C}"/>
    <hyperlink ref="O355" r:id="rId5765" xr:uid="{050055E4-894B-416A-82C8-8C66AB50E338}"/>
    <hyperlink ref="O356" r:id="rId5766" xr:uid="{1D1AEA59-C2EB-46CE-9A90-45C8CC435E02}"/>
    <hyperlink ref="O357" r:id="rId5767" xr:uid="{F8EE4610-3C4A-4418-B189-18D99CB747A1}"/>
    <hyperlink ref="O358" r:id="rId5768" xr:uid="{569779DC-7DBE-48B6-B19F-6100182F03BA}"/>
    <hyperlink ref="O359" r:id="rId5769" xr:uid="{A04F24EE-2E3D-4D92-BEF0-EF65FA3225DD}"/>
    <hyperlink ref="O360" r:id="rId5770" xr:uid="{4E357E6F-AC27-4CE4-9BA4-7A6E49BF6890}"/>
    <hyperlink ref="O361" r:id="rId5771" xr:uid="{08F92E2D-A290-4DA8-B763-17A255BD5B45}"/>
    <hyperlink ref="O362" r:id="rId5772" xr:uid="{AF29B048-1100-4A43-A6C2-EE4B453CEB16}"/>
    <hyperlink ref="O363" r:id="rId5773" xr:uid="{8A82271C-6D36-46F3-BA25-2ABF3B4B9C0A}"/>
    <hyperlink ref="O364" r:id="rId5774" xr:uid="{5B31D694-CC26-498A-8979-E8EE48661EDF}"/>
    <hyperlink ref="O365" r:id="rId5775" xr:uid="{C24A6802-A8B0-4877-BE68-4FD1AB398383}"/>
    <hyperlink ref="O366" r:id="rId5776" xr:uid="{528CE8DA-0E97-4058-B3E3-CAC34245DCD4}"/>
    <hyperlink ref="O367" r:id="rId5777" xr:uid="{1BB58BA1-17B6-4A5F-865C-73C271F92ECF}"/>
    <hyperlink ref="O368" r:id="rId5778" xr:uid="{785392D2-2666-4521-A62C-0559D2571D28}"/>
    <hyperlink ref="O369" r:id="rId5779" xr:uid="{EA23D1C7-D3F9-4E3D-9BA5-88A19A962F24}"/>
    <hyperlink ref="O370" r:id="rId5780" xr:uid="{B9D40B14-5017-4967-93BE-1A9B11F01A7C}"/>
    <hyperlink ref="O371" r:id="rId5781" xr:uid="{4FA20CD9-095C-4D0B-9C51-66D0EA3D1D7B}"/>
    <hyperlink ref="O372" r:id="rId5782" xr:uid="{CCD8598E-FF0D-49A8-9705-EF937DBBBE77}"/>
    <hyperlink ref="O373" r:id="rId5783" xr:uid="{948DF70B-60AE-4E9F-9949-80D359ACD747}"/>
    <hyperlink ref="O374" r:id="rId5784" xr:uid="{818D4B5C-8DC1-4E10-A23A-388F06046D02}"/>
    <hyperlink ref="O375" r:id="rId5785" xr:uid="{64B7DC29-A7E3-405C-BAD6-E36C4CEE11B2}"/>
    <hyperlink ref="O376" r:id="rId5786" xr:uid="{7CFBE4AF-ECB9-4EDC-AE50-C8C619DC9A0C}"/>
    <hyperlink ref="O377" r:id="rId5787" xr:uid="{2095A48B-C33B-44EF-8D91-298AFBDA15EC}"/>
    <hyperlink ref="O378" r:id="rId5788" xr:uid="{CD6F0BB2-C60E-4CFF-A8D3-B433A0C917E7}"/>
    <hyperlink ref="O379" r:id="rId5789" xr:uid="{3261166B-E733-40DD-95D0-960245121377}"/>
    <hyperlink ref="O380" r:id="rId5790" xr:uid="{79DAF345-0A4D-4C78-BED8-1C3CDE297CA1}"/>
    <hyperlink ref="O381" r:id="rId5791" xr:uid="{050DF393-96C9-416A-8B6E-F8F878958D43}"/>
    <hyperlink ref="O382" r:id="rId5792" xr:uid="{9B72E4E5-C52A-4932-A2AF-6289B227E625}"/>
    <hyperlink ref="O383" r:id="rId5793" xr:uid="{4E4DDFC3-7B09-4845-9685-E4A58664C848}"/>
    <hyperlink ref="O384" r:id="rId5794" xr:uid="{A0301C44-B172-4C60-990D-3F6E02EF4ADD}"/>
    <hyperlink ref="O385" r:id="rId5795" xr:uid="{2E157619-B375-4542-8AF6-62586F4227D3}"/>
    <hyperlink ref="O386" r:id="rId5796" xr:uid="{F7B307FF-5C39-45B6-9B7B-7143D8F65BDB}"/>
    <hyperlink ref="O387" r:id="rId5797" xr:uid="{1AB01D5A-EDA1-48A5-A0C2-49C4D59DD5BA}"/>
    <hyperlink ref="O388" r:id="rId5798" xr:uid="{AA2201B8-A3E4-4F82-B7CB-9A5E0FEA3655}"/>
    <hyperlink ref="O389" r:id="rId5799" xr:uid="{10A17E5C-B593-4878-9674-34D74C46B039}"/>
    <hyperlink ref="O390" r:id="rId5800" xr:uid="{CECBD931-6E3A-4429-8EE2-8D0B802B97F4}"/>
    <hyperlink ref="O391" r:id="rId5801" xr:uid="{AF04F049-1F0E-4A5E-A1DB-00E32E413D42}"/>
    <hyperlink ref="O392" r:id="rId5802" xr:uid="{9150AF04-FBFC-4F9B-803D-8D6B633539A7}"/>
    <hyperlink ref="O393" r:id="rId5803" xr:uid="{35C9C233-51B0-48AA-8B37-ABF643957208}"/>
    <hyperlink ref="O394" r:id="rId5804" xr:uid="{36F23149-4F1C-4FAA-A7BD-8BAB2D2EC06F}"/>
    <hyperlink ref="O395" r:id="rId5805" xr:uid="{4BD7383F-BD5C-41E1-8615-8D9A289FCB70}"/>
    <hyperlink ref="O396" r:id="rId5806" xr:uid="{18360374-7342-46E9-950F-13C3C1F2E47C}"/>
    <hyperlink ref="O397" r:id="rId5807" xr:uid="{68768888-FF71-447A-81BA-2C37FAA1F0A4}"/>
    <hyperlink ref="O398" r:id="rId5808" xr:uid="{765C1144-140F-4F52-989A-03D22250C4E1}"/>
    <hyperlink ref="O399" r:id="rId5809" xr:uid="{5F3EA28F-1467-4D5A-AE29-2A96CEEF4998}"/>
    <hyperlink ref="O400" r:id="rId5810" xr:uid="{CFA6B854-F950-413A-B9B1-534DBB33B12B}"/>
    <hyperlink ref="O401" r:id="rId5811" xr:uid="{D33AAB8B-FD58-4989-9E87-EDEF37A75562}"/>
    <hyperlink ref="O402" r:id="rId5812" xr:uid="{72F3073E-B7D0-4E54-BBCC-4B1301BEEE80}"/>
    <hyperlink ref="O403" r:id="rId5813" xr:uid="{80547966-DE71-40AC-BA22-089E26E71E4B}"/>
    <hyperlink ref="O404" r:id="rId5814" xr:uid="{D80B175B-FA03-49F1-9412-9BFDF0A8C04E}"/>
    <hyperlink ref="O405" r:id="rId5815" xr:uid="{5E41CACE-D396-42F3-831A-FBF927A135E0}"/>
    <hyperlink ref="O406" r:id="rId5816" xr:uid="{D9514D52-25FB-4778-B8D2-40142A2C66D3}"/>
    <hyperlink ref="O407" r:id="rId5817" xr:uid="{8A5C63B3-ABF2-43B1-B16A-F4FF3D990F81}"/>
    <hyperlink ref="O408" r:id="rId5818" xr:uid="{1566AF7D-F3CC-4D50-B441-2193F78BBF6D}"/>
    <hyperlink ref="O409" r:id="rId5819" xr:uid="{4B6DF9A9-A1C3-4EFB-A36F-86C47E13CBFC}"/>
    <hyperlink ref="O410" r:id="rId5820" xr:uid="{2143656B-924C-4022-B8CF-905AAFDBF847}"/>
    <hyperlink ref="O411" r:id="rId5821" xr:uid="{7A1C14D7-B6AF-42A3-8DE8-95445AD2FB7E}"/>
    <hyperlink ref="O412" r:id="rId5822" xr:uid="{4CB526F2-60F9-4287-900A-AD00F2AD8CF9}"/>
    <hyperlink ref="O413" r:id="rId5823" xr:uid="{2A1FFEF2-D5DD-4D9A-8741-796CB633ABD1}"/>
    <hyperlink ref="O414" r:id="rId5824" xr:uid="{4E1FD015-3309-4F18-BB34-221390FBB663}"/>
    <hyperlink ref="O415" r:id="rId5825" xr:uid="{88F1C60E-94A6-478C-9D0D-EE636A03D083}"/>
    <hyperlink ref="O416" r:id="rId5826" xr:uid="{0B753DB0-21D1-47F2-A3EB-FD002130A27E}"/>
    <hyperlink ref="O417" r:id="rId5827" xr:uid="{15F67ECA-0CE5-4458-9D6B-F36B32CA20AE}"/>
    <hyperlink ref="O418" r:id="rId5828" xr:uid="{DBFED443-D63C-49B7-AB2B-76425973D12F}"/>
    <hyperlink ref="O420" r:id="rId5829" xr:uid="{FF9DCB8C-7807-49A7-8D3F-403AA4AB3D14}"/>
    <hyperlink ref="O421" r:id="rId5830" xr:uid="{8A41D761-0654-43F1-8ABB-15B1DA959768}"/>
    <hyperlink ref="O422" r:id="rId5831" xr:uid="{C7EA0296-39B7-4B18-B7DE-6B03D717B1C0}"/>
    <hyperlink ref="O423" r:id="rId5832" xr:uid="{6FB647CD-7E9B-40D9-A191-B6D281250689}"/>
    <hyperlink ref="O424" r:id="rId5833" xr:uid="{76750B5C-A1B0-40EF-AF7F-806A3C217319}"/>
    <hyperlink ref="O425" r:id="rId5834" xr:uid="{A39B5820-F173-46A7-88F9-4379D8426B0B}"/>
    <hyperlink ref="O426" r:id="rId5835" xr:uid="{7D625E5F-4D4E-449F-9F0F-1FD7DF024A32}"/>
    <hyperlink ref="O427" r:id="rId5836" xr:uid="{270CB1F4-EE03-41B2-AEB8-3DB6E4767B87}"/>
    <hyperlink ref="O428" r:id="rId5837" xr:uid="{EF9B48A4-42F1-4757-9A5B-FF8161670768}"/>
    <hyperlink ref="O429" r:id="rId5838" xr:uid="{E3E3DEB8-A600-485F-A426-063288997F7B}"/>
    <hyperlink ref="O430" r:id="rId5839" xr:uid="{AAC155EC-3950-4B5F-8E04-7C61608D7FF8}"/>
    <hyperlink ref="O431" r:id="rId5840" xr:uid="{CC8FD53A-995B-4F93-B3ED-E78EF0A5EA21}"/>
    <hyperlink ref="O432" r:id="rId5841" xr:uid="{D00A0B11-66A8-4007-9C2C-E3CA54F08394}"/>
    <hyperlink ref="O433" r:id="rId5842" xr:uid="{057F3EA7-9004-4ECE-B8B5-92EFAD377778}"/>
    <hyperlink ref="O434" r:id="rId5843" xr:uid="{D7C1824C-EDD3-498B-A7D0-91D2B26CCBBB}"/>
    <hyperlink ref="O435" r:id="rId5844" xr:uid="{24BA1422-B220-49E4-909D-BFF3483FF1C7}"/>
    <hyperlink ref="O436" r:id="rId5845" xr:uid="{07DEC429-7E03-47F9-9AE4-9B2597B2614C}"/>
    <hyperlink ref="O437" r:id="rId5846" xr:uid="{09F49B11-F5FA-41F5-B42D-C50EA1F3B3DB}"/>
    <hyperlink ref="O438" r:id="rId5847" xr:uid="{0B5F8D2B-6F97-4373-AABE-683FC651D749}"/>
    <hyperlink ref="O439" r:id="rId5848" xr:uid="{ACE10563-4605-412D-ACD4-68BDB087F57E}"/>
    <hyperlink ref="O440" r:id="rId5849" xr:uid="{A6B10D47-B1B6-4209-98E7-C164E497FD36}"/>
    <hyperlink ref="O441" r:id="rId5850" xr:uid="{D9905214-1AFD-465D-A6FC-D24752396E47}"/>
    <hyperlink ref="O442" r:id="rId5851" xr:uid="{467D7BA0-B43B-462C-A413-AEB7EE53915D}"/>
    <hyperlink ref="O443" r:id="rId5852" xr:uid="{90D69BA1-5EDA-46C2-A1E3-4836609C1B6E}"/>
    <hyperlink ref="O444" r:id="rId5853" xr:uid="{011E36FF-B0C2-4272-8DA2-32C7F09F8A75}"/>
    <hyperlink ref="O445" r:id="rId5854" xr:uid="{0566BC24-2EA7-45D3-9D07-F5EFED0ACC6B}"/>
    <hyperlink ref="O446" r:id="rId5855" xr:uid="{8E470CC8-E904-46CA-A37B-C48C6D443D28}"/>
    <hyperlink ref="O447" r:id="rId5856" xr:uid="{4426A609-6DB0-410B-A233-E925E9E84EC1}"/>
    <hyperlink ref="O448" r:id="rId5857" xr:uid="{9B60A701-FED4-495C-AEB6-CB2D183A78BD}"/>
    <hyperlink ref="O449" r:id="rId5858" xr:uid="{B9EC547C-814A-4EE5-A0BA-00B3DF4C2807}"/>
    <hyperlink ref="O450" r:id="rId5859" xr:uid="{EE8AC8B7-C0E9-4409-A5F0-9DC906B978D7}"/>
    <hyperlink ref="O451" r:id="rId5860" xr:uid="{AC0C54F1-867B-4306-869C-7FC23CC9F5AB}"/>
    <hyperlink ref="O452" r:id="rId5861" xr:uid="{F786E542-A490-46BE-A3C3-D65C1F79E293}"/>
    <hyperlink ref="O453" r:id="rId5862" xr:uid="{B948158A-856D-419E-B7A2-862AFA79BD17}"/>
    <hyperlink ref="O454" r:id="rId5863" xr:uid="{CCA58398-D87B-4ED5-9DCC-39F40AA21F57}"/>
    <hyperlink ref="O455" r:id="rId5864" xr:uid="{68B9FA42-3A3B-4580-9A20-7035B46C147D}"/>
    <hyperlink ref="O456" r:id="rId5865" xr:uid="{0AA5837A-EABC-4561-82B9-AE875C03E911}"/>
    <hyperlink ref="O457" r:id="rId5866" xr:uid="{202004C7-6F7B-482C-A8C0-94CF060C94B2}"/>
    <hyperlink ref="O458" r:id="rId5867" xr:uid="{B7EEF040-311F-4A21-A9B7-ABECC166E8FD}"/>
    <hyperlink ref="O459" r:id="rId5868" xr:uid="{977FEB8B-89F1-4E03-A053-F64DCD315409}"/>
    <hyperlink ref="O460" r:id="rId5869" xr:uid="{0E3CB18A-51C4-448E-BD20-0D6999A2ABE5}"/>
    <hyperlink ref="O461" r:id="rId5870" xr:uid="{507FA578-433F-4715-B7B4-C003F9C132A6}"/>
    <hyperlink ref="O462" r:id="rId5871" xr:uid="{DB88E401-A707-49DE-A7A0-E6DA14F8D8F2}"/>
    <hyperlink ref="O463" r:id="rId5872" xr:uid="{341815C3-0C6F-46E6-A64A-B1A810CA5109}"/>
    <hyperlink ref="O464" r:id="rId5873" xr:uid="{5E6052CB-CA77-45AD-BD10-0015D471E74E}"/>
    <hyperlink ref="O465" r:id="rId5874" xr:uid="{9F47DF4C-2832-48CE-BFF7-000F6F4519DD}"/>
    <hyperlink ref="O466" r:id="rId5875" xr:uid="{A81E861C-6DD3-494F-998F-97A571AAD12E}"/>
    <hyperlink ref="O467" r:id="rId5876" xr:uid="{78195A4F-A557-4FBE-AE04-244607973C6A}"/>
    <hyperlink ref="O468" r:id="rId5877" xr:uid="{726FFEC2-95C1-4F71-975E-3A5043545140}"/>
    <hyperlink ref="O469" r:id="rId5878" xr:uid="{42E7B12D-A258-4464-A732-E28C62D46EEF}"/>
    <hyperlink ref="O470" r:id="rId5879" xr:uid="{B2E7AC20-E796-4CFC-91DC-9312AC64CB18}"/>
    <hyperlink ref="O471" r:id="rId5880" xr:uid="{D05D0594-0960-42D8-A2CB-16BC04B5A2C9}"/>
    <hyperlink ref="O472" r:id="rId5881" xr:uid="{6E1CC645-991E-4E7B-B175-FECCAA5AE375}"/>
    <hyperlink ref="O473" r:id="rId5882" xr:uid="{99180D9F-8AF9-4944-8CE9-6D4871D54955}"/>
    <hyperlink ref="O474" r:id="rId5883" xr:uid="{561C4005-00F9-4008-8805-E487123375D2}"/>
    <hyperlink ref="O475" r:id="rId5884" xr:uid="{3A403849-FEB3-477C-AEEC-F4C2A7FC7C32}"/>
    <hyperlink ref="O476" r:id="rId5885" xr:uid="{AC06E696-4A52-4EDD-9520-B3C1B3E85AB8}"/>
    <hyperlink ref="O477" r:id="rId5886" xr:uid="{542BF63F-F0AB-4681-A544-1670C74DEAA7}"/>
    <hyperlink ref="O478" r:id="rId5887" xr:uid="{ADDFE32E-A201-4724-BF57-EF7020D51F0A}"/>
    <hyperlink ref="O479" r:id="rId5888" xr:uid="{B273C4F6-A0F4-43AB-B1C7-437D980C47B7}"/>
    <hyperlink ref="O480" r:id="rId5889" xr:uid="{F5EB580F-38C4-4638-B15D-45ED94349AEE}"/>
    <hyperlink ref="O481" r:id="rId5890" xr:uid="{B1BA64C9-BE2E-49DF-A157-10B7CF35B0C8}"/>
    <hyperlink ref="O482" r:id="rId5891" xr:uid="{5BD368D0-0893-4B4D-96EB-C81344C9858A}"/>
    <hyperlink ref="O483" r:id="rId5892" xr:uid="{A177E8BB-F49D-4121-985F-95681ADD9FCA}"/>
    <hyperlink ref="O484" r:id="rId5893" xr:uid="{EED9CC22-675C-4B9C-AEC4-E930AD7FD4C4}"/>
    <hyperlink ref="O485" r:id="rId5894" xr:uid="{41FD0598-1A61-433B-8A21-50F1B7465715}"/>
    <hyperlink ref="O486" r:id="rId5895" xr:uid="{0EB729A0-A8C6-409B-BD62-D9EBEE340766}"/>
    <hyperlink ref="O487" r:id="rId5896" xr:uid="{B5AE85B8-E8A0-4472-B73A-388C3BAD4362}"/>
    <hyperlink ref="O488" r:id="rId5897" xr:uid="{508B9A99-C0BC-4A90-A56A-81DA346527F8}"/>
    <hyperlink ref="O489" r:id="rId5898" xr:uid="{AC24A443-4229-405D-BFD5-324409F5910F}"/>
    <hyperlink ref="O490" r:id="rId5899" xr:uid="{419AD075-E7AB-475B-A3B5-420C9D91BB0F}"/>
    <hyperlink ref="O491" r:id="rId5900" xr:uid="{28BEAB62-7B8A-47B8-A686-8ABEAC3E5C1E}"/>
    <hyperlink ref="O492" r:id="rId5901" xr:uid="{7B06F285-3F56-4ED0-881C-C328A6098D84}"/>
    <hyperlink ref="O493" r:id="rId5902" xr:uid="{7742609F-0379-4A12-8F3D-B290654DFF06}"/>
    <hyperlink ref="O494" r:id="rId5903" xr:uid="{C6160F3E-6B6C-4BB5-A897-6CBFF710B471}"/>
    <hyperlink ref="O495" r:id="rId5904" xr:uid="{FA59FD32-010A-4B08-BE9B-305F18F3E226}"/>
    <hyperlink ref="O496" r:id="rId5905" xr:uid="{68490696-F7ED-4654-B4DE-975C470B93D8}"/>
    <hyperlink ref="O497" r:id="rId5906" xr:uid="{5CD2A4F8-8C9B-4BB0-966E-7C280FC02CA1}"/>
    <hyperlink ref="O498" r:id="rId5907" xr:uid="{488ED99D-7AF2-40EF-AB5E-D407ADEDE463}"/>
    <hyperlink ref="O499" r:id="rId5908" xr:uid="{E8C48727-DF3D-4204-8574-6027B2CB432F}"/>
    <hyperlink ref="O500" r:id="rId5909" xr:uid="{97601EA1-180E-4191-BA00-0A315F8A9AF8}"/>
    <hyperlink ref="O501" r:id="rId5910" xr:uid="{7F1ACA7C-82C5-4674-A032-67761E426103}"/>
    <hyperlink ref="O502" r:id="rId5911" xr:uid="{6909B11D-4A12-44B9-AC35-3922ACBEB641}"/>
    <hyperlink ref="O503" r:id="rId5912" xr:uid="{165EF46C-34C9-45CB-AF85-19CE02C00279}"/>
    <hyperlink ref="O504" r:id="rId5913" xr:uid="{8307DB68-0CC8-49FC-8CE6-1EEB4838FAB8}"/>
    <hyperlink ref="O505" r:id="rId5914" xr:uid="{E680AA3D-91B3-4650-80D4-52164607F48B}"/>
    <hyperlink ref="O506" r:id="rId5915" xr:uid="{59285810-9BFF-4A32-92A3-0FAC1A77F231}"/>
    <hyperlink ref="O507" r:id="rId5916" xr:uid="{6A2879CC-6BAE-4D02-B6D4-7D6475C90DCB}"/>
    <hyperlink ref="O508" r:id="rId5917" xr:uid="{A7CF3E1A-3266-422F-9B0D-10B11573F5E8}"/>
    <hyperlink ref="O509" r:id="rId5918" xr:uid="{F1E47D14-29A7-4825-B263-9172E9C72624}"/>
    <hyperlink ref="O510" r:id="rId5919" xr:uid="{ED9ADE59-36C7-4890-B0E4-90855DF3134B}"/>
    <hyperlink ref="O511" r:id="rId5920" xr:uid="{75E2D44B-9794-4E8E-B704-3AD30766E62C}"/>
    <hyperlink ref="O512" r:id="rId5921" xr:uid="{CBC7DF30-E3AC-45FB-9EF4-D1C70DE6EF73}"/>
    <hyperlink ref="O513" r:id="rId5922" xr:uid="{D0235060-CE0A-48E0-83F1-9E62FF9D4761}"/>
    <hyperlink ref="O514" r:id="rId5923" xr:uid="{69DFF64A-ABCC-496C-A5F6-44E4934872C3}"/>
    <hyperlink ref="O515" r:id="rId5924" xr:uid="{344BDC15-30E4-45DD-9BB1-ED0DC0588928}"/>
    <hyperlink ref="O516" r:id="rId5925" xr:uid="{2FAB3C7F-593F-41AF-B5B9-011D290B0CCA}"/>
    <hyperlink ref="O517" r:id="rId5926" xr:uid="{A28E8F99-78B3-4BD7-9603-491846E73435}"/>
    <hyperlink ref="O518" r:id="rId5927" xr:uid="{1290CB0C-7945-402B-9C11-F166182281DF}"/>
    <hyperlink ref="O519" r:id="rId5928" xr:uid="{D9BFDF72-45BA-4546-819A-4B51054CAEB1}"/>
    <hyperlink ref="O520" r:id="rId5929" xr:uid="{F19193F1-6644-48E1-BD99-77954ED735B6}"/>
    <hyperlink ref="O521" r:id="rId5930" xr:uid="{BA8C4F61-C726-4707-843A-A6208ED030F4}"/>
    <hyperlink ref="O522" r:id="rId5931" xr:uid="{6BB1FD7B-F0AB-4609-A1CA-C3BCDB38127D}"/>
    <hyperlink ref="O523" r:id="rId5932" xr:uid="{D0504E02-66C0-4249-9D76-3C7975DF5748}"/>
    <hyperlink ref="O524" r:id="rId5933" xr:uid="{341378D9-2752-443A-9AF8-BD34D8526ABC}"/>
    <hyperlink ref="O525" r:id="rId5934" xr:uid="{4A797700-472D-4C89-A2CE-AD2338F9700A}"/>
    <hyperlink ref="O526" r:id="rId5935" xr:uid="{D98D3CFA-09A7-4968-8D49-F6F12A46BD13}"/>
    <hyperlink ref="O527" r:id="rId5936" xr:uid="{D8D268E3-2EE4-4F3D-9E98-B188CD629003}"/>
    <hyperlink ref="O528" r:id="rId5937" xr:uid="{BEB09A3B-4233-4B10-987A-EBB852743A56}"/>
    <hyperlink ref="O529" r:id="rId5938" xr:uid="{76298ED4-12CE-452B-BF03-0F66D11CD804}"/>
    <hyperlink ref="O530" r:id="rId5939" xr:uid="{F10CDFD9-6981-4F5A-8E6F-C0CF221E7AAE}"/>
    <hyperlink ref="O531" r:id="rId5940" xr:uid="{8D794925-F3C9-4C63-9CB4-A4A590AA4FAA}"/>
    <hyperlink ref="O532" r:id="rId5941" xr:uid="{76BDC1BA-9F58-45FE-A4AE-E1FE50517A4F}"/>
    <hyperlink ref="O533" r:id="rId5942" xr:uid="{DC9709AA-87C9-4418-89AD-AD8DD8740BCD}"/>
    <hyperlink ref="O534" r:id="rId5943" xr:uid="{69F777AB-427F-4441-A255-3876D4284A2B}"/>
    <hyperlink ref="O535" r:id="rId5944" xr:uid="{E250CCEF-8931-4962-B51C-B2EC929FD319}"/>
    <hyperlink ref="O536" r:id="rId5945" xr:uid="{694F87BF-E193-421B-85F2-446553F69300}"/>
    <hyperlink ref="O537" r:id="rId5946" xr:uid="{D5A7B85E-FE0C-47A1-8BFE-B2BEFDC2E566}"/>
    <hyperlink ref="O538" r:id="rId5947" xr:uid="{047E4C9B-0D11-4D99-82B1-054BEC2B8098}"/>
    <hyperlink ref="O539" r:id="rId5948" xr:uid="{D3359441-5353-439C-BFA0-9F6EE58A8CDF}"/>
    <hyperlink ref="O540" r:id="rId5949" xr:uid="{98F6204C-51B4-468F-834E-71FD732E33D5}"/>
    <hyperlink ref="O541" r:id="rId5950" xr:uid="{79E6B2F6-DEE8-45AB-B0D9-7E1F444AF14D}"/>
    <hyperlink ref="O542" r:id="rId5951" xr:uid="{7348C438-E247-4507-8E1F-D065641B915A}"/>
    <hyperlink ref="O543" r:id="rId5952" xr:uid="{2F2270AB-7B10-4C05-B3C0-970020DA3602}"/>
    <hyperlink ref="O544" r:id="rId5953" xr:uid="{F827D88F-3893-4390-A62F-BD2F7D79BE09}"/>
    <hyperlink ref="O545" r:id="rId5954" xr:uid="{ACB3823C-8721-42D8-8D60-E6F65A224A74}"/>
    <hyperlink ref="O546" r:id="rId5955" xr:uid="{6CDA40FB-536F-437D-9CD3-8DCE541EF592}"/>
    <hyperlink ref="O547" r:id="rId5956" xr:uid="{3B3BC6F9-C411-4B97-A1EA-F030EC9443B4}"/>
    <hyperlink ref="O548" r:id="rId5957" xr:uid="{0FDF3BC2-5999-4FF5-920F-E17DE36A76DE}"/>
    <hyperlink ref="O549" r:id="rId5958" xr:uid="{8FD2C887-7A91-4551-81E3-5497A714A2EE}"/>
    <hyperlink ref="O550" r:id="rId5959" xr:uid="{AE5E1F5D-0551-4CA6-B515-299751041357}"/>
    <hyperlink ref="O551" r:id="rId5960" xr:uid="{1A6B3C1A-0EB2-4046-9DE5-2AC2D558BF5D}"/>
    <hyperlink ref="O552" r:id="rId5961" xr:uid="{A0B8D0EE-56B3-4ADC-B1C9-9F9003D17AEF}"/>
    <hyperlink ref="O553" r:id="rId5962" xr:uid="{5B81333E-1FFF-4940-B2A3-107E2EA645E4}"/>
    <hyperlink ref="O554" r:id="rId5963" xr:uid="{ADDC1550-DFB2-4361-8CAB-51B51BDC5709}"/>
    <hyperlink ref="O555" r:id="rId5964" xr:uid="{12BEA06A-6235-4400-A8B5-363D03A528A4}"/>
    <hyperlink ref="O556" r:id="rId5965" xr:uid="{71936686-F9D2-4B60-A15B-2C2B105FB2AA}"/>
    <hyperlink ref="O557" r:id="rId5966" xr:uid="{CD4FA55A-2859-4A07-BD15-BC55D3D3820B}"/>
    <hyperlink ref="O558" r:id="rId5967" xr:uid="{007F39F3-9638-42AB-9ECA-067804CCA43B}"/>
    <hyperlink ref="O559" r:id="rId5968" xr:uid="{17A460C6-90AE-43A9-8B1C-5AA3E4D416AD}"/>
    <hyperlink ref="O560" r:id="rId5969" xr:uid="{020B57B6-0E3C-40C7-80A4-144AB5443C1E}"/>
    <hyperlink ref="O561" r:id="rId5970" xr:uid="{CC7B6DBF-E398-4FDD-9E1A-C810C98A11D1}"/>
    <hyperlink ref="O562" r:id="rId5971" xr:uid="{D80745E1-BE0E-4286-9EBD-AF22C659654B}"/>
    <hyperlink ref="O563" r:id="rId5972" xr:uid="{B81D09E7-3AF3-4E78-A562-2BFFCF8E67F7}"/>
    <hyperlink ref="O564" r:id="rId5973" xr:uid="{715D6D24-5CFE-4305-A222-39A4DE4A6004}"/>
    <hyperlink ref="O565" r:id="rId5974" xr:uid="{2B462611-4A06-4B3E-B3C8-62F8256C6005}"/>
    <hyperlink ref="O566" r:id="rId5975" xr:uid="{5257B3ED-94B1-4C2D-92E2-200C3DA005A5}"/>
    <hyperlink ref="O567" r:id="rId5976" xr:uid="{2B4C6618-49F6-42A7-BB31-9ECDDC673D88}"/>
    <hyperlink ref="O568" r:id="rId5977" xr:uid="{256E577A-F105-4BDB-8AEF-7CDF1D99F7EA}"/>
    <hyperlink ref="O569" r:id="rId5978" xr:uid="{F7C71B69-6A77-4EBA-93CF-8A177B982D5D}"/>
    <hyperlink ref="O570" r:id="rId5979" xr:uid="{05ACAAC6-2BBC-4BEA-8DE9-0458CAF46F2F}"/>
    <hyperlink ref="O571" r:id="rId5980" xr:uid="{8924EEC9-00AF-4762-B0D8-06F338DC48CC}"/>
    <hyperlink ref="O572" r:id="rId5981" xr:uid="{9D35D2CC-4D4E-4E23-A3FE-2A0D1447F65B}"/>
    <hyperlink ref="O573" r:id="rId5982" xr:uid="{397C8686-F455-4A70-9326-6092EDD643B6}"/>
    <hyperlink ref="O574" r:id="rId5983" xr:uid="{8EBCED54-0F0D-4BAB-BD95-1DB603E89FF4}"/>
    <hyperlink ref="O575" r:id="rId5984" xr:uid="{90930B28-A027-4A26-B917-CEE88B8E4FA6}"/>
    <hyperlink ref="O576" r:id="rId5985" xr:uid="{D28AB9C4-1511-4628-B4DD-CA972F771032}"/>
    <hyperlink ref="O577" r:id="rId5986" xr:uid="{351271A5-D212-41D5-974D-A96B6952F4D7}"/>
    <hyperlink ref="O578" r:id="rId5987" xr:uid="{E390E306-E068-4647-B667-EE52223AACA2}"/>
    <hyperlink ref="O579" r:id="rId5988" xr:uid="{83C79E84-D278-4A05-A7FF-D9AC4D2E17AE}"/>
    <hyperlink ref="O580" r:id="rId5989" xr:uid="{0640E720-AE4C-4DF9-961F-8F18666755E8}"/>
    <hyperlink ref="O581" r:id="rId5990" xr:uid="{B30ADCF4-6885-4153-B7E3-7C61CA16E1EC}"/>
    <hyperlink ref="O582" r:id="rId5991" xr:uid="{819A020C-1A7A-4111-8655-993337C2834C}"/>
    <hyperlink ref="O583" r:id="rId5992" xr:uid="{FCA18B9A-72D4-483F-970E-A80758AD6020}"/>
    <hyperlink ref="O584" r:id="rId5993" xr:uid="{C3C92BB2-FA06-46DB-9F52-7DBE8C020FA5}"/>
    <hyperlink ref="O585" r:id="rId5994" xr:uid="{8C6E8E42-9DFE-48DA-8DD1-1F94915A2B74}"/>
    <hyperlink ref="O586" r:id="rId5995" xr:uid="{004A2CB6-C7D2-404F-9DBF-7AC1ABA72F14}"/>
    <hyperlink ref="O587" r:id="rId5996" xr:uid="{29D63B35-41E1-452C-80DE-CACFA8397295}"/>
    <hyperlink ref="O588" r:id="rId5997" xr:uid="{44B70B63-2416-45DC-9F9D-E3626B2ED614}"/>
    <hyperlink ref="O589" r:id="rId5998" xr:uid="{62859C01-90C2-4D10-8BAB-CD523A4CFA38}"/>
    <hyperlink ref="O590" r:id="rId5999" xr:uid="{669F3C31-0672-419A-AF72-3CFB1E4A4A83}"/>
    <hyperlink ref="O591" r:id="rId6000" xr:uid="{AC7AACFC-8578-43CF-860F-A010EEA37FB3}"/>
    <hyperlink ref="O592" r:id="rId6001" xr:uid="{E2DFCF71-CB0B-42A3-A4C0-91B7E8A8EF89}"/>
    <hyperlink ref="O593" r:id="rId6002" xr:uid="{DE0AA80C-8230-49B9-8AD0-0159FB95D2B1}"/>
    <hyperlink ref="O594" r:id="rId6003" xr:uid="{E6BA90D1-EEB2-439D-BE66-CB08AC706650}"/>
    <hyperlink ref="O595" r:id="rId6004" xr:uid="{04ABF305-88B2-4FCA-AF1C-DDFA9A822614}"/>
    <hyperlink ref="O596" r:id="rId6005" xr:uid="{5A461044-B302-4887-8FCF-A869DB8AF078}"/>
    <hyperlink ref="O597" r:id="rId6006" xr:uid="{52EA4AD9-81EA-47B0-8B59-0234A6A8DA20}"/>
    <hyperlink ref="O598" r:id="rId6007" xr:uid="{1E4B9C4E-82C3-4C00-B55B-2B4CFAC28F6F}"/>
    <hyperlink ref="O599" r:id="rId6008" xr:uid="{03667956-689D-4EC8-9092-7A9B90106578}"/>
    <hyperlink ref="O600" r:id="rId6009" xr:uid="{A7504EDE-A1EA-4C5A-863C-10FB5E349D16}"/>
    <hyperlink ref="O601" r:id="rId6010" xr:uid="{EAD7E593-8558-41F5-AEE4-B2E9282A1DA7}"/>
    <hyperlink ref="O602" r:id="rId6011" xr:uid="{CBEFE1AC-49DB-49C1-895F-E8E48799C8C8}"/>
    <hyperlink ref="O603" r:id="rId6012" xr:uid="{6F73F461-FAD6-4E7F-AA98-2276E19193E5}"/>
    <hyperlink ref="O604" r:id="rId6013" xr:uid="{F2095018-0146-4B70-8B67-46577CC330AB}"/>
    <hyperlink ref="O605" r:id="rId6014" xr:uid="{6A4F0315-ADA9-4F2A-9EE4-AA3A4F6C95D6}"/>
    <hyperlink ref="O606" r:id="rId6015" xr:uid="{C5E5ED7C-3FF7-40D2-8544-745DC51B89B0}"/>
    <hyperlink ref="O607" r:id="rId6016" xr:uid="{17CA50CA-EC31-4322-9502-4A2AB85EB6EF}"/>
    <hyperlink ref="O608" r:id="rId6017" xr:uid="{3E0F35EA-BDDC-4859-9F0C-DB01AEA275D0}"/>
    <hyperlink ref="O609" r:id="rId6018" xr:uid="{0DDF4B0C-8DE6-47AC-A57D-A30B662F3551}"/>
    <hyperlink ref="O610" r:id="rId6019" xr:uid="{657CA311-2E7D-481A-8062-391621B1C3AC}"/>
    <hyperlink ref="O611" r:id="rId6020" xr:uid="{BC3C116A-F389-49B3-850A-FA5D18379D22}"/>
    <hyperlink ref="O612" r:id="rId6021" xr:uid="{D507F7A9-F37C-44F0-B222-6E9B635F10DA}"/>
    <hyperlink ref="O613" r:id="rId6022" xr:uid="{DD75DA77-6F7E-4A97-AB4A-7A9B8706545B}"/>
    <hyperlink ref="O614" r:id="rId6023" xr:uid="{93CEA5FD-4166-4AAB-9011-E16F90EF5EE5}"/>
    <hyperlink ref="O615" r:id="rId6024" xr:uid="{F2CEB21F-12DC-493A-B853-06260B16DB69}"/>
    <hyperlink ref="O616" r:id="rId6025" xr:uid="{F6F5BDE5-D04A-4A88-882F-3DB8C5845479}"/>
    <hyperlink ref="O617" r:id="rId6026" xr:uid="{0DF1E8BE-C201-44FD-AB53-404CAA2848B5}"/>
    <hyperlink ref="O618" r:id="rId6027" xr:uid="{A64CCA77-494D-4406-AE41-3A53CBEDD9A9}"/>
    <hyperlink ref="O619" r:id="rId6028" xr:uid="{F5031E06-988C-4C36-9383-1FEAE806B5FB}"/>
    <hyperlink ref="O620" r:id="rId6029" xr:uid="{7ECD7167-9573-4DF0-BD1F-6334501DAE78}"/>
    <hyperlink ref="O621" r:id="rId6030" xr:uid="{8CAD3C6A-67D0-4186-B6D6-28C602AC1D58}"/>
    <hyperlink ref="O622" r:id="rId6031" xr:uid="{0769BA6B-AF13-47A7-B101-A089F36462D6}"/>
    <hyperlink ref="O623" r:id="rId6032" xr:uid="{05082AB1-464C-434C-BA5D-431208DF312C}"/>
    <hyperlink ref="O624" r:id="rId6033" xr:uid="{B0656A5A-3A33-4B72-9E40-635E87664BBA}"/>
    <hyperlink ref="O625" r:id="rId6034" xr:uid="{36D029D9-2D1C-4C02-95E5-7D68F2DC79AD}"/>
    <hyperlink ref="O626" r:id="rId6035" xr:uid="{8197793F-FEEA-4153-8439-131380336CBC}"/>
    <hyperlink ref="O627" r:id="rId6036" xr:uid="{785C2384-5BF4-410C-B9F4-0C2B3B4DF446}"/>
    <hyperlink ref="O628" r:id="rId6037" xr:uid="{48084768-032E-4251-8647-81407A78C723}"/>
    <hyperlink ref="O629" r:id="rId6038" xr:uid="{7C818CF0-2575-4518-8DD7-BB0EF87EF6D0}"/>
    <hyperlink ref="O630" r:id="rId6039" xr:uid="{2E97C516-B8C5-4B12-83F0-E4F47B214C4C}"/>
    <hyperlink ref="O631" r:id="rId6040" xr:uid="{DF5AFE06-A592-460C-99C1-FDD9BF46B58F}"/>
    <hyperlink ref="O632" r:id="rId6041" xr:uid="{54D62082-1467-4438-928A-5FE5C441CA4B}"/>
    <hyperlink ref="O633" r:id="rId6042" xr:uid="{71C59747-A36E-4E3D-BAA9-88C708A30F96}"/>
    <hyperlink ref="O634" r:id="rId6043" xr:uid="{4C449212-A380-41BC-8B5F-2460C6ECEDF4}"/>
    <hyperlink ref="O635" r:id="rId6044" xr:uid="{CD2CDC3F-D2E8-429B-B463-3D7967A783D6}"/>
    <hyperlink ref="O636" r:id="rId6045" xr:uid="{E07F681B-EBD1-4162-9AD0-29925B0A73A2}"/>
    <hyperlink ref="O637" r:id="rId6046" xr:uid="{4456F349-3A64-4AEC-B649-A59F86A13828}"/>
    <hyperlink ref="O638" r:id="rId6047" xr:uid="{172C8D1D-04D2-4732-BCF9-2AE7C76E173C}"/>
    <hyperlink ref="O639" r:id="rId6048" xr:uid="{214DA6C6-EC09-4DAD-91FC-235DBD160C69}"/>
    <hyperlink ref="O640" r:id="rId6049" xr:uid="{40A8D45E-1AC5-4BC6-B319-8E31BCAF592F}"/>
    <hyperlink ref="O641" r:id="rId6050" xr:uid="{1DD5A054-4A8E-4903-A3E8-41C35CC10611}"/>
    <hyperlink ref="O642" r:id="rId6051" xr:uid="{6FFBD89A-0080-49E4-8A2A-6BEB5DA8A3C9}"/>
    <hyperlink ref="O643" r:id="rId6052" xr:uid="{864C3567-6747-4DE0-9A54-F45E15A8BBA5}"/>
    <hyperlink ref="O644" r:id="rId6053" xr:uid="{F3B98CBF-4FB8-4077-9985-3F6DB9071C73}"/>
    <hyperlink ref="O645" r:id="rId6054" xr:uid="{5F309026-98AE-421E-90F6-0579CEF7E605}"/>
    <hyperlink ref="O646" r:id="rId6055" xr:uid="{D0848DA4-943E-4EB8-855F-59C68F7A6484}"/>
    <hyperlink ref="O647" r:id="rId6056" xr:uid="{77D70678-E4F6-43EB-A49F-EACABF1A6DEA}"/>
    <hyperlink ref="O648" r:id="rId6057" xr:uid="{87E70740-AA3D-4C20-89EE-67D5A2DADC52}"/>
    <hyperlink ref="O649" r:id="rId6058" xr:uid="{E74EC588-D943-41BD-BDB1-202EE3C682EB}"/>
    <hyperlink ref="O650" r:id="rId6059" xr:uid="{BAC7953C-C567-44AA-8057-9027D6E99E7D}"/>
    <hyperlink ref="O651" r:id="rId6060" xr:uid="{196C561A-C3C9-4A33-8F2C-92E003209184}"/>
    <hyperlink ref="O653" r:id="rId6061" xr:uid="{C9A64148-9A58-4763-B3C3-B6F52DEC915D}"/>
    <hyperlink ref="O654" r:id="rId6062" xr:uid="{22C6F5E5-D27A-4946-908A-A54FC467813B}"/>
    <hyperlink ref="O655" r:id="rId6063" xr:uid="{BE71E507-8F48-45A0-8810-479C8551B460}"/>
    <hyperlink ref="O656" r:id="rId6064" xr:uid="{3733DE66-BC24-44FD-A650-81787CF669D0}"/>
    <hyperlink ref="O657" r:id="rId6065" xr:uid="{EA2388A9-9F43-44C7-BC58-F12332BD51E0}"/>
    <hyperlink ref="O658" r:id="rId6066" xr:uid="{85F670D1-1F10-4A12-9B1A-6667EAA63361}"/>
    <hyperlink ref="O659" r:id="rId6067" xr:uid="{8024311C-A90B-4F20-9026-71439E6164C2}"/>
    <hyperlink ref="O660" r:id="rId6068" xr:uid="{ABC5D313-C365-454F-9582-0B2C7105B4FF}"/>
    <hyperlink ref="O661" r:id="rId6069" xr:uid="{B6E60BF9-2218-4075-95E5-903224B770BE}"/>
    <hyperlink ref="O662" r:id="rId6070" xr:uid="{5562BA57-C313-432F-AEB2-7B8F82840BA1}"/>
    <hyperlink ref="O663" r:id="rId6071" xr:uid="{113BC9A0-9332-4798-8C8E-DA34C4E96938}"/>
    <hyperlink ref="O664" r:id="rId6072" xr:uid="{8B3F99A1-BB31-4AD0-8545-02F63ECD261B}"/>
    <hyperlink ref="O665" r:id="rId6073" xr:uid="{70C2CFB7-AC25-4566-B037-A40B856315D2}"/>
    <hyperlink ref="O666" r:id="rId6074" xr:uid="{1DC13947-34BB-4619-B226-424FDD57D312}"/>
    <hyperlink ref="O667" r:id="rId6075" xr:uid="{08B50ED1-BA65-45F1-B5D9-0B6A13C4CF1F}"/>
    <hyperlink ref="O668" r:id="rId6076" xr:uid="{4EE2F8F3-C0D8-4F1E-8925-DB5B4E970983}"/>
    <hyperlink ref="O669" r:id="rId6077" xr:uid="{32B92FF3-3622-46CD-84AC-6A06C391D3C5}"/>
    <hyperlink ref="O670" r:id="rId6078" xr:uid="{B21B328D-D823-4E11-ACAB-9885E34414C5}"/>
    <hyperlink ref="O671" r:id="rId6079" xr:uid="{3D917D94-4119-4BAE-8D35-A66A74B6DDD7}"/>
    <hyperlink ref="O672" r:id="rId6080" xr:uid="{D83947B5-A6CC-4DD1-8F7B-2DF9F4028A44}"/>
    <hyperlink ref="O673" r:id="rId6081" xr:uid="{58D3D7FD-6958-4023-AC62-E8862766D2DE}"/>
    <hyperlink ref="O674" r:id="rId6082" xr:uid="{04DEA358-D359-45E3-90A5-177885298903}"/>
    <hyperlink ref="O675" r:id="rId6083" xr:uid="{094F1D0E-E575-46FF-B19B-21564C80EEF5}"/>
    <hyperlink ref="O676" r:id="rId6084" xr:uid="{827EA18E-2C52-4C22-9508-22558643CEBC}"/>
    <hyperlink ref="O677" r:id="rId6085" xr:uid="{15959C41-78B7-4401-8F88-7F92FC26D107}"/>
    <hyperlink ref="O678" r:id="rId6086" xr:uid="{70AC8DC3-1831-4FC4-8C44-2773A3A0C69A}"/>
    <hyperlink ref="O679" r:id="rId6087" xr:uid="{82A0BB0A-A058-4801-AF1D-EB60E3BEE22E}"/>
    <hyperlink ref="O680" r:id="rId6088" xr:uid="{93F84BC7-8F52-491C-B4C6-0D5B457870DC}"/>
    <hyperlink ref="O681" r:id="rId6089" xr:uid="{79C459E2-B2A4-44EE-BF5C-0F70811BA8B2}"/>
    <hyperlink ref="O682" r:id="rId6090" xr:uid="{9134BBEB-194A-4B7C-918A-CC5C07B5C826}"/>
    <hyperlink ref="O683" r:id="rId6091" xr:uid="{43F3271A-0D90-4ABA-AF64-BD2BCEA47B59}"/>
    <hyperlink ref="O684" r:id="rId6092" xr:uid="{4817FC4B-BCB2-4756-AD22-56AFFD31EBF9}"/>
    <hyperlink ref="O685" r:id="rId6093" xr:uid="{3F85B97B-9661-4F07-9812-036017533BA8}"/>
    <hyperlink ref="O686" r:id="rId6094" xr:uid="{1DC0015F-6EBE-4AEC-8012-7D1486520322}"/>
    <hyperlink ref="O687" r:id="rId6095" xr:uid="{32A3A6DC-D711-495C-A04A-C6D103ED64CE}"/>
    <hyperlink ref="O688" r:id="rId6096" xr:uid="{C101BC8E-87B7-485A-8006-73D22098D299}"/>
    <hyperlink ref="O689" r:id="rId6097" xr:uid="{4E5EA2D5-A83B-435E-BBFB-F3BA3C4DD74F}"/>
    <hyperlink ref="O690" r:id="rId6098" xr:uid="{66ABBAAB-3A8B-4B5A-A553-D2931AB019A4}"/>
    <hyperlink ref="O691" r:id="rId6099" xr:uid="{96524E98-A8D2-4F55-B21E-4B57A4DD58FE}"/>
    <hyperlink ref="O692" r:id="rId6100" xr:uid="{718AB347-2976-45CF-A264-4AD859C362C1}"/>
    <hyperlink ref="O693" r:id="rId6101" xr:uid="{0149E4D1-1CDC-42B5-92E2-682E7EC7BD4C}"/>
    <hyperlink ref="O694" r:id="rId6102" xr:uid="{99FDE171-FAE7-4FA0-9918-C953D4962E81}"/>
    <hyperlink ref="O695" r:id="rId6103" xr:uid="{57AF1708-2DB9-4B6C-AE5E-00BA5DEB297E}"/>
    <hyperlink ref="O696" r:id="rId6104" xr:uid="{A3945EA5-4A3E-45B3-92DD-C07B3C04CA3B}"/>
    <hyperlink ref="O697" r:id="rId6105" xr:uid="{7DCE6921-E390-4D07-ACB0-21853048B02C}"/>
    <hyperlink ref="O698" r:id="rId6106" xr:uid="{19327CBE-C41A-452B-B71E-A05A0AC5D447}"/>
    <hyperlink ref="O699" r:id="rId6107" xr:uid="{16E7E608-1714-4260-B83A-8292C9094094}"/>
    <hyperlink ref="O700" r:id="rId6108" xr:uid="{971942C6-9A7C-40A0-8266-E0CF22C8A4A7}"/>
    <hyperlink ref="O701" r:id="rId6109" xr:uid="{D73C7DAE-AD1D-436A-AF31-A6E2B839AADA}"/>
    <hyperlink ref="O702" r:id="rId6110" xr:uid="{5B0F0904-DD4A-4732-A0FE-4D8FEDCDB618}"/>
    <hyperlink ref="O703" r:id="rId6111" xr:uid="{876F913C-514F-4CE1-B3AC-F6CD827BAFB9}"/>
    <hyperlink ref="O705" r:id="rId6112" xr:uid="{BA8679D7-B4F6-47CA-8BC1-F13E46A14276}"/>
    <hyperlink ref="O706" r:id="rId6113" xr:uid="{60E67127-C2F6-4CA7-9462-52C243E348F7}"/>
    <hyperlink ref="O707" r:id="rId6114" xr:uid="{0C605280-FBF0-44E9-962D-360C7C769088}"/>
    <hyperlink ref="O708" r:id="rId6115" xr:uid="{22153A25-8242-46F8-823A-59A4EA5269C7}"/>
    <hyperlink ref="O709" r:id="rId6116" xr:uid="{67D822D2-CE35-483E-9A0C-1F038020A739}"/>
    <hyperlink ref="O710" r:id="rId6117" xr:uid="{AB0AD4F3-087D-4269-850D-176825B8E7F5}"/>
    <hyperlink ref="O711" r:id="rId6118" xr:uid="{A9BB5D79-9455-43E9-91CE-501CB8169D13}"/>
    <hyperlink ref="O712" r:id="rId6119" xr:uid="{D26D6F16-6FF1-48EA-B4A6-176C684BD9C3}"/>
    <hyperlink ref="O713" r:id="rId6120" xr:uid="{F006A667-EC18-4BF8-96F5-2C3022C46912}"/>
    <hyperlink ref="O714" r:id="rId6121" xr:uid="{40D9441A-23D0-4004-9719-536161D27505}"/>
    <hyperlink ref="O715" r:id="rId6122" xr:uid="{25B13851-897E-4215-A8D9-4E83D7A2891C}"/>
    <hyperlink ref="O716" r:id="rId6123" xr:uid="{42D11B78-E309-4319-9F63-7081C45BEB70}"/>
    <hyperlink ref="O717" r:id="rId6124" xr:uid="{95F1AFEC-4F17-44D3-8AE4-EA11917C75DC}"/>
    <hyperlink ref="O718" r:id="rId6125" xr:uid="{34863105-45A8-4F75-8713-399C6B9786F7}"/>
    <hyperlink ref="O719" r:id="rId6126" xr:uid="{56113E1F-7B56-47E9-ADB7-50B58187B14B}"/>
    <hyperlink ref="O720" r:id="rId6127" xr:uid="{96128398-B582-4BBC-AEB9-DF3861FC0BBC}"/>
    <hyperlink ref="O721" r:id="rId6128" xr:uid="{6FF0BDE8-DADB-4328-BEEB-DA91AEF5C237}"/>
    <hyperlink ref="O722" r:id="rId6129" xr:uid="{62A36EDF-2818-44FA-9E00-D2022322BC8F}"/>
    <hyperlink ref="O723" r:id="rId6130" xr:uid="{1B93A380-2193-4E99-8FB8-B0E18F19067E}"/>
    <hyperlink ref="O724" r:id="rId6131" xr:uid="{2E0876C7-D5E2-4788-B872-99ACD3827B74}"/>
    <hyperlink ref="O725" r:id="rId6132" xr:uid="{8F0CDD30-86F0-46AD-95A0-900B977AE637}"/>
    <hyperlink ref="O726" r:id="rId6133" xr:uid="{E56AAA59-FC72-4F98-AF65-38DC6832301F}"/>
    <hyperlink ref="O727" r:id="rId6134" xr:uid="{C48E819D-C46E-4385-B883-3A0576FDB0EB}"/>
    <hyperlink ref="O728" r:id="rId6135" xr:uid="{1D41323F-6134-4E3D-AC9C-2FD25B2AB8B2}"/>
    <hyperlink ref="O729" r:id="rId6136" xr:uid="{CF896A81-4BC0-4B6C-89D6-7F2FC27A689F}"/>
    <hyperlink ref="O730" r:id="rId6137" xr:uid="{5F1ED339-A351-4321-8F1A-1A78ACF1EAB8}"/>
    <hyperlink ref="O731" r:id="rId6138" xr:uid="{7117A53C-A731-4028-BD21-382D4D7650EA}"/>
    <hyperlink ref="O732" r:id="rId6139" xr:uid="{68443539-E0A7-48F4-A510-2697FEF2C04D}"/>
    <hyperlink ref="O733" r:id="rId6140" xr:uid="{A6BF7B05-CBA5-4E10-846F-B8011076A40A}"/>
    <hyperlink ref="O734" r:id="rId6141" xr:uid="{1D09D199-15E5-480D-986F-5526A810A684}"/>
    <hyperlink ref="O735" r:id="rId6142" xr:uid="{4BFA0BF1-8A02-426F-BC10-0420A909794D}"/>
    <hyperlink ref="O736" r:id="rId6143" xr:uid="{9A52BB59-88E4-435C-A020-2E233657C3B3}"/>
    <hyperlink ref="O737" r:id="rId6144" xr:uid="{CCAA34A7-AE5F-4472-8EE1-4F2C853078D9}"/>
    <hyperlink ref="O738" r:id="rId6145" xr:uid="{881752D3-B670-46EA-BA48-E1AE080E27B5}"/>
    <hyperlink ref="O739" r:id="rId6146" xr:uid="{8B1EDD0C-E860-4D56-8E1B-4D2A5633CC41}"/>
    <hyperlink ref="O740" r:id="rId6147" xr:uid="{0D934696-9681-4D76-AD26-F56B5D883910}"/>
    <hyperlink ref="O741" r:id="rId6148" xr:uid="{00526877-E7A1-431D-AD62-6943487342A3}"/>
    <hyperlink ref="O742" r:id="rId6149" xr:uid="{5920424C-5CAC-4B7C-BD4C-79AD9BD28608}"/>
    <hyperlink ref="O743" r:id="rId6150" xr:uid="{E2D16FCC-0EE6-45A3-AD69-DCDE1D9B962B}"/>
    <hyperlink ref="O744" r:id="rId6151" xr:uid="{D7F97095-5366-4A0F-9EE9-FCB4393D4061}"/>
    <hyperlink ref="O745" r:id="rId6152" xr:uid="{0A9DC396-EF2C-4CFC-8222-A781AA7CBCCA}"/>
    <hyperlink ref="O746" r:id="rId6153" xr:uid="{B0EE0988-AF81-46C7-B042-789CF27B7B24}"/>
    <hyperlink ref="O747" r:id="rId6154" xr:uid="{78831764-A7FB-4CF0-8360-21E55A9F4622}"/>
    <hyperlink ref="O748" r:id="rId6155" xr:uid="{8F74767D-7297-4B9F-8466-02DFD0C7FFB0}"/>
    <hyperlink ref="O749" r:id="rId6156" xr:uid="{DA5512A8-43A9-4F4C-95FD-776526288C27}"/>
    <hyperlink ref="O750" r:id="rId6157" xr:uid="{2E2E3F97-0892-4EC6-A368-A8884340E34B}"/>
    <hyperlink ref="O751" r:id="rId6158" xr:uid="{360B572B-B954-42B3-AFA4-2B5AB735685D}"/>
    <hyperlink ref="O752" r:id="rId6159" xr:uid="{DA8F3EF3-067B-4391-8420-A331BE586BCD}"/>
    <hyperlink ref="O753" r:id="rId6160" xr:uid="{8C14446B-DBE7-4257-9B6A-3B2E45D1F0F2}"/>
    <hyperlink ref="O754" r:id="rId6161" xr:uid="{DF4CD065-8F65-4A39-89C0-553B2125F9D5}"/>
    <hyperlink ref="O755" r:id="rId6162" xr:uid="{20C1554C-3D8A-4E4B-B5BE-D40358D9C1E5}"/>
    <hyperlink ref="O756" r:id="rId6163" xr:uid="{0D856806-11F6-4C15-BD30-65DC3CDB5069}"/>
    <hyperlink ref="O757" r:id="rId6164" xr:uid="{B770662B-A2E2-4AB8-A987-6CFFFC790439}"/>
    <hyperlink ref="O758" r:id="rId6165" xr:uid="{A5F6D63E-003B-4D82-85D7-29E8E6D536CD}"/>
    <hyperlink ref="O759" r:id="rId6166" xr:uid="{7D754396-3F03-4B8A-9C79-3118CBA4DCB5}"/>
    <hyperlink ref="O760" r:id="rId6167" xr:uid="{E3EFAA3D-C2C9-42ED-9736-7564CA8578FD}"/>
    <hyperlink ref="O761" r:id="rId6168" xr:uid="{676533C9-511F-416D-A19E-852BE95C4185}"/>
    <hyperlink ref="O762" r:id="rId6169" xr:uid="{8BE21FD2-B7D1-4D63-874C-1C33F7F87084}"/>
    <hyperlink ref="O763" r:id="rId6170" xr:uid="{C8D9D1C4-F018-4266-8422-ACFF6A64BFE7}"/>
    <hyperlink ref="O764" r:id="rId6171" xr:uid="{856D8F61-DC81-4685-832C-53FE60BAFCDE}"/>
    <hyperlink ref="O765" r:id="rId6172" xr:uid="{3D24EE33-FDFE-4962-A710-C1BD3CAA29DF}"/>
    <hyperlink ref="O766" r:id="rId6173" xr:uid="{65E7EADF-A062-4730-96AF-8627BE6B0CAF}"/>
    <hyperlink ref="O767" r:id="rId6174" xr:uid="{FF47A9C4-631C-42B9-B7FE-C0F424833DF5}"/>
    <hyperlink ref="O768" r:id="rId6175" xr:uid="{D7A47667-E2EC-4CEF-BC61-F59E82C20B75}"/>
    <hyperlink ref="O769" r:id="rId6176" xr:uid="{F5BD174A-F93D-48CD-914F-4AB2F80C5766}"/>
    <hyperlink ref="O770" r:id="rId6177" xr:uid="{95A6C2DF-723C-4E46-952F-51CE3A2CE164}"/>
    <hyperlink ref="O771" r:id="rId6178" xr:uid="{025AFDBB-390D-43FB-A3E4-1D3B1EB2EA94}"/>
    <hyperlink ref="O772" r:id="rId6179" xr:uid="{BD4ED502-5A83-46FD-B91A-C3CEBF63FD85}"/>
    <hyperlink ref="O773" r:id="rId6180" xr:uid="{B4CF15FD-7162-4F13-AA6D-0A5A5975873C}"/>
    <hyperlink ref="O774" r:id="rId6181" xr:uid="{40579D1A-5FB7-4D24-844A-9826BF736EFB}"/>
    <hyperlink ref="O775" r:id="rId6182" xr:uid="{FFF02582-3C02-4048-8ADB-04AB476F3C50}"/>
    <hyperlink ref="O776" r:id="rId6183" xr:uid="{E696E081-0AAF-462C-B110-25E4F78CC55B}"/>
    <hyperlink ref="O777" r:id="rId6184" xr:uid="{B32138AB-33F7-448C-9D6A-037B54444531}"/>
    <hyperlink ref="O778" r:id="rId6185" xr:uid="{5D692ADC-D71B-407B-AA9C-3E69259717AA}"/>
    <hyperlink ref="O779" r:id="rId6186" xr:uid="{AFBB383E-9C90-4F1C-8447-95F0DCD79A7D}"/>
    <hyperlink ref="O780" r:id="rId6187" xr:uid="{D2018706-52B1-49B0-BA11-4A180842158D}"/>
    <hyperlink ref="O781" r:id="rId6188" xr:uid="{1D4AB7B1-E8C9-48F1-8762-19C4C5E83F99}"/>
    <hyperlink ref="O782" r:id="rId6189" xr:uid="{0FBB2F32-4FF2-4FCC-A8C2-E5D80A8FA87B}"/>
    <hyperlink ref="O783" r:id="rId6190" xr:uid="{A1BC7EB7-6BA8-4C22-9F56-FF11869797E9}"/>
    <hyperlink ref="O784" r:id="rId6191" xr:uid="{B6097EFA-79F7-4540-B8CE-AC507F0F1C96}"/>
    <hyperlink ref="O785" r:id="rId6192" xr:uid="{1449E2B3-9664-4B58-A8BD-87A320517B07}"/>
    <hyperlink ref="O786" r:id="rId6193" xr:uid="{B6888789-2A0C-4A41-AEB3-1E3FC10A315E}"/>
    <hyperlink ref="O787" r:id="rId6194" xr:uid="{CDE0FD20-ACF9-4420-B15F-8491E41B7823}"/>
    <hyperlink ref="O788" r:id="rId6195" xr:uid="{EF5B52A8-C3EE-4D47-B4B6-0AF7AED6FC15}"/>
    <hyperlink ref="O789" r:id="rId6196" xr:uid="{52256EC6-3630-4420-88C5-46D29A81BE55}"/>
    <hyperlink ref="O791" r:id="rId6197" xr:uid="{51E53D12-7CE0-459B-8F98-4A8CEA336CAE}"/>
    <hyperlink ref="O792" r:id="rId6198" xr:uid="{96D80E96-7771-4F69-913A-2F7147E0E1E1}"/>
    <hyperlink ref="O793" r:id="rId6199" xr:uid="{63F5CBFE-5D9E-463A-A098-5A250540E5F6}"/>
    <hyperlink ref="O794" r:id="rId6200" xr:uid="{E5716DA0-16C3-4318-831B-F7FED925CD77}"/>
    <hyperlink ref="O795" r:id="rId6201" xr:uid="{4FBF0A7D-BCE5-4529-A89D-4EF2E97D1D92}"/>
    <hyperlink ref="O796" r:id="rId6202" xr:uid="{0558C484-2584-4956-AD1A-A738FBDA21C6}"/>
    <hyperlink ref="O797" r:id="rId6203" xr:uid="{F173EA76-FE4B-4E6A-9DEB-0380511DF4A8}"/>
    <hyperlink ref="O798" r:id="rId6204" xr:uid="{13774052-CBEE-4B42-AA56-874DC081E6FF}"/>
    <hyperlink ref="O799" r:id="rId6205" xr:uid="{A824D81A-FE96-4147-89EC-CBD723CD7427}"/>
    <hyperlink ref="O800" r:id="rId6206" xr:uid="{BB8C7A91-8EF2-41FD-BE1D-38B4766ABBD3}"/>
    <hyperlink ref="O801" r:id="rId6207" xr:uid="{1960FC7B-1A38-4EC6-8CD5-59C81FD05EAD}"/>
    <hyperlink ref="O802" r:id="rId6208" xr:uid="{79ACAB47-422F-4758-82E0-699090D3FCA8}"/>
    <hyperlink ref="O803" r:id="rId6209" xr:uid="{D5B0EDC5-8B59-4FB7-BB0F-534EEBC71B69}"/>
    <hyperlink ref="O804" r:id="rId6210" xr:uid="{9094C2C5-9E19-4F3C-8DF0-DDDA0AFF2378}"/>
    <hyperlink ref="O805" r:id="rId6211" xr:uid="{69951813-732D-4DC6-89DC-EBE57081094F}"/>
    <hyperlink ref="O806" r:id="rId6212" xr:uid="{6ADD8FBF-D50E-41D6-80E8-FE7CEECEF668}"/>
    <hyperlink ref="O807" r:id="rId6213" xr:uid="{3BEFAAB9-4775-4249-A014-33A4B472B10F}"/>
    <hyperlink ref="O808" r:id="rId6214" xr:uid="{B09D1A5E-F692-48BD-89AA-C3F1B1E3886E}"/>
    <hyperlink ref="O809" r:id="rId6215" xr:uid="{469BA40B-DD62-46FA-83DA-1CD8F13D99BB}"/>
    <hyperlink ref="O810" r:id="rId6216" xr:uid="{39FB1888-9D66-4AA2-A805-7F6DC3C864DD}"/>
    <hyperlink ref="O811" r:id="rId6217" xr:uid="{E1C286D7-7119-4557-A5B9-34210358B873}"/>
    <hyperlink ref="O812" r:id="rId6218" xr:uid="{AEA8B85C-2D6C-402A-8879-0B1422FE0FB0}"/>
    <hyperlink ref="O813" r:id="rId6219" xr:uid="{5A501A75-BC70-43CD-9A38-8A22D96795C1}"/>
    <hyperlink ref="O814" r:id="rId6220" xr:uid="{2AD126AE-FD80-4C5B-8B41-CE3534CC8C89}"/>
    <hyperlink ref="O815" r:id="rId6221" xr:uid="{07AD7D4C-DEED-4B7D-A15C-53CF9EF8109F}"/>
    <hyperlink ref="O816" r:id="rId6222" xr:uid="{97C4EAE3-52C5-400C-AE35-89BBEAF82A87}"/>
    <hyperlink ref="O817" r:id="rId6223" xr:uid="{05999339-D2AB-44FB-ACAC-A7AA41D24644}"/>
    <hyperlink ref="O818" r:id="rId6224" xr:uid="{B3AE8651-E3A8-4D8C-BEF9-44F8E8999B22}"/>
    <hyperlink ref="O819" r:id="rId6225" xr:uid="{9979C110-A01F-41D8-B162-DB55E1DE01A6}"/>
    <hyperlink ref="O820" r:id="rId6226" xr:uid="{DEA22C79-55A9-4ACF-A517-9F76DAC72112}"/>
    <hyperlink ref="O821" r:id="rId6227" xr:uid="{1AB973F9-A83C-4F7D-B39A-7CA7F4DEB227}"/>
    <hyperlink ref="O822" r:id="rId6228" xr:uid="{0BFC9018-F58F-4785-99D9-FB26B8F4FFEF}"/>
    <hyperlink ref="O823" r:id="rId6229" xr:uid="{F9E84A05-6732-434B-A01E-35FA63E1318F}"/>
    <hyperlink ref="O824" r:id="rId6230" xr:uid="{D2D4F32C-95F0-471B-AB1F-65B71FF66407}"/>
    <hyperlink ref="O825" r:id="rId6231" xr:uid="{CE664B4E-B57F-40E5-872A-BEEA2F0BDCDB}"/>
    <hyperlink ref="O826" r:id="rId6232" xr:uid="{961D3FC8-1432-459D-99A8-8D51AD66AF50}"/>
    <hyperlink ref="O827" r:id="rId6233" xr:uid="{9E5FA886-224E-4D0D-9FA7-8E2E4F70ABA0}"/>
    <hyperlink ref="O828" r:id="rId6234" xr:uid="{1FB9933C-7D55-498A-819D-0ACE1CFCBFD2}"/>
    <hyperlink ref="O829" r:id="rId6235" xr:uid="{489621CC-1320-47DC-9692-C7004915C1C4}"/>
    <hyperlink ref="O830" r:id="rId6236" xr:uid="{A2F46F47-17BD-4EEB-9A6F-9134C2B45508}"/>
    <hyperlink ref="O831" r:id="rId6237" xr:uid="{B52C9DA5-9D37-4617-B0AF-BE26FA06004F}"/>
    <hyperlink ref="O832" r:id="rId6238" xr:uid="{81B2B4B4-0B61-4A63-A15B-330417B253EE}"/>
    <hyperlink ref="O833" r:id="rId6239" xr:uid="{D749D46A-F28E-4F29-B676-7E969313CD32}"/>
    <hyperlink ref="O834" r:id="rId6240" xr:uid="{1053A278-F41B-4E93-96CD-4204FAE950B7}"/>
    <hyperlink ref="O835" r:id="rId6241" xr:uid="{A4879B10-BF67-41AB-B180-380E0448ADBA}"/>
    <hyperlink ref="O836" r:id="rId6242" xr:uid="{98C611CF-E2D9-4141-A431-77D6911E905A}"/>
    <hyperlink ref="O837" r:id="rId6243" xr:uid="{C02A44A4-BD53-4469-854D-657AC9BD45BE}"/>
    <hyperlink ref="O838" r:id="rId6244" xr:uid="{7FF6D664-02DB-4161-8B74-8C0C2AC69231}"/>
    <hyperlink ref="O839" r:id="rId6245" xr:uid="{CD713553-BC9F-4A5C-A647-C68109682C6B}"/>
    <hyperlink ref="O840" r:id="rId6246" xr:uid="{61171D4E-A145-4415-B77D-688ED600CDBD}"/>
    <hyperlink ref="O841" r:id="rId6247" xr:uid="{D997740F-829B-4C4D-8FDC-728FE38A35DE}"/>
    <hyperlink ref="O842" r:id="rId6248" xr:uid="{EF8B8017-1F6F-4628-AC28-C3BE35925C73}"/>
    <hyperlink ref="O843" r:id="rId6249" xr:uid="{7380AA51-8A64-4D14-BC83-9107C880A0DA}"/>
    <hyperlink ref="O845" r:id="rId6250" xr:uid="{3C413F3F-BA49-4AA9-A5A5-79A3F1F8D6CE}"/>
    <hyperlink ref="O846" r:id="rId6251" xr:uid="{557541AC-F55E-42D2-8009-E1829F36258B}"/>
    <hyperlink ref="O847" r:id="rId6252" xr:uid="{BADD6434-DB3A-476A-810F-B6ED2FE010BB}"/>
    <hyperlink ref="O848" r:id="rId6253" xr:uid="{1ECB3DF2-67FD-4BEA-95BE-147F1893371D}"/>
    <hyperlink ref="O849" r:id="rId6254" xr:uid="{823B4878-A6BA-4F19-9AEE-0CC7408DCB55}"/>
    <hyperlink ref="O850" r:id="rId6255" xr:uid="{5C4A39CA-E0CD-40BA-BDDA-1683D66E1F6F}"/>
    <hyperlink ref="O851" r:id="rId6256" xr:uid="{21FC8DE8-7ECA-4E92-828C-5962CC788987}"/>
    <hyperlink ref="O852" r:id="rId6257" xr:uid="{A53D236B-E729-409D-BA36-2C29EB7CED60}"/>
    <hyperlink ref="O853" r:id="rId6258" xr:uid="{3125064C-16AD-4E91-A581-31F2D501CDD4}"/>
    <hyperlink ref="O854" r:id="rId6259" xr:uid="{5C3DF56C-9EC7-46FD-B17C-124E95F4AD8A}"/>
    <hyperlink ref="O855" r:id="rId6260" xr:uid="{CC42E1DC-D560-4D10-B680-7B29B625CA2E}"/>
    <hyperlink ref="O856" r:id="rId6261" xr:uid="{183D696E-794F-4509-B547-047BB36ED2EF}"/>
    <hyperlink ref="O857" r:id="rId6262" xr:uid="{E58CB6A1-1D9F-4CFA-8816-0768F26F3535}"/>
    <hyperlink ref="O858" r:id="rId6263" xr:uid="{068D166E-E26E-47F4-83CC-24A9F1C36BA1}"/>
    <hyperlink ref="O859" r:id="rId6264" xr:uid="{2049B29E-3B44-4A56-8E7D-BEE29EAC3E20}"/>
    <hyperlink ref="O860" r:id="rId6265" xr:uid="{6E885F50-DDCC-4EB0-B33E-2FF66041F3AD}"/>
    <hyperlink ref="O861" r:id="rId6266" xr:uid="{7312378F-0D33-4C88-B376-CE079A0488EA}"/>
    <hyperlink ref="O862" r:id="rId6267" xr:uid="{47FE3CA2-4858-4DB9-BA5A-B1F5D072D887}"/>
    <hyperlink ref="O863" r:id="rId6268" xr:uid="{F610E126-9C23-4A02-9E7D-D5A05783A22B}"/>
    <hyperlink ref="O864" r:id="rId6269" xr:uid="{F18430FB-6890-476D-8D7C-A204A16E1B9F}"/>
    <hyperlink ref="O865" r:id="rId6270" xr:uid="{58CD056F-0A47-4C84-8CE4-A4B11C409270}"/>
    <hyperlink ref="O866" r:id="rId6271" xr:uid="{C73B31A2-752F-4E4E-8FB3-910A5500381F}"/>
    <hyperlink ref="O867" r:id="rId6272" xr:uid="{87F7E6CF-4677-44AC-BBF9-4BB03E7E7467}"/>
    <hyperlink ref="O868" r:id="rId6273" xr:uid="{CD053FA8-7934-4228-A765-5AC605BE3F59}"/>
    <hyperlink ref="O869" r:id="rId6274" xr:uid="{1E49578C-E19E-402B-B0C9-D163F29ADAE1}"/>
    <hyperlink ref="O870" r:id="rId6275" xr:uid="{625840BC-C1FF-485F-8F2C-BB5D21C8BE88}"/>
    <hyperlink ref="O871" r:id="rId6276" xr:uid="{FC343B28-F36C-4803-B797-4868BADEA7E7}"/>
    <hyperlink ref="O872" r:id="rId6277" xr:uid="{50A2D2C9-0595-4088-958E-D60CE25B63B2}"/>
    <hyperlink ref="O873" r:id="rId6278" xr:uid="{618E358B-F8FB-4D73-82A8-8BB74B68A8F9}"/>
    <hyperlink ref="O874" r:id="rId6279" xr:uid="{7757BC8B-359B-4C83-B811-8B1DBEFBC5DC}"/>
    <hyperlink ref="O875" r:id="rId6280" xr:uid="{04CB3C8A-7B11-408B-91C9-79D1D197F4A0}"/>
    <hyperlink ref="O876" r:id="rId6281" xr:uid="{D1F61260-8603-452B-B218-382BE6BA775B}"/>
    <hyperlink ref="O877" r:id="rId6282" xr:uid="{2E076B3A-C5C4-456A-9F88-AF8731327EBD}"/>
    <hyperlink ref="O878" r:id="rId6283" xr:uid="{7BC471BE-B13C-49C0-8B29-57F0FADDE9C2}"/>
    <hyperlink ref="O879" r:id="rId6284" xr:uid="{839DF944-6224-4EAE-BDF6-AC81162A3D31}"/>
    <hyperlink ref="O880" r:id="rId6285" xr:uid="{59AAC671-608F-4B0F-93D7-0E65D8E9763C}"/>
    <hyperlink ref="O881" r:id="rId6286" xr:uid="{02044C60-1FBD-401E-BF3B-1C5163E2B1F4}"/>
    <hyperlink ref="O882" r:id="rId6287" xr:uid="{A1989545-8BD4-402E-9239-B3F7A3B6E97B}"/>
    <hyperlink ref="O883" r:id="rId6288" xr:uid="{FE286E05-BEF9-4AA4-8611-7438C3803BD8}"/>
    <hyperlink ref="O884" r:id="rId6289" xr:uid="{1AE5C94F-417F-4C40-81C1-3D2FF675A5DB}"/>
    <hyperlink ref="O885" r:id="rId6290" xr:uid="{B05C70C4-9B77-408D-9719-408C2F561D3B}"/>
    <hyperlink ref="O886" r:id="rId6291" xr:uid="{16EC4D31-063A-4F74-9B36-149A35070ED3}"/>
    <hyperlink ref="O887" r:id="rId6292" xr:uid="{4A014BF6-7897-4034-B6D2-13AD14A7C333}"/>
    <hyperlink ref="O888" r:id="rId6293" xr:uid="{6CE9BDF5-81C0-41D9-A4A2-68A6B2FBA2A2}"/>
    <hyperlink ref="O889" r:id="rId6294" xr:uid="{2C86BD98-31C3-43A8-82E5-5D0CF80B7BF1}"/>
    <hyperlink ref="O890" r:id="rId6295" xr:uid="{1BA6061D-1907-4721-9009-CEC97745A088}"/>
    <hyperlink ref="O891" r:id="rId6296" xr:uid="{383A8F87-88AE-4F98-9478-BD4F966A281C}"/>
    <hyperlink ref="O892" r:id="rId6297" xr:uid="{B2F795F9-C4A3-4582-87C0-5FD303F99E7A}"/>
    <hyperlink ref="O893" r:id="rId6298" xr:uid="{B89A2973-DF97-4ABD-BA65-E866F020A22D}"/>
    <hyperlink ref="O894" r:id="rId6299" xr:uid="{927D0835-0EB2-453A-ABED-D476CB85F336}"/>
    <hyperlink ref="O895" r:id="rId6300" xr:uid="{A8541BB1-B1F8-4FC5-B40A-D2B1A1FA4FF5}"/>
    <hyperlink ref="O896" r:id="rId6301" xr:uid="{7F421E86-88AF-4BD0-B6AD-47E7D705CBCA}"/>
    <hyperlink ref="O897" r:id="rId6302" xr:uid="{03690FAC-8CCE-4663-8B02-15BE9D3CCC35}"/>
    <hyperlink ref="O898" r:id="rId6303" xr:uid="{486B3BFF-58F6-4011-A48A-97B8A3570412}"/>
    <hyperlink ref="O899" r:id="rId6304" xr:uid="{4DAD4042-FBAC-4BAE-85B0-8D0BFB05B832}"/>
    <hyperlink ref="O900" r:id="rId6305" xr:uid="{A4FE8149-93D5-4E98-BDA9-3FC5DD277C7D}"/>
    <hyperlink ref="O901" r:id="rId6306" xr:uid="{29C514E6-3FA1-42A3-824F-B67AB8BA9FE7}"/>
    <hyperlink ref="O902" r:id="rId6307" xr:uid="{29DA9C2C-EC4C-471A-9B1D-E982E0F099E5}"/>
    <hyperlink ref="O903" r:id="rId6308" xr:uid="{0FC91A71-737C-4219-B6A3-3563C2022847}"/>
    <hyperlink ref="O904" r:id="rId6309" xr:uid="{045ABE65-E697-48D0-9F53-8C4505FDED2D}"/>
    <hyperlink ref="O905" r:id="rId6310" xr:uid="{38C72A38-2804-4FC5-9355-872F88AB270E}"/>
    <hyperlink ref="O906" r:id="rId6311" xr:uid="{DA341324-BA59-4125-861E-085AFC61404C}"/>
    <hyperlink ref="O907" r:id="rId6312" xr:uid="{682C42BC-D134-4404-A5D8-3EB299AE3BE4}"/>
    <hyperlink ref="O908" r:id="rId6313" xr:uid="{88C97C16-23AA-41A1-9033-FE392CD043C9}"/>
    <hyperlink ref="O909" r:id="rId6314" xr:uid="{147F50F5-50BB-42FA-B6D5-6B5FEEC2BACC}"/>
    <hyperlink ref="O910" r:id="rId6315" xr:uid="{7ED2218E-EF0A-428A-8630-246BFAEFF504}"/>
    <hyperlink ref="O911" r:id="rId6316" xr:uid="{62A0D3CE-8171-495C-B1F2-CBB2D90AA72C}"/>
    <hyperlink ref="O912" r:id="rId6317" xr:uid="{8729358D-EB15-48E3-AE55-C89A7CA3D337}"/>
    <hyperlink ref="O913" r:id="rId6318" xr:uid="{EA3517A9-0E07-4799-87AC-8EBB2327F328}"/>
    <hyperlink ref="O914" r:id="rId6319" xr:uid="{70852BE6-CF88-4B23-AB83-8C1BFA641C69}"/>
    <hyperlink ref="O915" r:id="rId6320" xr:uid="{8C411677-FA32-4F1B-B1AB-1FC5B2DC3BE5}"/>
    <hyperlink ref="O916" r:id="rId6321" xr:uid="{89301FA6-3E12-401F-989B-07F93F0D515A}"/>
    <hyperlink ref="O917" r:id="rId6322" xr:uid="{0095AA21-EC41-46DB-A34D-6E8908BB4EB6}"/>
    <hyperlink ref="O918" r:id="rId6323" xr:uid="{B257D69C-DC87-4F76-96F7-A80A79CEE894}"/>
    <hyperlink ref="O919" r:id="rId6324" xr:uid="{CE3112D0-2D82-4E3A-A0FA-278F6483AF99}"/>
    <hyperlink ref="O920" r:id="rId6325" xr:uid="{AB6E1790-0292-4062-907D-C39021C8D9BB}"/>
    <hyperlink ref="O921" r:id="rId6326" xr:uid="{0A128F64-2D2A-4F25-8EAF-006203641777}"/>
    <hyperlink ref="O922" r:id="rId6327" xr:uid="{2E2E1288-317B-4868-A63B-BA27AF4AB1C0}"/>
    <hyperlink ref="O844" r:id="rId6328" xr:uid="{C5C648BF-5165-4691-8DA9-E76835EC7C0D}"/>
    <hyperlink ref="O419" r:id="rId6329" xr:uid="{9C75967B-1E0C-4580-B77B-FDB2244CA422}"/>
    <hyperlink ref="O303" r:id="rId6330" xr:uid="{12819D1B-0B27-49EC-8764-9F3EF99F13C9}"/>
    <hyperlink ref="O304" r:id="rId6331" xr:uid="{59115F80-F2B8-4AE7-95C4-2E6F64C9690F}"/>
    <hyperlink ref="O305" r:id="rId6332" xr:uid="{CD06C558-CA91-4219-A5DC-F18EE3DA7F94}"/>
    <hyperlink ref="O209" r:id="rId6333" xr:uid="{01049C53-76E4-4A3C-BBDD-D23BACAA3762}"/>
    <hyperlink ref="O269" r:id="rId6334" xr:uid="{40576117-9B05-47A9-BE38-F4C0395DB0E7}"/>
    <hyperlink ref="O652" r:id="rId6335" xr:uid="{A1A1B9A2-8DB0-45AF-ABCF-058406909E7C}"/>
    <hyperlink ref="O704" r:id="rId6336" xr:uid="{4ED6E517-1F79-4C4D-8590-0975BDFF0DE0}"/>
    <hyperlink ref="O790" r:id="rId6337" xr:uid="{49905468-7B0A-41BB-AE62-66412473A0C1}"/>
    <hyperlink ref="H17" r:id="rId6338" xr:uid="{4D0C3481-D95C-465F-99F8-4180B6259391}"/>
    <hyperlink ref="H18" r:id="rId6339" xr:uid="{38FD11DF-0A74-40AD-8094-F6F1C10D778D}"/>
    <hyperlink ref="H19" r:id="rId6340" xr:uid="{6239CDCA-DD1B-4BF3-B861-5D1375840C36}"/>
    <hyperlink ref="H20" r:id="rId6341" xr:uid="{85B76285-384B-4039-9AEE-98E98DCE3A4C}"/>
    <hyperlink ref="H23" r:id="rId6342" xr:uid="{E3C6270D-A10C-418B-A160-33E369432288}"/>
    <hyperlink ref="H24" r:id="rId6343" xr:uid="{36921BD8-2BBA-4DC7-9793-52A85C35980A}"/>
    <hyperlink ref="H25" r:id="rId6344" xr:uid="{AB50F2F9-D0BB-4A6A-9C75-8E132A1896B4}"/>
    <hyperlink ref="H26" r:id="rId6345" xr:uid="{872A5567-0AAF-48C5-88EB-1C8D031DB3F9}"/>
    <hyperlink ref="H27" r:id="rId6346" xr:uid="{84543326-2461-4B72-B44E-15E9D26B24F1}"/>
    <hyperlink ref="H28" r:id="rId6347" xr:uid="{5E48BCED-9BB8-4686-9BBC-F72332D98601}"/>
    <hyperlink ref="H30" r:id="rId6348" xr:uid="{502EE6C2-0B44-4C91-A842-238067570305}"/>
    <hyperlink ref="H31" r:id="rId6349" xr:uid="{C7C91FD5-F20A-449D-A8B2-B73634EBFAB8}"/>
    <hyperlink ref="H32" r:id="rId6350" xr:uid="{A40B1079-174C-4A8C-AB99-35962EC72E2F}"/>
    <hyperlink ref="H33" r:id="rId6351" xr:uid="{246EA3B6-DBD3-4A13-92EC-628F16CCB926}"/>
    <hyperlink ref="H34" r:id="rId6352" xr:uid="{45156FC5-CF64-4A5D-A1A7-28C0A07B7695}"/>
    <hyperlink ref="H39" r:id="rId6353" xr:uid="{BA33EDDA-2FA6-4219-8327-ADB82AD013B2}"/>
    <hyperlink ref="H41" r:id="rId6354" xr:uid="{D3B13980-BDDF-47B6-83CC-0B54F9B33EB5}"/>
    <hyperlink ref="H44" r:id="rId6355" xr:uid="{1486FEDB-18AD-4996-87B9-3CB5F237DD07}"/>
    <hyperlink ref="H45" r:id="rId6356" xr:uid="{946573F0-9358-48F8-931B-0CFA9B1F10BD}"/>
    <hyperlink ref="H46" r:id="rId6357" xr:uid="{73958862-068D-47D9-B8A3-524000DEAF26}"/>
    <hyperlink ref="H47" r:id="rId6358" xr:uid="{B47CBD80-5D92-4EB5-8C44-6B89E06F3C21}"/>
    <hyperlink ref="H48" r:id="rId6359" xr:uid="{73211153-6578-4CCE-94D6-32DD6DA056BE}"/>
    <hyperlink ref="H50" r:id="rId6360" xr:uid="{AA99D9CA-4C5D-48F6-A04B-F00712A162E1}"/>
    <hyperlink ref="H51" r:id="rId6361" xr:uid="{F7847510-66EC-4930-8A50-993FB7459FC9}"/>
    <hyperlink ref="H52" r:id="rId6362" xr:uid="{10245430-68A3-4F97-B47E-B94C71C79985}"/>
    <hyperlink ref="H53" r:id="rId6363" xr:uid="{E1A61237-FF68-480B-A995-6DFDEB2C7A6F}"/>
    <hyperlink ref="H54" r:id="rId6364" xr:uid="{6533C885-C81A-44C2-BC12-0C71B17337CE}"/>
    <hyperlink ref="H55" r:id="rId6365" xr:uid="{BEC8D286-7DF1-4ADA-9D7E-4BB6528CDCA3}"/>
    <hyperlink ref="H57" r:id="rId6366" xr:uid="{86A7FE1C-BB43-439C-82E3-E471B807AA4A}"/>
    <hyperlink ref="H59" r:id="rId6367" xr:uid="{0181A38E-77AD-4892-B4E5-0A9430FF1CB7}"/>
    <hyperlink ref="H60" r:id="rId6368" xr:uid="{69F11A46-8B27-4D00-BD45-4A641F129217}"/>
    <hyperlink ref="H63" r:id="rId6369" xr:uid="{CB3A206E-091B-4A16-8533-54E1A86194B4}"/>
    <hyperlink ref="H69" r:id="rId6370" xr:uid="{2158CF61-E6B7-49C2-BA2A-A6A7D465FCCA}"/>
    <hyperlink ref="H65" r:id="rId6371" xr:uid="{F8176A44-924C-43D7-B846-865675B30F47}"/>
    <hyperlink ref="H71" r:id="rId6372" xr:uid="{9675C794-A774-4011-A9FE-82B98DF3C675}"/>
    <hyperlink ref="H78" r:id="rId6373" xr:uid="{924755D8-925F-4D6A-A219-D6D5B2B99CEC}"/>
    <hyperlink ref="H80" r:id="rId6374" xr:uid="{D0ED581B-92FF-4D3A-8A0C-D0380F9D09E6}"/>
    <hyperlink ref="H83" r:id="rId6375" xr:uid="{89233BF5-68B2-4A7B-B69F-A4106E076415}"/>
    <hyperlink ref="H85" r:id="rId6376" xr:uid="{27BC9734-5C9A-44B2-8DDF-8651E01BC0A9}"/>
    <hyperlink ref="H84" r:id="rId6377" xr:uid="{50859EA1-6307-4006-A760-9659A8D7D665}"/>
    <hyperlink ref="H86" r:id="rId6378" xr:uid="{6BEA9FD4-8AFD-4259-8248-354C17A1BD57}"/>
    <hyperlink ref="H87" r:id="rId6379" xr:uid="{02E29FD2-16D9-4123-87FC-636F582D21B5}"/>
    <hyperlink ref="H95" r:id="rId6380" xr:uid="{1B7F98AE-26A4-4379-9A2D-53DDB7CC6C6D}"/>
    <hyperlink ref="H96" r:id="rId6381" xr:uid="{BF4921A8-4E6E-443F-9C27-B0A24601ABE4}"/>
    <hyperlink ref="H98" r:id="rId6382" xr:uid="{A0DAB82E-1748-411A-B30E-2CE9E16E9CC3}"/>
    <hyperlink ref="H100" r:id="rId6383" xr:uid="{E0963927-D358-4ED8-88B2-2E77B366E04F}"/>
    <hyperlink ref="H99" r:id="rId6384" xr:uid="{65982B20-6C73-4601-B6F4-AFD7CFBCCCBF}"/>
    <hyperlink ref="H101" r:id="rId6385" xr:uid="{8C747E7A-F1B6-40B5-8601-8E40769D17E7}"/>
    <hyperlink ref="H103" r:id="rId6386" xr:uid="{9D34A855-5299-4917-93A8-25E84CC991C5}"/>
    <hyperlink ref="H106" r:id="rId6387" xr:uid="{D83F73A7-9399-4493-B4E7-4F950FCE356B}"/>
    <hyperlink ref="H108" r:id="rId6388" xr:uid="{C978A147-DF87-4558-A710-4AD7DC06BF3B}"/>
    <hyperlink ref="H109" r:id="rId6389" xr:uid="{62B84F67-7EEC-46FE-906D-9BB315A846AB}"/>
    <hyperlink ref="H110" r:id="rId6390" xr:uid="{8682A24E-885B-4743-81E5-5F47EBC7A18E}"/>
    <hyperlink ref="H111" r:id="rId6391" xr:uid="{E1BB0A14-E8DA-4DCA-AEC6-649CDF25507C}"/>
    <hyperlink ref="H112" r:id="rId6392" xr:uid="{098968AF-362D-4FB2-B1A1-E46A3C3FD398}"/>
    <hyperlink ref="H113" r:id="rId6393" xr:uid="{4ABE5973-9ABD-4650-ABCC-CA920294229C}"/>
    <hyperlink ref="H114" r:id="rId6394" xr:uid="{D0E0408C-8CB9-4BF2-8B4F-8934831298DD}"/>
    <hyperlink ref="H119" r:id="rId6395" xr:uid="{13026DEE-3984-4559-9688-C83216E0E531}"/>
    <hyperlink ref="H122" r:id="rId6396" xr:uid="{B1AA12C1-24ED-4F1D-8F58-5920745E7577}"/>
    <hyperlink ref="H123" r:id="rId6397" xr:uid="{B379487E-1D16-4E04-8F24-58C174F44826}"/>
    <hyperlink ref="H124" r:id="rId6398" xr:uid="{E4DC1A3E-D00A-42D2-B90C-0BE69F1210B5}"/>
    <hyperlink ref="H126" r:id="rId6399" xr:uid="{1D8B62BD-DA4D-460D-8F19-E92D60234FAC}"/>
    <hyperlink ref="H129" r:id="rId6400" xr:uid="{FAB463FA-2B02-4541-A397-F1F75F6CDEBE}"/>
    <hyperlink ref="H133" r:id="rId6401" xr:uid="{0E9F0B92-DDE7-425B-B5FA-FDBD26F792A9}"/>
    <hyperlink ref="H138" r:id="rId6402" xr:uid="{5606EB44-68DE-4BD5-A0DE-7F550CFB9962}"/>
    <hyperlink ref="H139" r:id="rId6403" xr:uid="{C9FD0456-A7C2-45DC-B703-923F5E060F1F}"/>
    <hyperlink ref="H143" r:id="rId6404" xr:uid="{EB81890F-55C7-48A2-8A21-2227419B6ECD}"/>
    <hyperlink ref="H144" r:id="rId6405" xr:uid="{328B9B11-6EE0-468F-9732-4C9247845DC8}"/>
    <hyperlink ref="H146" r:id="rId6406" xr:uid="{2CC4B7FB-D56A-4EBD-AC63-6D6D4D4B3E39}"/>
    <hyperlink ref="H148" r:id="rId6407" xr:uid="{B56646D1-B618-45C7-B68B-39B36308F6DF}"/>
    <hyperlink ref="H155" r:id="rId6408" xr:uid="{12AF626A-C3AE-4C63-BFD8-BFBF630FB6F9}"/>
    <hyperlink ref="H157" r:id="rId6409" xr:uid="{8FAF5E4F-4392-4E69-A40F-06EC797CC2C3}"/>
    <hyperlink ref="H164" r:id="rId6410" xr:uid="{28BD1561-D2D5-410D-91A3-B73519067B56}"/>
    <hyperlink ref="H173" r:id="rId6411" xr:uid="{290D1E28-30D9-4FF4-921A-51AE67BA2DD7}"/>
    <hyperlink ref="H176" r:id="rId6412" xr:uid="{FDE7BA14-C886-468A-9E0F-DB2B88884453}"/>
    <hyperlink ref="H175" r:id="rId6413" xr:uid="{6C2BBBB4-E452-4B7A-B517-94B6D21881EB}"/>
    <hyperlink ref="H177" r:id="rId6414" xr:uid="{9D7CEFF1-E0D4-4A7A-B49E-D959B4A92603}"/>
    <hyperlink ref="H178" r:id="rId6415" xr:uid="{9C096268-D2A0-4044-9A4A-65C2BF77259A}"/>
    <hyperlink ref="H181" r:id="rId6416" xr:uid="{2085617F-1360-42CF-B500-3EFAD7DB30A8}"/>
    <hyperlink ref="H186" r:id="rId6417" xr:uid="{7B528FAC-9775-4F6E-A52B-362A0D623F1B}"/>
    <hyperlink ref="H189" r:id="rId6418" xr:uid="{40ECFFAC-047C-4D85-9AD0-DFC8BBAAB0E9}"/>
    <hyperlink ref="H191" r:id="rId6419" xr:uid="{DD67E022-A8C4-4DBD-BF6F-A473471FE732}"/>
    <hyperlink ref="H197" r:id="rId6420" xr:uid="{E43FAC64-0989-4DEA-BDFD-3699B2C0C9CC}"/>
    <hyperlink ref="H199" r:id="rId6421" xr:uid="{7CEB91B5-EEC0-4A5E-8677-E4DB7895A159}"/>
    <hyperlink ref="H201" r:id="rId6422" xr:uid="{68E9F967-8217-4227-B337-BE6B04C22BBE}"/>
    <hyperlink ref="H202" r:id="rId6423" xr:uid="{24D7A974-EFD3-4680-9254-5484EEBD8A43}"/>
    <hyperlink ref="H203" r:id="rId6424" xr:uid="{18C8FD64-91EB-4737-9CF2-DF5ACCE954D3}"/>
    <hyperlink ref="H204" r:id="rId6425" xr:uid="{A78FA6CB-37F8-4D0B-A57F-AA66B21AADF1}"/>
    <hyperlink ref="H205" r:id="rId6426" xr:uid="{6CEC5777-1BC9-4AE5-9843-4E655AE88951}"/>
    <hyperlink ref="H207" r:id="rId6427" xr:uid="{04FE1BFA-0202-4915-8371-1B00EDA18457}"/>
    <hyperlink ref="H209" r:id="rId6428" xr:uid="{91648AAB-34E7-4F7C-AB5F-C6480FEC64D1}"/>
    <hyperlink ref="H210" r:id="rId6429" xr:uid="{83A03F3A-725B-46FB-A16F-70CA497F127A}"/>
    <hyperlink ref="H213" r:id="rId6430" xr:uid="{6023728A-5E15-4ACF-A97E-0059F964C27E}"/>
    <hyperlink ref="H214" r:id="rId6431" xr:uid="{A46FB762-D1E9-433B-B481-F70DCA81973A}"/>
    <hyperlink ref="H217" r:id="rId6432" xr:uid="{4C17480C-DAFE-4212-A57D-02AF0FB3B62B}"/>
    <hyperlink ref="H220" r:id="rId6433" xr:uid="{988BEC09-3F7B-4F74-95A8-C20180E7FD59}"/>
    <hyperlink ref="H223" r:id="rId6434" xr:uid="{C3DFFE0D-8FB5-4283-9F3A-42802088EBF1}"/>
    <hyperlink ref="H228" r:id="rId6435" xr:uid="{BB174460-D696-4A0B-8ECE-93DC1888FD71}"/>
    <hyperlink ref="H230" r:id="rId6436" xr:uid="{3F7509EA-F379-4A1C-AEF3-3092F7CA0B6F}"/>
    <hyperlink ref="H231" r:id="rId6437" xr:uid="{4DBA7CE5-9381-4DA0-9DB2-A6948E9B3284}"/>
    <hyperlink ref="H235" r:id="rId6438" xr:uid="{442979D2-17A8-4251-AE01-5BEE0BF58400}"/>
    <hyperlink ref="H236" r:id="rId6439" xr:uid="{41478910-DBCA-40F4-9CF2-AA88D6482617}"/>
    <hyperlink ref="H238" r:id="rId6440" xr:uid="{50048417-AF7F-4A1C-939E-57631AD39BB2}"/>
    <hyperlink ref="H247" r:id="rId6441" xr:uid="{3D77117C-1A89-4C9A-91DB-0F922EEE192D}"/>
    <hyperlink ref="H248" r:id="rId6442" xr:uid="{5CDB17EA-669B-4E43-90A2-5AA4552A883D}"/>
    <hyperlink ref="H249" r:id="rId6443" xr:uid="{CD832131-3B56-4531-902D-C504CFADC297}"/>
    <hyperlink ref="H251" r:id="rId6444" xr:uid="{3387015C-797D-473F-BE9C-5490BDE884EE}"/>
    <hyperlink ref="H252" r:id="rId6445" xr:uid="{E5D140F6-DFAD-42E0-A008-5C77AB778062}"/>
    <hyperlink ref="H255" r:id="rId6446" xr:uid="{CB088819-6213-4E34-B995-547165EC3E78}"/>
    <hyperlink ref="H258" r:id="rId6447" xr:uid="{1A14181B-6D28-4247-B250-E63318C7D263}"/>
    <hyperlink ref="H261" r:id="rId6448" xr:uid="{3F960304-A030-4526-B9DF-57CE66EF87DC}"/>
    <hyperlink ref="H264" r:id="rId6449" xr:uid="{B03073FD-C44C-47D4-9467-58B5ABFE6CD8}"/>
    <hyperlink ref="H265" r:id="rId6450" xr:uid="{D79C35AB-33EA-4F98-B4F4-F46BC03655E6}"/>
    <hyperlink ref="H266" r:id="rId6451" xr:uid="{B29290C3-6A25-4E9B-BBB5-5B5867B2160F}"/>
    <hyperlink ref="H268" r:id="rId6452" xr:uid="{6EBAF1F1-C4E8-4004-93EB-E5F6877FBB96}"/>
    <hyperlink ref="H269" r:id="rId6453" xr:uid="{0A489B7C-5AA8-4B72-B49F-62AF1313F070}"/>
    <hyperlink ref="H279" r:id="rId6454" xr:uid="{FCB548F0-8EC5-4A8B-8ABF-3C124390F44D}"/>
    <hyperlink ref="H270" r:id="rId6455" xr:uid="{E03366D9-C5DE-4F4C-BBB1-31725C9E0406}"/>
    <hyperlink ref="H271" r:id="rId6456" xr:uid="{BEA6FD7C-8078-4407-A56A-530943591195}"/>
    <hyperlink ref="H273" r:id="rId6457" xr:uid="{EB840A66-6661-4D02-AD9F-04E399A4080F}"/>
    <hyperlink ref="H274" r:id="rId6458" xr:uid="{1551E5EA-7C2A-43BF-80E7-7BCBA4FF55EE}"/>
    <hyperlink ref="H276" r:id="rId6459" xr:uid="{ACE4F037-FFA2-4DFF-BF91-FA0539F98A00}"/>
    <hyperlink ref="H278" r:id="rId6460" xr:uid="{084571A8-DC8D-44BC-B105-200BCF0C6FBA}"/>
    <hyperlink ref="H340" r:id="rId6461" xr:uid="{E4EC9322-409B-4D0D-A214-7C7D477A8C81}"/>
    <hyperlink ref="H290" r:id="rId6462" xr:uid="{09897D19-EF57-4FF6-8CA5-6A2C7954F885}"/>
    <hyperlink ref="H280" r:id="rId6463" xr:uid="{5E5C8CAA-3C05-47EA-9891-8CCB7F52C971}"/>
    <hyperlink ref="H282" r:id="rId6464" xr:uid="{E49F800B-5EB4-40DD-8D7C-2F213871AE7E}"/>
    <hyperlink ref="H283" r:id="rId6465" xr:uid="{E496978C-396D-4C2C-B912-56B51EAC1E49}"/>
    <hyperlink ref="H285" r:id="rId6466" xr:uid="{D6D047D9-5C55-4D8B-8321-68165509EAD0}"/>
    <hyperlink ref="H287" r:id="rId6467" xr:uid="{234DA3CB-9E96-4F2A-8352-E258BEE7AF9E}"/>
    <hyperlink ref="H289" r:id="rId6468" xr:uid="{FD51A7F4-2EAD-4759-BF88-BB4A5A0DA225}"/>
    <hyperlink ref="H291" r:id="rId6469" xr:uid="{A4FF2709-D0A2-462C-A051-7FF054BDC3F1}"/>
    <hyperlink ref="H292" r:id="rId6470" xr:uid="{4B56D8CF-4B6B-45F7-88B3-2D3B8B6BBD1E}"/>
    <hyperlink ref="H293" r:id="rId6471" xr:uid="{6A05B600-D49A-49D0-A4E8-6F9F5F49E9C3}"/>
    <hyperlink ref="H294" r:id="rId6472" xr:uid="{6A057CF3-F111-4B0D-97E7-57E8DFF73D96}"/>
    <hyperlink ref="H296" r:id="rId6473" xr:uid="{7C5387D3-ECEE-4F74-B0A7-E194ABBE868F}"/>
    <hyperlink ref="H299" r:id="rId6474" xr:uid="{C882E98D-88A1-4911-878E-1F3EE3909F8A}"/>
    <hyperlink ref="H304" r:id="rId6475" xr:uid="{1DD3C79C-A98F-46D5-9D55-6609EE09652E}"/>
    <hyperlink ref="H305" r:id="rId6476" xr:uid="{BC475276-647B-4131-96B9-950E2EF370DD}"/>
    <hyperlink ref="H306" r:id="rId6477" xr:uid="{7AAB7EE3-6F70-4DC8-BA89-DA0339988685}"/>
    <hyperlink ref="H314" r:id="rId6478" xr:uid="{BE59E85A-F055-4BE6-9BD9-8EABFEA12BA5}"/>
    <hyperlink ref="H316" r:id="rId6479" xr:uid="{DCFD5AE6-1CB0-45CC-9400-72D60D0B915C}"/>
    <hyperlink ref="H318" r:id="rId6480" xr:uid="{C736FAAE-0C90-4BB8-8DBE-3EB75AE61A4D}"/>
    <hyperlink ref="H320" r:id="rId6481" xr:uid="{8239D406-A0BC-4C74-B193-FF04D6E6AF64}"/>
    <hyperlink ref="H321" r:id="rId6482" xr:uid="{D27250B7-2715-453E-A4AB-10A8B943DE6E}"/>
    <hyperlink ref="H322" r:id="rId6483" xr:uid="{B644ED59-D36B-4E68-A5B8-3219C46D0CD9}"/>
    <hyperlink ref="H323" r:id="rId6484" xr:uid="{163D14AE-B4C1-44FB-90D0-5905E1682612}"/>
    <hyperlink ref="H324" r:id="rId6485" xr:uid="{9BEFDD46-EB89-4980-9033-61F8C1D7EACC}"/>
    <hyperlink ref="H325" r:id="rId6486" xr:uid="{420BDD13-8B10-4173-8BB0-F99DC84B5B07}"/>
    <hyperlink ref="H327" r:id="rId6487" xr:uid="{5E2D06D0-AA86-4A64-82D1-67FE1CD5B3E1}"/>
    <hyperlink ref="H329" r:id="rId6488" xr:uid="{B9C7BFA9-964F-4DFE-A265-A87B3FC93A92}"/>
    <hyperlink ref="H331" r:id="rId6489" xr:uid="{918BE6D3-5084-436B-BEA3-6BA659519D83}"/>
    <hyperlink ref="H333" r:id="rId6490" xr:uid="{BF186E49-5A2D-497E-A8EB-9E5AF118ACE4}"/>
    <hyperlink ref="H334" r:id="rId6491" xr:uid="{BF95A47D-4C65-49F1-BBF9-F70B1788893A}"/>
    <hyperlink ref="H335" r:id="rId6492" xr:uid="{1AA7D963-7BE9-4CAE-A669-53B2A6DF5B4E}"/>
    <hyperlink ref="H336" r:id="rId6493" xr:uid="{2CEA62C7-BC35-438F-817C-C4E08F3EE4D7}"/>
    <hyperlink ref="H337" r:id="rId6494" xr:uid="{D7061699-3EBD-4371-9B44-2B194D34393F}"/>
    <hyperlink ref="H341" r:id="rId6495" xr:uid="{B6164F1F-28AB-4E2F-817D-AF54AA696784}"/>
    <hyperlink ref="H342" r:id="rId6496" xr:uid="{CCE53C28-E47D-47CB-8C0A-F58885E4EB02}"/>
    <hyperlink ref="H347" r:id="rId6497" xr:uid="{FAF38972-80D2-4B44-8EE0-4CB0F2348296}"/>
    <hyperlink ref="H346" r:id="rId6498" xr:uid="{02EEA3CE-F100-47E1-820D-FDB1E0275F89}"/>
    <hyperlink ref="H344" r:id="rId6499" xr:uid="{779255C9-4D0E-466C-A73F-E5C732CD37BF}"/>
    <hyperlink ref="H352" r:id="rId6500" xr:uid="{1CD0BE4B-FAFE-490B-B779-C896E83A536F}"/>
    <hyperlink ref="H353" r:id="rId6501" xr:uid="{83C70AB1-3AF3-4622-87BE-4C053EA7883A}"/>
    <hyperlink ref="H358" r:id="rId6502" xr:uid="{23579D41-9DF3-492A-A3A0-466D4DC0409C}"/>
    <hyperlink ref="H403" r:id="rId6503" xr:uid="{3FA694D2-4DA0-4C3E-A040-9F7950E25828}"/>
    <hyperlink ref="H413" r:id="rId6504" xr:uid="{40917D45-D520-4E6A-BEA6-BD6F069E7A51}"/>
    <hyperlink ref="H423" r:id="rId6505" xr:uid="{6C595286-0AE9-4D36-833A-4428DA4BCBD0}"/>
    <hyperlink ref="H486" r:id="rId6506" xr:uid="{F384513B-D8E6-4B54-8117-9338A5B584D4}"/>
    <hyperlink ref="H532" r:id="rId6507" xr:uid="{55AB77B9-E746-4A96-9E5B-43DDD7C26946}"/>
    <hyperlink ref="H561" r:id="rId6508" xr:uid="{62CDC0ED-2B1A-4A8A-A592-0D1FB5927B0A}"/>
    <hyperlink ref="H349" r:id="rId6509" xr:uid="{83841D77-8BAA-429E-8FED-BD4AFF40564D}"/>
    <hyperlink ref="H350" r:id="rId6510" xr:uid="{C380DB69-8A94-40D6-8312-07608380BC3C}"/>
    <hyperlink ref="H351" r:id="rId6511" xr:uid="{FE040C8E-8D8B-4039-93A0-44049980B6DE}"/>
    <hyperlink ref="H355" r:id="rId6512" xr:uid="{6AA63324-0785-4C4A-929B-C49C869F0ADB}"/>
    <hyperlink ref="H364" r:id="rId6513" xr:uid="{D9EC6C8A-601B-437C-BDAD-D9A0E1803D2F}"/>
    <hyperlink ref="H356" r:id="rId6514" xr:uid="{982F2ABF-E832-42DA-A499-CF9141CCD1CD}"/>
    <hyperlink ref="H366" r:id="rId6515" xr:uid="{E52D99CA-19B0-45F7-BFF6-89AA545574CE}"/>
    <hyperlink ref="H371" r:id="rId6516" xr:uid="{A8A0568C-D168-492B-AA5D-3B34D9E1F96D}"/>
    <hyperlink ref="H372" r:id="rId6517" xr:uid="{769724BB-40AF-4F44-B2C2-25C198440D13}"/>
    <hyperlink ref="H373" r:id="rId6518" xr:uid="{FD995319-27B6-4FB1-9769-FEA1C823C567}"/>
    <hyperlink ref="H376" r:id="rId6519" xr:uid="{DEF6CB02-E66D-4D4D-BBB7-EC227E3944A0}"/>
    <hyperlink ref="H378" r:id="rId6520" xr:uid="{5E2682BB-987B-4232-9E90-E982B9AD69A0}"/>
    <hyperlink ref="H379" r:id="rId6521" xr:uid="{3F1ED96C-B581-4C07-9051-194AE43BFDEE}"/>
    <hyperlink ref="H382" r:id="rId6522" xr:uid="{25871810-73FF-47DC-B2D3-A8A3736F8EBF}"/>
    <hyperlink ref="H384" r:id="rId6523" xr:uid="{1CB172BB-99C4-4014-AEF1-F20B473F431E}"/>
    <hyperlink ref="H386" r:id="rId6524" xr:uid="{C7B360E5-FC09-4E9C-A42B-50ECBB831DE0}"/>
    <hyperlink ref="H390" r:id="rId6525" xr:uid="{3717352F-21C8-41B0-921D-E33780083A20}"/>
    <hyperlink ref="H393" r:id="rId6526" xr:uid="{4B346A1C-1D67-4406-ABC4-E1C00DF7A553}"/>
    <hyperlink ref="H395" r:id="rId6527" xr:uid="{6F8138D8-29A6-4D0E-BD1F-5D2F878D2F6D}"/>
    <hyperlink ref="H396" r:id="rId6528" xr:uid="{D3D0CD96-3E81-4F17-889C-F8F644B2382B}"/>
    <hyperlink ref="H397" r:id="rId6529" xr:uid="{C4E7D2D1-8081-4CF0-98F5-B0CC4970BF39}"/>
    <hyperlink ref="H401" r:id="rId6530" xr:uid="{FDD5A3A6-5F26-41DE-B8B6-B06E5129A534}"/>
    <hyperlink ref="H410" r:id="rId6531" xr:uid="{B023A6A0-61C2-4661-AFE6-48BC2DEC2D07}"/>
    <hyperlink ref="H412" r:id="rId6532" xr:uid="{3139B5E9-BE5D-405F-94D0-DFF973D78E73}"/>
    <hyperlink ref="H419" r:id="rId6533" xr:uid="{7C118F9B-6789-4966-B4EA-783D5CB81F40}"/>
    <hyperlink ref="H420" r:id="rId6534" xr:uid="{29B92B19-41B7-40D6-93CD-4EAFB9E2B3B8}"/>
    <hyperlink ref="H422" r:id="rId6535" xr:uid="{834E410A-F517-4687-8989-9DF1EF1F5FDA}"/>
    <hyperlink ref="H424" r:id="rId6536" xr:uid="{85FC9457-4FB0-4BEE-88A2-198F9A88F65B}"/>
    <hyperlink ref="H430" r:id="rId6537" xr:uid="{6F1E3C13-3EBB-4217-B81C-73D72561CE58}"/>
    <hyperlink ref="H431" r:id="rId6538" xr:uid="{0918AF07-180F-48EC-90AC-58A689180706}"/>
    <hyperlink ref="H434" r:id="rId6539" xr:uid="{52E3D354-E7F0-4337-8687-C9352B7DA5B2}"/>
    <hyperlink ref="H437" r:id="rId6540" xr:uid="{B6636812-2ED2-4EFD-BBAC-8E119E0F48AE}"/>
    <hyperlink ref="H438" r:id="rId6541" xr:uid="{7190357C-6CFF-4F36-9588-D21C7429808C}"/>
    <hyperlink ref="H439" r:id="rId6542" xr:uid="{53A320E0-9D5D-4FC7-B105-EC47635B8D74}"/>
    <hyperlink ref="H440" r:id="rId6543" xr:uid="{D5FABC63-9F6A-4DFD-B706-EF741CEF02AF}"/>
    <hyperlink ref="H441" r:id="rId6544" xr:uid="{2EA7F4D5-FF8E-4889-9D9F-97BA0DF1E4BC}"/>
    <hyperlink ref="H444" r:id="rId6545" xr:uid="{989842FB-8892-4A3C-B04E-01517FEF2A12}"/>
    <hyperlink ref="H448" r:id="rId6546" xr:uid="{E06F0A99-9B58-4794-AE81-695C4BC95A11}"/>
    <hyperlink ref="H449" r:id="rId6547" xr:uid="{9AD376BE-EC86-4877-A921-241B6665E70F}"/>
    <hyperlink ref="H452" r:id="rId6548" xr:uid="{41B81AFC-53D1-49CD-B633-938BA624D50E}"/>
    <hyperlink ref="H463" r:id="rId6549" xr:uid="{FDBAA5DD-37CC-4EDE-8984-95FAF7957823}"/>
    <hyperlink ref="H464" r:id="rId6550" xr:uid="{34C1A318-B76B-4C0B-943F-3721745DA951}"/>
    <hyperlink ref="H467" r:id="rId6551" xr:uid="{D947E60B-EA07-4DE4-BDEE-A7F0F8AE6ABF}"/>
    <hyperlink ref="H470" r:id="rId6552" xr:uid="{40530219-EAC3-4D7F-A3A0-756A8A488CB2}"/>
    <hyperlink ref="H471" r:id="rId6553" xr:uid="{32E0F674-F6AB-4DA2-9A6C-9D453F65A5BE}"/>
    <hyperlink ref="H475" r:id="rId6554" xr:uid="{9DA20694-9C3D-4851-89B3-A515452B3A8E}"/>
    <hyperlink ref="H476" r:id="rId6555" xr:uid="{940B80CF-6546-4CB7-9B9E-0D236DBC8D5B}"/>
    <hyperlink ref="H477" r:id="rId6556" xr:uid="{125FD03B-932C-48CF-8F8E-78E60E649264}"/>
    <hyperlink ref="H478" r:id="rId6557" xr:uid="{1CB6C078-0662-43E1-95A6-50205FFBC133}"/>
    <hyperlink ref="H480" r:id="rId6558" xr:uid="{5157CF59-8C29-4933-B2A3-0E5C16E23A22}"/>
    <hyperlink ref="H481" r:id="rId6559" xr:uid="{067D8C4C-BBE2-45E4-B690-DF9941E48825}"/>
    <hyperlink ref="H482" r:id="rId6560" xr:uid="{EE22CAD2-0832-4D7C-8FA0-10A8B2B782BB}"/>
    <hyperlink ref="H485" r:id="rId6561" xr:uid="{68EB24FC-5664-434F-8D3F-456865951BF1}"/>
    <hyperlink ref="H488" r:id="rId6562" xr:uid="{FA3C2740-945F-4715-8B86-88698616E11E}"/>
    <hyperlink ref="H489" r:id="rId6563" xr:uid="{8D134358-35BC-40D8-A7BA-1945C58151A9}"/>
    <hyperlink ref="H490" r:id="rId6564" xr:uid="{6CADBDF2-B958-4D5D-B9B2-1719FF559068}"/>
    <hyperlink ref="H493" r:id="rId6565" xr:uid="{8A96DC59-9C34-41A2-A4A7-3CD8F5D7E1F5}"/>
    <hyperlink ref="H494" r:id="rId6566" xr:uid="{EB6A4DE5-01BA-400B-83A5-73F984FDC1D8}"/>
    <hyperlink ref="H495" r:id="rId6567" xr:uid="{B0BFE72A-75C2-4815-8EB0-98218B4674ED}"/>
    <hyperlink ref="H496" r:id="rId6568" xr:uid="{B191A669-B490-464C-8C47-D0C66017F245}"/>
    <hyperlink ref="H497" r:id="rId6569" xr:uid="{C39BC136-47CB-4819-A500-53B27DC82A4A}"/>
    <hyperlink ref="H499" r:id="rId6570" xr:uid="{34357881-4B77-4484-9733-A2B99BCD54EE}"/>
    <hyperlink ref="H502" r:id="rId6571" xr:uid="{2FFF3349-A6A7-4CE7-91CA-77C88B30731C}"/>
    <hyperlink ref="H507" r:id="rId6572" xr:uid="{1741CF0B-71E2-4BA9-BB5B-D3DF18BA9E39}"/>
    <hyperlink ref="H511" r:id="rId6573" xr:uid="{B5B60DAF-0AB0-4D76-AED5-C9914ECD6E1B}"/>
    <hyperlink ref="H512" r:id="rId6574" xr:uid="{930CB5C3-715C-4540-8AE7-823BCCCD7FCC}"/>
    <hyperlink ref="H513" r:id="rId6575" xr:uid="{7A3387D9-7C78-4BF4-B3E0-8EFEC21DE48E}"/>
    <hyperlink ref="H515" r:id="rId6576" xr:uid="{D6DDBE00-66E9-4C8B-B383-85B636B33558}"/>
    <hyperlink ref="H516" r:id="rId6577" xr:uid="{4589D8D3-E95E-44FE-A9D3-B1277C14C466}"/>
    <hyperlink ref="H517" r:id="rId6578" xr:uid="{30BBB812-60E2-41BB-8086-1AAC43170156}"/>
    <hyperlink ref="H524" r:id="rId6579" xr:uid="{989516F7-A2A1-4029-8674-DC56BE549E71}"/>
    <hyperlink ref="H528" r:id="rId6580" xr:uid="{EF7DC0E7-39E7-411F-9C05-48CB2EBA14E7}"/>
    <hyperlink ref="H533" r:id="rId6581" xr:uid="{EFD26A7E-9C5D-4744-88C8-8D823492B4AD}"/>
    <hyperlink ref="H544" r:id="rId6582" xr:uid="{68E63F1D-026A-46F5-8CE7-989C7E72CDB1}"/>
    <hyperlink ref="H547" r:id="rId6583" xr:uid="{3837C3EE-4CD4-4135-B63A-AB393B837CDC}"/>
    <hyperlink ref="H548" r:id="rId6584" xr:uid="{7370A609-25E4-4D59-A8C9-D72BE629F727}"/>
    <hyperlink ref="H553" r:id="rId6585" xr:uid="{583DB6B2-0B60-40D9-A567-5E640B3F3F06}"/>
    <hyperlink ref="H562" r:id="rId6586" xr:uid="{2D361914-D682-41C0-A5F6-E77C44505781}"/>
    <hyperlink ref="H565" r:id="rId6587" xr:uid="{2202DD19-9E1D-48DA-BB34-8F9FE4130DF6}"/>
    <hyperlink ref="H566" r:id="rId6588" xr:uid="{E90DD7AC-73CF-422F-8ABD-161DC631AFC5}"/>
    <hyperlink ref="H568" r:id="rId6589" xr:uid="{C9F3C299-DE93-46C2-935D-F4027D1B9EC6}"/>
    <hyperlink ref="H570" r:id="rId6590" xr:uid="{ADB7530F-DA01-4E9E-876B-FDA2D099734B}"/>
    <hyperlink ref="H571" r:id="rId6591" xr:uid="{87846D11-2D7E-42CD-BA92-241411939DB7}"/>
    <hyperlink ref="H574" r:id="rId6592" xr:uid="{4B777B14-B206-427D-B20E-83966B22FBFB}"/>
    <hyperlink ref="H576" r:id="rId6593" xr:uid="{293823FC-173D-4F08-BADC-2CA5A57398CB}"/>
    <hyperlink ref="H578" r:id="rId6594" xr:uid="{CB574EB5-1E11-48E4-9A04-3E2C3C887751}"/>
    <hyperlink ref="H582" r:id="rId6595" xr:uid="{2DB0B032-DAF5-4AEE-A212-DC1D101A23EE}"/>
    <hyperlink ref="H587" r:id="rId6596" xr:uid="{EBA96FFB-D8E2-4647-B95A-9B741338ED9A}"/>
    <hyperlink ref="H590" r:id="rId6597" xr:uid="{307ED887-006E-4694-8E95-D2E0792CE991}"/>
    <hyperlink ref="H591" r:id="rId6598" xr:uid="{AAAA42E1-BB18-4E4C-8F14-5AE07A89F57F}"/>
    <hyperlink ref="H592" r:id="rId6599" xr:uid="{0DAC439B-F216-477D-813D-F677233350EF}"/>
    <hyperlink ref="H593" r:id="rId6600" xr:uid="{55C11811-70E2-4A6E-844F-5C7449A4D195}"/>
    <hyperlink ref="H595" r:id="rId6601" xr:uid="{1EE1BFC6-5DC7-4CCA-B579-47DDA7EF6B1A}"/>
    <hyperlink ref="H596" r:id="rId6602" xr:uid="{82D51D74-1B9C-4372-BA4A-35C6D27EEDEA}"/>
    <hyperlink ref="H597" r:id="rId6603" xr:uid="{18DC4C7F-AE57-4ED6-A14E-CBA8C2E232F9}"/>
    <hyperlink ref="H598" r:id="rId6604" xr:uid="{4DFB8440-AB12-481B-AFA6-16F24D0B098C}"/>
    <hyperlink ref="H599" r:id="rId6605" xr:uid="{3FBA53AB-8D59-4889-A39C-DA4F99035E29}"/>
    <hyperlink ref="H601" r:id="rId6606" xr:uid="{DDF855C3-8F2D-47F6-B46F-DAAE071FEC96}"/>
    <hyperlink ref="H604" r:id="rId6607" xr:uid="{D3ECA0F2-BEB4-4883-997E-C4A231898CFE}"/>
    <hyperlink ref="H606" r:id="rId6608" xr:uid="{82180C52-602B-43F3-BC49-88C0FB066F3B}"/>
    <hyperlink ref="H605" r:id="rId6609" xr:uid="{769A3076-A43A-44EE-9E37-107D57F593CA}"/>
    <hyperlink ref="H919" r:id="rId6610" xr:uid="{4E442CE9-002B-44F1-8604-800792B860A7}"/>
    <hyperlink ref="H917" r:id="rId6611" xr:uid="{3EA388C5-BDA1-4381-B3D1-7E0A9F013F9A}"/>
    <hyperlink ref="H916" r:id="rId6612" xr:uid="{58EF03CA-7FDF-4D1B-A8FF-43CF9C756EDB}"/>
    <hyperlink ref="H913" r:id="rId6613" xr:uid="{F1A08BAA-35DD-41A9-80B3-2A81251097CB}"/>
    <hyperlink ref="H898" r:id="rId6614" xr:uid="{6475178C-450B-4BDC-A1CE-92BB0CA25CAE}"/>
    <hyperlink ref="H897" r:id="rId6615" xr:uid="{7C336B37-EDD4-4D8E-93F6-D654FCBB294D}"/>
    <hyperlink ref="H895" r:id="rId6616" xr:uid="{1292D5EF-E09A-4CEF-9F3D-054D2E3C8EA8}"/>
    <hyperlink ref="H881" r:id="rId6617" xr:uid="{D0BA8E76-9BD7-4459-ACFF-3DDBF3D97D78}"/>
    <hyperlink ref="H880" r:id="rId6618" xr:uid="{3B45C9F0-1198-4E3D-9213-941900AB766A}"/>
    <hyperlink ref="H875" r:id="rId6619" xr:uid="{052EDEA0-F0F2-4E11-94E0-75CC0A5E4E45}"/>
    <hyperlink ref="H871" r:id="rId6620" xr:uid="{17B4E819-C4DD-4779-B2E9-5349BD42E609}"/>
    <hyperlink ref="H870" r:id="rId6621" xr:uid="{A1B67477-E8EA-4440-8A5F-FC16AA33D6DC}"/>
    <hyperlink ref="H869" r:id="rId6622" xr:uid="{E9B54D54-8405-4BC0-8EA0-0FA608848D45}"/>
    <hyperlink ref="H863" r:id="rId6623" xr:uid="{10B13174-DF70-4656-A115-EB4ED7E75476}"/>
    <hyperlink ref="H867" r:id="rId6624" xr:uid="{EF0A549A-20EE-49C3-B42C-92AD83157FB4}"/>
    <hyperlink ref="H862" r:id="rId6625" xr:uid="{0CC31B82-3122-4B00-A745-3B76541F74A7}"/>
    <hyperlink ref="H861" r:id="rId6626" xr:uid="{AA8FDD22-A2D5-4988-9C7F-69F829555B88}"/>
    <hyperlink ref="H860" r:id="rId6627" xr:uid="{1539336E-6ABF-46DC-8187-65C3804F9075}"/>
    <hyperlink ref="H859" r:id="rId6628" xr:uid="{F3FE9257-1A02-43D1-97A9-AB42C18E03BF}"/>
    <hyperlink ref="H858" r:id="rId6629" xr:uid="{BDD4A845-13C8-43C8-8FCF-8F905497EBF0}"/>
    <hyperlink ref="H857" r:id="rId6630" xr:uid="{FFCEC83D-2EE4-4224-AC3F-73EB2C5BE2CD}"/>
    <hyperlink ref="H854" r:id="rId6631" xr:uid="{03E475E1-D659-4EE4-B8B5-A4BDEC5D872D}"/>
    <hyperlink ref="H845" r:id="rId6632" xr:uid="{D57BAFEF-9750-4FBE-BC36-D8433EBE6ECA}"/>
    <hyperlink ref="H844" r:id="rId6633" xr:uid="{86CBF198-3FBA-4943-BBE8-AC58143DEC94}"/>
    <hyperlink ref="H838" r:id="rId6634" xr:uid="{90CEFE22-48A7-4211-8CE9-D255B50CACB7}"/>
    <hyperlink ref="H834" r:id="rId6635" xr:uid="{13E02726-CC90-4D1E-991A-5620563E61C4}"/>
    <hyperlink ref="H833" r:id="rId6636" xr:uid="{20E47AB2-D304-4C61-A7FC-80202F9B70F9}"/>
    <hyperlink ref="H830" r:id="rId6637" xr:uid="{2F4411DA-624C-4F90-B311-19F62F53A3B0}"/>
    <hyperlink ref="H829" r:id="rId6638" xr:uid="{373F3742-87D9-4358-AA96-7B3B3DD38B30}"/>
    <hyperlink ref="H827" r:id="rId6639" xr:uid="{C9A4CCDD-3CBF-4CE2-9036-4F7B412DF9C5}"/>
    <hyperlink ref="H825" r:id="rId6640" xr:uid="{D3DC58DC-28C6-40FD-AE5C-09B7DC29AFE8}"/>
    <hyperlink ref="H823" r:id="rId6641" xr:uid="{DE6C684C-A256-41A7-BC10-1F16BA356D52}"/>
    <hyperlink ref="H820" r:id="rId6642" xr:uid="{C57F7916-618B-4F71-905E-D3A3329C0142}"/>
    <hyperlink ref="H815" r:id="rId6643" xr:uid="{4232DA1C-F1E9-4E8C-A7E9-D3D9DBD40F8B}"/>
    <hyperlink ref="H813" r:id="rId6644" xr:uid="{B8D176DA-D759-4DF7-A705-0527294B5999}"/>
    <hyperlink ref="H812" r:id="rId6645" xr:uid="{10959B19-EFD9-4862-BCE3-F6D41A0D55E8}"/>
    <hyperlink ref="H801" r:id="rId6646" xr:uid="{ECCF2CCD-5A1F-430E-BE6E-AB206D445207}"/>
    <hyperlink ref="H800" r:id="rId6647" xr:uid="{F35605E7-AD1F-4A25-8590-D543AFEBB2B4}"/>
    <hyperlink ref="H799" r:id="rId6648" xr:uid="{52DF4D2D-048D-4E3A-9AAE-9A4155CC6BD7}"/>
    <hyperlink ref="H798" r:id="rId6649" xr:uid="{865219D5-332F-44B4-99A5-D81197AF4170}"/>
    <hyperlink ref="H796" r:id="rId6650" xr:uid="{76767584-0E60-4682-857D-0C986A31A742}"/>
    <hyperlink ref="H795" r:id="rId6651" xr:uid="{29AEC2DD-389E-44E6-B4EF-077B076704B0}"/>
    <hyperlink ref="H791" r:id="rId6652" xr:uid="{7D35C0DD-CFD0-47F3-AE44-E9C0EC302AC1}"/>
    <hyperlink ref="H776" r:id="rId6653" xr:uid="{B87D14C9-12E2-490E-AF06-89B60ECFD3A6}"/>
    <hyperlink ref="H775" r:id="rId6654" xr:uid="{E9A83E6F-9E9A-4BB2-A8FF-2F2701E5CF91}"/>
    <hyperlink ref="H773" r:id="rId6655" xr:uid="{AF925F4C-90E1-414C-9F72-1F97E167CBCA}"/>
    <hyperlink ref="H770" r:id="rId6656" xr:uid="{9B351897-0933-4EEB-9F34-B0CE97CA619E}"/>
    <hyperlink ref="H765" r:id="rId6657" xr:uid="{2D074A1C-48A2-468E-8AEF-5AD83D04521F}"/>
    <hyperlink ref="H762" r:id="rId6658" xr:uid="{9F67F00D-7035-4179-B0EA-C056CA668411}"/>
    <hyperlink ref="H740" r:id="rId6659" xr:uid="{72EEEDA7-20B3-4331-AB85-42173C244EF5}"/>
    <hyperlink ref="H737" r:id="rId6660" xr:uid="{757ABCF3-0C20-4E93-BBC0-3D98197A4F5C}"/>
    <hyperlink ref="H736" r:id="rId6661" xr:uid="{7DDBACAC-A12A-493A-BFB1-7076216FE5D4}"/>
    <hyperlink ref="H734" r:id="rId6662" xr:uid="{4AA68EA9-6AC5-4255-98C6-33FA433C64AE}"/>
    <hyperlink ref="H724" r:id="rId6663" xr:uid="{F5EA4BC2-8C66-4A72-B98A-A86E46D70D2C}"/>
    <hyperlink ref="H723" r:id="rId6664" xr:uid="{9B015622-28D7-4F35-BF2B-FC8A26DDE5ED}"/>
    <hyperlink ref="H718" r:id="rId6665" xr:uid="{79968FC1-9649-4664-892F-FDFFFF176C8F}"/>
    <hyperlink ref="H715" r:id="rId6666" xr:uid="{536AE493-5F9F-4A95-B5F8-8D89ED20A6E4}"/>
    <hyperlink ref="H713" r:id="rId6667" xr:uid="{D5C6F0E2-A866-4752-B6FA-02C17CAC4F4C}"/>
    <hyperlink ref="H706" r:id="rId6668" xr:uid="{D83BC3EC-A7D3-48C3-8013-7EE77527603B}"/>
    <hyperlink ref="H694" r:id="rId6669" xr:uid="{DDBE1503-EBC6-44AF-B12B-43DB3EF5712E}"/>
    <hyperlink ref="H692" r:id="rId6670" xr:uid="{7C36547D-3A95-47D0-BE69-44E55B69AF57}"/>
    <hyperlink ref="H691" r:id="rId6671" xr:uid="{511058B8-B4B5-47AD-ADE9-FFFD0A71F975}"/>
    <hyperlink ref="H690" r:id="rId6672" xr:uid="{F8600C23-CC52-4095-B28D-BE1C7EAEFA32}"/>
    <hyperlink ref="H688" r:id="rId6673" xr:uid="{E1563176-42CE-4B47-B438-402DF4103568}"/>
    <hyperlink ref="H683" r:id="rId6674" xr:uid="{20E782EC-AC8F-46B0-B96D-3373B5561308}"/>
    <hyperlink ref="H682" r:id="rId6675" xr:uid="{B8F906ED-FD91-4BC2-9C79-D5EA64D8636B}"/>
    <hyperlink ref="H675" r:id="rId6676" xr:uid="{4CD08CC6-92DF-44F7-A8D6-4BC2E36A43FD}"/>
    <hyperlink ref="H678" r:id="rId6677" xr:uid="{1BE0ED64-0EFB-4918-9AEC-D9649A79BC72}"/>
    <hyperlink ref="H676" r:id="rId6678" xr:uid="{4DC1B1FA-A415-4BDE-82BD-73AABD134158}"/>
    <hyperlink ref="H664" r:id="rId6679" xr:uid="{E8A8FB07-2D74-46D2-8CF4-1D96076C5307}"/>
    <hyperlink ref="H663" r:id="rId6680" xr:uid="{13FE9B7B-A7D1-420B-8FA7-0031D2EEFF1B}"/>
    <hyperlink ref="H660" r:id="rId6681" xr:uid="{D0F7EB37-70A5-4081-8444-D7B3C5DA2992}"/>
    <hyperlink ref="H658" r:id="rId6682" xr:uid="{2A44F10E-4151-40C4-856D-39CE02F0C5C5}"/>
    <hyperlink ref="H657" r:id="rId6683" xr:uid="{DD92C1C5-AB62-4D02-8DDF-9BE072271859}"/>
    <hyperlink ref="H655" r:id="rId6684" xr:uid="{6D00DB55-60B4-40BF-A6CF-B3BDD1522C58}"/>
    <hyperlink ref="H643" r:id="rId6685" xr:uid="{A0DE8EE3-645C-4404-B126-CA086C065ECD}"/>
    <hyperlink ref="H641" r:id="rId6686" xr:uid="{544584B5-662E-4364-BB23-A74D2B4C04C6}"/>
    <hyperlink ref="H638" r:id="rId6687" xr:uid="{E59369DA-4EF2-46C0-83C0-6E5FC0370CB8}"/>
    <hyperlink ref="H635" r:id="rId6688" xr:uid="{A0614846-20D6-4F2E-B923-097A388991B3}"/>
    <hyperlink ref="H634" r:id="rId6689" xr:uid="{B71FA1B1-E2A8-4999-ADEF-45F6AA76E41B}"/>
    <hyperlink ref="H633" r:id="rId6690" xr:uid="{D0B5C3D5-9AD5-4F60-BA3B-B5F41FC11738}"/>
    <hyperlink ref="H631" r:id="rId6691" xr:uid="{FB7DB5B8-3C07-4EC8-8065-C14D7E556254}"/>
    <hyperlink ref="H629" r:id="rId6692" xr:uid="{D7A079C2-302E-427C-89E4-CB2CAF648D7F}"/>
    <hyperlink ref="H628" r:id="rId6693" xr:uid="{2BE6F9B0-98E6-4B82-A7EE-5A3D79908719}"/>
    <hyperlink ref="H625" r:id="rId6694" xr:uid="{18B24975-C025-407A-94B2-8FAEB6479AA9}"/>
    <hyperlink ref="H621" r:id="rId6695" xr:uid="{7BF96F8F-04F0-44D2-A232-5DF25243367F}"/>
    <hyperlink ref="H620" r:id="rId6696" xr:uid="{0C129E0B-F406-47F4-8795-20AB42883F62}"/>
    <hyperlink ref="H619" r:id="rId6697" xr:uid="{9C261E6B-E6FD-44CE-AA9D-E89FFADA8319}"/>
    <hyperlink ref="H618" r:id="rId6698" xr:uid="{CAC19B74-5B30-47D4-892B-60905CFB2065}"/>
    <hyperlink ref="H617" r:id="rId6699" xr:uid="{392ADDC1-3048-460F-9435-A0A8B19902E5}"/>
    <hyperlink ref="H603" r:id="rId6700" xr:uid="{07CE6C47-4A4A-417A-9A47-2A9E90EB07FF}"/>
    <hyperlink ref="H600" r:id="rId6701" xr:uid="{5F929250-8E1D-405A-AE86-98D460D65079}"/>
    <hyperlink ref="H594" r:id="rId6702" xr:uid="{A7A32B7E-CD1E-49C5-85DA-D4213819FD5B}"/>
    <hyperlink ref="H586" r:id="rId6703" xr:uid="{D7A76F82-54DB-4798-A14A-75A0F9B1E122}"/>
    <hyperlink ref="H584" r:id="rId6704" xr:uid="{DCC89D17-90A5-4439-BBA7-9642CF38A4F0}"/>
    <hyperlink ref="H580" r:id="rId6705" xr:uid="{850F9475-D5ED-400A-B94D-5AF4BBC794AF}"/>
    <hyperlink ref="H579" r:id="rId6706" xr:uid="{C06EB9E0-D372-4B21-BCF3-FE84B027A835}"/>
    <hyperlink ref="H577" r:id="rId6707" xr:uid="{60768E4C-FE36-4E17-924F-0603B1CCD7AB}"/>
    <hyperlink ref="H575" r:id="rId6708" xr:uid="{67B51055-7519-4BFB-81BB-337D8EF7236F}"/>
    <hyperlink ref="H567" r:id="rId6709" xr:uid="{92913BC3-A28C-4ED1-AB77-A70DF0DB10CD}"/>
    <hyperlink ref="H564" r:id="rId6710" xr:uid="{FB723AD3-E27B-45C7-8DAC-1C1D44FE9952}"/>
    <hyperlink ref="H563" r:id="rId6711" xr:uid="{86221770-F3F6-4B46-AB16-4362C193BBF7}"/>
    <hyperlink ref="H559" r:id="rId6712" xr:uid="{CDEB8A1F-CB54-4BCF-9FEB-FD9A8A558DC9}"/>
    <hyperlink ref="H560" r:id="rId6713" xr:uid="{614A908A-0040-41EB-B3E6-92890F759389}"/>
    <hyperlink ref="H556" r:id="rId6714" xr:uid="{0D4AED52-8186-4482-B5CF-F720A659BDB8}"/>
    <hyperlink ref="H555" r:id="rId6715" xr:uid="{1B11C6D1-D48C-4557-B6F1-1D9537A5B209}"/>
    <hyperlink ref="H554" r:id="rId6716" xr:uid="{38017FFC-8947-4D85-86A8-25626EB74CC6}"/>
    <hyperlink ref="H552" r:id="rId6717" xr:uid="{FFB55244-132F-4DB6-9005-AE7D654D84EE}"/>
    <hyperlink ref="H550" r:id="rId6718" xr:uid="{70583160-DFC2-4314-8E15-3C1016BCDB2C}"/>
    <hyperlink ref="H549" r:id="rId6719" xr:uid="{89CF4690-8EF8-4E5A-A7FF-54E163CEA1B0}"/>
    <hyperlink ref="H546" r:id="rId6720" xr:uid="{1443112A-4EFD-48F9-9898-AC79CD6F6528}"/>
    <hyperlink ref="H545" r:id="rId6721" xr:uid="{F823274D-01A6-4B84-BC1E-99BC1FC92AF5}"/>
    <hyperlink ref="H543" r:id="rId6722" xr:uid="{8E2A6FFA-F9FB-4442-B989-3F11818A5417}"/>
    <hyperlink ref="H542" r:id="rId6723" xr:uid="{C9538721-E0E3-4041-B177-D49630201ECF}"/>
    <hyperlink ref="H540" r:id="rId6724" xr:uid="{E6681037-10FD-4FA4-834C-5CCB0EAD692A}"/>
    <hyperlink ref="H539" r:id="rId6725" xr:uid="{DC06FF4B-58AF-42AB-80B6-1A2C6EA9014A}"/>
    <hyperlink ref="H535" r:id="rId6726" xr:uid="{FEFC588E-72A5-44BC-9A9D-F1320696968C}"/>
    <hyperlink ref="H534" r:id="rId6727" xr:uid="{F12AE133-94C8-4598-853F-1CB7DEDC37B1}"/>
    <hyperlink ref="H531" r:id="rId6728" xr:uid="{96ADDABB-AA1B-41F8-8BE4-99F5FDEF5895}"/>
    <hyperlink ref="H530" r:id="rId6729" xr:uid="{9DCF6F67-5F62-469B-B0B5-65B5BAFB8BBA}"/>
    <hyperlink ref="H529" r:id="rId6730" xr:uid="{DE0BFCED-1013-4EC0-8359-BF0BE8A1D2C2}"/>
    <hyperlink ref="H523" r:id="rId6731" xr:uid="{0694C5F8-80DA-4A46-BF5B-27404DD99B61}"/>
    <hyperlink ref="H520" r:id="rId6732" xr:uid="{461D523C-B0A6-4461-87B3-6B361B6AB8A7}"/>
    <hyperlink ref="H519" r:id="rId6733" xr:uid="{5DC53868-4CA1-40A1-9786-39CEE18A775D}"/>
    <hyperlink ref="H514" r:id="rId6734" xr:uid="{BE80275D-5C66-44D5-8BDD-505AE2777E3B}"/>
    <hyperlink ref="H510" r:id="rId6735" xr:uid="{D200E41D-A871-44BA-A075-58BACD8494E9}"/>
    <hyperlink ref="H509" r:id="rId6736" xr:uid="{F37D2940-D6E7-41F9-B27A-0BC8CC6E65E9}"/>
    <hyperlink ref="H505" r:id="rId6737" xr:uid="{27AFE7FE-DE27-4B67-A442-B1210548E844}"/>
    <hyperlink ref="H503" r:id="rId6738" xr:uid="{F1F1FEC8-2696-440E-9A2B-D8CCB77EFE2B}"/>
    <hyperlink ref="H501" r:id="rId6739" xr:uid="{E55B9CF1-8318-4FD5-8604-188EA0374531}"/>
    <hyperlink ref="H500" r:id="rId6740" xr:uid="{53C3265F-1342-46B8-9744-CD0F9564C279}"/>
    <hyperlink ref="H492" r:id="rId6741" xr:uid="{5E173E32-BD03-46DB-8180-C1263B3A3192}"/>
    <hyperlink ref="H491" r:id="rId6742" xr:uid="{549FC412-75A3-4DBD-B79B-FD59798F54F1}"/>
    <hyperlink ref="H487" r:id="rId6743" xr:uid="{D20FB705-929E-4E6C-88FE-23854921DC13}"/>
    <hyperlink ref="H483" r:id="rId6744" xr:uid="{78EDB214-3D0D-408C-8266-D15239148087}"/>
    <hyperlink ref="H474" r:id="rId6745" xr:uid="{1B308E6C-DD1D-4C46-80B6-D898FB101626}"/>
    <hyperlink ref="H468" r:id="rId6746" xr:uid="{80FC30C1-960B-49D3-8738-4E81FBA71B3E}"/>
    <hyperlink ref="H461" r:id="rId6747" xr:uid="{EF159255-E4EC-4F04-85EF-8DCD8C660020}"/>
    <hyperlink ref="H459" r:id="rId6748" xr:uid="{511A4E29-EE91-4AD1-B8CE-0C0E87E6A8E6}"/>
    <hyperlink ref="H457" r:id="rId6749" xr:uid="{AE6F4DB4-895D-40AC-9F93-AEC9FA038A45}"/>
    <hyperlink ref="H453" r:id="rId6750" xr:uid="{4A4F325A-4A7C-4020-86C1-3A9B5754B0EB}"/>
    <hyperlink ref="H446" r:id="rId6751" xr:uid="{43D2E955-D5B5-42F0-9BFB-862FA41A476C}"/>
    <hyperlink ref="H445" r:id="rId6752" xr:uid="{05E36366-D7CB-4D5C-8FF7-87695A490487}"/>
    <hyperlink ref="H442" r:id="rId6753" xr:uid="{64FE73F9-E1CC-4129-AA2B-A6FD42F4E2F6}"/>
    <hyperlink ref="H435" r:id="rId6754" xr:uid="{2583710B-6C24-4755-90F3-6AD86F89CC80}"/>
    <hyperlink ref="H433" r:id="rId6755" xr:uid="{734148E4-6456-481C-BC15-895816938B43}"/>
    <hyperlink ref="H429" r:id="rId6756" xr:uid="{7DD82169-9ECF-45E5-9FB0-DC7DD64749F6}"/>
    <hyperlink ref="H428" r:id="rId6757" xr:uid="{CDED380C-A2E5-42A0-AD5B-40186BFA4D96}"/>
    <hyperlink ref="H427" r:id="rId6758" xr:uid="{6191CDB2-F4CC-48D2-B320-5793A242E9D0}"/>
    <hyperlink ref="H425" r:id="rId6759" xr:uid="{868623A9-F1EE-4C59-BA4F-6D05B50379B7}"/>
    <hyperlink ref="H421" r:id="rId6760" xr:uid="{CBBE3182-9F6F-41ED-B3A1-875E9B208077}"/>
    <hyperlink ref="H417" r:id="rId6761" xr:uid="{A649511D-8DA6-4E51-8C14-53D6EFCD3942}"/>
    <hyperlink ref="H409" r:id="rId6762" xr:uid="{56415E19-B40E-412B-9B52-855960702F23}"/>
    <hyperlink ref="H408" r:id="rId6763" xr:uid="{B15CEFAB-1947-431E-9F8B-8EFE829BEA8A}"/>
    <hyperlink ref="H407" r:id="rId6764" xr:uid="{6F113BDF-6A97-46A8-B2D3-D2075EE441ED}"/>
    <hyperlink ref="H406" r:id="rId6765" xr:uid="{BFCCCD46-47C7-4435-9745-EAF6DCF07F2C}"/>
    <hyperlink ref="H405" r:id="rId6766" xr:uid="{2D1E4659-1693-43AB-A219-6334F5281F99}"/>
    <hyperlink ref="H404" r:id="rId6767" xr:uid="{90C8AC1F-919B-4D1C-82FA-47FEE6B275DC}"/>
    <hyperlink ref="H402" r:id="rId6768" xr:uid="{9EEC756B-A564-4F19-8D30-4A0ACCBA2ACD}"/>
    <hyperlink ref="H400" r:id="rId6769" xr:uid="{8E509925-C4F4-4321-90DA-7720ECD7EC68}"/>
    <hyperlink ref="H399" r:id="rId6770" xr:uid="{DF239DE7-C1A7-4C8C-9AC7-7E1EE87608DF}"/>
    <hyperlink ref="H398" r:id="rId6771" xr:uid="{E43BFE8E-AFA1-487D-AA7D-5D1B4EED1EB7}"/>
    <hyperlink ref="H394" r:id="rId6772" xr:uid="{DC07F9EE-109E-452B-8F53-9AEFFCB28266}"/>
    <hyperlink ref="H389" r:id="rId6773" xr:uid="{DF632F99-C8A2-4D5E-A3C8-651B8500F17C}"/>
    <hyperlink ref="H381" r:id="rId6774" xr:uid="{0547CAF6-C75D-4A0A-AFE6-F9AB8CCD1BF6}"/>
    <hyperlink ref="H380" r:id="rId6775" xr:uid="{5A8E9B3B-1583-4DE7-B02B-048487623D12}"/>
    <hyperlink ref="H374" r:id="rId6776" xr:uid="{B7D46718-8EEE-4C87-976B-21D902BA08E9}"/>
    <hyperlink ref="H369" r:id="rId6777" xr:uid="{9AD41B97-378A-4EE3-B0FE-33AF078843B1}"/>
    <hyperlink ref="H368" r:id="rId6778" xr:uid="{C32E536A-5D51-4E9B-AF84-4F923E07604C}"/>
    <hyperlink ref="H363" r:id="rId6779" xr:uid="{4ABC053C-9C0F-4F52-A787-58892B7BC513}"/>
    <hyperlink ref="H360" r:id="rId6780" xr:uid="{CC86EE9F-886E-4E80-B45B-E9849C4793DA}"/>
    <hyperlink ref="H359" r:id="rId6781" xr:uid="{B2DC2708-020F-4ABB-9803-FA1680A9D739}"/>
    <hyperlink ref="H348" r:id="rId6782" xr:uid="{DD5C54FA-196C-4928-905B-0847D52FC30D}"/>
    <hyperlink ref="H345" r:id="rId6783" xr:uid="{100148BD-CC2C-4D26-9813-1397AB7B3F0B}"/>
    <hyperlink ref="H338" r:id="rId6784" xr:uid="{7783A5A0-CB88-4090-BA96-31D0DF41F054}"/>
    <hyperlink ref="H332" r:id="rId6785" xr:uid="{F020F3AC-C772-4C69-AFB7-6598BC134C58}"/>
    <hyperlink ref="H328" r:id="rId6786" xr:uid="{66253D53-99CC-4C6B-A4D0-92DE4C4E42FF}"/>
    <hyperlink ref="H326" r:id="rId6787" xr:uid="{8EFC9661-5F7D-45A5-B570-40506B9F72D1}"/>
    <hyperlink ref="H317" r:id="rId6788" xr:uid="{EAE373DE-F138-47B4-AE1D-9F902A5D5ECC}"/>
    <hyperlink ref="H310" r:id="rId6789" xr:uid="{FFB7CFC0-D90E-4B62-90F0-7CEE553A74B1}"/>
    <hyperlink ref="H309" r:id="rId6790" xr:uid="{F7537AA1-598A-4945-AC60-84AA5271626C}"/>
    <hyperlink ref="H307" r:id="rId6791" xr:uid="{72CBD3DB-18E0-490E-BA6C-001FF1B3FCF6}"/>
    <hyperlink ref="H303" r:id="rId6792" xr:uid="{AA2DCEC3-32DD-4111-B798-20BA2098D58E}"/>
    <hyperlink ref="H298" r:id="rId6793" xr:uid="{1482D7FF-8F90-48F0-98EC-35A8BC8F1C99}"/>
    <hyperlink ref="H295" r:id="rId6794" xr:uid="{0B7E11F6-06A4-4CB1-B559-C140D218BD2E}"/>
    <hyperlink ref="H288" r:id="rId6795" xr:uid="{80D5EA57-C41F-4513-88EC-8050FE0D1213}"/>
    <hyperlink ref="H281" r:id="rId6796" xr:uid="{7B49EBF6-5DF1-431E-803D-09513AD89925}"/>
    <hyperlink ref="H277" r:id="rId6797" xr:uid="{DFD930DF-3D4C-4B4D-81E5-C6B90B948F30}"/>
    <hyperlink ref="H272" r:id="rId6798" xr:uid="{6CAAF4DE-E014-4D54-9D4D-0DA110A2F522}"/>
    <hyperlink ref="H262" r:id="rId6799" xr:uid="{6436BA23-E1C2-4C08-BFAC-4717DE5A5F3D}"/>
    <hyperlink ref="H260" r:id="rId6800" xr:uid="{78E50C3C-DB23-44B6-A9D7-9DD65F370FFC}"/>
    <hyperlink ref="H259" r:id="rId6801" xr:uid="{97A2D0D6-244D-4566-BDD7-EDDD12C1D030}"/>
    <hyperlink ref="H257" r:id="rId6802" xr:uid="{C5705004-FCEE-4511-89E2-B31D8D36AC7D}"/>
    <hyperlink ref="H254" r:id="rId6803" xr:uid="{2B0A2AB0-E0DC-4FBD-AD00-3B79B0ACBB2E}"/>
    <hyperlink ref="H253" r:id="rId6804" xr:uid="{A4F60E58-2757-4840-ADCA-6FC81A776224}"/>
    <hyperlink ref="H250" r:id="rId6805" xr:uid="{96111775-C343-4922-A3B6-509D62E8213C}"/>
    <hyperlink ref="H243" r:id="rId6806" xr:uid="{FD559485-5799-4093-B63D-B73730B6808A}"/>
    <hyperlink ref="H242" r:id="rId6807" xr:uid="{33268740-42A9-47CB-9C43-F32777DB1DA1}"/>
    <hyperlink ref="H241" r:id="rId6808" xr:uid="{B85CFCE2-E592-4EAD-A04B-ACF6489F4E71}"/>
    <hyperlink ref="H240" r:id="rId6809" xr:uid="{192BCAB8-15BE-4F2B-814D-DD479D68484D}"/>
    <hyperlink ref="H239" r:id="rId6810" xr:uid="{AACAC8D0-2198-432C-A070-1925E3802615}"/>
    <hyperlink ref="H237" r:id="rId6811" xr:uid="{EDBCD410-D278-43E2-88C8-42FA39319344}"/>
    <hyperlink ref="H232" r:id="rId6812" xr:uid="{256A4F15-5C1A-4D67-91C1-6C5D86850562}"/>
    <hyperlink ref="H218" r:id="rId6813" xr:uid="{9BD209D7-7109-466C-9ECD-0FA4C6D71BA5}"/>
    <hyperlink ref="H215" r:id="rId6814" xr:uid="{294F0703-11DF-4EFE-9DC0-4013A50293FB}"/>
    <hyperlink ref="H211" r:id="rId6815" xr:uid="{971ECCE6-3C33-429B-BE3F-9869716C0A80}"/>
    <hyperlink ref="H208" r:id="rId6816" xr:uid="{0E1CF617-17E0-41DD-9EA6-D5FF78A599F9}"/>
    <hyperlink ref="H206" r:id="rId6817" xr:uid="{4454AE44-CC73-41A9-B3AA-46A8CC80DFFF}"/>
    <hyperlink ref="H200" r:id="rId6818" xr:uid="{1853C1D9-6500-4E38-B16B-939E0FF3D05C}"/>
    <hyperlink ref="H196" r:id="rId6819" xr:uid="{5BDE3ADF-63DF-4167-B04F-560CBC0E8D92}"/>
    <hyperlink ref="H195" r:id="rId6820" xr:uid="{CDA28E79-B206-452E-B307-DB3D408957E4}"/>
    <hyperlink ref="H194" r:id="rId6821" xr:uid="{512C9288-1031-447D-A9BE-A9DFF054C7AE}"/>
    <hyperlink ref="H193" r:id="rId6822" xr:uid="{4CC371D7-15A1-451C-8E4C-AE85DE56388B}"/>
    <hyperlink ref="H192" r:id="rId6823" xr:uid="{74FD9DC9-4BE8-4B3B-8E0E-27B20A36D39D}"/>
    <hyperlink ref="H184" r:id="rId6824" xr:uid="{1593DF72-A05D-458D-9BCC-30E53E5A56D4}"/>
    <hyperlink ref="H183" r:id="rId6825" xr:uid="{FC65711A-D1B4-4D59-BDC9-CA041DE3A75C}"/>
    <hyperlink ref="H171" r:id="rId6826" xr:uid="{85573209-4881-40CA-A0BE-6FDED90D72AE}"/>
    <hyperlink ref="H169" r:id="rId6827" xr:uid="{691035F8-BA6E-4518-9A86-E7ED610B1A85}"/>
    <hyperlink ref="H165" r:id="rId6828" xr:uid="{27DE2187-966B-47BA-ADC1-958DA4A82458}"/>
    <hyperlink ref="H162" r:id="rId6829" xr:uid="{8E752AAA-33BA-4563-BA72-D766C1C83FC4}"/>
    <hyperlink ref="H160" r:id="rId6830" xr:uid="{5E81E295-AE24-4FD6-9494-DD4E6106549B}"/>
    <hyperlink ref="H158" r:id="rId6831" xr:uid="{88D4CF85-1EF5-48B2-8481-542819C7E33C}"/>
    <hyperlink ref="H156" r:id="rId6832" xr:uid="{4A388DEC-9734-41CF-945B-24AB4095A5C6}"/>
    <hyperlink ref="H154" r:id="rId6833" xr:uid="{B6A5E463-3675-4B89-8B3C-12661C4CD2ED}"/>
    <hyperlink ref="H153" r:id="rId6834" xr:uid="{D4A232A6-D4E6-4840-B891-B37EA0032A47}"/>
    <hyperlink ref="H152" r:id="rId6835" xr:uid="{48D65FD8-6215-4B1E-A0AA-8AC73E940DB5}"/>
    <hyperlink ref="H151" r:id="rId6836" xr:uid="{494DC00E-60D4-4919-A591-970480729C31}"/>
    <hyperlink ref="H150" r:id="rId6837" xr:uid="{44F45706-7E9F-4480-ADE1-DA2045D22796}"/>
    <hyperlink ref="H149" r:id="rId6838" xr:uid="{CF547B2A-D8CD-4F80-8820-509D8846F150}"/>
    <hyperlink ref="H145" r:id="rId6839" xr:uid="{D7DBFDD0-3D6D-4576-B47D-D2FE4FF12707}"/>
    <hyperlink ref="H142" r:id="rId6840" xr:uid="{A30C1CB4-39B3-472E-BA8A-B38B8E2CF6A2}"/>
    <hyperlink ref="H140" r:id="rId6841" xr:uid="{5B308894-D8BE-4BE4-AF2D-31978270D057}"/>
    <hyperlink ref="H136" r:id="rId6842" xr:uid="{67C3FB20-260C-48E9-B4BF-75A6B649D619}"/>
    <hyperlink ref="H134" r:id="rId6843" xr:uid="{DFFFCC2B-36F7-4EEA-B01E-503A70B65859}"/>
    <hyperlink ref="H128" r:id="rId6844" xr:uid="{75F74400-2F45-48FC-95A5-EBC2F72FF4C2}"/>
    <hyperlink ref="H121" r:id="rId6845" xr:uid="{B1413356-F215-42EC-8A14-38E20D4987CC}"/>
    <hyperlink ref="H120" r:id="rId6846" xr:uid="{8300418A-1296-4714-885D-26D3BC0DE007}"/>
    <hyperlink ref="H118" r:id="rId6847" xr:uid="{85BD100B-5A3D-42FD-A4FD-2C0EF41B6175}"/>
    <hyperlink ref="H105" r:id="rId6848" xr:uid="{475F4BD8-D446-48FC-BDBD-08CF624E17A0}"/>
    <hyperlink ref="H93" r:id="rId6849" xr:uid="{4E40BA82-D363-4EBC-B1B3-AC9C2F716B7B}"/>
    <hyperlink ref="H90" r:id="rId6850" xr:uid="{4A2E5041-DE07-4D89-9394-C23976DEB3C9}"/>
    <hyperlink ref="H88" r:id="rId6851" xr:uid="{5C972A85-A511-40A3-91CB-3F58DD52D9BD}"/>
    <hyperlink ref="H82" r:id="rId6852" xr:uid="{EF26D035-5BDC-4F3D-BA12-70D081678DEB}"/>
    <hyperlink ref="H81" r:id="rId6853" xr:uid="{06EE3A04-851A-4284-8F95-5602BEF65A60}"/>
    <hyperlink ref="H79" r:id="rId6854" xr:uid="{C78AA7DD-839A-429B-832B-7A21459B5FCD}"/>
    <hyperlink ref="H77" r:id="rId6855" xr:uid="{6344538B-67A6-4409-8B64-0BA1030606A6}"/>
    <hyperlink ref="H75" r:id="rId6856" xr:uid="{AD1E8BCF-5F20-4E73-802E-254B04B17A94}"/>
    <hyperlink ref="H74" r:id="rId6857" xr:uid="{0F6B65BE-BA4A-4C31-AE1F-FB3EC8234D5D}"/>
    <hyperlink ref="H73" r:id="rId6858" xr:uid="{CD58FCF2-E068-4817-B27B-D072F70E486D}"/>
    <hyperlink ref="H70" r:id="rId6859" xr:uid="{827C6093-D1FD-4C0D-8E20-7568AF0C8F97}"/>
    <hyperlink ref="H68" r:id="rId6860" xr:uid="{7731EA95-CB26-4FD6-B991-871E544EB6C6}"/>
    <hyperlink ref="H67" r:id="rId6861" xr:uid="{86DAF5A9-BD3D-4857-BDBB-15352D2E3B71}"/>
    <hyperlink ref="H61" r:id="rId6862" xr:uid="{F041E4EB-9433-495D-8637-FF055490A22F}"/>
    <hyperlink ref="H42" r:id="rId6863" xr:uid="{6236B073-59B0-4835-ADD6-3FCDB467A4D4}"/>
    <hyperlink ref="H37" r:id="rId6864" xr:uid="{FCFF75D8-7E0E-449C-AA10-89D32C542993}"/>
    <hyperlink ref="H35" r:id="rId6865" xr:uid="{A209B703-3B7A-45F8-945B-C64E96E7DA4B}"/>
    <hyperlink ref="H22" r:id="rId6866" xr:uid="{9894B3C3-FF6F-4649-8136-612B308B6CA0}"/>
    <hyperlink ref="H921" r:id="rId6867" xr:uid="{5D054CA9-D65A-449F-8018-E35853CC50B3}"/>
    <hyperlink ref="H920" r:id="rId6868" xr:uid="{FD555956-CFC8-4AB8-B454-7E777FBA7546}"/>
    <hyperlink ref="H908" r:id="rId6869" xr:uid="{B4A9D9C9-CEFD-4F75-8426-BC53BC667387}"/>
    <hyperlink ref="H905" r:id="rId6870" xr:uid="{0A23936F-81A9-470D-BBD6-10773E4F59E6}"/>
    <hyperlink ref="H891" r:id="rId6871" xr:uid="{15790FA5-AC49-4CA3-9269-D657BA05DBDF}"/>
    <hyperlink ref="H890" r:id="rId6872" xr:uid="{9F5A6AE2-1027-459B-8C1E-6886D848D1E2}"/>
    <hyperlink ref="H882" r:id="rId6873" xr:uid="{BB147BD9-E632-41F4-BBB3-1E7F4959A83C}"/>
    <hyperlink ref="H879" r:id="rId6874" xr:uid="{17DF2491-4DD0-4C13-ACF2-72BFD3E2A7C3}"/>
    <hyperlink ref="H876" r:id="rId6875" xr:uid="{C86EC193-D353-49C4-B64B-E9B9CF6969EA}"/>
    <hyperlink ref="H864" r:id="rId6876" xr:uid="{D407710E-B52D-42B9-92B6-48F1C022585F}"/>
    <hyperlink ref="H856" r:id="rId6877" xr:uid="{862F5EAD-3AEB-4C79-AA61-DDD566E650DF}"/>
    <hyperlink ref="H835" r:id="rId6878" xr:uid="{CFE5AEDD-C82B-499F-90C9-A53C90194DA8}"/>
    <hyperlink ref="H832" r:id="rId6879" xr:uid="{8F11ACCC-0E70-4752-9FA5-E88DC32C4490}"/>
    <hyperlink ref="H828" r:id="rId6880" xr:uid="{869E37D7-2AF0-490E-B345-1D863A3A79A3}"/>
    <hyperlink ref="H826" r:id="rId6881" xr:uid="{0CF3DFC8-90BD-43D9-851F-89650A03EF83}"/>
    <hyperlink ref="H821" r:id="rId6882" xr:uid="{8FCF9ECF-185F-43EB-A6E6-EC056C35CA27}"/>
    <hyperlink ref="H811" r:id="rId6883" xr:uid="{8AC6E544-DB96-472D-B072-24C6A147AA08}"/>
    <hyperlink ref="H781" r:id="rId6884" xr:uid="{5BC97CC2-46C0-4EF3-80B0-63351DFC7711}"/>
    <hyperlink ref="H778" r:id="rId6885" xr:uid="{DA88243F-72E0-442A-B54E-6A1C3CEB0BEC}"/>
    <hyperlink ref="H771" r:id="rId6886" xr:uid="{F7A167E9-CD61-4643-9617-7FF758394D0D}"/>
    <hyperlink ref="H769" r:id="rId6887" xr:uid="{CAC596C8-EC5C-438F-8C3D-D56E68BB54FF}"/>
    <hyperlink ref="H768" r:id="rId6888" xr:uid="{64309082-FE87-4A8A-AAD5-1521E5D4E80A}"/>
    <hyperlink ref="H764" r:id="rId6889" xr:uid="{02A9D019-04C1-45BA-B986-29DD363BDD0D}"/>
    <hyperlink ref="H763" r:id="rId6890" xr:uid="{4C29B980-D1C0-453E-A1D5-9E43425B657B}"/>
    <hyperlink ref="H738" r:id="rId6891" xr:uid="{E4E89B33-C58D-4CB3-927D-848865B6460B}"/>
    <hyperlink ref="H735" r:id="rId6892" xr:uid="{008923DE-82F7-4C35-AC27-975BF42CFBD6}"/>
    <hyperlink ref="H719" r:id="rId6893" xr:uid="{609CDD38-1C81-4B2B-96AD-157B8A85AE9E}"/>
    <hyperlink ref="H704" r:id="rId6894" xr:uid="{C340520F-1CC0-4240-909D-B15FB24FAA51}"/>
    <hyperlink ref="H696" r:id="rId6895" xr:uid="{F1EC5A1F-400B-4F9D-B113-53955D326402}"/>
    <hyperlink ref="H695" r:id="rId6896" xr:uid="{14B8EAFD-1AD9-4266-A9AD-8A2F9C9F4BCE}"/>
    <hyperlink ref="H689" r:id="rId6897" xr:uid="{41F25FEB-7F9E-4671-84A3-AA943D29FFBC}"/>
    <hyperlink ref="H684" r:id="rId6898" xr:uid="{F173A620-C342-40B3-AB94-99E91E6463A6}"/>
    <hyperlink ref="H681" r:id="rId6899" xr:uid="{634F4B14-81C1-4EE7-B9FE-11D4D68A72F8}"/>
    <hyperlink ref="H679" r:id="rId6900" xr:uid="{67EB784E-ECFE-4DB8-8075-AA41B79A0E82}"/>
    <hyperlink ref="H665" r:id="rId6901" xr:uid="{8F39FEEE-D86B-488E-8D79-AB77D8078628}"/>
    <hyperlink ref="H661" r:id="rId6902" xr:uid="{D93D3419-1A91-4D95-A32F-C59E15A70E9E}"/>
    <hyperlink ref="H656" r:id="rId6903" xr:uid="{8F79DD57-94E4-4683-A936-AA8537285C7D}"/>
    <hyperlink ref="H649" r:id="rId6904" xr:uid="{7B3C288B-96DD-4F7D-B60C-D157B3093CC6}"/>
    <hyperlink ref="H648" r:id="rId6905" xr:uid="{D13D2F31-B8C7-4106-9B54-28DD4A64391E}"/>
    <hyperlink ref="H639" r:id="rId6906" xr:uid="{4BD394F5-3536-4931-A802-C16FF7BD1F0B}"/>
    <hyperlink ref="H637" r:id="rId6907" xr:uid="{7E69B5D9-3D74-4E7A-A404-0483632A2FF3}"/>
    <hyperlink ref="H636" r:id="rId6908" xr:uid="{2C8C37BF-6734-4326-8918-78654A6BB363}"/>
    <hyperlink ref="H627" r:id="rId6909" xr:uid="{780DCD4D-2EC5-479E-B781-18862AED1A2B}"/>
    <hyperlink ref="H626" r:id="rId6910" xr:uid="{FD16DB91-0E76-4786-84BB-ACDD1FE563B5}"/>
    <hyperlink ref="H624" r:id="rId6911" xr:uid="{A1FFC245-B94E-4B28-83F7-6709D240D406}"/>
    <hyperlink ref="H623" r:id="rId6912" xr:uid="{5DE0088D-613B-44E7-947E-91A72FFC4714}"/>
    <hyperlink ref="H622" r:id="rId6913" xr:uid="{2B5CE375-C316-45F6-84B0-09DC64025A2E}"/>
    <hyperlink ref="H609" r:id="rId6914" xr:uid="{7F558408-86C5-49A3-8213-354226276BA8}"/>
    <hyperlink ref="H602" r:id="rId6915" xr:uid="{943F7E84-D018-4706-931B-21D1E7E5058A}"/>
    <hyperlink ref="H589" r:id="rId6916" xr:uid="{5A635479-0E0C-44DE-B03A-932570722B1F}"/>
    <hyperlink ref="H588" r:id="rId6917" xr:uid="{3E25A329-8488-4904-AA12-B58BE03CB5D2}"/>
    <hyperlink ref="H585" r:id="rId6918" xr:uid="{56025067-FEBD-44F4-BFA7-00866C560132}"/>
    <hyperlink ref="H583" r:id="rId6919" xr:uid="{C2E4E911-CB7C-4DFB-BAB6-C39945EF05B4}"/>
    <hyperlink ref="H581" r:id="rId6920" xr:uid="{502B8540-F3BE-4072-9E37-A99BA5585B60}"/>
    <hyperlink ref="H573" r:id="rId6921" xr:uid="{BB238A78-4070-47CB-8EC8-484314211AE4}"/>
    <hyperlink ref="H572" r:id="rId6922" xr:uid="{659D1EDE-9F29-4BE7-AB47-DCE4FC719CAE}"/>
    <hyperlink ref="H569" r:id="rId6923" xr:uid="{A0083717-7F11-468A-B717-7C4EF7AC2D30}"/>
    <hyperlink ref="H558" r:id="rId6924" xr:uid="{269E75F1-8A47-45B6-9C9B-037FF91C0D5F}"/>
    <hyperlink ref="H557" r:id="rId6925" xr:uid="{87A6ACEF-4510-4357-8E3D-3AE41050053D}"/>
    <hyperlink ref="H551" r:id="rId6926" xr:uid="{1026FA57-C252-445B-9AD6-358E6A9F2C4D}"/>
    <hyperlink ref="H541" r:id="rId6927" xr:uid="{180F42EA-8F98-477B-A4E1-4F534CB4FDBE}"/>
    <hyperlink ref="H538" r:id="rId6928" xr:uid="{601CFE13-4E5A-43BD-A5CE-E2AA1AF2D378}"/>
    <hyperlink ref="H537" r:id="rId6929" xr:uid="{28B3D92C-20EE-4C0D-92F3-AF7B932BF9E6}"/>
    <hyperlink ref="H536" r:id="rId6930" xr:uid="{905C64DA-B91F-4B00-A67A-E7E280F75687}"/>
    <hyperlink ref="H527" r:id="rId6931" xr:uid="{230C5919-07A0-49CE-84C3-BE89A160E0A0}"/>
    <hyperlink ref="H526" r:id="rId6932" xr:uid="{D7719E0A-8791-4DB0-BF94-619911D06858}"/>
    <hyperlink ref="H525" r:id="rId6933" xr:uid="{770BEC13-F340-43D3-90B3-4CB044439096}"/>
    <hyperlink ref="H522" r:id="rId6934" xr:uid="{2A2101EF-1D47-41C5-9F9E-7D2D3929BC4E}"/>
    <hyperlink ref="H521" r:id="rId6935" xr:uid="{DE4E3346-AD3D-446A-8C17-12BB693B5C28}"/>
    <hyperlink ref="H518" r:id="rId6936" xr:uid="{1AEBD574-02C8-4641-AB70-E830D964920A}"/>
    <hyperlink ref="H508" r:id="rId6937" xr:uid="{423AD527-54FB-43F3-816D-78122A45A328}"/>
    <hyperlink ref="H506" r:id="rId6938" xr:uid="{A50DB9A6-623C-464F-906F-73B7D9B7321E}"/>
    <hyperlink ref="H498" r:id="rId6939" xr:uid="{F51D50E1-4AEF-490F-824B-FDABA9D8E077}"/>
    <hyperlink ref="H484" r:id="rId6940" xr:uid="{8139F01D-A2E4-4307-9B19-E2CEEE87D873}"/>
    <hyperlink ref="H479" r:id="rId6941" xr:uid="{A430D227-6A59-4AA0-8EE1-08CC5476B6FD}"/>
    <hyperlink ref="H473" r:id="rId6942" xr:uid="{5B7E7013-B1E3-4BBF-B4F6-0F054BF99683}"/>
    <hyperlink ref="H472" r:id="rId6943" xr:uid="{77306F4C-C92D-4674-BBA5-AD9B07BC15EE}"/>
    <hyperlink ref="H469" r:id="rId6944" xr:uid="{1B6A5B99-BF31-47AB-867E-1AC5D42E03F2}"/>
    <hyperlink ref="H466" r:id="rId6945" xr:uid="{27214FBC-4B93-42B5-8CFC-45BF49167F42}"/>
    <hyperlink ref="H465" r:id="rId6946" xr:uid="{717F5781-7020-4A62-AC7E-93F10383A02A}"/>
    <hyperlink ref="H462" r:id="rId6947" xr:uid="{67B6E60B-80A2-4FCA-9709-9E8FDB365FC6}"/>
    <hyperlink ref="H460" r:id="rId6948" xr:uid="{EEEDF6C0-B610-4879-AA94-96AE723F5FE1}"/>
    <hyperlink ref="H458" r:id="rId6949" xr:uid="{1188BAF7-008B-4325-A5AE-5EF6D803E4DF}"/>
    <hyperlink ref="H456" r:id="rId6950" xr:uid="{DECFC14B-6DEB-416E-ADD8-CE9CD611D748}"/>
    <hyperlink ref="H455" r:id="rId6951" xr:uid="{542BAC6D-5006-4369-A8A5-D84E8F63D885}"/>
    <hyperlink ref="H454" r:id="rId6952" xr:uid="{3907A0D1-24D3-4A93-AA3E-C4B05368851C}"/>
    <hyperlink ref="H451" r:id="rId6953" xr:uid="{0DDF2BBC-5057-47F1-9147-54678717B9D6}"/>
    <hyperlink ref="H450" r:id="rId6954" xr:uid="{625FBAE6-4E9A-4C53-9AA1-D10509999A23}"/>
    <hyperlink ref="H447" r:id="rId6955" xr:uid="{B0D05E17-E260-4BB0-BC37-7B7F8EB73CF9}"/>
    <hyperlink ref="H443" r:id="rId6956" xr:uid="{20261DF7-2B60-4245-ABB4-114E5E084AB8}"/>
    <hyperlink ref="H436" r:id="rId6957" xr:uid="{1503E2B8-459F-4660-94FC-77EFA0ADC6EF}"/>
    <hyperlink ref="H432" r:id="rId6958" xr:uid="{2BA2295B-E5B8-413B-9880-FED0757E2BD0}"/>
    <hyperlink ref="H426" r:id="rId6959" xr:uid="{7BE43A60-D659-499F-92F3-D67F8AC2DB47}"/>
    <hyperlink ref="H418" r:id="rId6960" xr:uid="{BE047F60-4B35-400B-94FB-5BA7875BC714}"/>
    <hyperlink ref="H416" r:id="rId6961" xr:uid="{BC64C806-6ACD-4571-B4C5-3EDE643F14D4}"/>
    <hyperlink ref="H415" r:id="rId6962" xr:uid="{9D238F18-1A90-4C86-99A6-02E7A35B83D4}"/>
    <hyperlink ref="H414" r:id="rId6963" xr:uid="{1DD58ED1-A248-4843-8E4E-D57147012B60}"/>
    <hyperlink ref="H411" r:id="rId6964" xr:uid="{0790D62B-35DE-461E-A15F-F1495DA5EEAE}"/>
    <hyperlink ref="H392" r:id="rId6965" xr:uid="{29FD4D5D-0AA4-4141-B8A1-6FF1DE36365F}"/>
    <hyperlink ref="H391" r:id="rId6966" xr:uid="{00D763EE-6343-4B4E-B1B4-37C1B85BC4A7}"/>
    <hyperlink ref="H388" r:id="rId6967" xr:uid="{90DAD1CE-B2FC-43B2-8377-3DBC20A39CD7}"/>
    <hyperlink ref="H387" r:id="rId6968" xr:uid="{18EEBA9B-D70D-4D86-AFDC-986CD934ED71}"/>
    <hyperlink ref="H385" r:id="rId6969" xr:uid="{774EBEAB-533D-43C5-B971-7212A1DC01FE}"/>
    <hyperlink ref="H383" r:id="rId6970" xr:uid="{21FB36F5-0173-48FD-9901-6B3DF4A2D8F7}"/>
    <hyperlink ref="H377" r:id="rId6971" xr:uid="{625E18A8-A2D0-49D8-8835-52EE965743DB}"/>
    <hyperlink ref="H375" r:id="rId6972" xr:uid="{401D6A5A-DC14-4DBA-91B0-9955471EDD06}"/>
    <hyperlink ref="H370" r:id="rId6973" xr:uid="{9184B53A-7E70-4512-9E5D-A85D6F6D5BED}"/>
    <hyperlink ref="H367" r:id="rId6974" xr:uid="{1094B1EE-4845-4607-9397-BDB38174D5E7}"/>
    <hyperlink ref="H365" r:id="rId6975" xr:uid="{17412ED9-2D30-4521-8B2D-FB09ACAF6DFD}"/>
    <hyperlink ref="H362" r:id="rId6976" xr:uid="{0504EECD-4A1D-4CA3-842E-BFA243295145}"/>
    <hyperlink ref="H361" r:id="rId6977" xr:uid="{0EF2C181-A908-415F-93BB-E320EAFBEB3B}"/>
    <hyperlink ref="H357" r:id="rId6978" xr:uid="{0E6045C0-E307-4F90-AA9E-0D1545D2E279}"/>
    <hyperlink ref="H354" r:id="rId6979" xr:uid="{55435A97-D3B9-4283-9709-6C059AD34A35}"/>
    <hyperlink ref="H343" r:id="rId6980" xr:uid="{68B1A4C0-FDBF-4F59-94D5-72DAA5349585}"/>
    <hyperlink ref="H339" r:id="rId6981" xr:uid="{7B167D3A-EB6C-4CC8-8FA4-8C5AE4A2E2AA}"/>
    <hyperlink ref="H330" r:id="rId6982" xr:uid="{78DE6330-FBFB-4FE7-A369-D8A5E69A111D}"/>
    <hyperlink ref="H319" r:id="rId6983" xr:uid="{41763510-9CA6-42FE-88AA-621DDDD4F257}"/>
    <hyperlink ref="H315" r:id="rId6984" xr:uid="{8D71C2A7-1216-41C5-AE41-DD0397842A57}"/>
    <hyperlink ref="H313" r:id="rId6985" xr:uid="{39A5059D-3346-4301-A05C-1E16A50102DA}"/>
    <hyperlink ref="H312" r:id="rId6986" xr:uid="{73BBBED1-4B8E-4998-AF4F-E73C2D24DADC}"/>
    <hyperlink ref="H311" r:id="rId6987" xr:uid="{C386708A-93DB-4616-BB3C-FA8080AD12BD}"/>
    <hyperlink ref="H308" r:id="rId6988" xr:uid="{7F4B6E59-3F00-419C-8D2B-F453AA3C9C1C}"/>
    <hyperlink ref="H302" r:id="rId6989" xr:uid="{B3243372-9766-4633-AD37-2325A187800B}"/>
    <hyperlink ref="H301" r:id="rId6990" xr:uid="{CB1A14BE-B6C7-4052-B908-C02FE6B8EF42}"/>
    <hyperlink ref="H300" r:id="rId6991" xr:uid="{122A63A7-F391-4CD9-B2D0-70E9451E103D}"/>
    <hyperlink ref="H297" r:id="rId6992" xr:uid="{70934858-C63D-4184-ABE8-546B1D801A9F}"/>
    <hyperlink ref="H286" r:id="rId6993" xr:uid="{191812FC-8C8F-4450-9573-9EB0A56A52C3}"/>
    <hyperlink ref="H284" r:id="rId6994" xr:uid="{B8A78976-7574-49E5-A97A-7D8F3F972A83}"/>
    <hyperlink ref="H275" r:id="rId6995" xr:uid="{5323E95F-D00D-4FA5-B311-A3DD00F9BFC8}"/>
    <hyperlink ref="H267" r:id="rId6996" xr:uid="{F40A22B8-17EC-4C96-B1EE-3A1053B2E334}"/>
    <hyperlink ref="H263" r:id="rId6997" xr:uid="{FBDFA8C0-CED2-4D8A-87AF-34CF6014290B}"/>
    <hyperlink ref="H256" r:id="rId6998" xr:uid="{A87C935F-0B27-43A2-853E-A98536B8AB08}"/>
    <hyperlink ref="H246" r:id="rId6999" xr:uid="{32B87597-692C-4DB5-935F-DDE2AC7FD1D9}"/>
    <hyperlink ref="H245" r:id="rId7000" xr:uid="{04D0AD81-FC1B-400D-A26F-9C5673948C6B}"/>
    <hyperlink ref="H244" r:id="rId7001" xr:uid="{CB05A489-696F-4099-9F34-3357BAEA701B}"/>
    <hyperlink ref="H234" r:id="rId7002" xr:uid="{A97E286C-4C31-49B3-B34D-11D3FED81EFA}"/>
    <hyperlink ref="H233" r:id="rId7003" xr:uid="{1F8FD104-9D3F-49C5-85BF-269CEC6F3078}"/>
    <hyperlink ref="H229" r:id="rId7004" xr:uid="{9C966DEB-2502-4337-92AD-4F3CF58E6A62}"/>
    <hyperlink ref="H227" r:id="rId7005" xr:uid="{B7E7966C-6471-4BAB-BDF8-520F5E909319}"/>
    <hyperlink ref="H226" r:id="rId7006" xr:uid="{03EC5E95-1A56-4944-AE1B-EC1099B3552E}"/>
    <hyperlink ref="H225" r:id="rId7007" xr:uid="{78DF3209-7620-4466-8FE6-47CD73DE0305}"/>
    <hyperlink ref="H224" r:id="rId7008" xr:uid="{65FEB958-B404-40F2-9FB2-A520D2E8488B}"/>
    <hyperlink ref="H222" r:id="rId7009" xr:uid="{1D39353F-7E94-4425-87F6-0F48B3BC19B6}"/>
    <hyperlink ref="H221" r:id="rId7010" xr:uid="{27CA9074-4D38-423A-B203-AC32FEB3E226}"/>
    <hyperlink ref="H219" r:id="rId7011" xr:uid="{278243FA-D56E-4676-B284-AB6093E1FB86}"/>
    <hyperlink ref="H216" r:id="rId7012" xr:uid="{60486421-3699-40E6-B166-FC249CBAD3A1}"/>
    <hyperlink ref="H212" r:id="rId7013" xr:uid="{644D8DBF-0204-44C7-A299-1442FD76C2E3}"/>
    <hyperlink ref="H198" r:id="rId7014" xr:uid="{BB3E568C-1BFD-4645-B90D-63B32FB22BBC}"/>
    <hyperlink ref="H190" r:id="rId7015" xr:uid="{68922FA9-9FFA-47E0-BE84-1B041E593751}"/>
    <hyperlink ref="H188" r:id="rId7016" xr:uid="{465AF4E8-6DDB-4AC3-8700-C371E357C838}"/>
    <hyperlink ref="H187" r:id="rId7017" xr:uid="{EB98584A-86D7-486D-B58C-6294900434A8}"/>
    <hyperlink ref="H185" r:id="rId7018" xr:uid="{0C111CCF-8747-4F5B-AA47-B3C9463E9ED0}"/>
    <hyperlink ref="H182" r:id="rId7019" xr:uid="{F6FA978B-9C05-4328-A983-0E208DCAC96E}"/>
    <hyperlink ref="H180" r:id="rId7020" xr:uid="{53ADB617-8B88-4120-B4FD-B167158C5A73}"/>
    <hyperlink ref="H179" r:id="rId7021" xr:uid="{9768840C-F44C-492E-82D7-6FF07A5E7682}"/>
    <hyperlink ref="H174" r:id="rId7022" xr:uid="{F78D22EE-7A95-4197-9DC3-AA0C08DCBFBB}"/>
    <hyperlink ref="H172" r:id="rId7023" xr:uid="{91DB0188-D56B-4D53-A667-8AA80724A87C}"/>
    <hyperlink ref="H170" r:id="rId7024" xr:uid="{3E2657E1-7280-4FD5-B078-85F070CEA77F}"/>
    <hyperlink ref="H168" r:id="rId7025" xr:uid="{F816845B-3AEC-4BDB-90DF-22ED9A671A9E}"/>
    <hyperlink ref="H167" r:id="rId7026" xr:uid="{E3269CAD-F569-4A8D-8B66-4249A06FC3EF}"/>
    <hyperlink ref="H166" r:id="rId7027" xr:uid="{4F581BEB-98D7-48AC-8161-B905542D3DD5}"/>
    <hyperlink ref="H163" r:id="rId7028" xr:uid="{ACC6B642-EEBA-4349-AEA8-315DAB3DCCE4}"/>
    <hyperlink ref="H161" r:id="rId7029" xr:uid="{7A509084-9113-4D79-AF77-A8D63F09F317}"/>
    <hyperlink ref="H159" r:id="rId7030" xr:uid="{CBE5DF4F-5B86-4FDE-880C-ABC6D1147E38}"/>
    <hyperlink ref="H147" r:id="rId7031" xr:uid="{9DFBAF5B-0B37-46D1-8387-081A7FC7042B}"/>
    <hyperlink ref="H141" r:id="rId7032" xr:uid="{EC224E4C-D030-497A-B180-804F58A9D70A}"/>
    <hyperlink ref="H137" r:id="rId7033" xr:uid="{984651AB-2C9D-4979-9BDA-E3852D288AD1}"/>
    <hyperlink ref="H135" r:id="rId7034" xr:uid="{BF24AE7B-782D-4179-9093-EF060C97802F}"/>
    <hyperlink ref="H132" r:id="rId7035" xr:uid="{F2348A64-DA73-41A8-AE6E-380B7155C1A5}"/>
    <hyperlink ref="H131" r:id="rId7036" xr:uid="{74F626D4-1D99-464F-A8D4-F2932EBC197F}"/>
    <hyperlink ref="H130" r:id="rId7037" xr:uid="{E24CC9A7-02D4-4306-868D-31678FB46FF9}"/>
    <hyperlink ref="H127" r:id="rId7038" xr:uid="{358F8498-2764-42B4-B8CD-8F05D6CE96F2}"/>
    <hyperlink ref="H125" r:id="rId7039" xr:uid="{3192E7E1-3BDD-4702-9C45-30A78EF8E425}"/>
    <hyperlink ref="H117" r:id="rId7040" xr:uid="{C01D2BC5-2D68-4FF4-86D1-577AA07E85EE}"/>
    <hyperlink ref="H116" r:id="rId7041" xr:uid="{34455CBD-0849-4095-BA91-53474A7CDC27}"/>
    <hyperlink ref="H115" r:id="rId7042" xr:uid="{4A2528DE-DFD4-400E-AA4F-19101DE755B2}"/>
    <hyperlink ref="H107" r:id="rId7043" xr:uid="{1343800E-BE78-43B9-8925-81A98A2AB965}"/>
    <hyperlink ref="H104" r:id="rId7044" xr:uid="{CB5AD6C4-F4EA-44A3-9DCF-90C9623729AA}"/>
    <hyperlink ref="H102" r:id="rId7045" xr:uid="{2D917DD2-8AF1-4C02-8717-D0D0661F64BE}"/>
    <hyperlink ref="H97" r:id="rId7046" xr:uid="{3AE32587-0687-4C83-8F97-676616148A2A}"/>
    <hyperlink ref="H94" r:id="rId7047" xr:uid="{53505E5C-8D11-474E-8BB6-3414B50342B5}"/>
    <hyperlink ref="H92" r:id="rId7048" xr:uid="{CD7B2405-3BCD-4E0D-881D-7379FBA486AF}"/>
    <hyperlink ref="H91" r:id="rId7049" xr:uid="{83811695-7C60-45D0-B5E8-BFEB867B065E}"/>
    <hyperlink ref="H89" r:id="rId7050" xr:uid="{26FE6B38-8E58-489C-AA45-F0D6B32FB424}"/>
    <hyperlink ref="H76" r:id="rId7051" xr:uid="{37303A9F-BB3C-467E-B019-07C461236F29}"/>
    <hyperlink ref="H72" r:id="rId7052" xr:uid="{0D1C4503-E923-4116-B4BA-D86A4441B46C}"/>
    <hyperlink ref="H66" r:id="rId7053" xr:uid="{A8B13360-A1DF-46E4-B1C2-E4E0D0D51E72}"/>
    <hyperlink ref="H64" r:id="rId7054" xr:uid="{87F36D3E-693A-4359-A143-88DE5E837E66}"/>
    <hyperlink ref="H62" r:id="rId7055" xr:uid="{BCEB3EAC-B88C-46A6-99AB-990C5FBE5889}"/>
    <hyperlink ref="H58" r:id="rId7056" xr:uid="{C378D966-3334-467D-917F-109AD0039B2C}"/>
    <hyperlink ref="H56" r:id="rId7057" xr:uid="{552ED600-9823-4597-87B1-3DF2F8B5EC38}"/>
    <hyperlink ref="H49" r:id="rId7058" xr:uid="{EB3FAD9B-E473-4544-9183-6370B438C52A}"/>
    <hyperlink ref="H43" r:id="rId7059" xr:uid="{8717FECE-9665-4A43-84CC-3BF1C816F359}"/>
    <hyperlink ref="H40" r:id="rId7060" xr:uid="{D29402D8-611E-4975-A531-973E1EBD98B1}"/>
    <hyperlink ref="H38" r:id="rId7061" xr:uid="{C9C422CA-F0D3-45B0-9112-06EBCD451C40}"/>
    <hyperlink ref="H36" r:id="rId7062" xr:uid="{C2E1D7A3-ED3A-4973-8D75-6014CA4355F1}"/>
    <hyperlink ref="H29" r:id="rId7063" xr:uid="{961487D3-F38F-4CBB-9B7D-C5CA9F047A3B}"/>
    <hyperlink ref="H21" r:id="rId7064" xr:uid="{D22AC77A-5DE4-440B-A0A0-3EE7DDC7E3A3}"/>
    <hyperlink ref="H922" r:id="rId7065" xr:uid="{D79EE269-F47D-4B39-AF28-F770B78B7AC7}"/>
    <hyperlink ref="H918" r:id="rId7066" xr:uid="{EE8A1E9F-E547-4D94-80BC-4C9A15C773D3}"/>
    <hyperlink ref="H915" r:id="rId7067" xr:uid="{130788C7-DAED-49B0-A5BE-8989DED9B587}"/>
    <hyperlink ref="H914" r:id="rId7068" xr:uid="{9BB9470E-78BF-43D9-8212-8F57A98C39AD}"/>
    <hyperlink ref="H912" r:id="rId7069" xr:uid="{E505211A-646E-4C53-B3FF-072AE3D27EFF}"/>
    <hyperlink ref="H911" r:id="rId7070" xr:uid="{18BFEB87-C6FB-49A7-B2CE-FFB7A1428BB3}"/>
    <hyperlink ref="H910" r:id="rId7071" xr:uid="{473673F3-BC87-4A63-B696-A50C5EBA828B}"/>
    <hyperlink ref="H909" r:id="rId7072" xr:uid="{AB55727F-1E96-4910-BB83-F6AEA3E816A7}"/>
    <hyperlink ref="H907" r:id="rId7073" xr:uid="{BFEA0938-8016-4602-830F-2FE7782145B1}"/>
    <hyperlink ref="H906" r:id="rId7074" xr:uid="{2D243CCD-D31F-46DD-B0E7-9F1F335048F1}"/>
    <hyperlink ref="H904" r:id="rId7075" xr:uid="{D3190F63-701F-4A88-9C1F-381454CF965A}"/>
    <hyperlink ref="H903" r:id="rId7076" xr:uid="{8E04804D-E71C-4622-806C-C094B3967637}"/>
    <hyperlink ref="H902" r:id="rId7077" xr:uid="{2F97916D-D9BA-4101-A4BD-2E31C4182203}"/>
    <hyperlink ref="H901" r:id="rId7078" xr:uid="{A83BC0C7-885B-45EC-AD93-ADF7C012EFEA}"/>
    <hyperlink ref="H900" r:id="rId7079" xr:uid="{5E095B05-7F8D-40B4-A784-8B885AB0C000}"/>
    <hyperlink ref="H899" r:id="rId7080" xr:uid="{54556B3F-6903-4B34-A7AC-D8483015B3C5}"/>
    <hyperlink ref="H896" r:id="rId7081" xr:uid="{163E40E6-E807-4151-B638-C632E5256E37}"/>
    <hyperlink ref="H894" r:id="rId7082" xr:uid="{E227563A-4D70-45E6-93D9-086F49397016}"/>
    <hyperlink ref="H893" r:id="rId7083" xr:uid="{561472EA-D13A-4996-9EA7-39E76EEC28B3}"/>
    <hyperlink ref="H892" r:id="rId7084" xr:uid="{5280337D-93B0-4A9C-8C27-5275D95F4F23}"/>
    <hyperlink ref="H889" r:id="rId7085" xr:uid="{0F529020-883B-4035-8C98-8D9025A50C86}"/>
    <hyperlink ref="H888" r:id="rId7086" xr:uid="{57F28C96-69C4-4B36-96A7-312FF57CBADD}"/>
    <hyperlink ref="H887" r:id="rId7087" xr:uid="{ECD0AD63-7CC5-4F24-AE70-5CD4BAD576CF}"/>
    <hyperlink ref="H886" r:id="rId7088" xr:uid="{9FDD345B-13DC-465D-BDFF-584287834C93}"/>
    <hyperlink ref="H885" r:id="rId7089" xr:uid="{164C51D6-923C-4671-B435-AD7E5936847B}"/>
    <hyperlink ref="H884" r:id="rId7090" xr:uid="{F6C0F93F-9940-4675-A7A0-158F5E826F28}"/>
    <hyperlink ref="H883" r:id="rId7091" xr:uid="{5FFFF19B-49F8-4336-ACE8-86F5EA4624A1}"/>
    <hyperlink ref="H878" r:id="rId7092" xr:uid="{9B3CD7F5-A02E-4C38-8EC9-C3A49B9E1355}"/>
    <hyperlink ref="H877" r:id="rId7093" xr:uid="{457014A4-04BB-49E4-8B13-BD141AD2D271}"/>
    <hyperlink ref="H874" r:id="rId7094" xr:uid="{6CD293F8-E588-46CA-B373-47FDD0C73612}"/>
    <hyperlink ref="H873" r:id="rId7095" xr:uid="{F60EAA2D-B0D6-4A13-B725-C949DBD995F9}"/>
    <hyperlink ref="H872" r:id="rId7096" xr:uid="{276760F0-BB8B-40EC-B9B0-861AFC65FBF0}"/>
    <hyperlink ref="H868" r:id="rId7097" xr:uid="{9B522F35-3469-4E41-907D-1F1A8429F94B}"/>
    <hyperlink ref="H866" r:id="rId7098" xr:uid="{2EEF4D77-EBE7-4B80-A06F-3BA244FF5433}"/>
    <hyperlink ref="H865" r:id="rId7099" xr:uid="{2726F490-A4DD-4F06-9001-0D8D20A92F05}"/>
    <hyperlink ref="H504" r:id="rId7100" xr:uid="{63046C4E-B452-437D-B3E0-27E0831330EB}"/>
    <hyperlink ref="H855" r:id="rId7101" xr:uid="{A7385724-6018-4332-ACB1-F10267602A7F}"/>
    <hyperlink ref="H853" r:id="rId7102" xr:uid="{74ED48A3-51DC-4AF3-AE95-0C83498B4E52}"/>
    <hyperlink ref="H852" r:id="rId7103" xr:uid="{76B168EC-9426-4B26-BA2E-849AC2F32A6E}"/>
    <hyperlink ref="H851" r:id="rId7104" xr:uid="{7D1FE0BA-03AB-4186-82FB-5B7CC6F1F532}"/>
    <hyperlink ref="H850" r:id="rId7105" xr:uid="{356B111F-0DFA-4025-A27E-BE09AB8EC509}"/>
    <hyperlink ref="H849" r:id="rId7106" xr:uid="{AE9E15BB-C64C-443E-8D92-1F83A3AAEA32}"/>
    <hyperlink ref="H848" r:id="rId7107" xr:uid="{D1EC7227-D306-4494-93C3-27BDDD9B1793}"/>
    <hyperlink ref="H847" r:id="rId7108" xr:uid="{FB5AC78F-FB35-490E-825E-4D972D14DECE}"/>
    <hyperlink ref="H846" r:id="rId7109" xr:uid="{121B5E90-CFD9-4894-8BFB-250ED04EDEEE}"/>
    <hyperlink ref="H843" r:id="rId7110" xr:uid="{21A91C39-A3C0-4244-8866-C74887B8CE87}"/>
    <hyperlink ref="H842" r:id="rId7111" xr:uid="{C4F70D25-ECF9-4F82-B5F5-AC8DBEC72E75}"/>
    <hyperlink ref="H841" r:id="rId7112" xr:uid="{848CC341-6EB5-481A-9AEF-F48AC36BC526}"/>
    <hyperlink ref="H840" r:id="rId7113" xr:uid="{E2D4D7EC-9BFA-4AEF-BCBB-CC16FA036781}"/>
    <hyperlink ref="H839" r:id="rId7114" xr:uid="{CA4AB60D-1937-4BB6-9A36-1F6D9FF556FB}"/>
    <hyperlink ref="H837" r:id="rId7115" xr:uid="{2420D3AA-CD96-4D25-9A56-1DCFCA166F9E}"/>
    <hyperlink ref="H836" r:id="rId7116" xr:uid="{2B348F78-D15D-4CC9-97F2-958409490896}"/>
    <hyperlink ref="H831" r:id="rId7117" xr:uid="{87C6F278-D993-40E1-B35A-58B8CA662980}"/>
    <hyperlink ref="H824" r:id="rId7118" xr:uid="{8CEAB019-D70E-4972-B142-27D28667BE91}"/>
    <hyperlink ref="H822" r:id="rId7119" xr:uid="{33CEC1DD-C546-421B-845C-B1EBFD1C054A}"/>
    <hyperlink ref="H819" r:id="rId7120" xr:uid="{D72F83AA-D518-42CA-810B-28849660869E}"/>
    <hyperlink ref="H818" r:id="rId7121" xr:uid="{6C486293-BB75-4C26-A6FD-B2EE36B65973}"/>
    <hyperlink ref="H817" r:id="rId7122" xr:uid="{0A16BD5F-6996-4F32-8882-E96CCA4C3C87}"/>
    <hyperlink ref="H816" r:id="rId7123" xr:uid="{BB81A688-80F0-4E27-B95B-BB4AFB524033}"/>
    <hyperlink ref="H814" r:id="rId7124" xr:uid="{C4153E3E-5174-43C0-97F4-2BFA4A8969DD}"/>
    <hyperlink ref="H810" r:id="rId7125" xr:uid="{75E9070F-879F-42F2-88A4-003B54307F71}"/>
    <hyperlink ref="H808" r:id="rId7126" xr:uid="{E3EFB22C-DE9E-42DD-9272-794EA27E5A05}"/>
    <hyperlink ref="H809" r:id="rId7127" xr:uid="{F867847C-117F-45F5-BCD4-7B26CA207C80}"/>
    <hyperlink ref="H807" r:id="rId7128" xr:uid="{978407DF-C373-4228-A36B-C36D65721AF7}"/>
    <hyperlink ref="H806" r:id="rId7129" xr:uid="{51C66AC9-A10E-47C0-9754-D8517B76D4CE}"/>
    <hyperlink ref="H805" r:id="rId7130" xr:uid="{82A0006A-68CE-42C5-8F63-5916395580CE}"/>
    <hyperlink ref="H804" r:id="rId7131" xr:uid="{FBCE1921-84DF-4FA7-9190-2C7B961038C4}"/>
    <hyperlink ref="H803" r:id="rId7132" xr:uid="{D2179EA1-C273-4E4E-AB03-25B460BE5FCF}"/>
    <hyperlink ref="H802" r:id="rId7133" xr:uid="{EB44F1A3-A074-4913-94FD-4C79B7CDD14A}"/>
    <hyperlink ref="H797" r:id="rId7134" xr:uid="{AB3136F9-327D-4407-9F09-92F3AD7D4AB0}"/>
    <hyperlink ref="H794" r:id="rId7135" xr:uid="{81562E28-CF55-4DA9-994C-66FDB5074C85}"/>
    <hyperlink ref="H792" r:id="rId7136" xr:uid="{98D47701-5954-4CD0-B1B9-B9C6C268963F}"/>
    <hyperlink ref="H793" r:id="rId7137" xr:uid="{73DB5FA8-29C3-42D0-A89B-FCE13900C13E}"/>
    <hyperlink ref="H790" r:id="rId7138" xr:uid="{54E624E2-31FA-4CCF-8825-0742B25D3CCE}"/>
    <hyperlink ref="H789" r:id="rId7139" xr:uid="{62B01812-0C90-40F9-A952-7AD163FEEC53}"/>
    <hyperlink ref="H788" r:id="rId7140" xr:uid="{9AEA2E19-DFD6-4302-96D6-DAD079BB3EC7}"/>
    <hyperlink ref="H787" r:id="rId7141" xr:uid="{5CA762FD-DCC6-416C-ACFF-81481DC5E84A}"/>
    <hyperlink ref="H786" r:id="rId7142" xr:uid="{9CC7A349-1F68-4656-8446-8AD0A217ED03}"/>
    <hyperlink ref="H785" r:id="rId7143" xr:uid="{D39F290A-ACE7-497B-B7E9-F02FF8668B93}"/>
    <hyperlink ref="H784" r:id="rId7144" xr:uid="{5E9623AF-DE61-4616-9A24-366538AAD563}"/>
    <hyperlink ref="H783" r:id="rId7145" xr:uid="{72497C70-7BD8-41EC-A30F-0BFB6372F6D8}"/>
    <hyperlink ref="H782" r:id="rId7146" xr:uid="{4EBDB03C-B323-455C-A059-48AB401E1314}"/>
    <hyperlink ref="H780" r:id="rId7147" xr:uid="{76934BE9-71F2-49E9-885F-546D728603D7}"/>
    <hyperlink ref="H779" r:id="rId7148" xr:uid="{4F6691C6-6210-456F-8701-FE48A1123F80}"/>
    <hyperlink ref="H777" r:id="rId7149" xr:uid="{D10E7FA4-96F3-4C5B-9FC3-0378B7A2D9EA}"/>
    <hyperlink ref="H774" r:id="rId7150" xr:uid="{AB9F5AF3-BF08-4E40-9A4C-C3B523FD951A}"/>
    <hyperlink ref="H772" r:id="rId7151" xr:uid="{E6736B7A-EC9C-4389-ACEA-C20E49826AEF}"/>
    <hyperlink ref="H767" r:id="rId7152" xr:uid="{4B6D8442-4898-410D-A048-B9E91B8FF943}"/>
    <hyperlink ref="H766" r:id="rId7153" xr:uid="{D98EE149-9A9C-47D0-8122-328D6C994A39}"/>
    <hyperlink ref="H761" r:id="rId7154" xr:uid="{E45C7D38-875D-49EE-BA3C-77C2E7395E31}"/>
    <hyperlink ref="H760" r:id="rId7155" xr:uid="{9BDE0891-BF1D-4927-AFED-901CF581066E}"/>
    <hyperlink ref="H759" r:id="rId7156" xr:uid="{6B73681C-B87F-46B9-A052-5CFAB34BAF12}"/>
    <hyperlink ref="H758" r:id="rId7157" xr:uid="{EEC5F33A-849F-40DB-9AF4-2BDAB4F2FF5F}"/>
    <hyperlink ref="H757" r:id="rId7158" xr:uid="{E3314C54-8506-4146-9A1E-220F6BF20BCD}"/>
    <hyperlink ref="H756" r:id="rId7159" xr:uid="{768492AA-7E3A-4765-9767-895ED8FD2FE0}"/>
    <hyperlink ref="H755" r:id="rId7160" xr:uid="{B07867C6-6012-4C6D-A34A-93FF223B2B32}"/>
    <hyperlink ref="H754" r:id="rId7161" xr:uid="{F3B3F636-C5A3-4142-95D2-5E4DE750DA0A}"/>
    <hyperlink ref="H753" r:id="rId7162" xr:uid="{CE94A480-D18A-427D-9FC2-D957CF68615E}"/>
    <hyperlink ref="H752" r:id="rId7163" xr:uid="{3A2A832D-EBB1-4327-8CC7-037014BC0556}"/>
    <hyperlink ref="H751" r:id="rId7164" xr:uid="{EB9AE46A-C7F0-4C3C-BC91-2100FDDB9562}"/>
    <hyperlink ref="H750" r:id="rId7165" xr:uid="{53ABC808-83F0-458C-B293-4AB9F014A5F7}"/>
    <hyperlink ref="H749" r:id="rId7166" xr:uid="{3E7F9751-D48F-40D3-A4A6-44E85DFAA52E}"/>
    <hyperlink ref="H748" r:id="rId7167" xr:uid="{66C74801-6C12-496C-BC22-57280718AC81}"/>
    <hyperlink ref="H747" r:id="rId7168" xr:uid="{1F9C4102-673F-4BA3-A96C-4B548043EAD6}"/>
    <hyperlink ref="H746" r:id="rId7169" xr:uid="{899FADCB-A12D-4643-A78C-5A282343F54E}"/>
    <hyperlink ref="H745" r:id="rId7170" xr:uid="{AE2E572D-1BDD-4313-A455-1481D22FAE40}"/>
    <hyperlink ref="H744" r:id="rId7171" xr:uid="{DD5220E5-2180-4FC5-8CEE-9549094C22DD}"/>
    <hyperlink ref="H743" r:id="rId7172" xr:uid="{7D6BFF70-195E-48F0-A22E-59B2B272B9A0}"/>
    <hyperlink ref="H742" r:id="rId7173" xr:uid="{091873F6-5579-4A5E-B784-D9A0AF837EF7}"/>
    <hyperlink ref="H741" r:id="rId7174" xr:uid="{63A08643-9450-4CA9-8C92-B57ED28E6D93}"/>
    <hyperlink ref="H739" r:id="rId7175" xr:uid="{29ADCE6F-32A4-46C3-AA78-75FFB2F9A75C}"/>
    <hyperlink ref="H733" r:id="rId7176" xr:uid="{14415A03-C739-452E-B7D8-3432034E4436}"/>
    <hyperlink ref="H732" r:id="rId7177" xr:uid="{DD1AE695-9EDA-4721-9F51-330DD314A971}"/>
    <hyperlink ref="H731" r:id="rId7178" xr:uid="{F52EFCBC-B4C0-40BE-A435-0074C54DF75D}"/>
    <hyperlink ref="H730" r:id="rId7179" xr:uid="{464587C1-DF9E-4C21-A91F-AC8A49F97A50}"/>
    <hyperlink ref="H729" r:id="rId7180" xr:uid="{39BB1F76-AD2B-4827-A1FF-336F96D5381E}"/>
    <hyperlink ref="H728" r:id="rId7181" xr:uid="{4CB9444D-D65D-4053-A587-541BCE1749E9}"/>
    <hyperlink ref="H727" r:id="rId7182" xr:uid="{CDE490A8-24BE-41D2-A05F-265168639906}"/>
    <hyperlink ref="H726" r:id="rId7183" xr:uid="{ACA745CE-D8C6-4BE6-959E-7DB1CA1E60E3}"/>
    <hyperlink ref="H725" r:id="rId7184" xr:uid="{7996A4E5-DF79-4FEC-A580-7B80CB04628E}"/>
    <hyperlink ref="H721" r:id="rId7185" xr:uid="{B715AD88-4A13-4836-809D-C5C24B5A8EA7}"/>
    <hyperlink ref="H722" r:id="rId7186" xr:uid="{8ECABD05-E48B-462E-8A93-00373C266C2B}"/>
    <hyperlink ref="H720" r:id="rId7187" xr:uid="{C9841796-4F84-4D14-B379-7A0CB1A8820C}"/>
    <hyperlink ref="H717" r:id="rId7188" xr:uid="{EE7DD8A8-5673-4268-8D2F-6B840966B4AE}"/>
    <hyperlink ref="H716" r:id="rId7189" xr:uid="{4CF23918-F5C2-4D3A-9633-FA64BFC6DE45}"/>
    <hyperlink ref="H714" r:id="rId7190" xr:uid="{331C3603-28E2-41D5-A787-AC875C522DC3}"/>
    <hyperlink ref="H712" r:id="rId7191" xr:uid="{0E99CAE2-656F-4855-8A63-773F46FBCFF3}"/>
    <hyperlink ref="H711" r:id="rId7192" xr:uid="{9C9560F8-2D7B-4D3B-8D4A-75E2E02ADD2E}"/>
    <hyperlink ref="H710" r:id="rId7193" xr:uid="{27C9F2F5-3150-418C-8623-3D527853F5F3}"/>
    <hyperlink ref="H709" r:id="rId7194" xr:uid="{02DC1E4F-85E3-411F-8F31-1D954829884C}"/>
    <hyperlink ref="H708" r:id="rId7195" xr:uid="{75CD8E24-6BAB-42C6-8398-72394AB67EEC}"/>
    <hyperlink ref="H707" r:id="rId7196" xr:uid="{9FD6C0CC-6134-4B74-A150-759CE77584E8}"/>
    <hyperlink ref="H705" r:id="rId7197" xr:uid="{09E3F015-0C31-4EDD-8A4F-B5EC7A84DE36}"/>
    <hyperlink ref="H703" r:id="rId7198" xr:uid="{55933490-E2CD-4FC8-A365-C8C71DD28B83}"/>
    <hyperlink ref="H702" r:id="rId7199" xr:uid="{9CE128B7-DA30-4B8A-95B4-50FAFFE9D434}"/>
    <hyperlink ref="H701" r:id="rId7200" xr:uid="{603139CE-9BBA-439F-9652-B9C71E75E9A7}"/>
    <hyperlink ref="H700" r:id="rId7201" xr:uid="{9E5EAD17-36D8-4616-9085-2239330510D9}"/>
    <hyperlink ref="H699" r:id="rId7202" xr:uid="{00E45192-BE14-4554-8434-069DCC3343D8}"/>
    <hyperlink ref="H698" r:id="rId7203" xr:uid="{78644E07-8199-471D-8101-C26D8D901C38}"/>
    <hyperlink ref="H697" r:id="rId7204" xr:uid="{DB01C451-7F81-420F-B449-0221F443F44C}"/>
    <hyperlink ref="H693" r:id="rId7205" xr:uid="{BD6F7143-8FD7-4C4D-9D5A-EC96243C786D}"/>
    <hyperlink ref="H687" r:id="rId7206" xr:uid="{6968A2D5-3062-4FF1-ADC9-987426462ADA}"/>
    <hyperlink ref="H686" r:id="rId7207" xr:uid="{4B406F03-B91B-4DD0-A122-C41941FC8419}"/>
    <hyperlink ref="H685" r:id="rId7208" xr:uid="{5F690BBC-4F7A-461A-9E3A-2A96268895A8}"/>
    <hyperlink ref="H680" r:id="rId7209" xr:uid="{ACD3294F-32A3-4272-9E84-FDCE0F54D1DC}"/>
    <hyperlink ref="H677" r:id="rId7210" xr:uid="{C7838D22-15FA-4D5C-9B6D-204B8F93D869}"/>
    <hyperlink ref="H674" r:id="rId7211" xr:uid="{A788DEB0-D3D5-4750-8F59-B932A88F7D36}"/>
    <hyperlink ref="H673" r:id="rId7212" xr:uid="{CDC19919-C394-48D9-99E5-2987CF970A55}"/>
    <hyperlink ref="H672" r:id="rId7213" xr:uid="{3B4FB7D6-B15D-48C1-80F1-FCFD8FF0C1BA}"/>
    <hyperlink ref="H671" r:id="rId7214" xr:uid="{386729A4-1137-42DC-875A-E0DBF7020B68}"/>
    <hyperlink ref="H670" r:id="rId7215" xr:uid="{EC390C31-AD43-4439-8F30-33798DB96EAB}"/>
    <hyperlink ref="H669" r:id="rId7216" xr:uid="{DA79DF3A-705E-4771-B665-E2A4FF4F18E6}"/>
    <hyperlink ref="H668" r:id="rId7217" xr:uid="{BEE6ED77-4209-43F2-8763-C8B5335AC778}"/>
    <hyperlink ref="H667" r:id="rId7218" xr:uid="{F524D942-BB94-4C2F-B9EC-62C3A773BBD7}"/>
    <hyperlink ref="H666" r:id="rId7219" xr:uid="{0C05F9AB-3C0F-409C-BF8D-0120CD579E9B}"/>
    <hyperlink ref="H662" r:id="rId7220" xr:uid="{0A627334-1E18-4529-8355-6513C1450272}"/>
    <hyperlink ref="H659" r:id="rId7221" xr:uid="{14AB12EA-A2A9-4F2E-9AAE-8654CD626748}"/>
    <hyperlink ref="H654" r:id="rId7222" xr:uid="{0C0E77FF-DB65-425E-B290-444929A9946A}"/>
    <hyperlink ref="H653" r:id="rId7223" xr:uid="{5E592A95-DCC3-4DAD-A5D4-5B578CF55F0B}"/>
    <hyperlink ref="H652" r:id="rId7224" xr:uid="{5B4F272E-D301-4CA1-ABAA-52F8C4536B63}"/>
    <hyperlink ref="H651" r:id="rId7225" xr:uid="{3BEF8FC1-F7EE-472D-B055-458956CA416D}"/>
    <hyperlink ref="H650" r:id="rId7226" xr:uid="{90D30766-0F2D-4143-BD49-E55439F144F4}"/>
    <hyperlink ref="H647" r:id="rId7227" xr:uid="{054D8C0F-6799-4AB4-BCBA-9C897689AA6F}"/>
    <hyperlink ref="H646" r:id="rId7228" xr:uid="{9A710CF5-2494-435B-B5A4-B41FC7617D37}"/>
    <hyperlink ref="H645" r:id="rId7229" xr:uid="{A3A5B3C7-E3CE-4685-B17D-C78257EABB26}"/>
    <hyperlink ref="H644" r:id="rId7230" xr:uid="{EB5866B1-C365-43ED-96FF-0019FADD84D4}"/>
    <hyperlink ref="H642" r:id="rId7231" xr:uid="{82A5CCBE-5741-4BE1-884A-F190A71E41B8}"/>
    <hyperlink ref="H640" r:id="rId7232" xr:uid="{D5FADDAD-1BF7-4272-AEAE-4B8E33ACC660}"/>
    <hyperlink ref="H632" r:id="rId7233" xr:uid="{2BFA392C-73D5-4371-BDC2-D781190AF1D7}"/>
    <hyperlink ref="H630" r:id="rId7234" xr:uid="{59F40BAC-1DFC-48BC-A8AF-FD9118A53B78}"/>
    <hyperlink ref="H616" r:id="rId7235" xr:uid="{E7B116D8-4F78-441F-B3C1-D215F360EF68}"/>
    <hyperlink ref="H615" r:id="rId7236" xr:uid="{725E3E2E-33D6-4C94-A6FD-28E7BD9844C0}"/>
    <hyperlink ref="H614" r:id="rId7237" xr:uid="{C87EF3CF-92A0-487A-8565-99144BCDFE89}"/>
    <hyperlink ref="H613" r:id="rId7238" xr:uid="{BE4E8ACC-04AD-4592-BFEE-3D0C4632DD6F}"/>
    <hyperlink ref="H612" r:id="rId7239" xr:uid="{02412616-FD66-4634-8DBE-F2221148CB21}"/>
    <hyperlink ref="H611" r:id="rId7240" xr:uid="{B472F40E-CEB8-4540-8195-573672F6F230}"/>
    <hyperlink ref="H610" r:id="rId7241" xr:uid="{AA929EDD-2D6F-4A6F-9487-679D9E0FEF2F}"/>
    <hyperlink ref="H608" r:id="rId7242" xr:uid="{50106C06-A89F-4191-8711-6082BC00CD78}"/>
    <hyperlink ref="H607" r:id="rId7243" xr:uid="{A8B18E5B-4E16-4127-AE33-0C8EFF45AA65}"/>
    <hyperlink ref="G17:G922" r:id="rId7244" display="http://biology.burke.washington.edu/herbarium/imagecollectionnew/taxon.php?Taxon=Sabulina macra" xr:uid="{29A303EB-BC60-45F4-883D-3D590A21CD57}"/>
  </hyperlinks>
  <pageMargins left="1" right="0.25" top="0.25" bottom="0.25" header="0.3" footer="0.3"/>
  <pageSetup fitToHeight="0" orientation="portrait" r:id="rId72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O311"/>
  <sheetViews>
    <sheetView topLeftCell="A102" workbookViewId="0">
      <selection activeCell="R131" sqref="R131"/>
    </sheetView>
  </sheetViews>
  <sheetFormatPr defaultRowHeight="14.4" x14ac:dyDescent="0.3"/>
  <cols>
    <col min="1" max="2" width="2.6640625" style="172" customWidth="1"/>
    <col min="3" max="5" width="8.44140625" style="172" customWidth="1"/>
    <col min="6" max="6" width="2.6640625" style="172" customWidth="1"/>
    <col min="7" max="7" width="45.33203125" style="173" customWidth="1"/>
    <col min="8" max="9" width="2.6640625" style="173" customWidth="1"/>
    <col min="10" max="10" width="38.33203125" style="173" customWidth="1"/>
    <col min="11" max="11" width="5.44140625" style="172" customWidth="1"/>
    <col min="12" max="12" width="8.44140625" style="173" customWidth="1"/>
    <col min="13" max="13" width="5.33203125" style="172" customWidth="1"/>
    <col min="14" max="14" width="84.33203125" style="172" customWidth="1"/>
    <col min="15" max="15" width="2.6640625" style="172" customWidth="1"/>
    <col min="16" max="16" width="2.6640625" style="175" customWidth="1"/>
    <col min="17" max="17" width="8.88671875" style="172"/>
    <col min="18" max="18" width="36.88671875" style="172" customWidth="1"/>
    <col min="19" max="21" width="8.88671875" style="172"/>
  </cols>
  <sheetData>
    <row r="1" spans="1:41" x14ac:dyDescent="0.3">
      <c r="A1" s="168"/>
      <c r="B1" s="168"/>
      <c r="C1" s="168"/>
      <c r="D1" s="168"/>
      <c r="E1" s="168"/>
      <c r="F1" s="168"/>
      <c r="G1" s="169"/>
      <c r="H1" s="169"/>
      <c r="I1" s="169"/>
      <c r="J1" s="169"/>
      <c r="K1" s="168"/>
      <c r="L1" s="169"/>
      <c r="M1" s="168"/>
      <c r="N1" s="170">
        <f ca="1">TODAY()</f>
        <v>43534</v>
      </c>
      <c r="O1" s="168"/>
      <c r="P1" s="171"/>
      <c r="R1" s="172" t="s">
        <v>525</v>
      </c>
    </row>
    <row r="2" spans="1:41" s="12" customFormat="1" ht="15" customHeight="1" x14ac:dyDescent="0.25">
      <c r="A2" s="87"/>
      <c r="B2" s="90"/>
      <c r="C2" s="5"/>
      <c r="D2" s="126" t="s">
        <v>2520</v>
      </c>
      <c r="E2" s="126" t="s">
        <v>2513</v>
      </c>
      <c r="F2" s="126" t="s">
        <v>2514</v>
      </c>
      <c r="G2" s="356"/>
      <c r="H2" s="155"/>
      <c r="I2" s="44" t="s">
        <v>2169</v>
      </c>
      <c r="J2" s="28"/>
      <c r="K2" s="37"/>
      <c r="L2" s="38"/>
      <c r="M2" s="39" t="s">
        <v>1148</v>
      </c>
      <c r="N2" s="311" t="s">
        <v>2494</v>
      </c>
      <c r="O2" s="358"/>
      <c r="P2" s="312"/>
      <c r="Q2" s="312"/>
      <c r="R2" s="312"/>
      <c r="S2" s="312"/>
      <c r="T2" s="312"/>
      <c r="U2" s="312"/>
      <c r="V2" s="312"/>
      <c r="W2" s="312"/>
      <c r="X2" s="313"/>
      <c r="Y2" s="306" t="s">
        <v>2575</v>
      </c>
      <c r="Z2" s="307"/>
      <c r="AA2" s="317" t="s">
        <v>1152</v>
      </c>
      <c r="AB2" s="317"/>
      <c r="AC2" s="317"/>
      <c r="AD2" s="317"/>
      <c r="AE2" s="318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s="12" customFormat="1" ht="15" customHeight="1" x14ac:dyDescent="0.25">
      <c r="A3" s="87"/>
      <c r="B3" s="90"/>
      <c r="D3" s="115">
        <v>10</v>
      </c>
      <c r="E3" s="117" t="e">
        <f>#REF!+50</f>
        <v>#REF!</v>
      </c>
      <c r="F3" s="116" t="e">
        <f>#REF!+95</f>
        <v>#REF!</v>
      </c>
      <c r="G3" s="357"/>
      <c r="H3" s="92" t="s">
        <v>2734</v>
      </c>
      <c r="I3" s="29"/>
      <c r="J3" s="29"/>
      <c r="K3" s="40"/>
      <c r="L3" s="41"/>
      <c r="M3" s="42"/>
      <c r="N3" s="83"/>
      <c r="P3" s="293" t="s">
        <v>2515</v>
      </c>
      <c r="Q3" s="293"/>
      <c r="R3" s="294"/>
      <c r="S3" s="157" t="s">
        <v>2832</v>
      </c>
      <c r="T3" s="295" t="s">
        <v>2554</v>
      </c>
      <c r="U3" s="294"/>
      <c r="V3" s="102" t="s">
        <v>2517</v>
      </c>
      <c r="W3" s="295" t="s">
        <v>2510</v>
      </c>
      <c r="X3" s="294"/>
      <c r="Y3" s="337" t="s">
        <v>2572</v>
      </c>
      <c r="Z3" s="338"/>
      <c r="AA3" s="336" t="s">
        <v>2462</v>
      </c>
      <c r="AB3" s="336"/>
      <c r="AC3" s="336"/>
      <c r="AD3" s="336"/>
      <c r="AE3" s="336"/>
      <c r="AF3" s="4"/>
      <c r="AG3" s="4"/>
      <c r="AH3" s="4"/>
      <c r="AI3" s="4"/>
      <c r="AJ3" s="4"/>
      <c r="AK3" s="4"/>
      <c r="AL3" s="4"/>
      <c r="AM3" s="4"/>
      <c r="AN3" s="4"/>
      <c r="AO3" s="4"/>
    </row>
    <row r="4" spans="1:41" s="12" customFormat="1" ht="15" customHeight="1" x14ac:dyDescent="0.25">
      <c r="A4" s="87"/>
      <c r="B4" s="90"/>
      <c r="C4" s="132" t="s">
        <v>2536</v>
      </c>
      <c r="D4" s="19" t="s">
        <v>713</v>
      </c>
      <c r="E4" s="167" t="s">
        <v>109</v>
      </c>
      <c r="F4" s="165" t="s">
        <v>2508</v>
      </c>
      <c r="G4" s="122" t="s">
        <v>519</v>
      </c>
      <c r="I4" s="167" t="s">
        <v>2080</v>
      </c>
      <c r="J4" s="167" t="s">
        <v>2551</v>
      </c>
      <c r="K4" s="43" t="s">
        <v>2098</v>
      </c>
      <c r="L4" s="167" t="s">
        <v>2097</v>
      </c>
      <c r="M4" s="167" t="s">
        <v>700</v>
      </c>
      <c r="N4" s="165" t="s">
        <v>2460</v>
      </c>
      <c r="P4" s="100" t="s">
        <v>2512</v>
      </c>
      <c r="Q4" s="99" t="s">
        <v>2513</v>
      </c>
      <c r="R4" s="99" t="s">
        <v>2514</v>
      </c>
      <c r="S4" s="158" t="s">
        <v>2833</v>
      </c>
      <c r="T4" s="30" t="s">
        <v>2555</v>
      </c>
      <c r="U4" s="30" t="s">
        <v>2556</v>
      </c>
      <c r="V4" s="30" t="s">
        <v>2509</v>
      </c>
      <c r="W4" s="30" t="s">
        <v>109</v>
      </c>
      <c r="X4" s="30" t="s">
        <v>2511</v>
      </c>
      <c r="Y4" s="156" t="s">
        <v>2573</v>
      </c>
      <c r="Z4" s="166" t="s">
        <v>2574</v>
      </c>
      <c r="AA4" s="84" t="s">
        <v>2471</v>
      </c>
      <c r="AB4" s="51" t="s">
        <v>2461</v>
      </c>
      <c r="AC4" s="51" t="s">
        <v>2472</v>
      </c>
      <c r="AD4" s="51" t="s">
        <v>2571</v>
      </c>
      <c r="AE4" s="51" t="s">
        <v>2473</v>
      </c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3">
      <c r="A5" s="168"/>
      <c r="P5" s="171"/>
      <c r="R5" s="172" t="s">
        <v>525</v>
      </c>
    </row>
    <row r="6" spans="1:41" ht="23.4" x14ac:dyDescent="0.45">
      <c r="A6" s="168"/>
      <c r="G6" s="346" t="s">
        <v>2835</v>
      </c>
      <c r="H6" s="347"/>
      <c r="I6" s="347"/>
      <c r="J6" s="347"/>
      <c r="K6" s="347"/>
      <c r="L6" s="347"/>
      <c r="M6" s="347"/>
      <c r="N6" s="348"/>
      <c r="P6" s="171"/>
      <c r="R6" s="101" t="s">
        <v>2516</v>
      </c>
    </row>
    <row r="7" spans="1:41" ht="15.6" x14ac:dyDescent="0.3">
      <c r="A7" s="168"/>
      <c r="G7" s="174"/>
      <c r="H7" s="174"/>
      <c r="I7" s="174"/>
      <c r="J7" s="174"/>
      <c r="K7" s="175"/>
      <c r="L7" s="174"/>
      <c r="M7" s="176" t="s">
        <v>2836</v>
      </c>
      <c r="N7" s="175"/>
      <c r="P7" s="171"/>
      <c r="R7" s="30" t="s">
        <v>2307</v>
      </c>
    </row>
    <row r="8" spans="1:41" x14ac:dyDescent="0.3">
      <c r="A8" s="168"/>
      <c r="G8" s="177" t="s">
        <v>525</v>
      </c>
      <c r="H8" s="174"/>
      <c r="I8" s="174"/>
      <c r="J8" s="178" t="s">
        <v>2837</v>
      </c>
      <c r="K8" s="175"/>
      <c r="L8" s="179">
        <f ca="1">G26+(1*YEAR(N1))</f>
        <v>4023</v>
      </c>
      <c r="M8" s="174"/>
      <c r="N8" s="178" t="s">
        <v>2838</v>
      </c>
      <c r="P8" s="171"/>
    </row>
    <row r="9" spans="1:41" x14ac:dyDescent="0.3">
      <c r="A9" s="180"/>
      <c r="B9" s="174"/>
      <c r="C9" s="174"/>
      <c r="D9" s="174"/>
      <c r="E9" s="174"/>
      <c r="F9" s="174"/>
      <c r="G9" s="184" t="s">
        <v>3021</v>
      </c>
      <c r="H9" s="181"/>
      <c r="I9" s="181"/>
      <c r="J9" s="182" t="s">
        <v>2839</v>
      </c>
      <c r="K9" s="174"/>
      <c r="L9" s="179" t="s">
        <v>2840</v>
      </c>
      <c r="M9" s="174"/>
      <c r="N9" s="178" t="s">
        <v>2841</v>
      </c>
      <c r="O9" s="174"/>
      <c r="P9" s="180"/>
      <c r="Q9" s="174"/>
      <c r="R9" s="183"/>
      <c r="S9" s="174"/>
      <c r="T9" s="174"/>
      <c r="U9" s="174"/>
    </row>
    <row r="10" spans="1:41" x14ac:dyDescent="0.3">
      <c r="A10" s="180"/>
      <c r="B10" s="174"/>
      <c r="C10" s="174"/>
      <c r="D10" s="174"/>
      <c r="E10" s="174"/>
      <c r="F10" s="174"/>
      <c r="G10" s="174"/>
      <c r="H10" s="181"/>
      <c r="I10" s="181"/>
      <c r="J10" s="182" t="s">
        <v>2842</v>
      </c>
      <c r="K10" s="174"/>
      <c r="L10" s="179" t="s">
        <v>2843</v>
      </c>
      <c r="M10" s="174"/>
      <c r="N10" s="178" t="s">
        <v>2844</v>
      </c>
      <c r="O10" s="174"/>
      <c r="P10" s="180"/>
      <c r="Q10" s="174"/>
      <c r="R10" s="183"/>
      <c r="S10" s="174"/>
      <c r="T10" s="174"/>
      <c r="U10" s="174"/>
    </row>
    <row r="11" spans="1:41" x14ac:dyDescent="0.3">
      <c r="A11" s="168"/>
      <c r="C11" s="349" t="s">
        <v>2845</v>
      </c>
      <c r="D11" s="350"/>
      <c r="E11" s="351"/>
      <c r="G11" s="184" t="s">
        <v>2846</v>
      </c>
      <c r="M11" s="173"/>
      <c r="N11" s="182" t="s">
        <v>2847</v>
      </c>
      <c r="P11" s="171"/>
    </row>
    <row r="12" spans="1:41" x14ac:dyDescent="0.3">
      <c r="A12" s="168"/>
      <c r="M12" s="173"/>
      <c r="P12" s="171"/>
    </row>
    <row r="13" spans="1:41" ht="18" x14ac:dyDescent="0.35">
      <c r="A13" s="168"/>
      <c r="C13" s="184" t="s">
        <v>2848</v>
      </c>
      <c r="D13" s="184" t="s">
        <v>2849</v>
      </c>
      <c r="E13" s="184" t="s">
        <v>2850</v>
      </c>
      <c r="G13" s="352" t="s">
        <v>2851</v>
      </c>
      <c r="H13" s="353"/>
      <c r="I13" s="353"/>
      <c r="J13" s="353"/>
      <c r="K13" s="353"/>
      <c r="L13" s="353"/>
      <c r="M13" s="353"/>
      <c r="N13" s="354"/>
      <c r="P13" s="171"/>
    </row>
    <row r="14" spans="1:41" x14ac:dyDescent="0.3">
      <c r="A14" s="168"/>
      <c r="P14" s="171"/>
      <c r="R14" s="172" t="s">
        <v>525</v>
      </c>
    </row>
    <row r="15" spans="1:41" x14ac:dyDescent="0.3">
      <c r="A15" s="180"/>
      <c r="B15" s="174"/>
      <c r="C15" s="174"/>
      <c r="D15" s="174"/>
      <c r="E15" s="174"/>
      <c r="F15" s="174"/>
      <c r="G15" s="184" t="s">
        <v>2852</v>
      </c>
      <c r="H15" s="181"/>
      <c r="I15" s="344" t="s">
        <v>2853</v>
      </c>
      <c r="J15" s="345"/>
      <c r="K15" s="174"/>
      <c r="L15" s="344" t="s">
        <v>2854</v>
      </c>
      <c r="M15" s="355"/>
      <c r="N15" s="345"/>
      <c r="O15" s="174"/>
      <c r="P15" s="180"/>
      <c r="Q15" s="174"/>
      <c r="R15" s="172" t="s">
        <v>2855</v>
      </c>
      <c r="S15" s="174"/>
      <c r="T15" s="174"/>
      <c r="U15" s="174"/>
    </row>
    <row r="16" spans="1:41" x14ac:dyDescent="0.3">
      <c r="A16" s="168"/>
      <c r="G16" s="185">
        <f xml:space="preserve"> (L17+L18)/(L16+L18)</f>
        <v>0.75</v>
      </c>
      <c r="H16" s="181"/>
      <c r="I16" s="172"/>
      <c r="J16" s="172" t="s">
        <v>2856</v>
      </c>
      <c r="L16" s="186">
        <v>3</v>
      </c>
      <c r="N16" s="182" t="s">
        <v>2857</v>
      </c>
      <c r="P16" s="171"/>
      <c r="R16" s="172" t="s">
        <v>525</v>
      </c>
    </row>
    <row r="17" spans="1:21" x14ac:dyDescent="0.3">
      <c r="A17" s="168"/>
      <c r="I17" s="172"/>
      <c r="J17" s="172" t="s">
        <v>2858</v>
      </c>
      <c r="L17" s="186">
        <v>2</v>
      </c>
      <c r="N17" s="187" t="s">
        <v>2859</v>
      </c>
      <c r="P17" s="171"/>
      <c r="R17" s="172" t="s">
        <v>525</v>
      </c>
    </row>
    <row r="18" spans="1:21" x14ac:dyDescent="0.3">
      <c r="A18" s="168"/>
      <c r="G18" s="184" t="s">
        <v>2860</v>
      </c>
      <c r="H18" s="181"/>
      <c r="I18" s="172"/>
      <c r="J18" s="172" t="s">
        <v>2861</v>
      </c>
      <c r="L18" s="186">
        <v>1</v>
      </c>
      <c r="N18" s="185" t="s">
        <v>2862</v>
      </c>
      <c r="P18" s="171"/>
      <c r="R18" s="172" t="s">
        <v>2855</v>
      </c>
    </row>
    <row r="19" spans="1:21" x14ac:dyDescent="0.3">
      <c r="A19" s="168"/>
      <c r="G19" s="173">
        <f xml:space="preserve"> L19/(L16+L18)</f>
        <v>0.25</v>
      </c>
      <c r="I19" s="172"/>
      <c r="J19" s="172" t="s">
        <v>2863</v>
      </c>
      <c r="L19" s="186">
        <v>1</v>
      </c>
      <c r="N19" s="182" t="s">
        <v>2864</v>
      </c>
      <c r="P19" s="171"/>
      <c r="R19" s="172" t="s">
        <v>525</v>
      </c>
    </row>
    <row r="20" spans="1:21" x14ac:dyDescent="0.3">
      <c r="A20" s="180"/>
      <c r="B20" s="174"/>
      <c r="C20" s="174"/>
      <c r="D20" s="174"/>
      <c r="E20" s="174"/>
      <c r="F20" s="174"/>
      <c r="G20" s="174"/>
      <c r="H20" s="181"/>
      <c r="I20" s="181"/>
      <c r="J20" s="181"/>
      <c r="K20" s="174"/>
      <c r="L20" s="174"/>
      <c r="M20" s="174"/>
      <c r="N20" s="174"/>
      <c r="O20" s="174"/>
      <c r="P20" s="180"/>
      <c r="Q20" s="174"/>
      <c r="R20" s="183" t="s">
        <v>2865</v>
      </c>
      <c r="S20" s="174"/>
      <c r="T20" s="174"/>
      <c r="U20" s="174"/>
    </row>
    <row r="21" spans="1:21" s="13" customFormat="1" x14ac:dyDescent="0.3">
      <c r="A21" s="180"/>
      <c r="B21" s="174"/>
      <c r="C21" s="174"/>
      <c r="D21" s="174"/>
      <c r="E21" s="174"/>
      <c r="F21" s="174"/>
      <c r="G21" s="184" t="s">
        <v>2866</v>
      </c>
      <c r="H21" s="181"/>
      <c r="I21" s="344" t="s">
        <v>2853</v>
      </c>
      <c r="J21" s="345"/>
      <c r="K21" s="174"/>
      <c r="L21" s="344" t="s">
        <v>2854</v>
      </c>
      <c r="M21" s="355"/>
      <c r="N21" s="345"/>
      <c r="O21" s="174"/>
      <c r="P21" s="180"/>
      <c r="Q21" s="174"/>
      <c r="R21" s="172" t="s">
        <v>2855</v>
      </c>
      <c r="S21" s="174"/>
      <c r="T21" s="174"/>
      <c r="U21" s="174"/>
    </row>
    <row r="22" spans="1:21" x14ac:dyDescent="0.3">
      <c r="A22" s="168"/>
      <c r="G22" s="185">
        <f>L22/10</f>
        <v>1</v>
      </c>
      <c r="H22" s="181"/>
      <c r="I22" s="172"/>
      <c r="J22" s="172" t="s">
        <v>2867</v>
      </c>
      <c r="L22" s="186">
        <v>10</v>
      </c>
      <c r="N22" s="178" t="s">
        <v>2868</v>
      </c>
      <c r="P22" s="171"/>
      <c r="R22" s="172" t="s">
        <v>525</v>
      </c>
    </row>
    <row r="23" spans="1:21" x14ac:dyDescent="0.3">
      <c r="A23" s="168"/>
      <c r="G23" s="187">
        <f>(L23)/(L22)</f>
        <v>0.1</v>
      </c>
      <c r="I23" s="172"/>
      <c r="J23" s="172" t="s">
        <v>2869</v>
      </c>
      <c r="L23" s="186">
        <v>1</v>
      </c>
      <c r="N23" s="178" t="s">
        <v>2870</v>
      </c>
      <c r="P23" s="171"/>
      <c r="R23" s="172" t="s">
        <v>525</v>
      </c>
    </row>
    <row r="24" spans="1:21" x14ac:dyDescent="0.3">
      <c r="A24" s="180"/>
      <c r="B24" s="174"/>
      <c r="C24" s="174"/>
      <c r="D24" s="174"/>
      <c r="E24" s="174"/>
      <c r="F24" s="174"/>
      <c r="G24" s="174"/>
      <c r="H24" s="181"/>
      <c r="I24" s="181"/>
      <c r="J24" s="181"/>
      <c r="K24" s="174"/>
      <c r="L24" s="174"/>
      <c r="M24" s="174"/>
      <c r="N24" s="188" t="s">
        <v>2871</v>
      </c>
      <c r="O24" s="174"/>
      <c r="P24" s="180"/>
      <c r="Q24" s="174"/>
      <c r="R24" s="183"/>
      <c r="S24" s="174"/>
      <c r="T24" s="174"/>
      <c r="U24" s="174"/>
    </row>
    <row r="25" spans="1:21" s="13" customFormat="1" x14ac:dyDescent="0.3">
      <c r="A25" s="180"/>
      <c r="B25" s="174"/>
      <c r="C25" s="174"/>
      <c r="D25" s="174"/>
      <c r="E25" s="174"/>
      <c r="F25" s="174"/>
      <c r="G25" s="184" t="s">
        <v>2526</v>
      </c>
      <c r="H25" s="174"/>
      <c r="I25" s="344" t="s">
        <v>2872</v>
      </c>
      <c r="J25" s="345"/>
      <c r="K25" s="174"/>
      <c r="L25" s="174"/>
      <c r="M25" s="174"/>
      <c r="N25" s="174"/>
      <c r="O25" s="174"/>
      <c r="P25" s="180"/>
      <c r="Q25" s="174"/>
      <c r="R25" s="189" t="s">
        <v>525</v>
      </c>
      <c r="S25" s="174"/>
      <c r="T25" s="174"/>
      <c r="U25" s="174"/>
    </row>
    <row r="26" spans="1:21" x14ac:dyDescent="0.3">
      <c r="A26" s="168"/>
      <c r="B26" s="190"/>
      <c r="C26" s="190"/>
      <c r="D26" s="190"/>
      <c r="E26" s="190"/>
      <c r="G26" s="191">
        <f>L41</f>
        <v>2004</v>
      </c>
      <c r="H26" s="192"/>
      <c r="I26" s="192"/>
      <c r="J26" s="182" t="s">
        <v>2873</v>
      </c>
      <c r="L26" s="192"/>
      <c r="N26" s="184" t="s">
        <v>2874</v>
      </c>
      <c r="O26" s="190"/>
      <c r="P26" s="171"/>
      <c r="R26" s="189" t="s">
        <v>2509</v>
      </c>
    </row>
    <row r="27" spans="1:21" x14ac:dyDescent="0.3">
      <c r="A27" s="168"/>
      <c r="B27" s="190"/>
      <c r="C27" s="190"/>
      <c r="D27" s="190"/>
      <c r="E27" s="190"/>
      <c r="G27" s="192"/>
      <c r="H27" s="192"/>
      <c r="I27" s="192"/>
      <c r="J27" s="192"/>
      <c r="L27" s="192"/>
      <c r="N27" s="182" t="s">
        <v>2875</v>
      </c>
      <c r="O27" s="190"/>
      <c r="P27" s="171"/>
      <c r="R27" s="189" t="s">
        <v>2510</v>
      </c>
    </row>
    <row r="28" spans="1:21" x14ac:dyDescent="0.3">
      <c r="A28" s="168"/>
      <c r="B28" s="190"/>
      <c r="C28" s="190"/>
      <c r="D28" s="190"/>
      <c r="E28" s="190"/>
      <c r="G28" s="184" t="s">
        <v>2876</v>
      </c>
      <c r="H28" s="192"/>
      <c r="I28" s="344" t="s">
        <v>2877</v>
      </c>
      <c r="J28" s="345"/>
      <c r="L28" s="192"/>
      <c r="N28" s="178" t="s">
        <v>2878</v>
      </c>
      <c r="O28" s="190"/>
      <c r="P28" s="171"/>
      <c r="R28" s="172" t="s">
        <v>2879</v>
      </c>
    </row>
    <row r="29" spans="1:21" x14ac:dyDescent="0.3">
      <c r="A29" s="168"/>
      <c r="G29" s="193">
        <f ca="1">((L29-1970)/(YEAR(N1)-1970))</f>
        <v>0</v>
      </c>
      <c r="I29" s="175" t="s">
        <v>525</v>
      </c>
      <c r="J29" s="173" t="s">
        <v>2880</v>
      </c>
      <c r="K29" s="172" t="s">
        <v>525</v>
      </c>
      <c r="L29" s="186">
        <v>1970</v>
      </c>
      <c r="N29" s="173">
        <v>1970</v>
      </c>
      <c r="P29" s="171"/>
      <c r="R29" s="172" t="s">
        <v>2512</v>
      </c>
    </row>
    <row r="30" spans="1:21" x14ac:dyDescent="0.3">
      <c r="A30" s="168"/>
      <c r="G30" s="193">
        <f ca="1">((L30-1970)/(YEAR(N1)-1970))</f>
        <v>0.69387755102040816</v>
      </c>
      <c r="I30" s="172"/>
      <c r="J30" s="173" t="s">
        <v>3024</v>
      </c>
      <c r="L30" s="186">
        <f>G26</f>
        <v>2004</v>
      </c>
      <c r="N30" s="178" t="s">
        <v>2878</v>
      </c>
      <c r="P30" s="171"/>
      <c r="R30" s="172" t="s">
        <v>2513</v>
      </c>
    </row>
    <row r="31" spans="1:21" x14ac:dyDescent="0.3">
      <c r="A31" s="168"/>
      <c r="G31" s="193">
        <f ca="1">((L31-1970)/(YEAR(N1)-1970))</f>
        <v>1</v>
      </c>
      <c r="I31" s="172"/>
      <c r="J31" s="173" t="s">
        <v>3025</v>
      </c>
      <c r="L31" s="131">
        <f ca="1">YEAR(N1)</f>
        <v>2019</v>
      </c>
      <c r="N31" s="131" t="s">
        <v>2881</v>
      </c>
      <c r="P31" s="171"/>
      <c r="R31" s="172" t="s">
        <v>2514</v>
      </c>
    </row>
    <row r="32" spans="1:21" x14ac:dyDescent="0.3">
      <c r="A32" s="168"/>
      <c r="P32" s="171"/>
      <c r="R32" s="172" t="s">
        <v>2832</v>
      </c>
    </row>
    <row r="33" spans="1:21" x14ac:dyDescent="0.3">
      <c r="A33" s="168"/>
      <c r="G33" s="184" t="s">
        <v>3022</v>
      </c>
      <c r="I33" s="344" t="s">
        <v>3026</v>
      </c>
      <c r="J33" s="345"/>
      <c r="P33" s="171"/>
    </row>
    <row r="34" spans="1:21" x14ac:dyDescent="0.3">
      <c r="A34" s="168"/>
      <c r="G34" s="173">
        <f>L34</f>
        <v>99</v>
      </c>
      <c r="J34" s="172" t="s">
        <v>2884</v>
      </c>
      <c r="L34" s="173">
        <v>99</v>
      </c>
      <c r="N34" s="178" t="s">
        <v>2885</v>
      </c>
      <c r="P34" s="171"/>
    </row>
    <row r="35" spans="1:21" x14ac:dyDescent="0.3">
      <c r="A35" s="168"/>
      <c r="G35" s="173">
        <f>L35*0.1</f>
        <v>9.9</v>
      </c>
      <c r="J35" s="172" t="s">
        <v>2886</v>
      </c>
      <c r="L35" s="173">
        <v>99</v>
      </c>
      <c r="N35" s="178" t="s">
        <v>2887</v>
      </c>
      <c r="P35" s="171"/>
    </row>
    <row r="36" spans="1:21" x14ac:dyDescent="0.3">
      <c r="A36" s="168"/>
      <c r="G36" s="173">
        <f>L34+L35</f>
        <v>198</v>
      </c>
      <c r="J36" s="172" t="s">
        <v>2888</v>
      </c>
      <c r="N36" s="178" t="s">
        <v>2889</v>
      </c>
      <c r="P36" s="171"/>
    </row>
    <row r="37" spans="1:21" x14ac:dyDescent="0.3">
      <c r="A37" s="168"/>
      <c r="J37" s="172"/>
      <c r="N37" s="178"/>
      <c r="P37" s="171"/>
    </row>
    <row r="38" spans="1:21" x14ac:dyDescent="0.3">
      <c r="A38" s="168"/>
      <c r="J38" s="172"/>
      <c r="N38" s="178"/>
      <c r="P38" s="171"/>
    </row>
    <row r="39" spans="1:21" x14ac:dyDescent="0.3">
      <c r="A39" s="168"/>
      <c r="G39" s="184" t="s">
        <v>2882</v>
      </c>
      <c r="I39" s="344" t="s">
        <v>2883</v>
      </c>
      <c r="J39" s="345"/>
      <c r="N39" s="178"/>
      <c r="P39" s="171"/>
    </row>
    <row r="40" spans="1:21" x14ac:dyDescent="0.3">
      <c r="A40" s="168"/>
      <c r="B40" s="190"/>
      <c r="C40" s="190"/>
      <c r="D40" s="190"/>
      <c r="E40" s="190"/>
      <c r="G40" s="193" t="e">
        <f>((L40-1970)/(YEAR(N11)-1970))</f>
        <v>#VALUE!</v>
      </c>
      <c r="H40" s="192"/>
      <c r="I40" s="172"/>
      <c r="J40" s="172" t="s">
        <v>2890</v>
      </c>
      <c r="L40" s="192">
        <v>1880</v>
      </c>
      <c r="N40" s="181" t="s">
        <v>2891</v>
      </c>
      <c r="O40" s="190"/>
      <c r="P40" s="171"/>
    </row>
    <row r="41" spans="1:21" x14ac:dyDescent="0.3">
      <c r="A41" s="168"/>
      <c r="B41" s="190"/>
      <c r="C41" s="190"/>
      <c r="D41" s="190"/>
      <c r="E41" s="190"/>
      <c r="G41" s="193" t="e">
        <f>((L41-1970)/(YEAR(N11)-1970))</f>
        <v>#VALUE!</v>
      </c>
      <c r="H41" s="192"/>
      <c r="I41" s="172"/>
      <c r="J41" s="172" t="s">
        <v>3023</v>
      </c>
      <c r="L41" s="192">
        <v>2004</v>
      </c>
      <c r="N41" s="178" t="s">
        <v>2892</v>
      </c>
      <c r="O41" s="190"/>
      <c r="P41" s="171"/>
    </row>
    <row r="42" spans="1:21" s="13" customFormat="1" x14ac:dyDescent="0.3">
      <c r="A42" s="168"/>
      <c r="B42" s="190"/>
      <c r="C42" s="190"/>
      <c r="D42" s="190"/>
      <c r="E42" s="190"/>
      <c r="F42" s="172"/>
      <c r="G42" s="193" t="e">
        <f ca="1">((L42-1970)/(YEAR(N11)-1970))</f>
        <v>#VALUE!</v>
      </c>
      <c r="H42" s="192"/>
      <c r="I42" s="172"/>
      <c r="J42" s="172" t="s">
        <v>2893</v>
      </c>
      <c r="K42" s="172"/>
      <c r="L42" s="131">
        <f ca="1">YEAR(N1)</f>
        <v>2019</v>
      </c>
      <c r="M42" s="172"/>
      <c r="N42" s="173" t="s">
        <v>2894</v>
      </c>
      <c r="O42" s="190"/>
      <c r="P42" s="171"/>
      <c r="Q42" s="172"/>
      <c r="R42" s="172"/>
      <c r="S42" s="172"/>
      <c r="T42" s="172"/>
      <c r="U42" s="172"/>
    </row>
    <row r="43" spans="1:21" s="13" customFormat="1" x14ac:dyDescent="0.3">
      <c r="A43" s="168"/>
      <c r="B43" s="190"/>
      <c r="C43" s="190"/>
      <c r="D43" s="190"/>
      <c r="E43" s="190"/>
      <c r="F43" s="172"/>
      <c r="G43" s="193" t="s">
        <v>3028</v>
      </c>
      <c r="H43" s="192"/>
      <c r="I43" s="172"/>
      <c r="J43" s="172" t="s">
        <v>3027</v>
      </c>
      <c r="K43" s="172"/>
      <c r="L43" s="131" t="s">
        <v>3029</v>
      </c>
      <c r="M43" s="172"/>
      <c r="N43" s="173"/>
      <c r="O43" s="190"/>
      <c r="P43" s="171"/>
      <c r="Q43" s="172"/>
      <c r="R43" s="172"/>
      <c r="S43" s="172"/>
      <c r="T43" s="172"/>
      <c r="U43" s="172"/>
    </row>
    <row r="44" spans="1:21" x14ac:dyDescent="0.3">
      <c r="A44" s="168"/>
      <c r="B44" s="190"/>
      <c r="C44" s="190"/>
      <c r="D44" s="190"/>
      <c r="E44" s="190"/>
      <c r="G44" s="192"/>
      <c r="H44" s="192"/>
      <c r="I44" s="172"/>
      <c r="J44" s="172"/>
      <c r="L44" s="192"/>
      <c r="N44" s="194" t="s">
        <v>2895</v>
      </c>
      <c r="O44" s="190"/>
      <c r="P44" s="171"/>
    </row>
    <row r="45" spans="1:21" x14ac:dyDescent="0.3">
      <c r="A45" s="168"/>
      <c r="B45" s="190"/>
      <c r="C45" s="190"/>
      <c r="D45" s="190"/>
      <c r="E45" s="190"/>
      <c r="G45" s="184" t="s">
        <v>2896</v>
      </c>
      <c r="H45" s="192"/>
      <c r="I45" s="344" t="s">
        <v>2897</v>
      </c>
      <c r="J45" s="345"/>
      <c r="L45" s="192"/>
      <c r="O45" s="190"/>
      <c r="P45" s="171"/>
    </row>
    <row r="46" spans="1:21" x14ac:dyDescent="0.3">
      <c r="A46" s="168"/>
      <c r="B46" s="190"/>
      <c r="C46" s="190"/>
      <c r="D46" s="190"/>
      <c r="E46" s="190"/>
      <c r="G46" s="185">
        <f>(L46/$L$51)</f>
        <v>0</v>
      </c>
      <c r="H46" s="192"/>
      <c r="I46" s="192"/>
      <c r="J46" s="172" t="s">
        <v>2840</v>
      </c>
      <c r="L46" s="173">
        <v>0</v>
      </c>
      <c r="N46" s="195" t="s">
        <v>2898</v>
      </c>
      <c r="O46" s="190"/>
      <c r="P46" s="171"/>
    </row>
    <row r="47" spans="1:21" x14ac:dyDescent="0.3">
      <c r="A47" s="168"/>
      <c r="B47" s="190"/>
      <c r="C47" s="190"/>
      <c r="D47" s="190"/>
      <c r="E47" s="190"/>
      <c r="G47" s="185">
        <f>(L47/$L$51)</f>
        <v>0.2</v>
      </c>
      <c r="H47" s="192"/>
      <c r="I47" s="192"/>
      <c r="J47" s="190" t="s">
        <v>2899</v>
      </c>
      <c r="L47" s="173">
        <v>1</v>
      </c>
      <c r="N47" s="185" t="s">
        <v>525</v>
      </c>
      <c r="O47" s="190"/>
      <c r="P47" s="171"/>
    </row>
    <row r="48" spans="1:21" x14ac:dyDescent="0.3">
      <c r="A48" s="168"/>
      <c r="B48" s="190"/>
      <c r="C48" s="190"/>
      <c r="D48" s="190"/>
      <c r="E48" s="190"/>
      <c r="G48" s="185">
        <f>(L48/$L$51)</f>
        <v>0.4</v>
      </c>
      <c r="H48" s="192"/>
      <c r="I48" s="192"/>
      <c r="J48" s="190" t="s">
        <v>2900</v>
      </c>
      <c r="L48" s="173">
        <v>2</v>
      </c>
      <c r="O48" s="190"/>
      <c r="P48" s="171"/>
    </row>
    <row r="49" spans="1:21" x14ac:dyDescent="0.3">
      <c r="A49" s="168"/>
      <c r="B49" s="190"/>
      <c r="C49" s="190"/>
      <c r="D49" s="190"/>
      <c r="E49" s="190"/>
      <c r="G49" s="185">
        <f>(L49/$L$51)</f>
        <v>0.6</v>
      </c>
      <c r="H49" s="192"/>
      <c r="I49" s="192"/>
      <c r="J49" s="172" t="s">
        <v>2901</v>
      </c>
      <c r="L49" s="173">
        <v>3</v>
      </c>
      <c r="O49" s="190"/>
      <c r="P49" s="171"/>
    </row>
    <row r="50" spans="1:21" x14ac:dyDescent="0.3">
      <c r="A50" s="168"/>
      <c r="B50" s="190"/>
      <c r="C50" s="190"/>
      <c r="D50" s="190"/>
      <c r="E50" s="190"/>
      <c r="G50" s="185">
        <v>0.8</v>
      </c>
      <c r="H50" s="192"/>
      <c r="I50" s="192"/>
      <c r="J50" s="190" t="s">
        <v>2902</v>
      </c>
      <c r="L50" s="173">
        <v>4</v>
      </c>
      <c r="O50" s="190"/>
      <c r="P50" s="171"/>
    </row>
    <row r="51" spans="1:21" s="13" customFormat="1" x14ac:dyDescent="0.3">
      <c r="A51" s="168"/>
      <c r="B51" s="190"/>
      <c r="C51" s="190"/>
      <c r="D51" s="190"/>
      <c r="E51" s="190"/>
      <c r="F51" s="172"/>
      <c r="G51" s="185">
        <v>1</v>
      </c>
      <c r="H51" s="192"/>
      <c r="I51" s="192"/>
      <c r="J51" s="172" t="s">
        <v>2903</v>
      </c>
      <c r="K51" s="172"/>
      <c r="L51" s="173">
        <v>5</v>
      </c>
      <c r="M51" s="172"/>
      <c r="N51" s="172"/>
      <c r="O51" s="190"/>
      <c r="P51" s="171"/>
      <c r="Q51" s="172"/>
      <c r="R51" s="172"/>
      <c r="S51" s="172"/>
      <c r="T51" s="172"/>
      <c r="U51" s="172"/>
    </row>
    <row r="52" spans="1:21" x14ac:dyDescent="0.3">
      <c r="A52" s="168"/>
      <c r="B52" s="190"/>
      <c r="C52" s="190"/>
      <c r="D52" s="190"/>
      <c r="E52" s="190"/>
      <c r="G52" s="192"/>
      <c r="H52" s="192"/>
      <c r="I52" s="192"/>
      <c r="J52" s="192"/>
      <c r="L52" s="192"/>
      <c r="N52" s="195" t="s">
        <v>2904</v>
      </c>
      <c r="O52" s="190"/>
      <c r="P52" s="171"/>
    </row>
    <row r="53" spans="1:21" x14ac:dyDescent="0.3">
      <c r="A53" s="168"/>
      <c r="B53" s="190"/>
      <c r="C53" s="190"/>
      <c r="D53" s="190"/>
      <c r="E53" s="190"/>
      <c r="G53" s="184" t="s">
        <v>2905</v>
      </c>
      <c r="H53" s="192"/>
      <c r="I53" s="344" t="s">
        <v>2906</v>
      </c>
      <c r="J53" s="345"/>
      <c r="L53" s="192"/>
      <c r="N53" s="182" t="s">
        <v>2907</v>
      </c>
      <c r="O53" s="190"/>
      <c r="P53" s="171"/>
    </row>
    <row r="54" spans="1:21" x14ac:dyDescent="0.3">
      <c r="A54" s="168"/>
      <c r="B54" s="190"/>
      <c r="C54" s="190"/>
      <c r="D54" s="190"/>
      <c r="E54" s="190"/>
      <c r="G54" s="185">
        <f>(L54/$L$59)</f>
        <v>0</v>
      </c>
      <c r="H54" s="192"/>
      <c r="I54" s="192"/>
      <c r="J54" s="172" t="s">
        <v>2840</v>
      </c>
      <c r="L54" s="173">
        <v>0</v>
      </c>
      <c r="N54" s="182">
        <v>0</v>
      </c>
      <c r="O54" s="190"/>
      <c r="P54" s="171"/>
    </row>
    <row r="55" spans="1:21" x14ac:dyDescent="0.3">
      <c r="A55" s="168"/>
      <c r="B55" s="190"/>
      <c r="C55" s="190"/>
      <c r="D55" s="190"/>
      <c r="E55" s="190"/>
      <c r="G55" s="185">
        <f t="shared" ref="G55:G59" si="0">(L55/$L$59)</f>
        <v>0.2</v>
      </c>
      <c r="H55" s="192"/>
      <c r="I55" s="192"/>
      <c r="J55" s="190" t="s">
        <v>2899</v>
      </c>
      <c r="L55" s="173">
        <v>1</v>
      </c>
      <c r="N55" s="178" t="s">
        <v>2908</v>
      </c>
      <c r="O55" s="190"/>
      <c r="P55" s="171"/>
    </row>
    <row r="56" spans="1:21" x14ac:dyDescent="0.3">
      <c r="A56" s="168"/>
      <c r="B56" s="190"/>
      <c r="C56" s="190"/>
      <c r="D56" s="190"/>
      <c r="E56" s="190"/>
      <c r="G56" s="185">
        <f t="shared" si="0"/>
        <v>0.4</v>
      </c>
      <c r="H56" s="192"/>
      <c r="I56" s="192"/>
      <c r="J56" s="190" t="s">
        <v>2900</v>
      </c>
      <c r="L56" s="173">
        <v>2</v>
      </c>
      <c r="N56" s="178" t="s">
        <v>2909</v>
      </c>
      <c r="O56" s="190"/>
      <c r="P56" s="171"/>
    </row>
    <row r="57" spans="1:21" x14ac:dyDescent="0.3">
      <c r="A57" s="168"/>
      <c r="B57" s="190"/>
      <c r="C57" s="190"/>
      <c r="D57" s="190"/>
      <c r="E57" s="190"/>
      <c r="G57" s="185">
        <f t="shared" si="0"/>
        <v>0.6</v>
      </c>
      <c r="H57" s="192"/>
      <c r="I57" s="192"/>
      <c r="J57" s="172" t="s">
        <v>2901</v>
      </c>
      <c r="L57" s="173">
        <v>3</v>
      </c>
      <c r="N57" s="178" t="s">
        <v>2910</v>
      </c>
      <c r="O57" s="190"/>
      <c r="P57" s="171"/>
    </row>
    <row r="58" spans="1:21" s="13" customFormat="1" x14ac:dyDescent="0.3">
      <c r="A58" s="168"/>
      <c r="B58" s="190"/>
      <c r="C58" s="190"/>
      <c r="D58" s="190"/>
      <c r="E58" s="190"/>
      <c r="F58" s="172"/>
      <c r="G58" s="185">
        <f t="shared" si="0"/>
        <v>0.8</v>
      </c>
      <c r="H58" s="192"/>
      <c r="I58" s="192"/>
      <c r="J58" s="190" t="s">
        <v>2902</v>
      </c>
      <c r="K58" s="172"/>
      <c r="L58" s="173">
        <v>4</v>
      </c>
      <c r="M58" s="172"/>
      <c r="N58" s="178" t="s">
        <v>2911</v>
      </c>
      <c r="O58" s="190"/>
      <c r="P58" s="171"/>
      <c r="Q58" s="172"/>
      <c r="R58" s="172"/>
      <c r="S58" s="172"/>
      <c r="T58" s="172"/>
      <c r="U58" s="172"/>
    </row>
    <row r="59" spans="1:21" x14ac:dyDescent="0.3">
      <c r="A59" s="168"/>
      <c r="B59" s="190"/>
      <c r="C59" s="190"/>
      <c r="D59" s="190"/>
      <c r="E59" s="190"/>
      <c r="G59" s="185">
        <f t="shared" si="0"/>
        <v>1</v>
      </c>
      <c r="H59" s="192"/>
      <c r="I59" s="192"/>
      <c r="J59" s="172" t="s">
        <v>2843</v>
      </c>
      <c r="L59" s="173">
        <v>5</v>
      </c>
      <c r="N59" s="178" t="s">
        <v>2912</v>
      </c>
      <c r="O59" s="190"/>
      <c r="P59" s="171"/>
    </row>
    <row r="60" spans="1:21" x14ac:dyDescent="0.3">
      <c r="A60" s="168"/>
      <c r="B60" s="190"/>
      <c r="C60" s="190"/>
      <c r="D60" s="190"/>
      <c r="E60" s="190"/>
      <c r="G60" s="192"/>
      <c r="H60" s="192"/>
      <c r="I60" s="192"/>
      <c r="J60" s="192"/>
      <c r="L60" s="185"/>
      <c r="M60" s="185"/>
      <c r="N60" s="185"/>
      <c r="O60" s="190"/>
      <c r="P60" s="171"/>
    </row>
    <row r="61" spans="1:21" x14ac:dyDescent="0.3">
      <c r="A61" s="168"/>
      <c r="B61" s="190"/>
      <c r="C61" s="190"/>
      <c r="D61" s="190"/>
      <c r="E61" s="190"/>
      <c r="G61" s="184" t="s">
        <v>2913</v>
      </c>
      <c r="H61" s="192"/>
      <c r="J61" s="196" t="s">
        <v>2914</v>
      </c>
      <c r="L61" s="185"/>
      <c r="M61" s="185"/>
      <c r="N61" s="195" t="s">
        <v>2915</v>
      </c>
      <c r="O61" s="190"/>
      <c r="P61" s="171"/>
    </row>
    <row r="62" spans="1:21" s="13" customFormat="1" x14ac:dyDescent="0.3">
      <c r="A62" s="168"/>
      <c r="B62" s="190"/>
      <c r="C62" s="190"/>
      <c r="D62" s="190"/>
      <c r="E62" s="190"/>
      <c r="F62" s="172"/>
      <c r="G62" s="131" t="str">
        <f>IF(J62="Local Endemic",".6",  IF(J62="Regional Endemic",".7",  IF(J62="Cascadia",".8",  IF(J62="Rocky Mountain",".9", IF(J62="North America","1.")))))</f>
        <v>.6</v>
      </c>
      <c r="H62" s="192"/>
      <c r="I62" s="172"/>
      <c r="J62" s="190" t="s">
        <v>2316</v>
      </c>
      <c r="K62" s="172"/>
      <c r="L62" s="197">
        <v>0.2</v>
      </c>
      <c r="M62" s="185"/>
      <c r="N62" s="182" t="s">
        <v>2916</v>
      </c>
      <c r="O62" s="190"/>
      <c r="P62" s="171"/>
      <c r="Q62" s="172"/>
      <c r="R62" s="172"/>
      <c r="S62" s="172"/>
      <c r="T62" s="172"/>
      <c r="U62" s="172"/>
    </row>
    <row r="63" spans="1:21" x14ac:dyDescent="0.3">
      <c r="A63" s="168"/>
      <c r="B63" s="190"/>
      <c r="C63" s="190"/>
      <c r="D63" s="190"/>
      <c r="E63" s="190"/>
      <c r="G63" s="131" t="str">
        <f t="shared" ref="G63:G66" si="1">IF(J63="Local Endemic",".6",  IF(J63="Regional Endemic",".7",  IF(J63="Cascadia",".8",  IF(J63="Rocky Mountain",".9", IF(J63="North America","1.")))))</f>
        <v>.7</v>
      </c>
      <c r="H63" s="192"/>
      <c r="I63" s="172"/>
      <c r="J63" s="190" t="s">
        <v>2309</v>
      </c>
      <c r="L63" s="197">
        <v>0.4</v>
      </c>
      <c r="M63" s="185"/>
      <c r="N63" s="182" t="s">
        <v>2917</v>
      </c>
      <c r="O63" s="190"/>
      <c r="P63" s="171"/>
    </row>
    <row r="64" spans="1:21" x14ac:dyDescent="0.3">
      <c r="A64" s="168"/>
      <c r="B64" s="190"/>
      <c r="C64" s="190"/>
      <c r="D64" s="190"/>
      <c r="E64" s="190"/>
      <c r="G64" s="131" t="str">
        <f t="shared" si="1"/>
        <v>.8</v>
      </c>
      <c r="H64" s="192"/>
      <c r="I64" s="172"/>
      <c r="J64" s="172" t="s">
        <v>2459</v>
      </c>
      <c r="L64" s="197">
        <v>0.6</v>
      </c>
      <c r="M64" s="185"/>
      <c r="N64" s="182" t="s">
        <v>2918</v>
      </c>
      <c r="O64" s="190"/>
      <c r="P64" s="171"/>
    </row>
    <row r="65" spans="1:16" x14ac:dyDescent="0.3">
      <c r="A65" s="168"/>
      <c r="B65" s="190"/>
      <c r="C65" s="190"/>
      <c r="D65" s="190"/>
      <c r="E65" s="190"/>
      <c r="G65" s="131" t="str">
        <f t="shared" si="1"/>
        <v>.9</v>
      </c>
      <c r="H65" s="192"/>
      <c r="I65" s="172"/>
      <c r="J65" s="172" t="s">
        <v>2479</v>
      </c>
      <c r="L65" s="197">
        <v>0.8</v>
      </c>
      <c r="M65" s="185"/>
      <c r="N65" s="182" t="s">
        <v>2919</v>
      </c>
      <c r="O65" s="190"/>
      <c r="P65" s="171"/>
    </row>
    <row r="66" spans="1:16" x14ac:dyDescent="0.3">
      <c r="A66" s="168"/>
      <c r="B66" s="190"/>
      <c r="C66" s="190"/>
      <c r="D66" s="190"/>
      <c r="E66" s="190"/>
      <c r="G66" s="131" t="str">
        <f t="shared" si="1"/>
        <v>1.</v>
      </c>
      <c r="H66" s="192"/>
      <c r="I66" s="172"/>
      <c r="J66" s="172" t="s">
        <v>2495</v>
      </c>
      <c r="L66" s="197">
        <v>1</v>
      </c>
      <c r="M66" s="185"/>
      <c r="N66" s="198" t="s">
        <v>2920</v>
      </c>
      <c r="O66" s="190"/>
      <c r="P66" s="171"/>
    </row>
    <row r="67" spans="1:16" x14ac:dyDescent="0.3">
      <c r="A67" s="168"/>
      <c r="B67" s="190"/>
      <c r="C67" s="190"/>
      <c r="D67" s="190"/>
      <c r="E67" s="190"/>
      <c r="G67" s="192"/>
      <c r="H67" s="192"/>
      <c r="M67" s="185"/>
      <c r="N67" s="185"/>
      <c r="O67" s="190"/>
      <c r="P67" s="171"/>
    </row>
    <row r="68" spans="1:16" x14ac:dyDescent="0.3">
      <c r="A68" s="168"/>
      <c r="B68" s="190"/>
      <c r="C68" s="190"/>
      <c r="D68" s="190"/>
      <c r="E68" s="190"/>
      <c r="G68" s="184" t="s">
        <v>2921</v>
      </c>
      <c r="H68" s="192"/>
      <c r="I68" s="344" t="s">
        <v>2922</v>
      </c>
      <c r="J68" s="345"/>
      <c r="M68" s="185"/>
      <c r="N68" s="185"/>
      <c r="O68" s="190"/>
      <c r="P68" s="171"/>
    </row>
    <row r="69" spans="1:16" x14ac:dyDescent="0.3">
      <c r="A69" s="168"/>
      <c r="B69" s="190"/>
      <c r="C69" s="115" t="e">
        <f>COUNTIF([1]Flora!$E$2:$E$304, L69)</f>
        <v>#VALUE!</v>
      </c>
      <c r="D69" s="199" t="e">
        <f>(C69/[1]Flora!#REF!)</f>
        <v>#VALUE!</v>
      </c>
      <c r="E69" s="190"/>
      <c r="G69" s="131" t="str">
        <f>IF(L69="W",".94",IF(L69="Y",".95",IF(L69="O",".96",IF(L69="R",".97",IF(L69="P",".98",IF(L69="G",".99",IF(L69="B","1.00")))))))</f>
        <v>.94</v>
      </c>
      <c r="H69" s="192"/>
      <c r="J69" s="173" t="s">
        <v>2923</v>
      </c>
      <c r="L69" s="173" t="s">
        <v>2552</v>
      </c>
      <c r="M69" s="185"/>
      <c r="N69" s="198" t="s">
        <v>2924</v>
      </c>
      <c r="O69" s="190"/>
      <c r="P69" s="171"/>
    </row>
    <row r="70" spans="1:16" x14ac:dyDescent="0.3">
      <c r="A70" s="168"/>
      <c r="B70" s="190"/>
      <c r="C70" s="115" t="e">
        <f>COUNTIF([1]Flora!$E$2:$E$304, L70)</f>
        <v>#VALUE!</v>
      </c>
      <c r="D70" s="199" t="e">
        <f>(C70/[1]Flora!#REF!)</f>
        <v>#VALUE!</v>
      </c>
      <c r="E70" s="190"/>
      <c r="G70" s="131" t="str">
        <f t="shared" ref="G70:G75" si="2">IF(L70="W",".94",IF(L70="Y",".95",IF(L70="O",".96",IF(L70="R",".97",IF(L70="P",".98",IF(L70="G",".99",IF(L70="B","1.00")))))))</f>
        <v>.95</v>
      </c>
      <c r="H70" s="192"/>
      <c r="J70" s="173" t="s">
        <v>2925</v>
      </c>
      <c r="L70" s="173" t="s">
        <v>2557</v>
      </c>
      <c r="M70" s="185"/>
      <c r="N70" s="185"/>
      <c r="O70" s="190"/>
      <c r="P70" s="171"/>
    </row>
    <row r="71" spans="1:16" x14ac:dyDescent="0.3">
      <c r="A71" s="168"/>
      <c r="B71" s="190"/>
      <c r="C71" s="115" t="e">
        <f>COUNTIF([1]Flora!$E$2:$E$304, L71)</f>
        <v>#VALUE!</v>
      </c>
      <c r="D71" s="199" t="e">
        <f>(C71/[1]Flora!#REF!)</f>
        <v>#VALUE!</v>
      </c>
      <c r="E71" s="200" t="s">
        <v>2926</v>
      </c>
      <c r="G71" s="131" t="str">
        <f t="shared" si="2"/>
        <v>.96</v>
      </c>
      <c r="H71" s="192"/>
      <c r="J71" s="173" t="s">
        <v>2927</v>
      </c>
      <c r="L71" s="173" t="s">
        <v>2928</v>
      </c>
      <c r="M71" s="185"/>
      <c r="N71" s="185"/>
      <c r="O71" s="190"/>
      <c r="P71" s="171"/>
    </row>
    <row r="72" spans="1:16" x14ac:dyDescent="0.3">
      <c r="A72" s="168"/>
      <c r="B72" s="190"/>
      <c r="C72" s="115" t="e">
        <f>COUNTIF([1]Flora!$E$2:$E$304, L72)</f>
        <v>#VALUE!</v>
      </c>
      <c r="D72" s="199" t="e">
        <f>(C72/[1]Flora!#REF!)</f>
        <v>#VALUE!</v>
      </c>
      <c r="E72" s="190"/>
      <c r="G72" s="131" t="str">
        <f t="shared" si="2"/>
        <v>.97</v>
      </c>
      <c r="H72" s="192"/>
      <c r="J72" s="173" t="s">
        <v>2929</v>
      </c>
      <c r="L72" s="173" t="s">
        <v>2559</v>
      </c>
      <c r="M72" s="185"/>
      <c r="N72" s="185"/>
      <c r="O72" s="190"/>
      <c r="P72" s="171"/>
    </row>
    <row r="73" spans="1:16" x14ac:dyDescent="0.3">
      <c r="A73" s="168"/>
      <c r="B73" s="190"/>
      <c r="C73" s="115" t="e">
        <f>COUNTIF([1]Flora!$E$2:$E$304, L73)</f>
        <v>#VALUE!</v>
      </c>
      <c r="D73" s="199" t="e">
        <f>(C73/[1]Flora!#REF!)</f>
        <v>#VALUE!</v>
      </c>
      <c r="E73" s="190"/>
      <c r="G73" s="131" t="str">
        <f t="shared" si="2"/>
        <v>.98</v>
      </c>
      <c r="H73" s="192"/>
      <c r="J73" s="173" t="s">
        <v>2930</v>
      </c>
      <c r="L73" s="173" t="s">
        <v>2558</v>
      </c>
      <c r="M73" s="185"/>
      <c r="N73" s="185"/>
      <c r="O73" s="190"/>
      <c r="P73" s="171"/>
    </row>
    <row r="74" spans="1:16" x14ac:dyDescent="0.3">
      <c r="A74" s="168"/>
      <c r="B74" s="190"/>
      <c r="C74" s="115" t="e">
        <f>COUNTIF([1]Flora!$E$2:$E$304, L74)</f>
        <v>#VALUE!</v>
      </c>
      <c r="D74" s="199" t="e">
        <f>(C74/[1]Flora!#REF!)</f>
        <v>#VALUE!</v>
      </c>
      <c r="E74" s="190"/>
      <c r="G74" s="131" t="str">
        <f t="shared" si="2"/>
        <v>.99</v>
      </c>
      <c r="H74" s="192"/>
      <c r="J74" s="173" t="s">
        <v>2931</v>
      </c>
      <c r="L74" s="173" t="s">
        <v>2560</v>
      </c>
      <c r="M74" s="185"/>
      <c r="N74" s="185"/>
      <c r="O74" s="190"/>
      <c r="P74" s="171"/>
    </row>
    <row r="75" spans="1:16" x14ac:dyDescent="0.3">
      <c r="A75" s="168"/>
      <c r="B75" s="190"/>
      <c r="C75" s="115" t="e">
        <f>COUNTIF([1]Flora!$E$2:$E$304, L75)</f>
        <v>#VALUE!</v>
      </c>
      <c r="D75" s="199" t="e">
        <f>(C75/[1]Flora!#REF!)</f>
        <v>#VALUE!</v>
      </c>
      <c r="E75" s="190"/>
      <c r="G75" s="131" t="str">
        <f t="shared" si="2"/>
        <v>1.00</v>
      </c>
      <c r="H75" s="192"/>
      <c r="J75" s="173" t="s">
        <v>2932</v>
      </c>
      <c r="L75" s="173" t="s">
        <v>2503</v>
      </c>
      <c r="M75" s="185"/>
      <c r="N75" s="185"/>
      <c r="O75" s="190"/>
      <c r="P75" s="171"/>
    </row>
    <row r="76" spans="1:16" x14ac:dyDescent="0.3">
      <c r="A76" s="168"/>
      <c r="B76" s="190"/>
      <c r="C76" s="190"/>
      <c r="D76" s="190"/>
      <c r="E76" s="190"/>
      <c r="G76" s="192"/>
      <c r="H76" s="192"/>
      <c r="M76" s="185"/>
      <c r="N76" s="185"/>
      <c r="O76" s="190"/>
      <c r="P76" s="171"/>
    </row>
    <row r="77" spans="1:16" x14ac:dyDescent="0.3">
      <c r="A77" s="168"/>
      <c r="B77" s="190"/>
      <c r="C77" s="190"/>
      <c r="D77" s="190"/>
      <c r="E77" s="190"/>
      <c r="G77" s="184" t="s">
        <v>2933</v>
      </c>
      <c r="H77" s="192"/>
      <c r="I77" s="344" t="s">
        <v>109</v>
      </c>
      <c r="J77" s="345"/>
      <c r="L77" s="185"/>
      <c r="M77" s="185"/>
      <c r="N77" s="185"/>
      <c r="O77" s="190"/>
      <c r="P77" s="171"/>
    </row>
    <row r="78" spans="1:16" x14ac:dyDescent="0.3">
      <c r="A78" s="168"/>
      <c r="B78" s="190"/>
      <c r="C78" s="190"/>
      <c r="D78" s="190"/>
      <c r="E78" s="190"/>
      <c r="G78" s="201" t="str">
        <f>IF(J78="Fern","1.",IF(J78="Grass","1.",IF(J78="Herb","1.",IF(J78="Shrub","1.",IF(J78="Tree","1.",IF(J78="Vine","1."))))))</f>
        <v>1.</v>
      </c>
      <c r="H78" s="192"/>
      <c r="I78" s="192"/>
      <c r="J78" s="172" t="s">
        <v>1154</v>
      </c>
      <c r="L78" s="185" t="s">
        <v>525</v>
      </c>
      <c r="M78" s="185"/>
      <c r="N78" s="185" t="s">
        <v>2934</v>
      </c>
      <c r="O78" s="190"/>
      <c r="P78" s="171"/>
    </row>
    <row r="79" spans="1:16" x14ac:dyDescent="0.3">
      <c r="A79" s="168"/>
      <c r="B79" s="190"/>
      <c r="C79" s="190"/>
      <c r="D79" s="190"/>
      <c r="E79" s="190"/>
      <c r="G79" s="201" t="str">
        <f t="shared" ref="G79:G83" si="3">IF(J79="Fern","1.",IF(J79="Grass","1.",IF(J79="Herb","1.",IF(J79="Shrub","1.",IF(J79="Tree","1.",IF(J79="Vine","1."))))))</f>
        <v>1.</v>
      </c>
      <c r="H79" s="192"/>
      <c r="I79" s="192"/>
      <c r="J79" s="172" t="s">
        <v>1155</v>
      </c>
      <c r="L79" s="185" t="s">
        <v>525</v>
      </c>
      <c r="M79" s="185"/>
      <c r="N79" s="198" t="s">
        <v>2935</v>
      </c>
      <c r="O79" s="190"/>
      <c r="P79" s="171"/>
    </row>
    <row r="80" spans="1:16" x14ac:dyDescent="0.3">
      <c r="A80" s="168"/>
      <c r="B80" s="190"/>
      <c r="C80" s="190"/>
      <c r="D80" s="190"/>
      <c r="E80" s="190"/>
      <c r="G80" s="201" t="str">
        <f>IF(J80="Fern","1.",IF(J80="Grass","1.",IF(J80="Herb",".9",IF(J80="Shrub","1.",IF(J80="Tree","1.",IF(J80="Vine","1."))))))</f>
        <v>.9</v>
      </c>
      <c r="H80" s="192"/>
      <c r="I80" s="192"/>
      <c r="J80" s="189" t="s">
        <v>2505</v>
      </c>
      <c r="L80" s="185" t="s">
        <v>525</v>
      </c>
      <c r="M80" s="185"/>
      <c r="N80" s="185"/>
      <c r="O80" s="190"/>
      <c r="P80" s="171"/>
    </row>
    <row r="81" spans="1:21" x14ac:dyDescent="0.3">
      <c r="A81" s="168"/>
      <c r="B81" s="190"/>
      <c r="C81" s="190"/>
      <c r="D81" s="190"/>
      <c r="E81" s="190"/>
      <c r="G81" s="201" t="str">
        <f t="shared" si="3"/>
        <v>1.</v>
      </c>
      <c r="H81" s="192"/>
      <c r="I81" s="192"/>
      <c r="J81" s="189" t="s">
        <v>2506</v>
      </c>
      <c r="L81" s="185" t="s">
        <v>525</v>
      </c>
      <c r="M81" s="185"/>
      <c r="O81" s="190"/>
      <c r="P81" s="171"/>
    </row>
    <row r="82" spans="1:21" x14ac:dyDescent="0.3">
      <c r="A82" s="168"/>
      <c r="B82" s="190"/>
      <c r="C82" s="190"/>
      <c r="D82" s="190"/>
      <c r="E82" s="190"/>
      <c r="G82" s="201" t="str">
        <f t="shared" si="3"/>
        <v>1.</v>
      </c>
      <c r="H82" s="192"/>
      <c r="I82" s="192"/>
      <c r="J82" s="202" t="s">
        <v>2507</v>
      </c>
      <c r="L82" s="185" t="s">
        <v>525</v>
      </c>
      <c r="M82" s="185"/>
      <c r="N82" s="185"/>
      <c r="O82" s="190"/>
      <c r="P82" s="171"/>
    </row>
    <row r="83" spans="1:21" x14ac:dyDescent="0.3">
      <c r="A83" s="168"/>
      <c r="B83" s="190"/>
      <c r="C83" s="190"/>
      <c r="D83" s="190"/>
      <c r="E83" s="190"/>
      <c r="G83" s="201" t="str">
        <f t="shared" si="3"/>
        <v>1.</v>
      </c>
      <c r="H83" s="192"/>
      <c r="I83" s="192"/>
      <c r="J83" s="172" t="s">
        <v>61</v>
      </c>
      <c r="L83" s="185" t="s">
        <v>525</v>
      </c>
      <c r="M83" s="185"/>
      <c r="N83" s="185"/>
      <c r="O83" s="190"/>
      <c r="P83" s="171"/>
    </row>
    <row r="84" spans="1:21" x14ac:dyDescent="0.3">
      <c r="A84" s="168"/>
      <c r="B84" s="190"/>
      <c r="C84" s="190"/>
      <c r="D84" s="190"/>
      <c r="E84" s="190"/>
      <c r="G84" s="192"/>
      <c r="H84" s="192"/>
      <c r="I84" s="192"/>
      <c r="J84" s="192"/>
      <c r="L84" s="185" t="s">
        <v>525</v>
      </c>
      <c r="M84" s="185"/>
      <c r="N84" s="185" t="s">
        <v>525</v>
      </c>
      <c r="O84" s="190"/>
      <c r="P84" s="171"/>
    </row>
    <row r="85" spans="1:21" x14ac:dyDescent="0.3">
      <c r="A85" s="168"/>
      <c r="B85" s="190"/>
      <c r="C85" s="190"/>
      <c r="D85" s="190"/>
      <c r="E85" s="190"/>
      <c r="G85" s="184" t="s">
        <v>2936</v>
      </c>
      <c r="H85" s="192"/>
      <c r="I85" s="344" t="s">
        <v>2937</v>
      </c>
      <c r="J85" s="345"/>
      <c r="L85" s="185" t="s">
        <v>525</v>
      </c>
      <c r="M85" s="185"/>
      <c r="N85" s="198" t="s">
        <v>2938</v>
      </c>
      <c r="O85" s="190"/>
      <c r="P85" s="171"/>
    </row>
    <row r="86" spans="1:21" x14ac:dyDescent="0.3">
      <c r="A86" s="168"/>
      <c r="B86" s="190"/>
      <c r="C86" s="190"/>
      <c r="D86" s="190"/>
      <c r="E86" s="190"/>
      <c r="G86" s="131" t="str">
        <f>IF(J86="A","1.",  IF(J86="B","2.",  IF(J86="C","4.",  IF(J86="D","3." ))))</f>
        <v>1.</v>
      </c>
      <c r="H86" s="192"/>
      <c r="I86" s="192"/>
      <c r="J86" s="172" t="s">
        <v>2502</v>
      </c>
      <c r="L86" s="185" t="s">
        <v>525</v>
      </c>
      <c r="M86" s="185"/>
      <c r="N86" s="172" t="s">
        <v>2939</v>
      </c>
      <c r="O86" s="190"/>
      <c r="P86" s="171"/>
    </row>
    <row r="87" spans="1:21" x14ac:dyDescent="0.3">
      <c r="A87" s="168"/>
      <c r="B87" s="190"/>
      <c r="C87" s="190"/>
      <c r="D87" s="190"/>
      <c r="E87" s="190"/>
      <c r="G87" s="131" t="str">
        <f t="shared" ref="G87:G89" si="4">IF(J87="A","1.",  IF(J87="B","2.",  IF(J87="C","4.",  IF(J87="D","3." ))))</f>
        <v>2.</v>
      </c>
      <c r="H87" s="192"/>
      <c r="I87" s="192"/>
      <c r="J87" s="172" t="s">
        <v>2503</v>
      </c>
      <c r="L87" s="185" t="s">
        <v>525</v>
      </c>
      <c r="M87" s="185"/>
      <c r="N87" s="172" t="s">
        <v>2940</v>
      </c>
      <c r="O87" s="190"/>
      <c r="P87" s="171"/>
    </row>
    <row r="88" spans="1:21" s="13" customFormat="1" x14ac:dyDescent="0.3">
      <c r="A88" s="168"/>
      <c r="B88" s="190"/>
      <c r="C88" s="190"/>
      <c r="D88" s="190"/>
      <c r="E88" s="190"/>
      <c r="F88" s="172"/>
      <c r="G88" s="131" t="str">
        <f t="shared" si="4"/>
        <v>4.</v>
      </c>
      <c r="H88" s="192"/>
      <c r="I88" s="192"/>
      <c r="J88" s="189" t="s">
        <v>2504</v>
      </c>
      <c r="K88" s="172"/>
      <c r="L88" s="185" t="s">
        <v>525</v>
      </c>
      <c r="M88" s="185"/>
      <c r="N88" s="189" t="s">
        <v>2941</v>
      </c>
      <c r="O88" s="190"/>
      <c r="P88" s="171"/>
      <c r="Q88" s="172"/>
      <c r="R88" s="172"/>
      <c r="S88" s="172"/>
      <c r="T88" s="172"/>
      <c r="U88" s="172"/>
    </row>
    <row r="89" spans="1:21" x14ac:dyDescent="0.3">
      <c r="A89" s="168"/>
      <c r="B89" s="190"/>
      <c r="C89" s="190"/>
      <c r="D89" s="190"/>
      <c r="E89" s="190"/>
      <c r="G89" s="131" t="str">
        <f t="shared" si="4"/>
        <v>3.</v>
      </c>
      <c r="H89" s="192"/>
      <c r="I89" s="192"/>
      <c r="J89" s="189" t="s">
        <v>2501</v>
      </c>
      <c r="L89" s="185" t="s">
        <v>525</v>
      </c>
      <c r="M89" s="185"/>
      <c r="N89" s="189" t="s">
        <v>2942</v>
      </c>
      <c r="O89" s="190"/>
      <c r="P89" s="171"/>
    </row>
    <row r="90" spans="1:21" x14ac:dyDescent="0.3">
      <c r="A90" s="168"/>
      <c r="B90" s="190"/>
      <c r="C90" s="190"/>
      <c r="D90" s="190"/>
      <c r="E90" s="190"/>
      <c r="G90" s="187" t="s">
        <v>525</v>
      </c>
      <c r="H90" s="192"/>
      <c r="I90" s="189"/>
      <c r="J90" s="189"/>
      <c r="L90" s="185" t="s">
        <v>525</v>
      </c>
      <c r="M90" s="185"/>
      <c r="N90" s="185"/>
      <c r="O90" s="190"/>
      <c r="P90" s="171"/>
    </row>
    <row r="91" spans="1:21" x14ac:dyDescent="0.3">
      <c r="A91" s="168"/>
      <c r="B91" s="190"/>
      <c r="C91" s="190"/>
      <c r="D91" s="190"/>
      <c r="E91" s="190"/>
      <c r="G91" s="184" t="s">
        <v>2943</v>
      </c>
      <c r="H91" s="192"/>
      <c r="I91" s="189"/>
      <c r="J91" s="184" t="s">
        <v>2944</v>
      </c>
      <c r="L91" s="186" t="s">
        <v>2832</v>
      </c>
      <c r="M91" s="185"/>
      <c r="O91" s="190"/>
      <c r="P91" s="171"/>
    </row>
    <row r="92" spans="1:21" x14ac:dyDescent="0.3">
      <c r="A92" s="168"/>
      <c r="B92" s="190"/>
      <c r="C92" s="190"/>
      <c r="D92" s="190"/>
      <c r="E92" s="190"/>
      <c r="G92" s="201">
        <f>L92/100</f>
        <v>0.01</v>
      </c>
      <c r="H92" s="192"/>
      <c r="I92" s="189"/>
      <c r="J92" s="203" t="s">
        <v>2945</v>
      </c>
      <c r="L92" s="186">
        <v>1</v>
      </c>
      <c r="M92" s="185"/>
      <c r="N92" s="204" t="s">
        <v>2946</v>
      </c>
      <c r="O92" s="190"/>
      <c r="P92" s="171"/>
    </row>
    <row r="93" spans="1:21" x14ac:dyDescent="0.3">
      <c r="A93" s="168"/>
      <c r="B93" s="190"/>
      <c r="C93" s="190"/>
      <c r="D93" s="190"/>
      <c r="E93" s="190"/>
      <c r="G93" s="201"/>
      <c r="H93" s="192"/>
      <c r="I93" s="189"/>
      <c r="J93" s="203"/>
      <c r="L93" s="186">
        <v>2</v>
      </c>
      <c r="M93" s="185"/>
      <c r="N93" s="204" t="s">
        <v>2947</v>
      </c>
      <c r="O93" s="190"/>
      <c r="P93" s="171"/>
    </row>
    <row r="94" spans="1:21" x14ac:dyDescent="0.3">
      <c r="A94" s="168"/>
      <c r="B94" s="190"/>
      <c r="C94" s="190"/>
      <c r="D94" s="190"/>
      <c r="E94" s="190"/>
      <c r="G94" s="201">
        <f>L94/100</f>
        <v>2</v>
      </c>
      <c r="H94" s="192"/>
      <c r="I94" s="192"/>
      <c r="J94" s="203" t="s">
        <v>2948</v>
      </c>
      <c r="L94" s="186">
        <v>200</v>
      </c>
      <c r="M94" s="185"/>
      <c r="N94" s="205" t="s">
        <v>2949</v>
      </c>
      <c r="O94" s="190"/>
      <c r="P94" s="171"/>
    </row>
    <row r="95" spans="1:21" x14ac:dyDescent="0.3">
      <c r="A95" s="168"/>
      <c r="B95" s="190"/>
      <c r="C95" s="190"/>
      <c r="D95" s="190"/>
      <c r="E95" s="190"/>
      <c r="G95" s="201"/>
      <c r="H95" s="192"/>
      <c r="I95" s="192"/>
      <c r="J95" s="203"/>
      <c r="L95" s="186"/>
      <c r="M95" s="185"/>
      <c r="N95" s="205"/>
      <c r="O95" s="190"/>
      <c r="P95" s="171"/>
    </row>
    <row r="96" spans="1:21" x14ac:dyDescent="0.3">
      <c r="A96" s="168"/>
      <c r="B96" s="190"/>
      <c r="C96" s="190"/>
      <c r="D96" s="190"/>
      <c r="E96" s="190"/>
      <c r="G96" s="184" t="s">
        <v>2950</v>
      </c>
      <c r="H96" s="192"/>
      <c r="I96" s="344" t="s">
        <v>2474</v>
      </c>
      <c r="J96" s="345"/>
      <c r="L96" s="186"/>
      <c r="M96" s="185"/>
      <c r="N96" s="185"/>
      <c r="O96" s="190"/>
      <c r="P96" s="171"/>
    </row>
    <row r="97" spans="1:21" x14ac:dyDescent="0.3">
      <c r="A97" s="168"/>
      <c r="G97" s="131" t="str">
        <f>IF(J97="Bogs Ponds Sreams",".96", IF(J97="Coastal Areas",".97",IF(J97="Meadows Dry Open",".96",IF(J97="Forest &amp; Understory",".97",IF(J97="Moist Open",".98",IF(J97="Moist Shady",".99",IF(J97="Sub-Alpine Slopes","1.")))))))</f>
        <v>.96</v>
      </c>
      <c r="H97" s="172"/>
      <c r="I97" s="172"/>
      <c r="J97" s="189" t="s">
        <v>2951</v>
      </c>
      <c r="K97" s="173">
        <v>20</v>
      </c>
      <c r="L97" s="173">
        <f>(K97+M97)/2</f>
        <v>52</v>
      </c>
      <c r="M97" s="173">
        <v>84</v>
      </c>
      <c r="N97" s="206" t="s">
        <v>2952</v>
      </c>
      <c r="P97" s="168"/>
    </row>
    <row r="98" spans="1:21" x14ac:dyDescent="0.3">
      <c r="A98" s="168"/>
      <c r="G98" s="131" t="str">
        <f t="shared" ref="G98:G103" si="5">IF(J98="Bogs Ponds Sreams",".96", IF(J98="Coastal Areas",".97",IF(J98="Meadows Dry Open",".96",IF(J98="Forest &amp; Understory",".97",IF(J98="Moist Open",".98",IF(J98="Moist Shady",".99",IF(J98="Sub-Alpine Slopes","1.")))))))</f>
        <v>.97</v>
      </c>
      <c r="H98" s="172"/>
      <c r="I98" s="172"/>
      <c r="J98" s="189" t="s">
        <v>2453</v>
      </c>
      <c r="K98" s="173">
        <v>26</v>
      </c>
      <c r="L98" s="173">
        <f t="shared" ref="L98:L103" si="6">(K98+M98)/2</f>
        <v>51</v>
      </c>
      <c r="M98" s="173">
        <v>76</v>
      </c>
      <c r="P98" s="168"/>
    </row>
    <row r="99" spans="1:21" s="13" customFormat="1" x14ac:dyDescent="0.3">
      <c r="A99" s="168"/>
      <c r="B99" s="172"/>
      <c r="C99" s="172"/>
      <c r="D99" s="172"/>
      <c r="E99" s="172"/>
      <c r="F99" s="172"/>
      <c r="G99" s="131" t="str">
        <f t="shared" si="5"/>
        <v>.96</v>
      </c>
      <c r="H99" s="172"/>
      <c r="I99" s="172"/>
      <c r="J99" s="189" t="s">
        <v>2500</v>
      </c>
      <c r="K99" s="173">
        <v>10</v>
      </c>
      <c r="L99" s="173">
        <f t="shared" si="6"/>
        <v>53</v>
      </c>
      <c r="M99" s="173">
        <v>96</v>
      </c>
      <c r="N99" s="172"/>
      <c r="O99" s="172"/>
      <c r="P99" s="168"/>
      <c r="Q99" s="172"/>
      <c r="R99" s="172"/>
      <c r="S99" s="172"/>
      <c r="T99" s="172"/>
      <c r="U99" s="172"/>
    </row>
    <row r="100" spans="1:21" x14ac:dyDescent="0.3">
      <c r="A100" s="168"/>
      <c r="G100" s="131" t="str">
        <f t="shared" si="5"/>
        <v>.97</v>
      </c>
      <c r="J100" s="189" t="s">
        <v>2530</v>
      </c>
      <c r="K100" s="173">
        <v>14</v>
      </c>
      <c r="L100" s="173">
        <f t="shared" si="6"/>
        <v>52</v>
      </c>
      <c r="M100" s="173">
        <v>90</v>
      </c>
      <c r="P100" s="168"/>
    </row>
    <row r="101" spans="1:21" x14ac:dyDescent="0.3">
      <c r="A101" s="168"/>
      <c r="G101" s="131" t="str">
        <f t="shared" si="5"/>
        <v>.98</v>
      </c>
      <c r="J101" s="189" t="s">
        <v>2497</v>
      </c>
      <c r="K101" s="173">
        <v>12</v>
      </c>
      <c r="L101" s="173">
        <f t="shared" si="6"/>
        <v>50</v>
      </c>
      <c r="M101" s="173">
        <v>88</v>
      </c>
      <c r="P101" s="168"/>
    </row>
    <row r="102" spans="1:21" x14ac:dyDescent="0.3">
      <c r="A102" s="168"/>
      <c r="G102" s="131" t="str">
        <f t="shared" si="5"/>
        <v>.99</v>
      </c>
      <c r="J102" s="189" t="s">
        <v>2498</v>
      </c>
      <c r="K102" s="173">
        <v>10</v>
      </c>
      <c r="L102" s="173">
        <f t="shared" si="6"/>
        <v>46</v>
      </c>
      <c r="M102" s="173">
        <v>82</v>
      </c>
      <c r="P102" s="168"/>
    </row>
    <row r="103" spans="1:21" x14ac:dyDescent="0.3">
      <c r="A103" s="168"/>
      <c r="G103" s="131" t="str">
        <f t="shared" si="5"/>
        <v>1.</v>
      </c>
      <c r="J103" s="189" t="s">
        <v>2525</v>
      </c>
      <c r="K103" s="173">
        <v>0</v>
      </c>
      <c r="L103" s="173">
        <f t="shared" si="6"/>
        <v>40</v>
      </c>
      <c r="M103" s="173">
        <v>80</v>
      </c>
      <c r="P103" s="168"/>
    </row>
    <row r="104" spans="1:21" x14ac:dyDescent="0.3">
      <c r="A104" s="168"/>
      <c r="G104" s="185"/>
      <c r="J104" s="189"/>
      <c r="K104" s="173"/>
      <c r="M104" s="173"/>
      <c r="P104" s="168"/>
    </row>
    <row r="105" spans="1:21" x14ac:dyDescent="0.3">
      <c r="A105" s="168"/>
      <c r="B105" s="190"/>
      <c r="C105" s="190"/>
      <c r="D105" s="190"/>
      <c r="E105" s="190"/>
      <c r="G105" s="184" t="s">
        <v>2953</v>
      </c>
      <c r="H105" s="192"/>
      <c r="I105" s="344" t="s">
        <v>2954</v>
      </c>
      <c r="J105" s="345"/>
      <c r="L105" s="186"/>
      <c r="M105" s="185"/>
      <c r="O105" s="190"/>
      <c r="P105" s="171"/>
    </row>
    <row r="106" spans="1:21" x14ac:dyDescent="0.3">
      <c r="A106" s="168"/>
      <c r="B106" s="190"/>
      <c r="C106" s="190"/>
      <c r="D106" s="190"/>
      <c r="E106" s="190"/>
      <c r="G106" s="187" t="s">
        <v>2955</v>
      </c>
      <c r="H106" s="192"/>
      <c r="I106" s="192"/>
      <c r="J106" s="189" t="s">
        <v>2555</v>
      </c>
      <c r="L106" s="207">
        <v>0</v>
      </c>
      <c r="M106" s="185"/>
      <c r="O106" s="190"/>
      <c r="P106" s="171"/>
    </row>
    <row r="107" spans="1:21" x14ac:dyDescent="0.3">
      <c r="A107" s="168"/>
      <c r="B107" s="190"/>
      <c r="C107" s="190"/>
      <c r="D107" s="190"/>
      <c r="E107" s="190"/>
      <c r="G107" s="187" t="s">
        <v>2955</v>
      </c>
      <c r="H107" s="192"/>
      <c r="I107" s="192"/>
      <c r="J107" s="189" t="s">
        <v>2556</v>
      </c>
      <c r="L107" s="207">
        <v>3500</v>
      </c>
      <c r="M107" s="185"/>
      <c r="O107" s="190"/>
      <c r="P107" s="171"/>
    </row>
    <row r="108" spans="1:21" x14ac:dyDescent="0.3">
      <c r="A108" s="168"/>
      <c r="B108" s="190"/>
      <c r="C108" s="190"/>
      <c r="D108" s="190"/>
      <c r="E108" s="190"/>
      <c r="G108" s="187"/>
      <c r="H108" s="192"/>
      <c r="I108" s="192"/>
      <c r="J108" s="189"/>
      <c r="L108" s="186"/>
      <c r="M108" s="185"/>
      <c r="O108" s="190"/>
      <c r="P108" s="171"/>
    </row>
    <row r="109" spans="1:21" x14ac:dyDescent="0.3">
      <c r="A109" s="168"/>
      <c r="B109" s="190"/>
      <c r="C109" s="190"/>
      <c r="D109" s="190"/>
      <c r="E109" s="190"/>
      <c r="G109" s="184" t="s">
        <v>2956</v>
      </c>
      <c r="H109" s="192"/>
      <c r="I109" s="344" t="s">
        <v>2957</v>
      </c>
      <c r="J109" s="345"/>
      <c r="L109" s="208" t="s">
        <v>2958</v>
      </c>
      <c r="M109" s="185"/>
      <c r="N109" s="209" t="s">
        <v>2959</v>
      </c>
      <c r="O109" s="190"/>
      <c r="P109" s="171"/>
    </row>
    <row r="110" spans="1:21" x14ac:dyDescent="0.3">
      <c r="A110" s="168"/>
      <c r="B110" s="190"/>
      <c r="C110" s="190"/>
      <c r="D110" s="190"/>
      <c r="E110" s="190"/>
      <c r="G110" s="201" t="s">
        <v>525</v>
      </c>
      <c r="H110" s="192"/>
      <c r="I110" s="189"/>
      <c r="J110" s="189" t="s">
        <v>2960</v>
      </c>
      <c r="L110" s="186">
        <v>10</v>
      </c>
      <c r="M110" s="185"/>
      <c r="N110" s="206" t="s">
        <v>2961</v>
      </c>
      <c r="O110" s="190"/>
      <c r="P110" s="171"/>
    </row>
    <row r="111" spans="1:21" x14ac:dyDescent="0.3">
      <c r="A111" s="168"/>
      <c r="B111" s="190"/>
      <c r="C111" s="190"/>
      <c r="D111" s="190"/>
      <c r="E111" s="190"/>
      <c r="G111" s="201" t="s">
        <v>525</v>
      </c>
      <c r="H111" s="192"/>
      <c r="I111" s="192"/>
      <c r="J111" s="203" t="s">
        <v>2962</v>
      </c>
      <c r="L111" s="186">
        <v>50</v>
      </c>
      <c r="M111" s="185"/>
      <c r="N111" s="206" t="s">
        <v>2961</v>
      </c>
      <c r="O111" s="190"/>
      <c r="P111" s="171"/>
    </row>
    <row r="112" spans="1:21" x14ac:dyDescent="0.3">
      <c r="A112" s="168"/>
      <c r="B112" s="190"/>
      <c r="C112" s="190"/>
      <c r="D112" s="190"/>
      <c r="E112" s="190"/>
      <c r="G112" s="187"/>
      <c r="H112" s="192"/>
      <c r="I112" s="192"/>
      <c r="J112" s="189" t="s">
        <v>2963</v>
      </c>
      <c r="L112" s="186">
        <v>100</v>
      </c>
      <c r="M112" s="185"/>
      <c r="N112" s="206" t="s">
        <v>2961</v>
      </c>
      <c r="O112" s="190"/>
      <c r="P112" s="171"/>
    </row>
    <row r="113" spans="1:21" x14ac:dyDescent="0.3">
      <c r="A113" s="168"/>
      <c r="B113" s="190"/>
      <c r="C113" s="190"/>
      <c r="D113" s="190"/>
      <c r="E113" s="190"/>
      <c r="G113" s="187"/>
      <c r="H113" s="192"/>
      <c r="I113" s="192"/>
      <c r="J113" s="189"/>
      <c r="L113" s="186"/>
      <c r="M113" s="185"/>
      <c r="O113" s="190"/>
      <c r="P113" s="171"/>
    </row>
    <row r="114" spans="1:21" x14ac:dyDescent="0.3">
      <c r="A114" s="168"/>
      <c r="B114" s="190"/>
      <c r="C114" s="190"/>
      <c r="D114" s="190"/>
      <c r="E114" s="190"/>
      <c r="G114" s="210" t="s">
        <v>2965</v>
      </c>
      <c r="H114" s="192"/>
      <c r="I114" s="342" t="s">
        <v>2966</v>
      </c>
      <c r="J114" s="343"/>
      <c r="L114" s="186"/>
      <c r="M114" s="185"/>
      <c r="O114" s="190"/>
      <c r="P114" s="171"/>
    </row>
    <row r="115" spans="1:21" x14ac:dyDescent="0.3">
      <c r="A115" s="168"/>
      <c r="B115" s="190"/>
      <c r="C115" s="190"/>
      <c r="D115" s="190"/>
      <c r="E115" s="190"/>
      <c r="G115" s="187" t="s">
        <v>2955</v>
      </c>
      <c r="H115" s="192"/>
      <c r="I115" s="192"/>
      <c r="J115" s="189" t="s">
        <v>2967</v>
      </c>
      <c r="L115" s="186"/>
      <c r="M115" s="185"/>
      <c r="O115" s="190"/>
      <c r="P115" s="171"/>
    </row>
    <row r="116" spans="1:21" x14ac:dyDescent="0.3">
      <c r="A116" s="168"/>
      <c r="B116" s="190"/>
      <c r="C116" s="190"/>
      <c r="D116" s="190"/>
      <c r="E116" s="190"/>
      <c r="G116" s="187" t="s">
        <v>2955</v>
      </c>
      <c r="H116" s="192"/>
      <c r="I116" s="192"/>
      <c r="J116" s="189" t="s">
        <v>2968</v>
      </c>
      <c r="L116" s="186"/>
      <c r="M116" s="185"/>
      <c r="O116" s="190"/>
      <c r="P116" s="171"/>
    </row>
    <row r="117" spans="1:21" x14ac:dyDescent="0.3">
      <c r="A117" s="168"/>
      <c r="B117" s="190"/>
      <c r="C117" s="190"/>
      <c r="D117" s="190"/>
      <c r="E117" s="190"/>
      <c r="G117" s="187"/>
      <c r="H117" s="192"/>
      <c r="I117" s="192"/>
      <c r="J117" s="189"/>
      <c r="L117" s="186"/>
      <c r="M117" s="185"/>
      <c r="O117" s="190"/>
      <c r="P117" s="171"/>
    </row>
    <row r="118" spans="1:21" x14ac:dyDescent="0.3">
      <c r="A118" s="168"/>
      <c r="B118" s="190"/>
      <c r="C118" s="190"/>
      <c r="D118" s="190"/>
      <c r="E118" s="190"/>
      <c r="G118" s="210" t="s">
        <v>2969</v>
      </c>
      <c r="H118" s="192"/>
      <c r="I118" s="342" t="s">
        <v>2970</v>
      </c>
      <c r="J118" s="343"/>
      <c r="L118" s="186"/>
      <c r="M118" s="185"/>
      <c r="N118" s="205"/>
      <c r="O118" s="190"/>
      <c r="P118" s="171"/>
    </row>
    <row r="119" spans="1:21" x14ac:dyDescent="0.3">
      <c r="A119" s="168"/>
      <c r="G119" s="131" t="str">
        <f>IF(J119="Clay",".96", IF(J119="Loam",".97",IF(J119="Peat",".96",IF(J119="Rocky",".97",IF(J119="Sand",".98",IF(J119="Serpentine",".99",IF(J119="Silt","1.")))))))</f>
        <v>.96</v>
      </c>
      <c r="J119" s="211" t="s">
        <v>2971</v>
      </c>
      <c r="N119" s="206" t="s">
        <v>2972</v>
      </c>
      <c r="P119" s="168"/>
    </row>
    <row r="120" spans="1:21" x14ac:dyDescent="0.3">
      <c r="A120" s="168"/>
      <c r="G120" s="131" t="str">
        <f t="shared" ref="G120:G125" si="7">IF(J120="Clay",".96", IF(J120="Loam",".97",IF(J120="Peat",".96",IF(J120="Rocky",".97",IF(J120="Sand",".98",IF(J120="Serpentine",".99",IF(J120="Silt","1.")))))))</f>
        <v>.97</v>
      </c>
      <c r="H120" s="172"/>
      <c r="I120" s="172"/>
      <c r="J120" s="211" t="s">
        <v>2973</v>
      </c>
      <c r="P120" s="168"/>
    </row>
    <row r="121" spans="1:21" x14ac:dyDescent="0.3">
      <c r="A121" s="168"/>
      <c r="G121" s="131" t="str">
        <f t="shared" si="7"/>
        <v>.96</v>
      </c>
      <c r="H121" s="172"/>
      <c r="I121" s="172"/>
      <c r="J121" s="211" t="s">
        <v>2974</v>
      </c>
      <c r="P121" s="168"/>
    </row>
    <row r="122" spans="1:21" x14ac:dyDescent="0.3">
      <c r="A122" s="168"/>
      <c r="G122" s="131" t="str">
        <f t="shared" si="7"/>
        <v>.97</v>
      </c>
      <c r="H122" s="172"/>
      <c r="I122" s="172"/>
      <c r="J122" s="211" t="s">
        <v>2975</v>
      </c>
      <c r="P122" s="168"/>
    </row>
    <row r="123" spans="1:21" s="13" customFormat="1" x14ac:dyDescent="0.3">
      <c r="A123" s="168"/>
      <c r="B123" s="172"/>
      <c r="C123" s="172"/>
      <c r="D123" s="172"/>
      <c r="E123" s="172"/>
      <c r="F123" s="172"/>
      <c r="G123" s="131" t="str">
        <f t="shared" si="7"/>
        <v>.98</v>
      </c>
      <c r="H123" s="172"/>
      <c r="I123" s="172"/>
      <c r="J123" s="211" t="s">
        <v>2976</v>
      </c>
      <c r="K123" s="172"/>
      <c r="L123" s="173"/>
      <c r="M123" s="172"/>
      <c r="N123" s="172"/>
      <c r="O123" s="172"/>
      <c r="P123" s="168"/>
      <c r="Q123" s="172"/>
      <c r="R123" s="172"/>
      <c r="S123" s="172"/>
      <c r="T123" s="172"/>
      <c r="U123" s="172"/>
    </row>
    <row r="124" spans="1:21" x14ac:dyDescent="0.3">
      <c r="A124" s="168"/>
      <c r="G124" s="131" t="str">
        <f t="shared" si="7"/>
        <v>.99</v>
      </c>
      <c r="H124" s="172"/>
      <c r="I124" s="172"/>
      <c r="J124" s="202" t="s">
        <v>2977</v>
      </c>
      <c r="P124" s="168"/>
    </row>
    <row r="125" spans="1:21" x14ac:dyDescent="0.3">
      <c r="A125" s="168"/>
      <c r="G125" s="131" t="str">
        <f t="shared" si="7"/>
        <v>1.</v>
      </c>
      <c r="H125" s="172"/>
      <c r="I125" s="172"/>
      <c r="J125" s="202" t="s">
        <v>2978</v>
      </c>
      <c r="P125" s="168"/>
    </row>
    <row r="126" spans="1:21" x14ac:dyDescent="0.3">
      <c r="A126" s="168"/>
      <c r="B126" s="190"/>
      <c r="C126" s="190"/>
      <c r="D126" s="190"/>
      <c r="E126" s="190"/>
      <c r="G126" s="187"/>
      <c r="H126" s="192"/>
      <c r="I126" s="192"/>
      <c r="J126" s="189"/>
      <c r="L126" s="186"/>
      <c r="M126" s="185"/>
      <c r="O126" s="190"/>
      <c r="P126" s="171"/>
    </row>
    <row r="127" spans="1:21" x14ac:dyDescent="0.3">
      <c r="A127" s="168"/>
      <c r="B127" s="190"/>
      <c r="C127" s="190"/>
      <c r="D127" s="190"/>
      <c r="E127" s="190"/>
      <c r="G127" s="210" t="s">
        <v>2979</v>
      </c>
      <c r="H127" s="192"/>
      <c r="I127" s="342" t="s">
        <v>2517</v>
      </c>
      <c r="J127" s="343"/>
      <c r="L127" s="186"/>
      <c r="M127" s="185"/>
      <c r="N127" s="205"/>
      <c r="O127" s="190"/>
      <c r="P127" s="171"/>
    </row>
    <row r="128" spans="1:21" x14ac:dyDescent="0.3">
      <c r="A128" s="168"/>
      <c r="G128" s="187" t="str">
        <f>IF(J128="SW",".96",IF(J128="NW",".97",IF(J128="NE",".98",IF(J128="SE",".99",IF(J128="Any ALL","1.0")))))</f>
        <v>.96</v>
      </c>
      <c r="J128" s="189" t="s">
        <v>2980</v>
      </c>
      <c r="M128" s="185"/>
      <c r="N128" s="212" t="s">
        <v>2981</v>
      </c>
      <c r="P128" s="168"/>
    </row>
    <row r="129" spans="1:21" x14ac:dyDescent="0.3">
      <c r="A129" s="168"/>
      <c r="G129" s="187" t="str">
        <f>IF(J129="SW",".96",IF(J129="NW",".97",IF(J129="NE",".98",IF(J129="SE",".99",IF(J129="Any ALL","1.0")))))</f>
        <v>.97</v>
      </c>
      <c r="H129" s="172"/>
      <c r="I129" s="172"/>
      <c r="J129" s="189" t="s">
        <v>2982</v>
      </c>
      <c r="M129" s="185"/>
      <c r="N129" s="185"/>
      <c r="P129" s="168"/>
    </row>
    <row r="130" spans="1:21" x14ac:dyDescent="0.3">
      <c r="A130" s="168"/>
      <c r="G130" s="187" t="str">
        <f t="shared" ref="G130:G132" si="8">IF(J130="SW",".96",IF(J130="NW",".97",IF(J130="NE",".98",IF(J130="SE",".99",IF(J130="Any ALL","1.0")))))</f>
        <v>.98</v>
      </c>
      <c r="H130" s="172"/>
      <c r="I130" s="172"/>
      <c r="J130" s="172" t="s">
        <v>2983</v>
      </c>
      <c r="M130" s="185"/>
      <c r="N130" s="185"/>
      <c r="P130" s="168"/>
    </row>
    <row r="131" spans="1:21" x14ac:dyDescent="0.3">
      <c r="A131" s="168"/>
      <c r="G131" s="187" t="str">
        <f t="shared" si="8"/>
        <v>.99</v>
      </c>
      <c r="J131" s="172" t="s">
        <v>2984</v>
      </c>
      <c r="M131" s="185"/>
      <c r="N131" s="212" t="s">
        <v>525</v>
      </c>
      <c r="P131" s="168"/>
    </row>
    <row r="132" spans="1:21" x14ac:dyDescent="0.3">
      <c r="A132" s="168"/>
      <c r="G132" s="187" t="str">
        <f t="shared" si="8"/>
        <v>1.0</v>
      </c>
      <c r="J132" s="211" t="s">
        <v>2519</v>
      </c>
      <c r="M132" s="185"/>
      <c r="N132" s="185"/>
      <c r="P132" s="168"/>
    </row>
    <row r="133" spans="1:21" x14ac:dyDescent="0.3">
      <c r="A133" s="168"/>
      <c r="G133" s="187"/>
      <c r="J133" s="211"/>
      <c r="M133" s="185"/>
      <c r="N133" s="185"/>
      <c r="P133" s="168"/>
    </row>
    <row r="134" spans="1:21" x14ac:dyDescent="0.3">
      <c r="A134" s="168"/>
      <c r="G134" s="210" t="s">
        <v>2985</v>
      </c>
      <c r="H134" s="192"/>
      <c r="I134" s="342" t="s">
        <v>2986</v>
      </c>
      <c r="J134" s="343"/>
      <c r="N134" s="213" t="s">
        <v>2987</v>
      </c>
      <c r="P134" s="168"/>
    </row>
    <row r="135" spans="1:21" s="13" customFormat="1" x14ac:dyDescent="0.3">
      <c r="A135" s="168"/>
      <c r="B135" s="172"/>
      <c r="C135" s="172"/>
      <c r="D135" s="172"/>
      <c r="E135" s="172"/>
      <c r="F135" s="172"/>
      <c r="G135" s="185">
        <v>0.9</v>
      </c>
      <c r="H135" s="172"/>
      <c r="I135" s="172"/>
      <c r="J135" s="211" t="s">
        <v>2988</v>
      </c>
      <c r="K135" s="172"/>
      <c r="L135" s="173">
        <v>6.5</v>
      </c>
      <c r="M135" s="172"/>
      <c r="N135" s="211" t="s">
        <v>2989</v>
      </c>
      <c r="O135" s="172"/>
      <c r="P135" s="168"/>
      <c r="Q135" s="172"/>
      <c r="R135" s="172"/>
      <c r="S135" s="172"/>
      <c r="T135" s="172"/>
      <c r="U135" s="172"/>
    </row>
    <row r="136" spans="1:21" x14ac:dyDescent="0.3">
      <c r="A136" s="168"/>
      <c r="G136" s="185">
        <v>1</v>
      </c>
      <c r="H136" s="172"/>
      <c r="I136" s="172"/>
      <c r="J136" s="211" t="s">
        <v>2990</v>
      </c>
      <c r="L136" s="173">
        <v>6.75</v>
      </c>
      <c r="N136" s="214" t="s">
        <v>2991</v>
      </c>
      <c r="P136" s="168"/>
    </row>
    <row r="137" spans="1:21" x14ac:dyDescent="0.3">
      <c r="A137" s="168"/>
      <c r="G137" s="185">
        <v>0.9</v>
      </c>
      <c r="H137" s="172"/>
      <c r="I137" s="172"/>
      <c r="J137" s="211" t="s">
        <v>2992</v>
      </c>
      <c r="L137" s="173">
        <v>7</v>
      </c>
      <c r="N137" s="211" t="s">
        <v>525</v>
      </c>
      <c r="P137" s="168"/>
    </row>
    <row r="138" spans="1:21" x14ac:dyDescent="0.3">
      <c r="A138" s="168"/>
      <c r="G138" s="185"/>
      <c r="H138" s="172"/>
      <c r="I138" s="172"/>
      <c r="J138" s="211"/>
      <c r="N138" s="211"/>
      <c r="P138" s="168"/>
    </row>
    <row r="139" spans="1:21" ht="18" x14ac:dyDescent="0.35">
      <c r="A139" s="168"/>
      <c r="B139" s="190"/>
      <c r="C139" s="190"/>
      <c r="D139" s="190"/>
      <c r="E139" s="190"/>
      <c r="G139" s="339" t="s">
        <v>2964</v>
      </c>
      <c r="H139" s="340"/>
      <c r="I139" s="340"/>
      <c r="J139" s="340"/>
      <c r="K139" s="340"/>
      <c r="L139" s="340"/>
      <c r="M139" s="340"/>
      <c r="N139" s="341"/>
      <c r="O139" s="190"/>
      <c r="P139" s="171"/>
    </row>
    <row r="140" spans="1:21" x14ac:dyDescent="0.3">
      <c r="A140" s="168"/>
      <c r="G140" s="185"/>
      <c r="H140" s="172"/>
      <c r="I140" s="172"/>
      <c r="J140" s="211"/>
      <c r="N140" s="211"/>
      <c r="P140" s="168"/>
    </row>
    <row r="141" spans="1:21" x14ac:dyDescent="0.3">
      <c r="A141" s="168"/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9"/>
      <c r="M141" s="168"/>
      <c r="N141" s="168"/>
      <c r="O141" s="168"/>
      <c r="P141" s="168"/>
    </row>
    <row r="143" spans="1:21" x14ac:dyDescent="0.3">
      <c r="G143" s="215" t="s">
        <v>2993</v>
      </c>
    </row>
    <row r="144" spans="1:21" x14ac:dyDescent="0.3">
      <c r="G144" s="172" t="s">
        <v>2994</v>
      </c>
    </row>
    <row r="145" spans="1:21" x14ac:dyDescent="0.3">
      <c r="G145" s="172" t="s">
        <v>2995</v>
      </c>
    </row>
    <row r="146" spans="1:21" x14ac:dyDescent="0.3">
      <c r="G146" s="172" t="s">
        <v>2996</v>
      </c>
    </row>
    <row r="147" spans="1:21" x14ac:dyDescent="0.3">
      <c r="G147" s="172" t="s">
        <v>2997</v>
      </c>
    </row>
    <row r="148" spans="1:21" x14ac:dyDescent="0.3">
      <c r="G148" s="172" t="s">
        <v>2998</v>
      </c>
    </row>
    <row r="149" spans="1:21" x14ac:dyDescent="0.3">
      <c r="G149" s="172" t="s">
        <v>2999</v>
      </c>
    </row>
    <row r="150" spans="1:21" x14ac:dyDescent="0.3">
      <c r="G150" s="172" t="s">
        <v>3000</v>
      </c>
    </row>
    <row r="151" spans="1:21" x14ac:dyDescent="0.3">
      <c r="G151" s="172" t="s">
        <v>3001</v>
      </c>
    </row>
    <row r="152" spans="1:21" x14ac:dyDescent="0.3">
      <c r="G152" s="172" t="s">
        <v>3002</v>
      </c>
    </row>
    <row r="153" spans="1:21" x14ac:dyDescent="0.3">
      <c r="G153" s="172" t="s">
        <v>3003</v>
      </c>
    </row>
    <row r="154" spans="1:21" x14ac:dyDescent="0.3">
      <c r="G154" s="172" t="s">
        <v>3004</v>
      </c>
    </row>
    <row r="155" spans="1:21" s="13" customFormat="1" x14ac:dyDescent="0.3">
      <c r="A155" s="172"/>
      <c r="B155" s="172"/>
      <c r="C155" s="172"/>
      <c r="D155" s="172"/>
      <c r="E155" s="172"/>
      <c r="F155" s="172"/>
      <c r="G155" s="172" t="s">
        <v>3005</v>
      </c>
      <c r="H155" s="173"/>
      <c r="I155" s="173"/>
      <c r="J155" s="173"/>
      <c r="K155" s="172"/>
      <c r="L155" s="173"/>
      <c r="M155" s="172"/>
      <c r="N155" s="172"/>
      <c r="O155" s="172"/>
      <c r="P155" s="175"/>
      <c r="Q155" s="172"/>
      <c r="R155" s="172"/>
      <c r="S155" s="172"/>
      <c r="T155" s="172"/>
      <c r="U155" s="172"/>
    </row>
    <row r="156" spans="1:21" x14ac:dyDescent="0.3">
      <c r="G156" s="216" t="s">
        <v>2968</v>
      </c>
    </row>
    <row r="157" spans="1:21" x14ac:dyDescent="0.3">
      <c r="G157" s="216" t="s">
        <v>2967</v>
      </c>
    </row>
    <row r="158" spans="1:21" x14ac:dyDescent="0.3">
      <c r="G158" s="217" t="s">
        <v>3006</v>
      </c>
    </row>
    <row r="159" spans="1:21" x14ac:dyDescent="0.3">
      <c r="G159" s="172" t="s">
        <v>3007</v>
      </c>
    </row>
    <row r="160" spans="1:21" x14ac:dyDescent="0.3">
      <c r="G160" s="172" t="s">
        <v>3008</v>
      </c>
    </row>
    <row r="161" spans="7:10" x14ac:dyDescent="0.3">
      <c r="G161" s="172" t="s">
        <v>3009</v>
      </c>
    </row>
    <row r="162" spans="7:10" x14ac:dyDescent="0.3">
      <c r="G162" s="172" t="s">
        <v>3010</v>
      </c>
    </row>
    <row r="163" spans="7:10" x14ac:dyDescent="0.3">
      <c r="G163" s="172" t="s">
        <v>3011</v>
      </c>
    </row>
    <row r="164" spans="7:10" x14ac:dyDescent="0.3">
      <c r="G164" s="172" t="s">
        <v>3012</v>
      </c>
    </row>
    <row r="165" spans="7:10" x14ac:dyDescent="0.3">
      <c r="G165" s="217" t="s">
        <v>2922</v>
      </c>
    </row>
    <row r="166" spans="7:10" x14ac:dyDescent="0.3">
      <c r="G166" s="172" t="s">
        <v>3013</v>
      </c>
    </row>
    <row r="167" spans="7:10" x14ac:dyDescent="0.3">
      <c r="G167" s="172" t="s">
        <v>3014</v>
      </c>
    </row>
    <row r="168" spans="7:10" x14ac:dyDescent="0.3">
      <c r="G168" s="217" t="s">
        <v>2474</v>
      </c>
    </row>
    <row r="169" spans="7:10" x14ac:dyDescent="0.3">
      <c r="G169" s="172" t="s">
        <v>3015</v>
      </c>
    </row>
    <row r="170" spans="7:10" x14ac:dyDescent="0.3">
      <c r="G170" s="172" t="s">
        <v>3016</v>
      </c>
    </row>
    <row r="171" spans="7:10" x14ac:dyDescent="0.3">
      <c r="G171" s="172" t="s">
        <v>3017</v>
      </c>
    </row>
    <row r="172" spans="7:10" x14ac:dyDescent="0.3">
      <c r="G172" s="172" t="s">
        <v>3018</v>
      </c>
    </row>
    <row r="173" spans="7:10" x14ac:dyDescent="0.3">
      <c r="G173" s="172" t="s">
        <v>3019</v>
      </c>
    </row>
    <row r="174" spans="7:10" x14ac:dyDescent="0.3">
      <c r="G174" s="172" t="s">
        <v>3020</v>
      </c>
      <c r="J174" s="172"/>
    </row>
    <row r="175" spans="7:10" x14ac:dyDescent="0.3">
      <c r="G175" s="172"/>
      <c r="J175" s="172"/>
    </row>
    <row r="176" spans="7:10" x14ac:dyDescent="0.3">
      <c r="G176" s="172"/>
      <c r="J176" s="172"/>
    </row>
    <row r="177" spans="1:21" x14ac:dyDescent="0.3">
      <c r="G177" s="172"/>
      <c r="J177" s="172"/>
    </row>
    <row r="178" spans="1:21" x14ac:dyDescent="0.3">
      <c r="G178" s="172"/>
      <c r="J178" s="172"/>
    </row>
    <row r="179" spans="1:21" x14ac:dyDescent="0.3">
      <c r="G179" s="172"/>
      <c r="J179" s="172"/>
    </row>
    <row r="180" spans="1:21" x14ac:dyDescent="0.3">
      <c r="G180" s="172"/>
      <c r="J180" s="172"/>
    </row>
    <row r="181" spans="1:21" x14ac:dyDescent="0.3">
      <c r="G181" s="172"/>
      <c r="J181" s="172"/>
    </row>
    <row r="182" spans="1:21" x14ac:dyDescent="0.3">
      <c r="G182" s="172"/>
      <c r="J182" s="172"/>
    </row>
    <row r="183" spans="1:21" x14ac:dyDescent="0.3">
      <c r="G183" s="172"/>
      <c r="J183" s="172"/>
    </row>
    <row r="184" spans="1:21" x14ac:dyDescent="0.3">
      <c r="G184" s="172"/>
      <c r="J184" s="172"/>
    </row>
    <row r="185" spans="1:21" x14ac:dyDescent="0.3">
      <c r="G185" s="172"/>
      <c r="J185" s="172"/>
    </row>
    <row r="186" spans="1:21" x14ac:dyDescent="0.3">
      <c r="G186" s="172"/>
      <c r="J186" s="172"/>
    </row>
    <row r="187" spans="1:21" x14ac:dyDescent="0.3">
      <c r="G187" s="172"/>
      <c r="J187" s="172"/>
    </row>
    <row r="188" spans="1:21" x14ac:dyDescent="0.3">
      <c r="G188" s="172"/>
      <c r="J188" s="172"/>
    </row>
    <row r="189" spans="1:21" s="13" customFormat="1" x14ac:dyDescent="0.3">
      <c r="A189" s="172"/>
      <c r="B189" s="172"/>
      <c r="C189" s="172"/>
      <c r="D189" s="172"/>
      <c r="E189" s="172"/>
      <c r="F189" s="172"/>
      <c r="G189" s="172"/>
      <c r="H189" s="173"/>
      <c r="I189" s="173"/>
      <c r="J189" s="172"/>
      <c r="K189" s="172"/>
      <c r="L189" s="173"/>
      <c r="M189" s="172"/>
      <c r="N189" s="172"/>
      <c r="O189" s="172"/>
      <c r="P189" s="175"/>
      <c r="Q189" s="172"/>
      <c r="R189" s="172"/>
      <c r="S189" s="172"/>
      <c r="T189" s="172"/>
      <c r="U189" s="172"/>
    </row>
    <row r="190" spans="1:21" x14ac:dyDescent="0.3">
      <c r="G190" s="172"/>
      <c r="J190" s="172"/>
    </row>
    <row r="191" spans="1:21" x14ac:dyDescent="0.3">
      <c r="G191" s="172"/>
      <c r="J191" s="172"/>
    </row>
    <row r="192" spans="1:21" x14ac:dyDescent="0.3">
      <c r="G192" s="172"/>
      <c r="J192" s="172"/>
    </row>
    <row r="193" spans="7:10" x14ac:dyDescent="0.3">
      <c r="G193" s="172"/>
      <c r="J193" s="172"/>
    </row>
    <row r="194" spans="7:10" x14ac:dyDescent="0.3">
      <c r="G194" s="172"/>
      <c r="J194" s="172"/>
    </row>
    <row r="195" spans="7:10" x14ac:dyDescent="0.3">
      <c r="G195" s="172"/>
      <c r="J195" s="172"/>
    </row>
    <row r="196" spans="7:10" x14ac:dyDescent="0.3">
      <c r="G196" s="172"/>
      <c r="J196" s="172"/>
    </row>
    <row r="197" spans="7:10" x14ac:dyDescent="0.3">
      <c r="G197" s="172"/>
      <c r="J197" s="172"/>
    </row>
    <row r="198" spans="7:10" x14ac:dyDescent="0.3">
      <c r="G198" s="172"/>
      <c r="J198" s="172"/>
    </row>
    <row r="199" spans="7:10" x14ac:dyDescent="0.3">
      <c r="G199" s="172"/>
      <c r="J199" s="172"/>
    </row>
    <row r="200" spans="7:10" x14ac:dyDescent="0.3">
      <c r="G200" s="172"/>
      <c r="J200" s="172"/>
    </row>
    <row r="201" spans="7:10" x14ac:dyDescent="0.3">
      <c r="G201" s="172"/>
      <c r="J201" s="172"/>
    </row>
    <row r="202" spans="7:10" x14ac:dyDescent="0.3">
      <c r="G202" s="172"/>
      <c r="J202" s="172"/>
    </row>
    <row r="203" spans="7:10" x14ac:dyDescent="0.3">
      <c r="G203" s="172"/>
      <c r="J203" s="172"/>
    </row>
    <row r="204" spans="7:10" x14ac:dyDescent="0.3">
      <c r="G204" s="172"/>
      <c r="J204" s="172"/>
    </row>
    <row r="205" spans="7:10" x14ac:dyDescent="0.3">
      <c r="G205" s="172"/>
      <c r="J205" s="172"/>
    </row>
    <row r="206" spans="7:10" x14ac:dyDescent="0.3">
      <c r="G206" s="172"/>
      <c r="J206" s="172"/>
    </row>
    <row r="207" spans="7:10" x14ac:dyDescent="0.3">
      <c r="G207" s="172"/>
      <c r="J207" s="172"/>
    </row>
    <row r="208" spans="7:10" x14ac:dyDescent="0.3">
      <c r="G208" s="172"/>
      <c r="J208" s="172"/>
    </row>
    <row r="209" spans="7:10" x14ac:dyDescent="0.3">
      <c r="G209" s="172"/>
      <c r="J209" s="172"/>
    </row>
    <row r="210" spans="7:10" x14ac:dyDescent="0.3">
      <c r="G210" s="172"/>
      <c r="J210" s="172"/>
    </row>
    <row r="211" spans="7:10" x14ac:dyDescent="0.3">
      <c r="G211" s="172"/>
      <c r="J211" s="172"/>
    </row>
    <row r="212" spans="7:10" x14ac:dyDescent="0.3">
      <c r="G212" s="172"/>
      <c r="J212" s="172"/>
    </row>
    <row r="213" spans="7:10" x14ac:dyDescent="0.3">
      <c r="G213" s="172"/>
      <c r="J213" s="172"/>
    </row>
    <row r="214" spans="7:10" x14ac:dyDescent="0.3">
      <c r="G214" s="172"/>
      <c r="J214" s="172"/>
    </row>
    <row r="215" spans="7:10" x14ac:dyDescent="0.3">
      <c r="G215" s="172"/>
      <c r="J215" s="172"/>
    </row>
    <row r="216" spans="7:10" x14ac:dyDescent="0.3">
      <c r="G216" s="172"/>
      <c r="J216" s="172"/>
    </row>
    <row r="217" spans="7:10" x14ac:dyDescent="0.3">
      <c r="G217" s="172"/>
      <c r="J217" s="172"/>
    </row>
    <row r="218" spans="7:10" x14ac:dyDescent="0.3">
      <c r="G218" s="172"/>
      <c r="J218" s="172"/>
    </row>
    <row r="219" spans="7:10" x14ac:dyDescent="0.3">
      <c r="G219" s="172"/>
      <c r="J219" s="172"/>
    </row>
    <row r="220" spans="7:10" x14ac:dyDescent="0.3">
      <c r="G220" s="172"/>
      <c r="J220" s="172"/>
    </row>
    <row r="221" spans="7:10" x14ac:dyDescent="0.3">
      <c r="G221" s="172"/>
      <c r="J221" s="172"/>
    </row>
    <row r="222" spans="7:10" x14ac:dyDescent="0.3">
      <c r="G222" s="172"/>
      <c r="J222" s="172"/>
    </row>
    <row r="223" spans="7:10" x14ac:dyDescent="0.3">
      <c r="G223" s="172"/>
      <c r="J223" s="172"/>
    </row>
    <row r="224" spans="7:10" x14ac:dyDescent="0.3">
      <c r="G224" s="172"/>
      <c r="J224" s="172"/>
    </row>
    <row r="225" spans="7:10" x14ac:dyDescent="0.3">
      <c r="G225" s="172"/>
      <c r="J225" s="172"/>
    </row>
    <row r="226" spans="7:10" x14ac:dyDescent="0.3">
      <c r="G226" s="172"/>
      <c r="J226" s="172"/>
    </row>
    <row r="227" spans="7:10" x14ac:dyDescent="0.3">
      <c r="G227" s="172"/>
      <c r="J227" s="172"/>
    </row>
    <row r="228" spans="7:10" x14ac:dyDescent="0.3">
      <c r="G228" s="172"/>
      <c r="J228" s="172"/>
    </row>
    <row r="229" spans="7:10" x14ac:dyDescent="0.3">
      <c r="G229" s="172"/>
      <c r="J229" s="172"/>
    </row>
    <row r="230" spans="7:10" x14ac:dyDescent="0.3">
      <c r="G230" s="172"/>
      <c r="J230" s="172"/>
    </row>
    <row r="231" spans="7:10" x14ac:dyDescent="0.3">
      <c r="G231" s="172"/>
      <c r="J231" s="172"/>
    </row>
    <row r="232" spans="7:10" x14ac:dyDescent="0.3">
      <c r="G232" s="172"/>
      <c r="J232" s="172"/>
    </row>
    <row r="233" spans="7:10" x14ac:dyDescent="0.3">
      <c r="G233" s="172"/>
      <c r="J233" s="172"/>
    </row>
    <row r="234" spans="7:10" x14ac:dyDescent="0.3">
      <c r="G234" s="172"/>
      <c r="J234" s="172"/>
    </row>
    <row r="235" spans="7:10" x14ac:dyDescent="0.3">
      <c r="G235" s="172"/>
      <c r="J235" s="172"/>
    </row>
    <row r="236" spans="7:10" x14ac:dyDescent="0.3">
      <c r="G236" s="172"/>
      <c r="J236" s="172"/>
    </row>
    <row r="237" spans="7:10" x14ac:dyDescent="0.3">
      <c r="G237" s="172"/>
      <c r="J237" s="172"/>
    </row>
    <row r="238" spans="7:10" x14ac:dyDescent="0.3">
      <c r="G238" s="172"/>
      <c r="J238" s="172"/>
    </row>
    <row r="239" spans="7:10" x14ac:dyDescent="0.3">
      <c r="G239" s="172"/>
      <c r="J239" s="172"/>
    </row>
    <row r="240" spans="7:10" x14ac:dyDescent="0.3">
      <c r="G240" s="172"/>
      <c r="J240" s="172"/>
    </row>
    <row r="241" spans="7:10" x14ac:dyDescent="0.3">
      <c r="G241" s="172"/>
      <c r="J241" s="172"/>
    </row>
    <row r="242" spans="7:10" x14ac:dyDescent="0.3">
      <c r="G242" s="172"/>
      <c r="J242" s="172"/>
    </row>
    <row r="243" spans="7:10" x14ac:dyDescent="0.3">
      <c r="G243" s="172"/>
      <c r="J243" s="172"/>
    </row>
    <row r="244" spans="7:10" x14ac:dyDescent="0.3">
      <c r="G244" s="172"/>
      <c r="J244" s="172"/>
    </row>
    <row r="245" spans="7:10" x14ac:dyDescent="0.3">
      <c r="G245" s="172"/>
      <c r="J245" s="172"/>
    </row>
    <row r="246" spans="7:10" x14ac:dyDescent="0.3">
      <c r="G246" s="172"/>
      <c r="J246" s="172"/>
    </row>
    <row r="247" spans="7:10" x14ac:dyDescent="0.3">
      <c r="G247" s="172"/>
      <c r="J247" s="172"/>
    </row>
    <row r="248" spans="7:10" x14ac:dyDescent="0.3">
      <c r="G248" s="172"/>
      <c r="J248" s="172"/>
    </row>
    <row r="249" spans="7:10" x14ac:dyDescent="0.3">
      <c r="G249" s="172"/>
      <c r="J249" s="172"/>
    </row>
    <row r="250" spans="7:10" x14ac:dyDescent="0.3">
      <c r="G250" s="172"/>
      <c r="J250" s="172"/>
    </row>
    <row r="251" spans="7:10" x14ac:dyDescent="0.3">
      <c r="G251" s="172"/>
      <c r="J251" s="172"/>
    </row>
    <row r="252" spans="7:10" x14ac:dyDescent="0.3">
      <c r="G252" s="172"/>
      <c r="J252" s="172"/>
    </row>
    <row r="253" spans="7:10" x14ac:dyDescent="0.3">
      <c r="G253" s="172"/>
      <c r="J253" s="172"/>
    </row>
    <row r="254" spans="7:10" x14ac:dyDescent="0.3">
      <c r="G254" s="172"/>
      <c r="J254" s="172"/>
    </row>
    <row r="255" spans="7:10" x14ac:dyDescent="0.3">
      <c r="G255" s="172"/>
      <c r="J255" s="172"/>
    </row>
    <row r="256" spans="7:10" x14ac:dyDescent="0.3">
      <c r="G256" s="172"/>
      <c r="J256" s="172"/>
    </row>
    <row r="257" spans="7:10" x14ac:dyDescent="0.3">
      <c r="G257" s="172"/>
      <c r="J257" s="172"/>
    </row>
    <row r="258" spans="7:10" x14ac:dyDescent="0.3">
      <c r="G258" s="172"/>
      <c r="J258" s="172"/>
    </row>
    <row r="259" spans="7:10" x14ac:dyDescent="0.3">
      <c r="G259" s="172"/>
      <c r="J259" s="172"/>
    </row>
    <row r="260" spans="7:10" x14ac:dyDescent="0.3">
      <c r="G260" s="172"/>
      <c r="J260" s="172"/>
    </row>
    <row r="261" spans="7:10" x14ac:dyDescent="0.3">
      <c r="G261" s="172"/>
      <c r="J261" s="172"/>
    </row>
    <row r="262" spans="7:10" x14ac:dyDescent="0.3">
      <c r="G262" s="172"/>
      <c r="J262" s="172"/>
    </row>
    <row r="263" spans="7:10" x14ac:dyDescent="0.3">
      <c r="G263" s="172"/>
      <c r="J263" s="172"/>
    </row>
    <row r="264" spans="7:10" x14ac:dyDescent="0.3">
      <c r="G264" s="172"/>
      <c r="J264" s="172"/>
    </row>
    <row r="265" spans="7:10" x14ac:dyDescent="0.3">
      <c r="G265" s="172"/>
      <c r="J265" s="172"/>
    </row>
    <row r="266" spans="7:10" x14ac:dyDescent="0.3">
      <c r="G266" s="172"/>
      <c r="J266" s="172"/>
    </row>
    <row r="267" spans="7:10" x14ac:dyDescent="0.3">
      <c r="G267" s="172"/>
      <c r="J267" s="172"/>
    </row>
    <row r="268" spans="7:10" x14ac:dyDescent="0.3">
      <c r="G268" s="172"/>
      <c r="J268" s="172"/>
    </row>
    <row r="269" spans="7:10" x14ac:dyDescent="0.3">
      <c r="G269" s="172"/>
      <c r="J269" s="172"/>
    </row>
    <row r="270" spans="7:10" x14ac:dyDescent="0.3">
      <c r="G270" s="172"/>
      <c r="J270" s="172"/>
    </row>
    <row r="271" spans="7:10" x14ac:dyDescent="0.3">
      <c r="G271" s="172"/>
      <c r="J271" s="172"/>
    </row>
    <row r="272" spans="7:10" x14ac:dyDescent="0.3">
      <c r="G272" s="172"/>
      <c r="J272" s="172"/>
    </row>
    <row r="273" spans="7:10" x14ac:dyDescent="0.3">
      <c r="G273" s="172"/>
      <c r="J273" s="172"/>
    </row>
    <row r="274" spans="7:10" x14ac:dyDescent="0.3">
      <c r="G274" s="172"/>
      <c r="J274" s="172"/>
    </row>
    <row r="275" spans="7:10" x14ac:dyDescent="0.3">
      <c r="G275" s="172"/>
      <c r="J275" s="172"/>
    </row>
    <row r="276" spans="7:10" x14ac:dyDescent="0.3">
      <c r="G276" s="172"/>
      <c r="J276" s="172"/>
    </row>
    <row r="277" spans="7:10" x14ac:dyDescent="0.3">
      <c r="G277" s="172"/>
      <c r="J277" s="172"/>
    </row>
    <row r="278" spans="7:10" x14ac:dyDescent="0.3">
      <c r="G278" s="172"/>
      <c r="J278" s="172"/>
    </row>
    <row r="279" spans="7:10" x14ac:dyDescent="0.3">
      <c r="G279" s="172"/>
      <c r="J279" s="172"/>
    </row>
    <row r="280" spans="7:10" x14ac:dyDescent="0.3">
      <c r="G280" s="172"/>
      <c r="J280" s="172"/>
    </row>
    <row r="281" spans="7:10" x14ac:dyDescent="0.3">
      <c r="G281" s="172"/>
      <c r="J281" s="172"/>
    </row>
    <row r="282" spans="7:10" x14ac:dyDescent="0.3">
      <c r="G282" s="172"/>
      <c r="J282" s="172"/>
    </row>
    <row r="283" spans="7:10" x14ac:dyDescent="0.3">
      <c r="G283" s="172"/>
      <c r="J283" s="172"/>
    </row>
    <row r="284" spans="7:10" x14ac:dyDescent="0.3">
      <c r="G284" s="172"/>
      <c r="J284" s="172"/>
    </row>
    <row r="285" spans="7:10" x14ac:dyDescent="0.3">
      <c r="G285" s="172"/>
      <c r="J285" s="172"/>
    </row>
    <row r="286" spans="7:10" x14ac:dyDescent="0.3">
      <c r="G286" s="172"/>
      <c r="J286" s="172"/>
    </row>
    <row r="287" spans="7:10" x14ac:dyDescent="0.3">
      <c r="G287" s="172"/>
      <c r="J287" s="172"/>
    </row>
    <row r="288" spans="7:10" x14ac:dyDescent="0.3">
      <c r="G288" s="172"/>
      <c r="J288" s="172"/>
    </row>
    <row r="289" spans="7:10" x14ac:dyDescent="0.3">
      <c r="G289" s="172"/>
      <c r="J289" s="172"/>
    </row>
    <row r="290" spans="7:10" x14ac:dyDescent="0.3">
      <c r="G290" s="172"/>
      <c r="J290" s="172"/>
    </row>
    <row r="291" spans="7:10" x14ac:dyDescent="0.3">
      <c r="G291" s="172"/>
      <c r="J291" s="172"/>
    </row>
    <row r="292" spans="7:10" x14ac:dyDescent="0.3">
      <c r="G292" s="172"/>
      <c r="J292" s="172"/>
    </row>
    <row r="293" spans="7:10" x14ac:dyDescent="0.3">
      <c r="G293" s="172"/>
      <c r="J293" s="172"/>
    </row>
    <row r="294" spans="7:10" x14ac:dyDescent="0.3">
      <c r="G294" s="172"/>
      <c r="J294" s="172"/>
    </row>
    <row r="295" spans="7:10" x14ac:dyDescent="0.3">
      <c r="G295" s="172"/>
      <c r="J295" s="172"/>
    </row>
    <row r="296" spans="7:10" x14ac:dyDescent="0.3">
      <c r="G296" s="172"/>
      <c r="J296" s="172"/>
    </row>
    <row r="297" spans="7:10" x14ac:dyDescent="0.3">
      <c r="G297" s="172"/>
      <c r="J297" s="172"/>
    </row>
    <row r="298" spans="7:10" x14ac:dyDescent="0.3">
      <c r="G298" s="172"/>
      <c r="J298" s="172"/>
    </row>
    <row r="299" spans="7:10" x14ac:dyDescent="0.3">
      <c r="G299" s="172"/>
      <c r="J299" s="172"/>
    </row>
    <row r="300" spans="7:10" x14ac:dyDescent="0.3">
      <c r="G300" s="172"/>
      <c r="J300" s="172"/>
    </row>
    <row r="301" spans="7:10" x14ac:dyDescent="0.3">
      <c r="G301" s="172"/>
      <c r="J301" s="172"/>
    </row>
    <row r="302" spans="7:10" x14ac:dyDescent="0.3">
      <c r="G302" s="172"/>
      <c r="J302" s="172"/>
    </row>
    <row r="303" spans="7:10" x14ac:dyDescent="0.3">
      <c r="G303" s="172"/>
      <c r="J303" s="172"/>
    </row>
    <row r="304" spans="7:10" x14ac:dyDescent="0.3">
      <c r="G304" s="172"/>
      <c r="J304" s="172"/>
    </row>
    <row r="305" spans="7:10" x14ac:dyDescent="0.3">
      <c r="G305" s="172"/>
      <c r="J305" s="172"/>
    </row>
    <row r="306" spans="7:10" x14ac:dyDescent="0.3">
      <c r="G306" s="172"/>
      <c r="J306" s="172"/>
    </row>
    <row r="307" spans="7:10" x14ac:dyDescent="0.3">
      <c r="G307" s="172"/>
      <c r="J307" s="172"/>
    </row>
    <row r="308" spans="7:10" x14ac:dyDescent="0.3">
      <c r="G308" s="172"/>
      <c r="J308" s="172"/>
    </row>
    <row r="309" spans="7:10" x14ac:dyDescent="0.3">
      <c r="G309" s="172"/>
      <c r="J309" s="172"/>
    </row>
    <row r="310" spans="7:10" x14ac:dyDescent="0.3">
      <c r="G310" s="172"/>
      <c r="J310" s="172"/>
    </row>
    <row r="311" spans="7:10" x14ac:dyDescent="0.3">
      <c r="G311" s="172"/>
      <c r="J311" s="172"/>
    </row>
  </sheetData>
  <mergeCells count="34">
    <mergeCell ref="G2:G3"/>
    <mergeCell ref="N2:O2"/>
    <mergeCell ref="P2:X2"/>
    <mergeCell ref="Y2:Z2"/>
    <mergeCell ref="AA2:AE2"/>
    <mergeCell ref="P3:R3"/>
    <mergeCell ref="T3:U3"/>
    <mergeCell ref="W3:X3"/>
    <mergeCell ref="Y3:Z3"/>
    <mergeCell ref="AA3:AE3"/>
    <mergeCell ref="I68:J68"/>
    <mergeCell ref="G6:N6"/>
    <mergeCell ref="C11:E11"/>
    <mergeCell ref="G13:N13"/>
    <mergeCell ref="I15:J15"/>
    <mergeCell ref="L15:N15"/>
    <mergeCell ref="I21:J21"/>
    <mergeCell ref="L21:N21"/>
    <mergeCell ref="I39:J39"/>
    <mergeCell ref="I25:J25"/>
    <mergeCell ref="I28:J28"/>
    <mergeCell ref="I33:J33"/>
    <mergeCell ref="I45:J45"/>
    <mergeCell ref="I53:J53"/>
    <mergeCell ref="I77:J77"/>
    <mergeCell ref="I85:J85"/>
    <mergeCell ref="I96:J96"/>
    <mergeCell ref="I105:J105"/>
    <mergeCell ref="I109:J109"/>
    <mergeCell ref="G139:N139"/>
    <mergeCell ref="I114:J114"/>
    <mergeCell ref="I118:J118"/>
    <mergeCell ref="I127:J127"/>
    <mergeCell ref="I134:J134"/>
  </mergeCells>
  <phoneticPr fontId="0" type="noConversion"/>
  <hyperlinks>
    <hyperlink ref="K4" r:id="rId1" xr:uid="{00000000-0004-0000-0100-000000000000}"/>
    <hyperlink ref="AA2:AB2" r:id="rId2" display="UW Burke Herbarium" xr:uid="{00000000-0004-0000-0100-000001000000}"/>
  </hyperlinks>
  <pageMargins left="0.37" right="0.18" top="0.59" bottom="0.6" header="0.66" footer="0.96"/>
  <pageSetup scale="90" orientation="portrait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Flora</vt:lpstr>
      <vt:lpstr>Legend</vt:lpstr>
      <vt:lpstr>Flora!http___biology.burke.washington.edu_herbarium_imagecollection_taxon.php?Taxon_Luzula_multiflora</vt:lpstr>
      <vt:lpstr>Flora!Print_Area</vt:lpstr>
    </vt:vector>
  </TitlesOfParts>
  <Company>ERI Economic Research Institute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david.thomsen</dc:creator>
  <cp:lastModifiedBy>David Thomsen</cp:lastModifiedBy>
  <cp:lastPrinted>2018-12-13T16:37:15Z</cp:lastPrinted>
  <dcterms:created xsi:type="dcterms:W3CDTF">2010-04-24T00:42:34Z</dcterms:created>
  <dcterms:modified xsi:type="dcterms:W3CDTF">2019-03-10T19:49:08Z</dcterms:modified>
</cp:coreProperties>
</file>